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fficeforstudents.sharepoint.com/sites/Team-DigitalPublishingTeam/Shared Documents/Design studio/WEBSITE/Data and analysis/Data collection/HESES24/"/>
    </mc:Choice>
  </mc:AlternateContent>
  <xr:revisionPtr revIDLastSave="0" documentId="8_{E3F9A9E0-4A6F-48B9-ADCC-349CDB43EDCF}" xr6:coauthVersionLast="47" xr6:coauthVersionMax="47" xr10:uidLastSave="{00000000-0000-0000-0000-000000000000}"/>
  <workbookProtection workbookAlgorithmName="SHA-512" workbookHashValue="rSAZbDJ9jEA8CrhZJSgnv6p5fn/Yegt6y0M4+Rq96A8eXPWKVGubxypaXrO4x8Je80Eio9nbOotoBZRZa1r7aQ==" workbookSaltValue="n05S+UEBb0I/3bQIDVR7gA==" workbookSpinCount="100000" lockStructure="1"/>
  <bookViews>
    <workbookView xWindow="-98" yWindow="-98" windowWidth="21795" windowHeight="13996" xr2:uid="{540FF5C5-3355-40BF-BC63-14CB65C2EDA6}"/>
  </bookViews>
  <sheets>
    <sheet name="Information" sheetId="142" r:id="rId1"/>
    <sheet name="Validation" sheetId="150" state="hidden" r:id="rId2"/>
    <sheet name="ValidationCodes" sheetId="178" state="hidden" r:id="rId3"/>
    <sheet name="Column 1" sheetId="104" state="hidden" r:id="rId4"/>
    <sheet name="Table_of_contents" sheetId="184" r:id="rId5"/>
    <sheet name="Courses" sheetId="79" state="hidden" r:id="rId6"/>
    <sheet name="Courses Valid" sheetId="84" state="hidden" r:id="rId7"/>
    <sheet name="CourseList" sheetId="80" state="hidden" r:id="rId8"/>
    <sheet name="1_Full_time" sheetId="1" r:id="rId9"/>
    <sheet name="Table 1 Valid" sheetId="113" state="hidden" r:id="rId10"/>
    <sheet name="2_Sandwich" sheetId="2" r:id="rId11"/>
    <sheet name="Table 2 Valid" sheetId="114" state="hidden" r:id="rId12"/>
    <sheet name="3_Part_time" sheetId="3" r:id="rId13"/>
    <sheet name="Table 3 Valid" sheetId="115" state="hidden" r:id="rId14"/>
    <sheet name="4_Year_abroad" sheetId="61" r:id="rId15"/>
    <sheet name="Table 4 Valid" sheetId="116" state="hidden" r:id="rId16"/>
    <sheet name="5_Planning" sheetId="101" r:id="rId17"/>
    <sheet name="Table 5 Valid" sheetId="117" state="hidden" r:id="rId18"/>
    <sheet name="6a_Health_full_time" sheetId="136" r:id="rId19"/>
    <sheet name="Table 6a Valid" sheetId="149" state="hidden" r:id="rId20"/>
    <sheet name="6c_Health_part_time" sheetId="141" r:id="rId21"/>
    <sheet name="Table 6c Valid" sheetId="135" state="hidden" r:id="rId22"/>
    <sheet name="Comparison_1" sheetId="152" r:id="rId23"/>
    <sheet name="Comparison_2" sheetId="153" r:id="rId24"/>
    <sheet name="Comparison_3" sheetId="154" r:id="rId25"/>
    <sheet name="Other_comparisons" sheetId="155" r:id="rId26"/>
    <sheet name="DropdownList" sheetId="225" state="hidden" r:id="rId27"/>
    <sheet name="FTE_1_Full_time" sheetId="194" r:id="rId28"/>
    <sheet name="Table 1 MF" sheetId="226" state="hidden" r:id="rId29"/>
    <sheet name="FTE Table 1 Valid" sheetId="227" state="hidden" r:id="rId30"/>
    <sheet name="FTE_2_Sandwich" sheetId="195" r:id="rId31"/>
    <sheet name="Table 2 MF" sheetId="228" state="hidden" r:id="rId32"/>
    <sheet name="FTE Table 2 Valid" sheetId="229" state="hidden" r:id="rId33"/>
    <sheet name="FTE_3_Part_time" sheetId="196" r:id="rId34"/>
    <sheet name="Table 3 MF" sheetId="230" state="hidden" r:id="rId35"/>
    <sheet name="FTE Table 3 Valid" sheetId="231" state="hidden" r:id="rId36"/>
    <sheet name="FTE_6a_Health_full_time" sheetId="197" r:id="rId37"/>
    <sheet name="Table 6a MF" sheetId="232" state="hidden" r:id="rId38"/>
    <sheet name="FTE Table 6a Valid" sheetId="233" state="hidden" r:id="rId39"/>
    <sheet name="FTE_6c_Health_part_time" sheetId="198" r:id="rId40"/>
    <sheet name="Table 6c MF" sheetId="234" state="hidden" r:id="rId41"/>
    <sheet name="FTE Table 6c Valid" sheetId="235" state="hidden" r:id="rId42"/>
    <sheet name="A_Summary" sheetId="199" r:id="rId43"/>
    <sheet name="B_High_cost" sheetId="200" r:id="rId44"/>
    <sheet name="C_NMAH_supplement" sheetId="201" r:id="rId45"/>
    <sheet name="D_Overseas" sheetId="202" r:id="rId46"/>
    <sheet name="E_Other_high_cost_TAs" sheetId="203" r:id="rId47"/>
    <sheet name="F_Student_access_and_success" sheetId="204" r:id="rId48"/>
    <sheet name="H_Parameters" sheetId="205" r:id="rId49"/>
  </sheets>
  <definedNames>
    <definedName name="_AMO_AP_UniqueIdentifier" hidden="1">"'d8701f7d-7825-4930-9da4-0efe80e8a5a4'"</definedName>
    <definedName name="_AMO_AP2_UniqueIdentifier" hidden="1">"'d8701f7d-7825-4930-9da4-0efe80e8a5a4'"</definedName>
    <definedName name="_AMO_UniqueIdentifier" localSheetId="7" hidden="1">"'86b7c1f8-7bbe-4abb-bd85-62898b63a9b6'"</definedName>
    <definedName name="_AMO_UniqueIdentifier" hidden="1">"'11038be5-e691-4a9f-ae7e-3c2735e0c1a7'"</definedName>
    <definedName name="_xlnm._FilterDatabase" localSheetId="8" hidden="1">'1_Full_time'!$A$11:$A$96</definedName>
    <definedName name="_xlnm._FilterDatabase" localSheetId="12" hidden="1">'3_Part_time'!$A$11:$A$96</definedName>
    <definedName name="_xlnm._FilterDatabase" localSheetId="18" hidden="1">'6a_Health_full_time'!$A$12:$A$91</definedName>
    <definedName name="_xlnm._FilterDatabase" localSheetId="20" hidden="1">'6c_Health_part_time'!$A$12:$A$91</definedName>
    <definedName name="_xlnm._FilterDatabase" localSheetId="7" hidden="1">CourseList!$A$3:$H$3</definedName>
    <definedName name="_xlnm._FilterDatabase" localSheetId="5" hidden="1">Courses!$B$10:$D$215</definedName>
    <definedName name="A_coltags1">Comparison_1!$C$19</definedName>
    <definedName name="A_coltags2">Comparison_1!$D$19</definedName>
    <definedName name="A_coltags3">Comparison_1!$E$19</definedName>
    <definedName name="A_coltags4L">Comparison_1!$F$19</definedName>
    <definedName name="A_colvars">Comparison_1!$B$19</definedName>
    <definedName name="A_datacols1">Comparison_1!$C$20</definedName>
    <definedName name="A_datacols2">Comparison_1!$D$20</definedName>
    <definedName name="A_datacols3">Comparison_1!$E$20</definedName>
    <definedName name="A_datacols4L">Comparison_1!$F$20</definedName>
    <definedName name="A_rowtags">Comparison_1!$R$14:$S$17</definedName>
    <definedName name="A_rowvars">Comparison_1!$R$13:$S$13</definedName>
    <definedName name="aaaa" hidden="1">"'c6ca09bc-4ace-4b4f-b0e4-3a7c195459ea'"</definedName>
    <definedName name="ACYEAR">Information!$L$30</definedName>
    <definedName name="B_coltags1">Comparison_1!$B$30</definedName>
    <definedName name="B_coltags2">Comparison_1!$C$30</definedName>
    <definedName name="B_coltags3">Comparison_1!$D$30</definedName>
    <definedName name="B_coltags4L">Comparison_1!$E$30</definedName>
    <definedName name="B_colvars">Comparison_1!$A$30</definedName>
    <definedName name="B_datacols1">Comparison_1!$B$31</definedName>
    <definedName name="B_datacols2">Comparison_1!$C$31</definedName>
    <definedName name="B_datacols3">Comparison_1!$D$31</definedName>
    <definedName name="B_datacols4L">Comparison_1!$E$31</definedName>
    <definedName name="B_rowtags">Comparison_1!$R$25:$R$27</definedName>
    <definedName name="B_rowvars">Comparison_1!$R$24</definedName>
    <definedName name="C_coltags1">Comparison_1!$B$43</definedName>
    <definedName name="C_coltags2">Comparison_1!$C$43</definedName>
    <definedName name="C_coltags3">Comparison_1!$D$43</definedName>
    <definedName name="C_coltags4L">Comparison_1!$E$43</definedName>
    <definedName name="C_colvars">Comparison_1!$A$43</definedName>
    <definedName name="C_datacols1">Comparison_1!$B$44</definedName>
    <definedName name="C_datacols2">Comparison_1!$C$44</definedName>
    <definedName name="C_datacols3">Comparison_1!$D$44</definedName>
    <definedName name="C_datacols4L">Comparison_1!$E$44</definedName>
    <definedName name="C_rowtags">Comparison_1!$R$36:$R$40</definedName>
    <definedName name="C_rowvars">Comparison_1!$R$35</definedName>
    <definedName name="CENSUS">Information!$J$40</definedName>
    <definedName name="COMPARISON">Information!$S$33</definedName>
    <definedName name="Comparison1HideSheet">Comparison_1!$R$1</definedName>
    <definedName name="Comparison2HideSheet">Comparison_2!$W$1</definedName>
    <definedName name="Comparison3HideSheet">Comparison_3!$S$1</definedName>
    <definedName name="ComparisonOtherHideSheet">Other_comparisons!$X$1</definedName>
    <definedName name="CourseAims">CourseList!$B$4:$B$15000</definedName>
    <definedName name="CourseInfo">CourseList!$B$4:$G$15000</definedName>
    <definedName name="Courses_datacols1">Courses!$B$13</definedName>
    <definedName name="Courses_datacols2">Courses!$D$13:$AB$13</definedName>
    <definedName name="Courses_hidecols">Courses!$C$13</definedName>
    <definedName name="Courses_hidesheet">Courses!$AE$1</definedName>
    <definedName name="Courses_Print_Area">Courses!$A$1:$AB$215</definedName>
    <definedName name="Courses_rowtags">Courses!$AE$14:$AE$213</definedName>
    <definedName name="Courses_rowvars">Courses!$AE$13</definedName>
    <definedName name="D_coltags1">Comparison_1!$B$57</definedName>
    <definedName name="D_coltags2">Comparison_1!$C$57</definedName>
    <definedName name="D_coltags3">Comparison_1!$D$57</definedName>
    <definedName name="D_coltags4L">Comparison_1!$E$57</definedName>
    <definedName name="D_colvars">Comparison_1!$A$57</definedName>
    <definedName name="D_datacols1">Comparison_1!$B$58</definedName>
    <definedName name="D_datacols2">Comparison_1!$C$58</definedName>
    <definedName name="D_datacols3">Comparison_1!$D$58</definedName>
    <definedName name="D_datacols4L">Comparison_1!$E$58</definedName>
    <definedName name="D_rowtags">Comparison_1!$R$49:$R$54</definedName>
    <definedName name="D_rowvars">Comparison_1!$R$48</definedName>
    <definedName name="DATE">Information!$I$34</definedName>
    <definedName name="DCT">Information!$Q$33</definedName>
    <definedName name="DCT_DATE">Information!$P$34</definedName>
    <definedName name="DEADLINE">Information!$I$36</definedName>
    <definedName name="Dummy">CourseList!$B$4:$B$29</definedName>
    <definedName name="E_coltags1">Comparison_2!$D$43:$E$43</definedName>
    <definedName name="E_coltags2">Comparison_2!$G$43:$H$43</definedName>
    <definedName name="E_coltags3L">Comparison_2!$J$43:$K$43</definedName>
    <definedName name="E_colvars">Comparison_2!$C$43</definedName>
    <definedName name="E_datacols1">Comparison_2!$D$44:$E$44</definedName>
    <definedName name="E_datacols2">Comparison_2!$G$44:$H$44</definedName>
    <definedName name="E_datacols3L">Comparison_2!$J$44:$K$44</definedName>
    <definedName name="E_rowtags">Comparison_2!$W$17:$Y$40</definedName>
    <definedName name="E_rowvars">Comparison_2!$W$16:$Y$16</definedName>
    <definedName name="F_A_datacols">A_Summary!$B$27</definedName>
    <definedName name="F_A_diff_datacols">A_Summary!$D$27</definedName>
    <definedName name="F_A_diff_rowtags">A_Summary!$G$25</definedName>
    <definedName name="F_A_rowtags1">A_Summary!$G$7:$G$16</definedName>
    <definedName name="F_A_rowtags2">A_Summary!$G$18</definedName>
    <definedName name="F_A_rowtags3">A_Summary!$G$20:$G$25</definedName>
    <definedName name="F_A_rowvars">A_Summary!$G$5</definedName>
    <definedName name="F_B_datacols">B_High_cost!$D$79:$E$79</definedName>
    <definedName name="F_B_rowtags">B_High_cost!$L$7:$N$77</definedName>
    <definedName name="F_B_rowvars">B_High_cost!$L$6:$N$6</definedName>
    <definedName name="F_C_coltags1">C_NMAH_supplement!$C$48</definedName>
    <definedName name="F_C_coltags2">C_NMAH_supplement!$D$48</definedName>
    <definedName name="F_C_coltags3">C_NMAH_supplement!$E$48:$F$48</definedName>
    <definedName name="F_C_colvars">C_NMAH_supplement!$A$48</definedName>
    <definedName name="F_C_datacols">C_NMAH_supplement!$C$49:$F$49</definedName>
    <definedName name="F_C_rowtags">C_NMAH_supplement!$N$8:$O$46</definedName>
    <definedName name="F_C_rowvars">C_NMAH_supplement!$N$7:$O$7</definedName>
    <definedName name="F_coltags1">Comparison_2!$D$59</definedName>
    <definedName name="F_coltags2">Comparison_2!$E$59</definedName>
    <definedName name="F_coltags3">Comparison_2!$F$59</definedName>
    <definedName name="F_coltags4L">Comparison_2!$G$59</definedName>
    <definedName name="F_colvars">Comparison_2!$C$59</definedName>
    <definedName name="F_D_coltags">D_Overseas!$B$11:$G$11</definedName>
    <definedName name="F_D_colvars">D_Overseas!$A$11</definedName>
    <definedName name="F_D_datacols">D_Overseas!$B$12:$G$12</definedName>
    <definedName name="F_D_rowtags">D_Overseas!$Q$7:$Q$9</definedName>
    <definedName name="F_D_rowvars">D_Overseas!$Q$6</definedName>
    <definedName name="F_datacols1">Comparison_2!$D$60</definedName>
    <definedName name="F_datacols2">Comparison_2!$E$60</definedName>
    <definedName name="F_datacols3">Comparison_2!$F$60</definedName>
    <definedName name="F_datacols4L">Comparison_2!$G$60</definedName>
    <definedName name="F_E_datacols">E_Other_high_cost_TAs!$E$144:$H$144</definedName>
    <definedName name="F_E_rowtags">E_Other_high_cost_TAs!$R$7:$U$142</definedName>
    <definedName name="F_E_rowvars">E_Other_high_cost_TAs!$R$6:$U$6</definedName>
    <definedName name="F_F_datacols">F_Student_access_and_success!$B$81</definedName>
    <definedName name="F_F_rowtags1">F_Student_access_and_success!$G$9:$G$16</definedName>
    <definedName name="F_F_rowtags2">F_Student_access_and_success!$G$20:$G$27</definedName>
    <definedName name="F_F_rowtags3">F_Student_access_and_success!$G$31:$G$38</definedName>
    <definedName name="F_F_rowtags4">F_Student_access_and_success!$G$42:$G$49</definedName>
    <definedName name="F_F_rowtags5">F_Student_access_and_success!$G$53:$G$55</definedName>
    <definedName name="F_F_rowtags6">F_Student_access_and_success!$G$59:$G$60</definedName>
    <definedName name="F_F_rowtags7">F_Student_access_and_success!$G$64:$G$69</definedName>
    <definedName name="F_F_rowtags8">F_Student_access_and_success!$G$71</definedName>
    <definedName name="F_F_rowtags9">F_Student_access_and_success!$G$75:$G$78</definedName>
    <definedName name="F_F_rowvars">F_Student_access_and_success!$G$8</definedName>
    <definedName name="F_rowtags">Comparison_2!$W$49:$Y$56</definedName>
    <definedName name="F_rowvars">Comparison_2!$W$48:$Y$48</definedName>
    <definedName name="FEC">Information!$I$33</definedName>
    <definedName name="FTE_Table1_datacols">FTE_1_Full_time!$G$80</definedName>
    <definedName name="FTE_Table1_rowtags">FTE_1_Full_time!$O$8:$Q$78</definedName>
    <definedName name="FTE_Table1_rowvars">FTE_1_Full_time!$O$7:$Q$7</definedName>
    <definedName name="FTE_Table2_datacols">FTE_2_Sandwich!$F$15</definedName>
    <definedName name="FTE_Table2_rowtags">FTE_2_Sandwich!$N$8:$P$13</definedName>
    <definedName name="FTE_Table2_rowvars">FTE_2_Sandwich!$N$7:$P$7</definedName>
    <definedName name="FTE_Table3_datacols">FTE_3_Part_time!$G$80</definedName>
    <definedName name="FTE_Table3_rowtags">FTE_3_Part_time!$O$8:$Q$78</definedName>
    <definedName name="FTE_Table3_rowvars">FTE_3_Part_time!$O$7:$Q$7</definedName>
    <definedName name="FTE_Table6a_datacols">FTE_6a_Health_full_time!$G$89</definedName>
    <definedName name="FTE_Table6a_rowtags">FTE_6a_Health_full_time!$O$9:$Q$87</definedName>
    <definedName name="FTE_Table6a_rowvars">FTE_6a_Health_full_time!$O$8:$Q$8</definedName>
    <definedName name="FTE_Table6c_datacols">FTE_6c_Health_part_time!$G$89</definedName>
    <definedName name="FTE_Table6c_rowtags">FTE_6c_Health_part_time!$O$8:$Q$86</definedName>
    <definedName name="FTE_Table6c_rowvars">FTE_6c_Health_part_time!$O$7:$Q$7</definedName>
    <definedName name="FUNDING">Information!$O$33</definedName>
    <definedName name="G_coltags1">Comparison_2!$D$77:$E$77</definedName>
    <definedName name="G_coltags2">Comparison_2!$G$77:$H$77</definedName>
    <definedName name="G_coltags3">Comparison_2!$J$77:$K$77</definedName>
    <definedName name="G_coltags4L">Comparison_2!$M$77:$N$77</definedName>
    <definedName name="G_colvars">Comparison_2!$C$77</definedName>
    <definedName name="G_datacols1">Comparison_2!$D$78:$E$78</definedName>
    <definedName name="G_datacols2">Comparison_2!$G$78:$H$78</definedName>
    <definedName name="G_datacols3">Comparison_2!$J$78:$K$78</definedName>
    <definedName name="G_datacols4L">Comparison_2!$M$78:$N$78</definedName>
    <definedName name="G_rowtags">Comparison_2!$W$67:$Y$74</definedName>
    <definedName name="G_rowvars">Comparison_2!$W$66:$Y$66</definedName>
    <definedName name="H_coltags1">Comparison_3!$D$58:$E$58</definedName>
    <definedName name="H_coltags2">Comparison_3!$F$58:$G$58</definedName>
    <definedName name="H_coltags3">Comparison_3!$H$58:$I$58</definedName>
    <definedName name="H_coltags4L">Comparison_3!$J$58:$K$58</definedName>
    <definedName name="H_colvars">Comparison_3!$C$58</definedName>
    <definedName name="H_datacols1">Comparison_3!$D$59:$E$59</definedName>
    <definedName name="H_datacols2">Comparison_3!$F$59:$G$59</definedName>
    <definedName name="H_datacols3">Comparison_3!$H$59:$I$59</definedName>
    <definedName name="H_datacols4L">Comparison_3!$J$59:$K$59</definedName>
    <definedName name="H_rowtags">Comparison_3!$S$17:$T$53</definedName>
    <definedName name="H_rowvars">Comparison_3!$S$16:$T$16</definedName>
    <definedName name="I_coltags1">Comparison_3!$D$107:$E$107</definedName>
    <definedName name="I_coltags2">Comparison_3!$F$107:$G$107</definedName>
    <definedName name="I_coltags3">Comparison_3!$H$107:$I$107</definedName>
    <definedName name="I_coltags4L">Comparison_3!$J$107:$K$107</definedName>
    <definedName name="I_colvars">Comparison_3!$C$107</definedName>
    <definedName name="I_datacols1">Comparison_3!$D$108:$E$108</definedName>
    <definedName name="I_datacols2">Comparison_3!$F$108:$G$108</definedName>
    <definedName name="I_datacols3">Comparison_3!$H$108:$I$108</definedName>
    <definedName name="I_datacols4L">Comparison_3!$J$108:$K$108</definedName>
    <definedName name="I_rowtags">Comparison_3!$S$66:$T$102</definedName>
    <definedName name="I_rowvars">Comparison_3!$S$65:$T$65</definedName>
    <definedName name="IND_DATA2223">Information!$K$33</definedName>
    <definedName name="IND_DATA2324">Information!$M$33</definedName>
    <definedName name="InformationHideRows">Information!$H$20:$H$20</definedName>
    <definedName name="InformationHideRows2">Information!$H$21</definedName>
    <definedName name="MF_DEADLINE">Information!$I$37</definedName>
    <definedName name="NOTES">Information!$I$38</definedName>
    <definedName name="_xlnm.Print_Area" localSheetId="8">'1_Full_time'!$A$1:$P$114</definedName>
    <definedName name="_xlnm.Print_Area" localSheetId="10">'2_Sandwich'!$A$1:$O$26</definedName>
    <definedName name="_xlnm.Print_Area" localSheetId="12">'3_Part_time'!$A$1:$P$114</definedName>
    <definedName name="_xlnm.Print_Area" localSheetId="14">'4_Year_abroad'!$A$1:$J$25</definedName>
    <definedName name="_xlnm.Print_Area" localSheetId="16">'5_Planning'!$A$1:$Y$68</definedName>
    <definedName name="_xlnm.Print_Area" localSheetId="18">'6a_Health_full_time'!$A$1:$N$114</definedName>
    <definedName name="_xlnm.Print_Area" localSheetId="20">'6c_Health_part_time'!$A$1:$M$114</definedName>
    <definedName name="_xlnm.Print_Area" localSheetId="43">B_High_cost!$A$1:$O$77</definedName>
    <definedName name="_xlnm.Print_Area" localSheetId="44">C_NMAH_supplement!$A$1:$M$46</definedName>
    <definedName name="_xlnm.Print_Area" localSheetId="22">Comparison_1!$A$1:$P$55</definedName>
    <definedName name="_xlnm.Print_Area" localSheetId="23">Comparison_2!$A$1:$U$76</definedName>
    <definedName name="_xlnm.Print_Area" localSheetId="24">Comparison_3!$A$1:$O$105</definedName>
    <definedName name="_xlnm.Print_Area" localSheetId="5">Courses!$A$1:$AS$46</definedName>
    <definedName name="_xlnm.Print_Area" localSheetId="45">D_Overseas!$A$1:$O$4</definedName>
    <definedName name="_xlnm.Print_Area" localSheetId="46">E_Other_high_cost_TAs!$A$1:$Z$142</definedName>
    <definedName name="_xlnm.Print_Area" localSheetId="47">F_Student_access_and_success!$A$1:$F$80</definedName>
    <definedName name="_xlnm.Print_Area" localSheetId="27">FTE_1_Full_time!$A$1:$J$78</definedName>
    <definedName name="_xlnm.Print_Area" localSheetId="30">FTE_2_Sandwich!$A$1:$I$13</definedName>
    <definedName name="_xlnm.Print_Area" localSheetId="33">FTE_3_Part_time!$A$1:$J$78</definedName>
    <definedName name="_xlnm.Print_Area" localSheetId="36">FTE_6a_Health_full_time!$A$1:$J$87</definedName>
    <definedName name="_xlnm.Print_Area" localSheetId="39">FTE_6c_Health_part_time!$A$1:$M$86</definedName>
    <definedName name="_xlnm.Print_Area" localSheetId="48">H_Parameters!$A$1:$F$50</definedName>
    <definedName name="_xlnm.Print_Area" localSheetId="0">Information!$A$1:$F$41</definedName>
    <definedName name="_xlnm.Print_Area" localSheetId="25">Other_comparisons!$A$1:$V$36</definedName>
    <definedName name="_xlnm.Print_Area" localSheetId="1">Validation!$A$1:$L$83</definedName>
    <definedName name="PROVIDER">Information!$I$32</definedName>
    <definedName name="PROVTYPE">Information!$S$34</definedName>
    <definedName name="Table1_app_datacols1">FTE_1_Full_time!$H$80</definedName>
    <definedName name="Table1_app_datacols2">FTE_1_Full_time!$J$80</definedName>
    <definedName name="Table1_coltags12">'1_Full_time'!$M$98:$O$98</definedName>
    <definedName name="Table1_coltags1a">'1_Full_time'!$D$98:$F$98</definedName>
    <definedName name="Table1_coltags1b">'1_Full_time'!$G$98:$I$98</definedName>
    <definedName name="Table1_coltags2">'1_Full_time'!$J$98:$L$98</definedName>
    <definedName name="Table1_colvars">'1_Full_time'!$C$98</definedName>
    <definedName name="Table1_datacols">'1_Full_time'!$D$99:$F$99</definedName>
    <definedName name="Table1_hidecols">'1_Full_time'!$D$100:$P$100</definedName>
    <definedName name="Table1_hideFEC1">'1_Full_time'!$D$100</definedName>
    <definedName name="Table1_hideFEC2">'1_Full_time'!$E$100</definedName>
    <definedName name="Table1_hideFEC3">'1_Full_time'!$F$100</definedName>
    <definedName name="Table1_hideOTH1">'1_Full_time'!$G$100</definedName>
    <definedName name="Table1_hideOTH2">'1_Full_time'!$H$100</definedName>
    <definedName name="Table1_hideOTH3">'1_Full_time'!$I$100</definedName>
    <definedName name="Table1_hiderows1">'1_Full_time'!$Q$100</definedName>
    <definedName name="Table1_hiderows2">'1_Full_time'!$Q$110</definedName>
    <definedName name="Table1_hiderows3">'1_Full_time'!$Q$111</definedName>
    <definedName name="Table1_hiderows4">'1_Full_time'!$Q$113</definedName>
    <definedName name="Table1_MF_datacols">'Table 1 MF'!$D$63:$E$63</definedName>
    <definedName name="Table1_MF_rowtags">'Table 1 MF'!$G$2:$I$61</definedName>
    <definedName name="Table1_MF_Rowvars">'Table 1 MF'!$G$1:$I$1</definedName>
    <definedName name="Table1_panel_datacols">FTE_1_Full_time!$K$80:$M$80</definedName>
    <definedName name="Table1_Print_Area">'1_Full_time'!$A$2:$O$96</definedName>
    <definedName name="Table1_rowtags">'1_Full_time'!$Q$12:$S$96</definedName>
    <definedName name="Table1_rowvars">'1_Full_time'!$Q$11:$S$11</definedName>
    <definedName name="Table2_app_datacols1">FTE_2_Sandwich!$G$15</definedName>
    <definedName name="Table2_app_datacols2">FTE_2_Sandwich!$I$15</definedName>
    <definedName name="Table2_coltags12">'2_Sandwich'!$L$18:$N$18</definedName>
    <definedName name="Table2_coltags1a">'2_Sandwich'!$C$18:$E$18</definedName>
    <definedName name="Table2_coltags1b">'2_Sandwich'!$F$18:$H$18</definedName>
    <definedName name="Table2_coltags2">'2_Sandwich'!$I$18:$K$18</definedName>
    <definedName name="Table2_colvars">'2_Sandwich'!$B$18</definedName>
    <definedName name="Table2_datacols">'2_Sandwich'!$C$19:$E$19</definedName>
    <definedName name="Table2_hidecols">'2_Sandwich'!$C$20:$O$20</definedName>
    <definedName name="Table2_hideFEC1">'2_Sandwich'!$C$20</definedName>
    <definedName name="Table2_hideFEC2">'2_Sandwich'!$D$20</definedName>
    <definedName name="Table2_hideFEC3">'2_Sandwich'!$E$20</definedName>
    <definedName name="Table2_hideOTH1">'2_Sandwich'!$F$20</definedName>
    <definedName name="Table2_hideOTH2">'2_Sandwich'!$G$20</definedName>
    <definedName name="Table2_hideOTH3">'2_Sandwich'!$H$20</definedName>
    <definedName name="Table2_hiderows">'2_Sandwich'!$P$20</definedName>
    <definedName name="Table2_MF_datacols">'Table 2 MF'!$C$8:$D$8</definedName>
    <definedName name="Table2_MF_rowtags">'Table 2 MF'!$F$2:$H$6</definedName>
    <definedName name="Table2_MF_rowvars">'Table 2 MF'!$F$1:$H$1</definedName>
    <definedName name="Table2_panel_datacols">FTE_2_Sandwich!$J$15:$L$15</definedName>
    <definedName name="Table2_rowtags">'2_Sandwich'!$P$11:$R$16</definedName>
    <definedName name="Table2_rowvars">'2_Sandwich'!$P$10:$R$10</definedName>
    <definedName name="Table3_app_datacols1">FTE_3_Part_time!$H$80</definedName>
    <definedName name="Table3_app_datacols2">FTE_3_Part_time!$J$80</definedName>
    <definedName name="Table3_coltags12">'3_Part_time'!$M$98:$O$98</definedName>
    <definedName name="Table3_coltags1a">'3_Part_time'!$D$98:$F$98</definedName>
    <definedName name="Table3_coltags1b">'3_Part_time'!$G$98:$I$98</definedName>
    <definedName name="Table3_coltags2">'3_Part_time'!$J$98:$L$98</definedName>
    <definedName name="Table3_colvars">'3_Part_time'!$C$98</definedName>
    <definedName name="Table3_datacols">'3_Part_time'!$D$99:$F$99</definedName>
    <definedName name="Table3_hidecols">'3_Part_time'!$D$100:$I$100</definedName>
    <definedName name="Table3_hideFEC1">'3_Part_time'!$D$100</definedName>
    <definedName name="Table3_hideFEC2">'3_Part_time'!$E$100</definedName>
    <definedName name="Table3_hideFEC3">'3_Part_time'!$F$100</definedName>
    <definedName name="Table3_hideOTH1">'3_Part_time'!$G$100</definedName>
    <definedName name="Table3_hideOTH2">'3_Part_time'!$H$100</definedName>
    <definedName name="Table3_hideOTH3">'3_Part_time'!$I$100</definedName>
    <definedName name="Table3_hiderows1">'3_Part_time'!$Q$100</definedName>
    <definedName name="Table3_hiderows2">'3_Part_time'!$Q$110</definedName>
    <definedName name="Table3_hiderows3">'3_Part_time'!$Q$111</definedName>
    <definedName name="Table3_hiderows4">'3_Part_time'!$Q$113</definedName>
    <definedName name="Table3_MF_datacols">'Table 3 MF'!$D$63:$E$63</definedName>
    <definedName name="Table3_MF_rowtags">'Table 3 MF'!$G$2:$I$61</definedName>
    <definedName name="Table3_MF_rowvars">'Table 3 MF'!$G$1:$I$1</definedName>
    <definedName name="Table3_panel_datacols">FTE_3_Part_time!$K$80:$M$80</definedName>
    <definedName name="Table3_rowtags">'3_Part_time'!$Q$12:$S$96</definedName>
    <definedName name="Table3_rowvars">'3_Part_time'!$Q$11:$S$11</definedName>
    <definedName name="Table4_coltags1">'4_Year_abroad'!$B$15:$C$16</definedName>
    <definedName name="Table4_coltags2">'4_Year_abroad'!$D$15:$E$16</definedName>
    <definedName name="Table4_coltags3">'4_Year_abroad'!$F$15:$G$16</definedName>
    <definedName name="Table4_coltags4">'4_Year_abroad'!$H$15:$I$16</definedName>
    <definedName name="Table4_colvars">'4_Year_abroad'!$A$15:$A$16</definedName>
    <definedName name="Table4_datacols">'4_Year_abroad'!$B$17:$C$17</definedName>
    <definedName name="Table4_rowtags">'4_Year_abroad'!$K$11:$K$13</definedName>
    <definedName name="Table4_rowvars">'4_Year_abroad'!$K$10</definedName>
    <definedName name="Table5_coltags1a">'5_Planning'!$C$30:$G$30</definedName>
    <definedName name="Table5_coltags1b">'5_Planning'!$H$30:$L$30</definedName>
    <definedName name="Table5_coltags2">'5_Planning'!$M$30:$Q$30</definedName>
    <definedName name="Table5_coltags3">'5_Planning'!$R$30:$V$30</definedName>
    <definedName name="Table5_coltags4">'5_Planning'!$W$30:$X$30</definedName>
    <definedName name="Table5_colvars">'5_Planning'!$B$30</definedName>
    <definedName name="Table5_datacols1">'5_Planning'!$C$31:$V$31</definedName>
    <definedName name="Table5_datacols2">'5_Planning'!$W$31:$X$31</definedName>
    <definedName name="Table5_hidecols">'5_Planning'!$C$32:$L$32</definedName>
    <definedName name="Table5_hideFEC1">'5_Planning'!$C$32</definedName>
    <definedName name="Table5_hideFEC2">'5_Planning'!$D$32</definedName>
    <definedName name="Table5_hideFEC3">'5_Planning'!$E$32</definedName>
    <definedName name="Table5_hideFEC4">'5_Planning'!$F$32</definedName>
    <definedName name="Table5_hideFEC5">'5_Planning'!$G$32</definedName>
    <definedName name="Table5_hideOTH1">'5_Planning'!$H$32</definedName>
    <definedName name="Table5_hideOTH2">'5_Planning'!$I$32</definedName>
    <definedName name="Table5_hideOTH3">'5_Planning'!$J$32</definedName>
    <definedName name="Table5_hideOTH4">'5_Planning'!$K$32</definedName>
    <definedName name="Table5_hideOTH5">'5_Planning'!$L$32</definedName>
    <definedName name="Table5_hiderows">'5_Planning'!$Z$32</definedName>
    <definedName name="Table5_rowtags">'5_Planning'!$Z$14:$AA$28</definedName>
    <definedName name="Table5_rowvars">'5_Planning'!$Z$13:$AA$13</definedName>
    <definedName name="Table6a_app_datacols1">FTE_6a_Health_full_time!$H$89</definedName>
    <definedName name="Table6a_app_datacols2">FTE_6a_Health_full_time!$J$89</definedName>
    <definedName name="Table6a_coltags1">'6a_Health_full_time'!$D$93:$F$93</definedName>
    <definedName name="Table6a_coltags12">'6a_Health_full_time'!$J$93:$L$93</definedName>
    <definedName name="Table6a_coltags2">'6a_Health_full_time'!$G$93:$I$93</definedName>
    <definedName name="Table6a_colvars">'6a_Health_full_time'!$C$93</definedName>
    <definedName name="Table6a_datacols">'6a_Health_full_time'!$D$94:$F$94</definedName>
    <definedName name="Table6a_MF_datacols">'Table 6a MF'!$D$77:$E$77</definedName>
    <definedName name="Table6a_MF_rowtags">'Table 6a MF'!$G$2:$I$75</definedName>
    <definedName name="Table6a_MF_rowvars">'Table 6a MF'!$G$1:$I$1</definedName>
    <definedName name="Table6a_panel_datacols">FTE_6a_Health_full_time!$K$89:$M$89</definedName>
    <definedName name="Table6a_rowtags">'6a_Health_full_time'!$N$13:$P$91</definedName>
    <definedName name="Table6a_rowvars">'6a_Health_full_time'!$N$12:$P$12</definedName>
    <definedName name="Table6c_app_datacols1">FTE_6c_Health_part_time!$H$89</definedName>
    <definedName name="Table6c_app_datacols2">FTE_6c_Health_part_time!$J$89</definedName>
    <definedName name="Table6c_coltags1">'6c_Health_part_time'!$D$93:$F$93</definedName>
    <definedName name="Table6c_coltags12">'6c_Health_part_time'!$J$93:$L$93</definedName>
    <definedName name="Table6c_coltags2">'6c_Health_part_time'!$G$93:$I$93</definedName>
    <definedName name="Table6c_colvars">'6c_Health_part_time'!$C$93</definedName>
    <definedName name="Table6c_datacols">'6c_Health_part_time'!$D$94:$F$94</definedName>
    <definedName name="Table6c_MF_datacols">'Table 6c MF'!$D$77:$E$77</definedName>
    <definedName name="Table6c_MF_rowtags">'Table 6c MF'!$G$2:$I$75</definedName>
    <definedName name="Table6c_MF_rowvars">'Table 6c MF'!$G$1:$I$1</definedName>
    <definedName name="Table6c_panel_datacols">FTE_6c_Health_part_time!$K$89:$M$89</definedName>
    <definedName name="Table6c_rowtags">'6c_Health_part_time'!$N$13:$P$91</definedName>
    <definedName name="Table6c_rowvars">'6c_Health_part_time'!$N$12:$P$12</definedName>
    <definedName name="TEMPVER">Information!$J$39</definedName>
    <definedName name="UKPRN">Information!$I$31</definedName>
    <definedName name="v" hidden="1">"'968c3ca0-42b2-4048-b2cc-e44349301139'"</definedName>
    <definedName name="ValidationCodes">ValidationCodes!$A$4:$B$61</definedName>
    <definedName name="Validdatacols">Validation!$A$7:$H$7</definedName>
    <definedName name="ValidHideSheet">Validation!$K$1</definedName>
    <definedName name="VERNUM">Information!$I$39</definedName>
    <definedName name="VERSION">Information!$I$35</definedName>
    <definedName name="YEAR">Information!$I$30</definedName>
    <definedName name="Z_coltags1">Other_comparisons!$C$35:$D$35</definedName>
    <definedName name="Z_coltags2">Other_comparisons!$H$35:$I$35</definedName>
    <definedName name="Z_coltags3">Other_comparisons!$M$35:$N$35</definedName>
    <definedName name="Z_colvars">Other_comparisons!$B$35</definedName>
    <definedName name="Z_datacols1">Other_comparisons!$C$36:$D$36</definedName>
    <definedName name="Z_datacols2">Other_comparisons!$H$36:$I$36</definedName>
    <definedName name="Z_datacols3">Other_comparisons!$M$36:$N$36</definedName>
    <definedName name="Z_rowtags1">Other_comparisons!$X$13:$Y$18</definedName>
    <definedName name="Z_rowtags2">Other_comparisons!$X$20:$Y$25</definedName>
    <definedName name="Z_rowvars">Other_comparisons!$X$12:$Y$12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142" l="1"/>
  <c r="A12" i="142"/>
  <c r="A36" i="142"/>
  <c r="F8" i="196"/>
  <c r="E8" i="195"/>
  <c r="I61" i="142"/>
  <c r="J61" i="142" s="1"/>
  <c r="H86" i="235" l="1"/>
  <c r="G86" i="235"/>
  <c r="E86" i="235"/>
  <c r="H85" i="235"/>
  <c r="G85" i="235"/>
  <c r="E85" i="235"/>
  <c r="H84" i="235"/>
  <c r="G84" i="235"/>
  <c r="E84" i="235"/>
  <c r="H83" i="235"/>
  <c r="G83" i="235"/>
  <c r="E83" i="235"/>
  <c r="H82" i="235"/>
  <c r="G82" i="235"/>
  <c r="E82" i="235"/>
  <c r="H81" i="235"/>
  <c r="G81" i="235"/>
  <c r="E81" i="235"/>
  <c r="H80" i="235"/>
  <c r="G80" i="235"/>
  <c r="E80" i="235"/>
  <c r="H79" i="235"/>
  <c r="G79" i="235"/>
  <c r="E79" i="235"/>
  <c r="H78" i="235"/>
  <c r="G78" i="235"/>
  <c r="E78" i="235"/>
  <c r="H77" i="235"/>
  <c r="G77" i="235"/>
  <c r="E77" i="235"/>
  <c r="H76" i="235"/>
  <c r="G76" i="235"/>
  <c r="E76" i="235"/>
  <c r="H75" i="235"/>
  <c r="G75" i="235"/>
  <c r="E75" i="235"/>
  <c r="H74" i="235"/>
  <c r="G74" i="235"/>
  <c r="E74" i="235"/>
  <c r="H73" i="235"/>
  <c r="G73" i="235"/>
  <c r="E73" i="235"/>
  <c r="H72" i="235"/>
  <c r="G72" i="235"/>
  <c r="E72" i="235"/>
  <c r="H71" i="235"/>
  <c r="G71" i="235"/>
  <c r="E71" i="235"/>
  <c r="H70" i="235"/>
  <c r="G70" i="235"/>
  <c r="E70" i="235"/>
  <c r="H69" i="235"/>
  <c r="G69" i="235"/>
  <c r="E69" i="235"/>
  <c r="H68" i="235"/>
  <c r="G68" i="235"/>
  <c r="E68" i="235"/>
  <c r="H67" i="235"/>
  <c r="G67" i="235"/>
  <c r="E67" i="235"/>
  <c r="H66" i="235"/>
  <c r="G66" i="235"/>
  <c r="E66" i="235"/>
  <c r="H65" i="235"/>
  <c r="G65" i="235"/>
  <c r="E65" i="235"/>
  <c r="H64" i="235"/>
  <c r="G64" i="235"/>
  <c r="E64" i="235"/>
  <c r="H63" i="235"/>
  <c r="G63" i="235"/>
  <c r="E63" i="235"/>
  <c r="H62" i="235"/>
  <c r="G62" i="235"/>
  <c r="E62" i="235"/>
  <c r="H61" i="235"/>
  <c r="G61" i="235"/>
  <c r="E61" i="235"/>
  <c r="H60" i="235"/>
  <c r="G60" i="235"/>
  <c r="E60" i="235"/>
  <c r="H59" i="235"/>
  <c r="G59" i="235"/>
  <c r="E59" i="235"/>
  <c r="H58" i="235"/>
  <c r="G58" i="235"/>
  <c r="E58" i="235"/>
  <c r="H57" i="235"/>
  <c r="G57" i="235"/>
  <c r="E57" i="235"/>
  <c r="H56" i="235"/>
  <c r="G56" i="235"/>
  <c r="E56" i="235"/>
  <c r="H55" i="235"/>
  <c r="G55" i="235"/>
  <c r="E55" i="235"/>
  <c r="H54" i="235"/>
  <c r="G54" i="235"/>
  <c r="E54" i="235"/>
  <c r="H53" i="235"/>
  <c r="G53" i="235"/>
  <c r="E53" i="235"/>
  <c r="H52" i="235"/>
  <c r="G52" i="235"/>
  <c r="E52" i="235"/>
  <c r="H51" i="235"/>
  <c r="G51" i="235"/>
  <c r="E51" i="235"/>
  <c r="H50" i="235"/>
  <c r="G50" i="235"/>
  <c r="E50" i="235"/>
  <c r="H49" i="235"/>
  <c r="G49" i="235"/>
  <c r="E49" i="235"/>
  <c r="H48" i="235"/>
  <c r="G48" i="235"/>
  <c r="E48" i="235"/>
  <c r="H47" i="235"/>
  <c r="G47" i="235"/>
  <c r="E47" i="235"/>
  <c r="H46" i="235"/>
  <c r="G46" i="235"/>
  <c r="E46" i="235"/>
  <c r="H45" i="235"/>
  <c r="G45" i="235"/>
  <c r="E45" i="235"/>
  <c r="H44" i="235"/>
  <c r="G44" i="235"/>
  <c r="E44" i="235"/>
  <c r="H43" i="235"/>
  <c r="G43" i="235"/>
  <c r="E43" i="235"/>
  <c r="H42" i="235"/>
  <c r="G42" i="235"/>
  <c r="E42" i="235"/>
  <c r="H41" i="235"/>
  <c r="G41" i="235"/>
  <c r="E41" i="235"/>
  <c r="H40" i="235"/>
  <c r="G40" i="235"/>
  <c r="E40" i="235"/>
  <c r="H39" i="235"/>
  <c r="G39" i="235"/>
  <c r="E39" i="235"/>
  <c r="H38" i="235"/>
  <c r="G38" i="235"/>
  <c r="E38" i="235"/>
  <c r="H37" i="235"/>
  <c r="G37" i="235"/>
  <c r="E37" i="235"/>
  <c r="H36" i="235"/>
  <c r="G36" i="235"/>
  <c r="E36" i="235"/>
  <c r="H35" i="235"/>
  <c r="G35" i="235"/>
  <c r="E35" i="235"/>
  <c r="H34" i="235"/>
  <c r="G34" i="235"/>
  <c r="E34" i="235"/>
  <c r="H33" i="235"/>
  <c r="G33" i="235"/>
  <c r="E33" i="235"/>
  <c r="H32" i="235"/>
  <c r="G32" i="235"/>
  <c r="E32" i="235"/>
  <c r="H31" i="235"/>
  <c r="G31" i="235"/>
  <c r="E31" i="235"/>
  <c r="H30" i="235"/>
  <c r="G30" i="235"/>
  <c r="E30" i="235"/>
  <c r="H29" i="235"/>
  <c r="G29" i="235"/>
  <c r="E29" i="235"/>
  <c r="H28" i="235"/>
  <c r="G28" i="235"/>
  <c r="E28" i="235"/>
  <c r="H27" i="235"/>
  <c r="G27" i="235"/>
  <c r="E27" i="235"/>
  <c r="H26" i="235"/>
  <c r="G26" i="235"/>
  <c r="E26" i="235"/>
  <c r="H25" i="235"/>
  <c r="G25" i="235"/>
  <c r="E25" i="235"/>
  <c r="H24" i="235"/>
  <c r="G24" i="235"/>
  <c r="E24" i="235"/>
  <c r="H23" i="235"/>
  <c r="G23" i="235"/>
  <c r="E23" i="235"/>
  <c r="H22" i="235"/>
  <c r="G22" i="235"/>
  <c r="E22" i="235"/>
  <c r="H21" i="235"/>
  <c r="G21" i="235"/>
  <c r="E21" i="235"/>
  <c r="I20" i="235"/>
  <c r="H20" i="235"/>
  <c r="H19" i="235"/>
  <c r="G19" i="235"/>
  <c r="E19" i="235"/>
  <c r="I18" i="235"/>
  <c r="H18" i="235"/>
  <c r="H17" i="235"/>
  <c r="G17" i="235"/>
  <c r="E17" i="235"/>
  <c r="I16" i="235"/>
  <c r="H16" i="235"/>
  <c r="H15" i="235"/>
  <c r="G15" i="235"/>
  <c r="E15" i="235"/>
  <c r="I14" i="235"/>
  <c r="H14" i="235"/>
  <c r="H13" i="235"/>
  <c r="G13" i="235"/>
  <c r="E13" i="235"/>
  <c r="I82" i="198"/>
  <c r="I81" i="198"/>
  <c r="I80" i="198"/>
  <c r="I79" i="198"/>
  <c r="I78" i="198"/>
  <c r="I77" i="198"/>
  <c r="I76" i="198"/>
  <c r="I75" i="198"/>
  <c r="I74" i="198"/>
  <c r="I73" i="198"/>
  <c r="I72" i="198"/>
  <c r="I71" i="198"/>
  <c r="I70" i="198"/>
  <c r="I69" i="198"/>
  <c r="I68" i="198"/>
  <c r="I67" i="198"/>
  <c r="I66" i="198"/>
  <c r="I65" i="198"/>
  <c r="I64" i="198"/>
  <c r="I63" i="198"/>
  <c r="I62" i="198"/>
  <c r="I61" i="198"/>
  <c r="I60" i="198"/>
  <c r="I59" i="198"/>
  <c r="I58" i="198"/>
  <c r="I57" i="198"/>
  <c r="I56" i="198"/>
  <c r="I55" i="198"/>
  <c r="I54" i="198"/>
  <c r="I53" i="198"/>
  <c r="I52" i="198"/>
  <c r="I51" i="198"/>
  <c r="I50" i="198"/>
  <c r="I49" i="198"/>
  <c r="I48" i="198"/>
  <c r="I47" i="198"/>
  <c r="I46" i="198"/>
  <c r="I45" i="198"/>
  <c r="I44" i="198"/>
  <c r="I43" i="198"/>
  <c r="I42" i="198"/>
  <c r="I41" i="198"/>
  <c r="I40" i="198"/>
  <c r="I39" i="198"/>
  <c r="I38" i="198"/>
  <c r="I37" i="198"/>
  <c r="I36" i="198"/>
  <c r="I35" i="198"/>
  <c r="I34" i="198"/>
  <c r="I33" i="198"/>
  <c r="I32" i="198"/>
  <c r="I31" i="198"/>
  <c r="I30" i="198"/>
  <c r="I29" i="198"/>
  <c r="I28" i="198"/>
  <c r="I27" i="198"/>
  <c r="I26" i="198"/>
  <c r="I25" i="198"/>
  <c r="I24" i="198"/>
  <c r="I23" i="198"/>
  <c r="I22" i="198"/>
  <c r="I21" i="198"/>
  <c r="I20" i="198"/>
  <c r="I19" i="198"/>
  <c r="I18" i="198"/>
  <c r="I17" i="198"/>
  <c r="I15" i="198"/>
  <c r="I13" i="198"/>
  <c r="I11" i="198"/>
  <c r="I9" i="198"/>
  <c r="F8" i="198"/>
  <c r="D8" i="198"/>
  <c r="N18" i="235" l="1"/>
  <c r="N16" i="235"/>
  <c r="L20" i="235"/>
  <c r="N14" i="235"/>
  <c r="H89" i="235"/>
  <c r="A99" i="198" s="1"/>
  <c r="L18" i="235"/>
  <c r="L14" i="235"/>
  <c r="B89" i="235"/>
  <c r="N20" i="235"/>
  <c r="E89" i="235"/>
  <c r="A93" i="198" s="1"/>
  <c r="L16" i="235"/>
  <c r="G89" i="235"/>
  <c r="A97" i="198" s="1"/>
  <c r="I14" i="233"/>
  <c r="I16" i="233"/>
  <c r="I18" i="233"/>
  <c r="I20" i="233"/>
  <c r="H14" i="233"/>
  <c r="H15" i="233"/>
  <c r="H16" i="233"/>
  <c r="H17" i="233"/>
  <c r="H18" i="233"/>
  <c r="H19" i="233"/>
  <c r="H20" i="233"/>
  <c r="H21" i="233"/>
  <c r="H22" i="233"/>
  <c r="H23" i="233"/>
  <c r="H24" i="233"/>
  <c r="H25" i="233"/>
  <c r="H26" i="233"/>
  <c r="H27" i="233"/>
  <c r="H28" i="233"/>
  <c r="H29" i="233"/>
  <c r="H30" i="233"/>
  <c r="H31" i="233"/>
  <c r="H32" i="233"/>
  <c r="H33" i="233"/>
  <c r="H34" i="233"/>
  <c r="H35" i="233"/>
  <c r="H36" i="233"/>
  <c r="H37" i="233"/>
  <c r="H38" i="233"/>
  <c r="H39" i="233"/>
  <c r="H40" i="233"/>
  <c r="H41" i="233"/>
  <c r="H42" i="233"/>
  <c r="H43" i="233"/>
  <c r="H44" i="233"/>
  <c r="H45" i="233"/>
  <c r="H46" i="233"/>
  <c r="H47" i="233"/>
  <c r="H48" i="233"/>
  <c r="H49" i="233"/>
  <c r="H50" i="233"/>
  <c r="H51" i="233"/>
  <c r="H52" i="233"/>
  <c r="H53" i="233"/>
  <c r="H54" i="233"/>
  <c r="H55" i="233"/>
  <c r="H56" i="233"/>
  <c r="H57" i="233"/>
  <c r="H58" i="233"/>
  <c r="H59" i="233"/>
  <c r="H60" i="233"/>
  <c r="H61" i="233"/>
  <c r="H62" i="233"/>
  <c r="H63" i="233"/>
  <c r="H64" i="233"/>
  <c r="H65" i="233"/>
  <c r="H66" i="233"/>
  <c r="H67" i="233"/>
  <c r="H68" i="233"/>
  <c r="H69" i="233"/>
  <c r="H70" i="233"/>
  <c r="H71" i="233"/>
  <c r="H72" i="233"/>
  <c r="H73" i="233"/>
  <c r="H74" i="233"/>
  <c r="H75" i="233"/>
  <c r="H76" i="233"/>
  <c r="H77" i="233"/>
  <c r="H78" i="233"/>
  <c r="H79" i="233"/>
  <c r="H80" i="233"/>
  <c r="H81" i="233"/>
  <c r="H82" i="233"/>
  <c r="H83" i="233"/>
  <c r="H84" i="233"/>
  <c r="H85" i="233"/>
  <c r="H86" i="233"/>
  <c r="H13" i="233"/>
  <c r="G15" i="233"/>
  <c r="G17" i="233"/>
  <c r="G19" i="233"/>
  <c r="G21" i="233"/>
  <c r="G22" i="233"/>
  <c r="G23" i="233"/>
  <c r="G24" i="233"/>
  <c r="G25" i="233"/>
  <c r="G26" i="233"/>
  <c r="G27" i="233"/>
  <c r="G28" i="233"/>
  <c r="G29" i="233"/>
  <c r="G30" i="233"/>
  <c r="G31" i="233"/>
  <c r="G32" i="233"/>
  <c r="G33" i="233"/>
  <c r="G34" i="233"/>
  <c r="G35" i="233"/>
  <c r="G36" i="233"/>
  <c r="G37" i="233"/>
  <c r="G38" i="233"/>
  <c r="G39" i="233"/>
  <c r="G40" i="233"/>
  <c r="G41" i="233"/>
  <c r="G42" i="233"/>
  <c r="G43" i="233"/>
  <c r="G44" i="233"/>
  <c r="G45" i="233"/>
  <c r="G46" i="233"/>
  <c r="G47" i="233"/>
  <c r="G48" i="233"/>
  <c r="G49" i="233"/>
  <c r="G50" i="233"/>
  <c r="G51" i="233"/>
  <c r="G52" i="233"/>
  <c r="G53" i="233"/>
  <c r="G54" i="233"/>
  <c r="G55" i="233"/>
  <c r="G56" i="233"/>
  <c r="G57" i="233"/>
  <c r="G58" i="233"/>
  <c r="G59" i="233"/>
  <c r="G60" i="233"/>
  <c r="G61" i="233"/>
  <c r="G62" i="233"/>
  <c r="G63" i="233"/>
  <c r="G64" i="233"/>
  <c r="G65" i="233"/>
  <c r="G66" i="233"/>
  <c r="G67" i="233"/>
  <c r="G68" i="233"/>
  <c r="G69" i="233"/>
  <c r="G70" i="233"/>
  <c r="G71" i="233"/>
  <c r="G72" i="233"/>
  <c r="G73" i="233"/>
  <c r="G74" i="233"/>
  <c r="G75" i="233"/>
  <c r="G76" i="233"/>
  <c r="G77" i="233"/>
  <c r="G78" i="233"/>
  <c r="G79" i="233"/>
  <c r="G80" i="233"/>
  <c r="G81" i="233"/>
  <c r="G82" i="233"/>
  <c r="G83" i="233"/>
  <c r="G84" i="233"/>
  <c r="G85" i="233"/>
  <c r="G86" i="233"/>
  <c r="G13" i="233"/>
  <c r="E15" i="233"/>
  <c r="E17" i="233"/>
  <c r="E19" i="233"/>
  <c r="E21" i="233"/>
  <c r="E22" i="233"/>
  <c r="E23" i="233"/>
  <c r="E24" i="233"/>
  <c r="E25" i="233"/>
  <c r="E26" i="233"/>
  <c r="E27" i="233"/>
  <c r="E28" i="233"/>
  <c r="E29" i="233"/>
  <c r="E30" i="233"/>
  <c r="E31" i="233"/>
  <c r="E32" i="233"/>
  <c r="E33" i="233"/>
  <c r="E34" i="233"/>
  <c r="E35" i="233"/>
  <c r="E36" i="233"/>
  <c r="E37" i="233"/>
  <c r="E38" i="233"/>
  <c r="E39" i="233"/>
  <c r="E40" i="233"/>
  <c r="E41" i="233"/>
  <c r="E42" i="233"/>
  <c r="E43" i="233"/>
  <c r="E44" i="233"/>
  <c r="E45" i="233"/>
  <c r="E46" i="233"/>
  <c r="E47" i="233"/>
  <c r="E48" i="233"/>
  <c r="E49" i="233"/>
  <c r="E50" i="233"/>
  <c r="E51" i="233"/>
  <c r="E52" i="233"/>
  <c r="E53" i="233"/>
  <c r="E54" i="233"/>
  <c r="E55" i="233"/>
  <c r="E56" i="233"/>
  <c r="E57" i="233"/>
  <c r="E58" i="233"/>
  <c r="E59" i="233"/>
  <c r="E60" i="233"/>
  <c r="E61" i="233"/>
  <c r="E62" i="233"/>
  <c r="E63" i="233"/>
  <c r="E64" i="233"/>
  <c r="E65" i="233"/>
  <c r="E66" i="233"/>
  <c r="E67" i="233"/>
  <c r="E68" i="233"/>
  <c r="E69" i="233"/>
  <c r="E70" i="233"/>
  <c r="E71" i="233"/>
  <c r="E72" i="233"/>
  <c r="E73" i="233"/>
  <c r="E74" i="233"/>
  <c r="E75" i="233"/>
  <c r="E76" i="233"/>
  <c r="E77" i="233"/>
  <c r="E78" i="233"/>
  <c r="E79" i="233"/>
  <c r="E80" i="233"/>
  <c r="E81" i="233"/>
  <c r="E82" i="233"/>
  <c r="E83" i="233"/>
  <c r="E84" i="233"/>
  <c r="E85" i="233"/>
  <c r="E86" i="233"/>
  <c r="E13" i="233"/>
  <c r="I11" i="197"/>
  <c r="I13" i="197"/>
  <c r="I15" i="197"/>
  <c r="I17" i="197"/>
  <c r="I18" i="197"/>
  <c r="I19" i="197"/>
  <c r="I20" i="197"/>
  <c r="I21" i="197"/>
  <c r="I22" i="197"/>
  <c r="I23" i="197"/>
  <c r="I24" i="197"/>
  <c r="I25" i="197"/>
  <c r="I26" i="197"/>
  <c r="I27" i="197"/>
  <c r="I28" i="197"/>
  <c r="I29" i="197"/>
  <c r="I30" i="197"/>
  <c r="I31" i="197"/>
  <c r="I32" i="197"/>
  <c r="I33" i="197"/>
  <c r="I34" i="197"/>
  <c r="I35" i="197"/>
  <c r="I36" i="197"/>
  <c r="I37" i="197"/>
  <c r="I38" i="197"/>
  <c r="I39" i="197"/>
  <c r="I40" i="197"/>
  <c r="I41" i="197"/>
  <c r="I42" i="197"/>
  <c r="I43" i="197"/>
  <c r="I44" i="197"/>
  <c r="I45" i="197"/>
  <c r="I46" i="197"/>
  <c r="I47" i="197"/>
  <c r="I48" i="197"/>
  <c r="I49" i="197"/>
  <c r="I50" i="197"/>
  <c r="I51" i="197"/>
  <c r="I52" i="197"/>
  <c r="I53" i="197"/>
  <c r="I54" i="197"/>
  <c r="I55" i="197"/>
  <c r="I56" i="197"/>
  <c r="I57" i="197"/>
  <c r="I58" i="197"/>
  <c r="I59" i="197"/>
  <c r="I60" i="197"/>
  <c r="I61" i="197"/>
  <c r="I62" i="197"/>
  <c r="I63" i="197"/>
  <c r="I64" i="197"/>
  <c r="I65" i="197"/>
  <c r="I66" i="197"/>
  <c r="I67" i="197"/>
  <c r="I68" i="197"/>
  <c r="I69" i="197"/>
  <c r="I70" i="197"/>
  <c r="I71" i="197"/>
  <c r="I72" i="197"/>
  <c r="I73" i="197"/>
  <c r="I74" i="197"/>
  <c r="I75" i="197"/>
  <c r="I76" i="197"/>
  <c r="I77" i="197"/>
  <c r="I78" i="197"/>
  <c r="I79" i="197"/>
  <c r="I80" i="197"/>
  <c r="I81" i="197"/>
  <c r="I82" i="197"/>
  <c r="I9" i="197"/>
  <c r="F8" i="197"/>
  <c r="D8" i="197"/>
  <c r="G8" i="196"/>
  <c r="H72" i="231"/>
  <c r="G72" i="231"/>
  <c r="E72" i="231"/>
  <c r="H71" i="231"/>
  <c r="G71" i="231"/>
  <c r="E71" i="231"/>
  <c r="H70" i="231"/>
  <c r="G70" i="231"/>
  <c r="E70" i="231"/>
  <c r="H69" i="231"/>
  <c r="G69" i="231"/>
  <c r="E69" i="231"/>
  <c r="H68" i="231"/>
  <c r="G68" i="231"/>
  <c r="E68" i="231"/>
  <c r="H67" i="231"/>
  <c r="G67" i="231"/>
  <c r="E67" i="231"/>
  <c r="H66" i="231"/>
  <c r="G66" i="231"/>
  <c r="E66" i="231"/>
  <c r="H65" i="231"/>
  <c r="G65" i="231"/>
  <c r="E65" i="231"/>
  <c r="H64" i="231"/>
  <c r="G64" i="231"/>
  <c r="E64" i="231"/>
  <c r="H63" i="231"/>
  <c r="G63" i="231"/>
  <c r="E63" i="231"/>
  <c r="H62" i="231"/>
  <c r="G62" i="231"/>
  <c r="E62" i="231"/>
  <c r="H61" i="231"/>
  <c r="G61" i="231"/>
  <c r="E61" i="231"/>
  <c r="H60" i="231"/>
  <c r="G60" i="231"/>
  <c r="E60" i="231"/>
  <c r="H59" i="231"/>
  <c r="G59" i="231"/>
  <c r="E59" i="231"/>
  <c r="H58" i="231"/>
  <c r="G58" i="231"/>
  <c r="E58" i="231"/>
  <c r="H57" i="231"/>
  <c r="G57" i="231"/>
  <c r="E57" i="231"/>
  <c r="H56" i="231"/>
  <c r="G56" i="231"/>
  <c r="E56" i="231"/>
  <c r="H55" i="231"/>
  <c r="G55" i="231"/>
  <c r="E55" i="231"/>
  <c r="H54" i="231"/>
  <c r="G54" i="231"/>
  <c r="E54" i="231"/>
  <c r="H53" i="231"/>
  <c r="G53" i="231"/>
  <c r="E53" i="231"/>
  <c r="H52" i="231"/>
  <c r="G52" i="231"/>
  <c r="E52" i="231"/>
  <c r="H51" i="231"/>
  <c r="G51" i="231"/>
  <c r="E51" i="231"/>
  <c r="H50" i="231"/>
  <c r="G50" i="231"/>
  <c r="E50" i="231"/>
  <c r="H49" i="231"/>
  <c r="G49" i="231"/>
  <c r="E49" i="231"/>
  <c r="H48" i="231"/>
  <c r="G48" i="231"/>
  <c r="E48" i="231"/>
  <c r="H47" i="231"/>
  <c r="G47" i="231"/>
  <c r="E47" i="231"/>
  <c r="H46" i="231"/>
  <c r="G46" i="231"/>
  <c r="E46" i="231"/>
  <c r="H45" i="231"/>
  <c r="G45" i="231"/>
  <c r="E45" i="231"/>
  <c r="H44" i="231"/>
  <c r="G44" i="231"/>
  <c r="E44" i="231"/>
  <c r="H43" i="231"/>
  <c r="G43" i="231"/>
  <c r="E43" i="231"/>
  <c r="H42" i="231"/>
  <c r="G42" i="231"/>
  <c r="E42" i="231"/>
  <c r="H41" i="231"/>
  <c r="G41" i="231"/>
  <c r="E41" i="231"/>
  <c r="H40" i="231"/>
  <c r="G40" i="231"/>
  <c r="E40" i="231"/>
  <c r="H39" i="231"/>
  <c r="G39" i="231"/>
  <c r="E39" i="231"/>
  <c r="H38" i="231"/>
  <c r="G38" i="231"/>
  <c r="E38" i="231"/>
  <c r="H37" i="231"/>
  <c r="G37" i="231"/>
  <c r="E37" i="231"/>
  <c r="H36" i="231"/>
  <c r="G36" i="231"/>
  <c r="E36" i="231"/>
  <c r="H35" i="231"/>
  <c r="G35" i="231"/>
  <c r="E35" i="231"/>
  <c r="H34" i="231"/>
  <c r="G34" i="231"/>
  <c r="E34" i="231"/>
  <c r="H33" i="231"/>
  <c r="G33" i="231"/>
  <c r="E33" i="231"/>
  <c r="H32" i="231"/>
  <c r="G32" i="231"/>
  <c r="E32" i="231"/>
  <c r="H31" i="231"/>
  <c r="G31" i="231"/>
  <c r="E31" i="231"/>
  <c r="H30" i="231"/>
  <c r="G30" i="231"/>
  <c r="E30" i="231"/>
  <c r="H29" i="231"/>
  <c r="G29" i="231"/>
  <c r="E29" i="231"/>
  <c r="H28" i="231"/>
  <c r="G28" i="231"/>
  <c r="E28" i="231"/>
  <c r="H27" i="231"/>
  <c r="G27" i="231"/>
  <c r="E27" i="231"/>
  <c r="H26" i="231"/>
  <c r="G26" i="231"/>
  <c r="E26" i="231"/>
  <c r="H25" i="231"/>
  <c r="G25" i="231"/>
  <c r="E25" i="231"/>
  <c r="H24" i="231"/>
  <c r="G24" i="231"/>
  <c r="E24" i="231"/>
  <c r="H23" i="231"/>
  <c r="G23" i="231"/>
  <c r="E23" i="231"/>
  <c r="H22" i="231"/>
  <c r="G22" i="231"/>
  <c r="E22" i="231"/>
  <c r="H21" i="231"/>
  <c r="G21" i="231"/>
  <c r="E21" i="231"/>
  <c r="H20" i="231"/>
  <c r="G20" i="231"/>
  <c r="E20" i="231"/>
  <c r="H19" i="231"/>
  <c r="G19" i="231"/>
  <c r="E19" i="231"/>
  <c r="H18" i="231"/>
  <c r="G18" i="231"/>
  <c r="E18" i="231"/>
  <c r="H17" i="231"/>
  <c r="G17" i="231"/>
  <c r="E17" i="231"/>
  <c r="H16" i="231"/>
  <c r="G16" i="231"/>
  <c r="E16" i="231"/>
  <c r="H15" i="231"/>
  <c r="G15" i="231"/>
  <c r="E15" i="231"/>
  <c r="H14" i="231"/>
  <c r="G14" i="231"/>
  <c r="E14" i="231"/>
  <c r="H13" i="231"/>
  <c r="G13" i="231"/>
  <c r="E13" i="231"/>
  <c r="I67" i="196"/>
  <c r="I66" i="196"/>
  <c r="I65" i="196"/>
  <c r="I64" i="196"/>
  <c r="I63" i="196"/>
  <c r="I62" i="196"/>
  <c r="I61" i="196"/>
  <c r="I60" i="196"/>
  <c r="I59" i="196"/>
  <c r="I58" i="196"/>
  <c r="I57" i="196"/>
  <c r="I56" i="196"/>
  <c r="I55" i="196"/>
  <c r="I54" i="196"/>
  <c r="I53" i="196"/>
  <c r="I52" i="196"/>
  <c r="I51" i="196"/>
  <c r="I50" i="196"/>
  <c r="I49" i="196"/>
  <c r="I48" i="196"/>
  <c r="I47" i="196"/>
  <c r="I46" i="196"/>
  <c r="I45" i="196"/>
  <c r="I44" i="196"/>
  <c r="I43" i="196"/>
  <c r="I42" i="196"/>
  <c r="I41" i="196"/>
  <c r="I40" i="196"/>
  <c r="I39" i="196"/>
  <c r="I38" i="196"/>
  <c r="I37" i="196"/>
  <c r="I36" i="196"/>
  <c r="I35" i="196"/>
  <c r="I34" i="196"/>
  <c r="I33" i="196"/>
  <c r="I32" i="196"/>
  <c r="I31" i="196"/>
  <c r="I30" i="196"/>
  <c r="I29" i="196"/>
  <c r="I28" i="196"/>
  <c r="I27" i="196"/>
  <c r="I26" i="196"/>
  <c r="I25" i="196"/>
  <c r="I24" i="196"/>
  <c r="I23" i="196"/>
  <c r="I22" i="196"/>
  <c r="I21" i="196"/>
  <c r="I20" i="196"/>
  <c r="I19" i="196"/>
  <c r="I18" i="196"/>
  <c r="I17" i="196"/>
  <c r="I16" i="196"/>
  <c r="I15" i="196"/>
  <c r="I14" i="196"/>
  <c r="I13" i="196"/>
  <c r="I12" i="196"/>
  <c r="I11" i="196"/>
  <c r="I10" i="196"/>
  <c r="I9" i="196"/>
  <c r="F7" i="196"/>
  <c r="D7" i="196"/>
  <c r="I12" i="229"/>
  <c r="H13" i="229"/>
  <c r="H14" i="229"/>
  <c r="H15" i="229"/>
  <c r="H16" i="229"/>
  <c r="H12" i="229"/>
  <c r="G13" i="229"/>
  <c r="G14" i="229"/>
  <c r="G15" i="229"/>
  <c r="G16" i="229"/>
  <c r="G12" i="229"/>
  <c r="E13" i="229"/>
  <c r="E14" i="229"/>
  <c r="E15" i="229"/>
  <c r="E16" i="229"/>
  <c r="E12" i="229"/>
  <c r="H9" i="195"/>
  <c r="H10" i="195"/>
  <c r="H11" i="195"/>
  <c r="H12" i="195"/>
  <c r="H8" i="195"/>
  <c r="N18" i="233" l="1"/>
  <c r="L14" i="233"/>
  <c r="N20" i="233"/>
  <c r="L16" i="233"/>
  <c r="N14" i="233"/>
  <c r="L20" i="233"/>
  <c r="N16" i="233"/>
  <c r="L18" i="233"/>
  <c r="H89" i="233"/>
  <c r="E89" i="233"/>
  <c r="B89" i="233"/>
  <c r="G75" i="231"/>
  <c r="A88" i="196" s="1"/>
  <c r="H75" i="231"/>
  <c r="A90" i="196" s="1"/>
  <c r="E75" i="231"/>
  <c r="A84" i="196" s="1"/>
  <c r="N12" i="229"/>
  <c r="E19" i="229"/>
  <c r="E7" i="195"/>
  <c r="C7" i="195"/>
  <c r="E13" i="227"/>
  <c r="G13" i="227"/>
  <c r="H14" i="227"/>
  <c r="H15" i="227"/>
  <c r="H16" i="227"/>
  <c r="H17" i="227"/>
  <c r="H18" i="227"/>
  <c r="H19" i="227"/>
  <c r="A25" i="195" s="1"/>
  <c r="H20" i="227"/>
  <c r="H21" i="227"/>
  <c r="H22" i="227"/>
  <c r="H23" i="227"/>
  <c r="H24" i="227"/>
  <c r="H25" i="227"/>
  <c r="H26" i="227"/>
  <c r="H27" i="227"/>
  <c r="H28" i="227"/>
  <c r="H29" i="227"/>
  <c r="H30" i="227"/>
  <c r="H31" i="227"/>
  <c r="H32" i="227"/>
  <c r="H33" i="227"/>
  <c r="H34" i="227"/>
  <c r="H35" i="227"/>
  <c r="H36" i="227"/>
  <c r="H37" i="227"/>
  <c r="H38" i="227"/>
  <c r="H39" i="227"/>
  <c r="H40" i="227"/>
  <c r="H41" i="227"/>
  <c r="H42" i="227"/>
  <c r="H43" i="227"/>
  <c r="H44" i="227"/>
  <c r="H45" i="227"/>
  <c r="H46" i="227"/>
  <c r="H47" i="227"/>
  <c r="H48" i="227"/>
  <c r="H49" i="227"/>
  <c r="H50" i="227"/>
  <c r="H51" i="227"/>
  <c r="H52" i="227"/>
  <c r="H53" i="227"/>
  <c r="H54" i="227"/>
  <c r="H55" i="227"/>
  <c r="H56" i="227"/>
  <c r="H57" i="227"/>
  <c r="H58" i="227"/>
  <c r="H59" i="227"/>
  <c r="H60" i="227"/>
  <c r="H61" i="227"/>
  <c r="H62" i="227"/>
  <c r="H63" i="227"/>
  <c r="H64" i="227"/>
  <c r="H65" i="227"/>
  <c r="H66" i="227"/>
  <c r="H67" i="227"/>
  <c r="H68" i="227"/>
  <c r="H69" i="227"/>
  <c r="H70" i="227"/>
  <c r="H71" i="227"/>
  <c r="H72" i="227"/>
  <c r="H13" i="227"/>
  <c r="E14" i="227"/>
  <c r="E15" i="227"/>
  <c r="E16" i="227"/>
  <c r="E17" i="227"/>
  <c r="E18" i="227"/>
  <c r="E19" i="227"/>
  <c r="A19" i="195" s="1"/>
  <c r="E20" i="227"/>
  <c r="E21" i="227"/>
  <c r="E22" i="227"/>
  <c r="E23" i="227"/>
  <c r="E24" i="227"/>
  <c r="E25" i="227"/>
  <c r="E26" i="227"/>
  <c r="E27" i="227"/>
  <c r="E28" i="227"/>
  <c r="E29" i="227"/>
  <c r="E30" i="227"/>
  <c r="E31" i="227"/>
  <c r="E32" i="227"/>
  <c r="E33" i="227"/>
  <c r="E34" i="227"/>
  <c r="E35" i="227"/>
  <c r="E36" i="227"/>
  <c r="E37" i="227"/>
  <c r="E38" i="227"/>
  <c r="E39" i="227"/>
  <c r="E40" i="227"/>
  <c r="E41" i="227"/>
  <c r="E42" i="227"/>
  <c r="E43" i="227"/>
  <c r="E44" i="227"/>
  <c r="E45" i="227"/>
  <c r="E46" i="227"/>
  <c r="E47" i="227"/>
  <c r="E48" i="227"/>
  <c r="E49" i="227"/>
  <c r="E50" i="227"/>
  <c r="E51" i="227"/>
  <c r="E52" i="227"/>
  <c r="E53" i="227"/>
  <c r="E54" i="227"/>
  <c r="E55" i="227"/>
  <c r="E56" i="227"/>
  <c r="E57" i="227"/>
  <c r="E58" i="227"/>
  <c r="E59" i="227"/>
  <c r="E60" i="227"/>
  <c r="E61" i="227"/>
  <c r="E62" i="227"/>
  <c r="E63" i="227"/>
  <c r="E64" i="227"/>
  <c r="E65" i="227"/>
  <c r="E66" i="227"/>
  <c r="E67" i="227"/>
  <c r="E68" i="227"/>
  <c r="E69" i="227"/>
  <c r="E70" i="227"/>
  <c r="E71" i="227"/>
  <c r="E72" i="227"/>
  <c r="A93" i="197" l="1"/>
  <c r="A99" i="197"/>
  <c r="H75" i="227"/>
  <c r="E75" i="227"/>
  <c r="F7" i="194" l="1"/>
  <c r="I9" i="194"/>
  <c r="I10" i="194"/>
  <c r="I11" i="194"/>
  <c r="I12" i="194"/>
  <c r="I13" i="194"/>
  <c r="I14" i="194"/>
  <c r="I15" i="194"/>
  <c r="I16" i="194"/>
  <c r="I17" i="194"/>
  <c r="I18" i="194"/>
  <c r="I19" i="194"/>
  <c r="I20" i="194"/>
  <c r="I21" i="194"/>
  <c r="I22" i="194"/>
  <c r="I23" i="194"/>
  <c r="I24" i="194"/>
  <c r="I25" i="194"/>
  <c r="I26" i="194"/>
  <c r="I27" i="194"/>
  <c r="I28" i="194"/>
  <c r="I29" i="194"/>
  <c r="I30" i="194"/>
  <c r="I31" i="194"/>
  <c r="I32" i="194"/>
  <c r="I33" i="194"/>
  <c r="I34" i="194"/>
  <c r="I35" i="194"/>
  <c r="I36" i="194"/>
  <c r="I37" i="194"/>
  <c r="I38" i="194"/>
  <c r="I39" i="194"/>
  <c r="I40" i="194"/>
  <c r="I41" i="194"/>
  <c r="I42" i="194"/>
  <c r="I43" i="194"/>
  <c r="I44" i="194"/>
  <c r="I45" i="194"/>
  <c r="I46" i="194"/>
  <c r="I47" i="194"/>
  <c r="I48" i="194"/>
  <c r="I49" i="194"/>
  <c r="I50" i="194"/>
  <c r="I51" i="194"/>
  <c r="I52" i="194"/>
  <c r="I53" i="194"/>
  <c r="I54" i="194"/>
  <c r="I55" i="194"/>
  <c r="I56" i="194"/>
  <c r="I57" i="194"/>
  <c r="I58" i="194"/>
  <c r="I59" i="194"/>
  <c r="I60" i="194"/>
  <c r="I61" i="194"/>
  <c r="I62" i="194"/>
  <c r="I63" i="194"/>
  <c r="I64" i="194"/>
  <c r="I65" i="194"/>
  <c r="I66" i="194"/>
  <c r="I67" i="194"/>
  <c r="I8" i="194"/>
  <c r="I37" i="142" l="1"/>
  <c r="A84" i="194" l="1"/>
  <c r="D7" i="194"/>
  <c r="L23" i="141" l="1"/>
  <c r="I62" i="142"/>
  <c r="I36" i="142"/>
  <c r="K36" i="142" s="1"/>
  <c r="K37" i="142" a="1"/>
  <c r="K37" i="142" s="1"/>
  <c r="A9" i="142" s="1"/>
  <c r="C74" i="204"/>
  <c r="A67" i="204"/>
  <c r="C63" i="204"/>
  <c r="A53" i="204"/>
  <c r="C52" i="204"/>
  <c r="A46" i="204"/>
  <c r="C41" i="204"/>
  <c r="A24" i="204"/>
  <c r="C19" i="204"/>
  <c r="A5" i="204"/>
  <c r="M6" i="203"/>
  <c r="E6" i="203"/>
  <c r="I5" i="203"/>
  <c r="H5" i="202"/>
  <c r="B5" i="202"/>
  <c r="G6" i="201"/>
  <c r="C6" i="201"/>
  <c r="H6" i="200"/>
  <c r="F6" i="200"/>
  <c r="D6" i="200"/>
  <c r="F5" i="200"/>
  <c r="C5" i="199"/>
  <c r="J62" i="142" l="1"/>
  <c r="I38" i="142"/>
  <c r="I13" i="229"/>
  <c r="I14" i="229"/>
  <c r="I15" i="229"/>
  <c r="I16" i="229"/>
  <c r="G14" i="227"/>
  <c r="G15" i="227"/>
  <c r="G16" i="227"/>
  <c r="G17" i="227"/>
  <c r="G18" i="227"/>
  <c r="G19" i="227"/>
  <c r="A23" i="195" s="1"/>
  <c r="G20" i="227"/>
  <c r="G21" i="227"/>
  <c r="G22" i="227"/>
  <c r="G23" i="227"/>
  <c r="G24" i="227"/>
  <c r="G25" i="227"/>
  <c r="G26" i="227"/>
  <c r="G27" i="227"/>
  <c r="G28" i="227"/>
  <c r="G29" i="227"/>
  <c r="G30" i="227"/>
  <c r="G31" i="227"/>
  <c r="G32" i="227"/>
  <c r="G33" i="227"/>
  <c r="G34" i="227"/>
  <c r="G35" i="227"/>
  <c r="G36" i="227"/>
  <c r="G37" i="227"/>
  <c r="G38" i="227"/>
  <c r="G39" i="227"/>
  <c r="G40" i="227"/>
  <c r="G41" i="227"/>
  <c r="G42" i="227"/>
  <c r="G43" i="227"/>
  <c r="G44" i="227"/>
  <c r="G45" i="227"/>
  <c r="G46" i="227"/>
  <c r="G47" i="227"/>
  <c r="G48" i="227"/>
  <c r="G49" i="227"/>
  <c r="G50" i="227"/>
  <c r="G51" i="227"/>
  <c r="G52" i="227"/>
  <c r="G53" i="227"/>
  <c r="G54" i="227"/>
  <c r="G55" i="227"/>
  <c r="G56" i="227"/>
  <c r="G57" i="227"/>
  <c r="G58" i="227"/>
  <c r="G59" i="227"/>
  <c r="G60" i="227"/>
  <c r="G61" i="227"/>
  <c r="G62" i="227"/>
  <c r="G63" i="227"/>
  <c r="G64" i="227"/>
  <c r="G65" i="227"/>
  <c r="G66" i="227"/>
  <c r="G67" i="227"/>
  <c r="G68" i="227"/>
  <c r="G69" i="227"/>
  <c r="G70" i="227"/>
  <c r="G71" i="227"/>
  <c r="G72" i="227"/>
  <c r="A2" i="205"/>
  <c r="A2" i="204"/>
  <c r="A6" i="204"/>
  <c r="B8" i="204"/>
  <c r="C20" i="204"/>
  <c r="C21" i="204"/>
  <c r="C22" i="204"/>
  <c r="C23" i="204"/>
  <c r="C26" i="204"/>
  <c r="B30" i="204"/>
  <c r="C42" i="204"/>
  <c r="C43" i="204"/>
  <c r="C44" i="204"/>
  <c r="C45" i="204"/>
  <c r="C48" i="204"/>
  <c r="C54" i="204"/>
  <c r="B58" i="204"/>
  <c r="C64" i="204"/>
  <c r="C65" i="204"/>
  <c r="C66" i="204"/>
  <c r="C69" i="204"/>
  <c r="C75" i="204"/>
  <c r="C76" i="204"/>
  <c r="C77" i="204"/>
  <c r="A2" i="203"/>
  <c r="A2" i="202"/>
  <c r="H7" i="202"/>
  <c r="I7" i="202"/>
  <c r="J7" i="202"/>
  <c r="J9" i="202" s="1"/>
  <c r="K7" i="202"/>
  <c r="K9" i="202" s="1"/>
  <c r="H8" i="202"/>
  <c r="I8" i="202"/>
  <c r="B9" i="202"/>
  <c r="C9" i="202"/>
  <c r="D9" i="202"/>
  <c r="E9" i="202"/>
  <c r="F9" i="202"/>
  <c r="G9" i="202"/>
  <c r="A2" i="201"/>
  <c r="A2" i="200"/>
  <c r="A2" i="199"/>
  <c r="C9" i="199"/>
  <c r="D9" i="199" s="1"/>
  <c r="C14" i="199"/>
  <c r="D14" i="199" s="1"/>
  <c r="C15" i="199"/>
  <c r="D15" i="199" s="1"/>
  <c r="C16" i="199"/>
  <c r="D16" i="199" s="1"/>
  <c r="C23" i="199"/>
  <c r="D23" i="199" s="1"/>
  <c r="A2" i="198"/>
  <c r="A2" i="197"/>
  <c r="A2" i="196"/>
  <c r="I46" i="203"/>
  <c r="I62" i="203"/>
  <c r="A2" i="195"/>
  <c r="A2" i="194"/>
  <c r="I19" i="229" l="1"/>
  <c r="G19" i="229"/>
  <c r="G75" i="227"/>
  <c r="L8" i="202"/>
  <c r="N8" i="202" s="1"/>
  <c r="I9" i="202"/>
  <c r="I79" i="203"/>
  <c r="M79" i="203" s="1"/>
  <c r="I125" i="203"/>
  <c r="M125" i="203" s="1"/>
  <c r="I107" i="203"/>
  <c r="I23" i="203"/>
  <c r="M23" i="203" s="1"/>
  <c r="I78" i="203"/>
  <c r="M78" i="203" s="1"/>
  <c r="I38" i="203"/>
  <c r="M38" i="203" s="1"/>
  <c r="I105" i="203"/>
  <c r="M105" i="203" s="1"/>
  <c r="L7" i="202"/>
  <c r="N7" i="202" s="1"/>
  <c r="N16" i="229"/>
  <c r="N15" i="229"/>
  <c r="N14" i="229"/>
  <c r="N13" i="229"/>
  <c r="C78" i="204"/>
  <c r="D78" i="204" s="1"/>
  <c r="I108" i="203"/>
  <c r="M108" i="203" s="1"/>
  <c r="I20" i="203"/>
  <c r="M20" i="203" s="1"/>
  <c r="I40" i="203"/>
  <c r="M40" i="203" s="1"/>
  <c r="I129" i="203"/>
  <c r="M129" i="203" s="1"/>
  <c r="I130" i="203"/>
  <c r="M130" i="203" s="1"/>
  <c r="I122" i="203"/>
  <c r="M122" i="203" s="1"/>
  <c r="I18" i="203"/>
  <c r="M18" i="203" s="1"/>
  <c r="J46" i="203"/>
  <c r="N46" i="203" s="1"/>
  <c r="M46" i="203"/>
  <c r="I39" i="203"/>
  <c r="M39" i="203" s="1"/>
  <c r="I110" i="203"/>
  <c r="I44" i="203"/>
  <c r="I126" i="203"/>
  <c r="M126" i="203" s="1"/>
  <c r="I111" i="203"/>
  <c r="M62" i="203"/>
  <c r="K62" i="203"/>
  <c r="O62" i="203" s="1"/>
  <c r="I123" i="203"/>
  <c r="M123" i="203" s="1"/>
  <c r="I84" i="203"/>
  <c r="I131" i="203"/>
  <c r="M131" i="203" s="1"/>
  <c r="I82" i="203"/>
  <c r="I66" i="203"/>
  <c r="I104" i="203"/>
  <c r="M104" i="203" s="1"/>
  <c r="I58" i="203"/>
  <c r="M58" i="203" s="1"/>
  <c r="I26" i="203"/>
  <c r="M26" i="203" s="1"/>
  <c r="I86" i="203"/>
  <c r="I42" i="203"/>
  <c r="K42" i="203" s="1"/>
  <c r="O42" i="203" s="1"/>
  <c r="I22" i="203"/>
  <c r="M22" i="203" s="1"/>
  <c r="I64" i="203"/>
  <c r="H29" i="201"/>
  <c r="I128" i="203"/>
  <c r="M128" i="203" s="1"/>
  <c r="I124" i="203"/>
  <c r="M124" i="203" s="1"/>
  <c r="I109" i="203"/>
  <c r="I103" i="203"/>
  <c r="M103" i="203" s="1"/>
  <c r="I106" i="203"/>
  <c r="M106" i="203" s="1"/>
  <c r="I80" i="203"/>
  <c r="M80" i="203" s="1"/>
  <c r="I60" i="203"/>
  <c r="M60" i="203" s="1"/>
  <c r="H12" i="201"/>
  <c r="I127" i="203"/>
  <c r="M127" i="203" s="1"/>
  <c r="I102" i="203"/>
  <c r="M102" i="203" s="1"/>
  <c r="I24" i="203"/>
  <c r="M24" i="203" s="1"/>
  <c r="H19" i="201"/>
  <c r="D75" i="204"/>
  <c r="K46" i="203"/>
  <c r="H9" i="202"/>
  <c r="M82" i="203" l="1"/>
  <c r="H19" i="229"/>
  <c r="F3" i="229" s="1"/>
  <c r="H22" i="201"/>
  <c r="H34" i="201"/>
  <c r="M7" i="202"/>
  <c r="O7" i="202" s="1"/>
  <c r="J26" i="203"/>
  <c r="N26" i="203" s="1"/>
  <c r="H30" i="201"/>
  <c r="L9" i="202"/>
  <c r="N9" i="202" s="1"/>
  <c r="H43" i="201"/>
  <c r="H32" i="201"/>
  <c r="M86" i="203"/>
  <c r="M42" i="203"/>
  <c r="H33" i="201"/>
  <c r="M107" i="203"/>
  <c r="M8" i="202"/>
  <c r="O8" i="202" s="1"/>
  <c r="H8" i="201"/>
  <c r="H13" i="201"/>
  <c r="H17" i="201"/>
  <c r="H37" i="201"/>
  <c r="F23" i="200"/>
  <c r="H23" i="200" s="1"/>
  <c r="H35" i="201"/>
  <c r="H20" i="201"/>
  <c r="H39" i="201"/>
  <c r="F15" i="200"/>
  <c r="H15" i="200" s="1"/>
  <c r="H23" i="201"/>
  <c r="H40" i="201"/>
  <c r="H14" i="201"/>
  <c r="M109" i="203"/>
  <c r="H26" i="201"/>
  <c r="H38" i="201"/>
  <c r="I81" i="203"/>
  <c r="M81" i="203" s="1"/>
  <c r="F44" i="200"/>
  <c r="H42" i="201"/>
  <c r="I43" i="203"/>
  <c r="F25" i="200"/>
  <c r="I65" i="203"/>
  <c r="F36" i="200"/>
  <c r="K64" i="203"/>
  <c r="O64" i="203" s="1"/>
  <c r="M64" i="203"/>
  <c r="F13" i="200"/>
  <c r="I19" i="203"/>
  <c r="H18" i="201"/>
  <c r="F34" i="200"/>
  <c r="I61" i="203"/>
  <c r="M61" i="203" s="1"/>
  <c r="H28" i="201"/>
  <c r="I83" i="203"/>
  <c r="M83" i="203" s="1"/>
  <c r="F45" i="200"/>
  <c r="H16" i="201"/>
  <c r="F42" i="200"/>
  <c r="I77" i="203"/>
  <c r="M77" i="203" s="1"/>
  <c r="I59" i="203"/>
  <c r="M59" i="203" s="1"/>
  <c r="F33" i="200"/>
  <c r="F46" i="200"/>
  <c r="I85" i="203"/>
  <c r="M111" i="203"/>
  <c r="H24" i="201"/>
  <c r="F32" i="200"/>
  <c r="I57" i="203"/>
  <c r="M57" i="203" s="1"/>
  <c r="I21" i="203"/>
  <c r="M21" i="203" s="1"/>
  <c r="F14" i="200"/>
  <c r="F43" i="200"/>
  <c r="M110" i="203"/>
  <c r="I41" i="203"/>
  <c r="M41" i="203" s="1"/>
  <c r="F24" i="200"/>
  <c r="H10" i="201"/>
  <c r="F22" i="200"/>
  <c r="I37" i="203"/>
  <c r="M37" i="203" s="1"/>
  <c r="H41" i="201"/>
  <c r="H25" i="201"/>
  <c r="M66" i="203"/>
  <c r="J66" i="203"/>
  <c r="N66" i="203" s="1"/>
  <c r="K66" i="203"/>
  <c r="O66" i="203" s="1"/>
  <c r="M84" i="203"/>
  <c r="M44" i="203"/>
  <c r="K44" i="203"/>
  <c r="F26" i="200"/>
  <c r="I45" i="203"/>
  <c r="H36" i="201"/>
  <c r="H31" i="201"/>
  <c r="F16" i="200"/>
  <c r="I25" i="203"/>
  <c r="H21" i="201"/>
  <c r="I63" i="203"/>
  <c r="M63" i="203" s="1"/>
  <c r="F35" i="200"/>
  <c r="H15" i="201"/>
  <c r="H27" i="201"/>
  <c r="O46" i="203"/>
  <c r="G23" i="200" l="1"/>
  <c r="I23" i="200" s="1"/>
  <c r="K141" i="203"/>
  <c r="O141" i="203" s="1"/>
  <c r="M9" i="202"/>
  <c r="O9" i="202" s="1"/>
  <c r="K139" i="203"/>
  <c r="O139" i="203" s="1"/>
  <c r="H44" i="201"/>
  <c r="G15" i="200"/>
  <c r="I15" i="200" s="1"/>
  <c r="I139" i="203"/>
  <c r="M139" i="203" s="1"/>
  <c r="H26" i="200"/>
  <c r="G26" i="200"/>
  <c r="I26" i="200" s="1"/>
  <c r="H24" i="200"/>
  <c r="G24" i="200"/>
  <c r="I24" i="200" s="1"/>
  <c r="H42" i="200"/>
  <c r="G42" i="200"/>
  <c r="I42" i="200" s="1"/>
  <c r="H33" i="200"/>
  <c r="G33" i="200"/>
  <c r="I33" i="200" s="1"/>
  <c r="K140" i="203"/>
  <c r="O140" i="203" s="1"/>
  <c r="O44" i="203"/>
  <c r="H22" i="200"/>
  <c r="G22" i="200"/>
  <c r="I22" i="200" s="1"/>
  <c r="H32" i="200"/>
  <c r="G32" i="200"/>
  <c r="I32" i="200" s="1"/>
  <c r="H45" i="201"/>
  <c r="H25" i="200"/>
  <c r="G25" i="200"/>
  <c r="I25" i="200" s="1"/>
  <c r="M85" i="203"/>
  <c r="M19" i="203"/>
  <c r="I138" i="203"/>
  <c r="M138" i="203" s="1"/>
  <c r="H36" i="200"/>
  <c r="G36" i="200"/>
  <c r="I36" i="200" s="1"/>
  <c r="M43" i="203"/>
  <c r="I140" i="203"/>
  <c r="M140" i="203" s="1"/>
  <c r="G16" i="200"/>
  <c r="I16" i="200" s="1"/>
  <c r="H16" i="200"/>
  <c r="G14" i="200"/>
  <c r="I14" i="200" s="1"/>
  <c r="H14" i="200"/>
  <c r="H46" i="200"/>
  <c r="G46" i="200"/>
  <c r="I46" i="200" s="1"/>
  <c r="H45" i="200"/>
  <c r="G45" i="200"/>
  <c r="I45" i="200" s="1"/>
  <c r="H13" i="200"/>
  <c r="G13" i="200"/>
  <c r="I13" i="200" s="1"/>
  <c r="J65" i="203"/>
  <c r="N65" i="203" s="1"/>
  <c r="M65" i="203"/>
  <c r="H44" i="200"/>
  <c r="G44" i="200"/>
  <c r="I44" i="200" s="1"/>
  <c r="H35" i="200"/>
  <c r="G35" i="200"/>
  <c r="I35" i="200" s="1"/>
  <c r="J25" i="203"/>
  <c r="M25" i="203"/>
  <c r="I141" i="203"/>
  <c r="M141" i="203" s="1"/>
  <c r="M45" i="203"/>
  <c r="J45" i="203"/>
  <c r="N45" i="203" s="1"/>
  <c r="H43" i="200"/>
  <c r="G43" i="200"/>
  <c r="I43" i="200" s="1"/>
  <c r="H34" i="200"/>
  <c r="G34" i="200"/>
  <c r="I34" i="200" s="1"/>
  <c r="C10" i="199" l="1"/>
  <c r="D10" i="199" s="1"/>
  <c r="H46" i="201"/>
  <c r="N25" i="203"/>
  <c r="J141" i="203"/>
  <c r="N141" i="203" s="1"/>
  <c r="A88" i="194" l="1"/>
  <c r="I4" i="195" l="1"/>
  <c r="K35" i="142" l="1"/>
  <c r="C9" i="101" l="1"/>
  <c r="H9" i="101"/>
  <c r="M9" i="101"/>
  <c r="E103" i="154"/>
  <c r="F103" i="154"/>
  <c r="G103" i="154"/>
  <c r="H103" i="154"/>
  <c r="I103" i="154"/>
  <c r="D103" i="154"/>
  <c r="E54" i="154"/>
  <c r="F54" i="154"/>
  <c r="G54" i="154"/>
  <c r="H54" i="154"/>
  <c r="I54" i="154"/>
  <c r="D54" i="154"/>
  <c r="D104" i="154"/>
  <c r="A3" i="155" l="1"/>
  <c r="A3" i="154"/>
  <c r="A3" i="153"/>
  <c r="A3" i="152"/>
  <c r="A1" i="150" l="1"/>
  <c r="H14" i="101" l="1"/>
  <c r="A27" i="142"/>
  <c r="A39" i="142"/>
  <c r="I197" i="117"/>
  <c r="H197" i="117"/>
  <c r="C41" i="152"/>
  <c r="G72" i="1"/>
  <c r="G73" i="1"/>
  <c r="X26" i="101"/>
  <c r="X28" i="101" s="1"/>
  <c r="W26" i="101"/>
  <c r="W28" i="101" s="1"/>
  <c r="A46" i="152"/>
  <c r="A33" i="152"/>
  <c r="A22" i="152"/>
  <c r="J107" i="135" l="1"/>
  <c r="J109" i="135"/>
  <c r="J111" i="135"/>
  <c r="J113" i="135"/>
  <c r="H107" i="135"/>
  <c r="I107" i="135"/>
  <c r="H109" i="135"/>
  <c r="I109" i="135"/>
  <c r="H111" i="135"/>
  <c r="I111" i="135"/>
  <c r="H113" i="135"/>
  <c r="I113" i="135"/>
  <c r="G107" i="135"/>
  <c r="G109" i="135"/>
  <c r="G111" i="135"/>
  <c r="G113" i="135"/>
  <c r="E107" i="135"/>
  <c r="F107" i="135"/>
  <c r="E109" i="135"/>
  <c r="F109" i="135"/>
  <c r="E111" i="135"/>
  <c r="F111" i="135"/>
  <c r="E113" i="135"/>
  <c r="F113" i="135"/>
  <c r="J9" i="141"/>
  <c r="J15" i="141"/>
  <c r="D11" i="198" s="1"/>
  <c r="E11" i="198" s="1"/>
  <c r="K15" i="141"/>
  <c r="L15" i="141"/>
  <c r="J17" i="141"/>
  <c r="D13" i="198" s="1"/>
  <c r="E13" i="198" s="1"/>
  <c r="K17" i="141"/>
  <c r="L17" i="141"/>
  <c r="J19" i="141"/>
  <c r="D15" i="198" s="1"/>
  <c r="E15" i="198" s="1"/>
  <c r="K19" i="141"/>
  <c r="L19" i="141"/>
  <c r="J21" i="141"/>
  <c r="D17" i="198" s="1"/>
  <c r="E17" i="198" s="1"/>
  <c r="K21" i="141"/>
  <c r="L21" i="141"/>
  <c r="J22" i="141"/>
  <c r="D18" i="198" s="1"/>
  <c r="E18" i="198" s="1"/>
  <c r="K22" i="141"/>
  <c r="L22" i="141"/>
  <c r="J23" i="141"/>
  <c r="D19" i="198" s="1"/>
  <c r="E19" i="198" s="1"/>
  <c r="K23" i="141"/>
  <c r="J24" i="141"/>
  <c r="D20" i="198" s="1"/>
  <c r="E20" i="198" s="1"/>
  <c r="K24" i="141"/>
  <c r="L24" i="141"/>
  <c r="J25" i="141"/>
  <c r="D21" i="198" s="1"/>
  <c r="E21" i="198" s="1"/>
  <c r="K25" i="141"/>
  <c r="L25" i="141"/>
  <c r="J26" i="141"/>
  <c r="D22" i="198" s="1"/>
  <c r="E22" i="198" s="1"/>
  <c r="K26" i="141"/>
  <c r="L26" i="141"/>
  <c r="J27" i="141"/>
  <c r="D23" i="198" s="1"/>
  <c r="E23" i="198" s="1"/>
  <c r="K27" i="141"/>
  <c r="L27" i="141"/>
  <c r="J28" i="141"/>
  <c r="D24" i="198" s="1"/>
  <c r="E24" i="198" s="1"/>
  <c r="K28" i="141"/>
  <c r="L28" i="141"/>
  <c r="J29" i="141"/>
  <c r="D25" i="198" s="1"/>
  <c r="E25" i="198" s="1"/>
  <c r="K29" i="141"/>
  <c r="L29" i="141"/>
  <c r="J30" i="141"/>
  <c r="D26" i="198" s="1"/>
  <c r="E26" i="198" s="1"/>
  <c r="K30" i="141"/>
  <c r="L30" i="141"/>
  <c r="J31" i="141"/>
  <c r="D27" i="198" s="1"/>
  <c r="E27" i="198" s="1"/>
  <c r="K31" i="141"/>
  <c r="L31" i="141"/>
  <c r="J32" i="141"/>
  <c r="D28" i="198" s="1"/>
  <c r="E28" i="198" s="1"/>
  <c r="K32" i="141"/>
  <c r="L32" i="141"/>
  <c r="J33" i="141"/>
  <c r="D29" i="198" s="1"/>
  <c r="E29" i="198" s="1"/>
  <c r="K33" i="141"/>
  <c r="L33" i="141"/>
  <c r="J34" i="141"/>
  <c r="D30" i="198" s="1"/>
  <c r="E30" i="198" s="1"/>
  <c r="K34" i="141"/>
  <c r="L34" i="141"/>
  <c r="J35" i="141"/>
  <c r="D31" i="198" s="1"/>
  <c r="E31" i="198" s="1"/>
  <c r="K35" i="141"/>
  <c r="L35" i="141"/>
  <c r="J36" i="141"/>
  <c r="D32" i="198" s="1"/>
  <c r="E32" i="198" s="1"/>
  <c r="K36" i="141"/>
  <c r="L36" i="141"/>
  <c r="J37" i="141"/>
  <c r="D33" i="198" s="1"/>
  <c r="E33" i="198" s="1"/>
  <c r="K37" i="141"/>
  <c r="L37" i="141"/>
  <c r="J38" i="141"/>
  <c r="D34" i="198" s="1"/>
  <c r="E34" i="198" s="1"/>
  <c r="K38" i="141"/>
  <c r="L38" i="141"/>
  <c r="J39" i="141"/>
  <c r="D35" i="198" s="1"/>
  <c r="E35" i="198" s="1"/>
  <c r="K39" i="141"/>
  <c r="L39" i="141"/>
  <c r="J40" i="141"/>
  <c r="D36" i="198" s="1"/>
  <c r="E36" i="198" s="1"/>
  <c r="K40" i="141"/>
  <c r="L40" i="141"/>
  <c r="J41" i="141"/>
  <c r="D37" i="198" s="1"/>
  <c r="E37" i="198" s="1"/>
  <c r="K41" i="141"/>
  <c r="L41" i="141"/>
  <c r="J42" i="141"/>
  <c r="D38" i="198" s="1"/>
  <c r="E38" i="198" s="1"/>
  <c r="K42" i="141"/>
  <c r="L42" i="141"/>
  <c r="J43" i="141"/>
  <c r="D39" i="198" s="1"/>
  <c r="E39" i="198" s="1"/>
  <c r="K43" i="141"/>
  <c r="L43" i="141"/>
  <c r="J44" i="141"/>
  <c r="D40" i="198" s="1"/>
  <c r="E40" i="198" s="1"/>
  <c r="K44" i="141"/>
  <c r="L44" i="141"/>
  <c r="J45" i="141"/>
  <c r="D41" i="198" s="1"/>
  <c r="E41" i="198" s="1"/>
  <c r="K45" i="141"/>
  <c r="L45" i="141"/>
  <c r="J46" i="141"/>
  <c r="D42" i="198" s="1"/>
  <c r="E42" i="198" s="1"/>
  <c r="K46" i="141"/>
  <c r="L46" i="141"/>
  <c r="J47" i="141"/>
  <c r="D43" i="198" s="1"/>
  <c r="E43" i="198" s="1"/>
  <c r="K47" i="141"/>
  <c r="L47" i="141"/>
  <c r="J48" i="141"/>
  <c r="D44" i="198" s="1"/>
  <c r="E44" i="198" s="1"/>
  <c r="K48" i="141"/>
  <c r="L48" i="141"/>
  <c r="J49" i="141"/>
  <c r="D45" i="198" s="1"/>
  <c r="E45" i="198" s="1"/>
  <c r="K49" i="141"/>
  <c r="L49" i="141"/>
  <c r="J50" i="141"/>
  <c r="D46" i="198" s="1"/>
  <c r="E46" i="198" s="1"/>
  <c r="K50" i="141"/>
  <c r="L50" i="141"/>
  <c r="J51" i="141"/>
  <c r="D47" i="198" s="1"/>
  <c r="E47" i="198" s="1"/>
  <c r="K51" i="141"/>
  <c r="L51" i="141"/>
  <c r="J52" i="141"/>
  <c r="D48" i="198" s="1"/>
  <c r="E48" i="198" s="1"/>
  <c r="K52" i="141"/>
  <c r="L52" i="141"/>
  <c r="J53" i="141"/>
  <c r="D49" i="198" s="1"/>
  <c r="E49" i="198" s="1"/>
  <c r="K53" i="141"/>
  <c r="L53" i="141"/>
  <c r="J54" i="141"/>
  <c r="D50" i="198" s="1"/>
  <c r="E50" i="198" s="1"/>
  <c r="K54" i="141"/>
  <c r="L54" i="141"/>
  <c r="J55" i="141"/>
  <c r="D51" i="198" s="1"/>
  <c r="E51" i="198" s="1"/>
  <c r="K55" i="141"/>
  <c r="L55" i="141"/>
  <c r="J56" i="141"/>
  <c r="D52" i="198" s="1"/>
  <c r="E52" i="198" s="1"/>
  <c r="K56" i="141"/>
  <c r="L56" i="141"/>
  <c r="J57" i="141"/>
  <c r="D53" i="198" s="1"/>
  <c r="E53" i="198" s="1"/>
  <c r="K57" i="141"/>
  <c r="L57" i="141"/>
  <c r="J58" i="141"/>
  <c r="D54" i="198" s="1"/>
  <c r="E54" i="198" s="1"/>
  <c r="K58" i="141"/>
  <c r="L58" i="141"/>
  <c r="J59" i="141"/>
  <c r="D55" i="198" s="1"/>
  <c r="E55" i="198" s="1"/>
  <c r="K59" i="141"/>
  <c r="L59" i="141"/>
  <c r="J60" i="141"/>
  <c r="D56" i="198" s="1"/>
  <c r="E56" i="198" s="1"/>
  <c r="K60" i="141"/>
  <c r="L60" i="141"/>
  <c r="J61" i="141"/>
  <c r="D57" i="198" s="1"/>
  <c r="E57" i="198" s="1"/>
  <c r="K61" i="141"/>
  <c r="L61" i="141"/>
  <c r="J62" i="141"/>
  <c r="D58" i="198" s="1"/>
  <c r="E58" i="198" s="1"/>
  <c r="K62" i="141"/>
  <c r="L62" i="141"/>
  <c r="J63" i="141"/>
  <c r="D59" i="198" s="1"/>
  <c r="E59" i="198" s="1"/>
  <c r="K63" i="141"/>
  <c r="L63" i="141"/>
  <c r="J64" i="141"/>
  <c r="D60" i="198" s="1"/>
  <c r="E60" i="198" s="1"/>
  <c r="K64" i="141"/>
  <c r="L64" i="141"/>
  <c r="J65" i="141"/>
  <c r="D61" i="198" s="1"/>
  <c r="E61" i="198" s="1"/>
  <c r="K65" i="141"/>
  <c r="L65" i="141"/>
  <c r="J66" i="141"/>
  <c r="D62" i="198" s="1"/>
  <c r="E62" i="198" s="1"/>
  <c r="K66" i="141"/>
  <c r="L66" i="141"/>
  <c r="J67" i="141"/>
  <c r="D63" i="198" s="1"/>
  <c r="E63" i="198" s="1"/>
  <c r="K67" i="141"/>
  <c r="L67" i="141"/>
  <c r="J68" i="141"/>
  <c r="D64" i="198" s="1"/>
  <c r="E64" i="198" s="1"/>
  <c r="K68" i="141"/>
  <c r="L68" i="141"/>
  <c r="J69" i="141"/>
  <c r="D65" i="198" s="1"/>
  <c r="E65" i="198" s="1"/>
  <c r="K69" i="141"/>
  <c r="L69" i="141"/>
  <c r="J70" i="141"/>
  <c r="D66" i="198" s="1"/>
  <c r="E66" i="198" s="1"/>
  <c r="K70" i="141"/>
  <c r="L70" i="141"/>
  <c r="J71" i="141"/>
  <c r="D67" i="198" s="1"/>
  <c r="E67" i="198" s="1"/>
  <c r="K71" i="141"/>
  <c r="L71" i="141"/>
  <c r="J72" i="141"/>
  <c r="D68" i="198" s="1"/>
  <c r="E68" i="198" s="1"/>
  <c r="K72" i="141"/>
  <c r="L72" i="141"/>
  <c r="J73" i="141"/>
  <c r="D69" i="198" s="1"/>
  <c r="E69" i="198" s="1"/>
  <c r="K73" i="141"/>
  <c r="L73" i="141"/>
  <c r="J74" i="141"/>
  <c r="D70" i="198" s="1"/>
  <c r="E70" i="198" s="1"/>
  <c r="K74" i="141"/>
  <c r="L74" i="141"/>
  <c r="J75" i="141"/>
  <c r="D71" i="198" s="1"/>
  <c r="E71" i="198" s="1"/>
  <c r="K75" i="141"/>
  <c r="L75" i="141"/>
  <c r="J76" i="141"/>
  <c r="D72" i="198" s="1"/>
  <c r="E72" i="198" s="1"/>
  <c r="K76" i="141"/>
  <c r="L76" i="141"/>
  <c r="J77" i="141"/>
  <c r="D73" i="198" s="1"/>
  <c r="E73" i="198" s="1"/>
  <c r="K77" i="141"/>
  <c r="L77" i="141"/>
  <c r="J78" i="141"/>
  <c r="D74" i="198" s="1"/>
  <c r="E74" i="198" s="1"/>
  <c r="K78" i="141"/>
  <c r="L78" i="141"/>
  <c r="J79" i="141"/>
  <c r="D75" i="198" s="1"/>
  <c r="E75" i="198" s="1"/>
  <c r="K79" i="141"/>
  <c r="L79" i="141"/>
  <c r="J80" i="141"/>
  <c r="D76" i="198" s="1"/>
  <c r="E76" i="198" s="1"/>
  <c r="K80" i="141"/>
  <c r="L80" i="141"/>
  <c r="J81" i="141"/>
  <c r="D77" i="198" s="1"/>
  <c r="E77" i="198" s="1"/>
  <c r="K81" i="141"/>
  <c r="L81" i="141"/>
  <c r="J82" i="141"/>
  <c r="D78" i="198" s="1"/>
  <c r="E78" i="198" s="1"/>
  <c r="K82" i="141"/>
  <c r="L82" i="141"/>
  <c r="J83" i="141"/>
  <c r="D79" i="198" s="1"/>
  <c r="E79" i="198" s="1"/>
  <c r="K83" i="141"/>
  <c r="L83" i="141"/>
  <c r="J84" i="141"/>
  <c r="D80" i="198" s="1"/>
  <c r="E80" i="198" s="1"/>
  <c r="K84" i="141"/>
  <c r="L84" i="141"/>
  <c r="J85" i="141"/>
  <c r="D81" i="198" s="1"/>
  <c r="E81" i="198" s="1"/>
  <c r="K85" i="141"/>
  <c r="L85" i="141"/>
  <c r="J86" i="141"/>
  <c r="D82" i="198" s="1"/>
  <c r="E82" i="198" s="1"/>
  <c r="K86" i="141"/>
  <c r="L86" i="141"/>
  <c r="K13" i="141"/>
  <c r="L13" i="141"/>
  <c r="J13" i="141"/>
  <c r="D9" i="198" s="1"/>
  <c r="BA20" i="149"/>
  <c r="J9" i="136"/>
  <c r="J15" i="136"/>
  <c r="K15" i="136"/>
  <c r="L15" i="136"/>
  <c r="J17" i="136"/>
  <c r="K17" i="136"/>
  <c r="L17" i="136"/>
  <c r="J19" i="136"/>
  <c r="K19" i="136"/>
  <c r="L19" i="136"/>
  <c r="J21" i="136"/>
  <c r="K21" i="136"/>
  <c r="L21" i="136"/>
  <c r="J22" i="136"/>
  <c r="K22" i="136"/>
  <c r="L22" i="136"/>
  <c r="J23" i="136"/>
  <c r="K23" i="136"/>
  <c r="L23" i="136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J47" i="136"/>
  <c r="K47" i="136"/>
  <c r="L47" i="136"/>
  <c r="J48" i="136"/>
  <c r="K48" i="136"/>
  <c r="L48" i="136"/>
  <c r="J49" i="136"/>
  <c r="K49" i="136"/>
  <c r="L49" i="136"/>
  <c r="J50" i="136"/>
  <c r="K50" i="136"/>
  <c r="L50" i="136"/>
  <c r="J51" i="136"/>
  <c r="K51" i="136"/>
  <c r="L51" i="136"/>
  <c r="J52" i="136"/>
  <c r="K52" i="136"/>
  <c r="L52" i="136"/>
  <c r="J53" i="136"/>
  <c r="K53" i="136"/>
  <c r="L53" i="136"/>
  <c r="J54" i="136"/>
  <c r="K54" i="136"/>
  <c r="L54" i="136"/>
  <c r="J55" i="136"/>
  <c r="K55" i="136"/>
  <c r="L55" i="136"/>
  <c r="J56" i="136"/>
  <c r="K56" i="136"/>
  <c r="L56" i="136"/>
  <c r="J57" i="136"/>
  <c r="K57" i="136"/>
  <c r="L57" i="136"/>
  <c r="J58" i="136"/>
  <c r="K58" i="136"/>
  <c r="L58" i="136"/>
  <c r="J59" i="136"/>
  <c r="K59" i="136"/>
  <c r="L59" i="136"/>
  <c r="J60" i="136"/>
  <c r="K60" i="136"/>
  <c r="L60" i="136"/>
  <c r="J61" i="136"/>
  <c r="K61" i="136"/>
  <c r="L61" i="136"/>
  <c r="J62" i="136"/>
  <c r="K62" i="136"/>
  <c r="L62" i="136"/>
  <c r="J63" i="136"/>
  <c r="K63" i="136"/>
  <c r="L63" i="136"/>
  <c r="J64" i="136"/>
  <c r="K64" i="136"/>
  <c r="L64" i="136"/>
  <c r="J65" i="136"/>
  <c r="K65" i="136"/>
  <c r="L65" i="136"/>
  <c r="J66" i="136"/>
  <c r="K66" i="136"/>
  <c r="L66" i="136"/>
  <c r="J67" i="136"/>
  <c r="K67" i="136"/>
  <c r="L67" i="136"/>
  <c r="J68" i="136"/>
  <c r="K68" i="136"/>
  <c r="L68" i="136"/>
  <c r="J69" i="136"/>
  <c r="K69" i="136"/>
  <c r="L69" i="136"/>
  <c r="J70" i="136"/>
  <c r="K70" i="136"/>
  <c r="L70" i="136"/>
  <c r="J71" i="136"/>
  <c r="K71" i="136"/>
  <c r="L71" i="136"/>
  <c r="J72" i="136"/>
  <c r="K72" i="136"/>
  <c r="L72" i="136"/>
  <c r="J73" i="136"/>
  <c r="K73" i="136"/>
  <c r="L73" i="136"/>
  <c r="J74" i="136"/>
  <c r="K74" i="136"/>
  <c r="L74" i="136"/>
  <c r="J75" i="136"/>
  <c r="K75" i="136"/>
  <c r="L75" i="136"/>
  <c r="J76" i="136"/>
  <c r="K76" i="136"/>
  <c r="L76" i="136"/>
  <c r="J77" i="136"/>
  <c r="K77" i="136"/>
  <c r="L77" i="136"/>
  <c r="J78" i="136"/>
  <c r="K78" i="136"/>
  <c r="L78" i="136"/>
  <c r="J79" i="136"/>
  <c r="K79" i="136"/>
  <c r="L79" i="136"/>
  <c r="J80" i="136"/>
  <c r="K80" i="136"/>
  <c r="L80" i="136"/>
  <c r="J81" i="136"/>
  <c r="K81" i="136"/>
  <c r="L81" i="136"/>
  <c r="J82" i="136"/>
  <c r="K82" i="136"/>
  <c r="L82" i="136"/>
  <c r="J83" i="136"/>
  <c r="K83" i="136"/>
  <c r="L83" i="136"/>
  <c r="J84" i="136"/>
  <c r="K84" i="136"/>
  <c r="L84" i="136"/>
  <c r="J85" i="136"/>
  <c r="K85" i="136"/>
  <c r="L85" i="136"/>
  <c r="J86" i="136"/>
  <c r="K86" i="136"/>
  <c r="L86" i="136"/>
  <c r="K13" i="136"/>
  <c r="L13" i="136"/>
  <c r="J13" i="136"/>
  <c r="S66" i="117"/>
  <c r="T66" i="117"/>
  <c r="S60" i="117"/>
  <c r="T60" i="117"/>
  <c r="C128" i="117"/>
  <c r="C129" i="117"/>
  <c r="C130" i="117"/>
  <c r="C131" i="117"/>
  <c r="C132" i="117"/>
  <c r="C133" i="117"/>
  <c r="C134" i="117"/>
  <c r="C135" i="117"/>
  <c r="C136" i="117"/>
  <c r="C137" i="117"/>
  <c r="C138" i="117"/>
  <c r="C127" i="117"/>
  <c r="T137" i="117"/>
  <c r="S137" i="117"/>
  <c r="T136" i="117"/>
  <c r="S136" i="117"/>
  <c r="T135" i="117"/>
  <c r="S135" i="117"/>
  <c r="T134" i="117"/>
  <c r="S134" i="117"/>
  <c r="T125" i="117"/>
  <c r="S125" i="117"/>
  <c r="T102" i="117"/>
  <c r="S102" i="117"/>
  <c r="R138" i="117"/>
  <c r="Q138" i="117"/>
  <c r="P138" i="117"/>
  <c r="O138" i="117"/>
  <c r="N138" i="117"/>
  <c r="B138" i="117"/>
  <c r="R137" i="117"/>
  <c r="Q137" i="117"/>
  <c r="P137" i="117"/>
  <c r="O137" i="117"/>
  <c r="N137" i="117"/>
  <c r="B137" i="117"/>
  <c r="R136" i="117"/>
  <c r="Q136" i="117"/>
  <c r="P136" i="117"/>
  <c r="O136" i="117"/>
  <c r="N136" i="117"/>
  <c r="B136" i="117"/>
  <c r="R135" i="117"/>
  <c r="Q135" i="117"/>
  <c r="P135" i="117"/>
  <c r="O135" i="117"/>
  <c r="N135" i="117"/>
  <c r="B135" i="117"/>
  <c r="R134" i="117"/>
  <c r="Q134" i="117"/>
  <c r="P134" i="117"/>
  <c r="O134" i="117"/>
  <c r="N134" i="117"/>
  <c r="B134" i="117"/>
  <c r="R133" i="117"/>
  <c r="Q133" i="117"/>
  <c r="P133" i="117"/>
  <c r="O133" i="117"/>
  <c r="N133" i="117"/>
  <c r="B133" i="117"/>
  <c r="R132" i="117"/>
  <c r="Q132" i="117"/>
  <c r="P132" i="117"/>
  <c r="O132" i="117"/>
  <c r="N132" i="117"/>
  <c r="B132" i="117"/>
  <c r="R131" i="117"/>
  <c r="Q131" i="117"/>
  <c r="P131" i="117"/>
  <c r="O131" i="117"/>
  <c r="N131" i="117"/>
  <c r="B131" i="117"/>
  <c r="R130" i="117"/>
  <c r="Q130" i="117"/>
  <c r="P130" i="117"/>
  <c r="O130" i="117"/>
  <c r="N130" i="117"/>
  <c r="B130" i="117"/>
  <c r="R129" i="117"/>
  <c r="Q129" i="117"/>
  <c r="P129" i="117"/>
  <c r="O129" i="117"/>
  <c r="N129" i="117"/>
  <c r="B129" i="117"/>
  <c r="R128" i="117"/>
  <c r="Q128" i="117"/>
  <c r="P128" i="117"/>
  <c r="O128" i="117"/>
  <c r="N128" i="117"/>
  <c r="B128" i="117"/>
  <c r="R127" i="117"/>
  <c r="Q127" i="117"/>
  <c r="P127" i="117"/>
  <c r="O127" i="117"/>
  <c r="N127" i="117"/>
  <c r="B127" i="117"/>
  <c r="I195" i="117" s="1"/>
  <c r="R125" i="117"/>
  <c r="Q125" i="117"/>
  <c r="P125" i="117"/>
  <c r="O125" i="117"/>
  <c r="N125" i="117"/>
  <c r="M125" i="117"/>
  <c r="L125" i="117"/>
  <c r="K125" i="117"/>
  <c r="J125" i="117"/>
  <c r="I125" i="117"/>
  <c r="H125" i="117"/>
  <c r="G125" i="117"/>
  <c r="F125" i="117"/>
  <c r="E125" i="117"/>
  <c r="D125" i="117"/>
  <c r="T58" i="117"/>
  <c r="S58" i="117"/>
  <c r="S43" i="117"/>
  <c r="T43" i="117"/>
  <c r="T35" i="117"/>
  <c r="S35" i="117"/>
  <c r="T37" i="117"/>
  <c r="S37" i="117"/>
  <c r="J16" i="2"/>
  <c r="W44" i="115"/>
  <c r="L7" i="2"/>
  <c r="M8" i="3"/>
  <c r="J4" i="114"/>
  <c r="D4" i="114"/>
  <c r="M8" i="1"/>
  <c r="W43" i="113"/>
  <c r="A11" i="152"/>
  <c r="A10" i="184"/>
  <c r="F67" i="198" l="1"/>
  <c r="F51" i="198"/>
  <c r="F15" i="198"/>
  <c r="F19" i="235"/>
  <c r="F48" i="198"/>
  <c r="F52" i="235"/>
  <c r="F77" i="198"/>
  <c r="F69" i="198"/>
  <c r="F61" i="198"/>
  <c r="F53" i="198"/>
  <c r="F57" i="235"/>
  <c r="F45" i="198"/>
  <c r="F37" i="198"/>
  <c r="F29" i="198"/>
  <c r="F21" i="198"/>
  <c r="F25" i="235"/>
  <c r="F18" i="198"/>
  <c r="F75" i="198"/>
  <c r="F27" i="198"/>
  <c r="F82" i="198"/>
  <c r="F86" i="235"/>
  <c r="F74" i="198"/>
  <c r="F66" i="198"/>
  <c r="F58" i="198"/>
  <c r="F50" i="198"/>
  <c r="F42" i="198"/>
  <c r="F34" i="198"/>
  <c r="F26" i="198"/>
  <c r="F13" i="198"/>
  <c r="F17" i="235"/>
  <c r="F35" i="198"/>
  <c r="F32" i="198"/>
  <c r="F79" i="198"/>
  <c r="F71" i="198"/>
  <c r="F75" i="235"/>
  <c r="F63" i="198"/>
  <c r="F55" i="198"/>
  <c r="F47" i="198"/>
  <c r="F39" i="198"/>
  <c r="F43" i="235"/>
  <c r="F31" i="198"/>
  <c r="F23" i="198"/>
  <c r="F43" i="198"/>
  <c r="F72" i="198"/>
  <c r="F76" i="235"/>
  <c r="F56" i="198"/>
  <c r="F76" i="198"/>
  <c r="F68" i="198"/>
  <c r="F72" i="235"/>
  <c r="F60" i="198"/>
  <c r="F64" i="235"/>
  <c r="F52" i="198"/>
  <c r="F44" i="198"/>
  <c r="F36" i="198"/>
  <c r="F28" i="198"/>
  <c r="F32" i="235"/>
  <c r="F20" i="198"/>
  <c r="F17" i="198"/>
  <c r="F21" i="235"/>
  <c r="F64" i="198"/>
  <c r="F68" i="235"/>
  <c r="F40" i="198"/>
  <c r="F44" i="235"/>
  <c r="F81" i="198"/>
  <c r="F73" i="198"/>
  <c r="F65" i="198"/>
  <c r="F69" i="235"/>
  <c r="F57" i="198"/>
  <c r="F61" i="235"/>
  <c r="F49" i="198"/>
  <c r="F41" i="198"/>
  <c r="F33" i="198"/>
  <c r="F25" i="198"/>
  <c r="F29" i="235"/>
  <c r="F11" i="198"/>
  <c r="F15" i="235"/>
  <c r="F59" i="198"/>
  <c r="F80" i="198"/>
  <c r="F84" i="235"/>
  <c r="F24" i="198"/>
  <c r="F78" i="198"/>
  <c r="F70" i="198"/>
  <c r="F62" i="198"/>
  <c r="F54" i="198"/>
  <c r="F58" i="235"/>
  <c r="F46" i="198"/>
  <c r="F38" i="198"/>
  <c r="F30" i="198"/>
  <c r="F34" i="235"/>
  <c r="F22" i="198"/>
  <c r="F26" i="235"/>
  <c r="F19" i="198"/>
  <c r="F9" i="198"/>
  <c r="E9" i="198"/>
  <c r="F13" i="235" s="1"/>
  <c r="F56" i="235"/>
  <c r="F48" i="235"/>
  <c r="F40" i="235"/>
  <c r="F85" i="235"/>
  <c r="F77" i="235"/>
  <c r="F53" i="235"/>
  <c r="F45" i="235"/>
  <c r="F37" i="235"/>
  <c r="F50" i="235"/>
  <c r="F42" i="235"/>
  <c r="F23" i="235"/>
  <c r="F74" i="235"/>
  <c r="F79" i="235"/>
  <c r="F71" i="235"/>
  <c r="F63" i="235"/>
  <c r="F55" i="235"/>
  <c r="F47" i="235"/>
  <c r="F39" i="235"/>
  <c r="F31" i="235"/>
  <c r="F82" i="235"/>
  <c r="F60" i="235"/>
  <c r="F36" i="235"/>
  <c r="F28" i="235"/>
  <c r="F81" i="235"/>
  <c r="F73" i="235"/>
  <c r="F65" i="235"/>
  <c r="F49" i="235"/>
  <c r="F41" i="235"/>
  <c r="F33" i="235"/>
  <c r="F22" i="235"/>
  <c r="F80" i="235"/>
  <c r="F78" i="235"/>
  <c r="F70" i="235"/>
  <c r="F62" i="235"/>
  <c r="F54" i="235"/>
  <c r="F46" i="235"/>
  <c r="F38" i="235"/>
  <c r="F30" i="235"/>
  <c r="F66" i="235"/>
  <c r="F83" i="235"/>
  <c r="F67" i="235"/>
  <c r="F59" i="235"/>
  <c r="F51" i="235"/>
  <c r="F35" i="235"/>
  <c r="F27" i="235"/>
  <c r="F24" i="235"/>
  <c r="D13" i="197"/>
  <c r="E13" i="197" s="1"/>
  <c r="D76" i="197"/>
  <c r="E76" i="197" s="1"/>
  <c r="D68" i="197"/>
  <c r="E68" i="197" s="1"/>
  <c r="D60" i="197"/>
  <c r="E60" i="197" s="1"/>
  <c r="D52" i="197"/>
  <c r="E52" i="197" s="1"/>
  <c r="D44" i="197"/>
  <c r="E44" i="197" s="1"/>
  <c r="D36" i="197"/>
  <c r="E36" i="197" s="1"/>
  <c r="D28" i="197"/>
  <c r="E28" i="197" s="1"/>
  <c r="D20" i="197"/>
  <c r="E20" i="197" s="1"/>
  <c r="D79" i="197"/>
  <c r="E79" i="197" s="1"/>
  <c r="D9" i="197"/>
  <c r="D81" i="197"/>
  <c r="E81" i="197" s="1"/>
  <c r="D73" i="197"/>
  <c r="E73" i="197" s="1"/>
  <c r="D65" i="197"/>
  <c r="E65" i="197" s="1"/>
  <c r="D57" i="197"/>
  <c r="E57" i="197" s="1"/>
  <c r="D49" i="197"/>
  <c r="E49" i="197" s="1"/>
  <c r="D41" i="197"/>
  <c r="E41" i="197" s="1"/>
  <c r="D33" i="197"/>
  <c r="E33" i="197" s="1"/>
  <c r="D25" i="197"/>
  <c r="E25" i="197" s="1"/>
  <c r="D17" i="197"/>
  <c r="E17" i="197" s="1"/>
  <c r="D23" i="197"/>
  <c r="E23" i="197" s="1"/>
  <c r="D78" i="197"/>
  <c r="E78" i="197" s="1"/>
  <c r="D70" i="197"/>
  <c r="E70" i="197" s="1"/>
  <c r="D62" i="197"/>
  <c r="E62" i="197" s="1"/>
  <c r="D54" i="197"/>
  <c r="E54" i="197" s="1"/>
  <c r="D46" i="197"/>
  <c r="E46" i="197" s="1"/>
  <c r="D38" i="197"/>
  <c r="E38" i="197" s="1"/>
  <c r="D30" i="197"/>
  <c r="E30" i="197" s="1"/>
  <c r="D22" i="197"/>
  <c r="E22" i="197" s="1"/>
  <c r="D11" i="197"/>
  <c r="E11" i="197" s="1"/>
  <c r="D75" i="197"/>
  <c r="E75" i="197" s="1"/>
  <c r="D67" i="197"/>
  <c r="E67" i="197" s="1"/>
  <c r="D59" i="197"/>
  <c r="E59" i="197" s="1"/>
  <c r="D51" i="197"/>
  <c r="E51" i="197" s="1"/>
  <c r="D43" i="197"/>
  <c r="E43" i="197" s="1"/>
  <c r="D35" i="197"/>
  <c r="E35" i="197" s="1"/>
  <c r="D27" i="197"/>
  <c r="E27" i="197" s="1"/>
  <c r="D19" i="197"/>
  <c r="E19" i="197" s="1"/>
  <c r="D31" i="197"/>
  <c r="E31" i="197" s="1"/>
  <c r="D80" i="197"/>
  <c r="E80" i="197" s="1"/>
  <c r="D72" i="197"/>
  <c r="E72" i="197" s="1"/>
  <c r="D64" i="197"/>
  <c r="E64" i="197" s="1"/>
  <c r="D56" i="197"/>
  <c r="E56" i="197" s="1"/>
  <c r="D48" i="197"/>
  <c r="E48" i="197" s="1"/>
  <c r="D40" i="197"/>
  <c r="E40" i="197" s="1"/>
  <c r="D32" i="197"/>
  <c r="E32" i="197" s="1"/>
  <c r="D24" i="197"/>
  <c r="E24" i="197" s="1"/>
  <c r="D15" i="197"/>
  <c r="E15" i="197" s="1"/>
  <c r="D63" i="197"/>
  <c r="E63" i="197" s="1"/>
  <c r="D47" i="197"/>
  <c r="E47" i="197" s="1"/>
  <c r="D39" i="197"/>
  <c r="E39" i="197" s="1"/>
  <c r="D77" i="197"/>
  <c r="E77" i="197" s="1"/>
  <c r="D69" i="197"/>
  <c r="E69" i="197" s="1"/>
  <c r="D61" i="197"/>
  <c r="E61" i="197" s="1"/>
  <c r="D53" i="197"/>
  <c r="E53" i="197" s="1"/>
  <c r="D45" i="197"/>
  <c r="E45" i="197" s="1"/>
  <c r="D37" i="197"/>
  <c r="E37" i="197" s="1"/>
  <c r="D29" i="197"/>
  <c r="E29" i="197" s="1"/>
  <c r="D21" i="197"/>
  <c r="E21" i="197" s="1"/>
  <c r="D71" i="197"/>
  <c r="E71" i="197" s="1"/>
  <c r="D55" i="197"/>
  <c r="E55" i="197" s="1"/>
  <c r="D82" i="197"/>
  <c r="E82" i="197" s="1"/>
  <c r="D74" i="197"/>
  <c r="E74" i="197" s="1"/>
  <c r="D66" i="197"/>
  <c r="E66" i="197" s="1"/>
  <c r="D58" i="197"/>
  <c r="E58" i="197" s="1"/>
  <c r="D50" i="197"/>
  <c r="E50" i="197" s="1"/>
  <c r="D42" i="197"/>
  <c r="E42" i="197" s="1"/>
  <c r="D34" i="197"/>
  <c r="E34" i="197" s="1"/>
  <c r="D26" i="197"/>
  <c r="E26" i="197" s="1"/>
  <c r="D18" i="197"/>
  <c r="E18" i="197" s="1"/>
  <c r="G8" i="201"/>
  <c r="G33" i="201"/>
  <c r="I33" i="201" s="1"/>
  <c r="G29" i="201"/>
  <c r="I29" i="201" s="1"/>
  <c r="G25" i="201"/>
  <c r="I25" i="201" s="1"/>
  <c r="G21" i="201"/>
  <c r="I21" i="201" s="1"/>
  <c r="G17" i="201"/>
  <c r="I17" i="201" s="1"/>
  <c r="G13" i="201"/>
  <c r="G30" i="201"/>
  <c r="I30" i="201" s="1"/>
  <c r="G14" i="201"/>
  <c r="I14" i="201" s="1"/>
  <c r="G41" i="201"/>
  <c r="I41" i="201" s="1"/>
  <c r="G37" i="201"/>
  <c r="I37" i="201" s="1"/>
  <c r="G34" i="201"/>
  <c r="I34" i="201" s="1"/>
  <c r="G26" i="201"/>
  <c r="I26" i="201" s="1"/>
  <c r="G18" i="201"/>
  <c r="I18" i="201" s="1"/>
  <c r="G40" i="201"/>
  <c r="I40" i="201" s="1"/>
  <c r="G20" i="201"/>
  <c r="I20" i="201" s="1"/>
  <c r="G43" i="201"/>
  <c r="I43" i="201" s="1"/>
  <c r="G39" i="201"/>
  <c r="I39" i="201" s="1"/>
  <c r="G35" i="201"/>
  <c r="I35" i="201" s="1"/>
  <c r="G31" i="201"/>
  <c r="I31" i="201" s="1"/>
  <c r="G27" i="201"/>
  <c r="I27" i="201" s="1"/>
  <c r="G23" i="201"/>
  <c r="I23" i="201" s="1"/>
  <c r="G19" i="201"/>
  <c r="I19" i="201" s="1"/>
  <c r="G15" i="201"/>
  <c r="I15" i="201" s="1"/>
  <c r="G42" i="201"/>
  <c r="I42" i="201" s="1"/>
  <c r="G10" i="201"/>
  <c r="G36" i="201"/>
  <c r="I36" i="201" s="1"/>
  <c r="G24" i="201"/>
  <c r="I24" i="201" s="1"/>
  <c r="G16" i="201"/>
  <c r="I16" i="201" s="1"/>
  <c r="G22" i="201"/>
  <c r="I22" i="201" s="1"/>
  <c r="G32" i="201"/>
  <c r="I32" i="201" s="1"/>
  <c r="G28" i="201"/>
  <c r="I28" i="201" s="1"/>
  <c r="G12" i="201"/>
  <c r="I12" i="201" s="1"/>
  <c r="H195" i="117"/>
  <c r="H199" i="117" s="1"/>
  <c r="S73" i="117"/>
  <c r="S50" i="117"/>
  <c r="T50" i="117"/>
  <c r="T73" i="117"/>
  <c r="V12" i="155"/>
  <c r="U12" i="155"/>
  <c r="T12" i="155"/>
  <c r="S12" i="155"/>
  <c r="R12" i="155"/>
  <c r="Q12" i="155"/>
  <c r="P12" i="155"/>
  <c r="O12" i="155"/>
  <c r="N12" i="155"/>
  <c r="M12" i="155"/>
  <c r="L12" i="155"/>
  <c r="K12" i="155"/>
  <c r="J12" i="155"/>
  <c r="I12" i="155"/>
  <c r="H12" i="155"/>
  <c r="G12" i="155"/>
  <c r="F12" i="155"/>
  <c r="D12" i="155"/>
  <c r="E12" i="155"/>
  <c r="C12" i="155"/>
  <c r="N14" i="154"/>
  <c r="L14" i="154"/>
  <c r="F53" i="197" l="1"/>
  <c r="F31" i="197"/>
  <c r="F75" i="197"/>
  <c r="F70" i="197"/>
  <c r="G70" i="197"/>
  <c r="F57" i="197"/>
  <c r="F36" i="197"/>
  <c r="F67" i="197"/>
  <c r="F74" i="197"/>
  <c r="F18" i="197"/>
  <c r="F82" i="197"/>
  <c r="F61" i="197"/>
  <c r="F32" i="197"/>
  <c r="F19" i="197"/>
  <c r="F11" i="197"/>
  <c r="F15" i="233"/>
  <c r="F78" i="197"/>
  <c r="F65" i="197"/>
  <c r="F44" i="197"/>
  <c r="F45" i="197"/>
  <c r="F80" i="197"/>
  <c r="F62" i="197"/>
  <c r="F28" i="197"/>
  <c r="F24" i="197"/>
  <c r="F26" i="197"/>
  <c r="F55" i="197"/>
  <c r="F69" i="197"/>
  <c r="F40" i="197"/>
  <c r="F27" i="197"/>
  <c r="F22" i="197"/>
  <c r="G22" i="197"/>
  <c r="F23" i="197"/>
  <c r="F73" i="197"/>
  <c r="F52" i="197"/>
  <c r="F34" i="197"/>
  <c r="G34" i="197"/>
  <c r="F71" i="197"/>
  <c r="F77" i="197"/>
  <c r="F48" i="197"/>
  <c r="F35" i="197"/>
  <c r="F30" i="197"/>
  <c r="F17" i="197"/>
  <c r="F21" i="233"/>
  <c r="F81" i="197"/>
  <c r="F60" i="197"/>
  <c r="F42" i="197"/>
  <c r="F21" i="197"/>
  <c r="F39" i="197"/>
  <c r="F56" i="197"/>
  <c r="F43" i="197"/>
  <c r="F38" i="197"/>
  <c r="F25" i="197"/>
  <c r="F68" i="197"/>
  <c r="F50" i="197"/>
  <c r="F29" i="197"/>
  <c r="G29" i="197"/>
  <c r="F47" i="197"/>
  <c r="F64" i="197"/>
  <c r="F68" i="233"/>
  <c r="F51" i="197"/>
  <c r="F46" i="197"/>
  <c r="F50" i="233"/>
  <c r="F33" i="197"/>
  <c r="F79" i="197"/>
  <c r="F83" i="233"/>
  <c r="F76" i="197"/>
  <c r="F66" i="197"/>
  <c r="F15" i="197"/>
  <c r="F19" i="233"/>
  <c r="F49" i="197"/>
  <c r="G49" i="197"/>
  <c r="F58" i="197"/>
  <c r="F37" i="197"/>
  <c r="F63" i="197"/>
  <c r="F72" i="197"/>
  <c r="F59" i="197"/>
  <c r="F54" i="197"/>
  <c r="F41" i="197"/>
  <c r="F20" i="197"/>
  <c r="F24" i="233"/>
  <c r="F13" i="197"/>
  <c r="F17" i="233"/>
  <c r="F9" i="197"/>
  <c r="E9" i="197"/>
  <c r="F13" i="233" s="1"/>
  <c r="F82" i="233"/>
  <c r="F47" i="233"/>
  <c r="F30" i="233"/>
  <c r="G69" i="197"/>
  <c r="F27" i="233"/>
  <c r="F40" i="233"/>
  <c r="F22" i="233"/>
  <c r="F86" i="233"/>
  <c r="F65" i="233"/>
  <c r="G51" i="197"/>
  <c r="F69" i="233"/>
  <c r="F56" i="233"/>
  <c r="G47" i="197"/>
  <c r="G77" i="197"/>
  <c r="F23" i="233"/>
  <c r="G55" i="197"/>
  <c r="G15" i="197"/>
  <c r="I19" i="233" s="1"/>
  <c r="L19" i="233" s="1"/>
  <c r="F79" i="233"/>
  <c r="G54" i="197"/>
  <c r="G76" i="197"/>
  <c r="F41" i="233"/>
  <c r="G11" i="197"/>
  <c r="I15" i="233" s="1"/>
  <c r="N15" i="233" s="1"/>
  <c r="G80" i="197"/>
  <c r="F62" i="233"/>
  <c r="G39" i="197"/>
  <c r="F61" i="233"/>
  <c r="F70" i="233"/>
  <c r="F37" i="233"/>
  <c r="G13" i="197"/>
  <c r="F32" i="233"/>
  <c r="G17" i="197"/>
  <c r="G25" i="198"/>
  <c r="I29" i="235" s="1"/>
  <c r="G9" i="198"/>
  <c r="G11" i="198"/>
  <c r="G17" i="198"/>
  <c r="G13" i="198"/>
  <c r="I17" i="235" s="1"/>
  <c r="G15" i="198"/>
  <c r="I19" i="235" s="1"/>
  <c r="G82" i="198"/>
  <c r="I86" i="235" s="1"/>
  <c r="F67" i="233"/>
  <c r="F31" i="233"/>
  <c r="F45" i="233"/>
  <c r="G89" i="233"/>
  <c r="G43" i="197"/>
  <c r="G63" i="197"/>
  <c r="G36" i="197"/>
  <c r="G41" i="197"/>
  <c r="G27" i="197"/>
  <c r="K19" i="201"/>
  <c r="J19" i="201"/>
  <c r="L19" i="201" s="1"/>
  <c r="K40" i="201"/>
  <c r="J40" i="201"/>
  <c r="L40" i="201" s="1"/>
  <c r="K30" i="201"/>
  <c r="J30" i="201"/>
  <c r="L30" i="201" s="1"/>
  <c r="J36" i="201"/>
  <c r="L36" i="201" s="1"/>
  <c r="K36" i="201"/>
  <c r="K31" i="201"/>
  <c r="J31" i="201"/>
  <c r="L31" i="201" s="1"/>
  <c r="K34" i="201"/>
  <c r="J34" i="201"/>
  <c r="L34" i="201" s="1"/>
  <c r="J17" i="201"/>
  <c r="L17" i="201" s="1"/>
  <c r="K17" i="201"/>
  <c r="J32" i="201"/>
  <c r="L32" i="201" s="1"/>
  <c r="K32" i="201"/>
  <c r="K43" i="201"/>
  <c r="J43" i="201"/>
  <c r="L43" i="201" s="1"/>
  <c r="K41" i="201"/>
  <c r="J41" i="201"/>
  <c r="L41" i="201" s="1"/>
  <c r="K29" i="201"/>
  <c r="J29" i="201"/>
  <c r="L29" i="201" s="1"/>
  <c r="J16" i="201"/>
  <c r="L16" i="201" s="1"/>
  <c r="K16" i="201"/>
  <c r="K23" i="201"/>
  <c r="J23" i="201"/>
  <c r="L23" i="201" s="1"/>
  <c r="K18" i="201"/>
  <c r="J18" i="201"/>
  <c r="L18" i="201" s="1"/>
  <c r="K12" i="201"/>
  <c r="J12" i="201"/>
  <c r="K35" i="201"/>
  <c r="J35" i="201"/>
  <c r="L35" i="201" s="1"/>
  <c r="J21" i="201"/>
  <c r="L21" i="201" s="1"/>
  <c r="K21" i="201"/>
  <c r="G38" i="201"/>
  <c r="I38" i="201" s="1"/>
  <c r="I44" i="201" s="1"/>
  <c r="K15" i="201"/>
  <c r="J15" i="201"/>
  <c r="L15" i="201" s="1"/>
  <c r="J20" i="201"/>
  <c r="L20" i="201" s="1"/>
  <c r="K20" i="201"/>
  <c r="J14" i="201"/>
  <c r="L14" i="201" s="1"/>
  <c r="K14" i="201"/>
  <c r="J33" i="201"/>
  <c r="L33" i="201" s="1"/>
  <c r="K33" i="201"/>
  <c r="K22" i="201"/>
  <c r="J22" i="201"/>
  <c r="L22" i="201" s="1"/>
  <c r="K24" i="201"/>
  <c r="J24" i="201"/>
  <c r="L24" i="201" s="1"/>
  <c r="J27" i="201"/>
  <c r="L27" i="201" s="1"/>
  <c r="K27" i="201"/>
  <c r="K26" i="201"/>
  <c r="J26" i="201"/>
  <c r="L26" i="201" s="1"/>
  <c r="I13" i="201"/>
  <c r="G45" i="201"/>
  <c r="J28" i="201"/>
  <c r="L28" i="201" s="1"/>
  <c r="K28" i="201"/>
  <c r="K42" i="201"/>
  <c r="J42" i="201"/>
  <c r="L42" i="201" s="1"/>
  <c r="K39" i="201"/>
  <c r="J39" i="201"/>
  <c r="L39" i="201" s="1"/>
  <c r="K37" i="201"/>
  <c r="J37" i="201"/>
  <c r="L37" i="201" s="1"/>
  <c r="K25" i="201"/>
  <c r="J25" i="201"/>
  <c r="L25" i="201" s="1"/>
  <c r="S75" i="117"/>
  <c r="S52" i="117"/>
  <c r="J15" i="154"/>
  <c r="P64" i="154"/>
  <c r="N64" i="154"/>
  <c r="L64" i="154"/>
  <c r="J63" i="154"/>
  <c r="H63" i="154"/>
  <c r="F63" i="154"/>
  <c r="D63" i="154"/>
  <c r="H13" i="154"/>
  <c r="D13" i="154"/>
  <c r="J13" i="154"/>
  <c r="F13" i="154"/>
  <c r="H15" i="154"/>
  <c r="F15" i="154"/>
  <c r="D15" i="154"/>
  <c r="A7" i="154"/>
  <c r="A6" i="154"/>
  <c r="U66" i="153"/>
  <c r="T66" i="153"/>
  <c r="S66" i="153"/>
  <c r="R66" i="153"/>
  <c r="Q66" i="153"/>
  <c r="P66" i="153"/>
  <c r="M65" i="153"/>
  <c r="G65" i="153"/>
  <c r="D65" i="153"/>
  <c r="J65" i="153"/>
  <c r="J48" i="153"/>
  <c r="I48" i="153"/>
  <c r="H48" i="153"/>
  <c r="D48" i="153"/>
  <c r="F48" i="153"/>
  <c r="G48" i="153"/>
  <c r="E48" i="153"/>
  <c r="G49" i="153"/>
  <c r="N16" i="153"/>
  <c r="M16" i="153"/>
  <c r="J14" i="153"/>
  <c r="G14" i="153"/>
  <c r="D14" i="153"/>
  <c r="A7" i="153"/>
  <c r="A6" i="153"/>
  <c r="K48" i="152"/>
  <c r="J48" i="152"/>
  <c r="I48" i="152"/>
  <c r="H48" i="152"/>
  <c r="G48" i="152"/>
  <c r="F48" i="152"/>
  <c r="E48" i="152"/>
  <c r="D48" i="152"/>
  <c r="C48" i="152"/>
  <c r="B48" i="152"/>
  <c r="H35" i="152"/>
  <c r="G35" i="152"/>
  <c r="F35" i="152"/>
  <c r="E35" i="152"/>
  <c r="D35" i="152"/>
  <c r="C35" i="152"/>
  <c r="B35" i="152"/>
  <c r="H24" i="152"/>
  <c r="G24" i="152"/>
  <c r="F24" i="152"/>
  <c r="E24" i="152"/>
  <c r="D24" i="152"/>
  <c r="C24" i="152"/>
  <c r="B24" i="152"/>
  <c r="P13" i="152"/>
  <c r="O13" i="152"/>
  <c r="N13" i="152"/>
  <c r="M13" i="152"/>
  <c r="L13" i="152"/>
  <c r="K13" i="152"/>
  <c r="J13" i="152"/>
  <c r="I13" i="152"/>
  <c r="H13" i="152"/>
  <c r="G13" i="152"/>
  <c r="F13" i="152"/>
  <c r="E13" i="152"/>
  <c r="D13" i="152"/>
  <c r="C13" i="152"/>
  <c r="A7" i="152"/>
  <c r="A6" i="152"/>
  <c r="L10" i="141"/>
  <c r="I10" i="141"/>
  <c r="F10" i="141"/>
  <c r="G9" i="141"/>
  <c r="D9" i="141"/>
  <c r="L10" i="136"/>
  <c r="I10" i="136"/>
  <c r="F10" i="136"/>
  <c r="G9" i="136"/>
  <c r="D9" i="136"/>
  <c r="F6" i="61"/>
  <c r="B6" i="61"/>
  <c r="J8" i="3"/>
  <c r="G8" i="3"/>
  <c r="D8" i="3"/>
  <c r="I7" i="2"/>
  <c r="F7" i="2"/>
  <c r="C7" i="2"/>
  <c r="J8" i="1"/>
  <c r="G8" i="1"/>
  <c r="D8" i="1"/>
  <c r="W8" i="79"/>
  <c r="R8" i="79"/>
  <c r="M8" i="79"/>
  <c r="A43" i="142"/>
  <c r="A35" i="142"/>
  <c r="L33" i="142"/>
  <c r="J33" i="142"/>
  <c r="J40" i="142"/>
  <c r="A2" i="142"/>
  <c r="G9" i="197" l="1"/>
  <c r="I13" i="233" s="1"/>
  <c r="L13" i="233" s="1"/>
  <c r="F38" i="233"/>
  <c r="G75" i="197"/>
  <c r="I79" i="233" s="1"/>
  <c r="G78" i="197"/>
  <c r="F81" i="233"/>
  <c r="F55" i="233"/>
  <c r="G61" i="197"/>
  <c r="I65" i="233" s="1"/>
  <c r="G79" i="197"/>
  <c r="I83" i="233" s="1"/>
  <c r="G26" i="197"/>
  <c r="I30" i="233" s="1"/>
  <c r="F74" i="233"/>
  <c r="F73" i="233"/>
  <c r="G23" i="197"/>
  <c r="I27" i="233" s="1"/>
  <c r="N27" i="233" s="1"/>
  <c r="F80" i="233"/>
  <c r="F59" i="233"/>
  <c r="G20" i="197"/>
  <c r="I24" i="233" s="1"/>
  <c r="F51" i="233"/>
  <c r="G46" i="197"/>
  <c r="I50" i="233" s="1"/>
  <c r="G37" i="197"/>
  <c r="I41" i="233" s="1"/>
  <c r="N41" i="233" s="1"/>
  <c r="F58" i="233"/>
  <c r="G64" i="197"/>
  <c r="I68" i="233" s="1"/>
  <c r="F53" i="233"/>
  <c r="G65" i="197"/>
  <c r="I69" i="233" s="1"/>
  <c r="N69" i="233" s="1"/>
  <c r="G18" i="197"/>
  <c r="I22" i="233" s="1"/>
  <c r="G19" i="197"/>
  <c r="I23" i="233" s="1"/>
  <c r="F33" i="233"/>
  <c r="G52" i="197"/>
  <c r="I56" i="233" s="1"/>
  <c r="G82" i="197"/>
  <c r="I86" i="233" s="1"/>
  <c r="N86" i="233" s="1"/>
  <c r="I21" i="235"/>
  <c r="I15" i="235"/>
  <c r="N15" i="235" s="1"/>
  <c r="I13" i="235"/>
  <c r="N13" i="235" s="1"/>
  <c r="N19" i="233"/>
  <c r="A97" i="197"/>
  <c r="G58" i="197"/>
  <c r="I62" i="233" s="1"/>
  <c r="F84" i="233"/>
  <c r="F26" i="233"/>
  <c r="L15" i="233"/>
  <c r="G33" i="197"/>
  <c r="I37" i="233" s="1"/>
  <c r="G44" i="197"/>
  <c r="F48" i="233"/>
  <c r="I47" i="233"/>
  <c r="N47" i="233" s="1"/>
  <c r="F72" i="233"/>
  <c r="G59" i="197"/>
  <c r="I63" i="233" s="1"/>
  <c r="G57" i="197"/>
  <c r="I61" i="233" s="1"/>
  <c r="I84" i="233"/>
  <c r="N84" i="233" s="1"/>
  <c r="G72" i="197"/>
  <c r="G50" i="197"/>
  <c r="F46" i="233"/>
  <c r="F57" i="233"/>
  <c r="I31" i="233"/>
  <c r="N31" i="233" s="1"/>
  <c r="G24" i="197"/>
  <c r="F34" i="233"/>
  <c r="G71" i="197"/>
  <c r="G73" i="197"/>
  <c r="I74" i="233"/>
  <c r="N74" i="233" s="1"/>
  <c r="G81" i="197"/>
  <c r="F64" i="233"/>
  <c r="G28" i="197"/>
  <c r="G21" i="197"/>
  <c r="G66" i="197"/>
  <c r="I55" i="233"/>
  <c r="N55" i="233" s="1"/>
  <c r="F39" i="233"/>
  <c r="G74" i="197"/>
  <c r="F36" i="233"/>
  <c r="F29" i="233"/>
  <c r="F42" i="233"/>
  <c r="F66" i="233"/>
  <c r="I38" i="233"/>
  <c r="N38" i="233" s="1"/>
  <c r="I67" i="233"/>
  <c r="N67" i="233" s="1"/>
  <c r="G31" i="197"/>
  <c r="F60" i="233"/>
  <c r="F71" i="233"/>
  <c r="I17" i="233"/>
  <c r="L17" i="233" s="1"/>
  <c r="F52" i="233"/>
  <c r="I53" i="233"/>
  <c r="N53" i="233" s="1"/>
  <c r="I33" i="233"/>
  <c r="N33" i="233" s="1"/>
  <c r="F43" i="233"/>
  <c r="I21" i="233"/>
  <c r="L21" i="233" s="1"/>
  <c r="F44" i="233"/>
  <c r="F49" i="233"/>
  <c r="N19" i="235"/>
  <c r="L19" i="235"/>
  <c r="F77" i="233"/>
  <c r="G48" i="197"/>
  <c r="G37" i="198"/>
  <c r="I41" i="235" s="1"/>
  <c r="G45" i="197"/>
  <c r="I49" i="233" s="1"/>
  <c r="G38" i="197"/>
  <c r="G25" i="197"/>
  <c r="F78" i="233"/>
  <c r="G32" i="197"/>
  <c r="G53" i="197"/>
  <c r="G42" i="197"/>
  <c r="G62" i="197"/>
  <c r="G35" i="197"/>
  <c r="F25" i="233"/>
  <c r="G68" i="197"/>
  <c r="F85" i="233"/>
  <c r="G32" i="198"/>
  <c r="I36" i="235" s="1"/>
  <c r="G35" i="198"/>
  <c r="I39" i="235" s="1"/>
  <c r="G48" i="198"/>
  <c r="I52" i="235" s="1"/>
  <c r="G30" i="197"/>
  <c r="F28" i="233"/>
  <c r="F63" i="233"/>
  <c r="G45" i="198"/>
  <c r="I49" i="235" s="1"/>
  <c r="G22" i="198"/>
  <c r="I26" i="235" s="1"/>
  <c r="N26" i="235" s="1"/>
  <c r="G51" i="198"/>
  <c r="I55" i="235" s="1"/>
  <c r="G40" i="197"/>
  <c r="G67" i="197"/>
  <c r="I71" i="233" s="1"/>
  <c r="G29" i="198"/>
  <c r="I33" i="235" s="1"/>
  <c r="G77" i="198"/>
  <c r="I81" i="235" s="1"/>
  <c r="N81" i="235" s="1"/>
  <c r="F54" i="233"/>
  <c r="F76" i="233"/>
  <c r="F75" i="233"/>
  <c r="G59" i="198"/>
  <c r="I63" i="235" s="1"/>
  <c r="G60" i="197"/>
  <c r="G72" i="198"/>
  <c r="I76" i="235" s="1"/>
  <c r="G62" i="198"/>
  <c r="I66" i="235" s="1"/>
  <c r="G66" i="198"/>
  <c r="I70" i="235" s="1"/>
  <c r="G19" i="198"/>
  <c r="I23" i="235" s="1"/>
  <c r="L23" i="235" s="1"/>
  <c r="F35" i="233"/>
  <c r="G43" i="198"/>
  <c r="I47" i="235" s="1"/>
  <c r="G52" i="198"/>
  <c r="I56" i="235" s="1"/>
  <c r="L56" i="235" s="1"/>
  <c r="G56" i="197"/>
  <c r="G57" i="198"/>
  <c r="I61" i="235" s="1"/>
  <c r="G39" i="198"/>
  <c r="I43" i="235" s="1"/>
  <c r="N43" i="235" s="1"/>
  <c r="G49" i="198"/>
  <c r="I53" i="235" s="1"/>
  <c r="G33" i="198"/>
  <c r="I37" i="235" s="1"/>
  <c r="N37" i="235" s="1"/>
  <c r="G81" i="198"/>
  <c r="I85" i="235" s="1"/>
  <c r="G54" i="198"/>
  <c r="I58" i="235" s="1"/>
  <c r="N58" i="235" s="1"/>
  <c r="G27" i="198"/>
  <c r="I31" i="235" s="1"/>
  <c r="G63" i="198"/>
  <c r="I67" i="235" s="1"/>
  <c r="G58" i="198"/>
  <c r="I62" i="235" s="1"/>
  <c r="N62" i="235" s="1"/>
  <c r="G79" i="198"/>
  <c r="I83" i="235" s="1"/>
  <c r="N83" i="235" s="1"/>
  <c r="G41" i="198"/>
  <c r="I45" i="235" s="1"/>
  <c r="L45" i="235" s="1"/>
  <c r="G67" i="198"/>
  <c r="I71" i="235" s="1"/>
  <c r="G74" i="198"/>
  <c r="I78" i="235" s="1"/>
  <c r="G60" i="198"/>
  <c r="I64" i="235" s="1"/>
  <c r="G71" i="198"/>
  <c r="I75" i="235" s="1"/>
  <c r="G68" i="198"/>
  <c r="I72" i="235" s="1"/>
  <c r="G69" i="198"/>
  <c r="I73" i="235" s="1"/>
  <c r="L73" i="235" s="1"/>
  <c r="G20" i="198"/>
  <c r="I24" i="235" s="1"/>
  <c r="N24" i="235" s="1"/>
  <c r="G23" i="198"/>
  <c r="I27" i="235" s="1"/>
  <c r="G30" i="198"/>
  <c r="I34" i="235" s="1"/>
  <c r="G65" i="198"/>
  <c r="I69" i="235" s="1"/>
  <c r="G64" i="198"/>
  <c r="I68" i="235" s="1"/>
  <c r="L68" i="235" s="1"/>
  <c r="G47" i="198"/>
  <c r="I51" i="235" s="1"/>
  <c r="L51" i="235" s="1"/>
  <c r="G40" i="198"/>
  <c r="I44" i="235" s="1"/>
  <c r="G50" i="198"/>
  <c r="I54" i="235" s="1"/>
  <c r="G44" i="198"/>
  <c r="I48" i="235" s="1"/>
  <c r="L48" i="235" s="1"/>
  <c r="G61" i="198"/>
  <c r="I65" i="235" s="1"/>
  <c r="L65" i="235" s="1"/>
  <c r="G75" i="198"/>
  <c r="I79" i="235" s="1"/>
  <c r="N79" i="235" s="1"/>
  <c r="G80" i="198"/>
  <c r="I84" i="235" s="1"/>
  <c r="G78" i="198"/>
  <c r="I82" i="235" s="1"/>
  <c r="L82" i="235" s="1"/>
  <c r="G56" i="198"/>
  <c r="I60" i="235" s="1"/>
  <c r="G31" i="198"/>
  <c r="I35" i="235" s="1"/>
  <c r="G73" i="198"/>
  <c r="I77" i="235" s="1"/>
  <c r="G34" i="198"/>
  <c r="I38" i="235" s="1"/>
  <c r="G42" i="198"/>
  <c r="I46" i="235" s="1"/>
  <c r="G26" i="198"/>
  <c r="I30" i="235" s="1"/>
  <c r="L30" i="235" s="1"/>
  <c r="G21" i="198"/>
  <c r="I25" i="235" s="1"/>
  <c r="G70" i="198"/>
  <c r="I74" i="235" s="1"/>
  <c r="G76" i="198"/>
  <c r="I80" i="235" s="1"/>
  <c r="L80" i="235" s="1"/>
  <c r="G46" i="198"/>
  <c r="I50" i="235" s="1"/>
  <c r="N50" i="235" s="1"/>
  <c r="G18" i="198"/>
  <c r="G24" i="198"/>
  <c r="I28" i="235" s="1"/>
  <c r="G38" i="198"/>
  <c r="I42" i="235" s="1"/>
  <c r="G55" i="198"/>
  <c r="I59" i="235" s="1"/>
  <c r="L59" i="235" s="1"/>
  <c r="G36" i="198"/>
  <c r="I40" i="235" s="1"/>
  <c r="N40" i="235" s="1"/>
  <c r="G53" i="198"/>
  <c r="I57" i="235" s="1"/>
  <c r="G28" i="198"/>
  <c r="I32" i="235" s="1"/>
  <c r="I80" i="233"/>
  <c r="I58" i="233"/>
  <c r="I51" i="233"/>
  <c r="I59" i="233"/>
  <c r="N59" i="233" s="1"/>
  <c r="I26" i="233"/>
  <c r="I82" i="233"/>
  <c r="N82" i="233" s="1"/>
  <c r="I73" i="233"/>
  <c r="I81" i="233"/>
  <c r="I43" i="233"/>
  <c r="N43" i="233" s="1"/>
  <c r="I40" i="233"/>
  <c r="I45" i="233"/>
  <c r="N45" i="233" s="1"/>
  <c r="G44" i="201"/>
  <c r="G46" i="201" s="1"/>
  <c r="K38" i="201"/>
  <c r="J38" i="201"/>
  <c r="L38" i="201" s="1"/>
  <c r="K44" i="201"/>
  <c r="L12" i="201"/>
  <c r="J13" i="201"/>
  <c r="K13" i="201"/>
  <c r="I45" i="201"/>
  <c r="K45" i="201" s="1"/>
  <c r="D55" i="152"/>
  <c r="C55" i="152"/>
  <c r="B55" i="152"/>
  <c r="N13" i="233" l="1"/>
  <c r="L13" i="235"/>
  <c r="L15" i="235"/>
  <c r="G84" i="197"/>
  <c r="G86" i="197"/>
  <c r="G85" i="197"/>
  <c r="G83" i="198"/>
  <c r="G85" i="198"/>
  <c r="I22" i="235"/>
  <c r="L22" i="235" s="1"/>
  <c r="G86" i="198"/>
  <c r="G84" i="198"/>
  <c r="L41" i="233"/>
  <c r="L69" i="233"/>
  <c r="N17" i="233"/>
  <c r="L67" i="233"/>
  <c r="L33" i="233"/>
  <c r="L79" i="235"/>
  <c r="N25" i="235"/>
  <c r="N71" i="235"/>
  <c r="N59" i="235"/>
  <c r="N32" i="235"/>
  <c r="N76" i="235"/>
  <c r="N23" i="235"/>
  <c r="N35" i="235"/>
  <c r="N30" i="235"/>
  <c r="L37" i="235"/>
  <c r="N65" i="235"/>
  <c r="N66" i="235"/>
  <c r="L24" i="235"/>
  <c r="N73" i="235"/>
  <c r="L53" i="233"/>
  <c r="N57" i="235"/>
  <c r="N52" i="235"/>
  <c r="L26" i="235"/>
  <c r="L62" i="235"/>
  <c r="L81" i="235"/>
  <c r="L58" i="235"/>
  <c r="L40" i="235"/>
  <c r="N80" i="235"/>
  <c r="N68" i="235"/>
  <c r="N48" i="235"/>
  <c r="L50" i="235"/>
  <c r="L83" i="235"/>
  <c r="N82" i="235"/>
  <c r="N45" i="235"/>
  <c r="N51" i="235"/>
  <c r="I25" i="233"/>
  <c r="N25" i="233" s="1"/>
  <c r="I35" i="233"/>
  <c r="L35" i="233" s="1"/>
  <c r="N56" i="235"/>
  <c r="I66" i="233"/>
  <c r="L66" i="233" s="1"/>
  <c r="L27" i="233"/>
  <c r="I76" i="233"/>
  <c r="L76" i="233" s="1"/>
  <c r="L43" i="235"/>
  <c r="N61" i="235"/>
  <c r="I48" i="233"/>
  <c r="L48" i="233" s="1"/>
  <c r="N49" i="235"/>
  <c r="N70" i="235"/>
  <c r="N63" i="235"/>
  <c r="L47" i="233"/>
  <c r="I70" i="233"/>
  <c r="L70" i="233" s="1"/>
  <c r="L31" i="233"/>
  <c r="N21" i="233"/>
  <c r="I39" i="233"/>
  <c r="N39" i="233" s="1"/>
  <c r="N33" i="235"/>
  <c r="L33" i="235"/>
  <c r="L66" i="235"/>
  <c r="I34" i="233"/>
  <c r="N34" i="233" s="1"/>
  <c r="I77" i="233"/>
  <c r="L63" i="235"/>
  <c r="N69" i="235"/>
  <c r="L69" i="235"/>
  <c r="L57" i="235"/>
  <c r="N27" i="235"/>
  <c r="L27" i="235"/>
  <c r="I52" i="233"/>
  <c r="L52" i="233" s="1"/>
  <c r="L55" i="233"/>
  <c r="I60" i="233"/>
  <c r="N60" i="233" s="1"/>
  <c r="I64" i="233"/>
  <c r="N64" i="233" s="1"/>
  <c r="I46" i="233"/>
  <c r="N46" i="233" s="1"/>
  <c r="L46" i="235"/>
  <c r="L52" i="235"/>
  <c r="L35" i="235"/>
  <c r="N41" i="235"/>
  <c r="L41" i="235"/>
  <c r="I28" i="233"/>
  <c r="N28" i="233" s="1"/>
  <c r="L28" i="235"/>
  <c r="N84" i="235"/>
  <c r="L84" i="235"/>
  <c r="L49" i="235"/>
  <c r="N55" i="235"/>
  <c r="L55" i="235"/>
  <c r="I75" i="233"/>
  <c r="N75" i="233" s="1"/>
  <c r="I32" i="233"/>
  <c r="L32" i="233" s="1"/>
  <c r="L86" i="233"/>
  <c r="L84" i="233"/>
  <c r="I36" i="233"/>
  <c r="N36" i="233" s="1"/>
  <c r="N17" i="235"/>
  <c r="L17" i="235"/>
  <c r="N67" i="235"/>
  <c r="L67" i="235"/>
  <c r="I78" i="233"/>
  <c r="N78" i="233" s="1"/>
  <c r="I85" i="233"/>
  <c r="N85" i="233" s="1"/>
  <c r="L85" i="235"/>
  <c r="L61" i="235"/>
  <c r="L38" i="233"/>
  <c r="I44" i="233"/>
  <c r="L44" i="233" s="1"/>
  <c r="L44" i="235"/>
  <c r="N31" i="235"/>
  <c r="L31" i="235"/>
  <c r="L74" i="233"/>
  <c r="L39" i="235"/>
  <c r="L25" i="235"/>
  <c r="F89" i="235"/>
  <c r="A95" i="198" s="1"/>
  <c r="I54" i="233"/>
  <c r="N54" i="233" s="1"/>
  <c r="L54" i="235"/>
  <c r="N47" i="235"/>
  <c r="L47" i="235"/>
  <c r="I42" i="233"/>
  <c r="L42" i="235"/>
  <c r="L29" i="235"/>
  <c r="L32" i="235"/>
  <c r="L34" i="235"/>
  <c r="N21" i="235"/>
  <c r="L21" i="235"/>
  <c r="N53" i="235"/>
  <c r="L53" i="235"/>
  <c r="L70" i="235"/>
  <c r="I72" i="233"/>
  <c r="L72" i="233" s="1"/>
  <c r="I29" i="233"/>
  <c r="N29" i="233" s="1"/>
  <c r="N86" i="235"/>
  <c r="L86" i="235"/>
  <c r="L71" i="235"/>
  <c r="N38" i="235"/>
  <c r="L38" i="235"/>
  <c r="N74" i="235"/>
  <c r="L74" i="235"/>
  <c r="L76" i="235"/>
  <c r="I57" i="233"/>
  <c r="N57" i="233" s="1"/>
  <c r="G83" i="197"/>
  <c r="L37" i="233"/>
  <c r="N37" i="233"/>
  <c r="L23" i="233"/>
  <c r="N23" i="233"/>
  <c r="L22" i="233"/>
  <c r="N22" i="233"/>
  <c r="L30" i="233"/>
  <c r="N30" i="233"/>
  <c r="L65" i="233"/>
  <c r="N65" i="233"/>
  <c r="L26" i="233"/>
  <c r="N26" i="233"/>
  <c r="L24" i="233"/>
  <c r="N24" i="233"/>
  <c r="L49" i="233"/>
  <c r="N49" i="233"/>
  <c r="L73" i="233"/>
  <c r="N73" i="233"/>
  <c r="L61" i="233"/>
  <c r="N61" i="233"/>
  <c r="L51" i="233"/>
  <c r="N51" i="233"/>
  <c r="L45" i="233"/>
  <c r="L43" i="233"/>
  <c r="L80" i="233"/>
  <c r="N80" i="233"/>
  <c r="L50" i="233"/>
  <c r="N50" i="233"/>
  <c r="L71" i="233"/>
  <c r="N71" i="233"/>
  <c r="L79" i="233"/>
  <c r="N79" i="233"/>
  <c r="L63" i="233"/>
  <c r="N63" i="233"/>
  <c r="L56" i="233"/>
  <c r="N56" i="233"/>
  <c r="L82" i="233"/>
  <c r="L62" i="233"/>
  <c r="N62" i="233"/>
  <c r="L81" i="233"/>
  <c r="N81" i="233"/>
  <c r="L68" i="233"/>
  <c r="N68" i="233"/>
  <c r="L40" i="233"/>
  <c r="N40" i="233"/>
  <c r="L83" i="233"/>
  <c r="N83" i="233"/>
  <c r="L58" i="233"/>
  <c r="N58" i="233"/>
  <c r="L59" i="233"/>
  <c r="I46" i="201"/>
  <c r="K46" i="201" s="1"/>
  <c r="J44" i="201"/>
  <c r="L44" i="201" s="1"/>
  <c r="L13" i="201"/>
  <c r="J45" i="201"/>
  <c r="L45" i="201" s="1"/>
  <c r="H12" i="2"/>
  <c r="N12" i="2" s="1"/>
  <c r="G12" i="2"/>
  <c r="M12" i="2" s="1"/>
  <c r="F12" i="2"/>
  <c r="L12" i="2" s="1"/>
  <c r="C9" i="195" s="1"/>
  <c r="E9" i="195" s="1"/>
  <c r="BR21" i="84"/>
  <c r="BR22" i="84"/>
  <c r="BR23" i="84"/>
  <c r="BR24" i="84"/>
  <c r="BR25" i="84"/>
  <c r="BR26" i="84"/>
  <c r="BR27" i="84"/>
  <c r="BR28" i="84"/>
  <c r="BR29" i="84"/>
  <c r="BR30" i="84"/>
  <c r="BR31" i="84"/>
  <c r="BR32" i="84"/>
  <c r="BR33" i="84"/>
  <c r="BR34" i="84"/>
  <c r="BR35" i="84"/>
  <c r="BR36" i="84"/>
  <c r="BR37" i="84"/>
  <c r="BR38" i="84"/>
  <c r="BR39" i="84"/>
  <c r="BR40" i="84"/>
  <c r="BR41" i="84"/>
  <c r="BR42" i="84"/>
  <c r="BR43" i="84"/>
  <c r="BR44" i="84"/>
  <c r="BR45" i="84"/>
  <c r="BR46" i="84"/>
  <c r="BR47" i="84"/>
  <c r="BR48" i="84"/>
  <c r="BR49" i="84"/>
  <c r="BR50" i="84"/>
  <c r="BR51" i="84"/>
  <c r="BR52" i="84"/>
  <c r="BR53" i="84"/>
  <c r="BR54" i="84"/>
  <c r="BR55" i="84"/>
  <c r="BR56" i="84"/>
  <c r="BR57" i="84"/>
  <c r="BR58" i="84"/>
  <c r="BR59" i="84"/>
  <c r="BR60" i="84"/>
  <c r="BR61" i="84"/>
  <c r="BR62" i="84"/>
  <c r="BR63" i="84"/>
  <c r="BR64" i="84"/>
  <c r="BR65" i="84"/>
  <c r="BR66" i="84"/>
  <c r="BR67" i="84"/>
  <c r="BR68" i="84"/>
  <c r="BR69" i="84"/>
  <c r="BR70" i="84"/>
  <c r="BR71" i="84"/>
  <c r="BR72" i="84"/>
  <c r="BR73" i="84"/>
  <c r="BR74" i="84"/>
  <c r="BR75" i="84"/>
  <c r="BR76" i="84"/>
  <c r="BR77" i="84"/>
  <c r="BR78" i="84"/>
  <c r="BR79" i="84"/>
  <c r="BR80" i="84"/>
  <c r="BR81" i="84"/>
  <c r="BR82" i="84"/>
  <c r="BR83" i="84"/>
  <c r="BR84" i="84"/>
  <c r="BR85" i="84"/>
  <c r="BR86" i="84"/>
  <c r="BR87" i="84"/>
  <c r="BR88" i="84"/>
  <c r="BR89" i="84"/>
  <c r="BR90" i="84"/>
  <c r="BR91" i="84"/>
  <c r="BR92" i="84"/>
  <c r="BR93" i="84"/>
  <c r="BR94" i="84"/>
  <c r="BR95" i="84"/>
  <c r="BR96" i="84"/>
  <c r="BR97" i="84"/>
  <c r="BR98" i="84"/>
  <c r="BR99" i="84"/>
  <c r="BR100" i="84"/>
  <c r="BR101" i="84"/>
  <c r="BR102" i="84"/>
  <c r="BR103" i="84"/>
  <c r="BR104" i="84"/>
  <c r="BR105" i="84"/>
  <c r="BR106" i="84"/>
  <c r="BR107" i="84"/>
  <c r="BR108" i="84"/>
  <c r="BR109" i="84"/>
  <c r="BR110" i="84"/>
  <c r="BR111" i="84"/>
  <c r="BR112" i="84"/>
  <c r="BR113" i="84"/>
  <c r="BR114" i="84"/>
  <c r="BR115" i="84"/>
  <c r="BR116" i="84"/>
  <c r="BR117" i="84"/>
  <c r="BR118" i="84"/>
  <c r="BR119" i="84"/>
  <c r="BR120" i="84"/>
  <c r="BR121" i="84"/>
  <c r="BR122" i="84"/>
  <c r="BR123" i="84"/>
  <c r="BR124" i="84"/>
  <c r="BR125" i="84"/>
  <c r="BR126" i="84"/>
  <c r="BR127" i="84"/>
  <c r="BR128" i="84"/>
  <c r="BR129" i="84"/>
  <c r="BR130" i="84"/>
  <c r="BR131" i="84"/>
  <c r="BR132" i="84"/>
  <c r="BR133" i="84"/>
  <c r="BR134" i="84"/>
  <c r="BR135" i="84"/>
  <c r="BR136" i="84"/>
  <c r="BR137" i="84"/>
  <c r="BR138" i="84"/>
  <c r="BR139" i="84"/>
  <c r="BR140" i="84"/>
  <c r="BR141" i="84"/>
  <c r="BR142" i="84"/>
  <c r="BR143" i="84"/>
  <c r="BR144" i="84"/>
  <c r="BR145" i="84"/>
  <c r="BR146" i="84"/>
  <c r="BR147" i="84"/>
  <c r="BR148" i="84"/>
  <c r="BR149" i="84"/>
  <c r="BR150" i="84"/>
  <c r="BR151" i="84"/>
  <c r="BR152" i="84"/>
  <c r="BR153" i="84"/>
  <c r="BR154" i="84"/>
  <c r="BR155" i="84"/>
  <c r="BR156" i="84"/>
  <c r="BR157" i="84"/>
  <c r="BR158" i="84"/>
  <c r="BR159" i="84"/>
  <c r="BR160" i="84"/>
  <c r="BR161" i="84"/>
  <c r="BR162" i="84"/>
  <c r="BR163" i="84"/>
  <c r="BR164" i="84"/>
  <c r="BR165" i="84"/>
  <c r="BR166" i="84"/>
  <c r="BR167" i="84"/>
  <c r="BR168" i="84"/>
  <c r="BR169" i="84"/>
  <c r="BR170" i="84"/>
  <c r="BR171" i="84"/>
  <c r="BR172" i="84"/>
  <c r="BR173" i="84"/>
  <c r="BR174" i="84"/>
  <c r="BR175" i="84"/>
  <c r="BR176" i="84"/>
  <c r="BR177" i="84"/>
  <c r="BR178" i="84"/>
  <c r="BR179" i="84"/>
  <c r="BR180" i="84"/>
  <c r="BR181" i="84"/>
  <c r="BR182" i="84"/>
  <c r="BR183" i="84"/>
  <c r="BR184" i="84"/>
  <c r="BR185" i="84"/>
  <c r="BR186" i="84"/>
  <c r="BR187" i="84"/>
  <c r="BR188" i="84"/>
  <c r="BR189" i="84"/>
  <c r="BR190" i="84"/>
  <c r="BR191" i="84"/>
  <c r="BR192" i="84"/>
  <c r="BR193" i="84"/>
  <c r="BR194" i="84"/>
  <c r="BR195" i="84"/>
  <c r="BR196" i="84"/>
  <c r="BR197" i="84"/>
  <c r="BR198" i="84"/>
  <c r="BR199" i="84"/>
  <c r="BR200" i="84"/>
  <c r="BR201" i="84"/>
  <c r="BR202" i="84"/>
  <c r="BR203" i="84"/>
  <c r="BR204" i="84"/>
  <c r="BR205" i="84"/>
  <c r="BR206" i="84"/>
  <c r="BR207" i="84"/>
  <c r="BR208" i="84"/>
  <c r="BR209" i="84"/>
  <c r="BR210" i="84"/>
  <c r="BR211" i="84"/>
  <c r="BR212" i="84"/>
  <c r="BR213" i="84"/>
  <c r="BR214" i="84"/>
  <c r="BR215" i="84"/>
  <c r="BR216" i="84"/>
  <c r="BR217" i="84"/>
  <c r="BR218" i="84"/>
  <c r="BR219" i="84"/>
  <c r="BR20" i="84"/>
  <c r="BM21" i="84"/>
  <c r="BM22" i="84"/>
  <c r="BM23" i="84"/>
  <c r="BM24" i="84"/>
  <c r="BM25" i="84"/>
  <c r="BM26" i="84"/>
  <c r="BM27" i="84"/>
  <c r="BM28" i="84"/>
  <c r="BM29" i="84"/>
  <c r="BM30" i="84"/>
  <c r="BM31" i="84"/>
  <c r="BM32" i="84"/>
  <c r="BM33" i="84"/>
  <c r="BM34" i="84"/>
  <c r="BM35" i="84"/>
  <c r="BM36" i="84"/>
  <c r="BM37" i="84"/>
  <c r="BM38" i="84"/>
  <c r="BM39" i="84"/>
  <c r="BM40" i="84"/>
  <c r="BM41" i="84"/>
  <c r="BM42" i="84"/>
  <c r="BM43" i="84"/>
  <c r="BM44" i="84"/>
  <c r="BM45" i="84"/>
  <c r="BM46" i="84"/>
  <c r="BM47" i="84"/>
  <c r="BM48" i="84"/>
  <c r="BM49" i="84"/>
  <c r="BM50" i="84"/>
  <c r="BM51" i="84"/>
  <c r="BM52" i="84"/>
  <c r="BM53" i="84"/>
  <c r="BM54" i="84"/>
  <c r="BM55" i="84"/>
  <c r="BM56" i="84"/>
  <c r="BM57" i="84"/>
  <c r="BM58" i="84"/>
  <c r="BM59" i="84"/>
  <c r="BM60" i="84"/>
  <c r="BM61" i="84"/>
  <c r="BM62" i="84"/>
  <c r="BM63" i="84"/>
  <c r="BM64" i="84"/>
  <c r="BM65" i="84"/>
  <c r="BM66" i="84"/>
  <c r="BM67" i="84"/>
  <c r="BM68" i="84"/>
  <c r="BM69" i="84"/>
  <c r="BM70" i="84"/>
  <c r="BM71" i="84"/>
  <c r="BM72" i="84"/>
  <c r="BM73" i="84"/>
  <c r="BM74" i="84"/>
  <c r="BM75" i="84"/>
  <c r="BM76" i="84"/>
  <c r="BM77" i="84"/>
  <c r="BM78" i="84"/>
  <c r="BM79" i="84"/>
  <c r="BM80" i="84"/>
  <c r="BM81" i="84"/>
  <c r="BM82" i="84"/>
  <c r="BM83" i="84"/>
  <c r="BM84" i="84"/>
  <c r="BM85" i="84"/>
  <c r="BM86" i="84"/>
  <c r="BM87" i="84"/>
  <c r="BM88" i="84"/>
  <c r="BM89" i="84"/>
  <c r="BM90" i="84"/>
  <c r="BM91" i="84"/>
  <c r="BM92" i="84"/>
  <c r="BM93" i="84"/>
  <c r="BM94" i="84"/>
  <c r="BM95" i="84"/>
  <c r="BM96" i="84"/>
  <c r="BM97" i="84"/>
  <c r="BM98" i="84"/>
  <c r="BM99" i="84"/>
  <c r="BM100" i="84"/>
  <c r="BM101" i="84"/>
  <c r="BM102" i="84"/>
  <c r="BM103" i="84"/>
  <c r="BM104" i="84"/>
  <c r="BM105" i="84"/>
  <c r="BM106" i="84"/>
  <c r="BM107" i="84"/>
  <c r="BM108" i="84"/>
  <c r="BM109" i="84"/>
  <c r="BM110" i="84"/>
  <c r="BM111" i="84"/>
  <c r="BM112" i="84"/>
  <c r="BM113" i="84"/>
  <c r="BM114" i="84"/>
  <c r="BM115" i="84"/>
  <c r="BM116" i="84"/>
  <c r="BM117" i="84"/>
  <c r="BM118" i="84"/>
  <c r="BM119" i="84"/>
  <c r="BM120" i="84"/>
  <c r="BM121" i="84"/>
  <c r="BM122" i="84"/>
  <c r="BM123" i="84"/>
  <c r="BM124" i="84"/>
  <c r="BM125" i="84"/>
  <c r="BM126" i="84"/>
  <c r="BM127" i="84"/>
  <c r="BM128" i="84"/>
  <c r="BM129" i="84"/>
  <c r="BM130" i="84"/>
  <c r="BM131" i="84"/>
  <c r="BM132" i="84"/>
  <c r="BM133" i="84"/>
  <c r="BM134" i="84"/>
  <c r="BM135" i="84"/>
  <c r="BM136" i="84"/>
  <c r="BM137" i="84"/>
  <c r="BM138" i="84"/>
  <c r="BM139" i="84"/>
  <c r="BM140" i="84"/>
  <c r="BM141" i="84"/>
  <c r="BM142" i="84"/>
  <c r="BM143" i="84"/>
  <c r="BM144" i="84"/>
  <c r="BM145" i="84"/>
  <c r="BM146" i="84"/>
  <c r="BM147" i="84"/>
  <c r="BM148" i="84"/>
  <c r="BM149" i="84"/>
  <c r="BM150" i="84"/>
  <c r="BM151" i="84"/>
  <c r="BM152" i="84"/>
  <c r="BM153" i="84"/>
  <c r="BM154" i="84"/>
  <c r="BM155" i="84"/>
  <c r="BM156" i="84"/>
  <c r="BM157" i="84"/>
  <c r="BM158" i="84"/>
  <c r="BM159" i="84"/>
  <c r="BM160" i="84"/>
  <c r="BM161" i="84"/>
  <c r="BM162" i="84"/>
  <c r="BM163" i="84"/>
  <c r="BM164" i="84"/>
  <c r="BM165" i="84"/>
  <c r="BM166" i="84"/>
  <c r="BM167" i="84"/>
  <c r="BM168" i="84"/>
  <c r="BM169" i="84"/>
  <c r="BM170" i="84"/>
  <c r="BM171" i="84"/>
  <c r="BM172" i="84"/>
  <c r="BM173" i="84"/>
  <c r="BM174" i="84"/>
  <c r="BM175" i="84"/>
  <c r="BM176" i="84"/>
  <c r="BM177" i="84"/>
  <c r="BM178" i="84"/>
  <c r="BM179" i="84"/>
  <c r="BM180" i="84"/>
  <c r="BM181" i="84"/>
  <c r="BM182" i="84"/>
  <c r="BM183" i="84"/>
  <c r="BM184" i="84"/>
  <c r="BM185" i="84"/>
  <c r="BM186" i="84"/>
  <c r="BM187" i="84"/>
  <c r="BM188" i="84"/>
  <c r="BM189" i="84"/>
  <c r="BM190" i="84"/>
  <c r="BM191" i="84"/>
  <c r="BM192" i="84"/>
  <c r="BM193" i="84"/>
  <c r="BM194" i="84"/>
  <c r="BM195" i="84"/>
  <c r="BM196" i="84"/>
  <c r="BM197" i="84"/>
  <c r="BM198" i="84"/>
  <c r="BM199" i="84"/>
  <c r="BM200" i="84"/>
  <c r="BM201" i="84"/>
  <c r="BM202" i="84"/>
  <c r="BM203" i="84"/>
  <c r="BM204" i="84"/>
  <c r="BM205" i="84"/>
  <c r="BM206" i="84"/>
  <c r="BM207" i="84"/>
  <c r="BM208" i="84"/>
  <c r="BM209" i="84"/>
  <c r="BM210" i="84"/>
  <c r="BM211" i="84"/>
  <c r="BM212" i="84"/>
  <c r="BM213" i="84"/>
  <c r="BM214" i="84"/>
  <c r="BM215" i="84"/>
  <c r="BM216" i="84"/>
  <c r="BM217" i="84"/>
  <c r="BM218" i="84"/>
  <c r="BM219" i="84"/>
  <c r="BM20" i="84"/>
  <c r="BH21" i="84"/>
  <c r="BH22" i="84"/>
  <c r="BH23" i="84"/>
  <c r="BH24" i="84"/>
  <c r="BH25" i="84"/>
  <c r="BH26" i="84"/>
  <c r="BH27" i="84"/>
  <c r="BH28" i="84"/>
  <c r="BH29" i="84"/>
  <c r="BH30" i="84"/>
  <c r="BH31" i="84"/>
  <c r="BH32" i="84"/>
  <c r="BH33" i="84"/>
  <c r="BH34" i="84"/>
  <c r="BH35" i="84"/>
  <c r="BH36" i="84"/>
  <c r="BH37" i="84"/>
  <c r="BH38" i="84"/>
  <c r="BH39" i="84"/>
  <c r="BH40" i="84"/>
  <c r="BH41" i="84"/>
  <c r="BH42" i="84"/>
  <c r="BH43" i="84"/>
  <c r="BH44" i="84"/>
  <c r="BH45" i="84"/>
  <c r="BH46" i="84"/>
  <c r="BH47" i="84"/>
  <c r="BH48" i="84"/>
  <c r="BH49" i="84"/>
  <c r="BH50" i="84"/>
  <c r="BH51" i="84"/>
  <c r="BH52" i="84"/>
  <c r="BH53" i="84"/>
  <c r="BH54" i="84"/>
  <c r="BH55" i="84"/>
  <c r="BH56" i="84"/>
  <c r="BH57" i="84"/>
  <c r="BH58" i="84"/>
  <c r="BH59" i="84"/>
  <c r="BH60" i="84"/>
  <c r="BH61" i="84"/>
  <c r="BH62" i="84"/>
  <c r="BH63" i="84"/>
  <c r="BH64" i="84"/>
  <c r="BH65" i="84"/>
  <c r="BH66" i="84"/>
  <c r="BH67" i="84"/>
  <c r="BH68" i="84"/>
  <c r="BH69" i="84"/>
  <c r="BH70" i="84"/>
  <c r="BH71" i="84"/>
  <c r="BH72" i="84"/>
  <c r="BH73" i="84"/>
  <c r="BH74" i="84"/>
  <c r="BH75" i="84"/>
  <c r="BH76" i="84"/>
  <c r="BH77" i="84"/>
  <c r="BH78" i="84"/>
  <c r="BH79" i="84"/>
  <c r="BH80" i="84"/>
  <c r="BH81" i="84"/>
  <c r="BH82" i="84"/>
  <c r="BH83" i="84"/>
  <c r="BH84" i="84"/>
  <c r="BH85" i="84"/>
  <c r="BH86" i="84"/>
  <c r="BH87" i="84"/>
  <c r="BH88" i="84"/>
  <c r="BH89" i="84"/>
  <c r="BH90" i="84"/>
  <c r="BH91" i="84"/>
  <c r="BH92" i="84"/>
  <c r="BH93" i="84"/>
  <c r="BH94" i="84"/>
  <c r="BH95" i="84"/>
  <c r="BH96" i="84"/>
  <c r="BH97" i="84"/>
  <c r="BH98" i="84"/>
  <c r="BH99" i="84"/>
  <c r="BH100" i="84"/>
  <c r="BH101" i="84"/>
  <c r="BH102" i="84"/>
  <c r="BH103" i="84"/>
  <c r="BH104" i="84"/>
  <c r="BH105" i="84"/>
  <c r="BH106" i="84"/>
  <c r="BH107" i="84"/>
  <c r="BH108" i="84"/>
  <c r="BH109" i="84"/>
  <c r="BH110" i="84"/>
  <c r="BH111" i="84"/>
  <c r="BH112" i="84"/>
  <c r="BH113" i="84"/>
  <c r="BH114" i="84"/>
  <c r="BH115" i="84"/>
  <c r="BH116" i="84"/>
  <c r="BH117" i="84"/>
  <c r="BH118" i="84"/>
  <c r="BH119" i="84"/>
  <c r="BH120" i="84"/>
  <c r="BH121" i="84"/>
  <c r="BH122" i="84"/>
  <c r="BH123" i="84"/>
  <c r="BH124" i="84"/>
  <c r="BH125" i="84"/>
  <c r="BH126" i="84"/>
  <c r="BH127" i="84"/>
  <c r="BH128" i="84"/>
  <c r="BH129" i="84"/>
  <c r="BH130" i="84"/>
  <c r="BH131" i="84"/>
  <c r="BH132" i="84"/>
  <c r="BH133" i="84"/>
  <c r="BH134" i="84"/>
  <c r="BH135" i="84"/>
  <c r="BH136" i="84"/>
  <c r="BH137" i="84"/>
  <c r="BH138" i="84"/>
  <c r="BH139" i="84"/>
  <c r="BH140" i="84"/>
  <c r="BH141" i="84"/>
  <c r="BH142" i="84"/>
  <c r="BH143" i="84"/>
  <c r="BH144" i="84"/>
  <c r="BH145" i="84"/>
  <c r="BH146" i="84"/>
  <c r="BH147" i="84"/>
  <c r="BH148" i="84"/>
  <c r="BH149" i="84"/>
  <c r="BH150" i="84"/>
  <c r="BH151" i="84"/>
  <c r="BH152" i="84"/>
  <c r="BH153" i="84"/>
  <c r="BH154" i="84"/>
  <c r="BH155" i="84"/>
  <c r="BH156" i="84"/>
  <c r="BH157" i="84"/>
  <c r="BH158" i="84"/>
  <c r="BH159" i="84"/>
  <c r="BH160" i="84"/>
  <c r="BH161" i="84"/>
  <c r="BH162" i="84"/>
  <c r="BH163" i="84"/>
  <c r="BH164" i="84"/>
  <c r="BH165" i="84"/>
  <c r="BH166" i="84"/>
  <c r="BH167" i="84"/>
  <c r="BH168" i="84"/>
  <c r="BH169" i="84"/>
  <c r="BH170" i="84"/>
  <c r="BH171" i="84"/>
  <c r="BH172" i="84"/>
  <c r="BH173" i="84"/>
  <c r="BH174" i="84"/>
  <c r="BH175" i="84"/>
  <c r="BH176" i="84"/>
  <c r="BH177" i="84"/>
  <c r="BH178" i="84"/>
  <c r="BH179" i="84"/>
  <c r="BH180" i="84"/>
  <c r="BH181" i="84"/>
  <c r="BH182" i="84"/>
  <c r="BH183" i="84"/>
  <c r="BH184" i="84"/>
  <c r="BH185" i="84"/>
  <c r="BH186" i="84"/>
  <c r="BH187" i="84"/>
  <c r="BH188" i="84"/>
  <c r="BH189" i="84"/>
  <c r="BH190" i="84"/>
  <c r="BH191" i="84"/>
  <c r="BH192" i="84"/>
  <c r="BH193" i="84"/>
  <c r="BH194" i="84"/>
  <c r="BH195" i="84"/>
  <c r="BH196" i="84"/>
  <c r="BH197" i="84"/>
  <c r="BH198" i="84"/>
  <c r="BH199" i="84"/>
  <c r="BH200" i="84"/>
  <c r="BH201" i="84"/>
  <c r="BH202" i="84"/>
  <c r="BH203" i="84"/>
  <c r="BH204" i="84"/>
  <c r="BH205" i="84"/>
  <c r="BH206" i="84"/>
  <c r="BH207" i="84"/>
  <c r="BH208" i="84"/>
  <c r="BH209" i="84"/>
  <c r="BH210" i="84"/>
  <c r="BH211" i="84"/>
  <c r="BH212" i="84"/>
  <c r="BH213" i="84"/>
  <c r="BH214" i="84"/>
  <c r="BH215" i="84"/>
  <c r="BH216" i="84"/>
  <c r="BH217" i="84"/>
  <c r="BH218" i="84"/>
  <c r="BH219" i="84"/>
  <c r="BH20" i="84"/>
  <c r="AZ21" i="84"/>
  <c r="AZ22" i="84"/>
  <c r="AZ23" i="84"/>
  <c r="AZ24" i="84"/>
  <c r="AZ25" i="84"/>
  <c r="AZ26" i="84"/>
  <c r="AZ27" i="84"/>
  <c r="AZ28" i="84"/>
  <c r="AZ29" i="84"/>
  <c r="AZ30" i="84"/>
  <c r="AZ31" i="84"/>
  <c r="AZ32" i="84"/>
  <c r="AZ33" i="84"/>
  <c r="AZ34" i="84"/>
  <c r="AZ35" i="84"/>
  <c r="AZ36" i="84"/>
  <c r="AZ37" i="84"/>
  <c r="AZ38" i="84"/>
  <c r="AZ39" i="84"/>
  <c r="AZ40" i="84"/>
  <c r="AZ41" i="84"/>
  <c r="AZ42" i="84"/>
  <c r="AZ43" i="84"/>
  <c r="AZ44" i="84"/>
  <c r="AZ45" i="84"/>
  <c r="AZ46" i="84"/>
  <c r="AZ47" i="84"/>
  <c r="AZ48" i="84"/>
  <c r="AZ49" i="84"/>
  <c r="AZ50" i="84"/>
  <c r="AZ51" i="84"/>
  <c r="AZ52" i="84"/>
  <c r="AZ53" i="84"/>
  <c r="AZ54" i="84"/>
  <c r="AZ55" i="84"/>
  <c r="AZ56" i="84"/>
  <c r="AZ57" i="84"/>
  <c r="AZ58" i="84"/>
  <c r="AZ59" i="84"/>
  <c r="AZ60" i="84"/>
  <c r="AZ61" i="84"/>
  <c r="AZ62" i="84"/>
  <c r="AZ63" i="84"/>
  <c r="AZ64" i="84"/>
  <c r="AZ65" i="84"/>
  <c r="AZ66" i="84"/>
  <c r="AZ67" i="84"/>
  <c r="AZ68" i="84"/>
  <c r="AZ69" i="84"/>
  <c r="AZ70" i="84"/>
  <c r="AZ71" i="84"/>
  <c r="AZ72" i="84"/>
  <c r="AZ73" i="84"/>
  <c r="AZ74" i="84"/>
  <c r="AZ75" i="84"/>
  <c r="AZ76" i="84"/>
  <c r="AZ77" i="84"/>
  <c r="AZ78" i="84"/>
  <c r="AZ79" i="84"/>
  <c r="AZ80" i="84"/>
  <c r="AZ81" i="84"/>
  <c r="AZ82" i="84"/>
  <c r="AZ83" i="84"/>
  <c r="AZ84" i="84"/>
  <c r="AZ85" i="84"/>
  <c r="AZ86" i="84"/>
  <c r="AZ87" i="84"/>
  <c r="AZ88" i="84"/>
  <c r="AZ89" i="84"/>
  <c r="AZ90" i="84"/>
  <c r="AZ91" i="84"/>
  <c r="AZ92" i="84"/>
  <c r="AZ93" i="84"/>
  <c r="AZ94" i="84"/>
  <c r="AZ95" i="84"/>
  <c r="AZ96" i="84"/>
  <c r="AZ97" i="84"/>
  <c r="AZ98" i="84"/>
  <c r="AZ99" i="84"/>
  <c r="AZ100" i="84"/>
  <c r="AZ101" i="84"/>
  <c r="AZ102" i="84"/>
  <c r="AZ103" i="84"/>
  <c r="AZ104" i="84"/>
  <c r="AZ105" i="84"/>
  <c r="AZ106" i="84"/>
  <c r="AZ107" i="84"/>
  <c r="AZ108" i="84"/>
  <c r="AZ109" i="84"/>
  <c r="AZ110" i="84"/>
  <c r="AZ111" i="84"/>
  <c r="AZ112" i="84"/>
  <c r="AZ113" i="84"/>
  <c r="AZ114" i="84"/>
  <c r="AZ115" i="84"/>
  <c r="AZ116" i="84"/>
  <c r="AZ117" i="84"/>
  <c r="AZ118" i="84"/>
  <c r="AZ119" i="84"/>
  <c r="AZ120" i="84"/>
  <c r="AZ121" i="84"/>
  <c r="AZ122" i="84"/>
  <c r="AZ123" i="84"/>
  <c r="AZ124" i="84"/>
  <c r="AZ125" i="84"/>
  <c r="AZ126" i="84"/>
  <c r="AZ127" i="84"/>
  <c r="AZ128" i="84"/>
  <c r="AZ129" i="84"/>
  <c r="AZ130" i="84"/>
  <c r="AZ131" i="84"/>
  <c r="AZ132" i="84"/>
  <c r="AZ133" i="84"/>
  <c r="AZ134" i="84"/>
  <c r="AZ135" i="84"/>
  <c r="AZ136" i="84"/>
  <c r="AZ137" i="84"/>
  <c r="AZ138" i="84"/>
  <c r="AZ139" i="84"/>
  <c r="AZ140" i="84"/>
  <c r="AZ141" i="84"/>
  <c r="AZ142" i="84"/>
  <c r="AZ143" i="84"/>
  <c r="AZ144" i="84"/>
  <c r="AZ145" i="84"/>
  <c r="AZ146" i="84"/>
  <c r="AZ147" i="84"/>
  <c r="AZ148" i="84"/>
  <c r="AZ149" i="84"/>
  <c r="AZ150" i="84"/>
  <c r="AZ151" i="84"/>
  <c r="AZ152" i="84"/>
  <c r="AZ153" i="84"/>
  <c r="AZ154" i="84"/>
  <c r="AZ155" i="84"/>
  <c r="AZ156" i="84"/>
  <c r="AZ157" i="84"/>
  <c r="AZ158" i="84"/>
  <c r="AZ159" i="84"/>
  <c r="AZ160" i="84"/>
  <c r="AZ161" i="84"/>
  <c r="AZ162" i="84"/>
  <c r="AZ163" i="84"/>
  <c r="AZ164" i="84"/>
  <c r="AZ165" i="84"/>
  <c r="AZ166" i="84"/>
  <c r="AZ167" i="84"/>
  <c r="AZ168" i="84"/>
  <c r="AZ169" i="84"/>
  <c r="AZ170" i="84"/>
  <c r="AZ171" i="84"/>
  <c r="AZ172" i="84"/>
  <c r="AZ173" i="84"/>
  <c r="AZ174" i="84"/>
  <c r="AZ175" i="84"/>
  <c r="AZ176" i="84"/>
  <c r="AZ177" i="84"/>
  <c r="AZ178" i="84"/>
  <c r="AZ179" i="84"/>
  <c r="AZ180" i="84"/>
  <c r="AZ181" i="84"/>
  <c r="AZ182" i="84"/>
  <c r="AZ183" i="84"/>
  <c r="AZ184" i="84"/>
  <c r="AZ185" i="84"/>
  <c r="AZ186" i="84"/>
  <c r="AZ187" i="84"/>
  <c r="AZ188" i="84"/>
  <c r="AZ189" i="84"/>
  <c r="AZ190" i="84"/>
  <c r="AZ191" i="84"/>
  <c r="AZ192" i="84"/>
  <c r="AZ193" i="84"/>
  <c r="AZ194" i="84"/>
  <c r="AZ195" i="84"/>
  <c r="AZ196" i="84"/>
  <c r="AZ197" i="84"/>
  <c r="AZ198" i="84"/>
  <c r="AZ199" i="84"/>
  <c r="AZ200" i="84"/>
  <c r="AZ201" i="84"/>
  <c r="AZ202" i="84"/>
  <c r="AZ203" i="84"/>
  <c r="AZ204" i="84"/>
  <c r="AZ205" i="84"/>
  <c r="AZ206" i="84"/>
  <c r="AZ207" i="84"/>
  <c r="AZ208" i="84"/>
  <c r="AZ209" i="84"/>
  <c r="AZ210" i="84"/>
  <c r="AZ211" i="84"/>
  <c r="AZ212" i="84"/>
  <c r="AZ213" i="84"/>
  <c r="AZ214" i="84"/>
  <c r="AZ215" i="84"/>
  <c r="AZ216" i="84"/>
  <c r="AZ217" i="84"/>
  <c r="AZ218" i="84"/>
  <c r="AZ219" i="84"/>
  <c r="AZ20" i="84"/>
  <c r="AU21" i="84"/>
  <c r="AU22" i="84"/>
  <c r="AU23" i="84"/>
  <c r="AU24" i="84"/>
  <c r="AU25" i="84"/>
  <c r="AU26" i="84"/>
  <c r="AU27" i="84"/>
  <c r="AU28" i="84"/>
  <c r="AU29" i="84"/>
  <c r="AU30" i="84"/>
  <c r="AU31" i="84"/>
  <c r="AU32" i="84"/>
  <c r="AU33" i="84"/>
  <c r="AU34" i="84"/>
  <c r="AU35" i="84"/>
  <c r="AU36" i="84"/>
  <c r="AU37" i="84"/>
  <c r="AU38" i="84"/>
  <c r="AU39" i="84"/>
  <c r="AU40" i="84"/>
  <c r="AU41" i="84"/>
  <c r="AU42" i="84"/>
  <c r="AU43" i="84"/>
  <c r="AU44" i="84"/>
  <c r="AU45" i="84"/>
  <c r="AU46" i="84"/>
  <c r="AU47" i="84"/>
  <c r="AU48" i="84"/>
  <c r="AU49" i="84"/>
  <c r="AU50" i="84"/>
  <c r="AU51" i="84"/>
  <c r="AU52" i="84"/>
  <c r="AU53" i="84"/>
  <c r="AU54" i="84"/>
  <c r="AU55" i="84"/>
  <c r="AU56" i="84"/>
  <c r="AU57" i="84"/>
  <c r="AU58" i="84"/>
  <c r="AU59" i="84"/>
  <c r="AU60" i="84"/>
  <c r="AU61" i="84"/>
  <c r="AU62" i="84"/>
  <c r="AU63" i="84"/>
  <c r="AU64" i="84"/>
  <c r="AU65" i="84"/>
  <c r="AU66" i="84"/>
  <c r="AU67" i="84"/>
  <c r="AU68" i="84"/>
  <c r="AU69" i="84"/>
  <c r="AU70" i="84"/>
  <c r="AU71" i="84"/>
  <c r="AU72" i="84"/>
  <c r="AU73" i="84"/>
  <c r="AU74" i="84"/>
  <c r="AU75" i="84"/>
  <c r="AU76" i="84"/>
  <c r="AU77" i="84"/>
  <c r="AU78" i="84"/>
  <c r="AU79" i="84"/>
  <c r="AU80" i="84"/>
  <c r="AU81" i="84"/>
  <c r="AU82" i="84"/>
  <c r="AU83" i="84"/>
  <c r="AU84" i="84"/>
  <c r="AU85" i="84"/>
  <c r="AU86" i="84"/>
  <c r="AU87" i="84"/>
  <c r="AU88" i="84"/>
  <c r="AU89" i="84"/>
  <c r="AU90" i="84"/>
  <c r="AU91" i="84"/>
  <c r="AU92" i="84"/>
  <c r="AU93" i="84"/>
  <c r="AU94" i="84"/>
  <c r="AU95" i="84"/>
  <c r="AU96" i="84"/>
  <c r="AU97" i="84"/>
  <c r="AU98" i="84"/>
  <c r="AU99" i="84"/>
  <c r="AU100" i="84"/>
  <c r="AU101" i="84"/>
  <c r="AU102" i="84"/>
  <c r="AU103" i="84"/>
  <c r="AU104" i="84"/>
  <c r="AU105" i="84"/>
  <c r="AU106" i="84"/>
  <c r="AU107" i="84"/>
  <c r="AU108" i="84"/>
  <c r="AU109" i="84"/>
  <c r="AU110" i="84"/>
  <c r="AU111" i="84"/>
  <c r="AU112" i="84"/>
  <c r="AU113" i="84"/>
  <c r="AU114" i="84"/>
  <c r="AU115" i="84"/>
  <c r="AU116" i="84"/>
  <c r="AU117" i="84"/>
  <c r="AU118" i="84"/>
  <c r="AU119" i="84"/>
  <c r="AU120" i="84"/>
  <c r="AU121" i="84"/>
  <c r="AU122" i="84"/>
  <c r="AU123" i="84"/>
  <c r="AU124" i="84"/>
  <c r="AU125" i="84"/>
  <c r="AU126" i="84"/>
  <c r="AU127" i="84"/>
  <c r="AU128" i="84"/>
  <c r="AU129" i="84"/>
  <c r="AU130" i="84"/>
  <c r="AU131" i="84"/>
  <c r="AU132" i="84"/>
  <c r="AU133" i="84"/>
  <c r="AU134" i="84"/>
  <c r="AU135" i="84"/>
  <c r="AU136" i="84"/>
  <c r="AU137" i="84"/>
  <c r="AU138" i="84"/>
  <c r="AU139" i="84"/>
  <c r="AU140" i="84"/>
  <c r="AU141" i="84"/>
  <c r="AU142" i="84"/>
  <c r="AU143" i="84"/>
  <c r="AU144" i="84"/>
  <c r="AU145" i="84"/>
  <c r="AU146" i="84"/>
  <c r="AU147" i="84"/>
  <c r="AU148" i="84"/>
  <c r="AU149" i="84"/>
  <c r="AU150" i="84"/>
  <c r="AU151" i="84"/>
  <c r="AU152" i="84"/>
  <c r="AU153" i="84"/>
  <c r="AU154" i="84"/>
  <c r="AU155" i="84"/>
  <c r="AU156" i="84"/>
  <c r="AU157" i="84"/>
  <c r="AU158" i="84"/>
  <c r="AU159" i="84"/>
  <c r="AU160" i="84"/>
  <c r="AU161" i="84"/>
  <c r="AU162" i="84"/>
  <c r="AU163" i="84"/>
  <c r="AU164" i="84"/>
  <c r="AU165" i="84"/>
  <c r="AU166" i="84"/>
  <c r="AU167" i="84"/>
  <c r="AU168" i="84"/>
  <c r="AU169" i="84"/>
  <c r="AU170" i="84"/>
  <c r="AU171" i="84"/>
  <c r="AU172" i="84"/>
  <c r="AU173" i="84"/>
  <c r="AU174" i="84"/>
  <c r="AU175" i="84"/>
  <c r="AU176" i="84"/>
  <c r="AU177" i="84"/>
  <c r="AU178" i="84"/>
  <c r="AU179" i="84"/>
  <c r="AU180" i="84"/>
  <c r="AU181" i="84"/>
  <c r="AU182" i="84"/>
  <c r="AU183" i="84"/>
  <c r="AU184" i="84"/>
  <c r="AU185" i="84"/>
  <c r="AU186" i="84"/>
  <c r="AU187" i="84"/>
  <c r="AU188" i="84"/>
  <c r="AU189" i="84"/>
  <c r="AU190" i="84"/>
  <c r="AU191" i="84"/>
  <c r="AU192" i="84"/>
  <c r="AU193" i="84"/>
  <c r="AU194" i="84"/>
  <c r="AU195" i="84"/>
  <c r="AU196" i="84"/>
  <c r="AU197" i="84"/>
  <c r="AU198" i="84"/>
  <c r="AU199" i="84"/>
  <c r="AU200" i="84"/>
  <c r="AU201" i="84"/>
  <c r="AU202" i="84"/>
  <c r="AU203" i="84"/>
  <c r="AU204" i="84"/>
  <c r="AU205" i="84"/>
  <c r="AU206" i="84"/>
  <c r="AU207" i="84"/>
  <c r="AU208" i="84"/>
  <c r="AU209" i="84"/>
  <c r="AU210" i="84"/>
  <c r="AU211" i="84"/>
  <c r="AU212" i="84"/>
  <c r="AU213" i="84"/>
  <c r="AU214" i="84"/>
  <c r="AU215" i="84"/>
  <c r="AU216" i="84"/>
  <c r="AU217" i="84"/>
  <c r="AU218" i="84"/>
  <c r="AU219" i="84"/>
  <c r="AU20" i="84"/>
  <c r="AP21" i="84"/>
  <c r="AP22" i="84"/>
  <c r="AP23" i="84"/>
  <c r="AP24" i="84"/>
  <c r="AP25" i="84"/>
  <c r="AP26" i="84"/>
  <c r="AP27" i="84"/>
  <c r="AP28" i="84"/>
  <c r="AP29" i="84"/>
  <c r="AP30" i="84"/>
  <c r="AP31" i="84"/>
  <c r="AP32" i="84"/>
  <c r="AP33" i="84"/>
  <c r="AP34" i="84"/>
  <c r="AP35" i="84"/>
  <c r="AP36" i="84"/>
  <c r="AP37" i="84"/>
  <c r="AP38" i="84"/>
  <c r="AP39" i="84"/>
  <c r="AP40" i="84"/>
  <c r="AP41" i="84"/>
  <c r="AP42" i="84"/>
  <c r="AP43" i="84"/>
  <c r="AP44" i="84"/>
  <c r="AP45" i="84"/>
  <c r="AP46" i="84"/>
  <c r="AP47" i="84"/>
  <c r="AP48" i="84"/>
  <c r="AP49" i="84"/>
  <c r="AP50" i="84"/>
  <c r="AP51" i="84"/>
  <c r="AP52" i="84"/>
  <c r="AP53" i="84"/>
  <c r="AP54" i="84"/>
  <c r="AP55" i="84"/>
  <c r="AP56" i="84"/>
  <c r="AP57" i="84"/>
  <c r="AP58" i="84"/>
  <c r="AP59" i="84"/>
  <c r="AP60" i="84"/>
  <c r="AP61" i="84"/>
  <c r="AP62" i="84"/>
  <c r="AP63" i="84"/>
  <c r="AP64" i="84"/>
  <c r="AP65" i="84"/>
  <c r="AP66" i="84"/>
  <c r="AP67" i="84"/>
  <c r="AP68" i="84"/>
  <c r="AP69" i="84"/>
  <c r="AP70" i="84"/>
  <c r="AP71" i="84"/>
  <c r="AP72" i="84"/>
  <c r="AP73" i="84"/>
  <c r="AP74" i="84"/>
  <c r="AP75" i="84"/>
  <c r="AP76" i="84"/>
  <c r="AP77" i="84"/>
  <c r="AP78" i="84"/>
  <c r="AP79" i="84"/>
  <c r="AP80" i="84"/>
  <c r="AP81" i="84"/>
  <c r="AP82" i="84"/>
  <c r="AP83" i="84"/>
  <c r="AP84" i="84"/>
  <c r="AP85" i="84"/>
  <c r="AP86" i="84"/>
  <c r="AP87" i="84"/>
  <c r="AP88" i="84"/>
  <c r="AP89" i="84"/>
  <c r="AP90" i="84"/>
  <c r="AP91" i="84"/>
  <c r="AP92" i="84"/>
  <c r="AP93" i="84"/>
  <c r="AP94" i="84"/>
  <c r="AP95" i="84"/>
  <c r="AP96" i="84"/>
  <c r="AP97" i="84"/>
  <c r="AP98" i="84"/>
  <c r="AP99" i="84"/>
  <c r="AP100" i="84"/>
  <c r="AP101" i="84"/>
  <c r="AP102" i="84"/>
  <c r="AP103" i="84"/>
  <c r="AP104" i="84"/>
  <c r="AP105" i="84"/>
  <c r="AP106" i="84"/>
  <c r="AP107" i="84"/>
  <c r="AP108" i="84"/>
  <c r="AP109" i="84"/>
  <c r="AP110" i="84"/>
  <c r="AP111" i="84"/>
  <c r="AP112" i="84"/>
  <c r="AP113" i="84"/>
  <c r="AP114" i="84"/>
  <c r="AP115" i="84"/>
  <c r="AP116" i="84"/>
  <c r="AP117" i="84"/>
  <c r="AP118" i="84"/>
  <c r="AP119" i="84"/>
  <c r="AP120" i="84"/>
  <c r="AP121" i="84"/>
  <c r="AP122" i="84"/>
  <c r="AP123" i="84"/>
  <c r="AP124" i="84"/>
  <c r="AP125" i="84"/>
  <c r="AP126" i="84"/>
  <c r="AP127" i="84"/>
  <c r="AP128" i="84"/>
  <c r="AP129" i="84"/>
  <c r="AP130" i="84"/>
  <c r="AP131" i="84"/>
  <c r="AP132" i="84"/>
  <c r="AP133" i="84"/>
  <c r="AP134" i="84"/>
  <c r="AP135" i="84"/>
  <c r="AP136" i="84"/>
  <c r="AP137" i="84"/>
  <c r="AP138" i="84"/>
  <c r="AP139" i="84"/>
  <c r="AP140" i="84"/>
  <c r="AP141" i="84"/>
  <c r="AP142" i="84"/>
  <c r="AP143" i="84"/>
  <c r="AP144" i="84"/>
  <c r="AP145" i="84"/>
  <c r="AP146" i="84"/>
  <c r="AP147" i="84"/>
  <c r="AP148" i="84"/>
  <c r="AP149" i="84"/>
  <c r="AP150" i="84"/>
  <c r="AP151" i="84"/>
  <c r="AP152" i="84"/>
  <c r="AP153" i="84"/>
  <c r="AP154" i="84"/>
  <c r="AP155" i="84"/>
  <c r="AP156" i="84"/>
  <c r="AP157" i="84"/>
  <c r="AP158" i="84"/>
  <c r="AP159" i="84"/>
  <c r="AP160" i="84"/>
  <c r="AP161" i="84"/>
  <c r="AP162" i="84"/>
  <c r="AP163" i="84"/>
  <c r="AP164" i="84"/>
  <c r="AP165" i="84"/>
  <c r="AP166" i="84"/>
  <c r="AP167" i="84"/>
  <c r="AP168" i="84"/>
  <c r="AP169" i="84"/>
  <c r="AP170" i="84"/>
  <c r="AP171" i="84"/>
  <c r="AP172" i="84"/>
  <c r="AP173" i="84"/>
  <c r="AP174" i="84"/>
  <c r="AP175" i="84"/>
  <c r="AP176" i="84"/>
  <c r="AP177" i="84"/>
  <c r="AP178" i="84"/>
  <c r="AP179" i="84"/>
  <c r="AP180" i="84"/>
  <c r="AP181" i="84"/>
  <c r="AP182" i="84"/>
  <c r="AP183" i="84"/>
  <c r="AP184" i="84"/>
  <c r="AP185" i="84"/>
  <c r="AP186" i="84"/>
  <c r="AP187" i="84"/>
  <c r="AP188" i="84"/>
  <c r="AP189" i="84"/>
  <c r="AP190" i="84"/>
  <c r="AP191" i="84"/>
  <c r="AP192" i="84"/>
  <c r="AP193" i="84"/>
  <c r="AP194" i="84"/>
  <c r="AP195" i="84"/>
  <c r="AP196" i="84"/>
  <c r="AP197" i="84"/>
  <c r="AP198" i="84"/>
  <c r="AP199" i="84"/>
  <c r="AP200" i="84"/>
  <c r="AP201" i="84"/>
  <c r="AP202" i="84"/>
  <c r="AP203" i="84"/>
  <c r="AP204" i="84"/>
  <c r="AP205" i="84"/>
  <c r="AP206" i="84"/>
  <c r="AP207" i="84"/>
  <c r="AP208" i="84"/>
  <c r="AP209" i="84"/>
  <c r="AP210" i="84"/>
  <c r="AP211" i="84"/>
  <c r="AP212" i="84"/>
  <c r="AP213" i="84"/>
  <c r="AP214" i="84"/>
  <c r="AP215" i="84"/>
  <c r="AP216" i="84"/>
  <c r="AP217" i="84"/>
  <c r="AP218" i="84"/>
  <c r="AP219" i="84"/>
  <c r="AP20" i="84"/>
  <c r="N22" i="235" l="1"/>
  <c r="L36" i="233"/>
  <c r="N70" i="233"/>
  <c r="L57" i="233"/>
  <c r="N35" i="233"/>
  <c r="L25" i="233"/>
  <c r="N48" i="233"/>
  <c r="N52" i="233"/>
  <c r="N76" i="233"/>
  <c r="L60" i="233"/>
  <c r="L39" i="233"/>
  <c r="N32" i="233"/>
  <c r="L34" i="233"/>
  <c r="N66" i="233"/>
  <c r="N44" i="233"/>
  <c r="L64" i="233"/>
  <c r="L54" i="233"/>
  <c r="L46" i="233"/>
  <c r="L75" i="233"/>
  <c r="N60" i="235"/>
  <c r="N72" i="233"/>
  <c r="L29" i="233"/>
  <c r="N72" i="235"/>
  <c r="N78" i="235"/>
  <c r="N36" i="235"/>
  <c r="L72" i="235"/>
  <c r="L36" i="235"/>
  <c r="L78" i="233"/>
  <c r="N75" i="235"/>
  <c r="G87" i="197"/>
  <c r="L85" i="233"/>
  <c r="N28" i="235"/>
  <c r="N46" i="235"/>
  <c r="N77" i="235"/>
  <c r="N34" i="235"/>
  <c r="N39" i="235"/>
  <c r="L77" i="235"/>
  <c r="N77" i="233"/>
  <c r="L77" i="233"/>
  <c r="L75" i="235"/>
  <c r="N42" i="235"/>
  <c r="L78" i="235"/>
  <c r="N64" i="235"/>
  <c r="I89" i="235"/>
  <c r="N54" i="235"/>
  <c r="N29" i="235"/>
  <c r="N42" i="233"/>
  <c r="L42" i="233"/>
  <c r="N44" i="235"/>
  <c r="N85" i="235"/>
  <c r="L60" i="235"/>
  <c r="L64" i="235"/>
  <c r="L28" i="233"/>
  <c r="G87" i="198"/>
  <c r="J46" i="201"/>
  <c r="L46" i="201" s="1"/>
  <c r="D9" i="195"/>
  <c r="I98" i="203"/>
  <c r="M98" i="203" s="1"/>
  <c r="AG67" i="154"/>
  <c r="AH67" i="154"/>
  <c r="AG69" i="154"/>
  <c r="AH69" i="154"/>
  <c r="F3" i="235" l="1"/>
  <c r="J5" i="198" s="1"/>
  <c r="A101" i="198"/>
  <c r="E3" i="235"/>
  <c r="C8" i="199"/>
  <c r="D8" i="199" s="1"/>
  <c r="K9" i="195" a="1"/>
  <c r="K9" i="195" s="1"/>
  <c r="F13" i="229"/>
  <c r="L13" i="229" s="1"/>
  <c r="F9" i="195"/>
  <c r="L19" i="154"/>
  <c r="M19" i="154"/>
  <c r="N19" i="154"/>
  <c r="O19" i="154"/>
  <c r="L21" i="154"/>
  <c r="M21" i="154"/>
  <c r="N21" i="154"/>
  <c r="O21" i="154"/>
  <c r="L22" i="154"/>
  <c r="M22" i="154"/>
  <c r="N22" i="154"/>
  <c r="O22" i="154"/>
  <c r="L23" i="154"/>
  <c r="M23" i="154"/>
  <c r="N23" i="154"/>
  <c r="O23" i="154"/>
  <c r="L24" i="154"/>
  <c r="M24" i="154"/>
  <c r="N24" i="154"/>
  <c r="O24" i="154"/>
  <c r="L25" i="154"/>
  <c r="M25" i="154"/>
  <c r="N25" i="154"/>
  <c r="O25" i="154"/>
  <c r="L26" i="154"/>
  <c r="M26" i="154"/>
  <c r="N26" i="154"/>
  <c r="O26" i="154"/>
  <c r="L27" i="154"/>
  <c r="M27" i="154"/>
  <c r="N27" i="154"/>
  <c r="O27" i="154"/>
  <c r="L28" i="154"/>
  <c r="M28" i="154"/>
  <c r="N28" i="154"/>
  <c r="O28" i="154"/>
  <c r="L29" i="154"/>
  <c r="M29" i="154"/>
  <c r="N29" i="154"/>
  <c r="O29" i="154"/>
  <c r="L30" i="154"/>
  <c r="M30" i="154"/>
  <c r="N30" i="154"/>
  <c r="O30" i="154"/>
  <c r="L31" i="154"/>
  <c r="M31" i="154"/>
  <c r="N31" i="154"/>
  <c r="O31" i="154"/>
  <c r="L32" i="154"/>
  <c r="M32" i="154"/>
  <c r="N32" i="154"/>
  <c r="O32" i="154"/>
  <c r="L33" i="154"/>
  <c r="M33" i="154"/>
  <c r="N33" i="154"/>
  <c r="O33" i="154"/>
  <c r="L34" i="154"/>
  <c r="M34" i="154"/>
  <c r="N34" i="154"/>
  <c r="O34" i="154"/>
  <c r="L35" i="154"/>
  <c r="M35" i="154"/>
  <c r="N35" i="154"/>
  <c r="O35" i="154"/>
  <c r="L36" i="154"/>
  <c r="M36" i="154"/>
  <c r="N36" i="154"/>
  <c r="O36" i="154"/>
  <c r="L37" i="154"/>
  <c r="M37" i="154"/>
  <c r="N37" i="154"/>
  <c r="O37" i="154"/>
  <c r="L38" i="154"/>
  <c r="M38" i="154"/>
  <c r="N38" i="154"/>
  <c r="O38" i="154"/>
  <c r="L39" i="154"/>
  <c r="M39" i="154"/>
  <c r="N39" i="154"/>
  <c r="O39" i="154"/>
  <c r="L40" i="154"/>
  <c r="M40" i="154"/>
  <c r="N40" i="154"/>
  <c r="O40" i="154"/>
  <c r="L41" i="154"/>
  <c r="M41" i="154"/>
  <c r="N41" i="154"/>
  <c r="O41" i="154"/>
  <c r="L42" i="154"/>
  <c r="M42" i="154"/>
  <c r="N42" i="154"/>
  <c r="O42" i="154"/>
  <c r="L43" i="154"/>
  <c r="M43" i="154"/>
  <c r="N43" i="154"/>
  <c r="O43" i="154"/>
  <c r="L44" i="154"/>
  <c r="M44" i="154"/>
  <c r="N44" i="154"/>
  <c r="O44" i="154"/>
  <c r="L45" i="154"/>
  <c r="M45" i="154"/>
  <c r="N45" i="154"/>
  <c r="O45" i="154"/>
  <c r="L46" i="154"/>
  <c r="M46" i="154"/>
  <c r="N46" i="154"/>
  <c r="O46" i="154"/>
  <c r="L47" i="154"/>
  <c r="M47" i="154"/>
  <c r="N47" i="154"/>
  <c r="O47" i="154"/>
  <c r="L48" i="154"/>
  <c r="M48" i="154"/>
  <c r="N48" i="154"/>
  <c r="O48" i="154"/>
  <c r="L49" i="154"/>
  <c r="M49" i="154"/>
  <c r="N49" i="154"/>
  <c r="O49" i="154"/>
  <c r="L50" i="154"/>
  <c r="M50" i="154"/>
  <c r="N50" i="154"/>
  <c r="O50" i="154"/>
  <c r="L51" i="154"/>
  <c r="M51" i="154"/>
  <c r="N51" i="154"/>
  <c r="O51" i="154"/>
  <c r="L52" i="154"/>
  <c r="M52" i="154"/>
  <c r="N52" i="154"/>
  <c r="O52" i="154"/>
  <c r="L53" i="154"/>
  <c r="M53" i="154"/>
  <c r="N53" i="154"/>
  <c r="O53" i="154"/>
  <c r="L68" i="154"/>
  <c r="M68" i="154"/>
  <c r="N68" i="154"/>
  <c r="O68" i="154"/>
  <c r="P68" i="154"/>
  <c r="Q68" i="154"/>
  <c r="L70" i="154"/>
  <c r="M70" i="154"/>
  <c r="N70" i="154"/>
  <c r="O70" i="154"/>
  <c r="P70" i="154"/>
  <c r="Q70" i="154"/>
  <c r="L71" i="154"/>
  <c r="M71" i="154"/>
  <c r="N71" i="154"/>
  <c r="O71" i="154"/>
  <c r="P71" i="154"/>
  <c r="Q71" i="154"/>
  <c r="L72" i="154"/>
  <c r="M72" i="154"/>
  <c r="N72" i="154"/>
  <c r="O72" i="154"/>
  <c r="P72" i="154"/>
  <c r="Q72" i="154"/>
  <c r="L73" i="154"/>
  <c r="M73" i="154"/>
  <c r="N73" i="154"/>
  <c r="O73" i="154"/>
  <c r="P73" i="154"/>
  <c r="Q73" i="154"/>
  <c r="L74" i="154"/>
  <c r="M74" i="154"/>
  <c r="N74" i="154"/>
  <c r="O74" i="154"/>
  <c r="P74" i="154"/>
  <c r="Q74" i="154"/>
  <c r="L75" i="154"/>
  <c r="M75" i="154"/>
  <c r="N75" i="154"/>
  <c r="O75" i="154"/>
  <c r="P75" i="154"/>
  <c r="Q75" i="154"/>
  <c r="L76" i="154"/>
  <c r="M76" i="154"/>
  <c r="N76" i="154"/>
  <c r="O76" i="154"/>
  <c r="P76" i="154"/>
  <c r="Q76" i="154"/>
  <c r="L77" i="154"/>
  <c r="M77" i="154"/>
  <c r="N77" i="154"/>
  <c r="O77" i="154"/>
  <c r="P77" i="154"/>
  <c r="Q77" i="154"/>
  <c r="L78" i="154"/>
  <c r="M78" i="154"/>
  <c r="N78" i="154"/>
  <c r="O78" i="154"/>
  <c r="P78" i="154"/>
  <c r="Q78" i="154"/>
  <c r="L79" i="154"/>
  <c r="M79" i="154"/>
  <c r="N79" i="154"/>
  <c r="O79" i="154"/>
  <c r="P79" i="154"/>
  <c r="Q79" i="154"/>
  <c r="L80" i="154"/>
  <c r="M80" i="154"/>
  <c r="N80" i="154"/>
  <c r="O80" i="154"/>
  <c r="P80" i="154"/>
  <c r="Q80" i="154"/>
  <c r="L81" i="154"/>
  <c r="M81" i="154"/>
  <c r="N81" i="154"/>
  <c r="O81" i="154"/>
  <c r="P81" i="154"/>
  <c r="Q81" i="154"/>
  <c r="L82" i="154"/>
  <c r="M82" i="154"/>
  <c r="N82" i="154"/>
  <c r="O82" i="154"/>
  <c r="P82" i="154"/>
  <c r="Q82" i="154"/>
  <c r="L83" i="154"/>
  <c r="M83" i="154"/>
  <c r="N83" i="154"/>
  <c r="O83" i="154"/>
  <c r="P83" i="154"/>
  <c r="Q83" i="154"/>
  <c r="L84" i="154"/>
  <c r="M84" i="154"/>
  <c r="N84" i="154"/>
  <c r="O84" i="154"/>
  <c r="P84" i="154"/>
  <c r="Q84" i="154"/>
  <c r="L85" i="154"/>
  <c r="M85" i="154"/>
  <c r="N85" i="154"/>
  <c r="O85" i="154"/>
  <c r="P85" i="154"/>
  <c r="Q85" i="154"/>
  <c r="L86" i="154"/>
  <c r="M86" i="154"/>
  <c r="N86" i="154"/>
  <c r="O86" i="154"/>
  <c r="P86" i="154"/>
  <c r="Q86" i="154"/>
  <c r="L87" i="154"/>
  <c r="M87" i="154"/>
  <c r="N87" i="154"/>
  <c r="O87" i="154"/>
  <c r="P87" i="154"/>
  <c r="Q87" i="154"/>
  <c r="L88" i="154"/>
  <c r="M88" i="154"/>
  <c r="N88" i="154"/>
  <c r="O88" i="154"/>
  <c r="P88" i="154"/>
  <c r="Q88" i="154"/>
  <c r="L89" i="154"/>
  <c r="M89" i="154"/>
  <c r="N89" i="154"/>
  <c r="O89" i="154"/>
  <c r="P89" i="154"/>
  <c r="Q89" i="154"/>
  <c r="L90" i="154"/>
  <c r="M90" i="154"/>
  <c r="N90" i="154"/>
  <c r="O90" i="154"/>
  <c r="P90" i="154"/>
  <c r="Q90" i="154"/>
  <c r="L91" i="154"/>
  <c r="M91" i="154"/>
  <c r="N91" i="154"/>
  <c r="O91" i="154"/>
  <c r="P91" i="154"/>
  <c r="Q91" i="154"/>
  <c r="L92" i="154"/>
  <c r="M92" i="154"/>
  <c r="N92" i="154"/>
  <c r="O92" i="154"/>
  <c r="P92" i="154"/>
  <c r="Q92" i="154"/>
  <c r="L93" i="154"/>
  <c r="M93" i="154"/>
  <c r="N93" i="154"/>
  <c r="O93" i="154"/>
  <c r="P93" i="154"/>
  <c r="Q93" i="154"/>
  <c r="L94" i="154"/>
  <c r="M94" i="154"/>
  <c r="N94" i="154"/>
  <c r="O94" i="154"/>
  <c r="P94" i="154"/>
  <c r="Q94" i="154"/>
  <c r="L95" i="154"/>
  <c r="M95" i="154"/>
  <c r="N95" i="154"/>
  <c r="O95" i="154"/>
  <c r="P95" i="154"/>
  <c r="Q95" i="154"/>
  <c r="L96" i="154"/>
  <c r="M96" i="154"/>
  <c r="N96" i="154"/>
  <c r="O96" i="154"/>
  <c r="P96" i="154"/>
  <c r="Q96" i="154"/>
  <c r="L97" i="154"/>
  <c r="M97" i="154"/>
  <c r="N97" i="154"/>
  <c r="O97" i="154"/>
  <c r="P97" i="154"/>
  <c r="Q97" i="154"/>
  <c r="L98" i="154"/>
  <c r="M98" i="154"/>
  <c r="N98" i="154"/>
  <c r="O98" i="154"/>
  <c r="P98" i="154"/>
  <c r="Q98" i="154"/>
  <c r="L99" i="154"/>
  <c r="M99" i="154"/>
  <c r="N99" i="154"/>
  <c r="O99" i="154"/>
  <c r="P99" i="154"/>
  <c r="Q99" i="154"/>
  <c r="L100" i="154"/>
  <c r="M100" i="154"/>
  <c r="N100" i="154"/>
  <c r="O100" i="154"/>
  <c r="P100" i="154"/>
  <c r="Q100" i="154"/>
  <c r="L101" i="154"/>
  <c r="M101" i="154"/>
  <c r="N101" i="154"/>
  <c r="O101" i="154"/>
  <c r="P101" i="154"/>
  <c r="Q101" i="154"/>
  <c r="L102" i="154"/>
  <c r="M102" i="154"/>
  <c r="N102" i="154"/>
  <c r="O102" i="154"/>
  <c r="P102" i="154"/>
  <c r="Q102" i="154"/>
  <c r="H5" i="198" l="1"/>
  <c r="D3" i="235"/>
  <c r="N21" i="135"/>
  <c r="O21" i="135"/>
  <c r="P21" i="135"/>
  <c r="Q21" i="135"/>
  <c r="R21" i="135"/>
  <c r="S21" i="135"/>
  <c r="N23" i="135"/>
  <c r="O23" i="135"/>
  <c r="P23" i="135"/>
  <c r="Q23" i="135"/>
  <c r="R23" i="135"/>
  <c r="S23" i="135"/>
  <c r="N25" i="135"/>
  <c r="O25" i="135"/>
  <c r="P25" i="135"/>
  <c r="Q25" i="135"/>
  <c r="R25" i="135"/>
  <c r="S25" i="135"/>
  <c r="N27" i="135"/>
  <c r="O27" i="135"/>
  <c r="P27" i="135"/>
  <c r="Q27" i="135"/>
  <c r="R27" i="135"/>
  <c r="S27" i="135"/>
  <c r="N28" i="135"/>
  <c r="O28" i="135"/>
  <c r="P28" i="135"/>
  <c r="Q28" i="135"/>
  <c r="R28" i="135"/>
  <c r="S28" i="135"/>
  <c r="N29" i="135"/>
  <c r="O29" i="135"/>
  <c r="P29" i="135"/>
  <c r="Q29" i="135"/>
  <c r="R29" i="135"/>
  <c r="S29" i="135"/>
  <c r="N30" i="135"/>
  <c r="O30" i="135"/>
  <c r="P30" i="135"/>
  <c r="Q30" i="135"/>
  <c r="R30" i="135"/>
  <c r="S30" i="135"/>
  <c r="N31" i="135"/>
  <c r="O31" i="135"/>
  <c r="P31" i="135"/>
  <c r="Q31" i="135"/>
  <c r="R31" i="135"/>
  <c r="S31" i="135"/>
  <c r="N32" i="135"/>
  <c r="O32" i="135"/>
  <c r="P32" i="135"/>
  <c r="Q32" i="135"/>
  <c r="R32" i="135"/>
  <c r="S32" i="135"/>
  <c r="N33" i="135"/>
  <c r="O33" i="135"/>
  <c r="P33" i="135"/>
  <c r="Q33" i="135"/>
  <c r="R33" i="135"/>
  <c r="S33" i="135"/>
  <c r="N34" i="135"/>
  <c r="O34" i="135"/>
  <c r="P34" i="135"/>
  <c r="Q34" i="135"/>
  <c r="R34" i="135"/>
  <c r="S34" i="135"/>
  <c r="N35" i="135"/>
  <c r="O35" i="135"/>
  <c r="P35" i="135"/>
  <c r="Q35" i="135"/>
  <c r="R35" i="135"/>
  <c r="S35" i="135"/>
  <c r="N36" i="135"/>
  <c r="O36" i="135"/>
  <c r="P36" i="135"/>
  <c r="Q36" i="135"/>
  <c r="R36" i="135"/>
  <c r="S36" i="135"/>
  <c r="N53" i="135"/>
  <c r="O53" i="135"/>
  <c r="P53" i="135"/>
  <c r="Q53" i="135"/>
  <c r="R53" i="135"/>
  <c r="S53" i="135"/>
  <c r="N54" i="135"/>
  <c r="O54" i="135"/>
  <c r="P54" i="135"/>
  <c r="Q54" i="135"/>
  <c r="R54" i="135"/>
  <c r="S54" i="135"/>
  <c r="N55" i="135"/>
  <c r="O55" i="135"/>
  <c r="P55" i="135"/>
  <c r="Q55" i="135"/>
  <c r="R55" i="135"/>
  <c r="S55" i="135"/>
  <c r="N56" i="135"/>
  <c r="O56" i="135"/>
  <c r="P56" i="135"/>
  <c r="Q56" i="135"/>
  <c r="R56" i="135"/>
  <c r="S56" i="135"/>
  <c r="N57" i="135"/>
  <c r="O57" i="135"/>
  <c r="P57" i="135"/>
  <c r="Q57" i="135"/>
  <c r="R57" i="135"/>
  <c r="S57" i="135"/>
  <c r="N58" i="135"/>
  <c r="O58" i="135"/>
  <c r="P58" i="135"/>
  <c r="Q58" i="135"/>
  <c r="R58" i="135"/>
  <c r="S58" i="135"/>
  <c r="N59" i="135"/>
  <c r="O59" i="135"/>
  <c r="P59" i="135"/>
  <c r="Q59" i="135"/>
  <c r="R59" i="135"/>
  <c r="S59" i="135"/>
  <c r="N60" i="135"/>
  <c r="O60" i="135"/>
  <c r="P60" i="135"/>
  <c r="Q60" i="135"/>
  <c r="R60" i="135"/>
  <c r="S60" i="135"/>
  <c r="N61" i="135"/>
  <c r="O61" i="135"/>
  <c r="P61" i="135"/>
  <c r="Q61" i="135"/>
  <c r="R61" i="135"/>
  <c r="S61" i="135"/>
  <c r="N62" i="135"/>
  <c r="O62" i="135"/>
  <c r="P62" i="135"/>
  <c r="Q62" i="135"/>
  <c r="R62" i="135"/>
  <c r="S62" i="135"/>
  <c r="N63" i="135"/>
  <c r="O63" i="135"/>
  <c r="P63" i="135"/>
  <c r="Q63" i="135"/>
  <c r="R63" i="135"/>
  <c r="S63" i="135"/>
  <c r="N64" i="135"/>
  <c r="O64" i="135"/>
  <c r="P64" i="135"/>
  <c r="Q64" i="135"/>
  <c r="R64" i="135"/>
  <c r="S64" i="135"/>
  <c r="N65" i="135"/>
  <c r="O65" i="135"/>
  <c r="P65" i="135"/>
  <c r="Q65" i="135"/>
  <c r="R65" i="135"/>
  <c r="S65" i="135"/>
  <c r="N66" i="135"/>
  <c r="O66" i="135"/>
  <c r="P66" i="135"/>
  <c r="Q66" i="135"/>
  <c r="R66" i="135"/>
  <c r="S66" i="135"/>
  <c r="N67" i="135"/>
  <c r="O67" i="135"/>
  <c r="P67" i="135"/>
  <c r="Q67" i="135"/>
  <c r="R67" i="135"/>
  <c r="S67" i="135"/>
  <c r="N68" i="135"/>
  <c r="O68" i="135"/>
  <c r="P68" i="135"/>
  <c r="Q68" i="135"/>
  <c r="R68" i="135"/>
  <c r="S68" i="135"/>
  <c r="N69" i="135"/>
  <c r="O69" i="135"/>
  <c r="P69" i="135"/>
  <c r="Q69" i="135"/>
  <c r="R69" i="135"/>
  <c r="S69" i="135"/>
  <c r="N70" i="135"/>
  <c r="O70" i="135"/>
  <c r="P70" i="135"/>
  <c r="Q70" i="135"/>
  <c r="R70" i="135"/>
  <c r="S70" i="135"/>
  <c r="N71" i="135"/>
  <c r="O71" i="135"/>
  <c r="P71" i="135"/>
  <c r="Q71" i="135"/>
  <c r="R71" i="135"/>
  <c r="S71" i="135"/>
  <c r="N72" i="135"/>
  <c r="O72" i="135"/>
  <c r="P72" i="135"/>
  <c r="Q72" i="135"/>
  <c r="R72" i="135"/>
  <c r="S72" i="135"/>
  <c r="N73" i="135"/>
  <c r="O73" i="135"/>
  <c r="P73" i="135"/>
  <c r="Q73" i="135"/>
  <c r="R73" i="135"/>
  <c r="S73" i="135"/>
  <c r="N74" i="135"/>
  <c r="O74" i="135"/>
  <c r="P74" i="135"/>
  <c r="Q74" i="135"/>
  <c r="R74" i="135"/>
  <c r="S74" i="135"/>
  <c r="N75" i="135"/>
  <c r="O75" i="135"/>
  <c r="P75" i="135"/>
  <c r="Q75" i="135"/>
  <c r="R75" i="135"/>
  <c r="S75" i="135"/>
  <c r="N76" i="135"/>
  <c r="O76" i="135"/>
  <c r="P76" i="135"/>
  <c r="Q76" i="135"/>
  <c r="R76" i="135"/>
  <c r="S76" i="135"/>
  <c r="N77" i="135"/>
  <c r="O77" i="135"/>
  <c r="P77" i="135"/>
  <c r="Q77" i="135"/>
  <c r="R77" i="135"/>
  <c r="S77" i="135"/>
  <c r="N78" i="135"/>
  <c r="O78" i="135"/>
  <c r="P78" i="135"/>
  <c r="Q78" i="135"/>
  <c r="R78" i="135"/>
  <c r="S78" i="135"/>
  <c r="N79" i="135"/>
  <c r="O79" i="135"/>
  <c r="P79" i="135"/>
  <c r="Q79" i="135"/>
  <c r="R79" i="135"/>
  <c r="S79" i="135"/>
  <c r="N80" i="135"/>
  <c r="O80" i="135"/>
  <c r="P80" i="135"/>
  <c r="Q80" i="135"/>
  <c r="R80" i="135"/>
  <c r="S80" i="135"/>
  <c r="N81" i="135"/>
  <c r="O81" i="135"/>
  <c r="P81" i="135"/>
  <c r="Q81" i="135"/>
  <c r="R81" i="135"/>
  <c r="S81" i="135"/>
  <c r="N82" i="135"/>
  <c r="O82" i="135"/>
  <c r="P82" i="135"/>
  <c r="Q82" i="135"/>
  <c r="R82" i="135"/>
  <c r="S82" i="135"/>
  <c r="N83" i="135"/>
  <c r="O83" i="135"/>
  <c r="P83" i="135"/>
  <c r="Q83" i="135"/>
  <c r="R83" i="135"/>
  <c r="S83" i="135"/>
  <c r="N84" i="135"/>
  <c r="O84" i="135"/>
  <c r="P84" i="135"/>
  <c r="Q84" i="135"/>
  <c r="R84" i="135"/>
  <c r="S84" i="135"/>
  <c r="N85" i="135"/>
  <c r="O85" i="135"/>
  <c r="P85" i="135"/>
  <c r="Q85" i="135"/>
  <c r="R85" i="135"/>
  <c r="S85" i="135"/>
  <c r="N86" i="135"/>
  <c r="O86" i="135"/>
  <c r="P86" i="135"/>
  <c r="Q86" i="135"/>
  <c r="R86" i="135"/>
  <c r="S86" i="135"/>
  <c r="N87" i="135"/>
  <c r="O87" i="135"/>
  <c r="P87" i="135"/>
  <c r="Q87" i="135"/>
  <c r="R87" i="135"/>
  <c r="S87" i="135"/>
  <c r="N88" i="135"/>
  <c r="O88" i="135"/>
  <c r="P88" i="135"/>
  <c r="Q88" i="135"/>
  <c r="R88" i="135"/>
  <c r="S88" i="135"/>
  <c r="N89" i="135"/>
  <c r="O89" i="135"/>
  <c r="P89" i="135"/>
  <c r="Q89" i="135"/>
  <c r="R89" i="135"/>
  <c r="S89" i="135"/>
  <c r="N90" i="135"/>
  <c r="O90" i="135"/>
  <c r="P90" i="135"/>
  <c r="Q90" i="135"/>
  <c r="R90" i="135"/>
  <c r="S90" i="135"/>
  <c r="N91" i="135"/>
  <c r="O91" i="135"/>
  <c r="P91" i="135"/>
  <c r="Q91" i="135"/>
  <c r="R91" i="135"/>
  <c r="S91" i="135"/>
  <c r="N92" i="135"/>
  <c r="O92" i="135"/>
  <c r="P92" i="135"/>
  <c r="Q92" i="135"/>
  <c r="R92" i="135"/>
  <c r="S92" i="135"/>
  <c r="O19" i="135"/>
  <c r="P19" i="135"/>
  <c r="Q19" i="135"/>
  <c r="R19" i="135"/>
  <c r="S19" i="135"/>
  <c r="AA37" i="135"/>
  <c r="AB37" i="135"/>
  <c r="C26" i="116" l="1"/>
  <c r="D26" i="116"/>
  <c r="E26" i="116"/>
  <c r="F26" i="116"/>
  <c r="G26" i="116"/>
  <c r="H26" i="116"/>
  <c r="I26" i="116"/>
  <c r="J26" i="116"/>
  <c r="D25" i="116"/>
  <c r="E25" i="116"/>
  <c r="F25" i="116"/>
  <c r="G25" i="116"/>
  <c r="H25" i="116"/>
  <c r="I25" i="116"/>
  <c r="J25" i="116"/>
  <c r="C25" i="116"/>
  <c r="C15" i="116"/>
  <c r="H206" i="115" l="1"/>
  <c r="I206" i="115"/>
  <c r="J206" i="115"/>
  <c r="H200" i="115"/>
  <c r="I200" i="115"/>
  <c r="J200" i="115"/>
  <c r="H126" i="115"/>
  <c r="I126" i="115"/>
  <c r="J126" i="115"/>
  <c r="H120" i="115"/>
  <c r="I120" i="115"/>
  <c r="J120" i="115"/>
  <c r="H46" i="115"/>
  <c r="I46" i="115"/>
  <c r="J46" i="115"/>
  <c r="H40" i="115"/>
  <c r="I40" i="115"/>
  <c r="J40" i="115"/>
  <c r="D92" i="3"/>
  <c r="E92" i="3"/>
  <c r="F92" i="3"/>
  <c r="J92" i="3"/>
  <c r="K92" i="3"/>
  <c r="L92" i="3"/>
  <c r="D86" i="3"/>
  <c r="E86" i="3"/>
  <c r="F86" i="3"/>
  <c r="J86" i="3"/>
  <c r="K86" i="3"/>
  <c r="L86" i="3"/>
  <c r="D92" i="1"/>
  <c r="E92" i="1"/>
  <c r="F92" i="1"/>
  <c r="J92" i="1"/>
  <c r="K92" i="1"/>
  <c r="L92" i="1"/>
  <c r="D86" i="1"/>
  <c r="E86" i="1"/>
  <c r="F86" i="1"/>
  <c r="J86" i="1"/>
  <c r="K86" i="1"/>
  <c r="L86" i="1"/>
  <c r="H202" i="113"/>
  <c r="I202" i="113"/>
  <c r="J202" i="113"/>
  <c r="H196" i="113"/>
  <c r="I196" i="113"/>
  <c r="J196" i="113"/>
  <c r="H42" i="113"/>
  <c r="I42" i="113"/>
  <c r="J42" i="113"/>
  <c r="H36" i="113"/>
  <c r="I36" i="113"/>
  <c r="J36" i="113"/>
  <c r="H122" i="113"/>
  <c r="I122" i="113"/>
  <c r="J122" i="113"/>
  <c r="H116" i="113"/>
  <c r="I116" i="113"/>
  <c r="J116" i="113"/>
  <c r="G13" i="3"/>
  <c r="M13" i="3" s="1"/>
  <c r="D9" i="196" s="1"/>
  <c r="F9" i="196" s="1"/>
  <c r="H13" i="3"/>
  <c r="N13" i="3" s="1"/>
  <c r="I13" i="3"/>
  <c r="O13" i="3" s="1"/>
  <c r="G14" i="3"/>
  <c r="M14" i="3" s="1"/>
  <c r="D10" i="196" s="1"/>
  <c r="F10" i="196" s="1"/>
  <c r="H14" i="3"/>
  <c r="N14" i="3" s="1"/>
  <c r="I14" i="3"/>
  <c r="O14" i="3" s="1"/>
  <c r="G15" i="3"/>
  <c r="M15" i="3" s="1"/>
  <c r="D11" i="196" s="1"/>
  <c r="F11" i="196" s="1"/>
  <c r="H15" i="3"/>
  <c r="N15" i="3" s="1"/>
  <c r="I15" i="3"/>
  <c r="O15" i="3" s="1"/>
  <c r="G16" i="3"/>
  <c r="M16" i="3" s="1"/>
  <c r="D12" i="196" s="1"/>
  <c r="F12" i="196" s="1"/>
  <c r="H16" i="3"/>
  <c r="N16" i="3" s="1"/>
  <c r="I16" i="3"/>
  <c r="O16" i="3" s="1"/>
  <c r="H17" i="3"/>
  <c r="N17" i="3" s="1"/>
  <c r="I17" i="3"/>
  <c r="O17" i="3" s="1"/>
  <c r="G18" i="3"/>
  <c r="M18" i="3" s="1"/>
  <c r="D13" i="196" s="1"/>
  <c r="F13" i="196" s="1"/>
  <c r="H18" i="3"/>
  <c r="N18" i="3" s="1"/>
  <c r="I18" i="3"/>
  <c r="O18" i="3" s="1"/>
  <c r="G19" i="3"/>
  <c r="M19" i="3" s="1"/>
  <c r="D14" i="196" s="1"/>
  <c r="F14" i="196" s="1"/>
  <c r="H19" i="3"/>
  <c r="N19" i="3" s="1"/>
  <c r="I19" i="3"/>
  <c r="O19" i="3" s="1"/>
  <c r="G20" i="3"/>
  <c r="M20" i="3" s="1"/>
  <c r="D15" i="196" s="1"/>
  <c r="F15" i="196" s="1"/>
  <c r="H20" i="3"/>
  <c r="N20" i="3" s="1"/>
  <c r="I20" i="3"/>
  <c r="O20" i="3" s="1"/>
  <c r="G21" i="3"/>
  <c r="M21" i="3" s="1"/>
  <c r="D16" i="196" s="1"/>
  <c r="F16" i="196" s="1"/>
  <c r="H21" i="3"/>
  <c r="N21" i="3" s="1"/>
  <c r="I21" i="3"/>
  <c r="O21" i="3" s="1"/>
  <c r="G22" i="3"/>
  <c r="M22" i="3" s="1"/>
  <c r="D17" i="196" s="1"/>
  <c r="F17" i="196" s="1"/>
  <c r="H22" i="3"/>
  <c r="N22" i="3" s="1"/>
  <c r="I22" i="3"/>
  <c r="O22" i="3" s="1"/>
  <c r="H23" i="3"/>
  <c r="N23" i="3" s="1"/>
  <c r="I23" i="3"/>
  <c r="O23" i="3" s="1"/>
  <c r="G24" i="3"/>
  <c r="M24" i="3" s="1"/>
  <c r="D18" i="196" s="1"/>
  <c r="F18" i="196" s="1"/>
  <c r="H24" i="3"/>
  <c r="N24" i="3" s="1"/>
  <c r="I24" i="3"/>
  <c r="O24" i="3" s="1"/>
  <c r="G25" i="3"/>
  <c r="M25" i="3" s="1"/>
  <c r="D19" i="196" s="1"/>
  <c r="F19" i="196" s="1"/>
  <c r="H25" i="3"/>
  <c r="N25" i="3" s="1"/>
  <c r="I25" i="3"/>
  <c r="O25" i="3" s="1"/>
  <c r="G26" i="3"/>
  <c r="M26" i="3" s="1"/>
  <c r="D20" i="196" s="1"/>
  <c r="F20" i="196" s="1"/>
  <c r="H26" i="3"/>
  <c r="N26" i="3" s="1"/>
  <c r="I26" i="3"/>
  <c r="O26" i="3" s="1"/>
  <c r="G27" i="3"/>
  <c r="M27" i="3" s="1"/>
  <c r="D21" i="196" s="1"/>
  <c r="F21" i="196" s="1"/>
  <c r="H27" i="3"/>
  <c r="N27" i="3" s="1"/>
  <c r="I27" i="3"/>
  <c r="O27" i="3" s="1"/>
  <c r="G28" i="3"/>
  <c r="M28" i="3" s="1"/>
  <c r="D22" i="196" s="1"/>
  <c r="F22" i="196" s="1"/>
  <c r="H28" i="3"/>
  <c r="N28" i="3" s="1"/>
  <c r="I28" i="3"/>
  <c r="O28" i="3" s="1"/>
  <c r="H29" i="3"/>
  <c r="N29" i="3" s="1"/>
  <c r="I29" i="3"/>
  <c r="O29" i="3" s="1"/>
  <c r="G30" i="3"/>
  <c r="M30" i="3" s="1"/>
  <c r="D23" i="196" s="1"/>
  <c r="F23" i="196" s="1"/>
  <c r="H30" i="3"/>
  <c r="N30" i="3" s="1"/>
  <c r="I30" i="3"/>
  <c r="O30" i="3" s="1"/>
  <c r="G31" i="3"/>
  <c r="M31" i="3" s="1"/>
  <c r="D24" i="196" s="1"/>
  <c r="F24" i="196" s="1"/>
  <c r="H31" i="3"/>
  <c r="N31" i="3" s="1"/>
  <c r="I31" i="3"/>
  <c r="O31" i="3" s="1"/>
  <c r="G32" i="3"/>
  <c r="M32" i="3" s="1"/>
  <c r="D25" i="196" s="1"/>
  <c r="F25" i="196" s="1"/>
  <c r="H32" i="3"/>
  <c r="N32" i="3" s="1"/>
  <c r="I32" i="3"/>
  <c r="O32" i="3" s="1"/>
  <c r="G33" i="3"/>
  <c r="M33" i="3" s="1"/>
  <c r="D26" i="196" s="1"/>
  <c r="F26" i="196" s="1"/>
  <c r="H33" i="3"/>
  <c r="N33" i="3" s="1"/>
  <c r="I33" i="3"/>
  <c r="O33" i="3" s="1"/>
  <c r="G34" i="3"/>
  <c r="M34" i="3" s="1"/>
  <c r="D27" i="196" s="1"/>
  <c r="F27" i="196" s="1"/>
  <c r="H34" i="3"/>
  <c r="N34" i="3" s="1"/>
  <c r="I34" i="3"/>
  <c r="O34" i="3" s="1"/>
  <c r="H35" i="3"/>
  <c r="N35" i="3" s="1"/>
  <c r="I35" i="3"/>
  <c r="O35" i="3" s="1"/>
  <c r="G36" i="3"/>
  <c r="M36" i="3" s="1"/>
  <c r="D28" i="196" s="1"/>
  <c r="F28" i="196" s="1"/>
  <c r="H36" i="3"/>
  <c r="N36" i="3" s="1"/>
  <c r="I36" i="3"/>
  <c r="O36" i="3" s="1"/>
  <c r="G37" i="3"/>
  <c r="M37" i="3" s="1"/>
  <c r="D29" i="196" s="1"/>
  <c r="F29" i="196" s="1"/>
  <c r="H37" i="3"/>
  <c r="N37" i="3" s="1"/>
  <c r="I37" i="3"/>
  <c r="O37" i="3" s="1"/>
  <c r="G38" i="3"/>
  <c r="H38" i="3"/>
  <c r="N38" i="3" s="1"/>
  <c r="I38" i="3"/>
  <c r="O38" i="3" s="1"/>
  <c r="G39" i="3"/>
  <c r="M39" i="3" s="1"/>
  <c r="D31" i="196" s="1"/>
  <c r="F31" i="196" s="1"/>
  <c r="H39" i="3"/>
  <c r="N39" i="3" s="1"/>
  <c r="I39" i="3"/>
  <c r="O39" i="3" s="1"/>
  <c r="G40" i="3"/>
  <c r="M40" i="3" s="1"/>
  <c r="D32" i="196" s="1"/>
  <c r="F32" i="196" s="1"/>
  <c r="H40" i="3"/>
  <c r="N40" i="3" s="1"/>
  <c r="I40" i="3"/>
  <c r="O40" i="3" s="1"/>
  <c r="H41" i="3"/>
  <c r="N41" i="3" s="1"/>
  <c r="I41" i="3"/>
  <c r="O41" i="3" s="1"/>
  <c r="G42" i="3"/>
  <c r="M42" i="3" s="1"/>
  <c r="D33" i="196" s="1"/>
  <c r="F33" i="196" s="1"/>
  <c r="H42" i="3"/>
  <c r="N42" i="3" s="1"/>
  <c r="I42" i="3"/>
  <c r="O42" i="3" s="1"/>
  <c r="G43" i="3"/>
  <c r="M43" i="3" s="1"/>
  <c r="D34" i="196" s="1"/>
  <c r="F34" i="196" s="1"/>
  <c r="H43" i="3"/>
  <c r="N43" i="3" s="1"/>
  <c r="I43" i="3"/>
  <c r="O43" i="3" s="1"/>
  <c r="G44" i="3"/>
  <c r="M44" i="3" s="1"/>
  <c r="D35" i="196" s="1"/>
  <c r="F35" i="196" s="1"/>
  <c r="H44" i="3"/>
  <c r="N44" i="3" s="1"/>
  <c r="I44" i="3"/>
  <c r="O44" i="3" s="1"/>
  <c r="G45" i="3"/>
  <c r="M45" i="3" s="1"/>
  <c r="D36" i="196" s="1"/>
  <c r="F36" i="196" s="1"/>
  <c r="H45" i="3"/>
  <c r="N45" i="3" s="1"/>
  <c r="I45" i="3"/>
  <c r="O45" i="3" s="1"/>
  <c r="G46" i="3"/>
  <c r="M46" i="3" s="1"/>
  <c r="D37" i="196" s="1"/>
  <c r="F37" i="196" s="1"/>
  <c r="H46" i="3"/>
  <c r="N46" i="3" s="1"/>
  <c r="I46" i="3"/>
  <c r="O46" i="3" s="1"/>
  <c r="H47" i="3"/>
  <c r="N47" i="3" s="1"/>
  <c r="I47" i="3"/>
  <c r="O47" i="3" s="1"/>
  <c r="G48" i="3"/>
  <c r="M48" i="3" s="1"/>
  <c r="D38" i="196" s="1"/>
  <c r="F38" i="196" s="1"/>
  <c r="H48" i="3"/>
  <c r="N48" i="3" s="1"/>
  <c r="I48" i="3"/>
  <c r="O48" i="3" s="1"/>
  <c r="G49" i="3"/>
  <c r="M49" i="3" s="1"/>
  <c r="D39" i="196" s="1"/>
  <c r="F39" i="196" s="1"/>
  <c r="H49" i="3"/>
  <c r="N49" i="3" s="1"/>
  <c r="I49" i="3"/>
  <c r="O49" i="3" s="1"/>
  <c r="G50" i="3"/>
  <c r="M50" i="3" s="1"/>
  <c r="D40" i="196" s="1"/>
  <c r="F40" i="196" s="1"/>
  <c r="H50" i="3"/>
  <c r="N50" i="3" s="1"/>
  <c r="I50" i="3"/>
  <c r="O50" i="3" s="1"/>
  <c r="G51" i="3"/>
  <c r="M51" i="3" s="1"/>
  <c r="D41" i="196" s="1"/>
  <c r="F41" i="196" s="1"/>
  <c r="H51" i="3"/>
  <c r="N51" i="3" s="1"/>
  <c r="I51" i="3"/>
  <c r="O51" i="3" s="1"/>
  <c r="G52" i="3"/>
  <c r="M52" i="3" s="1"/>
  <c r="D42" i="196" s="1"/>
  <c r="F42" i="196" s="1"/>
  <c r="H52" i="3"/>
  <c r="N52" i="3" s="1"/>
  <c r="I52" i="3"/>
  <c r="O52" i="3" s="1"/>
  <c r="H53" i="3"/>
  <c r="N53" i="3" s="1"/>
  <c r="I53" i="3"/>
  <c r="O53" i="3" s="1"/>
  <c r="G54" i="3"/>
  <c r="M54" i="3" s="1"/>
  <c r="D43" i="196" s="1"/>
  <c r="F43" i="196" s="1"/>
  <c r="H54" i="3"/>
  <c r="N54" i="3" s="1"/>
  <c r="I54" i="3"/>
  <c r="O54" i="3" s="1"/>
  <c r="G55" i="3"/>
  <c r="M55" i="3" s="1"/>
  <c r="D44" i="196" s="1"/>
  <c r="F44" i="196" s="1"/>
  <c r="H55" i="3"/>
  <c r="N55" i="3" s="1"/>
  <c r="I55" i="3"/>
  <c r="O55" i="3" s="1"/>
  <c r="G56" i="3"/>
  <c r="M56" i="3" s="1"/>
  <c r="D45" i="196" s="1"/>
  <c r="F45" i="196" s="1"/>
  <c r="H56" i="3"/>
  <c r="N56" i="3" s="1"/>
  <c r="I56" i="3"/>
  <c r="O56" i="3" s="1"/>
  <c r="G57" i="3"/>
  <c r="M57" i="3" s="1"/>
  <c r="D46" i="196" s="1"/>
  <c r="F46" i="196" s="1"/>
  <c r="H57" i="3"/>
  <c r="N57" i="3" s="1"/>
  <c r="I57" i="3"/>
  <c r="O57" i="3" s="1"/>
  <c r="G58" i="3"/>
  <c r="M58" i="3" s="1"/>
  <c r="D47" i="196" s="1"/>
  <c r="F47" i="196" s="1"/>
  <c r="H58" i="3"/>
  <c r="N58" i="3" s="1"/>
  <c r="I58" i="3"/>
  <c r="O58" i="3" s="1"/>
  <c r="H59" i="3"/>
  <c r="N59" i="3" s="1"/>
  <c r="I59" i="3"/>
  <c r="O59" i="3" s="1"/>
  <c r="G60" i="3"/>
  <c r="M60" i="3" s="1"/>
  <c r="D48" i="196" s="1"/>
  <c r="F48" i="196" s="1"/>
  <c r="H60" i="3"/>
  <c r="N60" i="3" s="1"/>
  <c r="I60" i="3"/>
  <c r="O60" i="3" s="1"/>
  <c r="G61" i="3"/>
  <c r="M61" i="3" s="1"/>
  <c r="D49" i="196" s="1"/>
  <c r="F49" i="196" s="1"/>
  <c r="H61" i="3"/>
  <c r="N61" i="3" s="1"/>
  <c r="I61" i="3"/>
  <c r="O61" i="3" s="1"/>
  <c r="G62" i="3"/>
  <c r="M62" i="3" s="1"/>
  <c r="D50" i="196" s="1"/>
  <c r="F50" i="196" s="1"/>
  <c r="H62" i="3"/>
  <c r="N62" i="3" s="1"/>
  <c r="I62" i="3"/>
  <c r="O62" i="3" s="1"/>
  <c r="G63" i="3"/>
  <c r="M63" i="3" s="1"/>
  <c r="D51" i="196" s="1"/>
  <c r="F51" i="196" s="1"/>
  <c r="H63" i="3"/>
  <c r="N63" i="3" s="1"/>
  <c r="I63" i="3"/>
  <c r="O63" i="3" s="1"/>
  <c r="G64" i="3"/>
  <c r="M64" i="3" s="1"/>
  <c r="D52" i="196" s="1"/>
  <c r="F52" i="196" s="1"/>
  <c r="H64" i="3"/>
  <c r="N64" i="3" s="1"/>
  <c r="I64" i="3"/>
  <c r="O64" i="3" s="1"/>
  <c r="H65" i="3"/>
  <c r="N65" i="3" s="1"/>
  <c r="I65" i="3"/>
  <c r="O65" i="3" s="1"/>
  <c r="G66" i="3"/>
  <c r="M66" i="3" s="1"/>
  <c r="D53" i="196" s="1"/>
  <c r="F53" i="196" s="1"/>
  <c r="H66" i="3"/>
  <c r="N66" i="3" s="1"/>
  <c r="I66" i="3"/>
  <c r="O66" i="3" s="1"/>
  <c r="G67" i="3"/>
  <c r="M67" i="3" s="1"/>
  <c r="D54" i="196" s="1"/>
  <c r="F54" i="196" s="1"/>
  <c r="H67" i="3"/>
  <c r="N67" i="3" s="1"/>
  <c r="I67" i="3"/>
  <c r="O67" i="3" s="1"/>
  <c r="G68" i="3"/>
  <c r="M68" i="3" s="1"/>
  <c r="D55" i="196" s="1"/>
  <c r="F55" i="196" s="1"/>
  <c r="H68" i="3"/>
  <c r="N68" i="3" s="1"/>
  <c r="I68" i="3"/>
  <c r="O68" i="3" s="1"/>
  <c r="G69" i="3"/>
  <c r="M69" i="3" s="1"/>
  <c r="D56" i="196" s="1"/>
  <c r="F56" i="196" s="1"/>
  <c r="H69" i="3"/>
  <c r="N69" i="3" s="1"/>
  <c r="I69" i="3"/>
  <c r="O69" i="3" s="1"/>
  <c r="G70" i="3"/>
  <c r="M70" i="3" s="1"/>
  <c r="D57" i="196" s="1"/>
  <c r="F57" i="196" s="1"/>
  <c r="H70" i="3"/>
  <c r="N70" i="3" s="1"/>
  <c r="I70" i="3"/>
  <c r="O70" i="3" s="1"/>
  <c r="H71" i="3"/>
  <c r="N71" i="3" s="1"/>
  <c r="I71" i="3"/>
  <c r="O71" i="3" s="1"/>
  <c r="G72" i="3"/>
  <c r="M72" i="3" s="1"/>
  <c r="D58" i="196" s="1"/>
  <c r="F58" i="196" s="1"/>
  <c r="H72" i="3"/>
  <c r="N72" i="3" s="1"/>
  <c r="I72" i="3"/>
  <c r="O72" i="3" s="1"/>
  <c r="G73" i="3"/>
  <c r="M73" i="3" s="1"/>
  <c r="D59" i="196" s="1"/>
  <c r="F59" i="196" s="1"/>
  <c r="H73" i="3"/>
  <c r="N73" i="3" s="1"/>
  <c r="I73" i="3"/>
  <c r="O73" i="3" s="1"/>
  <c r="G74" i="3"/>
  <c r="M74" i="3" s="1"/>
  <c r="D60" i="196" s="1"/>
  <c r="F60" i="196" s="1"/>
  <c r="H74" i="3"/>
  <c r="N74" i="3" s="1"/>
  <c r="I74" i="3"/>
  <c r="O74" i="3" s="1"/>
  <c r="G75" i="3"/>
  <c r="M75" i="3" s="1"/>
  <c r="D61" i="196" s="1"/>
  <c r="F61" i="196" s="1"/>
  <c r="H75" i="3"/>
  <c r="N75" i="3" s="1"/>
  <c r="I75" i="3"/>
  <c r="O75" i="3" s="1"/>
  <c r="G76" i="3"/>
  <c r="M76" i="3" s="1"/>
  <c r="D62" i="196" s="1"/>
  <c r="F62" i="196" s="1"/>
  <c r="H76" i="3"/>
  <c r="N76" i="3" s="1"/>
  <c r="I76" i="3"/>
  <c r="O76" i="3" s="1"/>
  <c r="H77" i="3"/>
  <c r="N77" i="3" s="1"/>
  <c r="I77" i="3"/>
  <c r="O77" i="3" s="1"/>
  <c r="G78" i="3"/>
  <c r="M78" i="3" s="1"/>
  <c r="D63" i="196" s="1"/>
  <c r="F63" i="196" s="1"/>
  <c r="H78" i="3"/>
  <c r="N78" i="3" s="1"/>
  <c r="I78" i="3"/>
  <c r="O78" i="3" s="1"/>
  <c r="G79" i="3"/>
  <c r="M79" i="3" s="1"/>
  <c r="D64" i="196" s="1"/>
  <c r="F64" i="196" s="1"/>
  <c r="H79" i="3"/>
  <c r="N79" i="3" s="1"/>
  <c r="I79" i="3"/>
  <c r="O79" i="3" s="1"/>
  <c r="G80" i="3"/>
  <c r="M80" i="3" s="1"/>
  <c r="D65" i="196" s="1"/>
  <c r="F65" i="196" s="1"/>
  <c r="H80" i="3"/>
  <c r="N80" i="3" s="1"/>
  <c r="I80" i="3"/>
  <c r="O80" i="3" s="1"/>
  <c r="G81" i="3"/>
  <c r="M81" i="3" s="1"/>
  <c r="D66" i="196" s="1"/>
  <c r="F66" i="196" s="1"/>
  <c r="H81" i="3"/>
  <c r="N81" i="3" s="1"/>
  <c r="I81" i="3"/>
  <c r="O81" i="3" s="1"/>
  <c r="G82" i="3"/>
  <c r="M82" i="3" s="1"/>
  <c r="D67" i="196" s="1"/>
  <c r="F67" i="196" s="1"/>
  <c r="H82" i="3"/>
  <c r="N82" i="3" s="1"/>
  <c r="I82" i="3"/>
  <c r="O82" i="3" s="1"/>
  <c r="H83" i="3"/>
  <c r="N83" i="3" s="1"/>
  <c r="I83" i="3"/>
  <c r="O83" i="3" s="1"/>
  <c r="G20" i="1"/>
  <c r="M20" i="1" s="1"/>
  <c r="H20" i="1"/>
  <c r="I20" i="1"/>
  <c r="G14" i="1"/>
  <c r="M14" i="1" s="1"/>
  <c r="H14" i="1"/>
  <c r="N14" i="1" s="1"/>
  <c r="I14" i="1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41" i="104"/>
  <c r="B42" i="104"/>
  <c r="B43" i="104"/>
  <c r="B44" i="104"/>
  <c r="B45" i="104"/>
  <c r="B46" i="104"/>
  <c r="B47" i="104"/>
  <c r="B48" i="104"/>
  <c r="B49" i="104"/>
  <c r="B50" i="104"/>
  <c r="B51" i="104"/>
  <c r="B52" i="104"/>
  <c r="B53" i="104"/>
  <c r="B54" i="104"/>
  <c r="B55" i="104"/>
  <c r="B56" i="104"/>
  <c r="B57" i="104"/>
  <c r="B58" i="104"/>
  <c r="B59" i="104"/>
  <c r="B60" i="104"/>
  <c r="B61" i="104"/>
  <c r="B62" i="104"/>
  <c r="B63" i="104"/>
  <c r="B64" i="104"/>
  <c r="B65" i="104"/>
  <c r="B66" i="104"/>
  <c r="B67" i="104"/>
  <c r="B68" i="104"/>
  <c r="B69" i="104"/>
  <c r="B70" i="104"/>
  <c r="B71" i="104"/>
  <c r="B72" i="104"/>
  <c r="B73" i="104"/>
  <c r="B74" i="104"/>
  <c r="B75" i="104"/>
  <c r="B76" i="104"/>
  <c r="B77" i="104"/>
  <c r="B78" i="104"/>
  <c r="B79" i="104"/>
  <c r="B80" i="104"/>
  <c r="B81" i="104"/>
  <c r="B82" i="104"/>
  <c r="B83" i="104"/>
  <c r="B84" i="104"/>
  <c r="B85" i="104"/>
  <c r="B86" i="104"/>
  <c r="B87" i="104"/>
  <c r="B88" i="104"/>
  <c r="B89" i="104"/>
  <c r="B90" i="104"/>
  <c r="B91" i="104"/>
  <c r="B92" i="104"/>
  <c r="B93" i="104"/>
  <c r="B94" i="104"/>
  <c r="B95" i="104"/>
  <c r="B96" i="104"/>
  <c r="B97" i="104"/>
  <c r="B98" i="104"/>
  <c r="B99" i="104"/>
  <c r="B100" i="104"/>
  <c r="B101" i="104"/>
  <c r="B102" i="104"/>
  <c r="B103" i="104"/>
  <c r="B104" i="104"/>
  <c r="B105" i="104"/>
  <c r="B106" i="104"/>
  <c r="B107" i="104"/>
  <c r="B108" i="104"/>
  <c r="B109" i="104"/>
  <c r="B110" i="104"/>
  <c r="B111" i="104"/>
  <c r="B112" i="104"/>
  <c r="B113" i="104"/>
  <c r="B114" i="104"/>
  <c r="B115" i="104"/>
  <c r="B116" i="104"/>
  <c r="B117" i="104"/>
  <c r="B118" i="104"/>
  <c r="B119" i="104"/>
  <c r="B120" i="104"/>
  <c r="B121" i="104"/>
  <c r="B122" i="104"/>
  <c r="B123" i="104"/>
  <c r="B124" i="104"/>
  <c r="B125" i="104"/>
  <c r="B126" i="104"/>
  <c r="B127" i="104"/>
  <c r="B128" i="104"/>
  <c r="B129" i="104"/>
  <c r="B130" i="104"/>
  <c r="B131" i="104"/>
  <c r="B132" i="104"/>
  <c r="B133" i="104"/>
  <c r="B134" i="104"/>
  <c r="B135" i="104"/>
  <c r="B136" i="104"/>
  <c r="B137" i="104"/>
  <c r="B138" i="104"/>
  <c r="B139" i="104"/>
  <c r="B140" i="104"/>
  <c r="B141" i="104"/>
  <c r="B142" i="104"/>
  <c r="B143" i="104"/>
  <c r="B144" i="104"/>
  <c r="B145" i="104"/>
  <c r="B146" i="104"/>
  <c r="B147" i="104"/>
  <c r="B148" i="104"/>
  <c r="B149" i="104"/>
  <c r="B150" i="104"/>
  <c r="B151" i="104"/>
  <c r="B152" i="104"/>
  <c r="B153" i="104"/>
  <c r="B154" i="104"/>
  <c r="B155" i="104"/>
  <c r="B156" i="104"/>
  <c r="B157" i="104"/>
  <c r="B158" i="104"/>
  <c r="B159" i="104"/>
  <c r="B160" i="104"/>
  <c r="B161" i="104"/>
  <c r="B162" i="104"/>
  <c r="B163" i="104"/>
  <c r="B164" i="104"/>
  <c r="B165" i="104"/>
  <c r="B166" i="104"/>
  <c r="B168" i="104"/>
  <c r="B169" i="104"/>
  <c r="B171" i="104"/>
  <c r="B172" i="104"/>
  <c r="B173" i="104"/>
  <c r="B174" i="104"/>
  <c r="B175" i="104"/>
  <c r="B176" i="104"/>
  <c r="B177" i="104"/>
  <c r="B178" i="104"/>
  <c r="B179" i="104"/>
  <c r="B180" i="104"/>
  <c r="B181" i="104"/>
  <c r="B182" i="104"/>
  <c r="B183" i="104"/>
  <c r="B184" i="104"/>
  <c r="B185" i="104"/>
  <c r="B186" i="104"/>
  <c r="B187" i="104"/>
  <c r="B188" i="104"/>
  <c r="B189" i="104"/>
  <c r="B190" i="104"/>
  <c r="B191" i="104"/>
  <c r="B192" i="104"/>
  <c r="B193" i="104"/>
  <c r="B194" i="104"/>
  <c r="B195" i="104"/>
  <c r="B197" i="104"/>
  <c r="B198" i="104"/>
  <c r="B199" i="104"/>
  <c r="B200" i="104"/>
  <c r="B201" i="104"/>
  <c r="B202" i="104"/>
  <c r="B203" i="104"/>
  <c r="B204" i="104"/>
  <c r="B205" i="104"/>
  <c r="B206" i="104"/>
  <c r="B207" i="104"/>
  <c r="B208" i="104"/>
  <c r="C208" i="104"/>
  <c r="D208" i="104"/>
  <c r="B209" i="104"/>
  <c r="C209" i="104"/>
  <c r="D209" i="104"/>
  <c r="B210" i="104"/>
  <c r="C210" i="104"/>
  <c r="D210" i="104"/>
  <c r="B211" i="104"/>
  <c r="C211" i="104"/>
  <c r="D211" i="104"/>
  <c r="B212" i="104"/>
  <c r="C212" i="104"/>
  <c r="D212" i="104"/>
  <c r="B213" i="104"/>
  <c r="C213" i="104"/>
  <c r="D213" i="104"/>
  <c r="B214" i="104"/>
  <c r="C214" i="104"/>
  <c r="D214" i="104"/>
  <c r="B215" i="104"/>
  <c r="C215" i="104"/>
  <c r="D215" i="104"/>
  <c r="B216" i="104"/>
  <c r="C216" i="104"/>
  <c r="D216" i="104"/>
  <c r="B217" i="104"/>
  <c r="C217" i="104"/>
  <c r="D217" i="104"/>
  <c r="B218" i="104"/>
  <c r="C218" i="104"/>
  <c r="D218" i="104"/>
  <c r="B219" i="104"/>
  <c r="C219" i="104"/>
  <c r="D219" i="104"/>
  <c r="D15" i="194" l="1"/>
  <c r="F15" i="194" s="1"/>
  <c r="D10" i="194"/>
  <c r="F10" i="194" s="1"/>
  <c r="M38" i="3"/>
  <c r="D30" i="196" s="1"/>
  <c r="F30" i="196" s="1"/>
  <c r="AJ46" i="135"/>
  <c r="G116" i="113"/>
  <c r="O14" i="1"/>
  <c r="F122" i="113"/>
  <c r="N20" i="1"/>
  <c r="G122" i="113"/>
  <c r="O20" i="1"/>
  <c r="F116" i="113"/>
  <c r="E116" i="113"/>
  <c r="K20" i="153"/>
  <c r="O20" i="155"/>
  <c r="J20" i="153"/>
  <c r="E122" i="113"/>
  <c r="U23" i="115"/>
  <c r="U17" i="115"/>
  <c r="T23" i="115"/>
  <c r="V23" i="115"/>
  <c r="T17" i="115"/>
  <c r="V17" i="115"/>
  <c r="G206" i="115"/>
  <c r="F206" i="115"/>
  <c r="E206" i="115"/>
  <c r="G200" i="115"/>
  <c r="F200" i="115"/>
  <c r="E200" i="115"/>
  <c r="G126" i="115"/>
  <c r="F126" i="115"/>
  <c r="E126" i="115"/>
  <c r="G120" i="115"/>
  <c r="F120" i="115"/>
  <c r="E120" i="115"/>
  <c r="G46" i="115"/>
  <c r="F46" i="115"/>
  <c r="E46" i="115"/>
  <c r="G40" i="115"/>
  <c r="F40" i="115"/>
  <c r="E40" i="115"/>
  <c r="I92" i="3"/>
  <c r="H92" i="3"/>
  <c r="G92" i="3"/>
  <c r="I86" i="3"/>
  <c r="H86" i="3"/>
  <c r="G86" i="3"/>
  <c r="V22" i="113"/>
  <c r="T16" i="113"/>
  <c r="U22" i="113"/>
  <c r="V16" i="113"/>
  <c r="T22" i="113"/>
  <c r="U16" i="113"/>
  <c r="G202" i="113"/>
  <c r="F202" i="113"/>
  <c r="E202" i="113"/>
  <c r="G196" i="113"/>
  <c r="F196" i="113"/>
  <c r="E196" i="113"/>
  <c r="G42" i="113"/>
  <c r="F42" i="113"/>
  <c r="E42" i="113"/>
  <c r="G36" i="113"/>
  <c r="F36" i="113"/>
  <c r="E36" i="113"/>
  <c r="E10" i="194" l="1"/>
  <c r="G10" i="194" s="1"/>
  <c r="E15" i="194"/>
  <c r="E10" i="196"/>
  <c r="F15" i="231" s="1"/>
  <c r="E15" i="196"/>
  <c r="F20" i="231" s="1"/>
  <c r="O22" i="113"/>
  <c r="R22" i="113" s="1"/>
  <c r="P22" i="113"/>
  <c r="S22" i="113" s="1"/>
  <c r="P16" i="113"/>
  <c r="Y16" i="113" s="1"/>
  <c r="O16" i="113"/>
  <c r="N16" i="113"/>
  <c r="N22" i="113"/>
  <c r="N23" i="115"/>
  <c r="P23" i="115"/>
  <c r="O23" i="115"/>
  <c r="O17" i="115"/>
  <c r="P17" i="115"/>
  <c r="N17" i="115"/>
  <c r="E27" i="101"/>
  <c r="C27" i="101"/>
  <c r="D26" i="101"/>
  <c r="E26" i="101"/>
  <c r="F26" i="101"/>
  <c r="G26" i="101"/>
  <c r="M26" i="101"/>
  <c r="N26" i="101"/>
  <c r="O26" i="101"/>
  <c r="P26" i="101"/>
  <c r="Q26" i="101"/>
  <c r="R26" i="101"/>
  <c r="S26" i="101"/>
  <c r="T26" i="101"/>
  <c r="U26" i="101"/>
  <c r="V26" i="101"/>
  <c r="C26" i="101"/>
  <c r="F15" i="227" l="1"/>
  <c r="L10" i="194" a="1"/>
  <c r="L10" i="194" s="1"/>
  <c r="G15" i="194"/>
  <c r="L15" i="194" a="1"/>
  <c r="L15" i="194" s="1"/>
  <c r="F20" i="227"/>
  <c r="I15" i="227"/>
  <c r="O15" i="227" s="1"/>
  <c r="G15" i="196"/>
  <c r="I20" i="231" s="1"/>
  <c r="O20" i="231" s="1"/>
  <c r="L15" i="196" a="1"/>
  <c r="L15" i="196" s="1"/>
  <c r="L10" i="196" a="1"/>
  <c r="L10" i="196" s="1"/>
  <c r="G10" i="196"/>
  <c r="I15" i="231" s="1"/>
  <c r="O15" i="231" s="1"/>
  <c r="I11" i="203"/>
  <c r="M11" i="203" s="1"/>
  <c r="I12" i="203"/>
  <c r="M12" i="203" s="1"/>
  <c r="X22" i="113"/>
  <c r="S17" i="115"/>
  <c r="Y17" i="115"/>
  <c r="S23" i="115"/>
  <c r="Y23" i="115"/>
  <c r="Q17" i="115"/>
  <c r="W17" i="115"/>
  <c r="R17" i="115"/>
  <c r="X17" i="115"/>
  <c r="R23" i="115"/>
  <c r="X23" i="115"/>
  <c r="Q23" i="115"/>
  <c r="W23" i="115"/>
  <c r="S16" i="113"/>
  <c r="Y22" i="113"/>
  <c r="Q22" i="113"/>
  <c r="W22" i="113"/>
  <c r="R16" i="113"/>
  <c r="X16" i="113"/>
  <c r="Q16" i="113"/>
  <c r="W16" i="113"/>
  <c r="C28" i="101"/>
  <c r="I20" i="227" l="1"/>
  <c r="O20" i="227" s="1"/>
  <c r="M15" i="227"/>
  <c r="M20" i="231"/>
  <c r="M15" i="231"/>
  <c r="F9" i="200"/>
  <c r="A2" i="1"/>
  <c r="M20" i="227" l="1"/>
  <c r="G9" i="200"/>
  <c r="I9" i="200" s="1"/>
  <c r="H9" i="200"/>
  <c r="A3" i="142"/>
  <c r="A2" i="150"/>
  <c r="A2" i="136"/>
  <c r="A4" i="152" l="1"/>
  <c r="A4" i="155" l="1"/>
  <c r="A4" i="154"/>
  <c r="A4" i="153"/>
  <c r="D88" i="141"/>
  <c r="N94" i="135" s="1"/>
  <c r="Q66" i="154"/>
  <c r="P66" i="154"/>
  <c r="O66" i="154"/>
  <c r="N66" i="154"/>
  <c r="H36" i="152"/>
  <c r="H37" i="152"/>
  <c r="H38" i="152"/>
  <c r="H39" i="152"/>
  <c r="H40" i="152"/>
  <c r="G36" i="152"/>
  <c r="G37" i="152"/>
  <c r="G38" i="152"/>
  <c r="G39" i="152"/>
  <c r="G40" i="152"/>
  <c r="H26" i="152"/>
  <c r="H27" i="152"/>
  <c r="H25" i="152"/>
  <c r="G26" i="152"/>
  <c r="G27" i="152"/>
  <c r="G25" i="152"/>
  <c r="BH20" i="135"/>
  <c r="BI20" i="135"/>
  <c r="BJ20" i="135"/>
  <c r="BK20" i="135"/>
  <c r="BL20" i="135"/>
  <c r="BM20" i="135"/>
  <c r="BH21" i="135"/>
  <c r="BI21" i="135"/>
  <c r="BJ21" i="135"/>
  <c r="BK21" i="135"/>
  <c r="BL21" i="135"/>
  <c r="BM21" i="135"/>
  <c r="BH22" i="135"/>
  <c r="BI22" i="135"/>
  <c r="BJ22" i="135"/>
  <c r="BK22" i="135"/>
  <c r="BL22" i="135"/>
  <c r="BM22" i="135"/>
  <c r="BH23" i="135"/>
  <c r="BI23" i="135"/>
  <c r="BJ23" i="135"/>
  <c r="BK23" i="135"/>
  <c r="BL23" i="135"/>
  <c r="BM23" i="135"/>
  <c r="BH24" i="135"/>
  <c r="BI24" i="135"/>
  <c r="BJ24" i="135"/>
  <c r="BK24" i="135"/>
  <c r="BL24" i="135"/>
  <c r="BM24" i="135"/>
  <c r="BH25" i="135"/>
  <c r="BI25" i="135"/>
  <c r="BJ25" i="135"/>
  <c r="BK25" i="135"/>
  <c r="BL25" i="135"/>
  <c r="BM25" i="135"/>
  <c r="BH26" i="135"/>
  <c r="BI26" i="135"/>
  <c r="BJ26" i="135"/>
  <c r="BK26" i="135"/>
  <c r="BL26" i="135"/>
  <c r="BM26" i="135"/>
  <c r="BH27" i="135"/>
  <c r="BI27" i="135"/>
  <c r="BJ27" i="135"/>
  <c r="BK27" i="135"/>
  <c r="BL27" i="135"/>
  <c r="BM27" i="135"/>
  <c r="BH28" i="135"/>
  <c r="BI28" i="135"/>
  <c r="BJ28" i="135"/>
  <c r="BK28" i="135"/>
  <c r="BL28" i="135"/>
  <c r="BM28" i="135"/>
  <c r="BH29" i="135"/>
  <c r="BI29" i="135"/>
  <c r="BJ29" i="135"/>
  <c r="BK29" i="135"/>
  <c r="BL29" i="135"/>
  <c r="BM29" i="135"/>
  <c r="BH30" i="135"/>
  <c r="BI30" i="135"/>
  <c r="BJ30" i="135"/>
  <c r="BK30" i="135"/>
  <c r="BL30" i="135"/>
  <c r="BM30" i="135"/>
  <c r="BH31" i="135"/>
  <c r="BI31" i="135"/>
  <c r="BJ31" i="135"/>
  <c r="BK31" i="135"/>
  <c r="BL31" i="135"/>
  <c r="BM31" i="135"/>
  <c r="BH32" i="135"/>
  <c r="BI32" i="135"/>
  <c r="BJ32" i="135"/>
  <c r="BK32" i="135"/>
  <c r="BL32" i="135"/>
  <c r="BM32" i="135"/>
  <c r="BH33" i="135"/>
  <c r="BI33" i="135"/>
  <c r="BJ33" i="135"/>
  <c r="BK33" i="135"/>
  <c r="BL33" i="135"/>
  <c r="BM33" i="135"/>
  <c r="BH34" i="135"/>
  <c r="BI34" i="135"/>
  <c r="BJ34" i="135"/>
  <c r="BK34" i="135"/>
  <c r="BL34" i="135"/>
  <c r="BM34" i="135"/>
  <c r="BH35" i="135"/>
  <c r="BI35" i="135"/>
  <c r="BJ35" i="135"/>
  <c r="BK35" i="135"/>
  <c r="BL35" i="135"/>
  <c r="BM35" i="135"/>
  <c r="BH36" i="135"/>
  <c r="BI36" i="135"/>
  <c r="BJ36" i="135"/>
  <c r="BK36" i="135"/>
  <c r="BL36" i="135"/>
  <c r="BM36" i="135"/>
  <c r="BH37" i="135"/>
  <c r="BI37" i="135"/>
  <c r="BJ37" i="135"/>
  <c r="BK37" i="135"/>
  <c r="BL37" i="135"/>
  <c r="BM37" i="135"/>
  <c r="BH38" i="135"/>
  <c r="BI38" i="135"/>
  <c r="BJ38" i="135"/>
  <c r="BK38" i="135"/>
  <c r="BL38" i="135"/>
  <c r="BM38" i="135"/>
  <c r="BH39" i="135"/>
  <c r="BI39" i="135"/>
  <c r="BJ39" i="135"/>
  <c r="BK39" i="135"/>
  <c r="BL39" i="135"/>
  <c r="BM39" i="135"/>
  <c r="BH40" i="135"/>
  <c r="BI40" i="135"/>
  <c r="BJ40" i="135"/>
  <c r="BK40" i="135"/>
  <c r="BL40" i="135"/>
  <c r="BM40" i="135"/>
  <c r="BH41" i="135"/>
  <c r="BI41" i="135"/>
  <c r="BJ41" i="135"/>
  <c r="BK41" i="135"/>
  <c r="BL41" i="135"/>
  <c r="BM41" i="135"/>
  <c r="BH42" i="135"/>
  <c r="BI42" i="135"/>
  <c r="BJ42" i="135"/>
  <c r="BK42" i="135"/>
  <c r="BL42" i="135"/>
  <c r="BM42" i="135"/>
  <c r="BH43" i="135"/>
  <c r="BI43" i="135"/>
  <c r="BJ43" i="135"/>
  <c r="BK43" i="135"/>
  <c r="BL43" i="135"/>
  <c r="BM43" i="135"/>
  <c r="BH44" i="135"/>
  <c r="BI44" i="135"/>
  <c r="BJ44" i="135"/>
  <c r="BK44" i="135"/>
  <c r="BL44" i="135"/>
  <c r="BM44" i="135"/>
  <c r="BH45" i="135"/>
  <c r="BI45" i="135"/>
  <c r="BJ45" i="135"/>
  <c r="BK45" i="135"/>
  <c r="BL45" i="135"/>
  <c r="BM45" i="135"/>
  <c r="BH46" i="135"/>
  <c r="BI46" i="135"/>
  <c r="BJ46" i="135"/>
  <c r="BK46" i="135"/>
  <c r="BL46" i="135"/>
  <c r="BM46" i="135"/>
  <c r="BH47" i="135"/>
  <c r="BI47" i="135"/>
  <c r="BJ47" i="135"/>
  <c r="BK47" i="135"/>
  <c r="BL47" i="135"/>
  <c r="BM47" i="135"/>
  <c r="BH48" i="135"/>
  <c r="BI48" i="135"/>
  <c r="BJ48" i="135"/>
  <c r="BK48" i="135"/>
  <c r="BL48" i="135"/>
  <c r="BM48" i="135"/>
  <c r="BH49" i="135"/>
  <c r="BI49" i="135"/>
  <c r="BJ49" i="135"/>
  <c r="BK49" i="135"/>
  <c r="BL49" i="135"/>
  <c r="BM49" i="135"/>
  <c r="BH50" i="135"/>
  <c r="BI50" i="135"/>
  <c r="BJ50" i="135"/>
  <c r="BK50" i="135"/>
  <c r="BL50" i="135"/>
  <c r="BM50" i="135"/>
  <c r="BH51" i="135"/>
  <c r="BI51" i="135"/>
  <c r="BJ51" i="135"/>
  <c r="BK51" i="135"/>
  <c r="BL51" i="135"/>
  <c r="BM51" i="135"/>
  <c r="BH52" i="135"/>
  <c r="BI52" i="135"/>
  <c r="BJ52" i="135"/>
  <c r="BK52" i="135"/>
  <c r="BL52" i="135"/>
  <c r="BM52" i="135"/>
  <c r="BH53" i="135"/>
  <c r="BI53" i="135"/>
  <c r="BJ53" i="135"/>
  <c r="BK53" i="135"/>
  <c r="BL53" i="135"/>
  <c r="BM53" i="135"/>
  <c r="BH54" i="135"/>
  <c r="BI54" i="135"/>
  <c r="BJ54" i="135"/>
  <c r="BK54" i="135"/>
  <c r="BL54" i="135"/>
  <c r="BM54" i="135"/>
  <c r="BH55" i="135"/>
  <c r="BI55" i="135"/>
  <c r="BJ55" i="135"/>
  <c r="BK55" i="135"/>
  <c r="BL55" i="135"/>
  <c r="BM55" i="135"/>
  <c r="BH56" i="135"/>
  <c r="BI56" i="135"/>
  <c r="BJ56" i="135"/>
  <c r="BK56" i="135"/>
  <c r="BL56" i="135"/>
  <c r="BM56" i="135"/>
  <c r="BH57" i="135"/>
  <c r="BI57" i="135"/>
  <c r="BJ57" i="135"/>
  <c r="BK57" i="135"/>
  <c r="BL57" i="135"/>
  <c r="BM57" i="135"/>
  <c r="BH58" i="135"/>
  <c r="BI58" i="135"/>
  <c r="BJ58" i="135"/>
  <c r="BK58" i="135"/>
  <c r="BL58" i="135"/>
  <c r="BM58" i="135"/>
  <c r="BH59" i="135"/>
  <c r="BI59" i="135"/>
  <c r="BJ59" i="135"/>
  <c r="BK59" i="135"/>
  <c r="BL59" i="135"/>
  <c r="BM59" i="135"/>
  <c r="BH60" i="135"/>
  <c r="BI60" i="135"/>
  <c r="BJ60" i="135"/>
  <c r="BK60" i="135"/>
  <c r="BL60" i="135"/>
  <c r="BM60" i="135"/>
  <c r="BH61" i="135"/>
  <c r="BI61" i="135"/>
  <c r="BJ61" i="135"/>
  <c r="BK61" i="135"/>
  <c r="BL61" i="135"/>
  <c r="BM61" i="135"/>
  <c r="BH62" i="135"/>
  <c r="BI62" i="135"/>
  <c r="BJ62" i="135"/>
  <c r="BK62" i="135"/>
  <c r="BL62" i="135"/>
  <c r="BM62" i="135"/>
  <c r="BH63" i="135"/>
  <c r="BI63" i="135"/>
  <c r="BJ63" i="135"/>
  <c r="BK63" i="135"/>
  <c r="BL63" i="135"/>
  <c r="BM63" i="135"/>
  <c r="BH64" i="135"/>
  <c r="BI64" i="135"/>
  <c r="BJ64" i="135"/>
  <c r="BK64" i="135"/>
  <c r="BL64" i="135"/>
  <c r="BM64" i="135"/>
  <c r="BH65" i="135"/>
  <c r="BI65" i="135"/>
  <c r="BJ65" i="135"/>
  <c r="BK65" i="135"/>
  <c r="BL65" i="135"/>
  <c r="BM65" i="135"/>
  <c r="BH66" i="135"/>
  <c r="BI66" i="135"/>
  <c r="BJ66" i="135"/>
  <c r="BK66" i="135"/>
  <c r="BL66" i="135"/>
  <c r="BM66" i="135"/>
  <c r="BH67" i="135"/>
  <c r="BI67" i="135"/>
  <c r="BJ67" i="135"/>
  <c r="BK67" i="135"/>
  <c r="BL67" i="135"/>
  <c r="BM67" i="135"/>
  <c r="BH68" i="135"/>
  <c r="BI68" i="135"/>
  <c r="BJ68" i="135"/>
  <c r="BK68" i="135"/>
  <c r="BL68" i="135"/>
  <c r="BM68" i="135"/>
  <c r="BH69" i="135"/>
  <c r="BI69" i="135"/>
  <c r="BJ69" i="135"/>
  <c r="BK69" i="135"/>
  <c r="BL69" i="135"/>
  <c r="BM69" i="135"/>
  <c r="BH70" i="135"/>
  <c r="BI70" i="135"/>
  <c r="BJ70" i="135"/>
  <c r="BK70" i="135"/>
  <c r="BL70" i="135"/>
  <c r="BM70" i="135"/>
  <c r="BH71" i="135"/>
  <c r="BI71" i="135"/>
  <c r="BJ71" i="135"/>
  <c r="BK71" i="135"/>
  <c r="BL71" i="135"/>
  <c r="BM71" i="135"/>
  <c r="BH72" i="135"/>
  <c r="BI72" i="135"/>
  <c r="BJ72" i="135"/>
  <c r="BK72" i="135"/>
  <c r="BL72" i="135"/>
  <c r="BM72" i="135"/>
  <c r="BH73" i="135"/>
  <c r="BI73" i="135"/>
  <c r="BJ73" i="135"/>
  <c r="BK73" i="135"/>
  <c r="BL73" i="135"/>
  <c r="BM73" i="135"/>
  <c r="BH74" i="135"/>
  <c r="BI74" i="135"/>
  <c r="BJ74" i="135"/>
  <c r="BK74" i="135"/>
  <c r="BL74" i="135"/>
  <c r="BM74" i="135"/>
  <c r="BH75" i="135"/>
  <c r="BI75" i="135"/>
  <c r="BJ75" i="135"/>
  <c r="BK75" i="135"/>
  <c r="BL75" i="135"/>
  <c r="BM75" i="135"/>
  <c r="BH76" i="135"/>
  <c r="BI76" i="135"/>
  <c r="BJ76" i="135"/>
  <c r="BK76" i="135"/>
  <c r="BL76" i="135"/>
  <c r="BM76" i="135"/>
  <c r="BH77" i="135"/>
  <c r="BI77" i="135"/>
  <c r="BJ77" i="135"/>
  <c r="BK77" i="135"/>
  <c r="BL77" i="135"/>
  <c r="BM77" i="135"/>
  <c r="BH78" i="135"/>
  <c r="BI78" i="135"/>
  <c r="BJ78" i="135"/>
  <c r="BK78" i="135"/>
  <c r="BL78" i="135"/>
  <c r="BM78" i="135"/>
  <c r="BH79" i="135"/>
  <c r="BI79" i="135"/>
  <c r="BJ79" i="135"/>
  <c r="BK79" i="135"/>
  <c r="BL79" i="135"/>
  <c r="BM79" i="135"/>
  <c r="BH80" i="135"/>
  <c r="BI80" i="135"/>
  <c r="BJ80" i="135"/>
  <c r="BK80" i="135"/>
  <c r="BL80" i="135"/>
  <c r="BM80" i="135"/>
  <c r="BH81" i="135"/>
  <c r="BI81" i="135"/>
  <c r="BJ81" i="135"/>
  <c r="BK81" i="135"/>
  <c r="BL81" i="135"/>
  <c r="BM81" i="135"/>
  <c r="BH82" i="135"/>
  <c r="BI82" i="135"/>
  <c r="BJ82" i="135"/>
  <c r="BK82" i="135"/>
  <c r="BL82" i="135"/>
  <c r="BM82" i="135"/>
  <c r="BH83" i="135"/>
  <c r="BI83" i="135"/>
  <c r="BJ83" i="135"/>
  <c r="BK83" i="135"/>
  <c r="BL83" i="135"/>
  <c r="BM83" i="135"/>
  <c r="BH84" i="135"/>
  <c r="BI84" i="135"/>
  <c r="BJ84" i="135"/>
  <c r="BK84" i="135"/>
  <c r="BL84" i="135"/>
  <c r="BM84" i="135"/>
  <c r="BH85" i="135"/>
  <c r="BI85" i="135"/>
  <c r="BJ85" i="135"/>
  <c r="BK85" i="135"/>
  <c r="BL85" i="135"/>
  <c r="BM85" i="135"/>
  <c r="BH86" i="135"/>
  <c r="BI86" i="135"/>
  <c r="BJ86" i="135"/>
  <c r="BK86" i="135"/>
  <c r="BL86" i="135"/>
  <c r="BM86" i="135"/>
  <c r="BH87" i="135"/>
  <c r="BI87" i="135"/>
  <c r="BJ87" i="135"/>
  <c r="BK87" i="135"/>
  <c r="BL87" i="135"/>
  <c r="BM87" i="135"/>
  <c r="BH88" i="135"/>
  <c r="BI88" i="135"/>
  <c r="BJ88" i="135"/>
  <c r="BK88" i="135"/>
  <c r="BL88" i="135"/>
  <c r="BM88" i="135"/>
  <c r="BH89" i="135"/>
  <c r="BI89" i="135"/>
  <c r="BJ89" i="135"/>
  <c r="BK89" i="135"/>
  <c r="BL89" i="135"/>
  <c r="BM89" i="135"/>
  <c r="BH90" i="135"/>
  <c r="BI90" i="135"/>
  <c r="BJ90" i="135"/>
  <c r="BK90" i="135"/>
  <c r="BL90" i="135"/>
  <c r="BM90" i="135"/>
  <c r="BH91" i="135"/>
  <c r="BI91" i="135"/>
  <c r="BJ91" i="135"/>
  <c r="BK91" i="135"/>
  <c r="BL91" i="135"/>
  <c r="BM91" i="135"/>
  <c r="BH92" i="135"/>
  <c r="BI92" i="135"/>
  <c r="BJ92" i="135"/>
  <c r="BK92" i="135"/>
  <c r="BL92" i="135"/>
  <c r="BM92" i="135"/>
  <c r="BI19" i="135"/>
  <c r="BJ19" i="135"/>
  <c r="BK19" i="135"/>
  <c r="BL19" i="135"/>
  <c r="BM19" i="135"/>
  <c r="BH19" i="135"/>
  <c r="AZ20" i="135"/>
  <c r="BA20" i="135"/>
  <c r="BB20" i="135"/>
  <c r="BC20" i="135"/>
  <c r="BD20" i="135"/>
  <c r="BE20" i="135"/>
  <c r="AZ21" i="135"/>
  <c r="BA21" i="135"/>
  <c r="BB21" i="135"/>
  <c r="BC21" i="135"/>
  <c r="BD21" i="135"/>
  <c r="BE21" i="135"/>
  <c r="AZ22" i="135"/>
  <c r="BA22" i="135"/>
  <c r="BB22" i="135"/>
  <c r="BC22" i="135"/>
  <c r="BD22" i="135"/>
  <c r="BE22" i="135"/>
  <c r="BA19" i="135"/>
  <c r="BB19" i="135"/>
  <c r="BC19" i="135"/>
  <c r="BD19" i="135"/>
  <c r="BE19" i="135"/>
  <c r="AZ19" i="135"/>
  <c r="AT21" i="135"/>
  <c r="AW21" i="135"/>
  <c r="AT23" i="135"/>
  <c r="AW23" i="135"/>
  <c r="AT25" i="135"/>
  <c r="AW25" i="135"/>
  <c r="AT27" i="135"/>
  <c r="AW27" i="135"/>
  <c r="AT28" i="135"/>
  <c r="AW28" i="135"/>
  <c r="AT29" i="135"/>
  <c r="AW29" i="135"/>
  <c r="AT30" i="135"/>
  <c r="AW30" i="135"/>
  <c r="AT31" i="135"/>
  <c r="AW31" i="135"/>
  <c r="AT32" i="135"/>
  <c r="AW32" i="135"/>
  <c r="AT33" i="135"/>
  <c r="AW33" i="135"/>
  <c r="AT34" i="135"/>
  <c r="AW34" i="135"/>
  <c r="AT35" i="135"/>
  <c r="AW35" i="135"/>
  <c r="AT36" i="135"/>
  <c r="AW36" i="135"/>
  <c r="AT37" i="135"/>
  <c r="AW37" i="135"/>
  <c r="AT38" i="135"/>
  <c r="AW38" i="135"/>
  <c r="AT39" i="135"/>
  <c r="AW39" i="135"/>
  <c r="AT40" i="135"/>
  <c r="AW40" i="135"/>
  <c r="AT41" i="135"/>
  <c r="AW41" i="135"/>
  <c r="AT42" i="135"/>
  <c r="AW42" i="135"/>
  <c r="AT43" i="135"/>
  <c r="AW43" i="135"/>
  <c r="AT44" i="135"/>
  <c r="AW44" i="135"/>
  <c r="AT45" i="135"/>
  <c r="AW45" i="135"/>
  <c r="AT46" i="135"/>
  <c r="AW46" i="135"/>
  <c r="AT47" i="135"/>
  <c r="AW47" i="135"/>
  <c r="AT48" i="135"/>
  <c r="AW48" i="135"/>
  <c r="AT49" i="135"/>
  <c r="AW49" i="135"/>
  <c r="AT50" i="135"/>
  <c r="AW50" i="135"/>
  <c r="AT51" i="135"/>
  <c r="AW51" i="135"/>
  <c r="AT52" i="135"/>
  <c r="AW52" i="135"/>
  <c r="AT53" i="135"/>
  <c r="AW53" i="135"/>
  <c r="AT54" i="135"/>
  <c r="AW54" i="135"/>
  <c r="AT55" i="135"/>
  <c r="AW55" i="135"/>
  <c r="AT56" i="135"/>
  <c r="AW56" i="135"/>
  <c r="AT57" i="135"/>
  <c r="AW57" i="135"/>
  <c r="AT58" i="135"/>
  <c r="AW58" i="135"/>
  <c r="AT59" i="135"/>
  <c r="AW59" i="135"/>
  <c r="AT60" i="135"/>
  <c r="AW60" i="135"/>
  <c r="AT61" i="135"/>
  <c r="AW61" i="135"/>
  <c r="AT62" i="135"/>
  <c r="AW62" i="135"/>
  <c r="AT63" i="135"/>
  <c r="AW63" i="135"/>
  <c r="AT64" i="135"/>
  <c r="AW64" i="135"/>
  <c r="AT65" i="135"/>
  <c r="AW65" i="135"/>
  <c r="AT66" i="135"/>
  <c r="AW66" i="135"/>
  <c r="AT67" i="135"/>
  <c r="AW67" i="135"/>
  <c r="AT68" i="135"/>
  <c r="AW68" i="135"/>
  <c r="AT69" i="135"/>
  <c r="AW69" i="135"/>
  <c r="AT70" i="135"/>
  <c r="AW70" i="135"/>
  <c r="AT71" i="135"/>
  <c r="AW71" i="135"/>
  <c r="AT72" i="135"/>
  <c r="AW72" i="135"/>
  <c r="AT73" i="135"/>
  <c r="AW73" i="135"/>
  <c r="AT74" i="135"/>
  <c r="AW74" i="135"/>
  <c r="AT75" i="135"/>
  <c r="AW75" i="135"/>
  <c r="AT76" i="135"/>
  <c r="AW76" i="135"/>
  <c r="AT77" i="135"/>
  <c r="AW77" i="135"/>
  <c r="AT78" i="135"/>
  <c r="AW78" i="135"/>
  <c r="AT79" i="135"/>
  <c r="AW79" i="135"/>
  <c r="AT80" i="135"/>
  <c r="AW80" i="135"/>
  <c r="AT81" i="135"/>
  <c r="AW81" i="135"/>
  <c r="AT82" i="135"/>
  <c r="AW82" i="135"/>
  <c r="AT83" i="135"/>
  <c r="AW83" i="135"/>
  <c r="AT84" i="135"/>
  <c r="AW84" i="135"/>
  <c r="AT85" i="135"/>
  <c r="AW85" i="135"/>
  <c r="AT86" i="135"/>
  <c r="AW86" i="135"/>
  <c r="AT87" i="135"/>
  <c r="AW87" i="135"/>
  <c r="AT88" i="135"/>
  <c r="AW88" i="135"/>
  <c r="AT89" i="135"/>
  <c r="AW89" i="135"/>
  <c r="AT90" i="135"/>
  <c r="AW90" i="135"/>
  <c r="AT91" i="135"/>
  <c r="AW91" i="135"/>
  <c r="AT92" i="135"/>
  <c r="AW92" i="135"/>
  <c r="AM43" i="135"/>
  <c r="AN43" i="135"/>
  <c r="AM44" i="135"/>
  <c r="AN44" i="135"/>
  <c r="AM47" i="135"/>
  <c r="AN47" i="135"/>
  <c r="AM45" i="135"/>
  <c r="AN45" i="135"/>
  <c r="AM41" i="135"/>
  <c r="AN41" i="135"/>
  <c r="AM39" i="135"/>
  <c r="AN39" i="135"/>
  <c r="AM37" i="135"/>
  <c r="AN37" i="135"/>
  <c r="AM35" i="135"/>
  <c r="AN35" i="135"/>
  <c r="AK27" i="135"/>
  <c r="AM27" i="135"/>
  <c r="AN27" i="135"/>
  <c r="AK28" i="135"/>
  <c r="AM28" i="135"/>
  <c r="AN28" i="135"/>
  <c r="AJ28" i="135"/>
  <c r="AJ27" i="135"/>
  <c r="AJ19" i="135"/>
  <c r="W38" i="135"/>
  <c r="X38" i="135"/>
  <c r="Y38" i="135"/>
  <c r="Z38" i="135"/>
  <c r="AA38" i="135"/>
  <c r="AB38" i="135"/>
  <c r="W39" i="135"/>
  <c r="X39" i="135"/>
  <c r="Y39" i="135"/>
  <c r="Z39" i="135"/>
  <c r="AA39" i="135"/>
  <c r="AB39" i="135"/>
  <c r="W40" i="135"/>
  <c r="X40" i="135"/>
  <c r="Y40" i="135"/>
  <c r="Z40" i="135"/>
  <c r="AA40" i="135"/>
  <c r="AB40" i="135"/>
  <c r="W41" i="135"/>
  <c r="X41" i="135"/>
  <c r="Y41" i="135"/>
  <c r="Z41" i="135"/>
  <c r="AA41" i="135"/>
  <c r="AB41" i="135"/>
  <c r="W42" i="135"/>
  <c r="X42" i="135"/>
  <c r="Y42" i="135"/>
  <c r="Z42" i="135"/>
  <c r="AA42" i="135"/>
  <c r="AB42" i="135"/>
  <c r="W43" i="135"/>
  <c r="X43" i="135"/>
  <c r="Y43" i="135"/>
  <c r="Z43" i="135"/>
  <c r="AA43" i="135"/>
  <c r="AB43" i="135"/>
  <c r="W44" i="135"/>
  <c r="X44" i="135"/>
  <c r="Y44" i="135"/>
  <c r="Z44" i="135"/>
  <c r="AA44" i="135"/>
  <c r="AB44" i="135"/>
  <c r="W45" i="135"/>
  <c r="X45" i="135"/>
  <c r="Y45" i="135"/>
  <c r="Z45" i="135"/>
  <c r="AA45" i="135"/>
  <c r="AB45" i="135"/>
  <c r="W46" i="135"/>
  <c r="X46" i="135"/>
  <c r="Y46" i="135"/>
  <c r="Z46" i="135"/>
  <c r="AA46" i="135"/>
  <c r="AB46" i="135"/>
  <c r="W47" i="135"/>
  <c r="X47" i="135"/>
  <c r="Y47" i="135"/>
  <c r="Z47" i="135"/>
  <c r="AA47" i="135"/>
  <c r="AB47" i="135"/>
  <c r="W48" i="135"/>
  <c r="X48" i="135"/>
  <c r="Y48" i="135"/>
  <c r="Z48" i="135"/>
  <c r="AA48" i="135"/>
  <c r="AB48" i="135"/>
  <c r="W49" i="135"/>
  <c r="X49" i="135"/>
  <c r="Y49" i="135"/>
  <c r="Z49" i="135"/>
  <c r="AA49" i="135"/>
  <c r="AB49" i="135"/>
  <c r="W50" i="135"/>
  <c r="X50" i="135"/>
  <c r="Y50" i="135"/>
  <c r="Z50" i="135"/>
  <c r="AA50" i="135"/>
  <c r="AB50" i="135"/>
  <c r="W51" i="135"/>
  <c r="X51" i="135"/>
  <c r="Y51" i="135"/>
  <c r="Z51" i="135"/>
  <c r="AA51" i="135"/>
  <c r="AB51" i="135"/>
  <c r="W52" i="135"/>
  <c r="X52" i="135"/>
  <c r="Y52" i="135"/>
  <c r="Z52" i="135"/>
  <c r="AA52" i="135"/>
  <c r="AB52" i="135"/>
  <c r="X37" i="135"/>
  <c r="Y37" i="135"/>
  <c r="Z37" i="135"/>
  <c r="W37" i="135"/>
  <c r="N19" i="135"/>
  <c r="E21" i="135"/>
  <c r="F21" i="135"/>
  <c r="G21" i="135"/>
  <c r="H21" i="135"/>
  <c r="I21" i="135"/>
  <c r="J21" i="135"/>
  <c r="E23" i="135"/>
  <c r="F23" i="135"/>
  <c r="G23" i="135"/>
  <c r="H23" i="135"/>
  <c r="I23" i="135"/>
  <c r="J23" i="135"/>
  <c r="E25" i="135"/>
  <c r="F25" i="135"/>
  <c r="G25" i="135"/>
  <c r="H25" i="135"/>
  <c r="I25" i="135"/>
  <c r="J25" i="135"/>
  <c r="E27" i="135"/>
  <c r="F27" i="135"/>
  <c r="G27" i="135"/>
  <c r="H27" i="135"/>
  <c r="I27" i="135"/>
  <c r="J27" i="135"/>
  <c r="E28" i="135"/>
  <c r="F28" i="135"/>
  <c r="G28" i="135"/>
  <c r="H28" i="135"/>
  <c r="I28" i="135"/>
  <c r="J28" i="135"/>
  <c r="E29" i="135"/>
  <c r="F29" i="135"/>
  <c r="G29" i="135"/>
  <c r="H29" i="135"/>
  <c r="I29" i="135"/>
  <c r="J29" i="135"/>
  <c r="E30" i="135"/>
  <c r="F30" i="135"/>
  <c r="G30" i="135"/>
  <c r="H30" i="135"/>
  <c r="I30" i="135"/>
  <c r="J30" i="135"/>
  <c r="E31" i="135"/>
  <c r="F31" i="135"/>
  <c r="G31" i="135"/>
  <c r="H31" i="135"/>
  <c r="I31" i="135"/>
  <c r="J31" i="135"/>
  <c r="E32" i="135"/>
  <c r="F32" i="135"/>
  <c r="G32" i="135"/>
  <c r="H32" i="135"/>
  <c r="I32" i="135"/>
  <c r="J32" i="135"/>
  <c r="E33" i="135"/>
  <c r="F33" i="135"/>
  <c r="G33" i="135"/>
  <c r="H33" i="135"/>
  <c r="I33" i="135"/>
  <c r="J33" i="135"/>
  <c r="E34" i="135"/>
  <c r="F34" i="135"/>
  <c r="G34" i="135"/>
  <c r="H34" i="135"/>
  <c r="I34" i="135"/>
  <c r="J34" i="135"/>
  <c r="E35" i="135"/>
  <c r="F35" i="135"/>
  <c r="G35" i="135"/>
  <c r="H35" i="135"/>
  <c r="I35" i="135"/>
  <c r="J35" i="135"/>
  <c r="E36" i="135"/>
  <c r="F36" i="135"/>
  <c r="G36" i="135"/>
  <c r="H36" i="135"/>
  <c r="I36" i="135"/>
  <c r="J36" i="135"/>
  <c r="E37" i="135"/>
  <c r="F37" i="135"/>
  <c r="G37" i="135"/>
  <c r="H37" i="135"/>
  <c r="I37" i="135"/>
  <c r="J37" i="135"/>
  <c r="E38" i="135"/>
  <c r="F38" i="135"/>
  <c r="G38" i="135"/>
  <c r="H38" i="135"/>
  <c r="I38" i="135"/>
  <c r="J38" i="135"/>
  <c r="E39" i="135"/>
  <c r="F39" i="135"/>
  <c r="G39" i="135"/>
  <c r="H39" i="135"/>
  <c r="I39" i="135"/>
  <c r="J39" i="135"/>
  <c r="E40" i="135"/>
  <c r="F40" i="135"/>
  <c r="G40" i="135"/>
  <c r="H40" i="135"/>
  <c r="I40" i="135"/>
  <c r="J40" i="135"/>
  <c r="E41" i="135"/>
  <c r="F41" i="135"/>
  <c r="G41" i="135"/>
  <c r="H41" i="135"/>
  <c r="I41" i="135"/>
  <c r="J41" i="135"/>
  <c r="E42" i="135"/>
  <c r="F42" i="135"/>
  <c r="G42" i="135"/>
  <c r="H42" i="135"/>
  <c r="I42" i="135"/>
  <c r="J42" i="135"/>
  <c r="E43" i="135"/>
  <c r="F43" i="135"/>
  <c r="G43" i="135"/>
  <c r="H43" i="135"/>
  <c r="I43" i="135"/>
  <c r="J43" i="135"/>
  <c r="E44" i="135"/>
  <c r="F44" i="135"/>
  <c r="G44" i="135"/>
  <c r="H44" i="135"/>
  <c r="I44" i="135"/>
  <c r="J44" i="135"/>
  <c r="E45" i="135"/>
  <c r="F45" i="135"/>
  <c r="G45" i="135"/>
  <c r="H45" i="135"/>
  <c r="I45" i="135"/>
  <c r="J45" i="135"/>
  <c r="E46" i="135"/>
  <c r="F46" i="135"/>
  <c r="G46" i="135"/>
  <c r="H46" i="135"/>
  <c r="I46" i="135"/>
  <c r="J46" i="135"/>
  <c r="E47" i="135"/>
  <c r="F47" i="135"/>
  <c r="G47" i="135"/>
  <c r="H47" i="135"/>
  <c r="I47" i="135"/>
  <c r="J47" i="135"/>
  <c r="E48" i="135"/>
  <c r="F48" i="135"/>
  <c r="G48" i="135"/>
  <c r="H48" i="135"/>
  <c r="I48" i="135"/>
  <c r="J48" i="135"/>
  <c r="E49" i="135"/>
  <c r="F49" i="135"/>
  <c r="G49" i="135"/>
  <c r="H49" i="135"/>
  <c r="I49" i="135"/>
  <c r="J49" i="135"/>
  <c r="E50" i="135"/>
  <c r="F50" i="135"/>
  <c r="G50" i="135"/>
  <c r="H50" i="135"/>
  <c r="I50" i="135"/>
  <c r="J50" i="135"/>
  <c r="E51" i="135"/>
  <c r="F51" i="135"/>
  <c r="G51" i="135"/>
  <c r="H51" i="135"/>
  <c r="I51" i="135"/>
  <c r="J51" i="135"/>
  <c r="E52" i="135"/>
  <c r="F52" i="135"/>
  <c r="G52" i="135"/>
  <c r="H52" i="135"/>
  <c r="I52" i="135"/>
  <c r="J52" i="135"/>
  <c r="E53" i="135"/>
  <c r="F53" i="135"/>
  <c r="G53" i="135"/>
  <c r="H53" i="135"/>
  <c r="I53" i="135"/>
  <c r="J53" i="135"/>
  <c r="E54" i="135"/>
  <c r="F54" i="135"/>
  <c r="G54" i="135"/>
  <c r="H54" i="135"/>
  <c r="I54" i="135"/>
  <c r="J54" i="135"/>
  <c r="E55" i="135"/>
  <c r="F55" i="135"/>
  <c r="G55" i="135"/>
  <c r="G142" i="135" s="1"/>
  <c r="H55" i="135"/>
  <c r="I55" i="135"/>
  <c r="J55" i="135"/>
  <c r="E56" i="135"/>
  <c r="F56" i="135"/>
  <c r="G56" i="135"/>
  <c r="H56" i="135"/>
  <c r="I56" i="135"/>
  <c r="J56" i="135"/>
  <c r="E57" i="135"/>
  <c r="F57" i="135"/>
  <c r="G57" i="135"/>
  <c r="H57" i="135"/>
  <c r="I57" i="135"/>
  <c r="J57" i="135"/>
  <c r="E58" i="135"/>
  <c r="F58" i="135"/>
  <c r="G58" i="135"/>
  <c r="H58" i="135"/>
  <c r="I58" i="135"/>
  <c r="J58" i="135"/>
  <c r="E59" i="135"/>
  <c r="F59" i="135"/>
  <c r="G59" i="135"/>
  <c r="H59" i="135"/>
  <c r="I59" i="135"/>
  <c r="J59" i="135"/>
  <c r="E60" i="135"/>
  <c r="F60" i="135"/>
  <c r="G60" i="135"/>
  <c r="H60" i="135"/>
  <c r="I60" i="135"/>
  <c r="J60" i="135"/>
  <c r="E61" i="135"/>
  <c r="F61" i="135"/>
  <c r="G61" i="135"/>
  <c r="H61" i="135"/>
  <c r="I61" i="135"/>
  <c r="J61" i="135"/>
  <c r="E62" i="135"/>
  <c r="F62" i="135"/>
  <c r="G62" i="135"/>
  <c r="H62" i="135"/>
  <c r="I62" i="135"/>
  <c r="J62" i="135"/>
  <c r="E63" i="135"/>
  <c r="F63" i="135"/>
  <c r="G63" i="135"/>
  <c r="H63" i="135"/>
  <c r="I63" i="135"/>
  <c r="J63" i="135"/>
  <c r="E64" i="135"/>
  <c r="F64" i="135"/>
  <c r="G64" i="135"/>
  <c r="H64" i="135"/>
  <c r="I64" i="135"/>
  <c r="J64" i="135"/>
  <c r="E65" i="135"/>
  <c r="F65" i="135"/>
  <c r="G65" i="135"/>
  <c r="H65" i="135"/>
  <c r="I65" i="135"/>
  <c r="J65" i="135"/>
  <c r="E66" i="135"/>
  <c r="F66" i="135"/>
  <c r="G66" i="135"/>
  <c r="H66" i="135"/>
  <c r="I66" i="135"/>
  <c r="J66" i="135"/>
  <c r="E67" i="135"/>
  <c r="F67" i="135"/>
  <c r="G67" i="135"/>
  <c r="H67" i="135"/>
  <c r="I67" i="135"/>
  <c r="J67" i="135"/>
  <c r="E68" i="135"/>
  <c r="F68" i="135"/>
  <c r="G68" i="135"/>
  <c r="H68" i="135"/>
  <c r="I68" i="135"/>
  <c r="J68" i="135"/>
  <c r="E69" i="135"/>
  <c r="F69" i="135"/>
  <c r="G69" i="135"/>
  <c r="H69" i="135"/>
  <c r="I69" i="135"/>
  <c r="J69" i="135"/>
  <c r="E70" i="135"/>
  <c r="F70" i="135"/>
  <c r="G70" i="135"/>
  <c r="H70" i="135"/>
  <c r="I70" i="135"/>
  <c r="J70" i="135"/>
  <c r="E71" i="135"/>
  <c r="F71" i="135"/>
  <c r="G71" i="135"/>
  <c r="H71" i="135"/>
  <c r="I71" i="135"/>
  <c r="J71" i="135"/>
  <c r="E72" i="135"/>
  <c r="F72" i="135"/>
  <c r="G72" i="135"/>
  <c r="H72" i="135"/>
  <c r="I72" i="135"/>
  <c r="J72" i="135"/>
  <c r="E73" i="135"/>
  <c r="F73" i="135"/>
  <c r="G73" i="135"/>
  <c r="H73" i="135"/>
  <c r="I73" i="135"/>
  <c r="J73" i="135"/>
  <c r="E74" i="135"/>
  <c r="F74" i="135"/>
  <c r="G74" i="135"/>
  <c r="H74" i="135"/>
  <c r="I74" i="135"/>
  <c r="J74" i="135"/>
  <c r="E75" i="135"/>
  <c r="F75" i="135"/>
  <c r="G75" i="135"/>
  <c r="H75" i="135"/>
  <c r="I75" i="135"/>
  <c r="J75" i="135"/>
  <c r="E76" i="135"/>
  <c r="F76" i="135"/>
  <c r="G76" i="135"/>
  <c r="H76" i="135"/>
  <c r="I76" i="135"/>
  <c r="J76" i="135"/>
  <c r="E77" i="135"/>
  <c r="F77" i="135"/>
  <c r="G77" i="135"/>
  <c r="H77" i="135"/>
  <c r="I77" i="135"/>
  <c r="J77" i="135"/>
  <c r="E78" i="135"/>
  <c r="F78" i="135"/>
  <c r="G78" i="135"/>
  <c r="H78" i="135"/>
  <c r="I78" i="135"/>
  <c r="J78" i="135"/>
  <c r="E79" i="135"/>
  <c r="F79" i="135"/>
  <c r="G79" i="135"/>
  <c r="H79" i="135"/>
  <c r="I79" i="135"/>
  <c r="J79" i="135"/>
  <c r="E80" i="135"/>
  <c r="F80" i="135"/>
  <c r="G80" i="135"/>
  <c r="H80" i="135"/>
  <c r="I80" i="135"/>
  <c r="J80" i="135"/>
  <c r="E81" i="135"/>
  <c r="F81" i="135"/>
  <c r="G81" i="135"/>
  <c r="H81" i="135"/>
  <c r="I81" i="135"/>
  <c r="J81" i="135"/>
  <c r="E82" i="135"/>
  <c r="F82" i="135"/>
  <c r="G82" i="135"/>
  <c r="H82" i="135"/>
  <c r="I82" i="135"/>
  <c r="J82" i="135"/>
  <c r="E83" i="135"/>
  <c r="F83" i="135"/>
  <c r="G83" i="135"/>
  <c r="H83" i="135"/>
  <c r="I83" i="135"/>
  <c r="J83" i="135"/>
  <c r="E84" i="135"/>
  <c r="F84" i="135"/>
  <c r="G84" i="135"/>
  <c r="H84" i="135"/>
  <c r="I84" i="135"/>
  <c r="J84" i="135"/>
  <c r="E85" i="135"/>
  <c r="F85" i="135"/>
  <c r="G85" i="135"/>
  <c r="H85" i="135"/>
  <c r="I85" i="135"/>
  <c r="J85" i="135"/>
  <c r="E86" i="135"/>
  <c r="F86" i="135"/>
  <c r="G86" i="135"/>
  <c r="H86" i="135"/>
  <c r="I86" i="135"/>
  <c r="J86" i="135"/>
  <c r="E87" i="135"/>
  <c r="F87" i="135"/>
  <c r="G87" i="135"/>
  <c r="H87" i="135"/>
  <c r="I87" i="135"/>
  <c r="J87" i="135"/>
  <c r="E88" i="135"/>
  <c r="F88" i="135"/>
  <c r="G88" i="135"/>
  <c r="H88" i="135"/>
  <c r="I88" i="135"/>
  <c r="J88" i="135"/>
  <c r="E89" i="135"/>
  <c r="F89" i="135"/>
  <c r="G89" i="135"/>
  <c r="H89" i="135"/>
  <c r="I89" i="135"/>
  <c r="J89" i="135"/>
  <c r="E90" i="135"/>
  <c r="F90" i="135"/>
  <c r="G90" i="135"/>
  <c r="H90" i="135"/>
  <c r="I90" i="135"/>
  <c r="J90" i="135"/>
  <c r="E91" i="135"/>
  <c r="F91" i="135"/>
  <c r="G91" i="135"/>
  <c r="H91" i="135"/>
  <c r="I91" i="135"/>
  <c r="J91" i="135"/>
  <c r="E92" i="135"/>
  <c r="F92" i="135"/>
  <c r="G92" i="135"/>
  <c r="H92" i="135"/>
  <c r="I92" i="135"/>
  <c r="J92" i="135"/>
  <c r="F19" i="135"/>
  <c r="G19" i="135"/>
  <c r="H19" i="135"/>
  <c r="I19" i="135"/>
  <c r="J19" i="135"/>
  <c r="BI21" i="149"/>
  <c r="BJ21" i="149"/>
  <c r="BK21" i="149"/>
  <c r="BL21" i="149"/>
  <c r="BM21" i="149"/>
  <c r="BN21" i="149"/>
  <c r="BI22" i="149"/>
  <c r="BJ22" i="149"/>
  <c r="BK22" i="149"/>
  <c r="BL22" i="149"/>
  <c r="BM22" i="149"/>
  <c r="BN22" i="149"/>
  <c r="BI23" i="149"/>
  <c r="BJ23" i="149"/>
  <c r="BK23" i="149"/>
  <c r="BL23" i="149"/>
  <c r="BM23" i="149"/>
  <c r="BN23" i="149"/>
  <c r="BI24" i="149"/>
  <c r="BJ24" i="149"/>
  <c r="BK24" i="149"/>
  <c r="BL24" i="149"/>
  <c r="BM24" i="149"/>
  <c r="BN24" i="149"/>
  <c r="BI25" i="149"/>
  <c r="BJ25" i="149"/>
  <c r="BK25" i="149"/>
  <c r="BL25" i="149"/>
  <c r="BM25" i="149"/>
  <c r="BN25" i="149"/>
  <c r="BI26" i="149"/>
  <c r="BJ26" i="149"/>
  <c r="BK26" i="149"/>
  <c r="BL26" i="149"/>
  <c r="BM26" i="149"/>
  <c r="BN26" i="149"/>
  <c r="BI27" i="149"/>
  <c r="BJ27" i="149"/>
  <c r="BK27" i="149"/>
  <c r="BL27" i="149"/>
  <c r="BM27" i="149"/>
  <c r="BN27" i="149"/>
  <c r="BI28" i="149"/>
  <c r="BJ28" i="149"/>
  <c r="BK28" i="149"/>
  <c r="BL28" i="149"/>
  <c r="BM28" i="149"/>
  <c r="BN28" i="149"/>
  <c r="BI29" i="149"/>
  <c r="BJ29" i="149"/>
  <c r="BK29" i="149"/>
  <c r="BL29" i="149"/>
  <c r="BM29" i="149"/>
  <c r="BN29" i="149"/>
  <c r="BI30" i="149"/>
  <c r="BJ30" i="149"/>
  <c r="BK30" i="149"/>
  <c r="BL30" i="149"/>
  <c r="BM30" i="149"/>
  <c r="BN30" i="149"/>
  <c r="BI31" i="149"/>
  <c r="BJ31" i="149"/>
  <c r="BK31" i="149"/>
  <c r="BL31" i="149"/>
  <c r="BM31" i="149"/>
  <c r="BN31" i="149"/>
  <c r="BI32" i="149"/>
  <c r="BJ32" i="149"/>
  <c r="BK32" i="149"/>
  <c r="BL32" i="149"/>
  <c r="BM32" i="149"/>
  <c r="BN32" i="149"/>
  <c r="BI33" i="149"/>
  <c r="BJ33" i="149"/>
  <c r="BK33" i="149"/>
  <c r="BL33" i="149"/>
  <c r="BM33" i="149"/>
  <c r="BN33" i="149"/>
  <c r="BI34" i="149"/>
  <c r="BJ34" i="149"/>
  <c r="BK34" i="149"/>
  <c r="BL34" i="149"/>
  <c r="BM34" i="149"/>
  <c r="BN34" i="149"/>
  <c r="BI35" i="149"/>
  <c r="BJ35" i="149"/>
  <c r="BK35" i="149"/>
  <c r="BL35" i="149"/>
  <c r="BM35" i="149"/>
  <c r="BN35" i="149"/>
  <c r="BI36" i="149"/>
  <c r="BJ36" i="149"/>
  <c r="BK36" i="149"/>
  <c r="BL36" i="149"/>
  <c r="BM36" i="149"/>
  <c r="BN36" i="149"/>
  <c r="BI37" i="149"/>
  <c r="BJ37" i="149"/>
  <c r="BK37" i="149"/>
  <c r="BL37" i="149"/>
  <c r="BM37" i="149"/>
  <c r="BN37" i="149"/>
  <c r="BI38" i="149"/>
  <c r="BJ38" i="149"/>
  <c r="BK38" i="149"/>
  <c r="BL38" i="149"/>
  <c r="BM38" i="149"/>
  <c r="BN38" i="149"/>
  <c r="BI39" i="149"/>
  <c r="BJ39" i="149"/>
  <c r="BK39" i="149"/>
  <c r="BL39" i="149"/>
  <c r="BM39" i="149"/>
  <c r="BN39" i="149"/>
  <c r="BI40" i="149"/>
  <c r="BJ40" i="149"/>
  <c r="BK40" i="149"/>
  <c r="BL40" i="149"/>
  <c r="BM40" i="149"/>
  <c r="BN40" i="149"/>
  <c r="BI41" i="149"/>
  <c r="BJ41" i="149"/>
  <c r="BK41" i="149"/>
  <c r="BL41" i="149"/>
  <c r="BM41" i="149"/>
  <c r="BN41" i="149"/>
  <c r="BI42" i="149"/>
  <c r="BJ42" i="149"/>
  <c r="BK42" i="149"/>
  <c r="BL42" i="149"/>
  <c r="BM42" i="149"/>
  <c r="BN42" i="149"/>
  <c r="BI43" i="149"/>
  <c r="BJ43" i="149"/>
  <c r="BK43" i="149"/>
  <c r="BL43" i="149"/>
  <c r="BM43" i="149"/>
  <c r="BN43" i="149"/>
  <c r="BI44" i="149"/>
  <c r="BJ44" i="149"/>
  <c r="BK44" i="149"/>
  <c r="BL44" i="149"/>
  <c r="BM44" i="149"/>
  <c r="BN44" i="149"/>
  <c r="BI45" i="149"/>
  <c r="BJ45" i="149"/>
  <c r="BK45" i="149"/>
  <c r="BL45" i="149"/>
  <c r="BM45" i="149"/>
  <c r="BN45" i="149"/>
  <c r="BI46" i="149"/>
  <c r="BJ46" i="149"/>
  <c r="BK46" i="149"/>
  <c r="BL46" i="149"/>
  <c r="BM46" i="149"/>
  <c r="BN46" i="149"/>
  <c r="BI47" i="149"/>
  <c r="BJ47" i="149"/>
  <c r="BK47" i="149"/>
  <c r="BL47" i="149"/>
  <c r="BM47" i="149"/>
  <c r="BN47" i="149"/>
  <c r="BI48" i="149"/>
  <c r="BJ48" i="149"/>
  <c r="BK48" i="149"/>
  <c r="BL48" i="149"/>
  <c r="BM48" i="149"/>
  <c r="BN48" i="149"/>
  <c r="BI49" i="149"/>
  <c r="BJ49" i="149"/>
  <c r="BK49" i="149"/>
  <c r="BL49" i="149"/>
  <c r="BM49" i="149"/>
  <c r="BN49" i="149"/>
  <c r="BI50" i="149"/>
  <c r="BJ50" i="149"/>
  <c r="BK50" i="149"/>
  <c r="BL50" i="149"/>
  <c r="BM50" i="149"/>
  <c r="BN50" i="149"/>
  <c r="BI51" i="149"/>
  <c r="BJ51" i="149"/>
  <c r="BK51" i="149"/>
  <c r="BL51" i="149"/>
  <c r="BM51" i="149"/>
  <c r="BN51" i="149"/>
  <c r="BI52" i="149"/>
  <c r="BJ52" i="149"/>
  <c r="BK52" i="149"/>
  <c r="BL52" i="149"/>
  <c r="BM52" i="149"/>
  <c r="BN52" i="149"/>
  <c r="BI53" i="149"/>
  <c r="BJ53" i="149"/>
  <c r="BK53" i="149"/>
  <c r="BL53" i="149"/>
  <c r="BM53" i="149"/>
  <c r="BN53" i="149"/>
  <c r="BI54" i="149"/>
  <c r="BJ54" i="149"/>
  <c r="BK54" i="149"/>
  <c r="BL54" i="149"/>
  <c r="BM54" i="149"/>
  <c r="BN54" i="149"/>
  <c r="BI55" i="149"/>
  <c r="BJ55" i="149"/>
  <c r="BK55" i="149"/>
  <c r="BL55" i="149"/>
  <c r="BM55" i="149"/>
  <c r="BN55" i="149"/>
  <c r="BI56" i="149"/>
  <c r="BJ56" i="149"/>
  <c r="BK56" i="149"/>
  <c r="BL56" i="149"/>
  <c r="BM56" i="149"/>
  <c r="BN56" i="149"/>
  <c r="BI57" i="149"/>
  <c r="BJ57" i="149"/>
  <c r="BK57" i="149"/>
  <c r="BL57" i="149"/>
  <c r="BM57" i="149"/>
  <c r="BN57" i="149"/>
  <c r="BI58" i="149"/>
  <c r="BJ58" i="149"/>
  <c r="BK58" i="149"/>
  <c r="BL58" i="149"/>
  <c r="BM58" i="149"/>
  <c r="BN58" i="149"/>
  <c r="BI59" i="149"/>
  <c r="BJ59" i="149"/>
  <c r="BK59" i="149"/>
  <c r="BL59" i="149"/>
  <c r="BM59" i="149"/>
  <c r="BN59" i="149"/>
  <c r="BI60" i="149"/>
  <c r="BJ60" i="149"/>
  <c r="BK60" i="149"/>
  <c r="BL60" i="149"/>
  <c r="BM60" i="149"/>
  <c r="BN60" i="149"/>
  <c r="BI61" i="149"/>
  <c r="BJ61" i="149"/>
  <c r="BK61" i="149"/>
  <c r="BL61" i="149"/>
  <c r="BM61" i="149"/>
  <c r="BN61" i="149"/>
  <c r="BI62" i="149"/>
  <c r="BJ62" i="149"/>
  <c r="BK62" i="149"/>
  <c r="BL62" i="149"/>
  <c r="BM62" i="149"/>
  <c r="BN62" i="149"/>
  <c r="BI63" i="149"/>
  <c r="BJ63" i="149"/>
  <c r="BK63" i="149"/>
  <c r="BL63" i="149"/>
  <c r="BM63" i="149"/>
  <c r="BN63" i="149"/>
  <c r="BI64" i="149"/>
  <c r="BJ64" i="149"/>
  <c r="BK64" i="149"/>
  <c r="BL64" i="149"/>
  <c r="BM64" i="149"/>
  <c r="BN64" i="149"/>
  <c r="BI65" i="149"/>
  <c r="BJ65" i="149"/>
  <c r="BK65" i="149"/>
  <c r="BL65" i="149"/>
  <c r="BM65" i="149"/>
  <c r="BN65" i="149"/>
  <c r="BI66" i="149"/>
  <c r="BJ66" i="149"/>
  <c r="BK66" i="149"/>
  <c r="BL66" i="149"/>
  <c r="BM66" i="149"/>
  <c r="BN66" i="149"/>
  <c r="BI67" i="149"/>
  <c r="BJ67" i="149"/>
  <c r="BK67" i="149"/>
  <c r="BL67" i="149"/>
  <c r="BM67" i="149"/>
  <c r="BN67" i="149"/>
  <c r="BI68" i="149"/>
  <c r="BJ68" i="149"/>
  <c r="BK68" i="149"/>
  <c r="BL68" i="149"/>
  <c r="BM68" i="149"/>
  <c r="BN68" i="149"/>
  <c r="BI69" i="149"/>
  <c r="BJ69" i="149"/>
  <c r="BK69" i="149"/>
  <c r="BL69" i="149"/>
  <c r="BM69" i="149"/>
  <c r="BN69" i="149"/>
  <c r="BI70" i="149"/>
  <c r="BJ70" i="149"/>
  <c r="BK70" i="149"/>
  <c r="BL70" i="149"/>
  <c r="BM70" i="149"/>
  <c r="BN70" i="149"/>
  <c r="BI71" i="149"/>
  <c r="BJ71" i="149"/>
  <c r="BK71" i="149"/>
  <c r="BL71" i="149"/>
  <c r="BM71" i="149"/>
  <c r="BN71" i="149"/>
  <c r="BI72" i="149"/>
  <c r="BJ72" i="149"/>
  <c r="BK72" i="149"/>
  <c r="BL72" i="149"/>
  <c r="BM72" i="149"/>
  <c r="BN72" i="149"/>
  <c r="BI73" i="149"/>
  <c r="BJ73" i="149"/>
  <c r="BK73" i="149"/>
  <c r="BL73" i="149"/>
  <c r="BM73" i="149"/>
  <c r="BN73" i="149"/>
  <c r="BI74" i="149"/>
  <c r="BJ74" i="149"/>
  <c r="BK74" i="149"/>
  <c r="BL74" i="149"/>
  <c r="BM74" i="149"/>
  <c r="BN74" i="149"/>
  <c r="BI75" i="149"/>
  <c r="BJ75" i="149"/>
  <c r="BK75" i="149"/>
  <c r="BL75" i="149"/>
  <c r="BM75" i="149"/>
  <c r="BN75" i="149"/>
  <c r="BI76" i="149"/>
  <c r="BJ76" i="149"/>
  <c r="BK76" i="149"/>
  <c r="BL76" i="149"/>
  <c r="BM76" i="149"/>
  <c r="BN76" i="149"/>
  <c r="BI77" i="149"/>
  <c r="BJ77" i="149"/>
  <c r="BK77" i="149"/>
  <c r="BL77" i="149"/>
  <c r="BM77" i="149"/>
  <c r="BN77" i="149"/>
  <c r="BI78" i="149"/>
  <c r="BJ78" i="149"/>
  <c r="BK78" i="149"/>
  <c r="BL78" i="149"/>
  <c r="BM78" i="149"/>
  <c r="BN78" i="149"/>
  <c r="BI79" i="149"/>
  <c r="BJ79" i="149"/>
  <c r="BK79" i="149"/>
  <c r="BL79" i="149"/>
  <c r="BM79" i="149"/>
  <c r="BN79" i="149"/>
  <c r="BI80" i="149"/>
  <c r="BJ80" i="149"/>
  <c r="BK80" i="149"/>
  <c r="BL80" i="149"/>
  <c r="BM80" i="149"/>
  <c r="BN80" i="149"/>
  <c r="BI81" i="149"/>
  <c r="BJ81" i="149"/>
  <c r="BK81" i="149"/>
  <c r="BL81" i="149"/>
  <c r="BM81" i="149"/>
  <c r="BN81" i="149"/>
  <c r="BI82" i="149"/>
  <c r="BJ82" i="149"/>
  <c r="BK82" i="149"/>
  <c r="BL82" i="149"/>
  <c r="BM82" i="149"/>
  <c r="BN82" i="149"/>
  <c r="BI83" i="149"/>
  <c r="BJ83" i="149"/>
  <c r="BK83" i="149"/>
  <c r="BL83" i="149"/>
  <c r="BM83" i="149"/>
  <c r="BN83" i="149"/>
  <c r="BI84" i="149"/>
  <c r="BJ84" i="149"/>
  <c r="BK84" i="149"/>
  <c r="BL84" i="149"/>
  <c r="BM84" i="149"/>
  <c r="BN84" i="149"/>
  <c r="BI85" i="149"/>
  <c r="BJ85" i="149"/>
  <c r="BK85" i="149"/>
  <c r="BL85" i="149"/>
  <c r="BM85" i="149"/>
  <c r="BN85" i="149"/>
  <c r="BI86" i="149"/>
  <c r="BJ86" i="149"/>
  <c r="BK86" i="149"/>
  <c r="BL86" i="149"/>
  <c r="BM86" i="149"/>
  <c r="BN86" i="149"/>
  <c r="BI87" i="149"/>
  <c r="BJ87" i="149"/>
  <c r="BK87" i="149"/>
  <c r="BL87" i="149"/>
  <c r="BM87" i="149"/>
  <c r="BN87" i="149"/>
  <c r="BI88" i="149"/>
  <c r="BJ88" i="149"/>
  <c r="BK88" i="149"/>
  <c r="BL88" i="149"/>
  <c r="BM88" i="149"/>
  <c r="BN88" i="149"/>
  <c r="BI89" i="149"/>
  <c r="BJ89" i="149"/>
  <c r="BK89" i="149"/>
  <c r="BL89" i="149"/>
  <c r="BM89" i="149"/>
  <c r="BN89" i="149"/>
  <c r="BI90" i="149"/>
  <c r="BJ90" i="149"/>
  <c r="BK90" i="149"/>
  <c r="BL90" i="149"/>
  <c r="BM90" i="149"/>
  <c r="BN90" i="149"/>
  <c r="BI91" i="149"/>
  <c r="BJ91" i="149"/>
  <c r="BK91" i="149"/>
  <c r="BL91" i="149"/>
  <c r="BM91" i="149"/>
  <c r="BN91" i="149"/>
  <c r="BI92" i="149"/>
  <c r="BJ92" i="149"/>
  <c r="BK92" i="149"/>
  <c r="BL92" i="149"/>
  <c r="BM92" i="149"/>
  <c r="BN92" i="149"/>
  <c r="BI93" i="149"/>
  <c r="BJ93" i="149"/>
  <c r="BK93" i="149"/>
  <c r="BL93" i="149"/>
  <c r="BM93" i="149"/>
  <c r="BN93" i="149"/>
  <c r="BJ20" i="149"/>
  <c r="BK20" i="149"/>
  <c r="BL20" i="149"/>
  <c r="BM20" i="149"/>
  <c r="BN20" i="149"/>
  <c r="BI20" i="149"/>
  <c r="BB20" i="149"/>
  <c r="BC20" i="149"/>
  <c r="BD20" i="149"/>
  <c r="BE20" i="149"/>
  <c r="BF20" i="149"/>
  <c r="BA21" i="149"/>
  <c r="BB21" i="149"/>
  <c r="BC21" i="149"/>
  <c r="BD21" i="149"/>
  <c r="BE21" i="149"/>
  <c r="BF21" i="149"/>
  <c r="BA22" i="149"/>
  <c r="BB22" i="149"/>
  <c r="BC22" i="149"/>
  <c r="BD22" i="149"/>
  <c r="BE22" i="149"/>
  <c r="BF22" i="149"/>
  <c r="BA23" i="149"/>
  <c r="BB23" i="149"/>
  <c r="BC23" i="149"/>
  <c r="BD23" i="149"/>
  <c r="BE23" i="149"/>
  <c r="BF23" i="149"/>
  <c r="AX22" i="149"/>
  <c r="AX24" i="149"/>
  <c r="AX26" i="149"/>
  <c r="AX28" i="149"/>
  <c r="AX29" i="149"/>
  <c r="AX30" i="149"/>
  <c r="AX31" i="149"/>
  <c r="AX32" i="149"/>
  <c r="AX33" i="149"/>
  <c r="AX34" i="149"/>
  <c r="AX35" i="149"/>
  <c r="AX36" i="149"/>
  <c r="AX37" i="149"/>
  <c r="AX38" i="149"/>
  <c r="AX39" i="149"/>
  <c r="AX40" i="149"/>
  <c r="AX41" i="149"/>
  <c r="AX42" i="149"/>
  <c r="AX43" i="149"/>
  <c r="AX44" i="149"/>
  <c r="AX45" i="149"/>
  <c r="AX46" i="149"/>
  <c r="AX47" i="149"/>
  <c r="AX48" i="149"/>
  <c r="AX49" i="149"/>
  <c r="AX50" i="149"/>
  <c r="AX51" i="149"/>
  <c r="AX52" i="149"/>
  <c r="AX53" i="149"/>
  <c r="AX54" i="149"/>
  <c r="AX55" i="149"/>
  <c r="AX56" i="149"/>
  <c r="AX57" i="149"/>
  <c r="AX58" i="149"/>
  <c r="AX59" i="149"/>
  <c r="AX60" i="149"/>
  <c r="AX61" i="149"/>
  <c r="AX62" i="149"/>
  <c r="AX63" i="149"/>
  <c r="AX64" i="149"/>
  <c r="AX65" i="149"/>
  <c r="AX66" i="149"/>
  <c r="AX67" i="149"/>
  <c r="AX68" i="149"/>
  <c r="AX69" i="149"/>
  <c r="AX70" i="149"/>
  <c r="AX71" i="149"/>
  <c r="AX72" i="149"/>
  <c r="AX73" i="149"/>
  <c r="AX74" i="149"/>
  <c r="AX75" i="149"/>
  <c r="AX76" i="149"/>
  <c r="AX77" i="149"/>
  <c r="AX78" i="149"/>
  <c r="AX79" i="149"/>
  <c r="AX80" i="149"/>
  <c r="AX81" i="149"/>
  <c r="AX82" i="149"/>
  <c r="AX83" i="149"/>
  <c r="AX84" i="149"/>
  <c r="AX85" i="149"/>
  <c r="AX86" i="149"/>
  <c r="AX87" i="149"/>
  <c r="AX88" i="149"/>
  <c r="AX89" i="149"/>
  <c r="AX90" i="149"/>
  <c r="AX91" i="149"/>
  <c r="AX92" i="149"/>
  <c r="AX93" i="149"/>
  <c r="AU22" i="149"/>
  <c r="AU24" i="149"/>
  <c r="AU26" i="149"/>
  <c r="AU28" i="149"/>
  <c r="AU29" i="149"/>
  <c r="AU30" i="149"/>
  <c r="AU31" i="149"/>
  <c r="AU32" i="149"/>
  <c r="AU33" i="149"/>
  <c r="AU34" i="149"/>
  <c r="AU35" i="149"/>
  <c r="AU36" i="149"/>
  <c r="AU37" i="149"/>
  <c r="AU38" i="149"/>
  <c r="AU39" i="149"/>
  <c r="AU40" i="149"/>
  <c r="AU41" i="149"/>
  <c r="AU42" i="149"/>
  <c r="AU43" i="149"/>
  <c r="AU44" i="149"/>
  <c r="AU45" i="149"/>
  <c r="AU46" i="149"/>
  <c r="AU47" i="149"/>
  <c r="AU48" i="149"/>
  <c r="AU49" i="149"/>
  <c r="AU50" i="149"/>
  <c r="AU51" i="149"/>
  <c r="AU52" i="149"/>
  <c r="AU53" i="149"/>
  <c r="AU54" i="149"/>
  <c r="AU55" i="149"/>
  <c r="AU56" i="149"/>
  <c r="AU57" i="149"/>
  <c r="AU58" i="149"/>
  <c r="AU59" i="149"/>
  <c r="AU60" i="149"/>
  <c r="AU61" i="149"/>
  <c r="AU62" i="149"/>
  <c r="AU63" i="149"/>
  <c r="AU64" i="149"/>
  <c r="AU65" i="149"/>
  <c r="AU66" i="149"/>
  <c r="AU67" i="149"/>
  <c r="AU68" i="149"/>
  <c r="AU69" i="149"/>
  <c r="AU70" i="149"/>
  <c r="AU71" i="149"/>
  <c r="AU72" i="149"/>
  <c r="AU73" i="149"/>
  <c r="AU74" i="149"/>
  <c r="AU75" i="149"/>
  <c r="AU76" i="149"/>
  <c r="AU77" i="149"/>
  <c r="AU78" i="149"/>
  <c r="AU79" i="149"/>
  <c r="AU80" i="149"/>
  <c r="AU81" i="149"/>
  <c r="AU82" i="149"/>
  <c r="AU83" i="149"/>
  <c r="AU84" i="149"/>
  <c r="AU85" i="149"/>
  <c r="AU86" i="149"/>
  <c r="AU87" i="149"/>
  <c r="AU88" i="149"/>
  <c r="AU89" i="149"/>
  <c r="AU90" i="149"/>
  <c r="AU91" i="149"/>
  <c r="AU92" i="149"/>
  <c r="AU93" i="149"/>
  <c r="AU20" i="149"/>
  <c r="AX20" i="149"/>
  <c r="AN45" i="149"/>
  <c r="AO45" i="149"/>
  <c r="AN42" i="149"/>
  <c r="AO42" i="149"/>
  <c r="AL29" i="149"/>
  <c r="AN29" i="149"/>
  <c r="AO29" i="149"/>
  <c r="AK29" i="149"/>
  <c r="AL28" i="149"/>
  <c r="AN28" i="149"/>
  <c r="AO28" i="149"/>
  <c r="AK28" i="149"/>
  <c r="AL26" i="149"/>
  <c r="AN26" i="149"/>
  <c r="AO26" i="149"/>
  <c r="AK26" i="149"/>
  <c r="AL25" i="149"/>
  <c r="AN25" i="149"/>
  <c r="AO25" i="149"/>
  <c r="AK25" i="149"/>
  <c r="AN48" i="149"/>
  <c r="AO48" i="149"/>
  <c r="AN46" i="149"/>
  <c r="AO46" i="149"/>
  <c r="AN43" i="149"/>
  <c r="AO43" i="149"/>
  <c r="AN40" i="149"/>
  <c r="AO40" i="149"/>
  <c r="AN38" i="149"/>
  <c r="AO38" i="149"/>
  <c r="AN36" i="149"/>
  <c r="AO36" i="149"/>
  <c r="AK24" i="149"/>
  <c r="AL24" i="149"/>
  <c r="AN24" i="149"/>
  <c r="AN56" i="149" s="1"/>
  <c r="AO24" i="149"/>
  <c r="AO56" i="149" s="1"/>
  <c r="Y39" i="149"/>
  <c r="Z39" i="149"/>
  <c r="AA39" i="149"/>
  <c r="AB39" i="149"/>
  <c r="AC39" i="149"/>
  <c r="AD39" i="149"/>
  <c r="Y40" i="149"/>
  <c r="Z40" i="149"/>
  <c r="AA40" i="149"/>
  <c r="AB40" i="149"/>
  <c r="AC40" i="149"/>
  <c r="AD40" i="149"/>
  <c r="Y41" i="149"/>
  <c r="Z41" i="149"/>
  <c r="AA41" i="149"/>
  <c r="AB41" i="149"/>
  <c r="AC41" i="149"/>
  <c r="AD41" i="149"/>
  <c r="Y42" i="149"/>
  <c r="Z42" i="149"/>
  <c r="AA42" i="149"/>
  <c r="AB42" i="149"/>
  <c r="AC42" i="149"/>
  <c r="AD42" i="149"/>
  <c r="Y43" i="149"/>
  <c r="Z43" i="149"/>
  <c r="AA43" i="149"/>
  <c r="AB43" i="149"/>
  <c r="AC43" i="149"/>
  <c r="AD43" i="149"/>
  <c r="Y44" i="149"/>
  <c r="Z44" i="149"/>
  <c r="AA44" i="149"/>
  <c r="AB44" i="149"/>
  <c r="AC44" i="149"/>
  <c r="AD44" i="149"/>
  <c r="Y45" i="149"/>
  <c r="Z45" i="149"/>
  <c r="AA45" i="149"/>
  <c r="AB45" i="149"/>
  <c r="AC45" i="149"/>
  <c r="AD45" i="149"/>
  <c r="Y46" i="149"/>
  <c r="Z46" i="149"/>
  <c r="AA46" i="149"/>
  <c r="AB46" i="149"/>
  <c r="AC46" i="149"/>
  <c r="AD46" i="149"/>
  <c r="Y47" i="149"/>
  <c r="Z47" i="149"/>
  <c r="AA47" i="149"/>
  <c r="AB47" i="149"/>
  <c r="AC47" i="149"/>
  <c r="AD47" i="149"/>
  <c r="Y48" i="149"/>
  <c r="Z48" i="149"/>
  <c r="AA48" i="149"/>
  <c r="AB48" i="149"/>
  <c r="AC48" i="149"/>
  <c r="AD48" i="149"/>
  <c r="Y49" i="149"/>
  <c r="Z49" i="149"/>
  <c r="AA49" i="149"/>
  <c r="AB49" i="149"/>
  <c r="AC49" i="149"/>
  <c r="AD49" i="149"/>
  <c r="Y50" i="149"/>
  <c r="Z50" i="149"/>
  <c r="AA50" i="149"/>
  <c r="AB50" i="149"/>
  <c r="AC50" i="149"/>
  <c r="AD50" i="149"/>
  <c r="Y51" i="149"/>
  <c r="Z51" i="149"/>
  <c r="AA51" i="149"/>
  <c r="AB51" i="149"/>
  <c r="AC51" i="149"/>
  <c r="AD51" i="149"/>
  <c r="Y52" i="149"/>
  <c r="Z52" i="149"/>
  <c r="AA52" i="149"/>
  <c r="AB52" i="149"/>
  <c r="AC52" i="149"/>
  <c r="AD52" i="149"/>
  <c r="Y53" i="149"/>
  <c r="Z53" i="149"/>
  <c r="AA53" i="149"/>
  <c r="AB53" i="149"/>
  <c r="AC53" i="149"/>
  <c r="AD53" i="149"/>
  <c r="Z38" i="149"/>
  <c r="AA38" i="149"/>
  <c r="AB38" i="149"/>
  <c r="AC38" i="149"/>
  <c r="AD38" i="149"/>
  <c r="Y38" i="149"/>
  <c r="P22" i="149"/>
  <c r="Q22" i="149"/>
  <c r="R22" i="149"/>
  <c r="S22" i="149"/>
  <c r="T22" i="149"/>
  <c r="U22" i="149"/>
  <c r="P24" i="149"/>
  <c r="Q24" i="149"/>
  <c r="R24" i="149"/>
  <c r="S24" i="149"/>
  <c r="T24" i="149"/>
  <c r="U24" i="149"/>
  <c r="P26" i="149"/>
  <c r="Q26" i="149"/>
  <c r="R26" i="149"/>
  <c r="S26" i="149"/>
  <c r="T26" i="149"/>
  <c r="U26" i="149"/>
  <c r="P28" i="149"/>
  <c r="Q28" i="149"/>
  <c r="R28" i="149"/>
  <c r="S28" i="149"/>
  <c r="T28" i="149"/>
  <c r="U28" i="149"/>
  <c r="P29" i="149"/>
  <c r="Q29" i="149"/>
  <c r="R29" i="149"/>
  <c r="S29" i="149"/>
  <c r="T29" i="149"/>
  <c r="U29" i="149"/>
  <c r="P30" i="149"/>
  <c r="Q30" i="149"/>
  <c r="R30" i="149"/>
  <c r="S30" i="149"/>
  <c r="T30" i="149"/>
  <c r="U30" i="149"/>
  <c r="P31" i="149"/>
  <c r="Q31" i="149"/>
  <c r="R31" i="149"/>
  <c r="S31" i="149"/>
  <c r="T31" i="149"/>
  <c r="U31" i="149"/>
  <c r="P32" i="149"/>
  <c r="Q32" i="149"/>
  <c r="R32" i="149"/>
  <c r="S32" i="149"/>
  <c r="T32" i="149"/>
  <c r="U32" i="149"/>
  <c r="P33" i="149"/>
  <c r="Q33" i="149"/>
  <c r="R33" i="149"/>
  <c r="S33" i="149"/>
  <c r="T33" i="149"/>
  <c r="U33" i="149"/>
  <c r="P34" i="149"/>
  <c r="Q34" i="149"/>
  <c r="R34" i="149"/>
  <c r="S34" i="149"/>
  <c r="T34" i="149"/>
  <c r="U34" i="149"/>
  <c r="P35" i="149"/>
  <c r="Q35" i="149"/>
  <c r="R35" i="149"/>
  <c r="S35" i="149"/>
  <c r="T35" i="149"/>
  <c r="U35" i="149"/>
  <c r="P36" i="149"/>
  <c r="Q36" i="149"/>
  <c r="R36" i="149"/>
  <c r="S36" i="149"/>
  <c r="T36" i="149"/>
  <c r="U36" i="149"/>
  <c r="P37" i="149"/>
  <c r="Q37" i="149"/>
  <c r="R37" i="149"/>
  <c r="S37" i="149"/>
  <c r="T37" i="149"/>
  <c r="U37" i="149"/>
  <c r="P54" i="149"/>
  <c r="Q54" i="149"/>
  <c r="R54" i="149"/>
  <c r="S54" i="149"/>
  <c r="T54" i="149"/>
  <c r="U54" i="149"/>
  <c r="P55" i="149"/>
  <c r="Q55" i="149"/>
  <c r="R55" i="149"/>
  <c r="S55" i="149"/>
  <c r="T55" i="149"/>
  <c r="U55" i="149"/>
  <c r="P56" i="149"/>
  <c r="Q56" i="149"/>
  <c r="R56" i="149"/>
  <c r="S56" i="149"/>
  <c r="T56" i="149"/>
  <c r="U56" i="149"/>
  <c r="P57" i="149"/>
  <c r="Q57" i="149"/>
  <c r="R57" i="149"/>
  <c r="S57" i="149"/>
  <c r="T57" i="149"/>
  <c r="U57" i="149"/>
  <c r="P58" i="149"/>
  <c r="Q58" i="149"/>
  <c r="R58" i="149"/>
  <c r="S58" i="149"/>
  <c r="T58" i="149"/>
  <c r="U58" i="149"/>
  <c r="P59" i="149"/>
  <c r="Q59" i="149"/>
  <c r="R59" i="149"/>
  <c r="S59" i="149"/>
  <c r="T59" i="149"/>
  <c r="U59" i="149"/>
  <c r="P60" i="149"/>
  <c r="Q60" i="149"/>
  <c r="R60" i="149"/>
  <c r="S60" i="149"/>
  <c r="T60" i="149"/>
  <c r="U60" i="149"/>
  <c r="P61" i="149"/>
  <c r="Q61" i="149"/>
  <c r="R61" i="149"/>
  <c r="S61" i="149"/>
  <c r="T61" i="149"/>
  <c r="U61" i="149"/>
  <c r="P62" i="149"/>
  <c r="Q62" i="149"/>
  <c r="R62" i="149"/>
  <c r="S62" i="149"/>
  <c r="T62" i="149"/>
  <c r="U62" i="149"/>
  <c r="P63" i="149"/>
  <c r="Q63" i="149"/>
  <c r="R63" i="149"/>
  <c r="S63" i="149"/>
  <c r="T63" i="149"/>
  <c r="U63" i="149"/>
  <c r="P64" i="149"/>
  <c r="Q64" i="149"/>
  <c r="R64" i="149"/>
  <c r="S64" i="149"/>
  <c r="T64" i="149"/>
  <c r="U64" i="149"/>
  <c r="P65" i="149"/>
  <c r="Q65" i="149"/>
  <c r="R65" i="149"/>
  <c r="S65" i="149"/>
  <c r="T65" i="149"/>
  <c r="U65" i="149"/>
  <c r="P66" i="149"/>
  <c r="Q66" i="149"/>
  <c r="R66" i="149"/>
  <c r="S66" i="149"/>
  <c r="T66" i="149"/>
  <c r="U66" i="149"/>
  <c r="P67" i="149"/>
  <c r="Q67" i="149"/>
  <c r="R67" i="149"/>
  <c r="S67" i="149"/>
  <c r="T67" i="149"/>
  <c r="U67" i="149"/>
  <c r="P68" i="149"/>
  <c r="Q68" i="149"/>
  <c r="R68" i="149"/>
  <c r="S68" i="149"/>
  <c r="T68" i="149"/>
  <c r="U68" i="149"/>
  <c r="P69" i="149"/>
  <c r="Q69" i="149"/>
  <c r="R69" i="149"/>
  <c r="S69" i="149"/>
  <c r="T69" i="149"/>
  <c r="U69" i="149"/>
  <c r="P70" i="149"/>
  <c r="Q70" i="149"/>
  <c r="R70" i="149"/>
  <c r="S70" i="149"/>
  <c r="T70" i="149"/>
  <c r="U70" i="149"/>
  <c r="P71" i="149"/>
  <c r="Q71" i="149"/>
  <c r="R71" i="149"/>
  <c r="S71" i="149"/>
  <c r="T71" i="149"/>
  <c r="U71" i="149"/>
  <c r="P72" i="149"/>
  <c r="Q72" i="149"/>
  <c r="R72" i="149"/>
  <c r="S72" i="149"/>
  <c r="T72" i="149"/>
  <c r="U72" i="149"/>
  <c r="P73" i="149"/>
  <c r="Q73" i="149"/>
  <c r="R73" i="149"/>
  <c r="S73" i="149"/>
  <c r="T73" i="149"/>
  <c r="U73" i="149"/>
  <c r="P74" i="149"/>
  <c r="Q74" i="149"/>
  <c r="R74" i="149"/>
  <c r="S74" i="149"/>
  <c r="T74" i="149"/>
  <c r="U74" i="149"/>
  <c r="P75" i="149"/>
  <c r="Q75" i="149"/>
  <c r="R75" i="149"/>
  <c r="S75" i="149"/>
  <c r="T75" i="149"/>
  <c r="U75" i="149"/>
  <c r="P76" i="149"/>
  <c r="Q76" i="149"/>
  <c r="R76" i="149"/>
  <c r="S76" i="149"/>
  <c r="T76" i="149"/>
  <c r="U76" i="149"/>
  <c r="P77" i="149"/>
  <c r="Q77" i="149"/>
  <c r="R77" i="149"/>
  <c r="S77" i="149"/>
  <c r="T77" i="149"/>
  <c r="U77" i="149"/>
  <c r="P78" i="149"/>
  <c r="Q78" i="149"/>
  <c r="R78" i="149"/>
  <c r="S78" i="149"/>
  <c r="T78" i="149"/>
  <c r="U78" i="149"/>
  <c r="P79" i="149"/>
  <c r="Q79" i="149"/>
  <c r="R79" i="149"/>
  <c r="S79" i="149"/>
  <c r="T79" i="149"/>
  <c r="U79" i="149"/>
  <c r="P80" i="149"/>
  <c r="Q80" i="149"/>
  <c r="R80" i="149"/>
  <c r="S80" i="149"/>
  <c r="T80" i="149"/>
  <c r="U80" i="149"/>
  <c r="P81" i="149"/>
  <c r="Q81" i="149"/>
  <c r="R81" i="149"/>
  <c r="S81" i="149"/>
  <c r="T81" i="149"/>
  <c r="U81" i="149"/>
  <c r="P82" i="149"/>
  <c r="Q82" i="149"/>
  <c r="R82" i="149"/>
  <c r="S82" i="149"/>
  <c r="T82" i="149"/>
  <c r="U82" i="149"/>
  <c r="P83" i="149"/>
  <c r="Q83" i="149"/>
  <c r="R83" i="149"/>
  <c r="S83" i="149"/>
  <c r="T83" i="149"/>
  <c r="U83" i="149"/>
  <c r="P84" i="149"/>
  <c r="Q84" i="149"/>
  <c r="R84" i="149"/>
  <c r="S84" i="149"/>
  <c r="T84" i="149"/>
  <c r="U84" i="149"/>
  <c r="P85" i="149"/>
  <c r="Q85" i="149"/>
  <c r="R85" i="149"/>
  <c r="S85" i="149"/>
  <c r="T85" i="149"/>
  <c r="U85" i="149"/>
  <c r="P86" i="149"/>
  <c r="Q86" i="149"/>
  <c r="R86" i="149"/>
  <c r="S86" i="149"/>
  <c r="T86" i="149"/>
  <c r="U86" i="149"/>
  <c r="P87" i="149"/>
  <c r="Q87" i="149"/>
  <c r="R87" i="149"/>
  <c r="S87" i="149"/>
  <c r="T87" i="149"/>
  <c r="U87" i="149"/>
  <c r="P88" i="149"/>
  <c r="Q88" i="149"/>
  <c r="R88" i="149"/>
  <c r="S88" i="149"/>
  <c r="T88" i="149"/>
  <c r="U88" i="149"/>
  <c r="P89" i="149"/>
  <c r="Q89" i="149"/>
  <c r="R89" i="149"/>
  <c r="S89" i="149"/>
  <c r="T89" i="149"/>
  <c r="U89" i="149"/>
  <c r="P90" i="149"/>
  <c r="Q90" i="149"/>
  <c r="R90" i="149"/>
  <c r="S90" i="149"/>
  <c r="T90" i="149"/>
  <c r="U90" i="149"/>
  <c r="P91" i="149"/>
  <c r="Q91" i="149"/>
  <c r="R91" i="149"/>
  <c r="S91" i="149"/>
  <c r="T91" i="149"/>
  <c r="U91" i="149"/>
  <c r="P92" i="149"/>
  <c r="Q92" i="149"/>
  <c r="R92" i="149"/>
  <c r="S92" i="149"/>
  <c r="T92" i="149"/>
  <c r="U92" i="149"/>
  <c r="P93" i="149"/>
  <c r="Q93" i="149"/>
  <c r="R93" i="149"/>
  <c r="S93" i="149"/>
  <c r="T93" i="149"/>
  <c r="U93" i="149"/>
  <c r="Q20" i="149"/>
  <c r="R20" i="149"/>
  <c r="S20" i="149"/>
  <c r="T20" i="149"/>
  <c r="U20" i="149"/>
  <c r="P20" i="149"/>
  <c r="G21" i="149"/>
  <c r="H21" i="149"/>
  <c r="I21" i="149"/>
  <c r="J21" i="149"/>
  <c r="K21" i="149"/>
  <c r="L21" i="149"/>
  <c r="G22" i="149"/>
  <c r="H22" i="149"/>
  <c r="I22" i="149"/>
  <c r="J22" i="149"/>
  <c r="K22" i="149"/>
  <c r="L22" i="149"/>
  <c r="G23" i="149"/>
  <c r="H23" i="149"/>
  <c r="I23" i="149"/>
  <c r="J23" i="149"/>
  <c r="K23" i="149"/>
  <c r="L23" i="149"/>
  <c r="G24" i="149"/>
  <c r="H24" i="149"/>
  <c r="I24" i="149"/>
  <c r="J24" i="149"/>
  <c r="K24" i="149"/>
  <c r="L24" i="149"/>
  <c r="G25" i="149"/>
  <c r="H25" i="149"/>
  <c r="I25" i="149"/>
  <c r="J25" i="149"/>
  <c r="K25" i="149"/>
  <c r="L25" i="149"/>
  <c r="G26" i="149"/>
  <c r="H26" i="149"/>
  <c r="I26" i="149"/>
  <c r="J26" i="149"/>
  <c r="K26" i="149"/>
  <c r="L26" i="149"/>
  <c r="G27" i="149"/>
  <c r="H27" i="149"/>
  <c r="I27" i="149"/>
  <c r="J27" i="149"/>
  <c r="K27" i="149"/>
  <c r="L27" i="149"/>
  <c r="G28" i="149"/>
  <c r="H28" i="149"/>
  <c r="I28" i="149"/>
  <c r="J28" i="149"/>
  <c r="K28" i="149"/>
  <c r="L28" i="149"/>
  <c r="G29" i="149"/>
  <c r="H29" i="149"/>
  <c r="I29" i="149"/>
  <c r="J29" i="149"/>
  <c r="K29" i="149"/>
  <c r="L29" i="149"/>
  <c r="G30" i="149"/>
  <c r="H30" i="149"/>
  <c r="I30" i="149"/>
  <c r="J30" i="149"/>
  <c r="K30" i="149"/>
  <c r="L30" i="149"/>
  <c r="G31" i="149"/>
  <c r="H31" i="149"/>
  <c r="I31" i="149"/>
  <c r="J31" i="149"/>
  <c r="K31" i="149"/>
  <c r="L31" i="149"/>
  <c r="G32" i="149"/>
  <c r="H32" i="149"/>
  <c r="I32" i="149"/>
  <c r="J32" i="149"/>
  <c r="K32" i="149"/>
  <c r="L32" i="149"/>
  <c r="G33" i="149"/>
  <c r="H33" i="149"/>
  <c r="I33" i="149"/>
  <c r="J33" i="149"/>
  <c r="K33" i="149"/>
  <c r="L33" i="149"/>
  <c r="G34" i="149"/>
  <c r="H34" i="149"/>
  <c r="I34" i="149"/>
  <c r="J34" i="149"/>
  <c r="K34" i="149"/>
  <c r="L34" i="149"/>
  <c r="G35" i="149"/>
  <c r="H35" i="149"/>
  <c r="I35" i="149"/>
  <c r="J35" i="149"/>
  <c r="K35" i="149"/>
  <c r="L35" i="149"/>
  <c r="G36" i="149"/>
  <c r="H36" i="149"/>
  <c r="I36" i="149"/>
  <c r="J36" i="149"/>
  <c r="K36" i="149"/>
  <c r="L36" i="149"/>
  <c r="G37" i="149"/>
  <c r="H37" i="149"/>
  <c r="I37" i="149"/>
  <c r="J37" i="149"/>
  <c r="K37" i="149"/>
  <c r="L37" i="149"/>
  <c r="G38" i="149"/>
  <c r="H38" i="149"/>
  <c r="I38" i="149"/>
  <c r="J38" i="149"/>
  <c r="K38" i="149"/>
  <c r="L38" i="149"/>
  <c r="G39" i="149"/>
  <c r="H39" i="149"/>
  <c r="I39" i="149"/>
  <c r="J39" i="149"/>
  <c r="K39" i="149"/>
  <c r="L39" i="149"/>
  <c r="G40" i="149"/>
  <c r="H40" i="149"/>
  <c r="I40" i="149"/>
  <c r="J40" i="149"/>
  <c r="K40" i="149"/>
  <c r="L40" i="149"/>
  <c r="G41" i="149"/>
  <c r="H41" i="149"/>
  <c r="I41" i="149"/>
  <c r="J41" i="149"/>
  <c r="K41" i="149"/>
  <c r="L41" i="149"/>
  <c r="G42" i="149"/>
  <c r="H42" i="149"/>
  <c r="I42" i="149"/>
  <c r="J42" i="149"/>
  <c r="K42" i="149"/>
  <c r="L42" i="149"/>
  <c r="G43" i="149"/>
  <c r="H43" i="149"/>
  <c r="I43" i="149"/>
  <c r="J43" i="149"/>
  <c r="K43" i="149"/>
  <c r="L43" i="149"/>
  <c r="G44" i="149"/>
  <c r="H44" i="149"/>
  <c r="I44" i="149"/>
  <c r="J44" i="149"/>
  <c r="K44" i="149"/>
  <c r="L44" i="149"/>
  <c r="G45" i="149"/>
  <c r="H45" i="149"/>
  <c r="I45" i="149"/>
  <c r="J45" i="149"/>
  <c r="K45" i="149"/>
  <c r="L45" i="149"/>
  <c r="G46" i="149"/>
  <c r="H46" i="149"/>
  <c r="I46" i="149"/>
  <c r="J46" i="149"/>
  <c r="K46" i="149"/>
  <c r="L46" i="149"/>
  <c r="G47" i="149"/>
  <c r="H47" i="149"/>
  <c r="I47" i="149"/>
  <c r="J47" i="149"/>
  <c r="K47" i="149"/>
  <c r="L47" i="149"/>
  <c r="G48" i="149"/>
  <c r="H48" i="149"/>
  <c r="I48" i="149"/>
  <c r="J48" i="149"/>
  <c r="K48" i="149"/>
  <c r="L48" i="149"/>
  <c r="G49" i="149"/>
  <c r="H49" i="149"/>
  <c r="I49" i="149"/>
  <c r="J49" i="149"/>
  <c r="K49" i="149"/>
  <c r="L49" i="149"/>
  <c r="G50" i="149"/>
  <c r="H50" i="149"/>
  <c r="I50" i="149"/>
  <c r="J50" i="149"/>
  <c r="K50" i="149"/>
  <c r="L50" i="149"/>
  <c r="G51" i="149"/>
  <c r="H51" i="149"/>
  <c r="I51" i="149"/>
  <c r="J51" i="149"/>
  <c r="K51" i="149"/>
  <c r="L51" i="149"/>
  <c r="G52" i="149"/>
  <c r="H52" i="149"/>
  <c r="I52" i="149"/>
  <c r="J52" i="149"/>
  <c r="K52" i="149"/>
  <c r="L52" i="149"/>
  <c r="G53" i="149"/>
  <c r="H53" i="149"/>
  <c r="I53" i="149"/>
  <c r="J53" i="149"/>
  <c r="K53" i="149"/>
  <c r="L53" i="149"/>
  <c r="G54" i="149"/>
  <c r="H54" i="149"/>
  <c r="I54" i="149"/>
  <c r="J54" i="149"/>
  <c r="K54" i="149"/>
  <c r="L54" i="149"/>
  <c r="G55" i="149"/>
  <c r="H55" i="149"/>
  <c r="I55" i="149"/>
  <c r="J55" i="149"/>
  <c r="K55" i="149"/>
  <c r="L55" i="149"/>
  <c r="G56" i="149"/>
  <c r="H56" i="149"/>
  <c r="I56" i="149"/>
  <c r="J56" i="149"/>
  <c r="K56" i="149"/>
  <c r="L56" i="149"/>
  <c r="G57" i="149"/>
  <c r="H57" i="149"/>
  <c r="I57" i="149"/>
  <c r="J57" i="149"/>
  <c r="K57" i="149"/>
  <c r="L57" i="149"/>
  <c r="G58" i="149"/>
  <c r="H58" i="149"/>
  <c r="I58" i="149"/>
  <c r="J58" i="149"/>
  <c r="K58" i="149"/>
  <c r="L58" i="149"/>
  <c r="G59" i="149"/>
  <c r="H59" i="149"/>
  <c r="I59" i="149"/>
  <c r="J59" i="149"/>
  <c r="K59" i="149"/>
  <c r="L59" i="149"/>
  <c r="G60" i="149"/>
  <c r="H60" i="149"/>
  <c r="I60" i="149"/>
  <c r="J60" i="149"/>
  <c r="K60" i="149"/>
  <c r="L60" i="149"/>
  <c r="G61" i="149"/>
  <c r="H61" i="149"/>
  <c r="I61" i="149"/>
  <c r="J61" i="149"/>
  <c r="K61" i="149"/>
  <c r="L61" i="149"/>
  <c r="G62" i="149"/>
  <c r="H62" i="149"/>
  <c r="I62" i="149"/>
  <c r="J62" i="149"/>
  <c r="K62" i="149"/>
  <c r="L62" i="149"/>
  <c r="G63" i="149"/>
  <c r="H63" i="149"/>
  <c r="I63" i="149"/>
  <c r="J63" i="149"/>
  <c r="K63" i="149"/>
  <c r="L63" i="149"/>
  <c r="G64" i="149"/>
  <c r="H64" i="149"/>
  <c r="I64" i="149"/>
  <c r="J64" i="149"/>
  <c r="K64" i="149"/>
  <c r="L64" i="149"/>
  <c r="G65" i="149"/>
  <c r="H65" i="149"/>
  <c r="I65" i="149"/>
  <c r="J65" i="149"/>
  <c r="K65" i="149"/>
  <c r="L65" i="149"/>
  <c r="G66" i="149"/>
  <c r="H66" i="149"/>
  <c r="I66" i="149"/>
  <c r="J66" i="149"/>
  <c r="K66" i="149"/>
  <c r="L66" i="149"/>
  <c r="G67" i="149"/>
  <c r="H67" i="149"/>
  <c r="I67" i="149"/>
  <c r="J67" i="149"/>
  <c r="K67" i="149"/>
  <c r="L67" i="149"/>
  <c r="G68" i="149"/>
  <c r="H68" i="149"/>
  <c r="I68" i="149"/>
  <c r="J68" i="149"/>
  <c r="K68" i="149"/>
  <c r="L68" i="149"/>
  <c r="G69" i="149"/>
  <c r="H69" i="149"/>
  <c r="I69" i="149"/>
  <c r="J69" i="149"/>
  <c r="K69" i="149"/>
  <c r="L69" i="149"/>
  <c r="G70" i="149"/>
  <c r="H70" i="149"/>
  <c r="I70" i="149"/>
  <c r="J70" i="149"/>
  <c r="K70" i="149"/>
  <c r="L70" i="149"/>
  <c r="G71" i="149"/>
  <c r="H71" i="149"/>
  <c r="I71" i="149"/>
  <c r="J71" i="149"/>
  <c r="K71" i="149"/>
  <c r="L71" i="149"/>
  <c r="G72" i="149"/>
  <c r="H72" i="149"/>
  <c r="I72" i="149"/>
  <c r="J72" i="149"/>
  <c r="K72" i="149"/>
  <c r="L72" i="149"/>
  <c r="G73" i="149"/>
  <c r="H73" i="149"/>
  <c r="I73" i="149"/>
  <c r="J73" i="149"/>
  <c r="K73" i="149"/>
  <c r="L73" i="149"/>
  <c r="G74" i="149"/>
  <c r="H74" i="149"/>
  <c r="I74" i="149"/>
  <c r="J74" i="149"/>
  <c r="K74" i="149"/>
  <c r="L74" i="149"/>
  <c r="G75" i="149"/>
  <c r="H75" i="149"/>
  <c r="I75" i="149"/>
  <c r="J75" i="149"/>
  <c r="K75" i="149"/>
  <c r="L75" i="149"/>
  <c r="G76" i="149"/>
  <c r="H76" i="149"/>
  <c r="I76" i="149"/>
  <c r="J76" i="149"/>
  <c r="K76" i="149"/>
  <c r="L76" i="149"/>
  <c r="G77" i="149"/>
  <c r="H77" i="149"/>
  <c r="I77" i="149"/>
  <c r="J77" i="149"/>
  <c r="K77" i="149"/>
  <c r="L77" i="149"/>
  <c r="G78" i="149"/>
  <c r="H78" i="149"/>
  <c r="I78" i="149"/>
  <c r="J78" i="149"/>
  <c r="K78" i="149"/>
  <c r="L78" i="149"/>
  <c r="G79" i="149"/>
  <c r="H79" i="149"/>
  <c r="I79" i="149"/>
  <c r="J79" i="149"/>
  <c r="K79" i="149"/>
  <c r="L79" i="149"/>
  <c r="G80" i="149"/>
  <c r="H80" i="149"/>
  <c r="I80" i="149"/>
  <c r="J80" i="149"/>
  <c r="K80" i="149"/>
  <c r="L80" i="149"/>
  <c r="G81" i="149"/>
  <c r="H81" i="149"/>
  <c r="I81" i="149"/>
  <c r="J81" i="149"/>
  <c r="K81" i="149"/>
  <c r="L81" i="149"/>
  <c r="G82" i="149"/>
  <c r="H82" i="149"/>
  <c r="I82" i="149"/>
  <c r="J82" i="149"/>
  <c r="K82" i="149"/>
  <c r="L82" i="149"/>
  <c r="G83" i="149"/>
  <c r="H83" i="149"/>
  <c r="I83" i="149"/>
  <c r="J83" i="149"/>
  <c r="K83" i="149"/>
  <c r="L83" i="149"/>
  <c r="G84" i="149"/>
  <c r="H84" i="149"/>
  <c r="I84" i="149"/>
  <c r="J84" i="149"/>
  <c r="K84" i="149"/>
  <c r="L84" i="149"/>
  <c r="G85" i="149"/>
  <c r="H85" i="149"/>
  <c r="I85" i="149"/>
  <c r="J85" i="149"/>
  <c r="K85" i="149"/>
  <c r="L85" i="149"/>
  <c r="G86" i="149"/>
  <c r="H86" i="149"/>
  <c r="I86" i="149"/>
  <c r="J86" i="149"/>
  <c r="K86" i="149"/>
  <c r="L86" i="149"/>
  <c r="G87" i="149"/>
  <c r="H87" i="149"/>
  <c r="I87" i="149"/>
  <c r="J87" i="149"/>
  <c r="K87" i="149"/>
  <c r="L87" i="149"/>
  <c r="G88" i="149"/>
  <c r="H88" i="149"/>
  <c r="I88" i="149"/>
  <c r="J88" i="149"/>
  <c r="K88" i="149"/>
  <c r="L88" i="149"/>
  <c r="G89" i="149"/>
  <c r="H89" i="149"/>
  <c r="I89" i="149"/>
  <c r="J89" i="149"/>
  <c r="K89" i="149"/>
  <c r="L89" i="149"/>
  <c r="G90" i="149"/>
  <c r="H90" i="149"/>
  <c r="I90" i="149"/>
  <c r="J90" i="149"/>
  <c r="K90" i="149"/>
  <c r="L90" i="149"/>
  <c r="G91" i="149"/>
  <c r="H91" i="149"/>
  <c r="I91" i="149"/>
  <c r="J91" i="149"/>
  <c r="K91" i="149"/>
  <c r="L91" i="149"/>
  <c r="G92" i="149"/>
  <c r="H92" i="149"/>
  <c r="I92" i="149"/>
  <c r="J92" i="149"/>
  <c r="K92" i="149"/>
  <c r="L92" i="149"/>
  <c r="G93" i="149"/>
  <c r="H93" i="149"/>
  <c r="I93" i="149"/>
  <c r="J93" i="149"/>
  <c r="K93" i="149"/>
  <c r="L93" i="149"/>
  <c r="H20" i="149"/>
  <c r="I20" i="149"/>
  <c r="J20" i="149"/>
  <c r="K20" i="149"/>
  <c r="L20" i="149"/>
  <c r="G20" i="149"/>
  <c r="N115" i="117"/>
  <c r="O115" i="117"/>
  <c r="N109" i="117"/>
  <c r="O109" i="117"/>
  <c r="N60" i="117"/>
  <c r="R102" i="117"/>
  <c r="Q102" i="117"/>
  <c r="P102" i="117"/>
  <c r="O102" i="117"/>
  <c r="N102" i="117"/>
  <c r="M102" i="117"/>
  <c r="L102" i="117"/>
  <c r="K102" i="117"/>
  <c r="J102" i="117"/>
  <c r="I102" i="117"/>
  <c r="H102" i="117"/>
  <c r="G102" i="117"/>
  <c r="F102" i="117"/>
  <c r="E102" i="117"/>
  <c r="D102" i="117"/>
  <c r="C105" i="117"/>
  <c r="C106" i="117"/>
  <c r="C107" i="117"/>
  <c r="C108" i="117"/>
  <c r="C109" i="117"/>
  <c r="C110" i="117"/>
  <c r="C111" i="117"/>
  <c r="C112" i="117"/>
  <c r="C113" i="117"/>
  <c r="C114" i="117"/>
  <c r="C115" i="117"/>
  <c r="C104" i="117"/>
  <c r="B115" i="117"/>
  <c r="B114" i="117"/>
  <c r="B113" i="117"/>
  <c r="B112" i="117"/>
  <c r="B111" i="117"/>
  <c r="B110" i="117"/>
  <c r="B109" i="117"/>
  <c r="B108" i="117"/>
  <c r="B107" i="117"/>
  <c r="B106" i="117"/>
  <c r="B105" i="117"/>
  <c r="B104" i="117"/>
  <c r="W81" i="117"/>
  <c r="X81" i="117"/>
  <c r="Y81" i="117"/>
  <c r="Z81" i="117"/>
  <c r="V81" i="117"/>
  <c r="P84" i="117"/>
  <c r="Q84" i="117"/>
  <c r="P85" i="117"/>
  <c r="Q85" i="117"/>
  <c r="P86" i="117"/>
  <c r="Q86" i="117"/>
  <c r="P87" i="117"/>
  <c r="Q87" i="117"/>
  <c r="Q88" i="117"/>
  <c r="P89" i="117"/>
  <c r="Q89" i="117"/>
  <c r="P90" i="117"/>
  <c r="Q90" i="117"/>
  <c r="P91" i="117"/>
  <c r="Q91" i="117"/>
  <c r="P92" i="117"/>
  <c r="Q92" i="117"/>
  <c r="P93" i="117"/>
  <c r="Q93" i="117"/>
  <c r="Q94" i="117"/>
  <c r="R84" i="117"/>
  <c r="R85" i="117"/>
  <c r="R86" i="117"/>
  <c r="R87" i="117"/>
  <c r="R88" i="117"/>
  <c r="R89" i="117"/>
  <c r="R90" i="117"/>
  <c r="R91" i="117"/>
  <c r="R92" i="117"/>
  <c r="R93" i="117"/>
  <c r="R94" i="117"/>
  <c r="R83" i="117"/>
  <c r="C84" i="117"/>
  <c r="C85" i="117"/>
  <c r="C86" i="117"/>
  <c r="C87" i="117"/>
  <c r="C88" i="117"/>
  <c r="C89" i="117"/>
  <c r="C90" i="117"/>
  <c r="C91" i="117"/>
  <c r="C92" i="117"/>
  <c r="C93" i="117"/>
  <c r="C94" i="117"/>
  <c r="C83" i="117"/>
  <c r="B94" i="117"/>
  <c r="B93" i="117"/>
  <c r="B92" i="117"/>
  <c r="B91" i="117"/>
  <c r="B90" i="117"/>
  <c r="B89" i="117"/>
  <c r="B88" i="117"/>
  <c r="B87" i="117"/>
  <c r="B86" i="117"/>
  <c r="B85" i="117"/>
  <c r="B84" i="117"/>
  <c r="B83" i="117"/>
  <c r="C61" i="117"/>
  <c r="C62" i="117"/>
  <c r="C63" i="117"/>
  <c r="C64" i="117"/>
  <c r="C65" i="117"/>
  <c r="C66" i="117"/>
  <c r="C67" i="117"/>
  <c r="C68" i="117"/>
  <c r="C69" i="117"/>
  <c r="C70" i="117"/>
  <c r="C71" i="117"/>
  <c r="C60" i="117"/>
  <c r="B71" i="117"/>
  <c r="B70" i="117"/>
  <c r="B69" i="117"/>
  <c r="B68" i="117"/>
  <c r="B67" i="117"/>
  <c r="B66" i="117"/>
  <c r="B65" i="117"/>
  <c r="B64" i="117"/>
  <c r="B63" i="117"/>
  <c r="B62" i="117"/>
  <c r="B61" i="117"/>
  <c r="B60" i="117"/>
  <c r="C38" i="117"/>
  <c r="C39" i="117"/>
  <c r="C40" i="117"/>
  <c r="C41" i="117"/>
  <c r="C42" i="117"/>
  <c r="C43" i="117"/>
  <c r="C44" i="117"/>
  <c r="C45" i="117"/>
  <c r="C46" i="117"/>
  <c r="C47" i="117"/>
  <c r="C48" i="117"/>
  <c r="C37" i="117"/>
  <c r="B48" i="117"/>
  <c r="B47" i="117"/>
  <c r="B46" i="117"/>
  <c r="B45" i="117"/>
  <c r="B44" i="117"/>
  <c r="B43" i="117"/>
  <c r="B42" i="117"/>
  <c r="B41" i="117"/>
  <c r="B40" i="117"/>
  <c r="B39" i="117"/>
  <c r="B38" i="117"/>
  <c r="B37" i="117"/>
  <c r="C19" i="117"/>
  <c r="C20" i="117"/>
  <c r="B26" i="117"/>
  <c r="B27" i="117"/>
  <c r="B28" i="117"/>
  <c r="B29" i="117"/>
  <c r="B30" i="117"/>
  <c r="B25" i="117"/>
  <c r="B20" i="117"/>
  <c r="B21" i="117"/>
  <c r="B22" i="117"/>
  <c r="B23" i="117"/>
  <c r="B24" i="117"/>
  <c r="B19" i="117"/>
  <c r="C26" i="117"/>
  <c r="L81" i="117"/>
  <c r="M81" i="117"/>
  <c r="N81" i="117"/>
  <c r="O81" i="117"/>
  <c r="K81" i="117"/>
  <c r="R58" i="117"/>
  <c r="Q58" i="117"/>
  <c r="P58" i="117"/>
  <c r="O58" i="117"/>
  <c r="N58" i="117"/>
  <c r="M58" i="117"/>
  <c r="L58" i="117"/>
  <c r="K58" i="117"/>
  <c r="J58" i="117"/>
  <c r="I58" i="117"/>
  <c r="H58" i="117"/>
  <c r="G58" i="117"/>
  <c r="F58" i="117"/>
  <c r="E58" i="117"/>
  <c r="D58" i="117"/>
  <c r="E35" i="117"/>
  <c r="F35" i="117"/>
  <c r="G35" i="117"/>
  <c r="H35" i="117"/>
  <c r="D35" i="117"/>
  <c r="J35" i="117"/>
  <c r="K35" i="117"/>
  <c r="L35" i="117"/>
  <c r="M35" i="117"/>
  <c r="I35" i="117"/>
  <c r="O35" i="117"/>
  <c r="P35" i="117"/>
  <c r="Q35" i="117"/>
  <c r="R35" i="117"/>
  <c r="N35" i="117"/>
  <c r="I37" i="117"/>
  <c r="J37" i="117"/>
  <c r="K37" i="117"/>
  <c r="L37" i="117"/>
  <c r="M37" i="117"/>
  <c r="I38" i="117"/>
  <c r="J38" i="117"/>
  <c r="K38" i="117"/>
  <c r="L38" i="117"/>
  <c r="M38" i="117"/>
  <c r="I39" i="117"/>
  <c r="J39" i="117"/>
  <c r="K39" i="117"/>
  <c r="L39" i="117"/>
  <c r="M39" i="117"/>
  <c r="I40" i="117"/>
  <c r="J40" i="117"/>
  <c r="K40" i="117"/>
  <c r="L40" i="117"/>
  <c r="M40" i="117"/>
  <c r="I41" i="117"/>
  <c r="J41" i="117"/>
  <c r="K41" i="117"/>
  <c r="L41" i="117"/>
  <c r="M41" i="117"/>
  <c r="K42" i="117"/>
  <c r="L42" i="117"/>
  <c r="M42" i="117"/>
  <c r="I43" i="117"/>
  <c r="J43" i="117"/>
  <c r="K43" i="117"/>
  <c r="L43" i="117"/>
  <c r="M43" i="117"/>
  <c r="I44" i="117"/>
  <c r="J44" i="117"/>
  <c r="K44" i="117"/>
  <c r="L44" i="117"/>
  <c r="M44" i="117"/>
  <c r="I45" i="117"/>
  <c r="J45" i="117"/>
  <c r="K45" i="117"/>
  <c r="L45" i="117"/>
  <c r="M45" i="117"/>
  <c r="I46" i="117"/>
  <c r="J46" i="117"/>
  <c r="K46" i="117"/>
  <c r="L46" i="117"/>
  <c r="M46" i="117"/>
  <c r="I47" i="117"/>
  <c r="J47" i="117"/>
  <c r="K47" i="117"/>
  <c r="L47" i="117"/>
  <c r="M47" i="117"/>
  <c r="K48" i="117"/>
  <c r="L48" i="117"/>
  <c r="M48" i="117"/>
  <c r="N37" i="117"/>
  <c r="I61" i="117"/>
  <c r="J61" i="117"/>
  <c r="K61" i="117"/>
  <c r="L61" i="117"/>
  <c r="M61" i="117"/>
  <c r="N61" i="117"/>
  <c r="O61" i="117"/>
  <c r="P61" i="117"/>
  <c r="Q61" i="117"/>
  <c r="R61" i="117"/>
  <c r="I62" i="117"/>
  <c r="J62" i="117"/>
  <c r="K62" i="117"/>
  <c r="L62" i="117"/>
  <c r="M62" i="117"/>
  <c r="N62" i="117"/>
  <c r="O62" i="117"/>
  <c r="P62" i="117"/>
  <c r="Q62" i="117"/>
  <c r="R62" i="117"/>
  <c r="I63" i="117"/>
  <c r="J63" i="117"/>
  <c r="K63" i="117"/>
  <c r="L63" i="117"/>
  <c r="M63" i="117"/>
  <c r="N63" i="117"/>
  <c r="O63" i="117"/>
  <c r="P63" i="117"/>
  <c r="Q63" i="117"/>
  <c r="R63" i="117"/>
  <c r="I64" i="117"/>
  <c r="J64" i="117"/>
  <c r="K64" i="117"/>
  <c r="L64" i="117"/>
  <c r="M64" i="117"/>
  <c r="N64" i="117"/>
  <c r="O64" i="117"/>
  <c r="P64" i="117"/>
  <c r="Q64" i="117"/>
  <c r="R64" i="117"/>
  <c r="D65" i="117"/>
  <c r="E65" i="117"/>
  <c r="I65" i="117"/>
  <c r="J65" i="117"/>
  <c r="K65" i="117"/>
  <c r="L65" i="117"/>
  <c r="M65" i="117"/>
  <c r="N65" i="117"/>
  <c r="O65" i="117"/>
  <c r="P65" i="117"/>
  <c r="Q65" i="117"/>
  <c r="R65" i="117"/>
  <c r="I66" i="117"/>
  <c r="J66" i="117"/>
  <c r="K66" i="117"/>
  <c r="L66" i="117"/>
  <c r="M66" i="117"/>
  <c r="N66" i="117"/>
  <c r="O66" i="117"/>
  <c r="P66" i="117"/>
  <c r="Q66" i="117"/>
  <c r="R66" i="117"/>
  <c r="I67" i="117"/>
  <c r="J67" i="117"/>
  <c r="K67" i="117"/>
  <c r="L67" i="117"/>
  <c r="M67" i="117"/>
  <c r="N67" i="117"/>
  <c r="O67" i="117"/>
  <c r="P67" i="117"/>
  <c r="Q67" i="117"/>
  <c r="R67" i="117"/>
  <c r="I68" i="117"/>
  <c r="J68" i="117"/>
  <c r="K68" i="117"/>
  <c r="L68" i="117"/>
  <c r="M68" i="117"/>
  <c r="N68" i="117"/>
  <c r="O68" i="117"/>
  <c r="P68" i="117"/>
  <c r="Q68" i="117"/>
  <c r="R68" i="117"/>
  <c r="I69" i="117"/>
  <c r="J69" i="117"/>
  <c r="K69" i="117"/>
  <c r="L69" i="117"/>
  <c r="M69" i="117"/>
  <c r="N69" i="117"/>
  <c r="O69" i="117"/>
  <c r="P69" i="117"/>
  <c r="Q69" i="117"/>
  <c r="R69" i="117"/>
  <c r="I70" i="117"/>
  <c r="J70" i="117"/>
  <c r="K70" i="117"/>
  <c r="L70" i="117"/>
  <c r="M70" i="117"/>
  <c r="N70" i="117"/>
  <c r="O70" i="117"/>
  <c r="P70" i="117"/>
  <c r="Q70" i="117"/>
  <c r="R70" i="117"/>
  <c r="D71" i="117"/>
  <c r="E71" i="117"/>
  <c r="I71" i="117"/>
  <c r="J71" i="117"/>
  <c r="K71" i="117"/>
  <c r="L71" i="117"/>
  <c r="M71" i="117"/>
  <c r="N71" i="117"/>
  <c r="O71" i="117"/>
  <c r="P71" i="117"/>
  <c r="Q71" i="117"/>
  <c r="R71" i="117"/>
  <c r="J60" i="117"/>
  <c r="K60" i="117"/>
  <c r="L60" i="117"/>
  <c r="M60" i="117"/>
  <c r="O60" i="117"/>
  <c r="P60" i="117"/>
  <c r="Q60" i="117"/>
  <c r="R60" i="117"/>
  <c r="N38" i="117"/>
  <c r="O38" i="117"/>
  <c r="P38" i="117"/>
  <c r="Q38" i="117"/>
  <c r="R38" i="117"/>
  <c r="N39" i="117"/>
  <c r="O39" i="117"/>
  <c r="P39" i="117"/>
  <c r="Q39" i="117"/>
  <c r="R39" i="117"/>
  <c r="N40" i="117"/>
  <c r="O40" i="117"/>
  <c r="P40" i="117"/>
  <c r="Q40" i="117"/>
  <c r="R40" i="117"/>
  <c r="N41" i="117"/>
  <c r="O41" i="117"/>
  <c r="P41" i="117"/>
  <c r="Q41" i="117"/>
  <c r="R41" i="117"/>
  <c r="P42" i="117"/>
  <c r="Q42" i="117"/>
  <c r="R42" i="117"/>
  <c r="N43" i="117"/>
  <c r="O43" i="117"/>
  <c r="P43" i="117"/>
  <c r="Q43" i="117"/>
  <c r="R43" i="117"/>
  <c r="N44" i="117"/>
  <c r="O44" i="117"/>
  <c r="P44" i="117"/>
  <c r="Q44" i="117"/>
  <c r="R44" i="117"/>
  <c r="N45" i="117"/>
  <c r="O45" i="117"/>
  <c r="P45" i="117"/>
  <c r="Q45" i="117"/>
  <c r="R45" i="117"/>
  <c r="N46" i="117"/>
  <c r="O46" i="117"/>
  <c r="P46" i="117"/>
  <c r="Q46" i="117"/>
  <c r="R46" i="117"/>
  <c r="N47" i="117"/>
  <c r="O47" i="117"/>
  <c r="P47" i="117"/>
  <c r="Q47" i="117"/>
  <c r="R47" i="117"/>
  <c r="P48" i="117"/>
  <c r="Q48" i="117"/>
  <c r="R48" i="117"/>
  <c r="O37" i="117"/>
  <c r="P37" i="117"/>
  <c r="Q37" i="117"/>
  <c r="R37" i="117"/>
  <c r="D26" i="155"/>
  <c r="C26" i="155"/>
  <c r="C19" i="155"/>
  <c r="D19" i="155"/>
  <c r="G22" i="155"/>
  <c r="G23" i="155"/>
  <c r="G24" i="155"/>
  <c r="G15" i="155"/>
  <c r="G16" i="155"/>
  <c r="Q22" i="155"/>
  <c r="Q23" i="155"/>
  <c r="Q14" i="155"/>
  <c r="Q15" i="155"/>
  <c r="Q16" i="155"/>
  <c r="D29" i="155"/>
  <c r="G29" i="155" s="1"/>
  <c r="D30" i="155"/>
  <c r="G30" i="155" s="1"/>
  <c r="S22" i="155"/>
  <c r="V22" i="155" s="1"/>
  <c r="S23" i="155"/>
  <c r="V23" i="155" s="1"/>
  <c r="S15" i="155"/>
  <c r="V15" i="155" s="1"/>
  <c r="S16" i="155"/>
  <c r="V16" i="155" s="1"/>
  <c r="N26" i="155"/>
  <c r="M26" i="155"/>
  <c r="N19" i="155"/>
  <c r="M19" i="155"/>
  <c r="N29" i="155"/>
  <c r="Q29" i="155" s="1"/>
  <c r="N30" i="155"/>
  <c r="Q30" i="155" s="1"/>
  <c r="N31" i="155"/>
  <c r="I28" i="153"/>
  <c r="F28" i="153"/>
  <c r="I27" i="153"/>
  <c r="F27" i="153"/>
  <c r="I26" i="153"/>
  <c r="F26" i="153"/>
  <c r="I25" i="153"/>
  <c r="F25" i="153"/>
  <c r="G139" i="149" l="1"/>
  <c r="J131" i="149"/>
  <c r="AM59" i="135"/>
  <c r="AM83" i="135" s="1"/>
  <c r="H114" i="135" s="1"/>
  <c r="AM60" i="135"/>
  <c r="AM84" i="135" s="1"/>
  <c r="H115" i="135" s="1"/>
  <c r="AO58" i="149"/>
  <c r="AO84" i="149" s="1"/>
  <c r="I115" i="149" s="1"/>
  <c r="AN58" i="149"/>
  <c r="AN84" i="149" s="1"/>
  <c r="H115" i="149" s="1"/>
  <c r="AN60" i="135"/>
  <c r="AN84" i="135" s="1"/>
  <c r="I115" i="135" s="1"/>
  <c r="AN61" i="149"/>
  <c r="AN85" i="149" s="1"/>
  <c r="H116" i="149" s="1"/>
  <c r="AO61" i="149"/>
  <c r="AO85" i="149" s="1"/>
  <c r="I116" i="149" s="1"/>
  <c r="AN59" i="135"/>
  <c r="AN83" i="135" s="1"/>
  <c r="I114" i="135" s="1"/>
  <c r="J143" i="149"/>
  <c r="J144" i="149"/>
  <c r="J142" i="149"/>
  <c r="J141" i="149"/>
  <c r="G143" i="149"/>
  <c r="G142" i="149"/>
  <c r="G144" i="149"/>
  <c r="G141" i="149"/>
  <c r="J141" i="135"/>
  <c r="J142" i="135"/>
  <c r="J143" i="135"/>
  <c r="J140" i="135"/>
  <c r="G140" i="135"/>
  <c r="G143" i="135"/>
  <c r="G141" i="135"/>
  <c r="J139" i="149"/>
  <c r="J128" i="149"/>
  <c r="J132" i="149"/>
  <c r="G127" i="149"/>
  <c r="J140" i="149"/>
  <c r="G135" i="149"/>
  <c r="G131" i="149"/>
  <c r="J136" i="149"/>
  <c r="J133" i="149"/>
  <c r="J117" i="149"/>
  <c r="J173" i="149"/>
  <c r="J149" i="149"/>
  <c r="J157" i="149"/>
  <c r="J165" i="149"/>
  <c r="G136" i="149"/>
  <c r="G128" i="149"/>
  <c r="BN95" i="149"/>
  <c r="G140" i="149"/>
  <c r="G132" i="149"/>
  <c r="Q73" i="117"/>
  <c r="O73" i="117"/>
  <c r="BH94" i="135"/>
  <c r="BM94" i="135"/>
  <c r="BL94" i="135"/>
  <c r="BK94" i="135"/>
  <c r="BJ94" i="135"/>
  <c r="BI94" i="135"/>
  <c r="G174" i="135"/>
  <c r="G146" i="135"/>
  <c r="G114" i="135"/>
  <c r="J177" i="135"/>
  <c r="J173" i="135"/>
  <c r="J169" i="135"/>
  <c r="J165" i="135"/>
  <c r="J161" i="135"/>
  <c r="J157" i="135"/>
  <c r="J153" i="135"/>
  <c r="J149" i="135"/>
  <c r="J145" i="135"/>
  <c r="J137" i="135"/>
  <c r="J133" i="135"/>
  <c r="J129" i="135"/>
  <c r="J125" i="135"/>
  <c r="J121" i="135"/>
  <c r="J117" i="135"/>
  <c r="J112" i="135"/>
  <c r="G178" i="135"/>
  <c r="G150" i="135"/>
  <c r="G122" i="135"/>
  <c r="G177" i="135"/>
  <c r="G173" i="135"/>
  <c r="G169" i="135"/>
  <c r="G165" i="135"/>
  <c r="G161" i="135"/>
  <c r="G157" i="135"/>
  <c r="G153" i="135"/>
  <c r="G149" i="135"/>
  <c r="G145" i="135"/>
  <c r="G137" i="135"/>
  <c r="G133" i="135"/>
  <c r="G129" i="135"/>
  <c r="G125" i="135"/>
  <c r="G121" i="135"/>
  <c r="G117" i="135"/>
  <c r="G112" i="135"/>
  <c r="G170" i="135"/>
  <c r="G118" i="135"/>
  <c r="J176" i="135"/>
  <c r="J172" i="135"/>
  <c r="J168" i="135"/>
  <c r="J164" i="135"/>
  <c r="J160" i="135"/>
  <c r="J156" i="135"/>
  <c r="J152" i="135"/>
  <c r="J148" i="135"/>
  <c r="J144" i="135"/>
  <c r="J136" i="135"/>
  <c r="J132" i="135"/>
  <c r="J128" i="135"/>
  <c r="J124" i="135"/>
  <c r="J120" i="135"/>
  <c r="J116" i="135"/>
  <c r="J110" i="135"/>
  <c r="G158" i="135"/>
  <c r="G130" i="135"/>
  <c r="G176" i="135"/>
  <c r="G172" i="135"/>
  <c r="G168" i="135"/>
  <c r="G164" i="135"/>
  <c r="G160" i="135"/>
  <c r="G156" i="135"/>
  <c r="G152" i="135"/>
  <c r="G148" i="135"/>
  <c r="G144" i="135"/>
  <c r="G136" i="135"/>
  <c r="G132" i="135"/>
  <c r="G128" i="135"/>
  <c r="G124" i="135"/>
  <c r="G120" i="135"/>
  <c r="G116" i="135"/>
  <c r="G110" i="135"/>
  <c r="G166" i="135"/>
  <c r="G138" i="135"/>
  <c r="J179" i="135"/>
  <c r="J175" i="135"/>
  <c r="J171" i="135"/>
  <c r="J167" i="135"/>
  <c r="J163" i="135"/>
  <c r="J159" i="135"/>
  <c r="J155" i="135"/>
  <c r="J151" i="135"/>
  <c r="J147" i="135"/>
  <c r="J139" i="135"/>
  <c r="J135" i="135"/>
  <c r="J131" i="135"/>
  <c r="J127" i="135"/>
  <c r="J123" i="135"/>
  <c r="J119" i="135"/>
  <c r="J115" i="135"/>
  <c r="J108" i="135"/>
  <c r="G154" i="135"/>
  <c r="G126" i="135"/>
  <c r="G179" i="135"/>
  <c r="G175" i="135"/>
  <c r="G171" i="135"/>
  <c r="G167" i="135"/>
  <c r="G163" i="135"/>
  <c r="G159" i="135"/>
  <c r="G155" i="135"/>
  <c r="G151" i="135"/>
  <c r="G147" i="135"/>
  <c r="G139" i="135"/>
  <c r="G135" i="135"/>
  <c r="G131" i="135"/>
  <c r="G127" i="135"/>
  <c r="G123" i="135"/>
  <c r="G119" i="135"/>
  <c r="G115" i="135"/>
  <c r="G108" i="135"/>
  <c r="G162" i="135"/>
  <c r="G134" i="135"/>
  <c r="J178" i="135"/>
  <c r="J174" i="135"/>
  <c r="J170" i="135"/>
  <c r="J166" i="135"/>
  <c r="J162" i="135"/>
  <c r="J158" i="135"/>
  <c r="J154" i="135"/>
  <c r="J150" i="135"/>
  <c r="J146" i="135"/>
  <c r="J138" i="135"/>
  <c r="J134" i="135"/>
  <c r="J130" i="135"/>
  <c r="J126" i="135"/>
  <c r="J122" i="135"/>
  <c r="J118" i="135"/>
  <c r="J114" i="135"/>
  <c r="G94" i="135"/>
  <c r="W98" i="135"/>
  <c r="Z98" i="135"/>
  <c r="AA98" i="135"/>
  <c r="AB98" i="135"/>
  <c r="Y98" i="135"/>
  <c r="X98" i="135"/>
  <c r="F94" i="135"/>
  <c r="J94" i="135"/>
  <c r="I94" i="135"/>
  <c r="H94" i="135"/>
  <c r="BK95" i="149"/>
  <c r="BJ95" i="149"/>
  <c r="BM95" i="149"/>
  <c r="BL95" i="149"/>
  <c r="BI95" i="149"/>
  <c r="G126" i="149"/>
  <c r="G134" i="149"/>
  <c r="J179" i="149"/>
  <c r="J171" i="149"/>
  <c r="J167" i="149"/>
  <c r="J159" i="149"/>
  <c r="J155" i="149"/>
  <c r="J127" i="149"/>
  <c r="J123" i="149"/>
  <c r="J119" i="149"/>
  <c r="J115" i="149"/>
  <c r="G138" i="149"/>
  <c r="G130" i="149"/>
  <c r="J180" i="149"/>
  <c r="J176" i="149"/>
  <c r="J172" i="149"/>
  <c r="J168" i="149"/>
  <c r="J164" i="149"/>
  <c r="J160" i="149"/>
  <c r="J156" i="149"/>
  <c r="J152" i="149"/>
  <c r="J148" i="149"/>
  <c r="J124" i="149"/>
  <c r="J120" i="149"/>
  <c r="J116" i="149"/>
  <c r="J175" i="149"/>
  <c r="J163" i="149"/>
  <c r="J151" i="149"/>
  <c r="J147" i="149"/>
  <c r="J135" i="149"/>
  <c r="G179" i="149"/>
  <c r="G175" i="149"/>
  <c r="G171" i="149"/>
  <c r="G167" i="149"/>
  <c r="G163" i="149"/>
  <c r="G159" i="149"/>
  <c r="G155" i="149"/>
  <c r="G151" i="149"/>
  <c r="G147" i="149"/>
  <c r="G123" i="149"/>
  <c r="G119" i="149"/>
  <c r="G115" i="149"/>
  <c r="G178" i="149"/>
  <c r="G174" i="149"/>
  <c r="G170" i="149"/>
  <c r="G166" i="149"/>
  <c r="G162" i="149"/>
  <c r="G158" i="149"/>
  <c r="G154" i="149"/>
  <c r="G150" i="149"/>
  <c r="G146" i="149"/>
  <c r="G122" i="149"/>
  <c r="G118" i="149"/>
  <c r="G168" i="149"/>
  <c r="G156" i="149"/>
  <c r="G152" i="149"/>
  <c r="G148" i="149"/>
  <c r="G124" i="149"/>
  <c r="G116" i="149"/>
  <c r="J107" i="149"/>
  <c r="G164" i="149"/>
  <c r="G160" i="149"/>
  <c r="G180" i="149"/>
  <c r="G176" i="149"/>
  <c r="G172" i="149"/>
  <c r="G120" i="149"/>
  <c r="G111" i="149"/>
  <c r="J177" i="149"/>
  <c r="J169" i="149"/>
  <c r="J161" i="149"/>
  <c r="J153" i="149"/>
  <c r="J145" i="149"/>
  <c r="J137" i="149"/>
  <c r="J129" i="149"/>
  <c r="J125" i="149"/>
  <c r="J121" i="149"/>
  <c r="J113" i="149"/>
  <c r="J109" i="149"/>
  <c r="J174" i="149"/>
  <c r="J162" i="149"/>
  <c r="J126" i="149"/>
  <c r="J170" i="149"/>
  <c r="J166" i="149"/>
  <c r="J154" i="149"/>
  <c r="J150" i="149"/>
  <c r="J146" i="149"/>
  <c r="J138" i="149"/>
  <c r="J130" i="149"/>
  <c r="J122" i="149"/>
  <c r="J118" i="149"/>
  <c r="J95" i="149"/>
  <c r="G177" i="149"/>
  <c r="G173" i="149"/>
  <c r="G169" i="149"/>
  <c r="G165" i="149"/>
  <c r="G161" i="149"/>
  <c r="G157" i="149"/>
  <c r="G153" i="149"/>
  <c r="G149" i="149"/>
  <c r="G145" i="149"/>
  <c r="G137" i="149"/>
  <c r="G133" i="149"/>
  <c r="G129" i="149"/>
  <c r="G125" i="149"/>
  <c r="G121" i="149"/>
  <c r="G117" i="149"/>
  <c r="G113" i="149"/>
  <c r="G109" i="149"/>
  <c r="J178" i="149"/>
  <c r="J158" i="149"/>
  <c r="J134" i="149"/>
  <c r="G107" i="149"/>
  <c r="J111" i="149"/>
  <c r="H95" i="149"/>
  <c r="L95" i="149"/>
  <c r="I95" i="149"/>
  <c r="G95" i="149"/>
  <c r="K95" i="149"/>
  <c r="AX95" i="149"/>
  <c r="AU95" i="149"/>
  <c r="O50" i="117"/>
  <c r="M73" i="117"/>
  <c r="K73" i="117"/>
  <c r="L73" i="117"/>
  <c r="J73" i="117"/>
  <c r="R73" i="117"/>
  <c r="J50" i="117"/>
  <c r="I50" i="117"/>
  <c r="P73" i="117"/>
  <c r="N50" i="117"/>
  <c r="N73" i="117"/>
  <c r="I60" i="117"/>
  <c r="I73" i="117" s="1"/>
  <c r="BC24" i="135"/>
  <c r="BB24" i="135"/>
  <c r="BE24" i="135"/>
  <c r="BA24" i="135"/>
  <c r="BD24" i="135"/>
  <c r="BF25" i="149"/>
  <c r="BE25" i="149"/>
  <c r="BD25" i="149"/>
  <c r="BC25" i="149"/>
  <c r="BB25" i="149"/>
  <c r="AB95" i="149"/>
  <c r="AD95" i="149"/>
  <c r="AA95" i="149"/>
  <c r="Z95" i="149"/>
  <c r="AC95" i="149"/>
  <c r="S29" i="155"/>
  <c r="V29" i="155" s="1"/>
  <c r="S30" i="155"/>
  <c r="V30" i="155" s="1"/>
  <c r="M139" i="149" l="1"/>
  <c r="M131" i="149"/>
  <c r="M144" i="149"/>
  <c r="M140" i="135"/>
  <c r="M177" i="149"/>
  <c r="M143" i="149"/>
  <c r="M133" i="149"/>
  <c r="M128" i="149"/>
  <c r="M117" i="149"/>
  <c r="M135" i="149"/>
  <c r="M127" i="149"/>
  <c r="M132" i="149"/>
  <c r="M141" i="149"/>
  <c r="M140" i="149"/>
  <c r="M136" i="149"/>
  <c r="M173" i="149"/>
  <c r="M165" i="149"/>
  <c r="M157" i="149"/>
  <c r="M149" i="149"/>
  <c r="M134" i="149"/>
  <c r="M163" i="149"/>
  <c r="M161" i="149"/>
  <c r="M159" i="149"/>
  <c r="M116" i="149"/>
  <c r="M146" i="149"/>
  <c r="M178" i="149"/>
  <c r="M110" i="135"/>
  <c r="M144" i="135"/>
  <c r="M176" i="135"/>
  <c r="M120" i="149"/>
  <c r="M113" i="149"/>
  <c r="M108" i="135"/>
  <c r="M175" i="135"/>
  <c r="M159" i="135"/>
  <c r="M149" i="135"/>
  <c r="M133" i="135"/>
  <c r="M165" i="135"/>
  <c r="M124" i="149"/>
  <c r="M116" i="135"/>
  <c r="M148" i="135"/>
  <c r="M153" i="149"/>
  <c r="M150" i="149"/>
  <c r="M172" i="149"/>
  <c r="M148" i="149"/>
  <c r="M152" i="149"/>
  <c r="M147" i="149"/>
  <c r="M169" i="149"/>
  <c r="M121" i="149"/>
  <c r="M176" i="149"/>
  <c r="M107" i="149"/>
  <c r="M167" i="149"/>
  <c r="M151" i="149"/>
  <c r="M154" i="149"/>
  <c r="M142" i="149"/>
  <c r="M158" i="149"/>
  <c r="M180" i="149"/>
  <c r="M156" i="149"/>
  <c r="BL97" i="149"/>
  <c r="M111" i="149"/>
  <c r="M115" i="149"/>
  <c r="M125" i="149"/>
  <c r="M171" i="149"/>
  <c r="M123" i="149"/>
  <c r="M126" i="149"/>
  <c r="M137" i="149"/>
  <c r="M168" i="149"/>
  <c r="M109" i="149"/>
  <c r="M164" i="149"/>
  <c r="M118" i="149"/>
  <c r="M170" i="149"/>
  <c r="M155" i="149"/>
  <c r="M130" i="149"/>
  <c r="M135" i="135"/>
  <c r="M141" i="135"/>
  <c r="M173" i="135"/>
  <c r="M157" i="135"/>
  <c r="M119" i="149"/>
  <c r="M129" i="149"/>
  <c r="M175" i="149"/>
  <c r="M162" i="149"/>
  <c r="M179" i="149"/>
  <c r="M160" i="149"/>
  <c r="M166" i="149"/>
  <c r="M145" i="149"/>
  <c r="M122" i="149"/>
  <c r="M174" i="149"/>
  <c r="M138" i="149"/>
  <c r="M123" i="135"/>
  <c r="M112" i="135"/>
  <c r="M145" i="135"/>
  <c r="M177" i="135"/>
  <c r="M129" i="135"/>
  <c r="M161" i="135"/>
  <c r="M119" i="135"/>
  <c r="M124" i="135"/>
  <c r="M168" i="135"/>
  <c r="M151" i="135"/>
  <c r="M156" i="135"/>
  <c r="M115" i="135"/>
  <c r="M147" i="135"/>
  <c r="M179" i="135"/>
  <c r="M121" i="135"/>
  <c r="M153" i="135"/>
  <c r="M137" i="135"/>
  <c r="M169" i="135"/>
  <c r="M120" i="135"/>
  <c r="M152" i="135"/>
  <c r="M118" i="135"/>
  <c r="M154" i="135"/>
  <c r="M127" i="135"/>
  <c r="M134" i="135"/>
  <c r="M167" i="135"/>
  <c r="M132" i="135"/>
  <c r="M164" i="135"/>
  <c r="M139" i="135"/>
  <c r="M171" i="135"/>
  <c r="M174" i="135"/>
  <c r="M143" i="135"/>
  <c r="M138" i="135"/>
  <c r="M166" i="135"/>
  <c r="M142" i="135"/>
  <c r="M122" i="135"/>
  <c r="M162" i="135"/>
  <c r="M172" i="135"/>
  <c r="M170" i="135"/>
  <c r="M150" i="135"/>
  <c r="M117" i="135"/>
  <c r="M155" i="135"/>
  <c r="M128" i="135"/>
  <c r="M160" i="135"/>
  <c r="M178" i="135"/>
  <c r="M130" i="135"/>
  <c r="M125" i="135"/>
  <c r="M131" i="135"/>
  <c r="M163" i="135"/>
  <c r="M126" i="135"/>
  <c r="M136" i="135"/>
  <c r="M158" i="135"/>
  <c r="M114" i="135"/>
  <c r="M146" i="135"/>
  <c r="AU97" i="149"/>
  <c r="BK96" i="135"/>
  <c r="BC26" i="135"/>
  <c r="BD27" i="149"/>
  <c r="BI97" i="149"/>
  <c r="G97" i="149"/>
  <c r="J97" i="149"/>
  <c r="H55" i="154"/>
  <c r="N55" i="154" s="1"/>
  <c r="J17" i="154"/>
  <c r="N71" i="153"/>
  <c r="N72" i="153"/>
  <c r="N68" i="153"/>
  <c r="N67" i="153"/>
  <c r="AE49" i="153"/>
  <c r="G41" i="152"/>
  <c r="D41" i="152"/>
  <c r="H41" i="152" s="1"/>
  <c r="B41" i="152"/>
  <c r="K21" i="154"/>
  <c r="J21" i="154"/>
  <c r="AC21" i="154" s="1"/>
  <c r="L54" i="154"/>
  <c r="M54" i="154"/>
  <c r="N54" i="154"/>
  <c r="O54" i="154"/>
  <c r="E55" i="154"/>
  <c r="F55" i="154"/>
  <c r="L55" i="154" s="1"/>
  <c r="G55" i="154"/>
  <c r="M55" i="154" s="1"/>
  <c r="I55" i="154"/>
  <c r="O55" i="154" s="1"/>
  <c r="D55" i="154"/>
  <c r="J71" i="154"/>
  <c r="J72" i="154"/>
  <c r="J70" i="154"/>
  <c r="J91" i="154"/>
  <c r="J97" i="154"/>
  <c r="J102" i="154"/>
  <c r="J101" i="154"/>
  <c r="J100" i="154"/>
  <c r="J99" i="154"/>
  <c r="J98" i="154"/>
  <c r="J96" i="154"/>
  <c r="J95" i="154"/>
  <c r="J89" i="154"/>
  <c r="J87" i="154"/>
  <c r="J85" i="154"/>
  <c r="J84" i="154"/>
  <c r="J83" i="154"/>
  <c r="J81" i="154"/>
  <c r="J80" i="154"/>
  <c r="J79" i="154"/>
  <c r="J75" i="154"/>
  <c r="J73" i="154"/>
  <c r="J74" i="154"/>
  <c r="J76" i="154"/>
  <c r="J77" i="154"/>
  <c r="J78" i="154"/>
  <c r="J82" i="154"/>
  <c r="J86" i="154"/>
  <c r="J88" i="154"/>
  <c r="J90" i="154"/>
  <c r="J92" i="154"/>
  <c r="J93" i="154"/>
  <c r="J94" i="154"/>
  <c r="K70" i="154"/>
  <c r="M103" i="154"/>
  <c r="N103" i="154"/>
  <c r="O103" i="154"/>
  <c r="P103" i="154"/>
  <c r="Q103" i="154"/>
  <c r="E104" i="154"/>
  <c r="M104" i="154" s="1"/>
  <c r="F104" i="154"/>
  <c r="N104" i="154" s="1"/>
  <c r="G104" i="154"/>
  <c r="O104" i="154" s="1"/>
  <c r="H104" i="154"/>
  <c r="P104" i="154" s="1"/>
  <c r="I104" i="154"/>
  <c r="Q104" i="154" s="1"/>
  <c r="L104" i="154"/>
  <c r="L103" i="154"/>
  <c r="BI99" i="149" l="1"/>
  <c r="G99" i="149"/>
  <c r="AG94" i="154"/>
  <c r="Z94" i="154"/>
  <c r="X94" i="154"/>
  <c r="AG77" i="154"/>
  <c r="X77" i="154"/>
  <c r="Z77" i="154"/>
  <c r="AG83" i="154"/>
  <c r="Z83" i="154"/>
  <c r="X83" i="154"/>
  <c r="AG99" i="154"/>
  <c r="Z99" i="154"/>
  <c r="X99" i="154"/>
  <c r="AG71" i="154"/>
  <c r="X71" i="154"/>
  <c r="Z71" i="154"/>
  <c r="AC17" i="154"/>
  <c r="AA17" i="154"/>
  <c r="AG73" i="154"/>
  <c r="Z73" i="154"/>
  <c r="X73" i="154"/>
  <c r="AG87" i="154"/>
  <c r="X87" i="154"/>
  <c r="Z87" i="154"/>
  <c r="AG93" i="154"/>
  <c r="X93" i="154"/>
  <c r="Z93" i="154"/>
  <c r="AG76" i="154"/>
  <c r="X76" i="154"/>
  <c r="Z76" i="154"/>
  <c r="AG84" i="154"/>
  <c r="X84" i="154"/>
  <c r="Z84" i="154"/>
  <c r="AG100" i="154"/>
  <c r="X100" i="154"/>
  <c r="Z100" i="154"/>
  <c r="AG92" i="154"/>
  <c r="X92" i="154"/>
  <c r="Z92" i="154"/>
  <c r="AG74" i="154"/>
  <c r="X74" i="154"/>
  <c r="Z74" i="154"/>
  <c r="AG85" i="154"/>
  <c r="X85" i="154"/>
  <c r="Z85" i="154"/>
  <c r="AG101" i="154"/>
  <c r="X101" i="154"/>
  <c r="Z101" i="154"/>
  <c r="AG88" i="154"/>
  <c r="Z88" i="154"/>
  <c r="X88" i="154"/>
  <c r="AG75" i="154"/>
  <c r="X75" i="154"/>
  <c r="Z75" i="154"/>
  <c r="AG89" i="154"/>
  <c r="Z89" i="154"/>
  <c r="X89" i="154"/>
  <c r="AG97" i="154"/>
  <c r="Z97" i="154"/>
  <c r="X97" i="154"/>
  <c r="AG86" i="154"/>
  <c r="Z86" i="154"/>
  <c r="X86" i="154"/>
  <c r="AG79" i="154"/>
  <c r="Z79" i="154"/>
  <c r="X79" i="154"/>
  <c r="AG95" i="154"/>
  <c r="Z95" i="154"/>
  <c r="X95" i="154"/>
  <c r="AG91" i="154"/>
  <c r="X91" i="154"/>
  <c r="Z91" i="154"/>
  <c r="AG82" i="154"/>
  <c r="X82" i="154"/>
  <c r="Z82" i="154"/>
  <c r="AG80" i="154"/>
  <c r="Z80" i="154"/>
  <c r="X80" i="154"/>
  <c r="AG96" i="154"/>
  <c r="Z96" i="154"/>
  <c r="X96" i="154"/>
  <c r="AG70" i="154"/>
  <c r="Z70" i="154"/>
  <c r="X70" i="154"/>
  <c r="AG90" i="154"/>
  <c r="Z90" i="154"/>
  <c r="X90" i="154"/>
  <c r="AG102" i="154"/>
  <c r="Z102" i="154"/>
  <c r="X102" i="154"/>
  <c r="AH70" i="154"/>
  <c r="Y70" i="154"/>
  <c r="AA70" i="154"/>
  <c r="AG78" i="154"/>
  <c r="X78" i="154"/>
  <c r="Z78" i="154"/>
  <c r="AG81" i="154"/>
  <c r="X81" i="154"/>
  <c r="Z81" i="154"/>
  <c r="AG98" i="154"/>
  <c r="X98" i="154"/>
  <c r="Z98" i="154"/>
  <c r="AG72" i="154"/>
  <c r="X72" i="154"/>
  <c r="Z72" i="154"/>
  <c r="H4" i="135"/>
  <c r="F51" i="152"/>
  <c r="F52" i="152"/>
  <c r="Y21" i="154"/>
  <c r="AE88" i="154"/>
  <c r="AE80" i="154"/>
  <c r="AE96" i="154"/>
  <c r="X21" i="154"/>
  <c r="AE72" i="154"/>
  <c r="AA21" i="154"/>
  <c r="AE76" i="154"/>
  <c r="AE84" i="154"/>
  <c r="AE100" i="154"/>
  <c r="AB21" i="154"/>
  <c r="AD21" i="154"/>
  <c r="AE92" i="154"/>
  <c r="H4" i="149"/>
  <c r="V21" i="154"/>
  <c r="W21" i="154"/>
  <c r="AE101" i="154"/>
  <c r="AE97" i="154"/>
  <c r="AE93" i="154"/>
  <c r="AE89" i="154"/>
  <c r="AE85" i="154"/>
  <c r="AE81" i="154"/>
  <c r="AE77" i="154"/>
  <c r="AE73" i="154"/>
  <c r="AF70" i="154"/>
  <c r="AE102" i="154"/>
  <c r="AE98" i="154"/>
  <c r="AE94" i="154"/>
  <c r="AE90" i="154"/>
  <c r="AE86" i="154"/>
  <c r="AE82" i="154"/>
  <c r="AE78" i="154"/>
  <c r="AE74" i="154"/>
  <c r="AE70" i="154"/>
  <c r="AE99" i="154"/>
  <c r="AE95" i="154"/>
  <c r="AE91" i="154"/>
  <c r="AE87" i="154"/>
  <c r="AE83" i="154"/>
  <c r="AE79" i="154"/>
  <c r="AE75" i="154"/>
  <c r="AE71" i="154"/>
  <c r="D56" i="154"/>
  <c r="D105" i="154"/>
  <c r="L105" i="154" s="1"/>
  <c r="E88" i="141" l="1"/>
  <c r="F88" i="141"/>
  <c r="G88" i="141"/>
  <c r="H88" i="141"/>
  <c r="I88" i="141"/>
  <c r="E90" i="141"/>
  <c r="O96" i="135" s="1"/>
  <c r="F90" i="141"/>
  <c r="G90" i="141"/>
  <c r="H90" i="141"/>
  <c r="I90" i="141"/>
  <c r="D90" i="141"/>
  <c r="N96" i="135" s="1"/>
  <c r="E90" i="136"/>
  <c r="Q97" i="149" s="1"/>
  <c r="F90" i="136"/>
  <c r="R97" i="149" s="1"/>
  <c r="G90" i="136"/>
  <c r="S97" i="149" s="1"/>
  <c r="H90" i="136"/>
  <c r="T97" i="149" s="1"/>
  <c r="I184" i="149" s="1"/>
  <c r="I90" i="136"/>
  <c r="U97" i="149" s="1"/>
  <c r="J184" i="149" s="1"/>
  <c r="D90" i="136"/>
  <c r="D87" i="136"/>
  <c r="E87" i="136"/>
  <c r="Q94" i="149" s="1"/>
  <c r="F87" i="136"/>
  <c r="R94" i="149" s="1"/>
  <c r="G87" i="136"/>
  <c r="S94" i="149" s="1"/>
  <c r="H87" i="136"/>
  <c r="T94" i="149" s="1"/>
  <c r="I87" i="136"/>
  <c r="U94" i="149" s="1"/>
  <c r="J181" i="149" s="1"/>
  <c r="D88" i="136"/>
  <c r="E88" i="136"/>
  <c r="Q95" i="149" s="1"/>
  <c r="F88" i="136"/>
  <c r="R95" i="149" s="1"/>
  <c r="G88" i="136"/>
  <c r="S95" i="149" s="1"/>
  <c r="H88" i="136"/>
  <c r="T95" i="149" s="1"/>
  <c r="I182" i="149" s="1"/>
  <c r="I88" i="136"/>
  <c r="U95" i="149" s="1"/>
  <c r="J182" i="149" s="1"/>
  <c r="D89" i="136"/>
  <c r="E89" i="136"/>
  <c r="Q96" i="149" s="1"/>
  <c r="F89" i="136"/>
  <c r="R96" i="149" s="1"/>
  <c r="G89" i="136"/>
  <c r="S96" i="149" s="1"/>
  <c r="H89" i="136"/>
  <c r="T96" i="149" s="1"/>
  <c r="I183" i="149" s="1"/>
  <c r="I89" i="136"/>
  <c r="U96" i="149" s="1"/>
  <c r="J183" i="149" s="1"/>
  <c r="J68" i="154"/>
  <c r="J66" i="154"/>
  <c r="K34" i="142"/>
  <c r="A2" i="155"/>
  <c r="A2" i="154"/>
  <c r="A2" i="153"/>
  <c r="A2" i="152"/>
  <c r="A2" i="141"/>
  <c r="A2" i="101"/>
  <c r="A2" i="61"/>
  <c r="A2" i="3"/>
  <c r="A2" i="2"/>
  <c r="A2" i="79"/>
  <c r="A2" i="184"/>
  <c r="A4" i="142"/>
  <c r="A8" i="142"/>
  <c r="K40" i="142"/>
  <c r="J16" i="116"/>
  <c r="F16" i="116"/>
  <c r="C16" i="116"/>
  <c r="D16" i="116"/>
  <c r="E16" i="116"/>
  <c r="G16" i="116"/>
  <c r="H16" i="116"/>
  <c r="I16" i="116"/>
  <c r="D15" i="116"/>
  <c r="E15" i="116"/>
  <c r="F15" i="116"/>
  <c r="G15" i="116"/>
  <c r="H15" i="116"/>
  <c r="I15" i="116"/>
  <c r="J15" i="116"/>
  <c r="P95" i="149" l="1"/>
  <c r="P94" i="149"/>
  <c r="E181" i="149" s="1"/>
  <c r="P96" i="149"/>
  <c r="P97" i="149"/>
  <c r="J103" i="154"/>
  <c r="R99" i="149"/>
  <c r="Q99" i="149"/>
  <c r="U99" i="149"/>
  <c r="T99" i="149"/>
  <c r="S99" i="149"/>
  <c r="AG66" i="154"/>
  <c r="Z66" i="154"/>
  <c r="X66" i="154"/>
  <c r="AG68" i="154"/>
  <c r="X68" i="154"/>
  <c r="Z68" i="154"/>
  <c r="S96" i="135"/>
  <c r="J183" i="135" s="1"/>
  <c r="Q96" i="135"/>
  <c r="H183" i="135" s="1"/>
  <c r="P96" i="135"/>
  <c r="G183" i="135" s="1"/>
  <c r="S94" i="135"/>
  <c r="J181" i="135" s="1"/>
  <c r="R96" i="135"/>
  <c r="I183" i="135" s="1"/>
  <c r="R94" i="135"/>
  <c r="I181" i="135" s="1"/>
  <c r="Q94" i="135"/>
  <c r="H181" i="135" s="1"/>
  <c r="P94" i="135"/>
  <c r="G181" i="135" s="1"/>
  <c r="O94" i="135"/>
  <c r="F181" i="135" s="1"/>
  <c r="F183" i="135"/>
  <c r="A7" i="142"/>
  <c r="L40" i="142"/>
  <c r="AE68" i="154"/>
  <c r="J104" i="154"/>
  <c r="H91" i="136"/>
  <c r="G91" i="136"/>
  <c r="F91" i="136"/>
  <c r="E91" i="136"/>
  <c r="I91" i="136"/>
  <c r="H28" i="116"/>
  <c r="J28" i="116"/>
  <c r="G28" i="116"/>
  <c r="I28" i="116"/>
  <c r="D28" i="116"/>
  <c r="F28" i="116"/>
  <c r="E28" i="116"/>
  <c r="I18" i="116"/>
  <c r="J18" i="116"/>
  <c r="F18" i="116"/>
  <c r="H18" i="116"/>
  <c r="G18" i="116"/>
  <c r="E18" i="116"/>
  <c r="D18" i="116"/>
  <c r="C18" i="116"/>
  <c r="P99" i="149" l="1"/>
  <c r="L183" i="135"/>
  <c r="M183" i="135"/>
  <c r="L181" i="135"/>
  <c r="M181" i="135"/>
  <c r="J105" i="154"/>
  <c r="C20" i="116"/>
  <c r="G20" i="116"/>
  <c r="J20" i="116" l="1"/>
  <c r="T269" i="115" l="1"/>
  <c r="S269" i="115"/>
  <c r="T263" i="115"/>
  <c r="S263" i="115"/>
  <c r="T257" i="115"/>
  <c r="S257" i="115"/>
  <c r="T251" i="115"/>
  <c r="S251" i="115"/>
  <c r="T245" i="115"/>
  <c r="S245" i="115"/>
  <c r="T239" i="115"/>
  <c r="S239" i="115"/>
  <c r="T233" i="115"/>
  <c r="S233" i="115"/>
  <c r="T227" i="115"/>
  <c r="S227" i="115"/>
  <c r="T221" i="115"/>
  <c r="S221" i="115"/>
  <c r="T215" i="115"/>
  <c r="S215" i="115"/>
  <c r="T209" i="115"/>
  <c r="S209" i="115"/>
  <c r="T203" i="115"/>
  <c r="S203" i="115"/>
  <c r="T265" i="113"/>
  <c r="S265" i="113"/>
  <c r="T259" i="113"/>
  <c r="S259" i="113"/>
  <c r="T253" i="113"/>
  <c r="S253" i="113"/>
  <c r="T247" i="113"/>
  <c r="S247" i="113"/>
  <c r="T241" i="113"/>
  <c r="S241" i="113"/>
  <c r="T235" i="113"/>
  <c r="S235" i="113"/>
  <c r="T229" i="113"/>
  <c r="S229" i="113"/>
  <c r="T223" i="113"/>
  <c r="S223" i="113"/>
  <c r="T217" i="113"/>
  <c r="S217" i="113"/>
  <c r="T211" i="113"/>
  <c r="S211" i="113"/>
  <c r="T205" i="113"/>
  <c r="S205" i="113"/>
  <c r="T199" i="113"/>
  <c r="S199" i="113"/>
  <c r="H199" i="115"/>
  <c r="I199" i="115"/>
  <c r="J199" i="115"/>
  <c r="H201" i="115"/>
  <c r="I201" i="115"/>
  <c r="J201" i="115"/>
  <c r="H202" i="115"/>
  <c r="I202" i="115"/>
  <c r="J202" i="115"/>
  <c r="I203" i="115"/>
  <c r="J203" i="115"/>
  <c r="H204" i="115"/>
  <c r="I204" i="115"/>
  <c r="J204" i="115"/>
  <c r="H205" i="115"/>
  <c r="I205" i="115"/>
  <c r="J205" i="115"/>
  <c r="H207" i="115"/>
  <c r="I207" i="115"/>
  <c r="J207" i="115"/>
  <c r="H208" i="115"/>
  <c r="I208" i="115"/>
  <c r="J208" i="115"/>
  <c r="I209" i="115"/>
  <c r="J209" i="115"/>
  <c r="H198" i="115"/>
  <c r="I198" i="115"/>
  <c r="J198" i="115"/>
  <c r="H118" i="115"/>
  <c r="I118" i="115"/>
  <c r="J118" i="115"/>
  <c r="H119" i="115"/>
  <c r="I119" i="115"/>
  <c r="J119" i="115"/>
  <c r="H121" i="115"/>
  <c r="I121" i="115"/>
  <c r="J121" i="115"/>
  <c r="H122" i="115"/>
  <c r="I122" i="115"/>
  <c r="J122" i="115"/>
  <c r="I123" i="115"/>
  <c r="J123" i="115"/>
  <c r="H124" i="115"/>
  <c r="I124" i="115"/>
  <c r="J124" i="115"/>
  <c r="H125" i="115"/>
  <c r="I125" i="115"/>
  <c r="J125" i="115"/>
  <c r="H127" i="115"/>
  <c r="I127" i="115"/>
  <c r="J127" i="115"/>
  <c r="H128" i="115"/>
  <c r="I128" i="115"/>
  <c r="J128" i="115"/>
  <c r="I129" i="115"/>
  <c r="J129" i="115"/>
  <c r="H130" i="115"/>
  <c r="I130" i="115"/>
  <c r="J130" i="115"/>
  <c r="H131" i="115"/>
  <c r="I131" i="115"/>
  <c r="J131" i="115"/>
  <c r="H132" i="115"/>
  <c r="I132" i="115"/>
  <c r="J132" i="115"/>
  <c r="H133" i="115"/>
  <c r="I133" i="115"/>
  <c r="J133" i="115"/>
  <c r="H134" i="115"/>
  <c r="I134" i="115"/>
  <c r="J134" i="115"/>
  <c r="I135" i="115"/>
  <c r="J135" i="115"/>
  <c r="H136" i="115"/>
  <c r="I136" i="115"/>
  <c r="J136" i="115"/>
  <c r="H137" i="115"/>
  <c r="I137" i="115"/>
  <c r="J137" i="115"/>
  <c r="H138" i="115"/>
  <c r="I138" i="115"/>
  <c r="J138" i="115"/>
  <c r="H139" i="115"/>
  <c r="I139" i="115"/>
  <c r="J139" i="115"/>
  <c r="H140" i="115"/>
  <c r="I140" i="115"/>
  <c r="J140" i="115"/>
  <c r="I141" i="115"/>
  <c r="J141" i="115"/>
  <c r="H142" i="115"/>
  <c r="I142" i="115"/>
  <c r="J142" i="115"/>
  <c r="H143" i="115"/>
  <c r="I143" i="115"/>
  <c r="J143" i="115"/>
  <c r="H144" i="115"/>
  <c r="I144" i="115"/>
  <c r="J144" i="115"/>
  <c r="H145" i="115"/>
  <c r="I145" i="115"/>
  <c r="J145" i="115"/>
  <c r="H146" i="115"/>
  <c r="I146" i="115"/>
  <c r="J146" i="115"/>
  <c r="I147" i="115"/>
  <c r="J147" i="115"/>
  <c r="H148" i="115"/>
  <c r="I148" i="115"/>
  <c r="J148" i="115"/>
  <c r="H149" i="115"/>
  <c r="I149" i="115"/>
  <c r="J149" i="115"/>
  <c r="H150" i="115"/>
  <c r="I150" i="115"/>
  <c r="J150" i="115"/>
  <c r="H151" i="115"/>
  <c r="I151" i="115"/>
  <c r="J151" i="115"/>
  <c r="H152" i="115"/>
  <c r="I152" i="115"/>
  <c r="J152" i="115"/>
  <c r="I153" i="115"/>
  <c r="J153" i="115"/>
  <c r="H154" i="115"/>
  <c r="I154" i="115"/>
  <c r="J154" i="115"/>
  <c r="H155" i="115"/>
  <c r="I155" i="115"/>
  <c r="J155" i="115"/>
  <c r="H156" i="115"/>
  <c r="I156" i="115"/>
  <c r="J156" i="115"/>
  <c r="H157" i="115"/>
  <c r="I157" i="115"/>
  <c r="J157" i="115"/>
  <c r="H158" i="115"/>
  <c r="I158" i="115"/>
  <c r="J158" i="115"/>
  <c r="I159" i="115"/>
  <c r="J159" i="115"/>
  <c r="H160" i="115"/>
  <c r="I160" i="115"/>
  <c r="J160" i="115"/>
  <c r="H161" i="115"/>
  <c r="I161" i="115"/>
  <c r="J161" i="115"/>
  <c r="H162" i="115"/>
  <c r="I162" i="115"/>
  <c r="J162" i="115"/>
  <c r="H163" i="115"/>
  <c r="I163" i="115"/>
  <c r="J163" i="115"/>
  <c r="H164" i="115"/>
  <c r="I164" i="115"/>
  <c r="J164" i="115"/>
  <c r="I165" i="115"/>
  <c r="J165" i="115"/>
  <c r="H166" i="115"/>
  <c r="I166" i="115"/>
  <c r="J166" i="115"/>
  <c r="H167" i="115"/>
  <c r="I167" i="115"/>
  <c r="J167" i="115"/>
  <c r="H168" i="115"/>
  <c r="I168" i="115"/>
  <c r="J168" i="115"/>
  <c r="H169" i="115"/>
  <c r="I169" i="115"/>
  <c r="J169" i="115"/>
  <c r="H170" i="115"/>
  <c r="I170" i="115"/>
  <c r="J170" i="115"/>
  <c r="I171" i="115"/>
  <c r="J171" i="115"/>
  <c r="H172" i="115"/>
  <c r="I172" i="115"/>
  <c r="J172" i="115"/>
  <c r="H173" i="115"/>
  <c r="I173" i="115"/>
  <c r="J173" i="115"/>
  <c r="H174" i="115"/>
  <c r="I174" i="115"/>
  <c r="J174" i="115"/>
  <c r="H175" i="115"/>
  <c r="I175" i="115"/>
  <c r="J175" i="115"/>
  <c r="H176" i="115"/>
  <c r="I176" i="115"/>
  <c r="J176" i="115"/>
  <c r="I177" i="115"/>
  <c r="J177" i="115"/>
  <c r="H178" i="115"/>
  <c r="I178" i="115"/>
  <c r="J178" i="115"/>
  <c r="H179" i="115"/>
  <c r="I179" i="115"/>
  <c r="J179" i="115"/>
  <c r="H180" i="115"/>
  <c r="I180" i="115"/>
  <c r="J180" i="115"/>
  <c r="H181" i="115"/>
  <c r="I181" i="115"/>
  <c r="J181" i="115"/>
  <c r="H182" i="115"/>
  <c r="I182" i="115"/>
  <c r="J182" i="115"/>
  <c r="I183" i="115"/>
  <c r="J183" i="115"/>
  <c r="H184" i="115"/>
  <c r="I184" i="115"/>
  <c r="J184" i="115"/>
  <c r="H185" i="115"/>
  <c r="I185" i="115"/>
  <c r="J185" i="115"/>
  <c r="H186" i="115"/>
  <c r="I186" i="115"/>
  <c r="J186" i="115"/>
  <c r="H187" i="115"/>
  <c r="I187" i="115"/>
  <c r="J187" i="115"/>
  <c r="H188" i="115"/>
  <c r="I188" i="115"/>
  <c r="J188" i="115"/>
  <c r="I189" i="115"/>
  <c r="J189" i="115"/>
  <c r="H39" i="115"/>
  <c r="I39" i="115"/>
  <c r="J39" i="115"/>
  <c r="H41" i="115"/>
  <c r="I41" i="115"/>
  <c r="J41" i="115"/>
  <c r="H42" i="115"/>
  <c r="I42" i="115"/>
  <c r="J42" i="115"/>
  <c r="I43" i="115"/>
  <c r="J43" i="115"/>
  <c r="H44" i="115"/>
  <c r="I44" i="115"/>
  <c r="J44" i="115"/>
  <c r="H45" i="115"/>
  <c r="I45" i="115"/>
  <c r="J45" i="115"/>
  <c r="H47" i="115"/>
  <c r="I47" i="115"/>
  <c r="J47" i="115"/>
  <c r="H48" i="115"/>
  <c r="I48" i="115"/>
  <c r="J48" i="115"/>
  <c r="I49" i="115"/>
  <c r="J49" i="115"/>
  <c r="H50" i="115"/>
  <c r="I50" i="115"/>
  <c r="J50" i="115"/>
  <c r="H51" i="115"/>
  <c r="I51" i="115"/>
  <c r="J51" i="115"/>
  <c r="H52" i="115"/>
  <c r="I52" i="115"/>
  <c r="J52" i="115"/>
  <c r="H53" i="115"/>
  <c r="I53" i="115"/>
  <c r="J53" i="115"/>
  <c r="H54" i="115"/>
  <c r="I54" i="115"/>
  <c r="J54" i="115"/>
  <c r="I55" i="115"/>
  <c r="J55" i="115"/>
  <c r="H56" i="115"/>
  <c r="I56" i="115"/>
  <c r="J56" i="115"/>
  <c r="H57" i="115"/>
  <c r="I57" i="115"/>
  <c r="J57" i="115"/>
  <c r="H58" i="115"/>
  <c r="I58" i="115"/>
  <c r="J58" i="115"/>
  <c r="H59" i="115"/>
  <c r="I59" i="115"/>
  <c r="J59" i="115"/>
  <c r="H60" i="115"/>
  <c r="I60" i="115"/>
  <c r="J60" i="115"/>
  <c r="I61" i="115"/>
  <c r="J61" i="115"/>
  <c r="H62" i="115"/>
  <c r="I62" i="115"/>
  <c r="J62" i="115"/>
  <c r="H63" i="115"/>
  <c r="I63" i="115"/>
  <c r="J63" i="115"/>
  <c r="H64" i="115"/>
  <c r="I64" i="115"/>
  <c r="J64" i="115"/>
  <c r="H65" i="115"/>
  <c r="I65" i="115"/>
  <c r="J65" i="115"/>
  <c r="H66" i="115"/>
  <c r="I66" i="115"/>
  <c r="J66" i="115"/>
  <c r="I67" i="115"/>
  <c r="J67" i="115"/>
  <c r="H68" i="115"/>
  <c r="I68" i="115"/>
  <c r="J68" i="115"/>
  <c r="H69" i="115"/>
  <c r="I69" i="115"/>
  <c r="J69" i="115"/>
  <c r="H70" i="115"/>
  <c r="I70" i="115"/>
  <c r="J70" i="115"/>
  <c r="H71" i="115"/>
  <c r="I71" i="115"/>
  <c r="J71" i="115"/>
  <c r="H72" i="115"/>
  <c r="I72" i="115"/>
  <c r="J72" i="115"/>
  <c r="I73" i="115"/>
  <c r="J73" i="115"/>
  <c r="H74" i="115"/>
  <c r="I74" i="115"/>
  <c r="J74" i="115"/>
  <c r="H75" i="115"/>
  <c r="I75" i="115"/>
  <c r="J75" i="115"/>
  <c r="H76" i="115"/>
  <c r="I76" i="115"/>
  <c r="J76" i="115"/>
  <c r="H77" i="115"/>
  <c r="I77" i="115"/>
  <c r="J77" i="115"/>
  <c r="H78" i="115"/>
  <c r="I78" i="115"/>
  <c r="J78" i="115"/>
  <c r="I79" i="115"/>
  <c r="J79" i="115"/>
  <c r="H80" i="115"/>
  <c r="I80" i="115"/>
  <c r="J80" i="115"/>
  <c r="H81" i="115"/>
  <c r="I81" i="115"/>
  <c r="J81" i="115"/>
  <c r="H82" i="115"/>
  <c r="I82" i="115"/>
  <c r="J82" i="115"/>
  <c r="H83" i="115"/>
  <c r="I83" i="115"/>
  <c r="J83" i="115"/>
  <c r="H84" i="115"/>
  <c r="I84" i="115"/>
  <c r="J84" i="115"/>
  <c r="I85" i="115"/>
  <c r="J85" i="115"/>
  <c r="H86" i="115"/>
  <c r="I86" i="115"/>
  <c r="J86" i="115"/>
  <c r="H87" i="115"/>
  <c r="I87" i="115"/>
  <c r="J87" i="115"/>
  <c r="H88" i="115"/>
  <c r="I88" i="115"/>
  <c r="J88" i="115"/>
  <c r="H89" i="115"/>
  <c r="I89" i="115"/>
  <c r="J89" i="115"/>
  <c r="H90" i="115"/>
  <c r="I90" i="115"/>
  <c r="J90" i="115"/>
  <c r="I91" i="115"/>
  <c r="J91" i="115"/>
  <c r="H92" i="115"/>
  <c r="I92" i="115"/>
  <c r="J92" i="115"/>
  <c r="H93" i="115"/>
  <c r="I93" i="115"/>
  <c r="J93" i="115"/>
  <c r="H94" i="115"/>
  <c r="I94" i="115"/>
  <c r="J94" i="115"/>
  <c r="H95" i="115"/>
  <c r="I95" i="115"/>
  <c r="J95" i="115"/>
  <c r="H96" i="115"/>
  <c r="I96" i="115"/>
  <c r="J96" i="115"/>
  <c r="I97" i="115"/>
  <c r="J97" i="115"/>
  <c r="H98" i="115"/>
  <c r="I98" i="115"/>
  <c r="J98" i="115"/>
  <c r="H99" i="115"/>
  <c r="I99" i="115"/>
  <c r="J99" i="115"/>
  <c r="H100" i="115"/>
  <c r="I100" i="115"/>
  <c r="J100" i="115"/>
  <c r="H101" i="115"/>
  <c r="I101" i="115"/>
  <c r="J101" i="115"/>
  <c r="H102" i="115"/>
  <c r="I102" i="115"/>
  <c r="J102" i="115"/>
  <c r="I103" i="115"/>
  <c r="J103" i="115"/>
  <c r="H104" i="115"/>
  <c r="I104" i="115"/>
  <c r="J104" i="115"/>
  <c r="H105" i="115"/>
  <c r="I105" i="115"/>
  <c r="J105" i="115"/>
  <c r="H106" i="115"/>
  <c r="I106" i="115"/>
  <c r="J106" i="115"/>
  <c r="H107" i="115"/>
  <c r="I107" i="115"/>
  <c r="J107" i="115"/>
  <c r="H108" i="115"/>
  <c r="I108" i="115"/>
  <c r="J108" i="115"/>
  <c r="I109" i="115"/>
  <c r="J109" i="115"/>
  <c r="H38" i="115"/>
  <c r="I38" i="115"/>
  <c r="J38" i="115"/>
  <c r="G29" i="114"/>
  <c r="H29" i="114"/>
  <c r="I29" i="114"/>
  <c r="G30" i="114"/>
  <c r="H30" i="114"/>
  <c r="I30" i="114"/>
  <c r="G31" i="114"/>
  <c r="H31" i="114"/>
  <c r="I31" i="114"/>
  <c r="G32" i="114"/>
  <c r="H32" i="114"/>
  <c r="I32" i="114"/>
  <c r="G28" i="114"/>
  <c r="H28" i="114"/>
  <c r="I28" i="114"/>
  <c r="G16" i="114"/>
  <c r="H16" i="114"/>
  <c r="I16" i="114"/>
  <c r="G17" i="114"/>
  <c r="H17" i="114"/>
  <c r="I17" i="114"/>
  <c r="G18" i="114"/>
  <c r="H18" i="114"/>
  <c r="I18" i="114"/>
  <c r="G19" i="114"/>
  <c r="H19" i="114"/>
  <c r="I19" i="114"/>
  <c r="G15" i="114"/>
  <c r="H15" i="114"/>
  <c r="I15" i="114"/>
  <c r="H195" i="113"/>
  <c r="I195" i="113"/>
  <c r="J195" i="113"/>
  <c r="H197" i="113"/>
  <c r="I197" i="113"/>
  <c r="J197" i="113"/>
  <c r="H198" i="113"/>
  <c r="I198" i="113"/>
  <c r="J198" i="113"/>
  <c r="I199" i="113"/>
  <c r="J199" i="113"/>
  <c r="H200" i="113"/>
  <c r="I200" i="113"/>
  <c r="J200" i="113"/>
  <c r="H201" i="113"/>
  <c r="I201" i="113"/>
  <c r="J201" i="113"/>
  <c r="H203" i="113"/>
  <c r="I203" i="113"/>
  <c r="J203" i="113"/>
  <c r="H204" i="113"/>
  <c r="I204" i="113"/>
  <c r="J204" i="113"/>
  <c r="I205" i="113"/>
  <c r="J205" i="113"/>
  <c r="I194" i="113"/>
  <c r="J194" i="113"/>
  <c r="H194" i="113"/>
  <c r="H115" i="113"/>
  <c r="I115" i="113"/>
  <c r="J115" i="113"/>
  <c r="H117" i="113"/>
  <c r="I117" i="113"/>
  <c r="J117" i="113"/>
  <c r="H118" i="113"/>
  <c r="I118" i="113"/>
  <c r="J118" i="113"/>
  <c r="I119" i="113"/>
  <c r="J119" i="113"/>
  <c r="H120" i="113"/>
  <c r="I120" i="113"/>
  <c r="J120" i="113"/>
  <c r="H121" i="113"/>
  <c r="I121" i="113"/>
  <c r="J121" i="113"/>
  <c r="H123" i="113"/>
  <c r="I123" i="113"/>
  <c r="J123" i="113"/>
  <c r="H124" i="113"/>
  <c r="I124" i="113"/>
  <c r="J124" i="113"/>
  <c r="I125" i="113"/>
  <c r="J125" i="113"/>
  <c r="H126" i="113"/>
  <c r="I126" i="113"/>
  <c r="J126" i="113"/>
  <c r="H127" i="113"/>
  <c r="I127" i="113"/>
  <c r="J127" i="113"/>
  <c r="H128" i="113"/>
  <c r="I128" i="113"/>
  <c r="J128" i="113"/>
  <c r="H129" i="113"/>
  <c r="I129" i="113"/>
  <c r="J129" i="113"/>
  <c r="H130" i="113"/>
  <c r="I130" i="113"/>
  <c r="J130" i="113"/>
  <c r="I131" i="113"/>
  <c r="J131" i="113"/>
  <c r="H132" i="113"/>
  <c r="I132" i="113"/>
  <c r="J132" i="113"/>
  <c r="H133" i="113"/>
  <c r="I133" i="113"/>
  <c r="J133" i="113"/>
  <c r="H134" i="113"/>
  <c r="I134" i="113"/>
  <c r="J134" i="113"/>
  <c r="H135" i="113"/>
  <c r="I135" i="113"/>
  <c r="J135" i="113"/>
  <c r="H136" i="113"/>
  <c r="I136" i="113"/>
  <c r="J136" i="113"/>
  <c r="I137" i="113"/>
  <c r="J137" i="113"/>
  <c r="H138" i="113"/>
  <c r="I138" i="113"/>
  <c r="J138" i="113"/>
  <c r="H139" i="113"/>
  <c r="I139" i="113"/>
  <c r="J139" i="113"/>
  <c r="H140" i="113"/>
  <c r="I140" i="113"/>
  <c r="J140" i="113"/>
  <c r="H141" i="113"/>
  <c r="I141" i="113"/>
  <c r="J141" i="113"/>
  <c r="H142" i="113"/>
  <c r="I142" i="113"/>
  <c r="J142" i="113"/>
  <c r="I143" i="113"/>
  <c r="J143" i="113"/>
  <c r="H144" i="113"/>
  <c r="I144" i="113"/>
  <c r="J144" i="113"/>
  <c r="H145" i="113"/>
  <c r="I145" i="113"/>
  <c r="J145" i="113"/>
  <c r="H146" i="113"/>
  <c r="I146" i="113"/>
  <c r="J146" i="113"/>
  <c r="H147" i="113"/>
  <c r="I147" i="113"/>
  <c r="J147" i="113"/>
  <c r="H148" i="113"/>
  <c r="I148" i="113"/>
  <c r="J148" i="113"/>
  <c r="I149" i="113"/>
  <c r="J149" i="113"/>
  <c r="H150" i="113"/>
  <c r="I150" i="113"/>
  <c r="J150" i="113"/>
  <c r="H151" i="113"/>
  <c r="I151" i="113"/>
  <c r="J151" i="113"/>
  <c r="H152" i="113"/>
  <c r="I152" i="113"/>
  <c r="J152" i="113"/>
  <c r="H153" i="113"/>
  <c r="I153" i="113"/>
  <c r="J153" i="113"/>
  <c r="H154" i="113"/>
  <c r="I154" i="113"/>
  <c r="J154" i="113"/>
  <c r="I155" i="113"/>
  <c r="J155" i="113"/>
  <c r="H156" i="113"/>
  <c r="I156" i="113"/>
  <c r="J156" i="113"/>
  <c r="H157" i="113"/>
  <c r="I157" i="113"/>
  <c r="J157" i="113"/>
  <c r="H158" i="113"/>
  <c r="I158" i="113"/>
  <c r="J158" i="113"/>
  <c r="H159" i="113"/>
  <c r="I159" i="113"/>
  <c r="J159" i="113"/>
  <c r="H160" i="113"/>
  <c r="I160" i="113"/>
  <c r="J160" i="113"/>
  <c r="I161" i="113"/>
  <c r="J161" i="113"/>
  <c r="H162" i="113"/>
  <c r="I162" i="113"/>
  <c r="J162" i="113"/>
  <c r="H163" i="113"/>
  <c r="I163" i="113"/>
  <c r="J163" i="113"/>
  <c r="H164" i="113"/>
  <c r="I164" i="113"/>
  <c r="J164" i="113"/>
  <c r="H165" i="113"/>
  <c r="I165" i="113"/>
  <c r="J165" i="113"/>
  <c r="H166" i="113"/>
  <c r="I166" i="113"/>
  <c r="J166" i="113"/>
  <c r="I167" i="113"/>
  <c r="J167" i="113"/>
  <c r="H168" i="113"/>
  <c r="I168" i="113"/>
  <c r="J168" i="113"/>
  <c r="H169" i="113"/>
  <c r="I169" i="113"/>
  <c r="J169" i="113"/>
  <c r="H170" i="113"/>
  <c r="I170" i="113"/>
  <c r="J170" i="113"/>
  <c r="H171" i="113"/>
  <c r="I171" i="113"/>
  <c r="J171" i="113"/>
  <c r="H172" i="113"/>
  <c r="I172" i="113"/>
  <c r="J172" i="113"/>
  <c r="I173" i="113"/>
  <c r="J173" i="113"/>
  <c r="H174" i="113"/>
  <c r="I174" i="113"/>
  <c r="J174" i="113"/>
  <c r="H175" i="113"/>
  <c r="I175" i="113"/>
  <c r="J175" i="113"/>
  <c r="H176" i="113"/>
  <c r="I176" i="113"/>
  <c r="J176" i="113"/>
  <c r="H177" i="113"/>
  <c r="I177" i="113"/>
  <c r="J177" i="113"/>
  <c r="H178" i="113"/>
  <c r="I178" i="113"/>
  <c r="J178" i="113"/>
  <c r="I179" i="113"/>
  <c r="J179" i="113"/>
  <c r="H180" i="113"/>
  <c r="I180" i="113"/>
  <c r="J180" i="113"/>
  <c r="H181" i="113"/>
  <c r="I181" i="113"/>
  <c r="J181" i="113"/>
  <c r="H182" i="113"/>
  <c r="I182" i="113"/>
  <c r="J182" i="113"/>
  <c r="H183" i="113"/>
  <c r="I183" i="113"/>
  <c r="J183" i="113"/>
  <c r="H184" i="113"/>
  <c r="I184" i="113"/>
  <c r="J184" i="113"/>
  <c r="I185" i="113"/>
  <c r="J185" i="113"/>
  <c r="H114" i="113"/>
  <c r="I114" i="113"/>
  <c r="J114" i="113"/>
  <c r="I59" i="113"/>
  <c r="H35" i="113"/>
  <c r="I35" i="113"/>
  <c r="J35" i="113"/>
  <c r="H37" i="113"/>
  <c r="I37" i="113"/>
  <c r="J37" i="113"/>
  <c r="H38" i="113"/>
  <c r="I38" i="113"/>
  <c r="J38" i="113"/>
  <c r="I39" i="113"/>
  <c r="J39" i="113"/>
  <c r="H40" i="113"/>
  <c r="I40" i="113"/>
  <c r="J40" i="113"/>
  <c r="H41" i="113"/>
  <c r="I41" i="113"/>
  <c r="J41" i="113"/>
  <c r="H43" i="113"/>
  <c r="I43" i="113"/>
  <c r="J43" i="113"/>
  <c r="H44" i="113"/>
  <c r="I44" i="113"/>
  <c r="J44" i="113"/>
  <c r="I45" i="113"/>
  <c r="J45" i="113"/>
  <c r="H46" i="113"/>
  <c r="I46" i="113"/>
  <c r="J46" i="113"/>
  <c r="H47" i="113"/>
  <c r="I47" i="113"/>
  <c r="J47" i="113"/>
  <c r="H48" i="113"/>
  <c r="I48" i="113"/>
  <c r="J48" i="113"/>
  <c r="H49" i="113"/>
  <c r="I49" i="113"/>
  <c r="J49" i="113"/>
  <c r="H50" i="113"/>
  <c r="I50" i="113"/>
  <c r="J50" i="113"/>
  <c r="I51" i="113"/>
  <c r="J51" i="113"/>
  <c r="H52" i="113"/>
  <c r="I52" i="113"/>
  <c r="J52" i="113"/>
  <c r="H53" i="113"/>
  <c r="I53" i="113"/>
  <c r="J53" i="113"/>
  <c r="H54" i="113"/>
  <c r="I54" i="113"/>
  <c r="J54" i="113"/>
  <c r="H55" i="113"/>
  <c r="I55" i="113"/>
  <c r="J55" i="113"/>
  <c r="H56" i="113"/>
  <c r="I56" i="113"/>
  <c r="J56" i="113"/>
  <c r="I57" i="113"/>
  <c r="J57" i="113"/>
  <c r="H58" i="113"/>
  <c r="I58" i="113"/>
  <c r="J58" i="113"/>
  <c r="H59" i="113"/>
  <c r="J59" i="113"/>
  <c r="H60" i="113"/>
  <c r="I60" i="113"/>
  <c r="J60" i="113"/>
  <c r="H61" i="113"/>
  <c r="I61" i="113"/>
  <c r="J61" i="113"/>
  <c r="H62" i="113"/>
  <c r="I62" i="113"/>
  <c r="J62" i="113"/>
  <c r="I63" i="113"/>
  <c r="J63" i="113"/>
  <c r="H64" i="113"/>
  <c r="I64" i="113"/>
  <c r="J64" i="113"/>
  <c r="H65" i="113"/>
  <c r="I65" i="113"/>
  <c r="J65" i="113"/>
  <c r="H66" i="113"/>
  <c r="I66" i="113"/>
  <c r="J66" i="113"/>
  <c r="H67" i="113"/>
  <c r="I67" i="113"/>
  <c r="J67" i="113"/>
  <c r="H68" i="113"/>
  <c r="I68" i="113"/>
  <c r="J68" i="113"/>
  <c r="I69" i="113"/>
  <c r="J69" i="113"/>
  <c r="H70" i="113"/>
  <c r="I70" i="113"/>
  <c r="J70" i="113"/>
  <c r="H71" i="113"/>
  <c r="I71" i="113"/>
  <c r="J71" i="113"/>
  <c r="H72" i="113"/>
  <c r="I72" i="113"/>
  <c r="J72" i="113"/>
  <c r="H73" i="113"/>
  <c r="I73" i="113"/>
  <c r="J73" i="113"/>
  <c r="H74" i="113"/>
  <c r="I74" i="113"/>
  <c r="J74" i="113"/>
  <c r="I75" i="113"/>
  <c r="J75" i="113"/>
  <c r="H76" i="113"/>
  <c r="I76" i="113"/>
  <c r="J76" i="113"/>
  <c r="H77" i="113"/>
  <c r="I77" i="113"/>
  <c r="J77" i="113"/>
  <c r="H78" i="113"/>
  <c r="I78" i="113"/>
  <c r="J78" i="113"/>
  <c r="H79" i="113"/>
  <c r="I79" i="113"/>
  <c r="J79" i="113"/>
  <c r="H80" i="113"/>
  <c r="I80" i="113"/>
  <c r="J80" i="113"/>
  <c r="I81" i="113"/>
  <c r="J81" i="113"/>
  <c r="H82" i="113"/>
  <c r="I82" i="113"/>
  <c r="J82" i="113"/>
  <c r="H83" i="113"/>
  <c r="I83" i="113"/>
  <c r="J83" i="113"/>
  <c r="H84" i="113"/>
  <c r="I84" i="113"/>
  <c r="J84" i="113"/>
  <c r="H85" i="113"/>
  <c r="I85" i="113"/>
  <c r="J85" i="113"/>
  <c r="H86" i="113"/>
  <c r="I86" i="113"/>
  <c r="J86" i="113"/>
  <c r="I87" i="113"/>
  <c r="J87" i="113"/>
  <c r="H88" i="113"/>
  <c r="I88" i="113"/>
  <c r="J88" i="113"/>
  <c r="H89" i="113"/>
  <c r="I89" i="113"/>
  <c r="J89" i="113"/>
  <c r="H90" i="113"/>
  <c r="I90" i="113"/>
  <c r="J90" i="113"/>
  <c r="H91" i="113"/>
  <c r="I91" i="113"/>
  <c r="J91" i="113"/>
  <c r="H92" i="113"/>
  <c r="I92" i="113"/>
  <c r="J92" i="113"/>
  <c r="I93" i="113"/>
  <c r="J93" i="113"/>
  <c r="H94" i="113"/>
  <c r="I94" i="113"/>
  <c r="J94" i="113"/>
  <c r="H95" i="113"/>
  <c r="I95" i="113"/>
  <c r="J95" i="113"/>
  <c r="H96" i="113"/>
  <c r="I96" i="113"/>
  <c r="J96" i="113"/>
  <c r="H97" i="113"/>
  <c r="I97" i="113"/>
  <c r="J97" i="113"/>
  <c r="H98" i="113"/>
  <c r="I98" i="113"/>
  <c r="J98" i="113"/>
  <c r="I99" i="113"/>
  <c r="J99" i="113"/>
  <c r="H100" i="113"/>
  <c r="I100" i="113"/>
  <c r="J100" i="113"/>
  <c r="H101" i="113"/>
  <c r="I101" i="113"/>
  <c r="J101" i="113"/>
  <c r="H102" i="113"/>
  <c r="I102" i="113"/>
  <c r="J102" i="113"/>
  <c r="H103" i="113"/>
  <c r="I103" i="113"/>
  <c r="J103" i="113"/>
  <c r="H104" i="113"/>
  <c r="I104" i="113"/>
  <c r="J104" i="113"/>
  <c r="I105" i="113"/>
  <c r="J105" i="113"/>
  <c r="H34" i="113"/>
  <c r="I34" i="113"/>
  <c r="J34" i="113"/>
  <c r="D84" i="1"/>
  <c r="E84" i="1"/>
  <c r="F84" i="1"/>
  <c r="J84" i="1"/>
  <c r="H14" i="113" s="1"/>
  <c r="K84" i="1"/>
  <c r="I14" i="113" s="1"/>
  <c r="U86" i="113" s="1"/>
  <c r="L84" i="1"/>
  <c r="J14" i="113" s="1"/>
  <c r="V86" i="113" s="1"/>
  <c r="D90" i="1"/>
  <c r="E90" i="1"/>
  <c r="F90" i="1"/>
  <c r="J90" i="1"/>
  <c r="H20" i="113" s="1"/>
  <c r="T92" i="113" s="1"/>
  <c r="K90" i="1"/>
  <c r="I20" i="113" s="1"/>
  <c r="U92" i="113" s="1"/>
  <c r="L90" i="1"/>
  <c r="J20" i="113" s="1"/>
  <c r="V92" i="113" s="1"/>
  <c r="D91" i="1"/>
  <c r="E89" i="3"/>
  <c r="D4" i="116"/>
  <c r="V85" i="115" l="1"/>
  <c r="V57" i="115"/>
  <c r="V37" i="115"/>
  <c r="H207" i="113"/>
  <c r="U71" i="115"/>
  <c r="U57" i="115"/>
  <c r="U54" i="115"/>
  <c r="U37" i="115"/>
  <c r="U22" i="115"/>
  <c r="H212" i="115"/>
  <c r="H187" i="113"/>
  <c r="H107" i="113"/>
  <c r="T71" i="115"/>
  <c r="U68" i="115"/>
  <c r="T54" i="115"/>
  <c r="T19" i="115"/>
  <c r="H111" i="115"/>
  <c r="H191" i="115"/>
  <c r="T57" i="115"/>
  <c r="U85" i="115"/>
  <c r="V71" i="115"/>
  <c r="V40" i="115"/>
  <c r="U40" i="115"/>
  <c r="V68" i="115"/>
  <c r="V19" i="115"/>
  <c r="V22" i="115"/>
  <c r="J212" i="115"/>
  <c r="I212" i="115"/>
  <c r="I191" i="115"/>
  <c r="J191" i="115"/>
  <c r="J111" i="115"/>
  <c r="I111" i="115"/>
  <c r="V15" i="115"/>
  <c r="U15" i="115"/>
  <c r="J207" i="113"/>
  <c r="I207" i="113"/>
  <c r="I187" i="113"/>
  <c r="J187" i="113"/>
  <c r="U62" i="113"/>
  <c r="U59" i="113"/>
  <c r="U45" i="113"/>
  <c r="V36" i="113"/>
  <c r="V21" i="113"/>
  <c r="V18" i="113"/>
  <c r="V73" i="113"/>
  <c r="T76" i="113"/>
  <c r="U73" i="113"/>
  <c r="T62" i="113"/>
  <c r="T59" i="113"/>
  <c r="T45" i="113"/>
  <c r="T42" i="113"/>
  <c r="U36" i="113"/>
  <c r="U21" i="113"/>
  <c r="T39" i="113"/>
  <c r="T36" i="113"/>
  <c r="T18" i="113"/>
  <c r="V76" i="113"/>
  <c r="V59" i="113"/>
  <c r="V42" i="113"/>
  <c r="U76" i="113"/>
  <c r="T40" i="115"/>
  <c r="T21" i="113"/>
  <c r="U19" i="115"/>
  <c r="U18" i="113"/>
  <c r="T85" i="115"/>
  <c r="V45" i="113"/>
  <c r="T22" i="115"/>
  <c r="T37" i="115"/>
  <c r="V54" i="115"/>
  <c r="V62" i="113"/>
  <c r="T19" i="114"/>
  <c r="T82" i="115"/>
  <c r="T79" i="115"/>
  <c r="T65" i="115"/>
  <c r="U62" i="115"/>
  <c r="T51" i="115"/>
  <c r="T48" i="115"/>
  <c r="T34" i="115"/>
  <c r="T31" i="115"/>
  <c r="U86" i="115"/>
  <c r="U83" i="115"/>
  <c r="V80" i="115"/>
  <c r="U76" i="115"/>
  <c r="U73" i="115"/>
  <c r="U69" i="115"/>
  <c r="U59" i="115"/>
  <c r="V56" i="115"/>
  <c r="V81" i="115"/>
  <c r="V78" i="115"/>
  <c r="V64" i="115"/>
  <c r="V61" i="115"/>
  <c r="V47" i="115"/>
  <c r="V33" i="115"/>
  <c r="V30" i="115"/>
  <c r="U66" i="115"/>
  <c r="V84" i="115"/>
  <c r="V70" i="115"/>
  <c r="U42" i="113"/>
  <c r="U85" i="113"/>
  <c r="T81" i="113"/>
  <c r="T78" i="113"/>
  <c r="T74" i="113"/>
  <c r="T71" i="113"/>
  <c r="U52" i="115"/>
  <c r="U49" i="115"/>
  <c r="U45" i="115"/>
  <c r="U42" i="115"/>
  <c r="U35" i="115"/>
  <c r="V32" i="115"/>
  <c r="U28" i="115"/>
  <c r="U25" i="115"/>
  <c r="T83" i="115"/>
  <c r="U80" i="115"/>
  <c r="T76" i="115"/>
  <c r="T73" i="115"/>
  <c r="T69" i="115"/>
  <c r="V67" i="115"/>
  <c r="T66" i="115"/>
  <c r="T59" i="115"/>
  <c r="U56" i="115"/>
  <c r="V53" i="115"/>
  <c r="T52" i="115"/>
  <c r="T49" i="115"/>
  <c r="T45" i="115"/>
  <c r="T42" i="115"/>
  <c r="V39" i="115"/>
  <c r="V36" i="115"/>
  <c r="T35" i="115"/>
  <c r="U32" i="115"/>
  <c r="T28" i="115"/>
  <c r="T25" i="115"/>
  <c r="V21" i="115"/>
  <c r="V18" i="115"/>
  <c r="T16" i="115"/>
  <c r="U84" i="115"/>
  <c r="U77" i="115"/>
  <c r="V74" i="115"/>
  <c r="U70" i="115"/>
  <c r="U67" i="115"/>
  <c r="U63" i="115"/>
  <c r="U60" i="115"/>
  <c r="U53" i="115"/>
  <c r="V50" i="115"/>
  <c r="U46" i="115"/>
  <c r="U43" i="115"/>
  <c r="U39" i="115"/>
  <c r="U36" i="115"/>
  <c r="U29" i="115"/>
  <c r="V26" i="115"/>
  <c r="U21" i="115"/>
  <c r="U18" i="115"/>
  <c r="T64" i="113"/>
  <c r="U61" i="113"/>
  <c r="T57" i="113"/>
  <c r="T50" i="113"/>
  <c r="S19" i="114"/>
  <c r="S18" i="114"/>
  <c r="T54" i="113"/>
  <c r="T47" i="113"/>
  <c r="T40" i="113"/>
  <c r="U34" i="113"/>
  <c r="V31" i="113"/>
  <c r="U27" i="113"/>
  <c r="U24" i="113"/>
  <c r="V83" i="113"/>
  <c r="V69" i="113"/>
  <c r="V66" i="113"/>
  <c r="T81" i="115"/>
  <c r="T78" i="115"/>
  <c r="T64" i="115"/>
  <c r="T61" i="115"/>
  <c r="T47" i="115"/>
  <c r="U44" i="115"/>
  <c r="T33" i="115"/>
  <c r="T30" i="115"/>
  <c r="U75" i="115"/>
  <c r="U72" i="115"/>
  <c r="U58" i="115"/>
  <c r="U55" i="115"/>
  <c r="U41" i="115"/>
  <c r="V38" i="115"/>
  <c r="U27" i="115"/>
  <c r="U24" i="115"/>
  <c r="V20" i="115"/>
  <c r="V86" i="115"/>
  <c r="V83" i="115"/>
  <c r="V69" i="115"/>
  <c r="V66" i="115"/>
  <c r="V52" i="115"/>
  <c r="V49" i="115"/>
  <c r="V35" i="115"/>
  <c r="U14" i="113"/>
  <c r="T75" i="113"/>
  <c r="T72" i="113"/>
  <c r="T58" i="113"/>
  <c r="U55" i="113"/>
  <c r="T44" i="113"/>
  <c r="T41" i="113"/>
  <c r="U38" i="113"/>
  <c r="T75" i="115"/>
  <c r="T72" i="115"/>
  <c r="T58" i="115"/>
  <c r="T55" i="115"/>
  <c r="T41" i="115"/>
  <c r="U38" i="115"/>
  <c r="T27" i="115"/>
  <c r="T24" i="115"/>
  <c r="U20" i="115"/>
  <c r="V80" i="113"/>
  <c r="V77" i="113"/>
  <c r="V63" i="113"/>
  <c r="V77" i="115"/>
  <c r="V63" i="115"/>
  <c r="V60" i="115"/>
  <c r="V46" i="115"/>
  <c r="V43" i="115"/>
  <c r="V29" i="115"/>
  <c r="U81" i="115"/>
  <c r="V14" i="113"/>
  <c r="U75" i="113"/>
  <c r="U72" i="113"/>
  <c r="U82" i="113"/>
  <c r="V79" i="113"/>
  <c r="U68" i="113"/>
  <c r="U65" i="113"/>
  <c r="U58" i="113"/>
  <c r="V55" i="113"/>
  <c r="U51" i="113"/>
  <c r="U48" i="113"/>
  <c r="U44" i="113"/>
  <c r="U41" i="113"/>
  <c r="V38" i="113"/>
  <c r="V35" i="113"/>
  <c r="V28" i="113"/>
  <c r="V20" i="113"/>
  <c r="T15" i="113"/>
  <c r="U35" i="113"/>
  <c r="U83" i="113"/>
  <c r="U69" i="113"/>
  <c r="U66" i="113"/>
  <c r="U52" i="113"/>
  <c r="V49" i="113"/>
  <c r="V32" i="113"/>
  <c r="V29" i="113"/>
  <c r="V60" i="113"/>
  <c r="V46" i="113"/>
  <c r="T27" i="113"/>
  <c r="T24" i="113"/>
  <c r="S15" i="114"/>
  <c r="U82" i="115"/>
  <c r="U79" i="115"/>
  <c r="U65" i="115"/>
  <c r="V62" i="115"/>
  <c r="U51" i="115"/>
  <c r="U48" i="115"/>
  <c r="U34" i="115"/>
  <c r="U31" i="115"/>
  <c r="V76" i="115"/>
  <c r="V73" i="115"/>
  <c r="V59" i="115"/>
  <c r="V45" i="115"/>
  <c r="V42" i="115"/>
  <c r="V28" i="115"/>
  <c r="V25" i="115"/>
  <c r="T15" i="114"/>
  <c r="U16" i="115"/>
  <c r="T17" i="114"/>
  <c r="T53" i="113"/>
  <c r="T16" i="114"/>
  <c r="V82" i="113"/>
  <c r="V75" i="113"/>
  <c r="V72" i="113"/>
  <c r="V68" i="113"/>
  <c r="V65" i="113"/>
  <c r="V58" i="113"/>
  <c r="V51" i="113"/>
  <c r="V48" i="113"/>
  <c r="V44" i="113"/>
  <c r="V41" i="113"/>
  <c r="R19" i="114"/>
  <c r="H34" i="114"/>
  <c r="V16" i="115"/>
  <c r="R16" i="114"/>
  <c r="S17" i="114"/>
  <c r="T18" i="114"/>
  <c r="I34" i="114"/>
  <c r="T84" i="115"/>
  <c r="T77" i="115"/>
  <c r="U74" i="115"/>
  <c r="T70" i="115"/>
  <c r="T67" i="115"/>
  <c r="T63" i="115"/>
  <c r="T60" i="115"/>
  <c r="T53" i="115"/>
  <c r="U50" i="115"/>
  <c r="T46" i="115"/>
  <c r="T43" i="115"/>
  <c r="T39" i="115"/>
  <c r="T36" i="115"/>
  <c r="T29" i="115"/>
  <c r="U26" i="115"/>
  <c r="T21" i="115"/>
  <c r="T18" i="115"/>
  <c r="G34" i="114"/>
  <c r="U78" i="115"/>
  <c r="U64" i="115"/>
  <c r="U61" i="115"/>
  <c r="U47" i="115"/>
  <c r="V44" i="115"/>
  <c r="U33" i="115"/>
  <c r="U30" i="115"/>
  <c r="T84" i="113"/>
  <c r="T70" i="113"/>
  <c r="U67" i="113"/>
  <c r="R18" i="114"/>
  <c r="V82" i="115"/>
  <c r="V79" i="115"/>
  <c r="V75" i="115"/>
  <c r="V72" i="115"/>
  <c r="V65" i="115"/>
  <c r="V58" i="115"/>
  <c r="V55" i="115"/>
  <c r="V51" i="115"/>
  <c r="V48" i="115"/>
  <c r="V41" i="115"/>
  <c r="V34" i="115"/>
  <c r="V31" i="115"/>
  <c r="V27" i="115"/>
  <c r="V24" i="115"/>
  <c r="V84" i="113"/>
  <c r="V70" i="113"/>
  <c r="V56" i="113"/>
  <c r="V53" i="113"/>
  <c r="V39" i="113"/>
  <c r="V30" i="113"/>
  <c r="T56" i="113"/>
  <c r="U33" i="113"/>
  <c r="V17" i="113"/>
  <c r="G21" i="114"/>
  <c r="H21" i="114"/>
  <c r="U78" i="113"/>
  <c r="U64" i="113"/>
  <c r="V61" i="113"/>
  <c r="U50" i="113"/>
  <c r="T33" i="113"/>
  <c r="V27" i="113"/>
  <c r="R17" i="114"/>
  <c r="T34" i="113"/>
  <c r="U31" i="113"/>
  <c r="S16" i="114"/>
  <c r="T82" i="113"/>
  <c r="U79" i="113"/>
  <c r="T68" i="113"/>
  <c r="T65" i="113"/>
  <c r="T48" i="113"/>
  <c r="U28" i="113"/>
  <c r="T267" i="113"/>
  <c r="S267" i="113"/>
  <c r="T38" i="113"/>
  <c r="T35" i="113"/>
  <c r="T20" i="113"/>
  <c r="T17" i="113"/>
  <c r="T83" i="113"/>
  <c r="T69" i="113"/>
  <c r="T66" i="113"/>
  <c r="T52" i="113"/>
  <c r="U49" i="113"/>
  <c r="U32" i="113"/>
  <c r="U29" i="113"/>
  <c r="U80" i="113"/>
  <c r="U77" i="113"/>
  <c r="U63" i="113"/>
  <c r="U60" i="113"/>
  <c r="U46" i="113"/>
  <c r="V43" i="113"/>
  <c r="T32" i="113"/>
  <c r="T29" i="113"/>
  <c r="V26" i="113"/>
  <c r="V23" i="113"/>
  <c r="T80" i="113"/>
  <c r="T77" i="113"/>
  <c r="V74" i="113"/>
  <c r="V71" i="113"/>
  <c r="T63" i="113"/>
  <c r="T60" i="113"/>
  <c r="V57" i="113"/>
  <c r="V54" i="113"/>
  <c r="T46" i="113"/>
  <c r="U43" i="113"/>
  <c r="V40" i="113"/>
  <c r="V37" i="113"/>
  <c r="U26" i="113"/>
  <c r="U23" i="113"/>
  <c r="V19" i="113"/>
  <c r="V85" i="113"/>
  <c r="U74" i="113"/>
  <c r="U71" i="113"/>
  <c r="U57" i="113"/>
  <c r="U54" i="113"/>
  <c r="U40" i="113"/>
  <c r="U37" i="113"/>
  <c r="V34" i="113"/>
  <c r="T26" i="113"/>
  <c r="T23" i="113"/>
  <c r="U19" i="113"/>
  <c r="U84" i="113"/>
  <c r="U70" i="113"/>
  <c r="V67" i="113"/>
  <c r="U56" i="113"/>
  <c r="U53" i="113"/>
  <c r="V33" i="113"/>
  <c r="V81" i="113"/>
  <c r="V64" i="113"/>
  <c r="V78" i="113"/>
  <c r="U39" i="113"/>
  <c r="V50" i="113"/>
  <c r="V47" i="113"/>
  <c r="U30" i="113"/>
  <c r="U81" i="113"/>
  <c r="U47" i="113"/>
  <c r="T30" i="113"/>
  <c r="V24" i="113"/>
  <c r="V15" i="113"/>
  <c r="U15" i="113"/>
  <c r="V52" i="113"/>
  <c r="T51" i="113"/>
  <c r="V25" i="113"/>
  <c r="U20" i="113"/>
  <c r="U17" i="113"/>
  <c r="T28" i="113"/>
  <c r="U25" i="113"/>
  <c r="I21" i="114"/>
  <c r="I107" i="113"/>
  <c r="J107" i="113"/>
  <c r="R269" i="113" l="1"/>
  <c r="O32" i="142"/>
  <c r="D27" i="101" l="1"/>
  <c r="F27" i="101"/>
  <c r="G27" i="101"/>
  <c r="M27" i="101"/>
  <c r="N27" i="101"/>
  <c r="O27" i="101"/>
  <c r="P27" i="101"/>
  <c r="Q27" i="101"/>
  <c r="R27" i="101"/>
  <c r="S27" i="101"/>
  <c r="T27" i="101"/>
  <c r="U27" i="101"/>
  <c r="V27" i="101"/>
  <c r="F36" i="152"/>
  <c r="F37" i="152"/>
  <c r="E208" i="104"/>
  <c r="F208" i="104"/>
  <c r="G208" i="104"/>
  <c r="H208" i="104"/>
  <c r="I208" i="104"/>
  <c r="J208" i="104"/>
  <c r="K208" i="104"/>
  <c r="L208" i="104"/>
  <c r="M208" i="104"/>
  <c r="N208" i="104"/>
  <c r="O208" i="104"/>
  <c r="P208" i="104"/>
  <c r="Q208" i="104"/>
  <c r="R208" i="104"/>
  <c r="S208" i="104"/>
  <c r="T208" i="104"/>
  <c r="U208" i="104"/>
  <c r="V208" i="104"/>
  <c r="E209" i="104"/>
  <c r="F209" i="104"/>
  <c r="G209" i="104"/>
  <c r="H209" i="104"/>
  <c r="I209" i="104"/>
  <c r="J209" i="104"/>
  <c r="K209" i="104"/>
  <c r="L209" i="104"/>
  <c r="M209" i="104"/>
  <c r="N209" i="104"/>
  <c r="O209" i="104"/>
  <c r="P209" i="104"/>
  <c r="Q209" i="104"/>
  <c r="R209" i="104"/>
  <c r="S209" i="104"/>
  <c r="T209" i="104"/>
  <c r="U209" i="104"/>
  <c r="V209" i="104"/>
  <c r="E210" i="104"/>
  <c r="F210" i="104"/>
  <c r="G210" i="104"/>
  <c r="H210" i="104"/>
  <c r="I210" i="104"/>
  <c r="J210" i="104"/>
  <c r="K210" i="104"/>
  <c r="L210" i="104"/>
  <c r="M210" i="104"/>
  <c r="N210" i="104"/>
  <c r="O210" i="104"/>
  <c r="P210" i="104"/>
  <c r="Q210" i="104"/>
  <c r="R210" i="104"/>
  <c r="S210" i="104"/>
  <c r="T210" i="104"/>
  <c r="U210" i="104"/>
  <c r="V210" i="104"/>
  <c r="E211" i="104"/>
  <c r="F211" i="104"/>
  <c r="G211" i="104"/>
  <c r="H211" i="104"/>
  <c r="I211" i="104"/>
  <c r="J211" i="104"/>
  <c r="K211" i="104"/>
  <c r="L211" i="104"/>
  <c r="M211" i="104"/>
  <c r="N211" i="104"/>
  <c r="O211" i="104"/>
  <c r="P211" i="104"/>
  <c r="Q211" i="104"/>
  <c r="R211" i="104"/>
  <c r="S211" i="104"/>
  <c r="T211" i="104"/>
  <c r="U211" i="104"/>
  <c r="V211" i="104"/>
  <c r="E212" i="104"/>
  <c r="F212" i="104"/>
  <c r="G212" i="104"/>
  <c r="H212" i="104"/>
  <c r="I212" i="104"/>
  <c r="J212" i="104"/>
  <c r="K212" i="104"/>
  <c r="L212" i="104"/>
  <c r="M212" i="104"/>
  <c r="N212" i="104"/>
  <c r="O212" i="104"/>
  <c r="P212" i="104"/>
  <c r="Q212" i="104"/>
  <c r="R212" i="104"/>
  <c r="S212" i="104"/>
  <c r="T212" i="104"/>
  <c r="U212" i="104"/>
  <c r="V212" i="104"/>
  <c r="E213" i="104"/>
  <c r="F213" i="104"/>
  <c r="G213" i="104"/>
  <c r="H213" i="104"/>
  <c r="I213" i="104"/>
  <c r="J213" i="104"/>
  <c r="K213" i="104"/>
  <c r="L213" i="104"/>
  <c r="M213" i="104"/>
  <c r="N213" i="104"/>
  <c r="O213" i="104"/>
  <c r="P213" i="104"/>
  <c r="Q213" i="104"/>
  <c r="R213" i="104"/>
  <c r="S213" i="104"/>
  <c r="T213" i="104"/>
  <c r="U213" i="104"/>
  <c r="V213" i="104"/>
  <c r="E214" i="104"/>
  <c r="F214" i="104"/>
  <c r="G214" i="104"/>
  <c r="H214" i="104"/>
  <c r="I214" i="104"/>
  <c r="J214" i="104"/>
  <c r="K214" i="104"/>
  <c r="L214" i="104"/>
  <c r="M214" i="104"/>
  <c r="N214" i="104"/>
  <c r="O214" i="104"/>
  <c r="P214" i="104"/>
  <c r="Q214" i="104"/>
  <c r="R214" i="104"/>
  <c r="S214" i="104"/>
  <c r="T214" i="104"/>
  <c r="U214" i="104"/>
  <c r="V214" i="104"/>
  <c r="E215" i="104"/>
  <c r="F215" i="104"/>
  <c r="G215" i="104"/>
  <c r="H215" i="104"/>
  <c r="I215" i="104"/>
  <c r="J215" i="104"/>
  <c r="K215" i="104"/>
  <c r="L215" i="104"/>
  <c r="M215" i="104"/>
  <c r="N215" i="104"/>
  <c r="O215" i="104"/>
  <c r="P215" i="104"/>
  <c r="Q215" i="104"/>
  <c r="R215" i="104"/>
  <c r="S215" i="104"/>
  <c r="T215" i="104"/>
  <c r="U215" i="104"/>
  <c r="V215" i="104"/>
  <c r="E216" i="104"/>
  <c r="F216" i="104"/>
  <c r="G216" i="104"/>
  <c r="H216" i="104"/>
  <c r="I216" i="104"/>
  <c r="J216" i="104"/>
  <c r="K216" i="104"/>
  <c r="L216" i="104"/>
  <c r="M216" i="104"/>
  <c r="N216" i="104"/>
  <c r="O216" i="104"/>
  <c r="P216" i="104"/>
  <c r="Q216" i="104"/>
  <c r="R216" i="104"/>
  <c r="S216" i="104"/>
  <c r="T216" i="104"/>
  <c r="U216" i="104"/>
  <c r="V216" i="104"/>
  <c r="E217" i="104"/>
  <c r="F217" i="104"/>
  <c r="G217" i="104"/>
  <c r="H217" i="104"/>
  <c r="I217" i="104"/>
  <c r="J217" i="104"/>
  <c r="K217" i="104"/>
  <c r="L217" i="104"/>
  <c r="M217" i="104"/>
  <c r="N217" i="104"/>
  <c r="O217" i="104"/>
  <c r="P217" i="104"/>
  <c r="Q217" i="104"/>
  <c r="R217" i="104"/>
  <c r="S217" i="104"/>
  <c r="T217" i="104"/>
  <c r="U217" i="104"/>
  <c r="V217" i="104"/>
  <c r="E218" i="104"/>
  <c r="F218" i="104"/>
  <c r="G218" i="104"/>
  <c r="H218" i="104"/>
  <c r="I218" i="104"/>
  <c r="J218" i="104"/>
  <c r="K218" i="104"/>
  <c r="L218" i="104"/>
  <c r="M218" i="104"/>
  <c r="N218" i="104"/>
  <c r="O218" i="104"/>
  <c r="P218" i="104"/>
  <c r="Q218" i="104"/>
  <c r="R218" i="104"/>
  <c r="S218" i="104"/>
  <c r="T218" i="104"/>
  <c r="U218" i="104"/>
  <c r="V218" i="104"/>
  <c r="E219" i="104"/>
  <c r="F219" i="104"/>
  <c r="G219" i="104"/>
  <c r="H219" i="104"/>
  <c r="I219" i="104"/>
  <c r="J219" i="104"/>
  <c r="K219" i="104"/>
  <c r="L219" i="104"/>
  <c r="M219" i="104"/>
  <c r="N219" i="104"/>
  <c r="O219" i="104"/>
  <c r="P219" i="104"/>
  <c r="Q219" i="104"/>
  <c r="R219" i="104"/>
  <c r="S219" i="104"/>
  <c r="T219" i="104"/>
  <c r="U219" i="104"/>
  <c r="V219" i="104"/>
  <c r="H22" i="113"/>
  <c r="T94" i="113" s="1"/>
  <c r="I22" i="113"/>
  <c r="U94" i="113" s="1"/>
  <c r="J22" i="113"/>
  <c r="V94" i="113" s="1"/>
  <c r="J85" i="3"/>
  <c r="K85" i="3"/>
  <c r="L85" i="3"/>
  <c r="D85" i="3"/>
  <c r="E85" i="3"/>
  <c r="F85" i="3"/>
  <c r="J91" i="3"/>
  <c r="H25" i="115" s="1"/>
  <c r="T94" i="115" s="1"/>
  <c r="K91" i="3"/>
  <c r="I25" i="115" s="1"/>
  <c r="U94" i="115" s="1"/>
  <c r="L91" i="3"/>
  <c r="J25" i="115" s="1"/>
  <c r="V94" i="115" s="1"/>
  <c r="D91" i="3"/>
  <c r="E91" i="3"/>
  <c r="F91" i="3"/>
  <c r="I26" i="115"/>
  <c r="U95" i="115" s="1"/>
  <c r="J26" i="115"/>
  <c r="V95" i="115" s="1"/>
  <c r="I19" i="115" l="1"/>
  <c r="U88" i="115" s="1"/>
  <c r="T90" i="117"/>
  <c r="X90" i="117" s="1"/>
  <c r="Y90" i="117" s="1"/>
  <c r="J19" i="115"/>
  <c r="V88" i="115" s="1"/>
  <c r="U90" i="117"/>
  <c r="Z90" i="117" s="1"/>
  <c r="AR26" i="117" s="1"/>
  <c r="H19" i="115"/>
  <c r="T88" i="115" s="1"/>
  <c r="S90" i="117"/>
  <c r="V90" i="117" s="1"/>
  <c r="W90" i="117" s="1"/>
  <c r="E91" i="1"/>
  <c r="F91" i="1"/>
  <c r="J91" i="1"/>
  <c r="H21" i="113" s="1"/>
  <c r="T93" i="113" s="1"/>
  <c r="K91" i="1"/>
  <c r="I21" i="113" s="1"/>
  <c r="U93" i="113" s="1"/>
  <c r="L91" i="1"/>
  <c r="J21" i="113" s="1"/>
  <c r="V93" i="113" s="1"/>
  <c r="D85" i="1"/>
  <c r="E85" i="1"/>
  <c r="F85" i="1"/>
  <c r="J85" i="1"/>
  <c r="K85" i="1"/>
  <c r="L85" i="1"/>
  <c r="AD15" i="79"/>
  <c r="AD16" i="79"/>
  <c r="AD17" i="79"/>
  <c r="AD18" i="79"/>
  <c r="AD19" i="79"/>
  <c r="AD20" i="79"/>
  <c r="AD21" i="79"/>
  <c r="AD22" i="79"/>
  <c r="AD23" i="79"/>
  <c r="AD24" i="79"/>
  <c r="AD25" i="79"/>
  <c r="AD26" i="79"/>
  <c r="AD27" i="79"/>
  <c r="AD28" i="79"/>
  <c r="AD29" i="79"/>
  <c r="AD30" i="79"/>
  <c r="AD31" i="79"/>
  <c r="AD32" i="79"/>
  <c r="AD33" i="79"/>
  <c r="AD34" i="79"/>
  <c r="AD35" i="79"/>
  <c r="AD36" i="79"/>
  <c r="AD37" i="79"/>
  <c r="AD38" i="79"/>
  <c r="AD39" i="79"/>
  <c r="AD40" i="79"/>
  <c r="AD41" i="79"/>
  <c r="AD42" i="79"/>
  <c r="AD43" i="79"/>
  <c r="AD44" i="79"/>
  <c r="AD45" i="79"/>
  <c r="AD46" i="79"/>
  <c r="AD47" i="79"/>
  <c r="AD48" i="79"/>
  <c r="AD49" i="79"/>
  <c r="AD50" i="79"/>
  <c r="AD51" i="79"/>
  <c r="AD52" i="79"/>
  <c r="AD53" i="79"/>
  <c r="AD54" i="79"/>
  <c r="AD55" i="79"/>
  <c r="AD56" i="79"/>
  <c r="AD57" i="79"/>
  <c r="AD58" i="79"/>
  <c r="AD59" i="79"/>
  <c r="AD60" i="79"/>
  <c r="AD61" i="79"/>
  <c r="AD62" i="79"/>
  <c r="AD63" i="79"/>
  <c r="AD64" i="79"/>
  <c r="AD65" i="79"/>
  <c r="AD66" i="79"/>
  <c r="AD67" i="79"/>
  <c r="AD68" i="79"/>
  <c r="AD69" i="79"/>
  <c r="AD70" i="79"/>
  <c r="AD71" i="79"/>
  <c r="AD72" i="79"/>
  <c r="AD73" i="79"/>
  <c r="AD74" i="79"/>
  <c r="AD75" i="79"/>
  <c r="AD76" i="79"/>
  <c r="AD77" i="79"/>
  <c r="AD78" i="79"/>
  <c r="AD79" i="79"/>
  <c r="AD80" i="79"/>
  <c r="AD81" i="79"/>
  <c r="AD82" i="79"/>
  <c r="AD83" i="79"/>
  <c r="AD84" i="79"/>
  <c r="AD85" i="79"/>
  <c r="AD86" i="79"/>
  <c r="AD87" i="79"/>
  <c r="AD88" i="79"/>
  <c r="AD89" i="79"/>
  <c r="AD90" i="79"/>
  <c r="AD91" i="79"/>
  <c r="AD92" i="79"/>
  <c r="AD93" i="79"/>
  <c r="AD94" i="79"/>
  <c r="AD95" i="79"/>
  <c r="AD96" i="79"/>
  <c r="AD97" i="79"/>
  <c r="AD98" i="79"/>
  <c r="AD99" i="79"/>
  <c r="AD100" i="79"/>
  <c r="AD101" i="79"/>
  <c r="AD102" i="79"/>
  <c r="AD103" i="79"/>
  <c r="AD104" i="79"/>
  <c r="AD105" i="79"/>
  <c r="AD106" i="79"/>
  <c r="AD107" i="79"/>
  <c r="AD108" i="79"/>
  <c r="AD109" i="79"/>
  <c r="AD110" i="79"/>
  <c r="AD111" i="79"/>
  <c r="AD112" i="79"/>
  <c r="AD113" i="79"/>
  <c r="AD114" i="79"/>
  <c r="AD115" i="79"/>
  <c r="AD116" i="79"/>
  <c r="AD117" i="79"/>
  <c r="AD118" i="79"/>
  <c r="AD119" i="79"/>
  <c r="AD120" i="79"/>
  <c r="AD121" i="79"/>
  <c r="AD122" i="79"/>
  <c r="AD123" i="79"/>
  <c r="AD124" i="79"/>
  <c r="AD125" i="79"/>
  <c r="AD126" i="79"/>
  <c r="AD127" i="79"/>
  <c r="AD128" i="79"/>
  <c r="AD129" i="79"/>
  <c r="AD130" i="79"/>
  <c r="AD131" i="79"/>
  <c r="AD132" i="79"/>
  <c r="AD133" i="79"/>
  <c r="AD134" i="79"/>
  <c r="AD135" i="79"/>
  <c r="AD136" i="79"/>
  <c r="AD137" i="79"/>
  <c r="AD138" i="79"/>
  <c r="AD139" i="79"/>
  <c r="AD140" i="79"/>
  <c r="AD141" i="79"/>
  <c r="AD142" i="79"/>
  <c r="AD143" i="79"/>
  <c r="AD144" i="79"/>
  <c r="AD145" i="79"/>
  <c r="AD146" i="79"/>
  <c r="AD147" i="79"/>
  <c r="AD148" i="79"/>
  <c r="AD149" i="79"/>
  <c r="AD150" i="79"/>
  <c r="AD151" i="79"/>
  <c r="AD152" i="79"/>
  <c r="AD153" i="79"/>
  <c r="AD154" i="79"/>
  <c r="AD155" i="79"/>
  <c r="AD156" i="79"/>
  <c r="AD157" i="79"/>
  <c r="AD158" i="79"/>
  <c r="AD159" i="79"/>
  <c r="AD160" i="79"/>
  <c r="AD161" i="79"/>
  <c r="AD162" i="79"/>
  <c r="AD163" i="79"/>
  <c r="AD164" i="79"/>
  <c r="AD165" i="79"/>
  <c r="AD166" i="79"/>
  <c r="AD167" i="79"/>
  <c r="AD168" i="79"/>
  <c r="AD169" i="79"/>
  <c r="AD170" i="79"/>
  <c r="AD171" i="79"/>
  <c r="AD172" i="79"/>
  <c r="AD173" i="79"/>
  <c r="AD174" i="79"/>
  <c r="AD175" i="79"/>
  <c r="AD176" i="79"/>
  <c r="AD177" i="79"/>
  <c r="AD178" i="79"/>
  <c r="AD179" i="79"/>
  <c r="AD180" i="79"/>
  <c r="AD181" i="79"/>
  <c r="AD182" i="79"/>
  <c r="AD183" i="79"/>
  <c r="AD184" i="79"/>
  <c r="AD185" i="79"/>
  <c r="AD186" i="79"/>
  <c r="AD187" i="79"/>
  <c r="AD188" i="79"/>
  <c r="AD189" i="79"/>
  <c r="AD190" i="79"/>
  <c r="AD191" i="79"/>
  <c r="AD192" i="79"/>
  <c r="AD193" i="79"/>
  <c r="AD194" i="79"/>
  <c r="AD195" i="79"/>
  <c r="AD196" i="79"/>
  <c r="AD197" i="79"/>
  <c r="AD198" i="79"/>
  <c r="AD199" i="79"/>
  <c r="AD200" i="79"/>
  <c r="AD201" i="79"/>
  <c r="AD202" i="79"/>
  <c r="AD203" i="79"/>
  <c r="AD204" i="79"/>
  <c r="AD205" i="79"/>
  <c r="AD206" i="79"/>
  <c r="AD207" i="79"/>
  <c r="AD208" i="79"/>
  <c r="AD209" i="79"/>
  <c r="AD210" i="79"/>
  <c r="AD211" i="79"/>
  <c r="AD212" i="79"/>
  <c r="AD213" i="79"/>
  <c r="AP26" i="117" l="1"/>
  <c r="AQ26" i="117"/>
  <c r="AN26" i="117"/>
  <c r="AO26" i="117"/>
  <c r="J15" i="113"/>
  <c r="V87" i="113" s="1"/>
  <c r="U84" i="117"/>
  <c r="Z84" i="117" s="1"/>
  <c r="AR20" i="117" s="1"/>
  <c r="I15" i="113"/>
  <c r="U87" i="113" s="1"/>
  <c r="T84" i="117"/>
  <c r="X84" i="117" s="1"/>
  <c r="Y84" i="117" s="1"/>
  <c r="H15" i="113"/>
  <c r="S84" i="117"/>
  <c r="V84" i="117" s="1"/>
  <c r="W84" i="117" s="1"/>
  <c r="E179" i="115"/>
  <c r="E99" i="115"/>
  <c r="F179" i="115"/>
  <c r="F99" i="115"/>
  <c r="G179" i="115"/>
  <c r="G99" i="115"/>
  <c r="E105" i="115"/>
  <c r="E185" i="115"/>
  <c r="F185" i="115"/>
  <c r="F105" i="115"/>
  <c r="G185" i="115"/>
  <c r="G105" i="115"/>
  <c r="CC21" i="84"/>
  <c r="CC22" i="84"/>
  <c r="CC23" i="84"/>
  <c r="CC24" i="84"/>
  <c r="CC25" i="84"/>
  <c r="CC26" i="84"/>
  <c r="CC27" i="84"/>
  <c r="CC28" i="84"/>
  <c r="CC29" i="84"/>
  <c r="CC30" i="84"/>
  <c r="CC31" i="84"/>
  <c r="CC32" i="84"/>
  <c r="CC33" i="84"/>
  <c r="CC34" i="84"/>
  <c r="CC35" i="84"/>
  <c r="CC36" i="84"/>
  <c r="CC37" i="84"/>
  <c r="CC38" i="84"/>
  <c r="CC39" i="84"/>
  <c r="CC40" i="84"/>
  <c r="CC41" i="84"/>
  <c r="CC42" i="84"/>
  <c r="CC43" i="84"/>
  <c r="CC44" i="84"/>
  <c r="CC45" i="84"/>
  <c r="CC46" i="84"/>
  <c r="CC47" i="84"/>
  <c r="CC48" i="84"/>
  <c r="CC49" i="84"/>
  <c r="CC50" i="84"/>
  <c r="CC51" i="84"/>
  <c r="CC52" i="84"/>
  <c r="CC53" i="84"/>
  <c r="CC54" i="84"/>
  <c r="CC55" i="84"/>
  <c r="CC56" i="84"/>
  <c r="CC57" i="84"/>
  <c r="CC58" i="84"/>
  <c r="CC59" i="84"/>
  <c r="CC60" i="84"/>
  <c r="CC61" i="84"/>
  <c r="CC62" i="84"/>
  <c r="CC63" i="84"/>
  <c r="CC64" i="84"/>
  <c r="CC65" i="84"/>
  <c r="CC66" i="84"/>
  <c r="CC67" i="84"/>
  <c r="CC68" i="84"/>
  <c r="CC69" i="84"/>
  <c r="CC70" i="84"/>
  <c r="CC71" i="84"/>
  <c r="CC72" i="84"/>
  <c r="CC73" i="84"/>
  <c r="CC74" i="84"/>
  <c r="CC75" i="84"/>
  <c r="CC76" i="84"/>
  <c r="CC77" i="84"/>
  <c r="CC78" i="84"/>
  <c r="CC79" i="84"/>
  <c r="CC80" i="84"/>
  <c r="CC81" i="84"/>
  <c r="CC82" i="84"/>
  <c r="CC83" i="84"/>
  <c r="CC84" i="84"/>
  <c r="CC85" i="84"/>
  <c r="CC86" i="84"/>
  <c r="CC87" i="84"/>
  <c r="CC88" i="84"/>
  <c r="CC89" i="84"/>
  <c r="CC90" i="84"/>
  <c r="CC91" i="84"/>
  <c r="CC92" i="84"/>
  <c r="CC93" i="84"/>
  <c r="CC94" i="84"/>
  <c r="CC95" i="84"/>
  <c r="CC96" i="84"/>
  <c r="CC97" i="84"/>
  <c r="CC98" i="84"/>
  <c r="CC99" i="84"/>
  <c r="CC100" i="84"/>
  <c r="CC101" i="84"/>
  <c r="CC102" i="84"/>
  <c r="CC103" i="84"/>
  <c r="CC104" i="84"/>
  <c r="CC105" i="84"/>
  <c r="CC106" i="84"/>
  <c r="CC107" i="84"/>
  <c r="CC108" i="84"/>
  <c r="CC109" i="84"/>
  <c r="CC110" i="84"/>
  <c r="CC111" i="84"/>
  <c r="CC112" i="84"/>
  <c r="CC113" i="84"/>
  <c r="CC114" i="84"/>
  <c r="CC115" i="84"/>
  <c r="CC116" i="84"/>
  <c r="CC117" i="84"/>
  <c r="CC118" i="84"/>
  <c r="CC119" i="84"/>
  <c r="CC120" i="84"/>
  <c r="CC121" i="84"/>
  <c r="CC122" i="84"/>
  <c r="CC123" i="84"/>
  <c r="CC124" i="84"/>
  <c r="CC125" i="84"/>
  <c r="CC126" i="84"/>
  <c r="CC127" i="84"/>
  <c r="CC128" i="84"/>
  <c r="CC129" i="84"/>
  <c r="CC130" i="84"/>
  <c r="CC131" i="84"/>
  <c r="CC132" i="84"/>
  <c r="CC133" i="84"/>
  <c r="CC134" i="84"/>
  <c r="CC135" i="84"/>
  <c r="CC136" i="84"/>
  <c r="CC137" i="84"/>
  <c r="CC138" i="84"/>
  <c r="CC139" i="84"/>
  <c r="CC140" i="84"/>
  <c r="CC141" i="84"/>
  <c r="CC142" i="84"/>
  <c r="CC143" i="84"/>
  <c r="CC144" i="84"/>
  <c r="CC145" i="84"/>
  <c r="CC146" i="84"/>
  <c r="CC147" i="84"/>
  <c r="CC148" i="84"/>
  <c r="CC149" i="84"/>
  <c r="CC150" i="84"/>
  <c r="CC151" i="84"/>
  <c r="CC152" i="84"/>
  <c r="CC153" i="84"/>
  <c r="CC154" i="84"/>
  <c r="CC155" i="84"/>
  <c r="CC156" i="84"/>
  <c r="CC157" i="84"/>
  <c r="CC158" i="84"/>
  <c r="CC159" i="84"/>
  <c r="CC160" i="84"/>
  <c r="CC161" i="84"/>
  <c r="CC162" i="84"/>
  <c r="CC163" i="84"/>
  <c r="CC164" i="84"/>
  <c r="CC165" i="84"/>
  <c r="CC166" i="84"/>
  <c r="CC167" i="84"/>
  <c r="CC168" i="84"/>
  <c r="CC169" i="84"/>
  <c r="CC170" i="84"/>
  <c r="CC171" i="84"/>
  <c r="CC172" i="84"/>
  <c r="CC173" i="84"/>
  <c r="CC174" i="84"/>
  <c r="CC175" i="84"/>
  <c r="CC176" i="84"/>
  <c r="CC177" i="84"/>
  <c r="CC178" i="84"/>
  <c r="CC179" i="84"/>
  <c r="CC180" i="84"/>
  <c r="CC181" i="84"/>
  <c r="CC182" i="84"/>
  <c r="CC183" i="84"/>
  <c r="CC184" i="84"/>
  <c r="CC185" i="84"/>
  <c r="CC186" i="84"/>
  <c r="CC187" i="84"/>
  <c r="CC188" i="84"/>
  <c r="CC189" i="84"/>
  <c r="CC190" i="84"/>
  <c r="CC191" i="84"/>
  <c r="CC192" i="84"/>
  <c r="CC193" i="84"/>
  <c r="CC194" i="84"/>
  <c r="CC195" i="84"/>
  <c r="CC196" i="84"/>
  <c r="CC197" i="84"/>
  <c r="CC198" i="84"/>
  <c r="CC199" i="84"/>
  <c r="CC200" i="84"/>
  <c r="CC201" i="84"/>
  <c r="CC202" i="84"/>
  <c r="CC203" i="84"/>
  <c r="CC204" i="84"/>
  <c r="CC205" i="84"/>
  <c r="CC206" i="84"/>
  <c r="CC207" i="84"/>
  <c r="CC208" i="84"/>
  <c r="CC209" i="84"/>
  <c r="CC210" i="84"/>
  <c r="CC211" i="84"/>
  <c r="CC212" i="84"/>
  <c r="CC213" i="84"/>
  <c r="CC214" i="84"/>
  <c r="CC215" i="84"/>
  <c r="CC216" i="84"/>
  <c r="CC217" i="84"/>
  <c r="CC218" i="84"/>
  <c r="CC219" i="84"/>
  <c r="AD14" i="79"/>
  <c r="CC20" i="84" s="1"/>
  <c r="G56" i="153"/>
  <c r="AF56" i="153" s="1"/>
  <c r="G55" i="153"/>
  <c r="AF55" i="153" s="1"/>
  <c r="G54" i="153"/>
  <c r="AF54" i="153" s="1"/>
  <c r="G53" i="153"/>
  <c r="AF53" i="153" s="1"/>
  <c r="G52" i="153"/>
  <c r="AF52" i="153" s="1"/>
  <c r="G51" i="153"/>
  <c r="AF51" i="153" s="1"/>
  <c r="G50" i="153"/>
  <c r="AF50" i="153" s="1"/>
  <c r="AF49" i="153"/>
  <c r="T87" i="113" l="1"/>
  <c r="AP20" i="117"/>
  <c r="AQ20" i="117"/>
  <c r="AN20" i="117"/>
  <c r="AO20" i="117"/>
  <c r="N76" i="115"/>
  <c r="P82" i="115"/>
  <c r="O76" i="115"/>
  <c r="O82" i="115"/>
  <c r="N82" i="115"/>
  <c r="P76" i="115"/>
  <c r="L84" i="3"/>
  <c r="K84" i="3"/>
  <c r="J84" i="3"/>
  <c r="F84" i="3"/>
  <c r="E84" i="3"/>
  <c r="D84" i="3"/>
  <c r="U91" i="117"/>
  <c r="Z91" i="117" s="1"/>
  <c r="AR27" i="117" s="1"/>
  <c r="T91" i="117"/>
  <c r="X91" i="117" s="1"/>
  <c r="Y91" i="117" s="1"/>
  <c r="U85" i="117"/>
  <c r="Z85" i="117" s="1"/>
  <c r="AR21" i="117" s="1"/>
  <c r="T85" i="117"/>
  <c r="X85" i="117" s="1"/>
  <c r="Y85" i="117" s="1"/>
  <c r="S85" i="117"/>
  <c r="V85" i="117" s="1"/>
  <c r="W85" i="117" s="1"/>
  <c r="R82" i="115" l="1"/>
  <c r="X82" i="115"/>
  <c r="S76" i="115"/>
  <c r="Y76" i="115"/>
  <c r="R76" i="115"/>
  <c r="X76" i="115"/>
  <c r="S82" i="115"/>
  <c r="Y82" i="115"/>
  <c r="Q76" i="115"/>
  <c r="W76" i="115"/>
  <c r="Q82" i="115"/>
  <c r="W82" i="115"/>
  <c r="AP21" i="117"/>
  <c r="AP27" i="117"/>
  <c r="AN21" i="117"/>
  <c r="AO21" i="117"/>
  <c r="I18" i="115"/>
  <c r="U87" i="115" s="1"/>
  <c r="H16" i="113"/>
  <c r="H20" i="115"/>
  <c r="T89" i="115" s="1"/>
  <c r="J18" i="115"/>
  <c r="V87" i="115" s="1"/>
  <c r="I20" i="115"/>
  <c r="U89" i="115" s="1"/>
  <c r="I16" i="113"/>
  <c r="U88" i="113" s="1"/>
  <c r="J20" i="115"/>
  <c r="V89" i="115" s="1"/>
  <c r="J16" i="113"/>
  <c r="V88" i="113" s="1"/>
  <c r="H18" i="115"/>
  <c r="Q21" i="155"/>
  <c r="G14" i="155"/>
  <c r="T88" i="113" l="1"/>
  <c r="T87" i="115"/>
  <c r="AN48" i="135"/>
  <c r="AN46" i="135"/>
  <c r="AM48" i="135"/>
  <c r="AM46" i="135"/>
  <c r="AO49" i="149"/>
  <c r="AO47" i="149"/>
  <c r="AN49" i="149"/>
  <c r="AN47" i="149"/>
  <c r="AW19" i="135" l="1"/>
  <c r="AT19" i="135"/>
  <c r="E19" i="135"/>
  <c r="E94" i="135" l="1"/>
  <c r="G106" i="135"/>
  <c r="AT94" i="135"/>
  <c r="J106" i="135"/>
  <c r="AW94" i="135"/>
  <c r="AJ23" i="135"/>
  <c r="AT96" i="135" l="1"/>
  <c r="M106" i="135"/>
  <c r="L95" i="3"/>
  <c r="J29" i="115" s="1"/>
  <c r="V98" i="115" s="1"/>
  <c r="K95" i="3"/>
  <c r="I29" i="115" s="1"/>
  <c r="U98" i="115" s="1"/>
  <c r="F95" i="3"/>
  <c r="E95" i="3"/>
  <c r="L94" i="3"/>
  <c r="J28" i="115" s="1"/>
  <c r="V97" i="115" s="1"/>
  <c r="K94" i="3"/>
  <c r="I28" i="115" s="1"/>
  <c r="U97" i="115" s="1"/>
  <c r="J94" i="3"/>
  <c r="H28" i="115" s="1"/>
  <c r="T97" i="115" s="1"/>
  <c r="F94" i="3"/>
  <c r="E94" i="3"/>
  <c r="D94" i="3"/>
  <c r="L93" i="3"/>
  <c r="J27" i="115" s="1"/>
  <c r="V96" i="115" s="1"/>
  <c r="K93" i="3"/>
  <c r="I27" i="115" s="1"/>
  <c r="U96" i="115" s="1"/>
  <c r="J93" i="3"/>
  <c r="H27" i="115" s="1"/>
  <c r="T96" i="115" s="1"/>
  <c r="F93" i="3"/>
  <c r="E93" i="3"/>
  <c r="D93" i="3"/>
  <c r="S91" i="117"/>
  <c r="V91" i="117" s="1"/>
  <c r="W91" i="117" s="1"/>
  <c r="L90" i="3"/>
  <c r="U89" i="117" s="1"/>
  <c r="Z89" i="117" s="1"/>
  <c r="AR25" i="117" s="1"/>
  <c r="K90" i="3"/>
  <c r="T89" i="117" s="1"/>
  <c r="X89" i="117" s="1"/>
  <c r="Y89" i="117" s="1"/>
  <c r="J90" i="3"/>
  <c r="S89" i="117" s="1"/>
  <c r="V89" i="117" s="1"/>
  <c r="W89" i="117" s="1"/>
  <c r="F90" i="3"/>
  <c r="E90" i="3"/>
  <c r="D90" i="3"/>
  <c r="L89" i="3"/>
  <c r="K89" i="3"/>
  <c r="F89" i="3"/>
  <c r="L88" i="3"/>
  <c r="K88" i="3"/>
  <c r="J88" i="3"/>
  <c r="F88" i="3"/>
  <c r="E88" i="3"/>
  <c r="D88" i="3"/>
  <c r="L87" i="3"/>
  <c r="K87" i="3"/>
  <c r="J87" i="3"/>
  <c r="F87" i="3"/>
  <c r="E87" i="3"/>
  <c r="D87" i="3"/>
  <c r="L95" i="1"/>
  <c r="J25" i="113" s="1"/>
  <c r="V97" i="113" s="1"/>
  <c r="K95" i="1"/>
  <c r="I25" i="113" s="1"/>
  <c r="U97" i="113" s="1"/>
  <c r="L94" i="1"/>
  <c r="J24" i="113" s="1"/>
  <c r="V96" i="113" s="1"/>
  <c r="K94" i="1"/>
  <c r="I24" i="113" s="1"/>
  <c r="U96" i="113" s="1"/>
  <c r="J94" i="1"/>
  <c r="H24" i="113" s="1"/>
  <c r="T96" i="113" s="1"/>
  <c r="L93" i="1"/>
  <c r="J23" i="113" s="1"/>
  <c r="V95" i="113" s="1"/>
  <c r="K93" i="1"/>
  <c r="I23" i="113" s="1"/>
  <c r="U95" i="113" s="1"/>
  <c r="J93" i="1"/>
  <c r="H23" i="113" s="1"/>
  <c r="T95" i="113" s="1"/>
  <c r="L89" i="1"/>
  <c r="K89" i="1"/>
  <c r="L88" i="1"/>
  <c r="K88" i="1"/>
  <c r="J88" i="1"/>
  <c r="L87" i="1"/>
  <c r="K87" i="1"/>
  <c r="J87" i="1"/>
  <c r="F95" i="1"/>
  <c r="F94" i="1"/>
  <c r="F93" i="1"/>
  <c r="F89" i="1"/>
  <c r="F88" i="1"/>
  <c r="F87" i="1"/>
  <c r="E95" i="1"/>
  <c r="E94" i="1"/>
  <c r="E93" i="1"/>
  <c r="E89" i="1"/>
  <c r="E88" i="1"/>
  <c r="E87" i="1"/>
  <c r="D94" i="1"/>
  <c r="D93" i="1"/>
  <c r="D88" i="1"/>
  <c r="D87" i="1"/>
  <c r="F14" i="155"/>
  <c r="F15" i="155"/>
  <c r="F16" i="155"/>
  <c r="F17" i="155"/>
  <c r="F18" i="155"/>
  <c r="F20" i="155"/>
  <c r="F21" i="155"/>
  <c r="F22" i="155"/>
  <c r="F23" i="155"/>
  <c r="F24" i="155"/>
  <c r="F25" i="155"/>
  <c r="P14" i="155"/>
  <c r="P15" i="155"/>
  <c r="P16" i="155"/>
  <c r="P17" i="155"/>
  <c r="P18" i="155"/>
  <c r="P20" i="155"/>
  <c r="P21" i="155"/>
  <c r="P22" i="155"/>
  <c r="P23" i="155"/>
  <c r="P24" i="155"/>
  <c r="P25" i="155"/>
  <c r="T88" i="117" l="1"/>
  <c r="U88" i="117"/>
  <c r="T86" i="117"/>
  <c r="X86" i="117" s="1"/>
  <c r="Y86" i="117" s="1"/>
  <c r="S87" i="117"/>
  <c r="V87" i="117" s="1"/>
  <c r="W87" i="117" s="1"/>
  <c r="AO23" i="117" s="1"/>
  <c r="AP25" i="117"/>
  <c r="AN27" i="117"/>
  <c r="AO27" i="117"/>
  <c r="AN25" i="117"/>
  <c r="AO25" i="117"/>
  <c r="S86" i="117"/>
  <c r="V86" i="117" s="1"/>
  <c r="W86" i="117" s="1"/>
  <c r="U87" i="117"/>
  <c r="Z87" i="117" s="1"/>
  <c r="AR23" i="117" s="1"/>
  <c r="S92" i="117"/>
  <c r="V92" i="117" s="1"/>
  <c r="W92" i="117" s="1"/>
  <c r="U86" i="117"/>
  <c r="Z86" i="117" s="1"/>
  <c r="AR22" i="117" s="1"/>
  <c r="T94" i="117"/>
  <c r="X94" i="117" s="1"/>
  <c r="AP30" i="117" s="1"/>
  <c r="T92" i="117"/>
  <c r="X92" i="117" s="1"/>
  <c r="Y92" i="117" s="1"/>
  <c r="S93" i="117"/>
  <c r="V93" i="117" s="1"/>
  <c r="W93" i="117" s="1"/>
  <c r="T87" i="117"/>
  <c r="X87" i="117" s="1"/>
  <c r="Y87" i="117" s="1"/>
  <c r="U94" i="117"/>
  <c r="Z94" i="117" s="1"/>
  <c r="AR30" i="117" s="1"/>
  <c r="T93" i="117"/>
  <c r="X93" i="117" s="1"/>
  <c r="Y93" i="117" s="1"/>
  <c r="U92" i="117"/>
  <c r="Z92" i="117" s="1"/>
  <c r="AR28" i="117" s="1"/>
  <c r="U93" i="117"/>
  <c r="Z93" i="117" s="1"/>
  <c r="AR29" i="117" s="1"/>
  <c r="J17" i="113"/>
  <c r="V89" i="113" s="1"/>
  <c r="H26" i="115"/>
  <c r="T95" i="115" s="1"/>
  <c r="H18" i="113"/>
  <c r="T90" i="113" s="1"/>
  <c r="H24" i="115"/>
  <c r="T93" i="115" s="1"/>
  <c r="I18" i="113"/>
  <c r="U90" i="113" s="1"/>
  <c r="H21" i="115"/>
  <c r="I23" i="115"/>
  <c r="U92" i="115" s="1"/>
  <c r="I24" i="115"/>
  <c r="U93" i="115" s="1"/>
  <c r="J18" i="113"/>
  <c r="V90" i="113" s="1"/>
  <c r="I21" i="115"/>
  <c r="U90" i="115" s="1"/>
  <c r="H22" i="115"/>
  <c r="T91" i="115" s="1"/>
  <c r="J23" i="115"/>
  <c r="V92" i="115" s="1"/>
  <c r="J24" i="115"/>
  <c r="V93" i="115" s="1"/>
  <c r="D96" i="1"/>
  <c r="I19" i="113"/>
  <c r="U91" i="113" s="1"/>
  <c r="J21" i="115"/>
  <c r="V90" i="115" s="1"/>
  <c r="I22" i="115"/>
  <c r="U91" i="115" s="1"/>
  <c r="E96" i="1"/>
  <c r="J19" i="113"/>
  <c r="V91" i="113" s="1"/>
  <c r="J22" i="115"/>
  <c r="V91" i="115" s="1"/>
  <c r="H17" i="113"/>
  <c r="I17" i="113"/>
  <c r="U89" i="113" s="1"/>
  <c r="F96" i="1"/>
  <c r="K96" i="1"/>
  <c r="L96" i="1"/>
  <c r="J96" i="1"/>
  <c r="T89" i="113" l="1"/>
  <c r="H27" i="113"/>
  <c r="T90" i="115"/>
  <c r="H31" i="115"/>
  <c r="AP22" i="117"/>
  <c r="AN23" i="117"/>
  <c r="AP28" i="117"/>
  <c r="AP29" i="117"/>
  <c r="AP23" i="117"/>
  <c r="AN22" i="117"/>
  <c r="AO22" i="117"/>
  <c r="AN29" i="117"/>
  <c r="AO29" i="117"/>
  <c r="AN28" i="117"/>
  <c r="AO28" i="117"/>
  <c r="J31" i="115"/>
  <c r="I31" i="115"/>
  <c r="H209" i="113"/>
  <c r="AB6" i="79" l="1"/>
  <c r="N14" i="152" l="1"/>
  <c r="O14" i="152"/>
  <c r="P14" i="152"/>
  <c r="N15" i="152"/>
  <c r="O15" i="152"/>
  <c r="P15" i="152"/>
  <c r="N16" i="152"/>
  <c r="O16" i="152"/>
  <c r="P16" i="152"/>
  <c r="R13" i="155"/>
  <c r="R16" i="155"/>
  <c r="U16" i="155" s="1"/>
  <c r="E57" i="153"/>
  <c r="F57" i="153"/>
  <c r="D57" i="153"/>
  <c r="J56" i="153"/>
  <c r="AC56" i="153" s="1"/>
  <c r="I56" i="153"/>
  <c r="H56" i="153"/>
  <c r="J55" i="153"/>
  <c r="AC55" i="153" s="1"/>
  <c r="I55" i="153"/>
  <c r="H55" i="153"/>
  <c r="J54" i="153"/>
  <c r="AC54" i="153" s="1"/>
  <c r="I54" i="153"/>
  <c r="H54" i="153"/>
  <c r="J53" i="153"/>
  <c r="AC53" i="153" s="1"/>
  <c r="I53" i="153"/>
  <c r="H53" i="153"/>
  <c r="F38" i="152"/>
  <c r="F39" i="152"/>
  <c r="F40" i="152"/>
  <c r="F26" i="152"/>
  <c r="F27" i="152"/>
  <c r="F25" i="152"/>
  <c r="B28" i="152"/>
  <c r="F28" i="152" s="1"/>
  <c r="C28" i="152"/>
  <c r="G28" i="152" s="1"/>
  <c r="D28" i="152"/>
  <c r="H28" i="152" s="1"/>
  <c r="H54" i="152" l="1"/>
  <c r="H52" i="152"/>
  <c r="H51" i="152"/>
  <c r="AB54" i="153"/>
  <c r="AB56" i="153"/>
  <c r="AB53" i="153"/>
  <c r="AB55" i="153"/>
  <c r="AE53" i="153"/>
  <c r="AE55" i="153"/>
  <c r="AE54" i="153"/>
  <c r="AE56" i="153"/>
  <c r="H53" i="152"/>
  <c r="H50" i="152"/>
  <c r="H49" i="152"/>
  <c r="I13" i="61" l="1"/>
  <c r="J35" i="116" s="1"/>
  <c r="H13" i="61"/>
  <c r="I35" i="116" s="1"/>
  <c r="G13" i="61"/>
  <c r="H35" i="116" s="1"/>
  <c r="F13" i="61"/>
  <c r="G35" i="116" s="1"/>
  <c r="E13" i="61"/>
  <c r="D13" i="61"/>
  <c r="C13" i="61"/>
  <c r="B13" i="61"/>
  <c r="T15" i="116" l="1"/>
  <c r="U15" i="116"/>
  <c r="V15" i="116"/>
  <c r="R14" i="116"/>
  <c r="U14" i="116"/>
  <c r="V14" i="116"/>
  <c r="P13" i="116"/>
  <c r="S13" i="116"/>
  <c r="T13" i="116" l="1"/>
  <c r="V13" i="116"/>
  <c r="G37" i="116"/>
  <c r="Q14" i="116"/>
  <c r="U13" i="116"/>
  <c r="P14" i="116"/>
  <c r="S14" i="116"/>
  <c r="S15" i="116"/>
  <c r="O14" i="116"/>
  <c r="Q13" i="116"/>
  <c r="T14" i="116"/>
  <c r="R13" i="116"/>
  <c r="G30" i="116" l="1"/>
  <c r="H3" i="116" l="1"/>
  <c r="A21" i="61"/>
  <c r="C30" i="155" l="1"/>
  <c r="F30" i="155" s="1"/>
  <c r="M30" i="155"/>
  <c r="P30" i="155" s="1"/>
  <c r="R23" i="155"/>
  <c r="U23" i="155" s="1"/>
  <c r="R30" i="155" l="1"/>
  <c r="U30" i="155" s="1"/>
  <c r="K72" i="154" l="1"/>
  <c r="K71" i="154"/>
  <c r="K68" i="154"/>
  <c r="AH68" i="154" l="1"/>
  <c r="Y68" i="154"/>
  <c r="AA68" i="154"/>
  <c r="AH72" i="154"/>
  <c r="AA72" i="154"/>
  <c r="Y72" i="154"/>
  <c r="AH71" i="154"/>
  <c r="Y71" i="154"/>
  <c r="AA71" i="154"/>
  <c r="AF72" i="154"/>
  <c r="AF68" i="154"/>
  <c r="AF71" i="154"/>
  <c r="J19" i="154"/>
  <c r="AC19" i="154" l="1"/>
  <c r="AA19" i="154"/>
  <c r="E17" i="152"/>
  <c r="F105" i="154" l="1"/>
  <c r="N105" i="154" s="1"/>
  <c r="G105" i="154"/>
  <c r="O105" i="154" s="1"/>
  <c r="K102" i="154" l="1"/>
  <c r="K101" i="154"/>
  <c r="K100" i="154"/>
  <c r="K99" i="154"/>
  <c r="K98" i="154"/>
  <c r="K97" i="154"/>
  <c r="K96" i="154"/>
  <c r="K95" i="154"/>
  <c r="K94" i="154"/>
  <c r="K93" i="154"/>
  <c r="K92" i="154"/>
  <c r="K91" i="154"/>
  <c r="K90" i="154"/>
  <c r="K89" i="154"/>
  <c r="K88" i="154"/>
  <c r="K87" i="154"/>
  <c r="K86" i="154"/>
  <c r="K85" i="154"/>
  <c r="K84" i="154"/>
  <c r="K83" i="154"/>
  <c r="K82" i="154"/>
  <c r="K81" i="154"/>
  <c r="K80" i="154"/>
  <c r="K79" i="154"/>
  <c r="K78" i="154"/>
  <c r="K77" i="154"/>
  <c r="K76" i="154"/>
  <c r="K75" i="154"/>
  <c r="K73" i="154"/>
  <c r="K74" i="154"/>
  <c r="K66" i="154"/>
  <c r="K53" i="154"/>
  <c r="AD53" i="154" s="1"/>
  <c r="J53" i="154"/>
  <c r="AC53" i="154" s="1"/>
  <c r="K52" i="154"/>
  <c r="AD52" i="154" s="1"/>
  <c r="J52" i="154"/>
  <c r="AC52" i="154" s="1"/>
  <c r="K51" i="154"/>
  <c r="AD51" i="154" s="1"/>
  <c r="J51" i="154"/>
  <c r="AC51" i="154" s="1"/>
  <c r="K50" i="154"/>
  <c r="AD50" i="154" s="1"/>
  <c r="J50" i="154"/>
  <c r="AC50" i="154" s="1"/>
  <c r="K49" i="154"/>
  <c r="AD49" i="154" s="1"/>
  <c r="J49" i="154"/>
  <c r="AC49" i="154" s="1"/>
  <c r="K48" i="154"/>
  <c r="AD48" i="154" s="1"/>
  <c r="J48" i="154"/>
  <c r="AC48" i="154" s="1"/>
  <c r="K47" i="154"/>
  <c r="AD47" i="154" s="1"/>
  <c r="J47" i="154"/>
  <c r="AC47" i="154" s="1"/>
  <c r="K46" i="154"/>
  <c r="AD46" i="154" s="1"/>
  <c r="J46" i="154"/>
  <c r="AC46" i="154" s="1"/>
  <c r="K45" i="154"/>
  <c r="AD45" i="154" s="1"/>
  <c r="J45" i="154"/>
  <c r="AC45" i="154" s="1"/>
  <c r="K44" i="154"/>
  <c r="AD44" i="154" s="1"/>
  <c r="J44" i="154"/>
  <c r="AC44" i="154" s="1"/>
  <c r="K43" i="154"/>
  <c r="AD43" i="154" s="1"/>
  <c r="J43" i="154"/>
  <c r="AC43" i="154" s="1"/>
  <c r="K42" i="154"/>
  <c r="AD42" i="154" s="1"/>
  <c r="J42" i="154"/>
  <c r="AC42" i="154" s="1"/>
  <c r="K41" i="154"/>
  <c r="AD41" i="154" s="1"/>
  <c r="J41" i="154"/>
  <c r="AC41" i="154" s="1"/>
  <c r="K40" i="154"/>
  <c r="AD40" i="154" s="1"/>
  <c r="J40" i="154"/>
  <c r="AC40" i="154" s="1"/>
  <c r="K39" i="154"/>
  <c r="AD39" i="154" s="1"/>
  <c r="J39" i="154"/>
  <c r="AC39" i="154" s="1"/>
  <c r="K38" i="154"/>
  <c r="AD38" i="154" s="1"/>
  <c r="J38" i="154"/>
  <c r="AC38" i="154" s="1"/>
  <c r="K37" i="154"/>
  <c r="AD37" i="154" s="1"/>
  <c r="J37" i="154"/>
  <c r="AC37" i="154" s="1"/>
  <c r="K36" i="154"/>
  <c r="AD36" i="154" s="1"/>
  <c r="J36" i="154"/>
  <c r="AC36" i="154" s="1"/>
  <c r="K35" i="154"/>
  <c r="AD35" i="154" s="1"/>
  <c r="J35" i="154"/>
  <c r="AC35" i="154" s="1"/>
  <c r="K34" i="154"/>
  <c r="AD34" i="154" s="1"/>
  <c r="J34" i="154"/>
  <c r="AC34" i="154" s="1"/>
  <c r="K33" i="154"/>
  <c r="AD33" i="154" s="1"/>
  <c r="J33" i="154"/>
  <c r="AC33" i="154" s="1"/>
  <c r="K32" i="154"/>
  <c r="AD32" i="154" s="1"/>
  <c r="K31" i="154"/>
  <c r="AD31" i="154" s="1"/>
  <c r="K30" i="154"/>
  <c r="AD30" i="154" s="1"/>
  <c r="J32" i="154"/>
  <c r="AC32" i="154" s="1"/>
  <c r="J31" i="154"/>
  <c r="AC31" i="154" s="1"/>
  <c r="J30" i="154"/>
  <c r="AC30" i="154" s="1"/>
  <c r="K29" i="154"/>
  <c r="AD29" i="154" s="1"/>
  <c r="J29" i="154"/>
  <c r="AC29" i="154" s="1"/>
  <c r="K28" i="154"/>
  <c r="AD28" i="154" s="1"/>
  <c r="J28" i="154"/>
  <c r="AC28" i="154" s="1"/>
  <c r="K27" i="154"/>
  <c r="AD27" i="154" s="1"/>
  <c r="J27" i="154"/>
  <c r="AC27" i="154" s="1"/>
  <c r="K26" i="154"/>
  <c r="AD26" i="154" s="1"/>
  <c r="J26" i="154"/>
  <c r="AC26" i="154" s="1"/>
  <c r="K25" i="154"/>
  <c r="AD25" i="154" s="1"/>
  <c r="J25" i="154"/>
  <c r="AC25" i="154" s="1"/>
  <c r="K24" i="154"/>
  <c r="AD24" i="154" s="1"/>
  <c r="K22" i="154"/>
  <c r="J24" i="154"/>
  <c r="AC24" i="154" s="1"/>
  <c r="J22" i="154"/>
  <c r="K23" i="154"/>
  <c r="AD23" i="154" s="1"/>
  <c r="J23" i="154"/>
  <c r="AC23" i="154" s="1"/>
  <c r="K19" i="154"/>
  <c r="AD19" i="154" s="1"/>
  <c r="K17" i="154"/>
  <c r="K103" i="154" l="1"/>
  <c r="J54" i="154"/>
  <c r="K54" i="154"/>
  <c r="AD22" i="154"/>
  <c r="AC22" i="154"/>
  <c r="AD17" i="154"/>
  <c r="AH79" i="154"/>
  <c r="Y79" i="154"/>
  <c r="AA79" i="154"/>
  <c r="AH87" i="154"/>
  <c r="Y87" i="154"/>
  <c r="AA87" i="154"/>
  <c r="AH95" i="154"/>
  <c r="Y95" i="154"/>
  <c r="AA95" i="154"/>
  <c r="AH74" i="154"/>
  <c r="Y74" i="154"/>
  <c r="AA74" i="154"/>
  <c r="AH66" i="154"/>
  <c r="AA66" i="154"/>
  <c r="Y66" i="154"/>
  <c r="AH80" i="154"/>
  <c r="Y80" i="154"/>
  <c r="AA80" i="154"/>
  <c r="AH88" i="154"/>
  <c r="Y88" i="154"/>
  <c r="AA88" i="154"/>
  <c r="AH96" i="154"/>
  <c r="Y96" i="154"/>
  <c r="AA96" i="154"/>
  <c r="AH97" i="154"/>
  <c r="AA97" i="154"/>
  <c r="Y97" i="154"/>
  <c r="AH73" i="154"/>
  <c r="Y73" i="154"/>
  <c r="AA73" i="154"/>
  <c r="AH82" i="154"/>
  <c r="AA82" i="154"/>
  <c r="Y82" i="154"/>
  <c r="AH90" i="154"/>
  <c r="AA90" i="154"/>
  <c r="Y90" i="154"/>
  <c r="AH98" i="154"/>
  <c r="AA98" i="154"/>
  <c r="Y98" i="154"/>
  <c r="AH81" i="154"/>
  <c r="Y81" i="154"/>
  <c r="AA81" i="154"/>
  <c r="AH75" i="154"/>
  <c r="Y75" i="154"/>
  <c r="AA75" i="154"/>
  <c r="AH83" i="154"/>
  <c r="AA83" i="154"/>
  <c r="Y83" i="154"/>
  <c r="AH91" i="154"/>
  <c r="Y91" i="154"/>
  <c r="AA91" i="154"/>
  <c r="AH99" i="154"/>
  <c r="Y99" i="154"/>
  <c r="AA99" i="154"/>
  <c r="AH76" i="154"/>
  <c r="Y76" i="154"/>
  <c r="AA76" i="154"/>
  <c r="AH84" i="154"/>
  <c r="Y84" i="154"/>
  <c r="AA84" i="154"/>
  <c r="AH92" i="154"/>
  <c r="AA92" i="154"/>
  <c r="Y92" i="154"/>
  <c r="AH100" i="154"/>
  <c r="Y100" i="154"/>
  <c r="AA100" i="154"/>
  <c r="AH77" i="154"/>
  <c r="Y77" i="154"/>
  <c r="AA77" i="154"/>
  <c r="AH85" i="154"/>
  <c r="Y85" i="154"/>
  <c r="AA85" i="154"/>
  <c r="AH93" i="154"/>
  <c r="Y93" i="154"/>
  <c r="AA93" i="154"/>
  <c r="AH101" i="154"/>
  <c r="Y101" i="154"/>
  <c r="AA101" i="154"/>
  <c r="AH89" i="154"/>
  <c r="Y89" i="154"/>
  <c r="AA89" i="154"/>
  <c r="AH78" i="154"/>
  <c r="Y78" i="154"/>
  <c r="AA78" i="154"/>
  <c r="AH86" i="154"/>
  <c r="Y86" i="154"/>
  <c r="AA86" i="154"/>
  <c r="AH94" i="154"/>
  <c r="Y94" i="154"/>
  <c r="AA94" i="154"/>
  <c r="AH102" i="154"/>
  <c r="Y102" i="154"/>
  <c r="AA102" i="154"/>
  <c r="J55" i="154"/>
  <c r="AA29" i="154"/>
  <c r="AB19" i="154"/>
  <c r="AB25" i="154"/>
  <c r="AB29" i="154"/>
  <c r="AB33" i="154"/>
  <c r="AB37" i="154"/>
  <c r="AB41" i="154"/>
  <c r="AB45" i="154"/>
  <c r="AB49" i="154"/>
  <c r="AB53" i="154"/>
  <c r="AA22" i="154"/>
  <c r="AA26" i="154"/>
  <c r="AA30" i="154"/>
  <c r="AA34" i="154"/>
  <c r="AA38" i="154"/>
  <c r="AA42" i="154"/>
  <c r="AA46" i="154"/>
  <c r="AA50" i="154"/>
  <c r="AA23" i="154"/>
  <c r="AB23" i="154"/>
  <c r="AB26" i="154"/>
  <c r="AA31" i="154"/>
  <c r="AB34" i="154"/>
  <c r="AB38" i="154"/>
  <c r="AB42" i="154"/>
  <c r="AB46" i="154"/>
  <c r="AB50" i="154"/>
  <c r="AA27" i="154"/>
  <c r="AA39" i="154"/>
  <c r="AA43" i="154"/>
  <c r="AA47" i="154"/>
  <c r="AA51" i="154"/>
  <c r="AA32" i="154"/>
  <c r="AA24" i="154"/>
  <c r="AB27" i="154"/>
  <c r="AB30" i="154"/>
  <c r="AB35" i="154"/>
  <c r="AB39" i="154"/>
  <c r="AB43" i="154"/>
  <c r="AB47" i="154"/>
  <c r="AB51" i="154"/>
  <c r="AA35" i="154"/>
  <c r="AB22" i="154"/>
  <c r="AA28" i="154"/>
  <c r="AB31" i="154"/>
  <c r="AA36" i="154"/>
  <c r="AA40" i="154"/>
  <c r="AA44" i="154"/>
  <c r="AA48" i="154"/>
  <c r="AA52" i="154"/>
  <c r="AB24" i="154"/>
  <c r="AB28" i="154"/>
  <c r="AB32" i="154"/>
  <c r="AB36" i="154"/>
  <c r="AB40" i="154"/>
  <c r="AB44" i="154"/>
  <c r="AB48" i="154"/>
  <c r="AB52" i="154"/>
  <c r="AA25" i="154"/>
  <c r="AA33" i="154"/>
  <c r="AA37" i="154"/>
  <c r="AA41" i="154"/>
  <c r="AA45" i="154"/>
  <c r="AA49" i="154"/>
  <c r="AA53" i="154"/>
  <c r="AB17" i="154"/>
  <c r="AF80" i="154"/>
  <c r="AF88" i="154"/>
  <c r="AF96" i="154"/>
  <c r="AF95" i="154"/>
  <c r="AF74" i="154"/>
  <c r="AF81" i="154"/>
  <c r="AF89" i="154"/>
  <c r="AF97" i="154"/>
  <c r="AF79" i="154"/>
  <c r="AF73" i="154"/>
  <c r="AF82" i="154"/>
  <c r="AF90" i="154"/>
  <c r="AF98" i="154"/>
  <c r="AF87" i="154"/>
  <c r="AF75" i="154"/>
  <c r="AF83" i="154"/>
  <c r="AF91" i="154"/>
  <c r="AF99" i="154"/>
  <c r="AF76" i="154"/>
  <c r="AF84" i="154"/>
  <c r="AF92" i="154"/>
  <c r="AF100" i="154"/>
  <c r="AF93" i="154"/>
  <c r="AF101" i="154"/>
  <c r="AF77" i="154"/>
  <c r="AF85" i="154"/>
  <c r="AF78" i="154"/>
  <c r="AF86" i="154"/>
  <c r="AF94" i="154"/>
  <c r="AF102" i="154"/>
  <c r="K55" i="154"/>
  <c r="K104" i="154"/>
  <c r="AN23" i="135" l="1"/>
  <c r="AN55" i="135" s="1"/>
  <c r="AN24" i="135"/>
  <c r="AN25" i="135"/>
  <c r="AN57" i="135" s="1"/>
  <c r="AN26" i="135"/>
  <c r="AN29" i="135"/>
  <c r="AN61" i="135" s="1"/>
  <c r="AN30" i="135"/>
  <c r="AN62" i="135" s="1"/>
  <c r="AN31" i="135"/>
  <c r="AN63" i="135" s="1"/>
  <c r="AN32" i="135"/>
  <c r="AN64" i="135" s="1"/>
  <c r="AJ30" i="135"/>
  <c r="AJ62" i="135" s="1"/>
  <c r="AK30" i="135"/>
  <c r="AJ31" i="135"/>
  <c r="AK31" i="135"/>
  <c r="AJ32" i="135"/>
  <c r="AK32" i="135"/>
  <c r="AK29" i="135"/>
  <c r="AJ29" i="135"/>
  <c r="AK24" i="135"/>
  <c r="AK25" i="135"/>
  <c r="AK26" i="135"/>
  <c r="AK23" i="135"/>
  <c r="AK31" i="149" l="1"/>
  <c r="AL31" i="149"/>
  <c r="AN31" i="149"/>
  <c r="AN63" i="149" s="1"/>
  <c r="AO31" i="149"/>
  <c r="AO63" i="149" s="1"/>
  <c r="AK32" i="149"/>
  <c r="AL32" i="149"/>
  <c r="AN32" i="149"/>
  <c r="AN64" i="149" s="1"/>
  <c r="AO32" i="149"/>
  <c r="AO64" i="149" s="1"/>
  <c r="AK33" i="149"/>
  <c r="AL33" i="149"/>
  <c r="AN33" i="149"/>
  <c r="AN65" i="149" s="1"/>
  <c r="AO33" i="149"/>
  <c r="AO65" i="149" s="1"/>
  <c r="AL30" i="149"/>
  <c r="AN30" i="149"/>
  <c r="AN62" i="149" s="1"/>
  <c r="AO30" i="149"/>
  <c r="AO62" i="149" s="1"/>
  <c r="AK30" i="149"/>
  <c r="AK27" i="149"/>
  <c r="AL27" i="149"/>
  <c r="AN27" i="149"/>
  <c r="AN59" i="149" s="1"/>
  <c r="AO27" i="149"/>
  <c r="AO59" i="149" s="1"/>
  <c r="AN20" i="149"/>
  <c r="AN52" i="149" s="1"/>
  <c r="AL20" i="149"/>
  <c r="C14" i="79" l="1"/>
  <c r="K14" i="79" s="1"/>
  <c r="G20" i="84" l="1" a="1"/>
  <c r="G20" i="84" s="1"/>
  <c r="E14" i="79"/>
  <c r="L14" i="79" s="1"/>
  <c r="AG20" i="84" l="1"/>
  <c r="T14" i="113"/>
  <c r="K20" i="84"/>
  <c r="O14" i="117"/>
  <c r="P14" i="117"/>
  <c r="Q14" i="117"/>
  <c r="R14" i="117"/>
  <c r="N14" i="117"/>
  <c r="D14" i="79" l="1"/>
  <c r="M14" i="117"/>
  <c r="I89" i="141" l="1"/>
  <c r="I87" i="141"/>
  <c r="S93" i="135" s="1"/>
  <c r="F89" i="141"/>
  <c r="F87" i="141"/>
  <c r="P93" i="135" s="1"/>
  <c r="G184" i="149"/>
  <c r="M184" i="149" s="1"/>
  <c r="G183" i="149"/>
  <c r="M183" i="149" s="1"/>
  <c r="G182" i="149"/>
  <c r="M182" i="149" s="1"/>
  <c r="S95" i="135" l="1"/>
  <c r="J182" i="135" s="1"/>
  <c r="P95" i="135"/>
  <c r="G182" i="135" s="1"/>
  <c r="J180" i="135"/>
  <c r="G180" i="135"/>
  <c r="L88" i="136"/>
  <c r="L87" i="136"/>
  <c r="L89" i="136"/>
  <c r="L90" i="141"/>
  <c r="L90" i="136"/>
  <c r="L88" i="141"/>
  <c r="K56" i="154"/>
  <c r="F91" i="141"/>
  <c r="L89" i="141"/>
  <c r="L87" i="141"/>
  <c r="I91" i="141"/>
  <c r="M180" i="135" l="1"/>
  <c r="M182" i="135"/>
  <c r="S98" i="135"/>
  <c r="P98" i="135"/>
  <c r="L91" i="136"/>
  <c r="G181" i="149"/>
  <c r="M181" i="149" s="1"/>
  <c r="L91" i="141"/>
  <c r="AN21" i="135" l="1"/>
  <c r="AN53" i="135" s="1"/>
  <c r="AN19" i="135"/>
  <c r="AN51" i="135" s="1"/>
  <c r="AK21" i="135"/>
  <c r="AK19" i="135"/>
  <c r="AK22" i="149" l="1"/>
  <c r="AL22" i="149"/>
  <c r="AN22" i="149"/>
  <c r="AN54" i="149" s="1"/>
  <c r="AO22" i="149"/>
  <c r="AO54" i="149" s="1"/>
  <c r="AO20" i="149"/>
  <c r="AO52" i="149" s="1"/>
  <c r="H49" i="153" l="1"/>
  <c r="I49" i="153"/>
  <c r="J49" i="153"/>
  <c r="AC49" i="153" s="1"/>
  <c r="AM32" i="135" l="1"/>
  <c r="AM64" i="135" s="1"/>
  <c r="AM31" i="135"/>
  <c r="AM63" i="135" s="1"/>
  <c r="AM30" i="135"/>
  <c r="AM62" i="135" s="1"/>
  <c r="AM29" i="135"/>
  <c r="AM61" i="135" s="1"/>
  <c r="AM26" i="135"/>
  <c r="AM25" i="135"/>
  <c r="AM57" i="135" s="1"/>
  <c r="AM24" i="135"/>
  <c r="AM23" i="135"/>
  <c r="AM55" i="135" s="1"/>
  <c r="AJ24" i="135"/>
  <c r="AJ25" i="135"/>
  <c r="AJ26" i="135"/>
  <c r="V53" i="154" l="1"/>
  <c r="V52" i="154"/>
  <c r="V51" i="154"/>
  <c r="V50" i="154"/>
  <c r="V49" i="154"/>
  <c r="V48" i="154"/>
  <c r="V47" i="154"/>
  <c r="V46" i="154"/>
  <c r="V45" i="154"/>
  <c r="V44" i="154"/>
  <c r="V43" i="154"/>
  <c r="V42" i="154"/>
  <c r="V41" i="154"/>
  <c r="V40" i="154"/>
  <c r="V39" i="154"/>
  <c r="V38" i="154"/>
  <c r="V37" i="154"/>
  <c r="V36" i="154"/>
  <c r="V35" i="154"/>
  <c r="V34" i="154"/>
  <c r="V33" i="154"/>
  <c r="V32" i="154"/>
  <c r="V31" i="154"/>
  <c r="V30" i="154"/>
  <c r="V29" i="154"/>
  <c r="V28" i="154"/>
  <c r="V27" i="154"/>
  <c r="V26" i="154"/>
  <c r="V25" i="154"/>
  <c r="V24" i="154"/>
  <c r="V22" i="154"/>
  <c r="V19" i="154"/>
  <c r="L17" i="154"/>
  <c r="V23" i="154" l="1"/>
  <c r="V17" i="154"/>
  <c r="K75" i="153" l="1"/>
  <c r="J75" i="153"/>
  <c r="AN113" i="135" l="1"/>
  <c r="I144" i="135" s="1"/>
  <c r="AN40" i="135"/>
  <c r="AN56" i="135" s="1"/>
  <c r="AN115" i="135"/>
  <c r="I146" i="135" s="1"/>
  <c r="AN42" i="135"/>
  <c r="AN58" i="135" s="1"/>
  <c r="AM42" i="135"/>
  <c r="AM115" i="135"/>
  <c r="H146" i="135" s="1"/>
  <c r="AM40" i="135"/>
  <c r="AM113" i="135"/>
  <c r="H144" i="135" s="1"/>
  <c r="AM56" i="135" l="1"/>
  <c r="AM114" i="135" s="1"/>
  <c r="H145" i="135" s="1"/>
  <c r="AM58" i="135"/>
  <c r="AM116" i="135" s="1"/>
  <c r="H147" i="135" s="1"/>
  <c r="AN116" i="135"/>
  <c r="I147" i="135" s="1"/>
  <c r="F429" i="84"/>
  <c r="J429" i="84"/>
  <c r="L429" i="84"/>
  <c r="N429" i="84"/>
  <c r="O429" i="84"/>
  <c r="P429" i="84"/>
  <c r="Q429" i="84"/>
  <c r="R429" i="84"/>
  <c r="S429" i="84"/>
  <c r="T429" i="84"/>
  <c r="U429" i="84"/>
  <c r="V429" i="84"/>
  <c r="W429" i="84"/>
  <c r="X429" i="84"/>
  <c r="Y429" i="84"/>
  <c r="Z429" i="84"/>
  <c r="AA429" i="84"/>
  <c r="AB429" i="84"/>
  <c r="AC429" i="84"/>
  <c r="AD429" i="84"/>
  <c r="AE429" i="84"/>
  <c r="AN114" i="135" l="1"/>
  <c r="I145" i="135" s="1"/>
  <c r="AN66" i="135"/>
  <c r="BZ117" i="84"/>
  <c r="BZ118" i="84"/>
  <c r="BZ119" i="84"/>
  <c r="BZ120" i="84"/>
  <c r="BZ121" i="84"/>
  <c r="BZ122" i="84"/>
  <c r="BZ123" i="84"/>
  <c r="BZ124" i="84"/>
  <c r="BZ125" i="84"/>
  <c r="BZ126" i="84"/>
  <c r="BZ127" i="84"/>
  <c r="BZ128" i="84"/>
  <c r="BZ129" i="84"/>
  <c r="BZ130" i="84"/>
  <c r="BZ131" i="84"/>
  <c r="BZ132" i="84"/>
  <c r="BZ133" i="84"/>
  <c r="BZ134" i="84"/>
  <c r="BZ135" i="84"/>
  <c r="BZ136" i="84"/>
  <c r="BZ137" i="84"/>
  <c r="BZ138" i="84"/>
  <c r="BZ139" i="84"/>
  <c r="BZ140" i="84"/>
  <c r="BZ141" i="84"/>
  <c r="BZ142" i="84"/>
  <c r="BZ143" i="84"/>
  <c r="BZ144" i="84"/>
  <c r="BZ145" i="84"/>
  <c r="BZ146" i="84"/>
  <c r="BZ147" i="84"/>
  <c r="BZ148" i="84"/>
  <c r="BZ149" i="84"/>
  <c r="BZ150" i="84"/>
  <c r="BZ151" i="84"/>
  <c r="BZ152" i="84"/>
  <c r="BZ153" i="84"/>
  <c r="BZ154" i="84"/>
  <c r="BZ155" i="84"/>
  <c r="BZ156" i="84"/>
  <c r="BZ157" i="84"/>
  <c r="BZ158" i="84"/>
  <c r="BZ159" i="84"/>
  <c r="BZ160" i="84"/>
  <c r="BZ161" i="84"/>
  <c r="BZ162" i="84"/>
  <c r="BZ163" i="84"/>
  <c r="BZ164" i="84"/>
  <c r="BZ165" i="84"/>
  <c r="BZ166" i="84"/>
  <c r="BZ167" i="84"/>
  <c r="BZ168" i="84"/>
  <c r="BZ169" i="84"/>
  <c r="BZ170" i="84"/>
  <c r="BZ171" i="84"/>
  <c r="BZ172" i="84"/>
  <c r="BZ173" i="84"/>
  <c r="BZ174" i="84"/>
  <c r="BZ175" i="84"/>
  <c r="BZ176" i="84"/>
  <c r="BZ177" i="84"/>
  <c r="BZ178" i="84"/>
  <c r="BZ180" i="84"/>
  <c r="BZ181" i="84"/>
  <c r="BZ183" i="84"/>
  <c r="BZ184" i="84"/>
  <c r="BZ185" i="84"/>
  <c r="BZ186" i="84"/>
  <c r="BZ187" i="84"/>
  <c r="BZ188" i="84"/>
  <c r="BZ189" i="84"/>
  <c r="BZ190" i="84"/>
  <c r="BZ191" i="84"/>
  <c r="BZ192" i="84"/>
  <c r="BZ193" i="84"/>
  <c r="BZ194" i="84"/>
  <c r="BZ195" i="84"/>
  <c r="BZ196" i="84"/>
  <c r="BZ197" i="84"/>
  <c r="BZ198" i="84"/>
  <c r="BZ199" i="84"/>
  <c r="BZ200" i="84"/>
  <c r="BZ201" i="84"/>
  <c r="BZ202" i="84"/>
  <c r="BZ203" i="84"/>
  <c r="BZ204" i="84"/>
  <c r="BZ205" i="84"/>
  <c r="BZ206" i="84"/>
  <c r="BZ207" i="84"/>
  <c r="BZ209" i="84"/>
  <c r="BZ210" i="84"/>
  <c r="BZ211" i="84"/>
  <c r="BZ212" i="84"/>
  <c r="BZ213" i="84"/>
  <c r="BZ214" i="84"/>
  <c r="BZ215" i="84"/>
  <c r="BZ216" i="84"/>
  <c r="BZ217" i="84"/>
  <c r="BZ218" i="84"/>
  <c r="BZ219" i="84"/>
  <c r="BW219" i="84"/>
  <c r="BD21" i="84"/>
  <c r="BE21" i="84"/>
  <c r="BF21" i="84"/>
  <c r="BG21" i="84"/>
  <c r="BI21" i="84"/>
  <c r="BJ21" i="84"/>
  <c r="BK21" i="84"/>
  <c r="BL21" i="84"/>
  <c r="BN21" i="84"/>
  <c r="BO21" i="84"/>
  <c r="BP21" i="84"/>
  <c r="BQ21" i="84"/>
  <c r="BD22" i="84"/>
  <c r="BE22" i="84"/>
  <c r="BF22" i="84"/>
  <c r="BG22" i="84"/>
  <c r="BI22" i="84"/>
  <c r="BJ22" i="84"/>
  <c r="BK22" i="84"/>
  <c r="BL22" i="84"/>
  <c r="BN22" i="84"/>
  <c r="BO22" i="84"/>
  <c r="BP22" i="84"/>
  <c r="BQ22" i="84"/>
  <c r="BD23" i="84"/>
  <c r="BE23" i="84"/>
  <c r="BF23" i="84"/>
  <c r="BG23" i="84"/>
  <c r="BI23" i="84"/>
  <c r="BJ23" i="84"/>
  <c r="BK23" i="84"/>
  <c r="BL23" i="84"/>
  <c r="BN23" i="84"/>
  <c r="BO23" i="84"/>
  <c r="BP23" i="84"/>
  <c r="BQ23" i="84"/>
  <c r="BD24" i="84"/>
  <c r="BE24" i="84"/>
  <c r="BF24" i="84"/>
  <c r="BG24" i="84"/>
  <c r="BI24" i="84"/>
  <c r="BJ24" i="84"/>
  <c r="BK24" i="84"/>
  <c r="BL24" i="84"/>
  <c r="BN24" i="84"/>
  <c r="BO24" i="84"/>
  <c r="BP24" i="84"/>
  <c r="BQ24" i="84"/>
  <c r="BD25" i="84"/>
  <c r="BE25" i="84"/>
  <c r="BF25" i="84"/>
  <c r="BG25" i="84"/>
  <c r="BI25" i="84"/>
  <c r="BJ25" i="84"/>
  <c r="BK25" i="84"/>
  <c r="BL25" i="84"/>
  <c r="BN25" i="84"/>
  <c r="BO25" i="84"/>
  <c r="BP25" i="84"/>
  <c r="BQ25" i="84"/>
  <c r="BD26" i="84"/>
  <c r="BE26" i="84"/>
  <c r="BF26" i="84"/>
  <c r="BG26" i="84"/>
  <c r="BI26" i="84"/>
  <c r="BJ26" i="84"/>
  <c r="BK26" i="84"/>
  <c r="BL26" i="84"/>
  <c r="BN26" i="84"/>
  <c r="BO26" i="84"/>
  <c r="BP26" i="84"/>
  <c r="BQ26" i="84"/>
  <c r="BD27" i="84"/>
  <c r="BE27" i="84"/>
  <c r="BF27" i="84"/>
  <c r="BG27" i="84"/>
  <c r="BI27" i="84"/>
  <c r="BJ27" i="84"/>
  <c r="BK27" i="84"/>
  <c r="BL27" i="84"/>
  <c r="BN27" i="84"/>
  <c r="BO27" i="84"/>
  <c r="BP27" i="84"/>
  <c r="BQ27" i="84"/>
  <c r="BD28" i="84"/>
  <c r="BE28" i="84"/>
  <c r="BF28" i="84"/>
  <c r="BG28" i="84"/>
  <c r="BI28" i="84"/>
  <c r="BJ28" i="84"/>
  <c r="BK28" i="84"/>
  <c r="BL28" i="84"/>
  <c r="BN28" i="84"/>
  <c r="BO28" i="84"/>
  <c r="BP28" i="84"/>
  <c r="BQ28" i="84"/>
  <c r="BD29" i="84"/>
  <c r="BE29" i="84"/>
  <c r="BF29" i="84"/>
  <c r="BG29" i="84"/>
  <c r="BI29" i="84"/>
  <c r="BJ29" i="84"/>
  <c r="BK29" i="84"/>
  <c r="BL29" i="84"/>
  <c r="BN29" i="84"/>
  <c r="BO29" i="84"/>
  <c r="BP29" i="84"/>
  <c r="BQ29" i="84"/>
  <c r="BD30" i="84"/>
  <c r="BE30" i="84"/>
  <c r="BF30" i="84"/>
  <c r="BG30" i="84"/>
  <c r="BI30" i="84"/>
  <c r="BJ30" i="84"/>
  <c r="BK30" i="84"/>
  <c r="BL30" i="84"/>
  <c r="BN30" i="84"/>
  <c r="BO30" i="84"/>
  <c r="BP30" i="84"/>
  <c r="BQ30" i="84"/>
  <c r="BD31" i="84"/>
  <c r="BE31" i="84"/>
  <c r="BF31" i="84"/>
  <c r="BG31" i="84"/>
  <c r="BI31" i="84"/>
  <c r="BJ31" i="84"/>
  <c r="BK31" i="84"/>
  <c r="BL31" i="84"/>
  <c r="BN31" i="84"/>
  <c r="BO31" i="84"/>
  <c r="BP31" i="84"/>
  <c r="BQ31" i="84"/>
  <c r="BD32" i="84"/>
  <c r="BE32" i="84"/>
  <c r="BF32" i="84"/>
  <c r="BG32" i="84"/>
  <c r="BI32" i="84"/>
  <c r="BJ32" i="84"/>
  <c r="BK32" i="84"/>
  <c r="BL32" i="84"/>
  <c r="BN32" i="84"/>
  <c r="BO32" i="84"/>
  <c r="BP32" i="84"/>
  <c r="BQ32" i="84"/>
  <c r="BD33" i="84"/>
  <c r="BE33" i="84"/>
  <c r="BF33" i="84"/>
  <c r="BG33" i="84"/>
  <c r="BI33" i="84"/>
  <c r="BJ33" i="84"/>
  <c r="BK33" i="84"/>
  <c r="BL33" i="84"/>
  <c r="BN33" i="84"/>
  <c r="BO33" i="84"/>
  <c r="BP33" i="84"/>
  <c r="BQ33" i="84"/>
  <c r="BD34" i="84"/>
  <c r="BE34" i="84"/>
  <c r="BF34" i="84"/>
  <c r="BG34" i="84"/>
  <c r="BI34" i="84"/>
  <c r="BJ34" i="84"/>
  <c r="BK34" i="84"/>
  <c r="BL34" i="84"/>
  <c r="BN34" i="84"/>
  <c r="BO34" i="84"/>
  <c r="BP34" i="84"/>
  <c r="BQ34" i="84"/>
  <c r="BD35" i="84"/>
  <c r="BE35" i="84"/>
  <c r="BF35" i="84"/>
  <c r="BG35" i="84"/>
  <c r="BI35" i="84"/>
  <c r="BJ35" i="84"/>
  <c r="BK35" i="84"/>
  <c r="BL35" i="84"/>
  <c r="BN35" i="84"/>
  <c r="BO35" i="84"/>
  <c r="BP35" i="84"/>
  <c r="BQ35" i="84"/>
  <c r="BD36" i="84"/>
  <c r="BE36" i="84"/>
  <c r="BF36" i="84"/>
  <c r="BG36" i="84"/>
  <c r="BI36" i="84"/>
  <c r="BJ36" i="84"/>
  <c r="BK36" i="84"/>
  <c r="BL36" i="84"/>
  <c r="BN36" i="84"/>
  <c r="BO36" i="84"/>
  <c r="BP36" i="84"/>
  <c r="BQ36" i="84"/>
  <c r="BD37" i="84"/>
  <c r="BE37" i="84"/>
  <c r="BF37" i="84"/>
  <c r="BG37" i="84"/>
  <c r="BI37" i="84"/>
  <c r="BJ37" i="84"/>
  <c r="BK37" i="84"/>
  <c r="BL37" i="84"/>
  <c r="BN37" i="84"/>
  <c r="BO37" i="84"/>
  <c r="BP37" i="84"/>
  <c r="BQ37" i="84"/>
  <c r="BD38" i="84"/>
  <c r="BE38" i="84"/>
  <c r="BF38" i="84"/>
  <c r="BG38" i="84"/>
  <c r="BI38" i="84"/>
  <c r="BJ38" i="84"/>
  <c r="BK38" i="84"/>
  <c r="BL38" i="84"/>
  <c r="BN38" i="84"/>
  <c r="BO38" i="84"/>
  <c r="BP38" i="84"/>
  <c r="BQ38" i="84"/>
  <c r="BD39" i="84"/>
  <c r="BE39" i="84"/>
  <c r="BF39" i="84"/>
  <c r="BG39" i="84"/>
  <c r="BI39" i="84"/>
  <c r="BJ39" i="84"/>
  <c r="BK39" i="84"/>
  <c r="BL39" i="84"/>
  <c r="BN39" i="84"/>
  <c r="BO39" i="84"/>
  <c r="BP39" i="84"/>
  <c r="BQ39" i="84"/>
  <c r="BD40" i="84"/>
  <c r="BE40" i="84"/>
  <c r="BF40" i="84"/>
  <c r="BG40" i="84"/>
  <c r="BI40" i="84"/>
  <c r="BJ40" i="84"/>
  <c r="BK40" i="84"/>
  <c r="BL40" i="84"/>
  <c r="BN40" i="84"/>
  <c r="BO40" i="84"/>
  <c r="BP40" i="84"/>
  <c r="BQ40" i="84"/>
  <c r="BD41" i="84"/>
  <c r="BE41" i="84"/>
  <c r="BF41" i="84"/>
  <c r="BG41" i="84"/>
  <c r="BI41" i="84"/>
  <c r="BJ41" i="84"/>
  <c r="BK41" i="84"/>
  <c r="BL41" i="84"/>
  <c r="BN41" i="84"/>
  <c r="BO41" i="84"/>
  <c r="BP41" i="84"/>
  <c r="BQ41" i="84"/>
  <c r="BD42" i="84"/>
  <c r="BE42" i="84"/>
  <c r="BF42" i="84"/>
  <c r="BG42" i="84"/>
  <c r="BI42" i="84"/>
  <c r="BJ42" i="84"/>
  <c r="BK42" i="84"/>
  <c r="BL42" i="84"/>
  <c r="BN42" i="84"/>
  <c r="BO42" i="84"/>
  <c r="BP42" i="84"/>
  <c r="BQ42" i="84"/>
  <c r="BD43" i="84"/>
  <c r="BE43" i="84"/>
  <c r="BF43" i="84"/>
  <c r="BG43" i="84"/>
  <c r="BI43" i="84"/>
  <c r="BJ43" i="84"/>
  <c r="BK43" i="84"/>
  <c r="BL43" i="84"/>
  <c r="BN43" i="84"/>
  <c r="BO43" i="84"/>
  <c r="BP43" i="84"/>
  <c r="BQ43" i="84"/>
  <c r="BD44" i="84"/>
  <c r="BE44" i="84"/>
  <c r="BF44" i="84"/>
  <c r="BG44" i="84"/>
  <c r="BI44" i="84"/>
  <c r="BJ44" i="84"/>
  <c r="BK44" i="84"/>
  <c r="BL44" i="84"/>
  <c r="BN44" i="84"/>
  <c r="BO44" i="84"/>
  <c r="BP44" i="84"/>
  <c r="BQ44" i="84"/>
  <c r="BD45" i="84"/>
  <c r="BE45" i="84"/>
  <c r="BF45" i="84"/>
  <c r="BG45" i="84"/>
  <c r="BI45" i="84"/>
  <c r="BJ45" i="84"/>
  <c r="BK45" i="84"/>
  <c r="BL45" i="84"/>
  <c r="BN45" i="84"/>
  <c r="BO45" i="84"/>
  <c r="BP45" i="84"/>
  <c r="BQ45" i="84"/>
  <c r="BD46" i="84"/>
  <c r="BE46" i="84"/>
  <c r="BF46" i="84"/>
  <c r="BG46" i="84"/>
  <c r="BI46" i="84"/>
  <c r="BJ46" i="84"/>
  <c r="BK46" i="84"/>
  <c r="BL46" i="84"/>
  <c r="BN46" i="84"/>
  <c r="BO46" i="84"/>
  <c r="BP46" i="84"/>
  <c r="BQ46" i="84"/>
  <c r="BD47" i="84"/>
  <c r="BE47" i="84"/>
  <c r="BF47" i="84"/>
  <c r="BG47" i="84"/>
  <c r="BI47" i="84"/>
  <c r="BJ47" i="84"/>
  <c r="BK47" i="84"/>
  <c r="BL47" i="84"/>
  <c r="BN47" i="84"/>
  <c r="BO47" i="84"/>
  <c r="BP47" i="84"/>
  <c r="BQ47" i="84"/>
  <c r="BD48" i="84"/>
  <c r="BE48" i="84"/>
  <c r="BF48" i="84"/>
  <c r="BG48" i="84"/>
  <c r="BI48" i="84"/>
  <c r="BJ48" i="84"/>
  <c r="BK48" i="84"/>
  <c r="BL48" i="84"/>
  <c r="BN48" i="84"/>
  <c r="BO48" i="84"/>
  <c r="BP48" i="84"/>
  <c r="BQ48" i="84"/>
  <c r="BD49" i="84"/>
  <c r="BE49" i="84"/>
  <c r="BF49" i="84"/>
  <c r="BG49" i="84"/>
  <c r="BI49" i="84"/>
  <c r="BJ49" i="84"/>
  <c r="BK49" i="84"/>
  <c r="BL49" i="84"/>
  <c r="BN49" i="84"/>
  <c r="BO49" i="84"/>
  <c r="BP49" i="84"/>
  <c r="BQ49" i="84"/>
  <c r="BD50" i="84"/>
  <c r="BE50" i="84"/>
  <c r="BF50" i="84"/>
  <c r="BG50" i="84"/>
  <c r="BI50" i="84"/>
  <c r="BJ50" i="84"/>
  <c r="BK50" i="84"/>
  <c r="BL50" i="84"/>
  <c r="BN50" i="84"/>
  <c r="BO50" i="84"/>
  <c r="BP50" i="84"/>
  <c r="BQ50" i="84"/>
  <c r="BD51" i="84"/>
  <c r="BE51" i="84"/>
  <c r="BF51" i="84"/>
  <c r="BG51" i="84"/>
  <c r="BI51" i="84"/>
  <c r="BJ51" i="84"/>
  <c r="BK51" i="84"/>
  <c r="BL51" i="84"/>
  <c r="BN51" i="84"/>
  <c r="BO51" i="84"/>
  <c r="BP51" i="84"/>
  <c r="BQ51" i="84"/>
  <c r="BD52" i="84"/>
  <c r="BE52" i="84"/>
  <c r="BF52" i="84"/>
  <c r="BG52" i="84"/>
  <c r="BI52" i="84"/>
  <c r="BJ52" i="84"/>
  <c r="BK52" i="84"/>
  <c r="BL52" i="84"/>
  <c r="BN52" i="84"/>
  <c r="BO52" i="84"/>
  <c r="BP52" i="84"/>
  <c r="BQ52" i="84"/>
  <c r="BD53" i="84"/>
  <c r="BE53" i="84"/>
  <c r="BF53" i="84"/>
  <c r="BG53" i="84"/>
  <c r="BI53" i="84"/>
  <c r="BJ53" i="84"/>
  <c r="BK53" i="84"/>
  <c r="BL53" i="84"/>
  <c r="BN53" i="84"/>
  <c r="BO53" i="84"/>
  <c r="BP53" i="84"/>
  <c r="BQ53" i="84"/>
  <c r="BD54" i="84"/>
  <c r="BE54" i="84"/>
  <c r="BF54" i="84"/>
  <c r="BG54" i="84"/>
  <c r="BI54" i="84"/>
  <c r="BJ54" i="84"/>
  <c r="BK54" i="84"/>
  <c r="BL54" i="84"/>
  <c r="BN54" i="84"/>
  <c r="BO54" i="84"/>
  <c r="BP54" i="84"/>
  <c r="BQ54" i="84"/>
  <c r="BD55" i="84"/>
  <c r="BE55" i="84"/>
  <c r="BF55" i="84"/>
  <c r="BG55" i="84"/>
  <c r="BI55" i="84"/>
  <c r="BJ55" i="84"/>
  <c r="BK55" i="84"/>
  <c r="BL55" i="84"/>
  <c r="BN55" i="84"/>
  <c r="BO55" i="84"/>
  <c r="BP55" i="84"/>
  <c r="BQ55" i="84"/>
  <c r="BD56" i="84"/>
  <c r="BE56" i="84"/>
  <c r="BF56" i="84"/>
  <c r="BG56" i="84"/>
  <c r="BI56" i="84"/>
  <c r="BJ56" i="84"/>
  <c r="BK56" i="84"/>
  <c r="BL56" i="84"/>
  <c r="BN56" i="84"/>
  <c r="BO56" i="84"/>
  <c r="BP56" i="84"/>
  <c r="BQ56" i="84"/>
  <c r="BD57" i="84"/>
  <c r="BE57" i="84"/>
  <c r="BF57" i="84"/>
  <c r="BG57" i="84"/>
  <c r="BI57" i="84"/>
  <c r="BJ57" i="84"/>
  <c r="BK57" i="84"/>
  <c r="BL57" i="84"/>
  <c r="BN57" i="84"/>
  <c r="BO57" i="84"/>
  <c r="BP57" i="84"/>
  <c r="BQ57" i="84"/>
  <c r="BD58" i="84"/>
  <c r="BE58" i="84"/>
  <c r="BF58" i="84"/>
  <c r="BG58" i="84"/>
  <c r="BI58" i="84"/>
  <c r="BJ58" i="84"/>
  <c r="BK58" i="84"/>
  <c r="BL58" i="84"/>
  <c r="BN58" i="84"/>
  <c r="BO58" i="84"/>
  <c r="BP58" i="84"/>
  <c r="BQ58" i="84"/>
  <c r="BD59" i="84"/>
  <c r="BE59" i="84"/>
  <c r="BF59" i="84"/>
  <c r="BG59" i="84"/>
  <c r="BI59" i="84"/>
  <c r="BJ59" i="84"/>
  <c r="BK59" i="84"/>
  <c r="BL59" i="84"/>
  <c r="BN59" i="84"/>
  <c r="BO59" i="84"/>
  <c r="BP59" i="84"/>
  <c r="BQ59" i="84"/>
  <c r="BD60" i="84"/>
  <c r="BE60" i="84"/>
  <c r="BF60" i="84"/>
  <c r="BG60" i="84"/>
  <c r="BI60" i="84"/>
  <c r="BJ60" i="84"/>
  <c r="BK60" i="84"/>
  <c r="BL60" i="84"/>
  <c r="BN60" i="84"/>
  <c r="BO60" i="84"/>
  <c r="BP60" i="84"/>
  <c r="BQ60" i="84"/>
  <c r="BD61" i="84"/>
  <c r="BE61" i="84"/>
  <c r="BF61" i="84"/>
  <c r="BG61" i="84"/>
  <c r="BI61" i="84"/>
  <c r="BJ61" i="84"/>
  <c r="BK61" i="84"/>
  <c r="BL61" i="84"/>
  <c r="BN61" i="84"/>
  <c r="BO61" i="84"/>
  <c r="BP61" i="84"/>
  <c r="BQ61" i="84"/>
  <c r="BD62" i="84"/>
  <c r="BE62" i="84"/>
  <c r="BF62" i="84"/>
  <c r="BG62" i="84"/>
  <c r="BI62" i="84"/>
  <c r="BJ62" i="84"/>
  <c r="BK62" i="84"/>
  <c r="BL62" i="84"/>
  <c r="BN62" i="84"/>
  <c r="BO62" i="84"/>
  <c r="BP62" i="84"/>
  <c r="BQ62" i="84"/>
  <c r="BD63" i="84"/>
  <c r="BE63" i="84"/>
  <c r="BF63" i="84"/>
  <c r="BG63" i="84"/>
  <c r="BI63" i="84"/>
  <c r="BJ63" i="84"/>
  <c r="BK63" i="84"/>
  <c r="BL63" i="84"/>
  <c r="BN63" i="84"/>
  <c r="BO63" i="84"/>
  <c r="BP63" i="84"/>
  <c r="BQ63" i="84"/>
  <c r="BD64" i="84"/>
  <c r="BE64" i="84"/>
  <c r="BF64" i="84"/>
  <c r="BG64" i="84"/>
  <c r="BI64" i="84"/>
  <c r="BJ64" i="84"/>
  <c r="BK64" i="84"/>
  <c r="BL64" i="84"/>
  <c r="BN64" i="84"/>
  <c r="BO64" i="84"/>
  <c r="BP64" i="84"/>
  <c r="BQ64" i="84"/>
  <c r="BD65" i="84"/>
  <c r="BE65" i="84"/>
  <c r="BF65" i="84"/>
  <c r="BG65" i="84"/>
  <c r="BI65" i="84"/>
  <c r="BJ65" i="84"/>
  <c r="BK65" i="84"/>
  <c r="BL65" i="84"/>
  <c r="BN65" i="84"/>
  <c r="BO65" i="84"/>
  <c r="BP65" i="84"/>
  <c r="BQ65" i="84"/>
  <c r="BD66" i="84"/>
  <c r="BE66" i="84"/>
  <c r="BF66" i="84"/>
  <c r="BG66" i="84"/>
  <c r="BI66" i="84"/>
  <c r="BJ66" i="84"/>
  <c r="BK66" i="84"/>
  <c r="BL66" i="84"/>
  <c r="BN66" i="84"/>
  <c r="BO66" i="84"/>
  <c r="BP66" i="84"/>
  <c r="BQ66" i="84"/>
  <c r="BD67" i="84"/>
  <c r="BE67" i="84"/>
  <c r="BF67" i="84"/>
  <c r="BG67" i="84"/>
  <c r="BI67" i="84"/>
  <c r="BJ67" i="84"/>
  <c r="BK67" i="84"/>
  <c r="BL67" i="84"/>
  <c r="BN67" i="84"/>
  <c r="BO67" i="84"/>
  <c r="BP67" i="84"/>
  <c r="BQ67" i="84"/>
  <c r="BD68" i="84"/>
  <c r="BE68" i="84"/>
  <c r="BF68" i="84"/>
  <c r="BG68" i="84"/>
  <c r="BI68" i="84"/>
  <c r="BJ68" i="84"/>
  <c r="BK68" i="84"/>
  <c r="BL68" i="84"/>
  <c r="BN68" i="84"/>
  <c r="BO68" i="84"/>
  <c r="BP68" i="84"/>
  <c r="BQ68" i="84"/>
  <c r="BD69" i="84"/>
  <c r="BE69" i="84"/>
  <c r="BF69" i="84"/>
  <c r="BG69" i="84"/>
  <c r="BI69" i="84"/>
  <c r="BJ69" i="84"/>
  <c r="BK69" i="84"/>
  <c r="BL69" i="84"/>
  <c r="BN69" i="84"/>
  <c r="BO69" i="84"/>
  <c r="BP69" i="84"/>
  <c r="BQ69" i="84"/>
  <c r="BD70" i="84"/>
  <c r="BE70" i="84"/>
  <c r="BF70" i="84"/>
  <c r="BG70" i="84"/>
  <c r="BI70" i="84"/>
  <c r="BJ70" i="84"/>
  <c r="BK70" i="84"/>
  <c r="BL70" i="84"/>
  <c r="BN70" i="84"/>
  <c r="BO70" i="84"/>
  <c r="BP70" i="84"/>
  <c r="BQ70" i="84"/>
  <c r="BD71" i="84"/>
  <c r="BE71" i="84"/>
  <c r="BF71" i="84"/>
  <c r="BG71" i="84"/>
  <c r="BI71" i="84"/>
  <c r="BJ71" i="84"/>
  <c r="BK71" i="84"/>
  <c r="BL71" i="84"/>
  <c r="BN71" i="84"/>
  <c r="BO71" i="84"/>
  <c r="BP71" i="84"/>
  <c r="BQ71" i="84"/>
  <c r="BD72" i="84"/>
  <c r="BE72" i="84"/>
  <c r="BF72" i="84"/>
  <c r="BG72" i="84"/>
  <c r="BI72" i="84"/>
  <c r="BJ72" i="84"/>
  <c r="BK72" i="84"/>
  <c r="BL72" i="84"/>
  <c r="BN72" i="84"/>
  <c r="BO72" i="84"/>
  <c r="BP72" i="84"/>
  <c r="BQ72" i="84"/>
  <c r="BD73" i="84"/>
  <c r="BE73" i="84"/>
  <c r="BF73" i="84"/>
  <c r="BG73" i="84"/>
  <c r="BI73" i="84"/>
  <c r="BJ73" i="84"/>
  <c r="BK73" i="84"/>
  <c r="BL73" i="84"/>
  <c r="BN73" i="84"/>
  <c r="BO73" i="84"/>
  <c r="BP73" i="84"/>
  <c r="BQ73" i="84"/>
  <c r="BD74" i="84"/>
  <c r="BE74" i="84"/>
  <c r="BF74" i="84"/>
  <c r="BG74" i="84"/>
  <c r="BI74" i="84"/>
  <c r="BJ74" i="84"/>
  <c r="BK74" i="84"/>
  <c r="BL74" i="84"/>
  <c r="BN74" i="84"/>
  <c r="BO74" i="84"/>
  <c r="BP74" i="84"/>
  <c r="BQ74" i="84"/>
  <c r="BD75" i="84"/>
  <c r="BE75" i="84"/>
  <c r="BF75" i="84"/>
  <c r="BG75" i="84"/>
  <c r="BI75" i="84"/>
  <c r="BJ75" i="84"/>
  <c r="BK75" i="84"/>
  <c r="BL75" i="84"/>
  <c r="BN75" i="84"/>
  <c r="BO75" i="84"/>
  <c r="BP75" i="84"/>
  <c r="BQ75" i="84"/>
  <c r="BD76" i="84"/>
  <c r="BE76" i="84"/>
  <c r="BF76" i="84"/>
  <c r="BG76" i="84"/>
  <c r="BI76" i="84"/>
  <c r="BJ76" i="84"/>
  <c r="BK76" i="84"/>
  <c r="BL76" i="84"/>
  <c r="BN76" i="84"/>
  <c r="BO76" i="84"/>
  <c r="BP76" i="84"/>
  <c r="BQ76" i="84"/>
  <c r="BD77" i="84"/>
  <c r="BE77" i="84"/>
  <c r="BF77" i="84"/>
  <c r="BG77" i="84"/>
  <c r="BI77" i="84"/>
  <c r="BJ77" i="84"/>
  <c r="BK77" i="84"/>
  <c r="BL77" i="84"/>
  <c r="BN77" i="84"/>
  <c r="BO77" i="84"/>
  <c r="BP77" i="84"/>
  <c r="BQ77" i="84"/>
  <c r="BD78" i="84"/>
  <c r="BE78" i="84"/>
  <c r="BF78" i="84"/>
  <c r="BG78" i="84"/>
  <c r="BI78" i="84"/>
  <c r="BJ78" i="84"/>
  <c r="BK78" i="84"/>
  <c r="BL78" i="84"/>
  <c r="BN78" i="84"/>
  <c r="BO78" i="84"/>
  <c r="BP78" i="84"/>
  <c r="BQ78" i="84"/>
  <c r="BD79" i="84"/>
  <c r="BE79" i="84"/>
  <c r="BF79" i="84"/>
  <c r="BG79" i="84"/>
  <c r="BI79" i="84"/>
  <c r="BJ79" i="84"/>
  <c r="BK79" i="84"/>
  <c r="BL79" i="84"/>
  <c r="BN79" i="84"/>
  <c r="BO79" i="84"/>
  <c r="BP79" i="84"/>
  <c r="BQ79" i="84"/>
  <c r="BD80" i="84"/>
  <c r="BE80" i="84"/>
  <c r="BF80" i="84"/>
  <c r="BG80" i="84"/>
  <c r="BI80" i="84"/>
  <c r="BJ80" i="84"/>
  <c r="BK80" i="84"/>
  <c r="BL80" i="84"/>
  <c r="BN80" i="84"/>
  <c r="BO80" i="84"/>
  <c r="BP80" i="84"/>
  <c r="BQ80" i="84"/>
  <c r="BD81" i="84"/>
  <c r="BE81" i="84"/>
  <c r="BF81" i="84"/>
  <c r="BG81" i="84"/>
  <c r="BI81" i="84"/>
  <c r="BJ81" i="84"/>
  <c r="BK81" i="84"/>
  <c r="BL81" i="84"/>
  <c r="BN81" i="84"/>
  <c r="BO81" i="84"/>
  <c r="BP81" i="84"/>
  <c r="BQ81" i="84"/>
  <c r="BD82" i="84"/>
  <c r="BE82" i="84"/>
  <c r="BF82" i="84"/>
  <c r="BG82" i="84"/>
  <c r="BI82" i="84"/>
  <c r="BJ82" i="84"/>
  <c r="BK82" i="84"/>
  <c r="BL82" i="84"/>
  <c r="BN82" i="84"/>
  <c r="BO82" i="84"/>
  <c r="BP82" i="84"/>
  <c r="BQ82" i="84"/>
  <c r="BD83" i="84"/>
  <c r="BE83" i="84"/>
  <c r="BF83" i="84"/>
  <c r="BG83" i="84"/>
  <c r="BI83" i="84"/>
  <c r="BJ83" i="84"/>
  <c r="BK83" i="84"/>
  <c r="BL83" i="84"/>
  <c r="BN83" i="84"/>
  <c r="BO83" i="84"/>
  <c r="BP83" i="84"/>
  <c r="BQ83" i="84"/>
  <c r="BD84" i="84"/>
  <c r="BE84" i="84"/>
  <c r="BF84" i="84"/>
  <c r="BG84" i="84"/>
  <c r="BI84" i="84"/>
  <c r="BJ84" i="84"/>
  <c r="BK84" i="84"/>
  <c r="BL84" i="84"/>
  <c r="BN84" i="84"/>
  <c r="BO84" i="84"/>
  <c r="BP84" i="84"/>
  <c r="BQ84" i="84"/>
  <c r="BD85" i="84"/>
  <c r="BE85" i="84"/>
  <c r="BF85" i="84"/>
  <c r="BG85" i="84"/>
  <c r="BI85" i="84"/>
  <c r="BJ85" i="84"/>
  <c r="BK85" i="84"/>
  <c r="BL85" i="84"/>
  <c r="BN85" i="84"/>
  <c r="BO85" i="84"/>
  <c r="BP85" i="84"/>
  <c r="BQ85" i="84"/>
  <c r="BD86" i="84"/>
  <c r="BE86" i="84"/>
  <c r="BF86" i="84"/>
  <c r="BG86" i="84"/>
  <c r="BI86" i="84"/>
  <c r="BJ86" i="84"/>
  <c r="BK86" i="84"/>
  <c r="BL86" i="84"/>
  <c r="BN86" i="84"/>
  <c r="BO86" i="84"/>
  <c r="BP86" i="84"/>
  <c r="BQ86" i="84"/>
  <c r="BD87" i="84"/>
  <c r="BE87" i="84"/>
  <c r="BF87" i="84"/>
  <c r="BG87" i="84"/>
  <c r="BI87" i="84"/>
  <c r="BJ87" i="84"/>
  <c r="BK87" i="84"/>
  <c r="BL87" i="84"/>
  <c r="BN87" i="84"/>
  <c r="BO87" i="84"/>
  <c r="BP87" i="84"/>
  <c r="BQ87" i="84"/>
  <c r="BD88" i="84"/>
  <c r="BE88" i="84"/>
  <c r="BF88" i="84"/>
  <c r="BG88" i="84"/>
  <c r="BI88" i="84"/>
  <c r="BJ88" i="84"/>
  <c r="BK88" i="84"/>
  <c r="BL88" i="84"/>
  <c r="BN88" i="84"/>
  <c r="BO88" i="84"/>
  <c r="BP88" i="84"/>
  <c r="BQ88" i="84"/>
  <c r="BD89" i="84"/>
  <c r="BE89" i="84"/>
  <c r="BF89" i="84"/>
  <c r="BG89" i="84"/>
  <c r="BI89" i="84"/>
  <c r="BJ89" i="84"/>
  <c r="BK89" i="84"/>
  <c r="BL89" i="84"/>
  <c r="BN89" i="84"/>
  <c r="BO89" i="84"/>
  <c r="BP89" i="84"/>
  <c r="BQ89" i="84"/>
  <c r="BD90" i="84"/>
  <c r="BE90" i="84"/>
  <c r="BF90" i="84"/>
  <c r="BG90" i="84"/>
  <c r="BI90" i="84"/>
  <c r="BJ90" i="84"/>
  <c r="BK90" i="84"/>
  <c r="BL90" i="84"/>
  <c r="BN90" i="84"/>
  <c r="BO90" i="84"/>
  <c r="BP90" i="84"/>
  <c r="BQ90" i="84"/>
  <c r="BD91" i="84"/>
  <c r="BE91" i="84"/>
  <c r="BF91" i="84"/>
  <c r="BG91" i="84"/>
  <c r="BI91" i="84"/>
  <c r="BJ91" i="84"/>
  <c r="BK91" i="84"/>
  <c r="BL91" i="84"/>
  <c r="BN91" i="84"/>
  <c r="BO91" i="84"/>
  <c r="BP91" i="84"/>
  <c r="BQ91" i="84"/>
  <c r="BD92" i="84"/>
  <c r="BE92" i="84"/>
  <c r="BF92" i="84"/>
  <c r="BG92" i="84"/>
  <c r="BI92" i="84"/>
  <c r="BJ92" i="84"/>
  <c r="BK92" i="84"/>
  <c r="BL92" i="84"/>
  <c r="BN92" i="84"/>
  <c r="BO92" i="84"/>
  <c r="BP92" i="84"/>
  <c r="BQ92" i="84"/>
  <c r="BD93" i="84"/>
  <c r="BE93" i="84"/>
  <c r="BF93" i="84"/>
  <c r="BG93" i="84"/>
  <c r="BI93" i="84"/>
  <c r="BJ93" i="84"/>
  <c r="BK93" i="84"/>
  <c r="BL93" i="84"/>
  <c r="BN93" i="84"/>
  <c r="BO93" i="84"/>
  <c r="BP93" i="84"/>
  <c r="BQ93" i="84"/>
  <c r="BD94" i="84"/>
  <c r="BE94" i="84"/>
  <c r="BF94" i="84"/>
  <c r="BG94" i="84"/>
  <c r="BI94" i="84"/>
  <c r="BJ94" i="84"/>
  <c r="BK94" i="84"/>
  <c r="BL94" i="84"/>
  <c r="BN94" i="84"/>
  <c r="BO94" i="84"/>
  <c r="BP94" i="84"/>
  <c r="BQ94" i="84"/>
  <c r="BD95" i="84"/>
  <c r="BE95" i="84"/>
  <c r="BF95" i="84"/>
  <c r="BG95" i="84"/>
  <c r="BI95" i="84"/>
  <c r="BJ95" i="84"/>
  <c r="BK95" i="84"/>
  <c r="BL95" i="84"/>
  <c r="BN95" i="84"/>
  <c r="BO95" i="84"/>
  <c r="BP95" i="84"/>
  <c r="BQ95" i="84"/>
  <c r="BD96" i="84"/>
  <c r="BE96" i="84"/>
  <c r="BF96" i="84"/>
  <c r="BG96" i="84"/>
  <c r="BI96" i="84"/>
  <c r="BJ96" i="84"/>
  <c r="BK96" i="84"/>
  <c r="BL96" i="84"/>
  <c r="BN96" i="84"/>
  <c r="BO96" i="84"/>
  <c r="BP96" i="84"/>
  <c r="BQ96" i="84"/>
  <c r="BD97" i="84"/>
  <c r="BE97" i="84"/>
  <c r="BF97" i="84"/>
  <c r="BG97" i="84"/>
  <c r="BI97" i="84"/>
  <c r="BJ97" i="84"/>
  <c r="BK97" i="84"/>
  <c r="BL97" i="84"/>
  <c r="BN97" i="84"/>
  <c r="BO97" i="84"/>
  <c r="BP97" i="84"/>
  <c r="BQ97" i="84"/>
  <c r="BD98" i="84"/>
  <c r="BE98" i="84"/>
  <c r="BF98" i="84"/>
  <c r="BG98" i="84"/>
  <c r="BI98" i="84"/>
  <c r="BJ98" i="84"/>
  <c r="BK98" i="84"/>
  <c r="BL98" i="84"/>
  <c r="BN98" i="84"/>
  <c r="BO98" i="84"/>
  <c r="BP98" i="84"/>
  <c r="BQ98" i="84"/>
  <c r="BD99" i="84"/>
  <c r="BE99" i="84"/>
  <c r="BF99" i="84"/>
  <c r="BG99" i="84"/>
  <c r="BI99" i="84"/>
  <c r="BJ99" i="84"/>
  <c r="BK99" i="84"/>
  <c r="BL99" i="84"/>
  <c r="BN99" i="84"/>
  <c r="BO99" i="84"/>
  <c r="BP99" i="84"/>
  <c r="BQ99" i="84"/>
  <c r="BD100" i="84"/>
  <c r="BE100" i="84"/>
  <c r="BF100" i="84"/>
  <c r="BG100" i="84"/>
  <c r="BI100" i="84"/>
  <c r="BJ100" i="84"/>
  <c r="BK100" i="84"/>
  <c r="BL100" i="84"/>
  <c r="BN100" i="84"/>
  <c r="BO100" i="84"/>
  <c r="BP100" i="84"/>
  <c r="BQ100" i="84"/>
  <c r="BD101" i="84"/>
  <c r="BE101" i="84"/>
  <c r="BF101" i="84"/>
  <c r="BG101" i="84"/>
  <c r="BI101" i="84"/>
  <c r="BJ101" i="84"/>
  <c r="BK101" i="84"/>
  <c r="BL101" i="84"/>
  <c r="BN101" i="84"/>
  <c r="BO101" i="84"/>
  <c r="BP101" i="84"/>
  <c r="BQ101" i="84"/>
  <c r="BD102" i="84"/>
  <c r="BE102" i="84"/>
  <c r="BF102" i="84"/>
  <c r="BG102" i="84"/>
  <c r="BI102" i="84"/>
  <c r="BJ102" i="84"/>
  <c r="BK102" i="84"/>
  <c r="BL102" i="84"/>
  <c r="BN102" i="84"/>
  <c r="BO102" i="84"/>
  <c r="BP102" i="84"/>
  <c r="BQ102" i="84"/>
  <c r="BD103" i="84"/>
  <c r="BE103" i="84"/>
  <c r="BF103" i="84"/>
  <c r="BG103" i="84"/>
  <c r="BI103" i="84"/>
  <c r="BJ103" i="84"/>
  <c r="BK103" i="84"/>
  <c r="BL103" i="84"/>
  <c r="BN103" i="84"/>
  <c r="BO103" i="84"/>
  <c r="BP103" i="84"/>
  <c r="BQ103" i="84"/>
  <c r="BD104" i="84"/>
  <c r="BE104" i="84"/>
  <c r="BF104" i="84"/>
  <c r="BG104" i="84"/>
  <c r="BI104" i="84"/>
  <c r="BJ104" i="84"/>
  <c r="BK104" i="84"/>
  <c r="BL104" i="84"/>
  <c r="BN104" i="84"/>
  <c r="BO104" i="84"/>
  <c r="BP104" i="84"/>
  <c r="BQ104" i="84"/>
  <c r="BD105" i="84"/>
  <c r="BE105" i="84"/>
  <c r="BF105" i="84"/>
  <c r="BG105" i="84"/>
  <c r="BI105" i="84"/>
  <c r="BJ105" i="84"/>
  <c r="BK105" i="84"/>
  <c r="BL105" i="84"/>
  <c r="BN105" i="84"/>
  <c r="BO105" i="84"/>
  <c r="BP105" i="84"/>
  <c r="BQ105" i="84"/>
  <c r="BD106" i="84"/>
  <c r="BE106" i="84"/>
  <c r="BF106" i="84"/>
  <c r="BG106" i="84"/>
  <c r="BI106" i="84"/>
  <c r="BJ106" i="84"/>
  <c r="BK106" i="84"/>
  <c r="BL106" i="84"/>
  <c r="BN106" i="84"/>
  <c r="BO106" i="84"/>
  <c r="BP106" i="84"/>
  <c r="BQ106" i="84"/>
  <c r="BD107" i="84"/>
  <c r="BE107" i="84"/>
  <c r="BF107" i="84"/>
  <c r="BG107" i="84"/>
  <c r="BI107" i="84"/>
  <c r="BJ107" i="84"/>
  <c r="BK107" i="84"/>
  <c r="BL107" i="84"/>
  <c r="BN107" i="84"/>
  <c r="BO107" i="84"/>
  <c r="BP107" i="84"/>
  <c r="BQ107" i="84"/>
  <c r="BD108" i="84"/>
  <c r="BE108" i="84"/>
  <c r="BF108" i="84"/>
  <c r="BG108" i="84"/>
  <c r="BI108" i="84"/>
  <c r="BJ108" i="84"/>
  <c r="BK108" i="84"/>
  <c r="BL108" i="84"/>
  <c r="BN108" i="84"/>
  <c r="BO108" i="84"/>
  <c r="BP108" i="84"/>
  <c r="BQ108" i="84"/>
  <c r="BD109" i="84"/>
  <c r="BE109" i="84"/>
  <c r="BF109" i="84"/>
  <c r="BG109" i="84"/>
  <c r="BI109" i="84"/>
  <c r="BJ109" i="84"/>
  <c r="BK109" i="84"/>
  <c r="BL109" i="84"/>
  <c r="BN109" i="84"/>
  <c r="BO109" i="84"/>
  <c r="BP109" i="84"/>
  <c r="BQ109" i="84"/>
  <c r="BD110" i="84"/>
  <c r="BE110" i="84"/>
  <c r="BF110" i="84"/>
  <c r="BG110" i="84"/>
  <c r="BI110" i="84"/>
  <c r="BJ110" i="84"/>
  <c r="BK110" i="84"/>
  <c r="BL110" i="84"/>
  <c r="BN110" i="84"/>
  <c r="BO110" i="84"/>
  <c r="BP110" i="84"/>
  <c r="BQ110" i="84"/>
  <c r="BD111" i="84"/>
  <c r="BE111" i="84"/>
  <c r="BF111" i="84"/>
  <c r="BG111" i="84"/>
  <c r="BI111" i="84"/>
  <c r="BJ111" i="84"/>
  <c r="BK111" i="84"/>
  <c r="BL111" i="84"/>
  <c r="BN111" i="84"/>
  <c r="BO111" i="84"/>
  <c r="BP111" i="84"/>
  <c r="BQ111" i="84"/>
  <c r="BD112" i="84"/>
  <c r="BE112" i="84"/>
  <c r="BF112" i="84"/>
  <c r="BG112" i="84"/>
  <c r="BI112" i="84"/>
  <c r="BJ112" i="84"/>
  <c r="BK112" i="84"/>
  <c r="BL112" i="84"/>
  <c r="BN112" i="84"/>
  <c r="BO112" i="84"/>
  <c r="BP112" i="84"/>
  <c r="BQ112" i="84"/>
  <c r="BD113" i="84"/>
  <c r="BE113" i="84"/>
  <c r="BF113" i="84"/>
  <c r="BG113" i="84"/>
  <c r="BI113" i="84"/>
  <c r="BJ113" i="84"/>
  <c r="BK113" i="84"/>
  <c r="BL113" i="84"/>
  <c r="BN113" i="84"/>
  <c r="BO113" i="84"/>
  <c r="BP113" i="84"/>
  <c r="BQ113" i="84"/>
  <c r="BD114" i="84"/>
  <c r="BE114" i="84"/>
  <c r="BF114" i="84"/>
  <c r="BG114" i="84"/>
  <c r="BI114" i="84"/>
  <c r="BJ114" i="84"/>
  <c r="BK114" i="84"/>
  <c r="BL114" i="84"/>
  <c r="BN114" i="84"/>
  <c r="BO114" i="84"/>
  <c r="BP114" i="84"/>
  <c r="BQ114" i="84"/>
  <c r="BD115" i="84"/>
  <c r="BE115" i="84"/>
  <c r="BF115" i="84"/>
  <c r="BG115" i="84"/>
  <c r="BI115" i="84"/>
  <c r="BJ115" i="84"/>
  <c r="BK115" i="84"/>
  <c r="BL115" i="84"/>
  <c r="BN115" i="84"/>
  <c r="BO115" i="84"/>
  <c r="BP115" i="84"/>
  <c r="BQ115" i="84"/>
  <c r="BD116" i="84"/>
  <c r="BE116" i="84"/>
  <c r="BF116" i="84"/>
  <c r="BG116" i="84"/>
  <c r="BI116" i="84"/>
  <c r="BJ116" i="84"/>
  <c r="BK116" i="84"/>
  <c r="BL116" i="84"/>
  <c r="BN116" i="84"/>
  <c r="BO116" i="84"/>
  <c r="BP116" i="84"/>
  <c r="BQ116" i="84"/>
  <c r="BD117" i="84"/>
  <c r="BE117" i="84"/>
  <c r="BF117" i="84"/>
  <c r="BG117" i="84"/>
  <c r="BI117" i="84"/>
  <c r="BJ117" i="84"/>
  <c r="BK117" i="84"/>
  <c r="BL117" i="84"/>
  <c r="BN117" i="84"/>
  <c r="BO117" i="84"/>
  <c r="BP117" i="84"/>
  <c r="BQ117" i="84"/>
  <c r="BD118" i="84"/>
  <c r="BE118" i="84"/>
  <c r="BF118" i="84"/>
  <c r="BG118" i="84"/>
  <c r="BI118" i="84"/>
  <c r="BJ118" i="84"/>
  <c r="BK118" i="84"/>
  <c r="BL118" i="84"/>
  <c r="BN118" i="84"/>
  <c r="BO118" i="84"/>
  <c r="BP118" i="84"/>
  <c r="BQ118" i="84"/>
  <c r="BD119" i="84"/>
  <c r="BE119" i="84"/>
  <c r="BF119" i="84"/>
  <c r="BG119" i="84"/>
  <c r="BI119" i="84"/>
  <c r="BJ119" i="84"/>
  <c r="BK119" i="84"/>
  <c r="BL119" i="84"/>
  <c r="BN119" i="84"/>
  <c r="BO119" i="84"/>
  <c r="BP119" i="84"/>
  <c r="BQ119" i="84"/>
  <c r="BD120" i="84"/>
  <c r="BE120" i="84"/>
  <c r="BF120" i="84"/>
  <c r="BG120" i="84"/>
  <c r="BI120" i="84"/>
  <c r="BJ120" i="84"/>
  <c r="BK120" i="84"/>
  <c r="BL120" i="84"/>
  <c r="BN120" i="84"/>
  <c r="BO120" i="84"/>
  <c r="BP120" i="84"/>
  <c r="BQ120" i="84"/>
  <c r="BD121" i="84"/>
  <c r="BE121" i="84"/>
  <c r="BF121" i="84"/>
  <c r="BG121" i="84"/>
  <c r="BI121" i="84"/>
  <c r="BJ121" i="84"/>
  <c r="BK121" i="84"/>
  <c r="BL121" i="84"/>
  <c r="BN121" i="84"/>
  <c r="BO121" i="84"/>
  <c r="BP121" i="84"/>
  <c r="BQ121" i="84"/>
  <c r="BD122" i="84"/>
  <c r="BE122" i="84"/>
  <c r="BF122" i="84"/>
  <c r="BG122" i="84"/>
  <c r="BI122" i="84"/>
  <c r="BJ122" i="84"/>
  <c r="BK122" i="84"/>
  <c r="BL122" i="84"/>
  <c r="BN122" i="84"/>
  <c r="BO122" i="84"/>
  <c r="BP122" i="84"/>
  <c r="BQ122" i="84"/>
  <c r="BD123" i="84"/>
  <c r="BE123" i="84"/>
  <c r="BF123" i="84"/>
  <c r="BG123" i="84"/>
  <c r="BI123" i="84"/>
  <c r="BJ123" i="84"/>
  <c r="BK123" i="84"/>
  <c r="BL123" i="84"/>
  <c r="BN123" i="84"/>
  <c r="BO123" i="84"/>
  <c r="BP123" i="84"/>
  <c r="BQ123" i="84"/>
  <c r="BD124" i="84"/>
  <c r="BE124" i="84"/>
  <c r="BF124" i="84"/>
  <c r="BG124" i="84"/>
  <c r="BI124" i="84"/>
  <c r="BJ124" i="84"/>
  <c r="BK124" i="84"/>
  <c r="BL124" i="84"/>
  <c r="BN124" i="84"/>
  <c r="BO124" i="84"/>
  <c r="BP124" i="84"/>
  <c r="BQ124" i="84"/>
  <c r="BD125" i="84"/>
  <c r="BE125" i="84"/>
  <c r="BF125" i="84"/>
  <c r="BG125" i="84"/>
  <c r="BI125" i="84"/>
  <c r="BJ125" i="84"/>
  <c r="BK125" i="84"/>
  <c r="BL125" i="84"/>
  <c r="BN125" i="84"/>
  <c r="BO125" i="84"/>
  <c r="BP125" i="84"/>
  <c r="BQ125" i="84"/>
  <c r="BD126" i="84"/>
  <c r="BE126" i="84"/>
  <c r="BF126" i="84"/>
  <c r="BG126" i="84"/>
  <c r="BI126" i="84"/>
  <c r="BJ126" i="84"/>
  <c r="BK126" i="84"/>
  <c r="BL126" i="84"/>
  <c r="BN126" i="84"/>
  <c r="BO126" i="84"/>
  <c r="BP126" i="84"/>
  <c r="BQ126" i="84"/>
  <c r="BD127" i="84"/>
  <c r="BE127" i="84"/>
  <c r="BF127" i="84"/>
  <c r="BG127" i="84"/>
  <c r="BI127" i="84"/>
  <c r="BJ127" i="84"/>
  <c r="BK127" i="84"/>
  <c r="BL127" i="84"/>
  <c r="BN127" i="84"/>
  <c r="BO127" i="84"/>
  <c r="BP127" i="84"/>
  <c r="BQ127" i="84"/>
  <c r="BD128" i="84"/>
  <c r="BE128" i="84"/>
  <c r="BF128" i="84"/>
  <c r="BG128" i="84"/>
  <c r="BI128" i="84"/>
  <c r="BJ128" i="84"/>
  <c r="BK128" i="84"/>
  <c r="BL128" i="84"/>
  <c r="BN128" i="84"/>
  <c r="BO128" i="84"/>
  <c r="BP128" i="84"/>
  <c r="BQ128" i="84"/>
  <c r="BD129" i="84"/>
  <c r="BE129" i="84"/>
  <c r="BF129" i="84"/>
  <c r="BG129" i="84"/>
  <c r="BI129" i="84"/>
  <c r="BJ129" i="84"/>
  <c r="BK129" i="84"/>
  <c r="BL129" i="84"/>
  <c r="BN129" i="84"/>
  <c r="BO129" i="84"/>
  <c r="BP129" i="84"/>
  <c r="BQ129" i="84"/>
  <c r="BD130" i="84"/>
  <c r="BE130" i="84"/>
  <c r="BF130" i="84"/>
  <c r="BG130" i="84"/>
  <c r="BI130" i="84"/>
  <c r="BJ130" i="84"/>
  <c r="BK130" i="84"/>
  <c r="BL130" i="84"/>
  <c r="BN130" i="84"/>
  <c r="BO130" i="84"/>
  <c r="BP130" i="84"/>
  <c r="BQ130" i="84"/>
  <c r="BD131" i="84"/>
  <c r="BE131" i="84"/>
  <c r="BF131" i="84"/>
  <c r="BG131" i="84"/>
  <c r="BI131" i="84"/>
  <c r="BJ131" i="84"/>
  <c r="BK131" i="84"/>
  <c r="BL131" i="84"/>
  <c r="BN131" i="84"/>
  <c r="BO131" i="84"/>
  <c r="BP131" i="84"/>
  <c r="BQ131" i="84"/>
  <c r="BD132" i="84"/>
  <c r="BE132" i="84"/>
  <c r="BF132" i="84"/>
  <c r="BG132" i="84"/>
  <c r="BI132" i="84"/>
  <c r="BJ132" i="84"/>
  <c r="BK132" i="84"/>
  <c r="BL132" i="84"/>
  <c r="BN132" i="84"/>
  <c r="BO132" i="84"/>
  <c r="BP132" i="84"/>
  <c r="BQ132" i="84"/>
  <c r="BD133" i="84"/>
  <c r="BE133" i="84"/>
  <c r="BF133" i="84"/>
  <c r="BG133" i="84"/>
  <c r="BI133" i="84"/>
  <c r="BJ133" i="84"/>
  <c r="BK133" i="84"/>
  <c r="BL133" i="84"/>
  <c r="BN133" i="84"/>
  <c r="BO133" i="84"/>
  <c r="BP133" i="84"/>
  <c r="BQ133" i="84"/>
  <c r="BD134" i="84"/>
  <c r="BE134" i="84"/>
  <c r="BF134" i="84"/>
  <c r="BG134" i="84"/>
  <c r="BI134" i="84"/>
  <c r="BJ134" i="84"/>
  <c r="BK134" i="84"/>
  <c r="BL134" i="84"/>
  <c r="BN134" i="84"/>
  <c r="BO134" i="84"/>
  <c r="BP134" i="84"/>
  <c r="BQ134" i="84"/>
  <c r="BD135" i="84"/>
  <c r="BE135" i="84"/>
  <c r="BF135" i="84"/>
  <c r="BG135" i="84"/>
  <c r="BI135" i="84"/>
  <c r="BJ135" i="84"/>
  <c r="BK135" i="84"/>
  <c r="BL135" i="84"/>
  <c r="BN135" i="84"/>
  <c r="BO135" i="84"/>
  <c r="BP135" i="84"/>
  <c r="BQ135" i="84"/>
  <c r="BD136" i="84"/>
  <c r="BE136" i="84"/>
  <c r="BF136" i="84"/>
  <c r="BG136" i="84"/>
  <c r="BI136" i="84"/>
  <c r="BJ136" i="84"/>
  <c r="BK136" i="84"/>
  <c r="BL136" i="84"/>
  <c r="BN136" i="84"/>
  <c r="BO136" i="84"/>
  <c r="BP136" i="84"/>
  <c r="BQ136" i="84"/>
  <c r="BD137" i="84"/>
  <c r="BE137" i="84"/>
  <c r="BF137" i="84"/>
  <c r="BG137" i="84"/>
  <c r="BI137" i="84"/>
  <c r="BJ137" i="84"/>
  <c r="BK137" i="84"/>
  <c r="BL137" i="84"/>
  <c r="BN137" i="84"/>
  <c r="BO137" i="84"/>
  <c r="BP137" i="84"/>
  <c r="BQ137" i="84"/>
  <c r="BD138" i="84"/>
  <c r="BE138" i="84"/>
  <c r="BF138" i="84"/>
  <c r="BG138" i="84"/>
  <c r="BI138" i="84"/>
  <c r="BJ138" i="84"/>
  <c r="BK138" i="84"/>
  <c r="BL138" i="84"/>
  <c r="BN138" i="84"/>
  <c r="BO138" i="84"/>
  <c r="BP138" i="84"/>
  <c r="BQ138" i="84"/>
  <c r="BD139" i="84"/>
  <c r="BE139" i="84"/>
  <c r="BF139" i="84"/>
  <c r="BG139" i="84"/>
  <c r="BI139" i="84"/>
  <c r="BJ139" i="84"/>
  <c r="BK139" i="84"/>
  <c r="BL139" i="84"/>
  <c r="BN139" i="84"/>
  <c r="BO139" i="84"/>
  <c r="BP139" i="84"/>
  <c r="BQ139" i="84"/>
  <c r="BD140" i="84"/>
  <c r="BE140" i="84"/>
  <c r="BF140" i="84"/>
  <c r="BG140" i="84"/>
  <c r="BI140" i="84"/>
  <c r="BJ140" i="84"/>
  <c r="BK140" i="84"/>
  <c r="BL140" i="84"/>
  <c r="BN140" i="84"/>
  <c r="BO140" i="84"/>
  <c r="BP140" i="84"/>
  <c r="BQ140" i="84"/>
  <c r="BD141" i="84"/>
  <c r="BE141" i="84"/>
  <c r="BF141" i="84"/>
  <c r="BG141" i="84"/>
  <c r="BI141" i="84"/>
  <c r="BJ141" i="84"/>
  <c r="BK141" i="84"/>
  <c r="BL141" i="84"/>
  <c r="BN141" i="84"/>
  <c r="BO141" i="84"/>
  <c r="BP141" i="84"/>
  <c r="BQ141" i="84"/>
  <c r="BD142" i="84"/>
  <c r="BE142" i="84"/>
  <c r="BF142" i="84"/>
  <c r="BG142" i="84"/>
  <c r="BI142" i="84"/>
  <c r="BJ142" i="84"/>
  <c r="BK142" i="84"/>
  <c r="BL142" i="84"/>
  <c r="BN142" i="84"/>
  <c r="BO142" i="84"/>
  <c r="BP142" i="84"/>
  <c r="BQ142" i="84"/>
  <c r="BD143" i="84"/>
  <c r="BE143" i="84"/>
  <c r="BF143" i="84"/>
  <c r="BG143" i="84"/>
  <c r="BI143" i="84"/>
  <c r="BJ143" i="84"/>
  <c r="BK143" i="84"/>
  <c r="BL143" i="84"/>
  <c r="BN143" i="84"/>
  <c r="BO143" i="84"/>
  <c r="BP143" i="84"/>
  <c r="BQ143" i="84"/>
  <c r="BD144" i="84"/>
  <c r="BE144" i="84"/>
  <c r="BF144" i="84"/>
  <c r="BG144" i="84"/>
  <c r="BI144" i="84"/>
  <c r="BJ144" i="84"/>
  <c r="BK144" i="84"/>
  <c r="BL144" i="84"/>
  <c r="BN144" i="84"/>
  <c r="BO144" i="84"/>
  <c r="BP144" i="84"/>
  <c r="BQ144" i="84"/>
  <c r="BD145" i="84"/>
  <c r="BE145" i="84"/>
  <c r="BF145" i="84"/>
  <c r="BG145" i="84"/>
  <c r="BI145" i="84"/>
  <c r="BJ145" i="84"/>
  <c r="BK145" i="84"/>
  <c r="BL145" i="84"/>
  <c r="BN145" i="84"/>
  <c r="BO145" i="84"/>
  <c r="BP145" i="84"/>
  <c r="BQ145" i="84"/>
  <c r="BD146" i="84"/>
  <c r="BE146" i="84"/>
  <c r="BF146" i="84"/>
  <c r="BG146" i="84"/>
  <c r="BI146" i="84"/>
  <c r="BJ146" i="84"/>
  <c r="BK146" i="84"/>
  <c r="BL146" i="84"/>
  <c r="BN146" i="84"/>
  <c r="BO146" i="84"/>
  <c r="BP146" i="84"/>
  <c r="BQ146" i="84"/>
  <c r="BD147" i="84"/>
  <c r="BE147" i="84"/>
  <c r="BF147" i="84"/>
  <c r="BG147" i="84"/>
  <c r="BI147" i="84"/>
  <c r="BJ147" i="84"/>
  <c r="BK147" i="84"/>
  <c r="BL147" i="84"/>
  <c r="BN147" i="84"/>
  <c r="BO147" i="84"/>
  <c r="BP147" i="84"/>
  <c r="BQ147" i="84"/>
  <c r="BD148" i="84"/>
  <c r="BE148" i="84"/>
  <c r="BF148" i="84"/>
  <c r="BG148" i="84"/>
  <c r="BI148" i="84"/>
  <c r="BJ148" i="84"/>
  <c r="BK148" i="84"/>
  <c r="BL148" i="84"/>
  <c r="BN148" i="84"/>
  <c r="BO148" i="84"/>
  <c r="BP148" i="84"/>
  <c r="BQ148" i="84"/>
  <c r="BD149" i="84"/>
  <c r="BE149" i="84"/>
  <c r="BF149" i="84"/>
  <c r="BG149" i="84"/>
  <c r="BI149" i="84"/>
  <c r="BJ149" i="84"/>
  <c r="BK149" i="84"/>
  <c r="BL149" i="84"/>
  <c r="BN149" i="84"/>
  <c r="BO149" i="84"/>
  <c r="BP149" i="84"/>
  <c r="BQ149" i="84"/>
  <c r="BD150" i="84"/>
  <c r="BE150" i="84"/>
  <c r="BF150" i="84"/>
  <c r="BG150" i="84"/>
  <c r="BI150" i="84"/>
  <c r="BJ150" i="84"/>
  <c r="BK150" i="84"/>
  <c r="BL150" i="84"/>
  <c r="BN150" i="84"/>
  <c r="BO150" i="84"/>
  <c r="BP150" i="84"/>
  <c r="BQ150" i="84"/>
  <c r="BD151" i="84"/>
  <c r="BE151" i="84"/>
  <c r="BF151" i="84"/>
  <c r="BG151" i="84"/>
  <c r="BI151" i="84"/>
  <c r="BJ151" i="84"/>
  <c r="BK151" i="84"/>
  <c r="BL151" i="84"/>
  <c r="BN151" i="84"/>
  <c r="BO151" i="84"/>
  <c r="BP151" i="84"/>
  <c r="BQ151" i="84"/>
  <c r="BD152" i="84"/>
  <c r="BE152" i="84"/>
  <c r="BF152" i="84"/>
  <c r="BG152" i="84"/>
  <c r="BI152" i="84"/>
  <c r="BJ152" i="84"/>
  <c r="BK152" i="84"/>
  <c r="BL152" i="84"/>
  <c r="BN152" i="84"/>
  <c r="BO152" i="84"/>
  <c r="BP152" i="84"/>
  <c r="BQ152" i="84"/>
  <c r="BD153" i="84"/>
  <c r="BE153" i="84"/>
  <c r="BF153" i="84"/>
  <c r="BG153" i="84"/>
  <c r="BI153" i="84"/>
  <c r="BJ153" i="84"/>
  <c r="BK153" i="84"/>
  <c r="BL153" i="84"/>
  <c r="BN153" i="84"/>
  <c r="BO153" i="84"/>
  <c r="BP153" i="84"/>
  <c r="BQ153" i="84"/>
  <c r="BD154" i="84"/>
  <c r="BE154" i="84"/>
  <c r="BF154" i="84"/>
  <c r="BG154" i="84"/>
  <c r="BI154" i="84"/>
  <c r="BJ154" i="84"/>
  <c r="BK154" i="84"/>
  <c r="BL154" i="84"/>
  <c r="BN154" i="84"/>
  <c r="BO154" i="84"/>
  <c r="BP154" i="84"/>
  <c r="BQ154" i="84"/>
  <c r="BD155" i="84"/>
  <c r="BE155" i="84"/>
  <c r="BF155" i="84"/>
  <c r="BG155" i="84"/>
  <c r="BI155" i="84"/>
  <c r="BJ155" i="84"/>
  <c r="BK155" i="84"/>
  <c r="BL155" i="84"/>
  <c r="BN155" i="84"/>
  <c r="BO155" i="84"/>
  <c r="BP155" i="84"/>
  <c r="BQ155" i="84"/>
  <c r="BD156" i="84"/>
  <c r="BE156" i="84"/>
  <c r="BF156" i="84"/>
  <c r="BG156" i="84"/>
  <c r="BI156" i="84"/>
  <c r="BJ156" i="84"/>
  <c r="BK156" i="84"/>
  <c r="BL156" i="84"/>
  <c r="BN156" i="84"/>
  <c r="BO156" i="84"/>
  <c r="BP156" i="84"/>
  <c r="BQ156" i="84"/>
  <c r="BD157" i="84"/>
  <c r="BE157" i="84"/>
  <c r="BF157" i="84"/>
  <c r="BG157" i="84"/>
  <c r="BI157" i="84"/>
  <c r="BJ157" i="84"/>
  <c r="BK157" i="84"/>
  <c r="BL157" i="84"/>
  <c r="BN157" i="84"/>
  <c r="BO157" i="84"/>
  <c r="BP157" i="84"/>
  <c r="BQ157" i="84"/>
  <c r="BD158" i="84"/>
  <c r="BE158" i="84"/>
  <c r="BF158" i="84"/>
  <c r="BG158" i="84"/>
  <c r="BI158" i="84"/>
  <c r="BJ158" i="84"/>
  <c r="BK158" i="84"/>
  <c r="BL158" i="84"/>
  <c r="BN158" i="84"/>
  <c r="BO158" i="84"/>
  <c r="BP158" i="84"/>
  <c r="BQ158" i="84"/>
  <c r="BD159" i="84"/>
  <c r="BE159" i="84"/>
  <c r="BF159" i="84"/>
  <c r="BG159" i="84"/>
  <c r="BI159" i="84"/>
  <c r="BJ159" i="84"/>
  <c r="BK159" i="84"/>
  <c r="BL159" i="84"/>
  <c r="BN159" i="84"/>
  <c r="BO159" i="84"/>
  <c r="BP159" i="84"/>
  <c r="BQ159" i="84"/>
  <c r="BD160" i="84"/>
  <c r="BE160" i="84"/>
  <c r="BF160" i="84"/>
  <c r="BG160" i="84"/>
  <c r="BI160" i="84"/>
  <c r="BJ160" i="84"/>
  <c r="BK160" i="84"/>
  <c r="BL160" i="84"/>
  <c r="BN160" i="84"/>
  <c r="BO160" i="84"/>
  <c r="BP160" i="84"/>
  <c r="BQ160" i="84"/>
  <c r="BD161" i="84"/>
  <c r="BE161" i="84"/>
  <c r="BF161" i="84"/>
  <c r="BG161" i="84"/>
  <c r="BI161" i="84"/>
  <c r="BJ161" i="84"/>
  <c r="BK161" i="84"/>
  <c r="BL161" i="84"/>
  <c r="BN161" i="84"/>
  <c r="BO161" i="84"/>
  <c r="BP161" i="84"/>
  <c r="BQ161" i="84"/>
  <c r="BD162" i="84"/>
  <c r="BE162" i="84"/>
  <c r="BF162" i="84"/>
  <c r="BG162" i="84"/>
  <c r="BI162" i="84"/>
  <c r="BJ162" i="84"/>
  <c r="BK162" i="84"/>
  <c r="BL162" i="84"/>
  <c r="BN162" i="84"/>
  <c r="BO162" i="84"/>
  <c r="BP162" i="84"/>
  <c r="BQ162" i="84"/>
  <c r="BD163" i="84"/>
  <c r="BE163" i="84"/>
  <c r="BF163" i="84"/>
  <c r="BG163" i="84"/>
  <c r="BI163" i="84"/>
  <c r="BJ163" i="84"/>
  <c r="BK163" i="84"/>
  <c r="BL163" i="84"/>
  <c r="BN163" i="84"/>
  <c r="BO163" i="84"/>
  <c r="BP163" i="84"/>
  <c r="BQ163" i="84"/>
  <c r="BD164" i="84"/>
  <c r="BE164" i="84"/>
  <c r="BF164" i="84"/>
  <c r="BG164" i="84"/>
  <c r="BI164" i="84"/>
  <c r="BJ164" i="84"/>
  <c r="BK164" i="84"/>
  <c r="BL164" i="84"/>
  <c r="BN164" i="84"/>
  <c r="BO164" i="84"/>
  <c r="BP164" i="84"/>
  <c r="BQ164" i="84"/>
  <c r="BD165" i="84"/>
  <c r="BE165" i="84"/>
  <c r="BF165" i="84"/>
  <c r="BG165" i="84"/>
  <c r="BI165" i="84"/>
  <c r="BJ165" i="84"/>
  <c r="BK165" i="84"/>
  <c r="BL165" i="84"/>
  <c r="BN165" i="84"/>
  <c r="BO165" i="84"/>
  <c r="BP165" i="84"/>
  <c r="BQ165" i="84"/>
  <c r="BD166" i="84"/>
  <c r="BE166" i="84"/>
  <c r="BF166" i="84"/>
  <c r="BG166" i="84"/>
  <c r="BI166" i="84"/>
  <c r="BJ166" i="84"/>
  <c r="BK166" i="84"/>
  <c r="BL166" i="84"/>
  <c r="BN166" i="84"/>
  <c r="BO166" i="84"/>
  <c r="BP166" i="84"/>
  <c r="BQ166" i="84"/>
  <c r="BD167" i="84"/>
  <c r="BE167" i="84"/>
  <c r="BF167" i="84"/>
  <c r="BG167" i="84"/>
  <c r="BI167" i="84"/>
  <c r="BJ167" i="84"/>
  <c r="BK167" i="84"/>
  <c r="BL167" i="84"/>
  <c r="BN167" i="84"/>
  <c r="BO167" i="84"/>
  <c r="BP167" i="84"/>
  <c r="BQ167" i="84"/>
  <c r="BD168" i="84"/>
  <c r="BE168" i="84"/>
  <c r="BF168" i="84"/>
  <c r="BG168" i="84"/>
  <c r="BI168" i="84"/>
  <c r="BJ168" i="84"/>
  <c r="BK168" i="84"/>
  <c r="BL168" i="84"/>
  <c r="BN168" i="84"/>
  <c r="BO168" i="84"/>
  <c r="BP168" i="84"/>
  <c r="BQ168" i="84"/>
  <c r="BD169" i="84"/>
  <c r="BE169" i="84"/>
  <c r="BF169" i="84"/>
  <c r="BG169" i="84"/>
  <c r="BI169" i="84"/>
  <c r="BJ169" i="84"/>
  <c r="BK169" i="84"/>
  <c r="BL169" i="84"/>
  <c r="BN169" i="84"/>
  <c r="BO169" i="84"/>
  <c r="BP169" i="84"/>
  <c r="BQ169" i="84"/>
  <c r="BD170" i="84"/>
  <c r="BE170" i="84"/>
  <c r="BF170" i="84"/>
  <c r="BG170" i="84"/>
  <c r="BI170" i="84"/>
  <c r="BJ170" i="84"/>
  <c r="BK170" i="84"/>
  <c r="BL170" i="84"/>
  <c r="BN170" i="84"/>
  <c r="BO170" i="84"/>
  <c r="BP170" i="84"/>
  <c r="BQ170" i="84"/>
  <c r="BD171" i="84"/>
  <c r="BE171" i="84"/>
  <c r="BF171" i="84"/>
  <c r="BG171" i="84"/>
  <c r="BI171" i="84"/>
  <c r="BJ171" i="84"/>
  <c r="BK171" i="84"/>
  <c r="BL171" i="84"/>
  <c r="BN171" i="84"/>
  <c r="BO171" i="84"/>
  <c r="BP171" i="84"/>
  <c r="BQ171" i="84"/>
  <c r="BD172" i="84"/>
  <c r="BE172" i="84"/>
  <c r="BF172" i="84"/>
  <c r="BG172" i="84"/>
  <c r="BI172" i="84"/>
  <c r="BJ172" i="84"/>
  <c r="BK172" i="84"/>
  <c r="BL172" i="84"/>
  <c r="BN172" i="84"/>
  <c r="BO172" i="84"/>
  <c r="BP172" i="84"/>
  <c r="BQ172" i="84"/>
  <c r="BD173" i="84"/>
  <c r="BE173" i="84"/>
  <c r="BF173" i="84"/>
  <c r="BG173" i="84"/>
  <c r="BI173" i="84"/>
  <c r="BJ173" i="84"/>
  <c r="BK173" i="84"/>
  <c r="BL173" i="84"/>
  <c r="BN173" i="84"/>
  <c r="BO173" i="84"/>
  <c r="BP173" i="84"/>
  <c r="BQ173" i="84"/>
  <c r="BD174" i="84"/>
  <c r="BE174" i="84"/>
  <c r="BF174" i="84"/>
  <c r="BG174" i="84"/>
  <c r="BI174" i="84"/>
  <c r="BJ174" i="84"/>
  <c r="BK174" i="84"/>
  <c r="BL174" i="84"/>
  <c r="BN174" i="84"/>
  <c r="BO174" i="84"/>
  <c r="BP174" i="84"/>
  <c r="BQ174" i="84"/>
  <c r="BD175" i="84"/>
  <c r="BE175" i="84"/>
  <c r="BF175" i="84"/>
  <c r="BG175" i="84"/>
  <c r="BI175" i="84"/>
  <c r="BJ175" i="84"/>
  <c r="BK175" i="84"/>
  <c r="BL175" i="84"/>
  <c r="BN175" i="84"/>
  <c r="BO175" i="84"/>
  <c r="BP175" i="84"/>
  <c r="BQ175" i="84"/>
  <c r="BD176" i="84"/>
  <c r="BE176" i="84"/>
  <c r="BF176" i="84"/>
  <c r="BG176" i="84"/>
  <c r="BI176" i="84"/>
  <c r="BJ176" i="84"/>
  <c r="BK176" i="84"/>
  <c r="BL176" i="84"/>
  <c r="BN176" i="84"/>
  <c r="BO176" i="84"/>
  <c r="BP176" i="84"/>
  <c r="BQ176" i="84"/>
  <c r="BD177" i="84"/>
  <c r="BE177" i="84"/>
  <c r="BF177" i="84"/>
  <c r="BG177" i="84"/>
  <c r="BI177" i="84"/>
  <c r="BJ177" i="84"/>
  <c r="BK177" i="84"/>
  <c r="BL177" i="84"/>
  <c r="BN177" i="84"/>
  <c r="BO177" i="84"/>
  <c r="BP177" i="84"/>
  <c r="BQ177" i="84"/>
  <c r="BD178" i="84"/>
  <c r="BE178" i="84"/>
  <c r="BF178" i="84"/>
  <c r="BG178" i="84"/>
  <c r="BI178" i="84"/>
  <c r="BJ178" i="84"/>
  <c r="BK178" i="84"/>
  <c r="BL178" i="84"/>
  <c r="BN178" i="84"/>
  <c r="BO178" i="84"/>
  <c r="BP178" i="84"/>
  <c r="BQ178" i="84"/>
  <c r="BD179" i="84"/>
  <c r="BE179" i="84"/>
  <c r="BF179" i="84"/>
  <c r="BG179" i="84"/>
  <c r="BI179" i="84"/>
  <c r="BJ179" i="84"/>
  <c r="BK179" i="84"/>
  <c r="BL179" i="84"/>
  <c r="BN179" i="84"/>
  <c r="BO179" i="84"/>
  <c r="BP179" i="84"/>
  <c r="BQ179" i="84"/>
  <c r="BD180" i="84"/>
  <c r="BE180" i="84"/>
  <c r="BF180" i="84"/>
  <c r="BG180" i="84"/>
  <c r="BI180" i="84"/>
  <c r="BJ180" i="84"/>
  <c r="BK180" i="84"/>
  <c r="BL180" i="84"/>
  <c r="BN180" i="84"/>
  <c r="BO180" i="84"/>
  <c r="BP180" i="84"/>
  <c r="BQ180" i="84"/>
  <c r="BD181" i="84"/>
  <c r="BE181" i="84"/>
  <c r="BF181" i="84"/>
  <c r="BG181" i="84"/>
  <c r="BI181" i="84"/>
  <c r="BJ181" i="84"/>
  <c r="BK181" i="84"/>
  <c r="BL181" i="84"/>
  <c r="BN181" i="84"/>
  <c r="BO181" i="84"/>
  <c r="BP181" i="84"/>
  <c r="BQ181" i="84"/>
  <c r="BD182" i="84"/>
  <c r="BE182" i="84"/>
  <c r="BF182" i="84"/>
  <c r="BG182" i="84"/>
  <c r="BI182" i="84"/>
  <c r="BJ182" i="84"/>
  <c r="BK182" i="84"/>
  <c r="BL182" i="84"/>
  <c r="BN182" i="84"/>
  <c r="BO182" i="84"/>
  <c r="BP182" i="84"/>
  <c r="BQ182" i="84"/>
  <c r="BD183" i="84"/>
  <c r="BE183" i="84"/>
  <c r="BF183" i="84"/>
  <c r="BG183" i="84"/>
  <c r="BI183" i="84"/>
  <c r="BJ183" i="84"/>
  <c r="BK183" i="84"/>
  <c r="BL183" i="84"/>
  <c r="BN183" i="84"/>
  <c r="BO183" i="84"/>
  <c r="BP183" i="84"/>
  <c r="BQ183" i="84"/>
  <c r="BD184" i="84"/>
  <c r="BE184" i="84"/>
  <c r="BF184" i="84"/>
  <c r="BG184" i="84"/>
  <c r="BI184" i="84"/>
  <c r="BJ184" i="84"/>
  <c r="BK184" i="84"/>
  <c r="BL184" i="84"/>
  <c r="BN184" i="84"/>
  <c r="BO184" i="84"/>
  <c r="BP184" i="84"/>
  <c r="BQ184" i="84"/>
  <c r="BD185" i="84"/>
  <c r="BE185" i="84"/>
  <c r="BF185" i="84"/>
  <c r="BG185" i="84"/>
  <c r="BI185" i="84"/>
  <c r="BJ185" i="84"/>
  <c r="BK185" i="84"/>
  <c r="BL185" i="84"/>
  <c r="BN185" i="84"/>
  <c r="BO185" i="84"/>
  <c r="BP185" i="84"/>
  <c r="BQ185" i="84"/>
  <c r="BD186" i="84"/>
  <c r="BE186" i="84"/>
  <c r="BF186" i="84"/>
  <c r="BG186" i="84"/>
  <c r="BI186" i="84"/>
  <c r="BJ186" i="84"/>
  <c r="BK186" i="84"/>
  <c r="BL186" i="84"/>
  <c r="BN186" i="84"/>
  <c r="BO186" i="84"/>
  <c r="BP186" i="84"/>
  <c r="BQ186" i="84"/>
  <c r="BD187" i="84"/>
  <c r="BE187" i="84"/>
  <c r="BF187" i="84"/>
  <c r="BG187" i="84"/>
  <c r="BI187" i="84"/>
  <c r="BJ187" i="84"/>
  <c r="BK187" i="84"/>
  <c r="BL187" i="84"/>
  <c r="BN187" i="84"/>
  <c r="BO187" i="84"/>
  <c r="BP187" i="84"/>
  <c r="BQ187" i="84"/>
  <c r="BD188" i="84"/>
  <c r="BE188" i="84"/>
  <c r="BF188" i="84"/>
  <c r="BG188" i="84"/>
  <c r="BI188" i="84"/>
  <c r="BJ188" i="84"/>
  <c r="BK188" i="84"/>
  <c r="BL188" i="84"/>
  <c r="BN188" i="84"/>
  <c r="BO188" i="84"/>
  <c r="BP188" i="84"/>
  <c r="BQ188" i="84"/>
  <c r="BD189" i="84"/>
  <c r="BE189" i="84"/>
  <c r="BF189" i="84"/>
  <c r="BG189" i="84"/>
  <c r="BI189" i="84"/>
  <c r="BJ189" i="84"/>
  <c r="BK189" i="84"/>
  <c r="BL189" i="84"/>
  <c r="BN189" i="84"/>
  <c r="BO189" i="84"/>
  <c r="BP189" i="84"/>
  <c r="BQ189" i="84"/>
  <c r="BD190" i="84"/>
  <c r="BE190" i="84"/>
  <c r="BF190" i="84"/>
  <c r="BG190" i="84"/>
  <c r="BI190" i="84"/>
  <c r="BJ190" i="84"/>
  <c r="BK190" i="84"/>
  <c r="BL190" i="84"/>
  <c r="BN190" i="84"/>
  <c r="BO190" i="84"/>
  <c r="BP190" i="84"/>
  <c r="BQ190" i="84"/>
  <c r="BD191" i="84"/>
  <c r="BE191" i="84"/>
  <c r="BF191" i="84"/>
  <c r="BG191" i="84"/>
  <c r="BI191" i="84"/>
  <c r="BJ191" i="84"/>
  <c r="BK191" i="84"/>
  <c r="BL191" i="84"/>
  <c r="BN191" i="84"/>
  <c r="BO191" i="84"/>
  <c r="BP191" i="84"/>
  <c r="BQ191" i="84"/>
  <c r="BD192" i="84"/>
  <c r="BE192" i="84"/>
  <c r="BF192" i="84"/>
  <c r="BG192" i="84"/>
  <c r="BI192" i="84"/>
  <c r="BJ192" i="84"/>
  <c r="BK192" i="84"/>
  <c r="BL192" i="84"/>
  <c r="BN192" i="84"/>
  <c r="BO192" i="84"/>
  <c r="BP192" i="84"/>
  <c r="BQ192" i="84"/>
  <c r="BD193" i="84"/>
  <c r="BE193" i="84"/>
  <c r="BF193" i="84"/>
  <c r="BG193" i="84"/>
  <c r="BI193" i="84"/>
  <c r="BJ193" i="84"/>
  <c r="BK193" i="84"/>
  <c r="BL193" i="84"/>
  <c r="BN193" i="84"/>
  <c r="BO193" i="84"/>
  <c r="BP193" i="84"/>
  <c r="BQ193" i="84"/>
  <c r="BD194" i="84"/>
  <c r="BE194" i="84"/>
  <c r="BF194" i="84"/>
  <c r="BG194" i="84"/>
  <c r="BI194" i="84"/>
  <c r="BJ194" i="84"/>
  <c r="BK194" i="84"/>
  <c r="BL194" i="84"/>
  <c r="BN194" i="84"/>
  <c r="BO194" i="84"/>
  <c r="BP194" i="84"/>
  <c r="BQ194" i="84"/>
  <c r="BD195" i="84"/>
  <c r="BE195" i="84"/>
  <c r="BF195" i="84"/>
  <c r="BG195" i="84"/>
  <c r="BI195" i="84"/>
  <c r="BJ195" i="84"/>
  <c r="BK195" i="84"/>
  <c r="BL195" i="84"/>
  <c r="BN195" i="84"/>
  <c r="BO195" i="84"/>
  <c r="BP195" i="84"/>
  <c r="BQ195" i="84"/>
  <c r="BD196" i="84"/>
  <c r="BE196" i="84"/>
  <c r="BF196" i="84"/>
  <c r="BG196" i="84"/>
  <c r="BI196" i="84"/>
  <c r="BJ196" i="84"/>
  <c r="BK196" i="84"/>
  <c r="BL196" i="84"/>
  <c r="BN196" i="84"/>
  <c r="BO196" i="84"/>
  <c r="BP196" i="84"/>
  <c r="BQ196" i="84"/>
  <c r="BD197" i="84"/>
  <c r="BE197" i="84"/>
  <c r="BF197" i="84"/>
  <c r="BG197" i="84"/>
  <c r="BI197" i="84"/>
  <c r="BJ197" i="84"/>
  <c r="BK197" i="84"/>
  <c r="BL197" i="84"/>
  <c r="BN197" i="84"/>
  <c r="BO197" i="84"/>
  <c r="BP197" i="84"/>
  <c r="BQ197" i="84"/>
  <c r="BD198" i="84"/>
  <c r="BE198" i="84"/>
  <c r="BF198" i="84"/>
  <c r="BG198" i="84"/>
  <c r="BI198" i="84"/>
  <c r="BJ198" i="84"/>
  <c r="BK198" i="84"/>
  <c r="BL198" i="84"/>
  <c r="BN198" i="84"/>
  <c r="BO198" i="84"/>
  <c r="BP198" i="84"/>
  <c r="BQ198" i="84"/>
  <c r="BD199" i="84"/>
  <c r="BE199" i="84"/>
  <c r="BF199" i="84"/>
  <c r="BG199" i="84"/>
  <c r="BI199" i="84"/>
  <c r="BJ199" i="84"/>
  <c r="BK199" i="84"/>
  <c r="BL199" i="84"/>
  <c r="BN199" i="84"/>
  <c r="BO199" i="84"/>
  <c r="BP199" i="84"/>
  <c r="BQ199" i="84"/>
  <c r="BD200" i="84"/>
  <c r="BE200" i="84"/>
  <c r="BF200" i="84"/>
  <c r="BG200" i="84"/>
  <c r="BI200" i="84"/>
  <c r="BJ200" i="84"/>
  <c r="BK200" i="84"/>
  <c r="BL200" i="84"/>
  <c r="BN200" i="84"/>
  <c r="BO200" i="84"/>
  <c r="BP200" i="84"/>
  <c r="BQ200" i="84"/>
  <c r="BD201" i="84"/>
  <c r="BE201" i="84"/>
  <c r="BF201" i="84"/>
  <c r="BG201" i="84"/>
  <c r="BI201" i="84"/>
  <c r="BJ201" i="84"/>
  <c r="BK201" i="84"/>
  <c r="BL201" i="84"/>
  <c r="BN201" i="84"/>
  <c r="BO201" i="84"/>
  <c r="BP201" i="84"/>
  <c r="BQ201" i="84"/>
  <c r="BD202" i="84"/>
  <c r="BE202" i="84"/>
  <c r="BF202" i="84"/>
  <c r="BG202" i="84"/>
  <c r="BI202" i="84"/>
  <c r="BJ202" i="84"/>
  <c r="BK202" i="84"/>
  <c r="BL202" i="84"/>
  <c r="BN202" i="84"/>
  <c r="BO202" i="84"/>
  <c r="BP202" i="84"/>
  <c r="BQ202" i="84"/>
  <c r="BD203" i="84"/>
  <c r="BE203" i="84"/>
  <c r="BF203" i="84"/>
  <c r="BG203" i="84"/>
  <c r="BI203" i="84"/>
  <c r="BJ203" i="84"/>
  <c r="BK203" i="84"/>
  <c r="BL203" i="84"/>
  <c r="BN203" i="84"/>
  <c r="BO203" i="84"/>
  <c r="BP203" i="84"/>
  <c r="BQ203" i="84"/>
  <c r="BD204" i="84"/>
  <c r="BE204" i="84"/>
  <c r="BF204" i="84"/>
  <c r="BG204" i="84"/>
  <c r="BI204" i="84"/>
  <c r="BJ204" i="84"/>
  <c r="BK204" i="84"/>
  <c r="BL204" i="84"/>
  <c r="BN204" i="84"/>
  <c r="BO204" i="84"/>
  <c r="BP204" i="84"/>
  <c r="BQ204" i="84"/>
  <c r="BD205" i="84"/>
  <c r="BE205" i="84"/>
  <c r="BF205" i="84"/>
  <c r="BG205" i="84"/>
  <c r="BI205" i="84"/>
  <c r="BJ205" i="84"/>
  <c r="BK205" i="84"/>
  <c r="BL205" i="84"/>
  <c r="BN205" i="84"/>
  <c r="BO205" i="84"/>
  <c r="BP205" i="84"/>
  <c r="BQ205" i="84"/>
  <c r="BD206" i="84"/>
  <c r="BE206" i="84"/>
  <c r="BF206" i="84"/>
  <c r="BG206" i="84"/>
  <c r="BI206" i="84"/>
  <c r="BJ206" i="84"/>
  <c r="BK206" i="84"/>
  <c r="BL206" i="84"/>
  <c r="BN206" i="84"/>
  <c r="BO206" i="84"/>
  <c r="BP206" i="84"/>
  <c r="BQ206" i="84"/>
  <c r="BD207" i="84"/>
  <c r="BE207" i="84"/>
  <c r="BF207" i="84"/>
  <c r="BG207" i="84"/>
  <c r="BI207" i="84"/>
  <c r="BJ207" i="84"/>
  <c r="BK207" i="84"/>
  <c r="BL207" i="84"/>
  <c r="BN207" i="84"/>
  <c r="BO207" i="84"/>
  <c r="BP207" i="84"/>
  <c r="BQ207" i="84"/>
  <c r="BD208" i="84"/>
  <c r="BE208" i="84"/>
  <c r="BF208" i="84"/>
  <c r="BG208" i="84"/>
  <c r="BI208" i="84"/>
  <c r="BJ208" i="84"/>
  <c r="BK208" i="84"/>
  <c r="BL208" i="84"/>
  <c r="BN208" i="84"/>
  <c r="BO208" i="84"/>
  <c r="BP208" i="84"/>
  <c r="BQ208" i="84"/>
  <c r="BD209" i="84"/>
  <c r="BE209" i="84"/>
  <c r="BF209" i="84"/>
  <c r="BG209" i="84"/>
  <c r="BI209" i="84"/>
  <c r="BJ209" i="84"/>
  <c r="BK209" i="84"/>
  <c r="BL209" i="84"/>
  <c r="BN209" i="84"/>
  <c r="BO209" i="84"/>
  <c r="BP209" i="84"/>
  <c r="BQ209" i="84"/>
  <c r="BD210" i="84"/>
  <c r="BE210" i="84"/>
  <c r="BF210" i="84"/>
  <c r="BG210" i="84"/>
  <c r="BI210" i="84"/>
  <c r="BJ210" i="84"/>
  <c r="BK210" i="84"/>
  <c r="BL210" i="84"/>
  <c r="BN210" i="84"/>
  <c r="BO210" i="84"/>
  <c r="BP210" i="84"/>
  <c r="BQ210" i="84"/>
  <c r="BD211" i="84"/>
  <c r="BE211" i="84"/>
  <c r="BF211" i="84"/>
  <c r="BG211" i="84"/>
  <c r="BI211" i="84"/>
  <c r="BJ211" i="84"/>
  <c r="BK211" i="84"/>
  <c r="BL211" i="84"/>
  <c r="BN211" i="84"/>
  <c r="BO211" i="84"/>
  <c r="BP211" i="84"/>
  <c r="BQ211" i="84"/>
  <c r="BD212" i="84"/>
  <c r="BE212" i="84"/>
  <c r="BF212" i="84"/>
  <c r="BG212" i="84"/>
  <c r="BI212" i="84"/>
  <c r="BJ212" i="84"/>
  <c r="BK212" i="84"/>
  <c r="BL212" i="84"/>
  <c r="BN212" i="84"/>
  <c r="BO212" i="84"/>
  <c r="BP212" i="84"/>
  <c r="BQ212" i="84"/>
  <c r="BD213" i="84"/>
  <c r="BE213" i="84"/>
  <c r="BF213" i="84"/>
  <c r="BG213" i="84"/>
  <c r="BI213" i="84"/>
  <c r="BJ213" i="84"/>
  <c r="BK213" i="84"/>
  <c r="BL213" i="84"/>
  <c r="BN213" i="84"/>
  <c r="BO213" i="84"/>
  <c r="BP213" i="84"/>
  <c r="BQ213" i="84"/>
  <c r="BD214" i="84"/>
  <c r="BE214" i="84"/>
  <c r="BF214" i="84"/>
  <c r="BG214" i="84"/>
  <c r="BI214" i="84"/>
  <c r="BJ214" i="84"/>
  <c r="BK214" i="84"/>
  <c r="BL214" i="84"/>
  <c r="BN214" i="84"/>
  <c r="BO214" i="84"/>
  <c r="BP214" i="84"/>
  <c r="BQ214" i="84"/>
  <c r="BD215" i="84"/>
  <c r="BE215" i="84"/>
  <c r="BF215" i="84"/>
  <c r="BG215" i="84"/>
  <c r="BI215" i="84"/>
  <c r="BJ215" i="84"/>
  <c r="BK215" i="84"/>
  <c r="BL215" i="84"/>
  <c r="BN215" i="84"/>
  <c r="BO215" i="84"/>
  <c r="BP215" i="84"/>
  <c r="BQ215" i="84"/>
  <c r="BD216" i="84"/>
  <c r="BE216" i="84"/>
  <c r="BF216" i="84"/>
  <c r="BG216" i="84"/>
  <c r="BI216" i="84"/>
  <c r="BJ216" i="84"/>
  <c r="BK216" i="84"/>
  <c r="BL216" i="84"/>
  <c r="BN216" i="84"/>
  <c r="BO216" i="84"/>
  <c r="BP216" i="84"/>
  <c r="BQ216" i="84"/>
  <c r="BD217" i="84"/>
  <c r="BE217" i="84"/>
  <c r="BF217" i="84"/>
  <c r="BG217" i="84"/>
  <c r="BI217" i="84"/>
  <c r="BJ217" i="84"/>
  <c r="BK217" i="84"/>
  <c r="BL217" i="84"/>
  <c r="BN217" i="84"/>
  <c r="BO217" i="84"/>
  <c r="BP217" i="84"/>
  <c r="BQ217" i="84"/>
  <c r="BD218" i="84"/>
  <c r="BE218" i="84"/>
  <c r="BF218" i="84"/>
  <c r="BG218" i="84"/>
  <c r="BI218" i="84"/>
  <c r="BJ218" i="84"/>
  <c r="BK218" i="84"/>
  <c r="BL218" i="84"/>
  <c r="BN218" i="84"/>
  <c r="BO218" i="84"/>
  <c r="BP218" i="84"/>
  <c r="BQ218" i="84"/>
  <c r="BD219" i="84"/>
  <c r="BE219" i="84"/>
  <c r="BF219" i="84"/>
  <c r="BG219" i="84"/>
  <c r="BI219" i="84"/>
  <c r="BJ219" i="84"/>
  <c r="BK219" i="84"/>
  <c r="BL219" i="84"/>
  <c r="BN219" i="84"/>
  <c r="BO219" i="84"/>
  <c r="BP219" i="84"/>
  <c r="BQ219" i="84"/>
  <c r="AL21" i="84"/>
  <c r="AM21" i="84"/>
  <c r="AN21" i="84"/>
  <c r="AO21" i="84"/>
  <c r="AQ21" i="84"/>
  <c r="AR21" i="84"/>
  <c r="AS21" i="84"/>
  <c r="AT21" i="84"/>
  <c r="AV21" i="84"/>
  <c r="AW21" i="84"/>
  <c r="AX21" i="84"/>
  <c r="AY21" i="84"/>
  <c r="AL22" i="84"/>
  <c r="AM22" i="84"/>
  <c r="AN22" i="84"/>
  <c r="AO22" i="84"/>
  <c r="AQ22" i="84"/>
  <c r="AR22" i="84"/>
  <c r="AS22" i="84"/>
  <c r="AT22" i="84"/>
  <c r="AV22" i="84"/>
  <c r="AW22" i="84"/>
  <c r="AX22" i="84"/>
  <c r="AY22" i="84"/>
  <c r="AL23" i="84"/>
  <c r="AM23" i="84"/>
  <c r="AN23" i="84"/>
  <c r="AO23" i="84"/>
  <c r="AQ23" i="84"/>
  <c r="AR23" i="84"/>
  <c r="AS23" i="84"/>
  <c r="AT23" i="84"/>
  <c r="AV23" i="84"/>
  <c r="AW23" i="84"/>
  <c r="AX23" i="84"/>
  <c r="AY23" i="84"/>
  <c r="AL24" i="84"/>
  <c r="AM24" i="84"/>
  <c r="AN24" i="84"/>
  <c r="AO24" i="84"/>
  <c r="AQ24" i="84"/>
  <c r="AR24" i="84"/>
  <c r="AS24" i="84"/>
  <c r="AT24" i="84"/>
  <c r="AV24" i="84"/>
  <c r="AW24" i="84"/>
  <c r="AX24" i="84"/>
  <c r="AY24" i="84"/>
  <c r="AL25" i="84"/>
  <c r="AM25" i="84"/>
  <c r="AN25" i="84"/>
  <c r="AO25" i="84"/>
  <c r="AQ25" i="84"/>
  <c r="AR25" i="84"/>
  <c r="AS25" i="84"/>
  <c r="AT25" i="84"/>
  <c r="AV25" i="84"/>
  <c r="AW25" i="84"/>
  <c r="AX25" i="84"/>
  <c r="AY25" i="84"/>
  <c r="AL26" i="84"/>
  <c r="AM26" i="84"/>
  <c r="AN26" i="84"/>
  <c r="AO26" i="84"/>
  <c r="AQ26" i="84"/>
  <c r="AR26" i="84"/>
  <c r="AS26" i="84"/>
  <c r="AT26" i="84"/>
  <c r="AV26" i="84"/>
  <c r="AW26" i="84"/>
  <c r="AX26" i="84"/>
  <c r="AY26" i="84"/>
  <c r="AL27" i="84"/>
  <c r="AM27" i="84"/>
  <c r="AN27" i="84"/>
  <c r="AO27" i="84"/>
  <c r="AQ27" i="84"/>
  <c r="AR27" i="84"/>
  <c r="AS27" i="84"/>
  <c r="AT27" i="84"/>
  <c r="AV27" i="84"/>
  <c r="AW27" i="84"/>
  <c r="AX27" i="84"/>
  <c r="AY27" i="84"/>
  <c r="AL28" i="84"/>
  <c r="AM28" i="84"/>
  <c r="AN28" i="84"/>
  <c r="AO28" i="84"/>
  <c r="AQ28" i="84"/>
  <c r="AR28" i="84"/>
  <c r="AS28" i="84"/>
  <c r="AT28" i="84"/>
  <c r="AV28" i="84"/>
  <c r="AW28" i="84"/>
  <c r="AX28" i="84"/>
  <c r="AY28" i="84"/>
  <c r="AL29" i="84"/>
  <c r="AM29" i="84"/>
  <c r="AN29" i="84"/>
  <c r="AO29" i="84"/>
  <c r="AQ29" i="84"/>
  <c r="AR29" i="84"/>
  <c r="AS29" i="84"/>
  <c r="AT29" i="84"/>
  <c r="AV29" i="84"/>
  <c r="AW29" i="84"/>
  <c r="AX29" i="84"/>
  <c r="AY29" i="84"/>
  <c r="AL30" i="84"/>
  <c r="AM30" i="84"/>
  <c r="AN30" i="84"/>
  <c r="AO30" i="84"/>
  <c r="AQ30" i="84"/>
  <c r="AR30" i="84"/>
  <c r="AS30" i="84"/>
  <c r="AT30" i="84"/>
  <c r="AV30" i="84"/>
  <c r="AW30" i="84"/>
  <c r="AX30" i="84"/>
  <c r="AY30" i="84"/>
  <c r="AL31" i="84"/>
  <c r="AM31" i="84"/>
  <c r="AN31" i="84"/>
  <c r="AO31" i="84"/>
  <c r="AQ31" i="84"/>
  <c r="AR31" i="84"/>
  <c r="AS31" i="84"/>
  <c r="AT31" i="84"/>
  <c r="AV31" i="84"/>
  <c r="AW31" i="84"/>
  <c r="AX31" i="84"/>
  <c r="AY31" i="84"/>
  <c r="AL32" i="84"/>
  <c r="AM32" i="84"/>
  <c r="AN32" i="84"/>
  <c r="AO32" i="84"/>
  <c r="AQ32" i="84"/>
  <c r="AR32" i="84"/>
  <c r="AS32" i="84"/>
  <c r="AT32" i="84"/>
  <c r="AV32" i="84"/>
  <c r="AW32" i="84"/>
  <c r="AX32" i="84"/>
  <c r="AY32" i="84"/>
  <c r="AL33" i="84"/>
  <c r="AM33" i="84"/>
  <c r="AN33" i="84"/>
  <c r="AO33" i="84"/>
  <c r="AQ33" i="84"/>
  <c r="AR33" i="84"/>
  <c r="AS33" i="84"/>
  <c r="AT33" i="84"/>
  <c r="AV33" i="84"/>
  <c r="AW33" i="84"/>
  <c r="AX33" i="84"/>
  <c r="AY33" i="84"/>
  <c r="AL34" i="84"/>
  <c r="AM34" i="84"/>
  <c r="AN34" i="84"/>
  <c r="AO34" i="84"/>
  <c r="AQ34" i="84"/>
  <c r="AR34" i="84"/>
  <c r="AS34" i="84"/>
  <c r="AT34" i="84"/>
  <c r="AV34" i="84"/>
  <c r="AW34" i="84"/>
  <c r="AX34" i="84"/>
  <c r="AY34" i="84"/>
  <c r="AL35" i="84"/>
  <c r="AM35" i="84"/>
  <c r="AN35" i="84"/>
  <c r="AO35" i="84"/>
  <c r="AQ35" i="84"/>
  <c r="AR35" i="84"/>
  <c r="AS35" i="84"/>
  <c r="AT35" i="84"/>
  <c r="AV35" i="84"/>
  <c r="AW35" i="84"/>
  <c r="AX35" i="84"/>
  <c r="AY35" i="84"/>
  <c r="AL36" i="84"/>
  <c r="AM36" i="84"/>
  <c r="AN36" i="84"/>
  <c r="AO36" i="84"/>
  <c r="AQ36" i="84"/>
  <c r="AR36" i="84"/>
  <c r="AS36" i="84"/>
  <c r="AT36" i="84"/>
  <c r="AV36" i="84"/>
  <c r="AW36" i="84"/>
  <c r="AX36" i="84"/>
  <c r="AY36" i="84"/>
  <c r="AL37" i="84"/>
  <c r="AM37" i="84"/>
  <c r="AN37" i="84"/>
  <c r="AO37" i="84"/>
  <c r="AQ37" i="84"/>
  <c r="AR37" i="84"/>
  <c r="AS37" i="84"/>
  <c r="AT37" i="84"/>
  <c r="AV37" i="84"/>
  <c r="AW37" i="84"/>
  <c r="AX37" i="84"/>
  <c r="AY37" i="84"/>
  <c r="AL38" i="84"/>
  <c r="AM38" i="84"/>
  <c r="AN38" i="84"/>
  <c r="AO38" i="84"/>
  <c r="AQ38" i="84"/>
  <c r="AR38" i="84"/>
  <c r="AS38" i="84"/>
  <c r="AT38" i="84"/>
  <c r="AV38" i="84"/>
  <c r="AW38" i="84"/>
  <c r="AX38" i="84"/>
  <c r="AY38" i="84"/>
  <c r="AL39" i="84"/>
  <c r="AM39" i="84"/>
  <c r="AN39" i="84"/>
  <c r="AO39" i="84"/>
  <c r="AQ39" i="84"/>
  <c r="AR39" i="84"/>
  <c r="AS39" i="84"/>
  <c r="AT39" i="84"/>
  <c r="AV39" i="84"/>
  <c r="AW39" i="84"/>
  <c r="AX39" i="84"/>
  <c r="AY39" i="84"/>
  <c r="AL40" i="84"/>
  <c r="AM40" i="84"/>
  <c r="AN40" i="84"/>
  <c r="AO40" i="84"/>
  <c r="AQ40" i="84"/>
  <c r="AR40" i="84"/>
  <c r="AS40" i="84"/>
  <c r="AT40" i="84"/>
  <c r="AV40" i="84"/>
  <c r="AW40" i="84"/>
  <c r="AX40" i="84"/>
  <c r="AY40" i="84"/>
  <c r="AL41" i="84"/>
  <c r="AM41" i="84"/>
  <c r="AN41" i="84"/>
  <c r="AO41" i="84"/>
  <c r="AQ41" i="84"/>
  <c r="AR41" i="84"/>
  <c r="AS41" i="84"/>
  <c r="AT41" i="84"/>
  <c r="AV41" i="84"/>
  <c r="AW41" i="84"/>
  <c r="AX41" i="84"/>
  <c r="AY41" i="84"/>
  <c r="AL42" i="84"/>
  <c r="AM42" i="84"/>
  <c r="AN42" i="84"/>
  <c r="AO42" i="84"/>
  <c r="AQ42" i="84"/>
  <c r="AR42" i="84"/>
  <c r="AS42" i="84"/>
  <c r="AT42" i="84"/>
  <c r="AV42" i="84"/>
  <c r="AW42" i="84"/>
  <c r="AX42" i="84"/>
  <c r="AY42" i="84"/>
  <c r="AL43" i="84"/>
  <c r="AM43" i="84"/>
  <c r="AN43" i="84"/>
  <c r="AO43" i="84"/>
  <c r="AQ43" i="84"/>
  <c r="AR43" i="84"/>
  <c r="AS43" i="84"/>
  <c r="AT43" i="84"/>
  <c r="AV43" i="84"/>
  <c r="AW43" i="84"/>
  <c r="AX43" i="84"/>
  <c r="AY43" i="84"/>
  <c r="AL44" i="84"/>
  <c r="AM44" i="84"/>
  <c r="AN44" i="84"/>
  <c r="AO44" i="84"/>
  <c r="AQ44" i="84"/>
  <c r="AR44" i="84"/>
  <c r="AS44" i="84"/>
  <c r="AT44" i="84"/>
  <c r="AV44" i="84"/>
  <c r="AW44" i="84"/>
  <c r="AX44" i="84"/>
  <c r="AY44" i="84"/>
  <c r="AL45" i="84"/>
  <c r="AM45" i="84"/>
  <c r="AN45" i="84"/>
  <c r="AO45" i="84"/>
  <c r="AQ45" i="84"/>
  <c r="AR45" i="84"/>
  <c r="AS45" i="84"/>
  <c r="AT45" i="84"/>
  <c r="AV45" i="84"/>
  <c r="AW45" i="84"/>
  <c r="AX45" i="84"/>
  <c r="AY45" i="84"/>
  <c r="AL46" i="84"/>
  <c r="AM46" i="84"/>
  <c r="AN46" i="84"/>
  <c r="AO46" i="84"/>
  <c r="AQ46" i="84"/>
  <c r="AR46" i="84"/>
  <c r="AS46" i="84"/>
  <c r="AT46" i="84"/>
  <c r="AV46" i="84"/>
  <c r="AW46" i="84"/>
  <c r="AX46" i="84"/>
  <c r="AY46" i="84"/>
  <c r="AL47" i="84"/>
  <c r="AM47" i="84"/>
  <c r="AN47" i="84"/>
  <c r="AO47" i="84"/>
  <c r="AQ47" i="84"/>
  <c r="AR47" i="84"/>
  <c r="AS47" i="84"/>
  <c r="AT47" i="84"/>
  <c r="AV47" i="84"/>
  <c r="AW47" i="84"/>
  <c r="AX47" i="84"/>
  <c r="AY47" i="84"/>
  <c r="AL48" i="84"/>
  <c r="AM48" i="84"/>
  <c r="AN48" i="84"/>
  <c r="AO48" i="84"/>
  <c r="AQ48" i="84"/>
  <c r="AR48" i="84"/>
  <c r="AS48" i="84"/>
  <c r="AT48" i="84"/>
  <c r="AV48" i="84"/>
  <c r="AW48" i="84"/>
  <c r="AX48" i="84"/>
  <c r="AY48" i="84"/>
  <c r="AL49" i="84"/>
  <c r="AM49" i="84"/>
  <c r="AN49" i="84"/>
  <c r="AO49" i="84"/>
  <c r="AQ49" i="84"/>
  <c r="AR49" i="84"/>
  <c r="AS49" i="84"/>
  <c r="AT49" i="84"/>
  <c r="AV49" i="84"/>
  <c r="AW49" i="84"/>
  <c r="AX49" i="84"/>
  <c r="AY49" i="84"/>
  <c r="AL50" i="84"/>
  <c r="AM50" i="84"/>
  <c r="AN50" i="84"/>
  <c r="AO50" i="84"/>
  <c r="AQ50" i="84"/>
  <c r="AR50" i="84"/>
  <c r="AS50" i="84"/>
  <c r="AT50" i="84"/>
  <c r="AV50" i="84"/>
  <c r="AW50" i="84"/>
  <c r="AX50" i="84"/>
  <c r="AY50" i="84"/>
  <c r="AL51" i="84"/>
  <c r="AM51" i="84"/>
  <c r="AN51" i="84"/>
  <c r="AO51" i="84"/>
  <c r="AQ51" i="84"/>
  <c r="AR51" i="84"/>
  <c r="AS51" i="84"/>
  <c r="AT51" i="84"/>
  <c r="AV51" i="84"/>
  <c r="AW51" i="84"/>
  <c r="AX51" i="84"/>
  <c r="AY51" i="84"/>
  <c r="AL52" i="84"/>
  <c r="AM52" i="84"/>
  <c r="AN52" i="84"/>
  <c r="AO52" i="84"/>
  <c r="AQ52" i="84"/>
  <c r="AR52" i="84"/>
  <c r="AS52" i="84"/>
  <c r="AT52" i="84"/>
  <c r="AV52" i="84"/>
  <c r="AW52" i="84"/>
  <c r="AX52" i="84"/>
  <c r="AY52" i="84"/>
  <c r="AL53" i="84"/>
  <c r="AM53" i="84"/>
  <c r="AN53" i="84"/>
  <c r="AO53" i="84"/>
  <c r="AQ53" i="84"/>
  <c r="AR53" i="84"/>
  <c r="AS53" i="84"/>
  <c r="AT53" i="84"/>
  <c r="AV53" i="84"/>
  <c r="AW53" i="84"/>
  <c r="AX53" i="84"/>
  <c r="AY53" i="84"/>
  <c r="AL54" i="84"/>
  <c r="AM54" i="84"/>
  <c r="AN54" i="84"/>
  <c r="AO54" i="84"/>
  <c r="AQ54" i="84"/>
  <c r="AR54" i="84"/>
  <c r="AS54" i="84"/>
  <c r="AT54" i="84"/>
  <c r="AV54" i="84"/>
  <c r="AW54" i="84"/>
  <c r="AX54" i="84"/>
  <c r="AY54" i="84"/>
  <c r="AL55" i="84"/>
  <c r="AM55" i="84"/>
  <c r="AN55" i="84"/>
  <c r="AO55" i="84"/>
  <c r="AQ55" i="84"/>
  <c r="AR55" i="84"/>
  <c r="AS55" i="84"/>
  <c r="AT55" i="84"/>
  <c r="AV55" i="84"/>
  <c r="AW55" i="84"/>
  <c r="AX55" i="84"/>
  <c r="AY55" i="84"/>
  <c r="AL56" i="84"/>
  <c r="AM56" i="84"/>
  <c r="AN56" i="84"/>
  <c r="AO56" i="84"/>
  <c r="AQ56" i="84"/>
  <c r="AR56" i="84"/>
  <c r="AS56" i="84"/>
  <c r="AT56" i="84"/>
  <c r="AV56" i="84"/>
  <c r="AW56" i="84"/>
  <c r="AX56" i="84"/>
  <c r="AY56" i="84"/>
  <c r="AL57" i="84"/>
  <c r="AM57" i="84"/>
  <c r="AN57" i="84"/>
  <c r="AO57" i="84"/>
  <c r="AQ57" i="84"/>
  <c r="AR57" i="84"/>
  <c r="AS57" i="84"/>
  <c r="AT57" i="84"/>
  <c r="AV57" i="84"/>
  <c r="AW57" i="84"/>
  <c r="AX57" i="84"/>
  <c r="AY57" i="84"/>
  <c r="AL58" i="84"/>
  <c r="AM58" i="84"/>
  <c r="AN58" i="84"/>
  <c r="AO58" i="84"/>
  <c r="AQ58" i="84"/>
  <c r="AR58" i="84"/>
  <c r="AS58" i="84"/>
  <c r="AT58" i="84"/>
  <c r="AV58" i="84"/>
  <c r="AW58" i="84"/>
  <c r="AX58" i="84"/>
  <c r="AY58" i="84"/>
  <c r="AL59" i="84"/>
  <c r="AM59" i="84"/>
  <c r="AN59" i="84"/>
  <c r="AO59" i="84"/>
  <c r="AQ59" i="84"/>
  <c r="AR59" i="84"/>
  <c r="AS59" i="84"/>
  <c r="AT59" i="84"/>
  <c r="AV59" i="84"/>
  <c r="AW59" i="84"/>
  <c r="AX59" i="84"/>
  <c r="AY59" i="84"/>
  <c r="AL60" i="84"/>
  <c r="AM60" i="84"/>
  <c r="AN60" i="84"/>
  <c r="AO60" i="84"/>
  <c r="AQ60" i="84"/>
  <c r="AR60" i="84"/>
  <c r="AS60" i="84"/>
  <c r="AT60" i="84"/>
  <c r="AV60" i="84"/>
  <c r="AW60" i="84"/>
  <c r="AX60" i="84"/>
  <c r="AY60" i="84"/>
  <c r="AL61" i="84"/>
  <c r="AM61" i="84"/>
  <c r="AN61" i="84"/>
  <c r="AO61" i="84"/>
  <c r="AQ61" i="84"/>
  <c r="AR61" i="84"/>
  <c r="AS61" i="84"/>
  <c r="AT61" i="84"/>
  <c r="AV61" i="84"/>
  <c r="AW61" i="84"/>
  <c r="AX61" i="84"/>
  <c r="AY61" i="84"/>
  <c r="AL62" i="84"/>
  <c r="AM62" i="84"/>
  <c r="AN62" i="84"/>
  <c r="AO62" i="84"/>
  <c r="AQ62" i="84"/>
  <c r="AR62" i="84"/>
  <c r="AS62" i="84"/>
  <c r="AT62" i="84"/>
  <c r="AV62" i="84"/>
  <c r="AW62" i="84"/>
  <c r="AX62" i="84"/>
  <c r="AY62" i="84"/>
  <c r="AL63" i="84"/>
  <c r="AM63" i="84"/>
  <c r="AN63" i="84"/>
  <c r="AO63" i="84"/>
  <c r="AQ63" i="84"/>
  <c r="AR63" i="84"/>
  <c r="AS63" i="84"/>
  <c r="AT63" i="84"/>
  <c r="AV63" i="84"/>
  <c r="AW63" i="84"/>
  <c r="AX63" i="84"/>
  <c r="AY63" i="84"/>
  <c r="AL64" i="84"/>
  <c r="AM64" i="84"/>
  <c r="AN64" i="84"/>
  <c r="AO64" i="84"/>
  <c r="AQ64" i="84"/>
  <c r="AR64" i="84"/>
  <c r="AS64" i="84"/>
  <c r="AT64" i="84"/>
  <c r="AV64" i="84"/>
  <c r="AW64" i="84"/>
  <c r="AX64" i="84"/>
  <c r="AY64" i="84"/>
  <c r="AL65" i="84"/>
  <c r="AM65" i="84"/>
  <c r="AN65" i="84"/>
  <c r="AO65" i="84"/>
  <c r="AQ65" i="84"/>
  <c r="AR65" i="84"/>
  <c r="AS65" i="84"/>
  <c r="AT65" i="84"/>
  <c r="AV65" i="84"/>
  <c r="AW65" i="84"/>
  <c r="AX65" i="84"/>
  <c r="AY65" i="84"/>
  <c r="AL66" i="84"/>
  <c r="AM66" i="84"/>
  <c r="AN66" i="84"/>
  <c r="AO66" i="84"/>
  <c r="AQ66" i="84"/>
  <c r="AR66" i="84"/>
  <c r="AS66" i="84"/>
  <c r="AT66" i="84"/>
  <c r="AV66" i="84"/>
  <c r="AW66" i="84"/>
  <c r="AX66" i="84"/>
  <c r="AY66" i="84"/>
  <c r="AL67" i="84"/>
  <c r="AM67" i="84"/>
  <c r="AN67" i="84"/>
  <c r="AO67" i="84"/>
  <c r="AQ67" i="84"/>
  <c r="AR67" i="84"/>
  <c r="AS67" i="84"/>
  <c r="AT67" i="84"/>
  <c r="AV67" i="84"/>
  <c r="AW67" i="84"/>
  <c r="AX67" i="84"/>
  <c r="AY67" i="84"/>
  <c r="AL68" i="84"/>
  <c r="AM68" i="84"/>
  <c r="AN68" i="84"/>
  <c r="AO68" i="84"/>
  <c r="AQ68" i="84"/>
  <c r="AR68" i="84"/>
  <c r="AS68" i="84"/>
  <c r="AT68" i="84"/>
  <c r="AV68" i="84"/>
  <c r="AW68" i="84"/>
  <c r="AX68" i="84"/>
  <c r="AY68" i="84"/>
  <c r="AL69" i="84"/>
  <c r="AM69" i="84"/>
  <c r="AN69" i="84"/>
  <c r="AO69" i="84"/>
  <c r="AQ69" i="84"/>
  <c r="AR69" i="84"/>
  <c r="AS69" i="84"/>
  <c r="AT69" i="84"/>
  <c r="AV69" i="84"/>
  <c r="AW69" i="84"/>
  <c r="AX69" i="84"/>
  <c r="AY69" i="84"/>
  <c r="AL70" i="84"/>
  <c r="AM70" i="84"/>
  <c r="AN70" i="84"/>
  <c r="AO70" i="84"/>
  <c r="AQ70" i="84"/>
  <c r="AR70" i="84"/>
  <c r="AS70" i="84"/>
  <c r="AT70" i="84"/>
  <c r="AV70" i="84"/>
  <c r="AW70" i="84"/>
  <c r="AX70" i="84"/>
  <c r="AY70" i="84"/>
  <c r="AL71" i="84"/>
  <c r="AM71" i="84"/>
  <c r="AN71" i="84"/>
  <c r="AO71" i="84"/>
  <c r="AQ71" i="84"/>
  <c r="AR71" i="84"/>
  <c r="AS71" i="84"/>
  <c r="AT71" i="84"/>
  <c r="AV71" i="84"/>
  <c r="AW71" i="84"/>
  <c r="AX71" i="84"/>
  <c r="AY71" i="84"/>
  <c r="AL72" i="84"/>
  <c r="AM72" i="84"/>
  <c r="AN72" i="84"/>
  <c r="AO72" i="84"/>
  <c r="AQ72" i="84"/>
  <c r="AR72" i="84"/>
  <c r="AS72" i="84"/>
  <c r="AT72" i="84"/>
  <c r="AV72" i="84"/>
  <c r="AW72" i="84"/>
  <c r="AX72" i="84"/>
  <c r="AY72" i="84"/>
  <c r="AL73" i="84"/>
  <c r="AM73" i="84"/>
  <c r="AN73" i="84"/>
  <c r="AO73" i="84"/>
  <c r="AQ73" i="84"/>
  <c r="AR73" i="84"/>
  <c r="AS73" i="84"/>
  <c r="AT73" i="84"/>
  <c r="AV73" i="84"/>
  <c r="AW73" i="84"/>
  <c r="AX73" i="84"/>
  <c r="AY73" i="84"/>
  <c r="AL74" i="84"/>
  <c r="AM74" i="84"/>
  <c r="AN74" i="84"/>
  <c r="AO74" i="84"/>
  <c r="AQ74" i="84"/>
  <c r="AR74" i="84"/>
  <c r="AS74" i="84"/>
  <c r="AT74" i="84"/>
  <c r="AV74" i="84"/>
  <c r="AW74" i="84"/>
  <c r="AX74" i="84"/>
  <c r="AY74" i="84"/>
  <c r="AL75" i="84"/>
  <c r="AM75" i="84"/>
  <c r="AN75" i="84"/>
  <c r="AO75" i="84"/>
  <c r="AQ75" i="84"/>
  <c r="AR75" i="84"/>
  <c r="AS75" i="84"/>
  <c r="AT75" i="84"/>
  <c r="AV75" i="84"/>
  <c r="AW75" i="84"/>
  <c r="AX75" i="84"/>
  <c r="AY75" i="84"/>
  <c r="AL76" i="84"/>
  <c r="AM76" i="84"/>
  <c r="AN76" i="84"/>
  <c r="AO76" i="84"/>
  <c r="AQ76" i="84"/>
  <c r="AR76" i="84"/>
  <c r="AS76" i="84"/>
  <c r="AT76" i="84"/>
  <c r="AV76" i="84"/>
  <c r="AW76" i="84"/>
  <c r="AX76" i="84"/>
  <c r="AY76" i="84"/>
  <c r="AL77" i="84"/>
  <c r="AM77" i="84"/>
  <c r="AN77" i="84"/>
  <c r="AO77" i="84"/>
  <c r="AQ77" i="84"/>
  <c r="AR77" i="84"/>
  <c r="AS77" i="84"/>
  <c r="AT77" i="84"/>
  <c r="AV77" i="84"/>
  <c r="AW77" i="84"/>
  <c r="AX77" i="84"/>
  <c r="AY77" i="84"/>
  <c r="AL78" i="84"/>
  <c r="AM78" i="84"/>
  <c r="AN78" i="84"/>
  <c r="AO78" i="84"/>
  <c r="AQ78" i="84"/>
  <c r="AR78" i="84"/>
  <c r="AS78" i="84"/>
  <c r="AT78" i="84"/>
  <c r="AV78" i="84"/>
  <c r="AW78" i="84"/>
  <c r="AX78" i="84"/>
  <c r="AY78" i="84"/>
  <c r="AL79" i="84"/>
  <c r="AM79" i="84"/>
  <c r="AN79" i="84"/>
  <c r="AO79" i="84"/>
  <c r="AQ79" i="84"/>
  <c r="AR79" i="84"/>
  <c r="AS79" i="84"/>
  <c r="AT79" i="84"/>
  <c r="AV79" i="84"/>
  <c r="AW79" i="84"/>
  <c r="AX79" i="84"/>
  <c r="AY79" i="84"/>
  <c r="AL80" i="84"/>
  <c r="AM80" i="84"/>
  <c r="AN80" i="84"/>
  <c r="AO80" i="84"/>
  <c r="AQ80" i="84"/>
  <c r="AR80" i="84"/>
  <c r="AS80" i="84"/>
  <c r="AT80" i="84"/>
  <c r="AV80" i="84"/>
  <c r="AW80" i="84"/>
  <c r="AX80" i="84"/>
  <c r="AY80" i="84"/>
  <c r="AL81" i="84"/>
  <c r="AM81" i="84"/>
  <c r="AN81" i="84"/>
  <c r="AO81" i="84"/>
  <c r="AQ81" i="84"/>
  <c r="AR81" i="84"/>
  <c r="AS81" i="84"/>
  <c r="AT81" i="84"/>
  <c r="AV81" i="84"/>
  <c r="AW81" i="84"/>
  <c r="AX81" i="84"/>
  <c r="AY81" i="84"/>
  <c r="AL82" i="84"/>
  <c r="AM82" i="84"/>
  <c r="AN82" i="84"/>
  <c r="AO82" i="84"/>
  <c r="AQ82" i="84"/>
  <c r="AR82" i="84"/>
  <c r="AS82" i="84"/>
  <c r="AT82" i="84"/>
  <c r="AV82" i="84"/>
  <c r="AW82" i="84"/>
  <c r="AX82" i="84"/>
  <c r="AY82" i="84"/>
  <c r="AL83" i="84"/>
  <c r="AM83" i="84"/>
  <c r="AN83" i="84"/>
  <c r="AO83" i="84"/>
  <c r="AQ83" i="84"/>
  <c r="AR83" i="84"/>
  <c r="AS83" i="84"/>
  <c r="AT83" i="84"/>
  <c r="AV83" i="84"/>
  <c r="AW83" i="84"/>
  <c r="AX83" i="84"/>
  <c r="AY83" i="84"/>
  <c r="AL84" i="84"/>
  <c r="AM84" i="84"/>
  <c r="AN84" i="84"/>
  <c r="AO84" i="84"/>
  <c r="AQ84" i="84"/>
  <c r="AR84" i="84"/>
  <c r="AS84" i="84"/>
  <c r="AT84" i="84"/>
  <c r="AV84" i="84"/>
  <c r="AW84" i="84"/>
  <c r="AX84" i="84"/>
  <c r="AY84" i="84"/>
  <c r="AL85" i="84"/>
  <c r="AM85" i="84"/>
  <c r="AN85" i="84"/>
  <c r="AO85" i="84"/>
  <c r="AQ85" i="84"/>
  <c r="AR85" i="84"/>
  <c r="AS85" i="84"/>
  <c r="AT85" i="84"/>
  <c r="AV85" i="84"/>
  <c r="AW85" i="84"/>
  <c r="AX85" i="84"/>
  <c r="AY85" i="84"/>
  <c r="AL86" i="84"/>
  <c r="AM86" i="84"/>
  <c r="AN86" i="84"/>
  <c r="AO86" i="84"/>
  <c r="AQ86" i="84"/>
  <c r="AR86" i="84"/>
  <c r="AS86" i="84"/>
  <c r="AT86" i="84"/>
  <c r="AV86" i="84"/>
  <c r="AW86" i="84"/>
  <c r="AX86" i="84"/>
  <c r="AY86" i="84"/>
  <c r="AL87" i="84"/>
  <c r="AM87" i="84"/>
  <c r="AN87" i="84"/>
  <c r="AO87" i="84"/>
  <c r="AQ87" i="84"/>
  <c r="AR87" i="84"/>
  <c r="AS87" i="84"/>
  <c r="AT87" i="84"/>
  <c r="AV87" i="84"/>
  <c r="AW87" i="84"/>
  <c r="AX87" i="84"/>
  <c r="AY87" i="84"/>
  <c r="AL88" i="84"/>
  <c r="AM88" i="84"/>
  <c r="AN88" i="84"/>
  <c r="AO88" i="84"/>
  <c r="AQ88" i="84"/>
  <c r="AR88" i="84"/>
  <c r="AS88" i="84"/>
  <c r="AT88" i="84"/>
  <c r="AV88" i="84"/>
  <c r="AW88" i="84"/>
  <c r="AX88" i="84"/>
  <c r="AY88" i="84"/>
  <c r="AL89" i="84"/>
  <c r="AM89" i="84"/>
  <c r="AN89" i="84"/>
  <c r="AO89" i="84"/>
  <c r="AQ89" i="84"/>
  <c r="AR89" i="84"/>
  <c r="AS89" i="84"/>
  <c r="AT89" i="84"/>
  <c r="AV89" i="84"/>
  <c r="AW89" i="84"/>
  <c r="AX89" i="84"/>
  <c r="AY89" i="84"/>
  <c r="AL90" i="84"/>
  <c r="AM90" i="84"/>
  <c r="AN90" i="84"/>
  <c r="AO90" i="84"/>
  <c r="AQ90" i="84"/>
  <c r="AR90" i="84"/>
  <c r="AS90" i="84"/>
  <c r="AT90" i="84"/>
  <c r="AV90" i="84"/>
  <c r="AW90" i="84"/>
  <c r="AX90" i="84"/>
  <c r="AY90" i="84"/>
  <c r="AL91" i="84"/>
  <c r="AM91" i="84"/>
  <c r="AN91" i="84"/>
  <c r="AO91" i="84"/>
  <c r="AQ91" i="84"/>
  <c r="AR91" i="84"/>
  <c r="AS91" i="84"/>
  <c r="AT91" i="84"/>
  <c r="AV91" i="84"/>
  <c r="AW91" i="84"/>
  <c r="AX91" i="84"/>
  <c r="AY91" i="84"/>
  <c r="AL92" i="84"/>
  <c r="AM92" i="84"/>
  <c r="AN92" i="84"/>
  <c r="AO92" i="84"/>
  <c r="AQ92" i="84"/>
  <c r="AR92" i="84"/>
  <c r="AS92" i="84"/>
  <c r="AT92" i="84"/>
  <c r="AV92" i="84"/>
  <c r="AW92" i="84"/>
  <c r="AX92" i="84"/>
  <c r="AY92" i="84"/>
  <c r="AL93" i="84"/>
  <c r="AM93" i="84"/>
  <c r="AN93" i="84"/>
  <c r="AO93" i="84"/>
  <c r="AQ93" i="84"/>
  <c r="AR93" i="84"/>
  <c r="AS93" i="84"/>
  <c r="AT93" i="84"/>
  <c r="AV93" i="84"/>
  <c r="AW93" i="84"/>
  <c r="AX93" i="84"/>
  <c r="AY93" i="84"/>
  <c r="AL94" i="84"/>
  <c r="AM94" i="84"/>
  <c r="AN94" i="84"/>
  <c r="AO94" i="84"/>
  <c r="AQ94" i="84"/>
  <c r="AR94" i="84"/>
  <c r="AS94" i="84"/>
  <c r="AT94" i="84"/>
  <c r="AV94" i="84"/>
  <c r="AW94" i="84"/>
  <c r="AX94" i="84"/>
  <c r="AY94" i="84"/>
  <c r="AL95" i="84"/>
  <c r="AM95" i="84"/>
  <c r="AN95" i="84"/>
  <c r="AO95" i="84"/>
  <c r="AQ95" i="84"/>
  <c r="AR95" i="84"/>
  <c r="AS95" i="84"/>
  <c r="AT95" i="84"/>
  <c r="AV95" i="84"/>
  <c r="AW95" i="84"/>
  <c r="AX95" i="84"/>
  <c r="AY95" i="84"/>
  <c r="AL96" i="84"/>
  <c r="AM96" i="84"/>
  <c r="AN96" i="84"/>
  <c r="AO96" i="84"/>
  <c r="AQ96" i="84"/>
  <c r="AR96" i="84"/>
  <c r="AS96" i="84"/>
  <c r="AT96" i="84"/>
  <c r="AV96" i="84"/>
  <c r="AW96" i="84"/>
  <c r="AX96" i="84"/>
  <c r="AY96" i="84"/>
  <c r="AL97" i="84"/>
  <c r="AM97" i="84"/>
  <c r="AN97" i="84"/>
  <c r="AO97" i="84"/>
  <c r="AQ97" i="84"/>
  <c r="AR97" i="84"/>
  <c r="AS97" i="84"/>
  <c r="AT97" i="84"/>
  <c r="AV97" i="84"/>
  <c r="AW97" i="84"/>
  <c r="AX97" i="84"/>
  <c r="AY97" i="84"/>
  <c r="AL98" i="84"/>
  <c r="AM98" i="84"/>
  <c r="AN98" i="84"/>
  <c r="AO98" i="84"/>
  <c r="AQ98" i="84"/>
  <c r="AR98" i="84"/>
  <c r="AS98" i="84"/>
  <c r="AT98" i="84"/>
  <c r="AV98" i="84"/>
  <c r="AW98" i="84"/>
  <c r="AX98" i="84"/>
  <c r="AY98" i="84"/>
  <c r="AL99" i="84"/>
  <c r="AM99" i="84"/>
  <c r="AN99" i="84"/>
  <c r="AO99" i="84"/>
  <c r="AQ99" i="84"/>
  <c r="AR99" i="84"/>
  <c r="AS99" i="84"/>
  <c r="AT99" i="84"/>
  <c r="AV99" i="84"/>
  <c r="AW99" i="84"/>
  <c r="AX99" i="84"/>
  <c r="AY99" i="84"/>
  <c r="AL100" i="84"/>
  <c r="AM100" i="84"/>
  <c r="AN100" i="84"/>
  <c r="AO100" i="84"/>
  <c r="AQ100" i="84"/>
  <c r="AR100" i="84"/>
  <c r="AS100" i="84"/>
  <c r="AT100" i="84"/>
  <c r="AV100" i="84"/>
  <c r="AW100" i="84"/>
  <c r="AX100" i="84"/>
  <c r="AY100" i="84"/>
  <c r="AL101" i="84"/>
  <c r="AM101" i="84"/>
  <c r="AN101" i="84"/>
  <c r="AO101" i="84"/>
  <c r="AQ101" i="84"/>
  <c r="AR101" i="84"/>
  <c r="AS101" i="84"/>
  <c r="AT101" i="84"/>
  <c r="AV101" i="84"/>
  <c r="AW101" i="84"/>
  <c r="AX101" i="84"/>
  <c r="AY101" i="84"/>
  <c r="AL102" i="84"/>
  <c r="AM102" i="84"/>
  <c r="AN102" i="84"/>
  <c r="AO102" i="84"/>
  <c r="AQ102" i="84"/>
  <c r="AR102" i="84"/>
  <c r="AS102" i="84"/>
  <c r="AT102" i="84"/>
  <c r="AV102" i="84"/>
  <c r="AW102" i="84"/>
  <c r="AX102" i="84"/>
  <c r="AY102" i="84"/>
  <c r="AL103" i="84"/>
  <c r="AM103" i="84"/>
  <c r="AN103" i="84"/>
  <c r="AO103" i="84"/>
  <c r="AQ103" i="84"/>
  <c r="AR103" i="84"/>
  <c r="AS103" i="84"/>
  <c r="AT103" i="84"/>
  <c r="AV103" i="84"/>
  <c r="AW103" i="84"/>
  <c r="AX103" i="84"/>
  <c r="AY103" i="84"/>
  <c r="AL104" i="84"/>
  <c r="AM104" i="84"/>
  <c r="AN104" i="84"/>
  <c r="AO104" i="84"/>
  <c r="AQ104" i="84"/>
  <c r="AR104" i="84"/>
  <c r="AS104" i="84"/>
  <c r="AT104" i="84"/>
  <c r="AV104" i="84"/>
  <c r="AW104" i="84"/>
  <c r="AX104" i="84"/>
  <c r="AY104" i="84"/>
  <c r="AL105" i="84"/>
  <c r="AM105" i="84"/>
  <c r="AN105" i="84"/>
  <c r="AO105" i="84"/>
  <c r="AQ105" i="84"/>
  <c r="AR105" i="84"/>
  <c r="AS105" i="84"/>
  <c r="AT105" i="84"/>
  <c r="AV105" i="84"/>
  <c r="AW105" i="84"/>
  <c r="AX105" i="84"/>
  <c r="AY105" i="84"/>
  <c r="AL106" i="84"/>
  <c r="AM106" i="84"/>
  <c r="AN106" i="84"/>
  <c r="AO106" i="84"/>
  <c r="AQ106" i="84"/>
  <c r="AR106" i="84"/>
  <c r="AS106" i="84"/>
  <c r="AT106" i="84"/>
  <c r="AV106" i="84"/>
  <c r="AW106" i="84"/>
  <c r="AX106" i="84"/>
  <c r="AY106" i="84"/>
  <c r="AL107" i="84"/>
  <c r="AM107" i="84"/>
  <c r="AN107" i="84"/>
  <c r="AO107" i="84"/>
  <c r="AQ107" i="84"/>
  <c r="AR107" i="84"/>
  <c r="AS107" i="84"/>
  <c r="AT107" i="84"/>
  <c r="AV107" i="84"/>
  <c r="AW107" i="84"/>
  <c r="AX107" i="84"/>
  <c r="AY107" i="84"/>
  <c r="AL108" i="84"/>
  <c r="AM108" i="84"/>
  <c r="AN108" i="84"/>
  <c r="AO108" i="84"/>
  <c r="AQ108" i="84"/>
  <c r="AR108" i="84"/>
  <c r="AS108" i="84"/>
  <c r="AT108" i="84"/>
  <c r="AV108" i="84"/>
  <c r="AW108" i="84"/>
  <c r="AX108" i="84"/>
  <c r="AY108" i="84"/>
  <c r="AL109" i="84"/>
  <c r="AM109" i="84"/>
  <c r="AN109" i="84"/>
  <c r="AO109" i="84"/>
  <c r="AQ109" i="84"/>
  <c r="AR109" i="84"/>
  <c r="AS109" i="84"/>
  <c r="AT109" i="84"/>
  <c r="AV109" i="84"/>
  <c r="AW109" i="84"/>
  <c r="AX109" i="84"/>
  <c r="AY109" i="84"/>
  <c r="AL110" i="84"/>
  <c r="AM110" i="84"/>
  <c r="AN110" i="84"/>
  <c r="AO110" i="84"/>
  <c r="AQ110" i="84"/>
  <c r="AR110" i="84"/>
  <c r="AS110" i="84"/>
  <c r="AT110" i="84"/>
  <c r="AV110" i="84"/>
  <c r="AW110" i="84"/>
  <c r="AX110" i="84"/>
  <c r="AY110" i="84"/>
  <c r="AL111" i="84"/>
  <c r="AM111" i="84"/>
  <c r="AN111" i="84"/>
  <c r="AO111" i="84"/>
  <c r="AQ111" i="84"/>
  <c r="AR111" i="84"/>
  <c r="AS111" i="84"/>
  <c r="AT111" i="84"/>
  <c r="AV111" i="84"/>
  <c r="AW111" i="84"/>
  <c r="AX111" i="84"/>
  <c r="AY111" i="84"/>
  <c r="AL112" i="84"/>
  <c r="AM112" i="84"/>
  <c r="AN112" i="84"/>
  <c r="AO112" i="84"/>
  <c r="AQ112" i="84"/>
  <c r="AR112" i="84"/>
  <c r="AS112" i="84"/>
  <c r="AT112" i="84"/>
  <c r="AV112" i="84"/>
  <c r="AW112" i="84"/>
  <c r="AX112" i="84"/>
  <c r="AY112" i="84"/>
  <c r="AL113" i="84"/>
  <c r="AM113" i="84"/>
  <c r="AN113" i="84"/>
  <c r="AO113" i="84"/>
  <c r="AQ113" i="84"/>
  <c r="AR113" i="84"/>
  <c r="AS113" i="84"/>
  <c r="AT113" i="84"/>
  <c r="AV113" i="84"/>
  <c r="AW113" i="84"/>
  <c r="AX113" i="84"/>
  <c r="AY113" i="84"/>
  <c r="AL114" i="84"/>
  <c r="AM114" i="84"/>
  <c r="AN114" i="84"/>
  <c r="AO114" i="84"/>
  <c r="AQ114" i="84"/>
  <c r="AR114" i="84"/>
  <c r="AS114" i="84"/>
  <c r="AT114" i="84"/>
  <c r="AV114" i="84"/>
  <c r="AW114" i="84"/>
  <c r="AX114" i="84"/>
  <c r="AY114" i="84"/>
  <c r="AL115" i="84"/>
  <c r="AM115" i="84"/>
  <c r="AN115" i="84"/>
  <c r="AO115" i="84"/>
  <c r="AQ115" i="84"/>
  <c r="AR115" i="84"/>
  <c r="AS115" i="84"/>
  <c r="AT115" i="84"/>
  <c r="AV115" i="84"/>
  <c r="AW115" i="84"/>
  <c r="AX115" i="84"/>
  <c r="AY115" i="84"/>
  <c r="AL116" i="84"/>
  <c r="AM116" i="84"/>
  <c r="AN116" i="84"/>
  <c r="AO116" i="84"/>
  <c r="AQ116" i="84"/>
  <c r="AR116" i="84"/>
  <c r="AS116" i="84"/>
  <c r="AT116" i="84"/>
  <c r="AV116" i="84"/>
  <c r="AW116" i="84"/>
  <c r="AX116" i="84"/>
  <c r="AY116" i="84"/>
  <c r="AL117" i="84"/>
  <c r="AM117" i="84"/>
  <c r="AN117" i="84"/>
  <c r="AO117" i="84"/>
  <c r="AQ117" i="84"/>
  <c r="AR117" i="84"/>
  <c r="AS117" i="84"/>
  <c r="AT117" i="84"/>
  <c r="AV117" i="84"/>
  <c r="AW117" i="84"/>
  <c r="AX117" i="84"/>
  <c r="AY117" i="84"/>
  <c r="AL118" i="84"/>
  <c r="AM118" i="84"/>
  <c r="AN118" i="84"/>
  <c r="AO118" i="84"/>
  <c r="AQ118" i="84"/>
  <c r="AR118" i="84"/>
  <c r="AS118" i="84"/>
  <c r="AT118" i="84"/>
  <c r="AV118" i="84"/>
  <c r="AW118" i="84"/>
  <c r="AX118" i="84"/>
  <c r="AY118" i="84"/>
  <c r="AL119" i="84"/>
  <c r="AM119" i="84"/>
  <c r="AN119" i="84"/>
  <c r="AO119" i="84"/>
  <c r="AQ119" i="84"/>
  <c r="AR119" i="84"/>
  <c r="AS119" i="84"/>
  <c r="AT119" i="84"/>
  <c r="AV119" i="84"/>
  <c r="AW119" i="84"/>
  <c r="AX119" i="84"/>
  <c r="AY119" i="84"/>
  <c r="AL120" i="84"/>
  <c r="AM120" i="84"/>
  <c r="AN120" i="84"/>
  <c r="AO120" i="84"/>
  <c r="AQ120" i="84"/>
  <c r="AR120" i="84"/>
  <c r="AS120" i="84"/>
  <c r="AT120" i="84"/>
  <c r="AV120" i="84"/>
  <c r="AW120" i="84"/>
  <c r="AX120" i="84"/>
  <c r="AY120" i="84"/>
  <c r="AL121" i="84"/>
  <c r="AM121" i="84"/>
  <c r="AN121" i="84"/>
  <c r="AO121" i="84"/>
  <c r="AQ121" i="84"/>
  <c r="AR121" i="84"/>
  <c r="AS121" i="84"/>
  <c r="AT121" i="84"/>
  <c r="AV121" i="84"/>
  <c r="AW121" i="84"/>
  <c r="AX121" i="84"/>
  <c r="AY121" i="84"/>
  <c r="AL122" i="84"/>
  <c r="AM122" i="84"/>
  <c r="AN122" i="84"/>
  <c r="AO122" i="84"/>
  <c r="AQ122" i="84"/>
  <c r="AR122" i="84"/>
  <c r="AS122" i="84"/>
  <c r="AT122" i="84"/>
  <c r="AV122" i="84"/>
  <c r="AW122" i="84"/>
  <c r="AX122" i="84"/>
  <c r="AY122" i="84"/>
  <c r="AL123" i="84"/>
  <c r="AM123" i="84"/>
  <c r="AN123" i="84"/>
  <c r="AO123" i="84"/>
  <c r="AQ123" i="84"/>
  <c r="AR123" i="84"/>
  <c r="AS123" i="84"/>
  <c r="AT123" i="84"/>
  <c r="AV123" i="84"/>
  <c r="AW123" i="84"/>
  <c r="AX123" i="84"/>
  <c r="AY123" i="84"/>
  <c r="AL124" i="84"/>
  <c r="AM124" i="84"/>
  <c r="AN124" i="84"/>
  <c r="AO124" i="84"/>
  <c r="AQ124" i="84"/>
  <c r="AR124" i="84"/>
  <c r="AS124" i="84"/>
  <c r="AT124" i="84"/>
  <c r="AV124" i="84"/>
  <c r="AW124" i="84"/>
  <c r="AX124" i="84"/>
  <c r="AY124" i="84"/>
  <c r="AL125" i="84"/>
  <c r="AM125" i="84"/>
  <c r="AN125" i="84"/>
  <c r="AO125" i="84"/>
  <c r="AQ125" i="84"/>
  <c r="AR125" i="84"/>
  <c r="AS125" i="84"/>
  <c r="AT125" i="84"/>
  <c r="AV125" i="84"/>
  <c r="AW125" i="84"/>
  <c r="AX125" i="84"/>
  <c r="AY125" i="84"/>
  <c r="AL126" i="84"/>
  <c r="AM126" i="84"/>
  <c r="AN126" i="84"/>
  <c r="AO126" i="84"/>
  <c r="AQ126" i="84"/>
  <c r="AR126" i="84"/>
  <c r="AS126" i="84"/>
  <c r="AT126" i="84"/>
  <c r="AV126" i="84"/>
  <c r="AW126" i="84"/>
  <c r="AX126" i="84"/>
  <c r="AY126" i="84"/>
  <c r="AL127" i="84"/>
  <c r="AM127" i="84"/>
  <c r="AN127" i="84"/>
  <c r="AO127" i="84"/>
  <c r="AQ127" i="84"/>
  <c r="AR127" i="84"/>
  <c r="AS127" i="84"/>
  <c r="AT127" i="84"/>
  <c r="AV127" i="84"/>
  <c r="AW127" i="84"/>
  <c r="AX127" i="84"/>
  <c r="AY127" i="84"/>
  <c r="AL128" i="84"/>
  <c r="AM128" i="84"/>
  <c r="AN128" i="84"/>
  <c r="AO128" i="84"/>
  <c r="AQ128" i="84"/>
  <c r="AR128" i="84"/>
  <c r="AS128" i="84"/>
  <c r="AT128" i="84"/>
  <c r="AV128" i="84"/>
  <c r="AW128" i="84"/>
  <c r="AX128" i="84"/>
  <c r="AY128" i="84"/>
  <c r="AL129" i="84"/>
  <c r="AM129" i="84"/>
  <c r="AN129" i="84"/>
  <c r="AO129" i="84"/>
  <c r="AQ129" i="84"/>
  <c r="AR129" i="84"/>
  <c r="AS129" i="84"/>
  <c r="AT129" i="84"/>
  <c r="AV129" i="84"/>
  <c r="AW129" i="84"/>
  <c r="AX129" i="84"/>
  <c r="AY129" i="84"/>
  <c r="AL130" i="84"/>
  <c r="AM130" i="84"/>
  <c r="AN130" i="84"/>
  <c r="AO130" i="84"/>
  <c r="AQ130" i="84"/>
  <c r="AR130" i="84"/>
  <c r="AS130" i="84"/>
  <c r="AT130" i="84"/>
  <c r="AV130" i="84"/>
  <c r="AW130" i="84"/>
  <c r="AX130" i="84"/>
  <c r="AY130" i="84"/>
  <c r="AL131" i="84"/>
  <c r="AM131" i="84"/>
  <c r="AN131" i="84"/>
  <c r="AO131" i="84"/>
  <c r="AQ131" i="84"/>
  <c r="AR131" i="84"/>
  <c r="AS131" i="84"/>
  <c r="AT131" i="84"/>
  <c r="AV131" i="84"/>
  <c r="AW131" i="84"/>
  <c r="AX131" i="84"/>
  <c r="AY131" i="84"/>
  <c r="AL132" i="84"/>
  <c r="AM132" i="84"/>
  <c r="AN132" i="84"/>
  <c r="AO132" i="84"/>
  <c r="AQ132" i="84"/>
  <c r="AR132" i="84"/>
  <c r="AS132" i="84"/>
  <c r="AT132" i="84"/>
  <c r="AV132" i="84"/>
  <c r="AW132" i="84"/>
  <c r="AX132" i="84"/>
  <c r="AY132" i="84"/>
  <c r="AL133" i="84"/>
  <c r="AM133" i="84"/>
  <c r="AN133" i="84"/>
  <c r="AO133" i="84"/>
  <c r="AQ133" i="84"/>
  <c r="AR133" i="84"/>
  <c r="AS133" i="84"/>
  <c r="AT133" i="84"/>
  <c r="AV133" i="84"/>
  <c r="AW133" i="84"/>
  <c r="AX133" i="84"/>
  <c r="AY133" i="84"/>
  <c r="AL134" i="84"/>
  <c r="AM134" i="84"/>
  <c r="AN134" i="84"/>
  <c r="AO134" i="84"/>
  <c r="AQ134" i="84"/>
  <c r="AR134" i="84"/>
  <c r="AS134" i="84"/>
  <c r="AT134" i="84"/>
  <c r="AV134" i="84"/>
  <c r="AW134" i="84"/>
  <c r="AX134" i="84"/>
  <c r="AY134" i="84"/>
  <c r="AL135" i="84"/>
  <c r="AM135" i="84"/>
  <c r="AN135" i="84"/>
  <c r="AO135" i="84"/>
  <c r="AQ135" i="84"/>
  <c r="AR135" i="84"/>
  <c r="AS135" i="84"/>
  <c r="AT135" i="84"/>
  <c r="AV135" i="84"/>
  <c r="AW135" i="84"/>
  <c r="AX135" i="84"/>
  <c r="AY135" i="84"/>
  <c r="AL136" i="84"/>
  <c r="AM136" i="84"/>
  <c r="AN136" i="84"/>
  <c r="AO136" i="84"/>
  <c r="AQ136" i="84"/>
  <c r="AR136" i="84"/>
  <c r="AS136" i="84"/>
  <c r="AT136" i="84"/>
  <c r="AV136" i="84"/>
  <c r="AW136" i="84"/>
  <c r="AX136" i="84"/>
  <c r="AY136" i="84"/>
  <c r="AL137" i="84"/>
  <c r="AM137" i="84"/>
  <c r="AN137" i="84"/>
  <c r="AO137" i="84"/>
  <c r="AQ137" i="84"/>
  <c r="AR137" i="84"/>
  <c r="AS137" i="84"/>
  <c r="AT137" i="84"/>
  <c r="AV137" i="84"/>
  <c r="AW137" i="84"/>
  <c r="AX137" i="84"/>
  <c r="AY137" i="84"/>
  <c r="AL138" i="84"/>
  <c r="AM138" i="84"/>
  <c r="AN138" i="84"/>
  <c r="AO138" i="84"/>
  <c r="AQ138" i="84"/>
  <c r="AR138" i="84"/>
  <c r="AS138" i="84"/>
  <c r="AT138" i="84"/>
  <c r="AV138" i="84"/>
  <c r="AW138" i="84"/>
  <c r="AX138" i="84"/>
  <c r="AY138" i="84"/>
  <c r="AL139" i="84"/>
  <c r="AM139" i="84"/>
  <c r="AN139" i="84"/>
  <c r="AO139" i="84"/>
  <c r="AQ139" i="84"/>
  <c r="AR139" i="84"/>
  <c r="AS139" i="84"/>
  <c r="AT139" i="84"/>
  <c r="AV139" i="84"/>
  <c r="AW139" i="84"/>
  <c r="AX139" i="84"/>
  <c r="AY139" i="84"/>
  <c r="AL140" i="84"/>
  <c r="AM140" i="84"/>
  <c r="AN140" i="84"/>
  <c r="AO140" i="84"/>
  <c r="AQ140" i="84"/>
  <c r="AR140" i="84"/>
  <c r="AS140" i="84"/>
  <c r="AT140" i="84"/>
  <c r="AV140" i="84"/>
  <c r="AW140" i="84"/>
  <c r="AX140" i="84"/>
  <c r="AY140" i="84"/>
  <c r="AL141" i="84"/>
  <c r="AM141" i="84"/>
  <c r="AN141" i="84"/>
  <c r="AO141" i="84"/>
  <c r="AQ141" i="84"/>
  <c r="AR141" i="84"/>
  <c r="AS141" i="84"/>
  <c r="AT141" i="84"/>
  <c r="AV141" i="84"/>
  <c r="AW141" i="84"/>
  <c r="AX141" i="84"/>
  <c r="AY141" i="84"/>
  <c r="AL142" i="84"/>
  <c r="AM142" i="84"/>
  <c r="AN142" i="84"/>
  <c r="AO142" i="84"/>
  <c r="AQ142" i="84"/>
  <c r="AR142" i="84"/>
  <c r="AS142" i="84"/>
  <c r="AT142" i="84"/>
  <c r="AV142" i="84"/>
  <c r="AW142" i="84"/>
  <c r="AX142" i="84"/>
  <c r="AY142" i="84"/>
  <c r="AL143" i="84"/>
  <c r="AM143" i="84"/>
  <c r="AN143" i="84"/>
  <c r="AO143" i="84"/>
  <c r="AQ143" i="84"/>
  <c r="AR143" i="84"/>
  <c r="AS143" i="84"/>
  <c r="AT143" i="84"/>
  <c r="AV143" i="84"/>
  <c r="AW143" i="84"/>
  <c r="AX143" i="84"/>
  <c r="AY143" i="84"/>
  <c r="AL144" i="84"/>
  <c r="AM144" i="84"/>
  <c r="AN144" i="84"/>
  <c r="AO144" i="84"/>
  <c r="AQ144" i="84"/>
  <c r="AR144" i="84"/>
  <c r="AS144" i="84"/>
  <c r="AT144" i="84"/>
  <c r="AV144" i="84"/>
  <c r="AW144" i="84"/>
  <c r="AX144" i="84"/>
  <c r="AY144" i="84"/>
  <c r="AL145" i="84"/>
  <c r="AM145" i="84"/>
  <c r="AN145" i="84"/>
  <c r="AO145" i="84"/>
  <c r="AQ145" i="84"/>
  <c r="AR145" i="84"/>
  <c r="AS145" i="84"/>
  <c r="AT145" i="84"/>
  <c r="AV145" i="84"/>
  <c r="AW145" i="84"/>
  <c r="AX145" i="84"/>
  <c r="AY145" i="84"/>
  <c r="AL146" i="84"/>
  <c r="AM146" i="84"/>
  <c r="AN146" i="84"/>
  <c r="AO146" i="84"/>
  <c r="AQ146" i="84"/>
  <c r="AR146" i="84"/>
  <c r="AS146" i="84"/>
  <c r="AT146" i="84"/>
  <c r="AV146" i="84"/>
  <c r="AW146" i="84"/>
  <c r="AX146" i="84"/>
  <c r="AY146" i="84"/>
  <c r="AL147" i="84"/>
  <c r="AM147" i="84"/>
  <c r="AN147" i="84"/>
  <c r="AO147" i="84"/>
  <c r="AQ147" i="84"/>
  <c r="AR147" i="84"/>
  <c r="AS147" i="84"/>
  <c r="AT147" i="84"/>
  <c r="AV147" i="84"/>
  <c r="AW147" i="84"/>
  <c r="AX147" i="84"/>
  <c r="AY147" i="84"/>
  <c r="AL148" i="84"/>
  <c r="AM148" i="84"/>
  <c r="AN148" i="84"/>
  <c r="AO148" i="84"/>
  <c r="AQ148" i="84"/>
  <c r="AR148" i="84"/>
  <c r="AS148" i="84"/>
  <c r="AT148" i="84"/>
  <c r="AV148" i="84"/>
  <c r="AW148" i="84"/>
  <c r="AX148" i="84"/>
  <c r="AY148" i="84"/>
  <c r="AL149" i="84"/>
  <c r="AM149" i="84"/>
  <c r="AN149" i="84"/>
  <c r="AO149" i="84"/>
  <c r="AQ149" i="84"/>
  <c r="AR149" i="84"/>
  <c r="AS149" i="84"/>
  <c r="AT149" i="84"/>
  <c r="AV149" i="84"/>
  <c r="AW149" i="84"/>
  <c r="AX149" i="84"/>
  <c r="AY149" i="84"/>
  <c r="AL150" i="84"/>
  <c r="AM150" i="84"/>
  <c r="AN150" i="84"/>
  <c r="AO150" i="84"/>
  <c r="AQ150" i="84"/>
  <c r="AR150" i="84"/>
  <c r="AS150" i="84"/>
  <c r="AT150" i="84"/>
  <c r="AV150" i="84"/>
  <c r="AW150" i="84"/>
  <c r="AX150" i="84"/>
  <c r="AY150" i="84"/>
  <c r="AL151" i="84"/>
  <c r="AM151" i="84"/>
  <c r="AN151" i="84"/>
  <c r="AO151" i="84"/>
  <c r="AQ151" i="84"/>
  <c r="AR151" i="84"/>
  <c r="AS151" i="84"/>
  <c r="AT151" i="84"/>
  <c r="AV151" i="84"/>
  <c r="AW151" i="84"/>
  <c r="AX151" i="84"/>
  <c r="AY151" i="84"/>
  <c r="AL152" i="84"/>
  <c r="AM152" i="84"/>
  <c r="AN152" i="84"/>
  <c r="AO152" i="84"/>
  <c r="AQ152" i="84"/>
  <c r="AR152" i="84"/>
  <c r="AS152" i="84"/>
  <c r="AT152" i="84"/>
  <c r="AV152" i="84"/>
  <c r="AW152" i="84"/>
  <c r="AX152" i="84"/>
  <c r="AY152" i="84"/>
  <c r="AL153" i="84"/>
  <c r="AM153" i="84"/>
  <c r="AN153" i="84"/>
  <c r="AO153" i="84"/>
  <c r="AQ153" i="84"/>
  <c r="AR153" i="84"/>
  <c r="AS153" i="84"/>
  <c r="AT153" i="84"/>
  <c r="AV153" i="84"/>
  <c r="AW153" i="84"/>
  <c r="AX153" i="84"/>
  <c r="AY153" i="84"/>
  <c r="AL154" i="84"/>
  <c r="AM154" i="84"/>
  <c r="AN154" i="84"/>
  <c r="AO154" i="84"/>
  <c r="AQ154" i="84"/>
  <c r="AR154" i="84"/>
  <c r="AS154" i="84"/>
  <c r="AT154" i="84"/>
  <c r="AV154" i="84"/>
  <c r="AW154" i="84"/>
  <c r="AX154" i="84"/>
  <c r="AY154" i="84"/>
  <c r="AL155" i="84"/>
  <c r="AM155" i="84"/>
  <c r="AN155" i="84"/>
  <c r="AO155" i="84"/>
  <c r="AQ155" i="84"/>
  <c r="AR155" i="84"/>
  <c r="AS155" i="84"/>
  <c r="AT155" i="84"/>
  <c r="AV155" i="84"/>
  <c r="AW155" i="84"/>
  <c r="AX155" i="84"/>
  <c r="AY155" i="84"/>
  <c r="AL156" i="84"/>
  <c r="AM156" i="84"/>
  <c r="AN156" i="84"/>
  <c r="AO156" i="84"/>
  <c r="AQ156" i="84"/>
  <c r="AR156" i="84"/>
  <c r="AS156" i="84"/>
  <c r="AT156" i="84"/>
  <c r="AV156" i="84"/>
  <c r="AW156" i="84"/>
  <c r="AX156" i="84"/>
  <c r="AY156" i="84"/>
  <c r="AL157" i="84"/>
  <c r="AM157" i="84"/>
  <c r="AN157" i="84"/>
  <c r="AO157" i="84"/>
  <c r="AQ157" i="84"/>
  <c r="AR157" i="84"/>
  <c r="AS157" i="84"/>
  <c r="AT157" i="84"/>
  <c r="AV157" i="84"/>
  <c r="AW157" i="84"/>
  <c r="AX157" i="84"/>
  <c r="AY157" i="84"/>
  <c r="AL158" i="84"/>
  <c r="AM158" i="84"/>
  <c r="AN158" i="84"/>
  <c r="AO158" i="84"/>
  <c r="AQ158" i="84"/>
  <c r="AR158" i="84"/>
  <c r="AS158" i="84"/>
  <c r="AT158" i="84"/>
  <c r="AV158" i="84"/>
  <c r="AW158" i="84"/>
  <c r="AX158" i="84"/>
  <c r="AY158" i="84"/>
  <c r="AL159" i="84"/>
  <c r="AM159" i="84"/>
  <c r="AN159" i="84"/>
  <c r="AO159" i="84"/>
  <c r="AQ159" i="84"/>
  <c r="AR159" i="84"/>
  <c r="AS159" i="84"/>
  <c r="AT159" i="84"/>
  <c r="AV159" i="84"/>
  <c r="AW159" i="84"/>
  <c r="AX159" i="84"/>
  <c r="AY159" i="84"/>
  <c r="AL160" i="84"/>
  <c r="AM160" i="84"/>
  <c r="AN160" i="84"/>
  <c r="AO160" i="84"/>
  <c r="AQ160" i="84"/>
  <c r="AR160" i="84"/>
  <c r="AS160" i="84"/>
  <c r="AT160" i="84"/>
  <c r="AV160" i="84"/>
  <c r="AW160" i="84"/>
  <c r="AX160" i="84"/>
  <c r="AY160" i="84"/>
  <c r="AL161" i="84"/>
  <c r="AM161" i="84"/>
  <c r="AN161" i="84"/>
  <c r="AO161" i="84"/>
  <c r="AQ161" i="84"/>
  <c r="AR161" i="84"/>
  <c r="AS161" i="84"/>
  <c r="AT161" i="84"/>
  <c r="AV161" i="84"/>
  <c r="AW161" i="84"/>
  <c r="AX161" i="84"/>
  <c r="AY161" i="84"/>
  <c r="AL162" i="84"/>
  <c r="AM162" i="84"/>
  <c r="AN162" i="84"/>
  <c r="AO162" i="84"/>
  <c r="AQ162" i="84"/>
  <c r="AR162" i="84"/>
  <c r="AS162" i="84"/>
  <c r="AT162" i="84"/>
  <c r="AV162" i="84"/>
  <c r="AW162" i="84"/>
  <c r="AX162" i="84"/>
  <c r="AY162" i="84"/>
  <c r="AL163" i="84"/>
  <c r="AM163" i="84"/>
  <c r="AN163" i="84"/>
  <c r="AO163" i="84"/>
  <c r="AQ163" i="84"/>
  <c r="AR163" i="84"/>
  <c r="AS163" i="84"/>
  <c r="AT163" i="84"/>
  <c r="AV163" i="84"/>
  <c r="AW163" i="84"/>
  <c r="AX163" i="84"/>
  <c r="AY163" i="84"/>
  <c r="AL164" i="84"/>
  <c r="AM164" i="84"/>
  <c r="AN164" i="84"/>
  <c r="AO164" i="84"/>
  <c r="AQ164" i="84"/>
  <c r="AR164" i="84"/>
  <c r="AS164" i="84"/>
  <c r="AT164" i="84"/>
  <c r="AV164" i="84"/>
  <c r="AW164" i="84"/>
  <c r="AX164" i="84"/>
  <c r="AY164" i="84"/>
  <c r="AL165" i="84"/>
  <c r="AM165" i="84"/>
  <c r="AN165" i="84"/>
  <c r="AO165" i="84"/>
  <c r="AQ165" i="84"/>
  <c r="AR165" i="84"/>
  <c r="AS165" i="84"/>
  <c r="AT165" i="84"/>
  <c r="AV165" i="84"/>
  <c r="AW165" i="84"/>
  <c r="AX165" i="84"/>
  <c r="AY165" i="84"/>
  <c r="AL166" i="84"/>
  <c r="AM166" i="84"/>
  <c r="AN166" i="84"/>
  <c r="AO166" i="84"/>
  <c r="AQ166" i="84"/>
  <c r="AR166" i="84"/>
  <c r="AS166" i="84"/>
  <c r="AT166" i="84"/>
  <c r="AV166" i="84"/>
  <c r="AW166" i="84"/>
  <c r="AX166" i="84"/>
  <c r="AY166" i="84"/>
  <c r="AL167" i="84"/>
  <c r="AM167" i="84"/>
  <c r="AN167" i="84"/>
  <c r="AO167" i="84"/>
  <c r="AQ167" i="84"/>
  <c r="AR167" i="84"/>
  <c r="AS167" i="84"/>
  <c r="AT167" i="84"/>
  <c r="AV167" i="84"/>
  <c r="AW167" i="84"/>
  <c r="AX167" i="84"/>
  <c r="AY167" i="84"/>
  <c r="AL168" i="84"/>
  <c r="AM168" i="84"/>
  <c r="AN168" i="84"/>
  <c r="AO168" i="84"/>
  <c r="AQ168" i="84"/>
  <c r="AR168" i="84"/>
  <c r="AS168" i="84"/>
  <c r="AT168" i="84"/>
  <c r="AV168" i="84"/>
  <c r="AW168" i="84"/>
  <c r="AX168" i="84"/>
  <c r="AY168" i="84"/>
  <c r="AL169" i="84"/>
  <c r="AM169" i="84"/>
  <c r="AN169" i="84"/>
  <c r="AO169" i="84"/>
  <c r="AQ169" i="84"/>
  <c r="AR169" i="84"/>
  <c r="AS169" i="84"/>
  <c r="AT169" i="84"/>
  <c r="AV169" i="84"/>
  <c r="AW169" i="84"/>
  <c r="AX169" i="84"/>
  <c r="AY169" i="84"/>
  <c r="AL170" i="84"/>
  <c r="AM170" i="84"/>
  <c r="AN170" i="84"/>
  <c r="AO170" i="84"/>
  <c r="AQ170" i="84"/>
  <c r="AR170" i="84"/>
  <c r="AS170" i="84"/>
  <c r="AT170" i="84"/>
  <c r="AV170" i="84"/>
  <c r="AW170" i="84"/>
  <c r="AX170" i="84"/>
  <c r="AY170" i="84"/>
  <c r="AL171" i="84"/>
  <c r="AM171" i="84"/>
  <c r="AN171" i="84"/>
  <c r="AO171" i="84"/>
  <c r="AQ171" i="84"/>
  <c r="AR171" i="84"/>
  <c r="AS171" i="84"/>
  <c r="AT171" i="84"/>
  <c r="AV171" i="84"/>
  <c r="AW171" i="84"/>
  <c r="AX171" i="84"/>
  <c r="AY171" i="84"/>
  <c r="AL172" i="84"/>
  <c r="AM172" i="84"/>
  <c r="AN172" i="84"/>
  <c r="AO172" i="84"/>
  <c r="AQ172" i="84"/>
  <c r="AR172" i="84"/>
  <c r="AS172" i="84"/>
  <c r="AT172" i="84"/>
  <c r="AV172" i="84"/>
  <c r="AW172" i="84"/>
  <c r="AX172" i="84"/>
  <c r="AY172" i="84"/>
  <c r="AL173" i="84"/>
  <c r="AM173" i="84"/>
  <c r="AN173" i="84"/>
  <c r="AO173" i="84"/>
  <c r="AQ173" i="84"/>
  <c r="AR173" i="84"/>
  <c r="AS173" i="84"/>
  <c r="AT173" i="84"/>
  <c r="AV173" i="84"/>
  <c r="AW173" i="84"/>
  <c r="AX173" i="84"/>
  <c r="AY173" i="84"/>
  <c r="AL174" i="84"/>
  <c r="AM174" i="84"/>
  <c r="AN174" i="84"/>
  <c r="AO174" i="84"/>
  <c r="AQ174" i="84"/>
  <c r="AR174" i="84"/>
  <c r="AS174" i="84"/>
  <c r="AT174" i="84"/>
  <c r="AV174" i="84"/>
  <c r="AW174" i="84"/>
  <c r="AX174" i="84"/>
  <c r="AY174" i="84"/>
  <c r="AL175" i="84"/>
  <c r="AM175" i="84"/>
  <c r="AN175" i="84"/>
  <c r="AO175" i="84"/>
  <c r="AQ175" i="84"/>
  <c r="AR175" i="84"/>
  <c r="AS175" i="84"/>
  <c r="AT175" i="84"/>
  <c r="AV175" i="84"/>
  <c r="AW175" i="84"/>
  <c r="AX175" i="84"/>
  <c r="AY175" i="84"/>
  <c r="AL176" i="84"/>
  <c r="AM176" i="84"/>
  <c r="AN176" i="84"/>
  <c r="AO176" i="84"/>
  <c r="AQ176" i="84"/>
  <c r="AR176" i="84"/>
  <c r="AS176" i="84"/>
  <c r="AT176" i="84"/>
  <c r="AV176" i="84"/>
  <c r="AW176" i="84"/>
  <c r="AX176" i="84"/>
  <c r="AY176" i="84"/>
  <c r="AL177" i="84"/>
  <c r="AM177" i="84"/>
  <c r="AN177" i="84"/>
  <c r="AO177" i="84"/>
  <c r="AQ177" i="84"/>
  <c r="AR177" i="84"/>
  <c r="AS177" i="84"/>
  <c r="AT177" i="84"/>
  <c r="AV177" i="84"/>
  <c r="AW177" i="84"/>
  <c r="AX177" i="84"/>
  <c r="AY177" i="84"/>
  <c r="AL178" i="84"/>
  <c r="AM178" i="84"/>
  <c r="AN178" i="84"/>
  <c r="AO178" i="84"/>
  <c r="AQ178" i="84"/>
  <c r="AR178" i="84"/>
  <c r="AS178" i="84"/>
  <c r="AT178" i="84"/>
  <c r="AV178" i="84"/>
  <c r="AW178" i="84"/>
  <c r="AX178" i="84"/>
  <c r="AY178" i="84"/>
  <c r="AL179" i="84"/>
  <c r="AM179" i="84"/>
  <c r="AN179" i="84"/>
  <c r="AO179" i="84"/>
  <c r="AQ179" i="84"/>
  <c r="AR179" i="84"/>
  <c r="AS179" i="84"/>
  <c r="AT179" i="84"/>
  <c r="AV179" i="84"/>
  <c r="AW179" i="84"/>
  <c r="AX179" i="84"/>
  <c r="AY179" i="84"/>
  <c r="AL180" i="84"/>
  <c r="AM180" i="84"/>
  <c r="AN180" i="84"/>
  <c r="AO180" i="84"/>
  <c r="AQ180" i="84"/>
  <c r="AR180" i="84"/>
  <c r="AS180" i="84"/>
  <c r="AT180" i="84"/>
  <c r="AV180" i="84"/>
  <c r="AW180" i="84"/>
  <c r="AX180" i="84"/>
  <c r="AY180" i="84"/>
  <c r="AL181" i="84"/>
  <c r="AM181" i="84"/>
  <c r="AN181" i="84"/>
  <c r="AO181" i="84"/>
  <c r="AQ181" i="84"/>
  <c r="AR181" i="84"/>
  <c r="AS181" i="84"/>
  <c r="AT181" i="84"/>
  <c r="AV181" i="84"/>
  <c r="AW181" i="84"/>
  <c r="AX181" i="84"/>
  <c r="AY181" i="84"/>
  <c r="AL182" i="84"/>
  <c r="AM182" i="84"/>
  <c r="AN182" i="84"/>
  <c r="AO182" i="84"/>
  <c r="AQ182" i="84"/>
  <c r="AR182" i="84"/>
  <c r="AS182" i="84"/>
  <c r="AT182" i="84"/>
  <c r="AV182" i="84"/>
  <c r="AW182" i="84"/>
  <c r="AX182" i="84"/>
  <c r="AY182" i="84"/>
  <c r="AL183" i="84"/>
  <c r="AM183" i="84"/>
  <c r="AN183" i="84"/>
  <c r="AO183" i="84"/>
  <c r="AQ183" i="84"/>
  <c r="AR183" i="84"/>
  <c r="AS183" i="84"/>
  <c r="AT183" i="84"/>
  <c r="AV183" i="84"/>
  <c r="AW183" i="84"/>
  <c r="AX183" i="84"/>
  <c r="AY183" i="84"/>
  <c r="AL184" i="84"/>
  <c r="AM184" i="84"/>
  <c r="AN184" i="84"/>
  <c r="AO184" i="84"/>
  <c r="AQ184" i="84"/>
  <c r="AR184" i="84"/>
  <c r="AS184" i="84"/>
  <c r="AT184" i="84"/>
  <c r="AV184" i="84"/>
  <c r="AW184" i="84"/>
  <c r="AX184" i="84"/>
  <c r="AY184" i="84"/>
  <c r="AL185" i="84"/>
  <c r="AM185" i="84"/>
  <c r="AN185" i="84"/>
  <c r="AO185" i="84"/>
  <c r="AQ185" i="84"/>
  <c r="AR185" i="84"/>
  <c r="AS185" i="84"/>
  <c r="AT185" i="84"/>
  <c r="AV185" i="84"/>
  <c r="AW185" i="84"/>
  <c r="AX185" i="84"/>
  <c r="AY185" i="84"/>
  <c r="AL186" i="84"/>
  <c r="AM186" i="84"/>
  <c r="AN186" i="84"/>
  <c r="AO186" i="84"/>
  <c r="AQ186" i="84"/>
  <c r="AR186" i="84"/>
  <c r="AS186" i="84"/>
  <c r="AT186" i="84"/>
  <c r="AV186" i="84"/>
  <c r="AW186" i="84"/>
  <c r="AX186" i="84"/>
  <c r="AY186" i="84"/>
  <c r="AL187" i="84"/>
  <c r="AM187" i="84"/>
  <c r="AN187" i="84"/>
  <c r="AO187" i="84"/>
  <c r="AQ187" i="84"/>
  <c r="AR187" i="84"/>
  <c r="AS187" i="84"/>
  <c r="AT187" i="84"/>
  <c r="AV187" i="84"/>
  <c r="AW187" i="84"/>
  <c r="AX187" i="84"/>
  <c r="AY187" i="84"/>
  <c r="AL188" i="84"/>
  <c r="AM188" i="84"/>
  <c r="AN188" i="84"/>
  <c r="AO188" i="84"/>
  <c r="AQ188" i="84"/>
  <c r="AR188" i="84"/>
  <c r="AS188" i="84"/>
  <c r="AT188" i="84"/>
  <c r="AV188" i="84"/>
  <c r="AW188" i="84"/>
  <c r="AX188" i="84"/>
  <c r="AY188" i="84"/>
  <c r="AL189" i="84"/>
  <c r="AM189" i="84"/>
  <c r="AN189" i="84"/>
  <c r="AO189" i="84"/>
  <c r="AQ189" i="84"/>
  <c r="AR189" i="84"/>
  <c r="AS189" i="84"/>
  <c r="AT189" i="84"/>
  <c r="AV189" i="84"/>
  <c r="AW189" i="84"/>
  <c r="AX189" i="84"/>
  <c r="AY189" i="84"/>
  <c r="AL190" i="84"/>
  <c r="AM190" i="84"/>
  <c r="AN190" i="84"/>
  <c r="AO190" i="84"/>
  <c r="AQ190" i="84"/>
  <c r="AR190" i="84"/>
  <c r="AS190" i="84"/>
  <c r="AT190" i="84"/>
  <c r="AV190" i="84"/>
  <c r="AW190" i="84"/>
  <c r="AX190" i="84"/>
  <c r="AY190" i="84"/>
  <c r="AL191" i="84"/>
  <c r="AM191" i="84"/>
  <c r="AN191" i="84"/>
  <c r="AO191" i="84"/>
  <c r="AQ191" i="84"/>
  <c r="AR191" i="84"/>
  <c r="AS191" i="84"/>
  <c r="AT191" i="84"/>
  <c r="AV191" i="84"/>
  <c r="AW191" i="84"/>
  <c r="AX191" i="84"/>
  <c r="AY191" i="84"/>
  <c r="AL192" i="84"/>
  <c r="AM192" i="84"/>
  <c r="AN192" i="84"/>
  <c r="AO192" i="84"/>
  <c r="AQ192" i="84"/>
  <c r="AR192" i="84"/>
  <c r="AS192" i="84"/>
  <c r="AT192" i="84"/>
  <c r="AV192" i="84"/>
  <c r="AW192" i="84"/>
  <c r="AX192" i="84"/>
  <c r="AY192" i="84"/>
  <c r="AL193" i="84"/>
  <c r="AM193" i="84"/>
  <c r="AN193" i="84"/>
  <c r="AO193" i="84"/>
  <c r="AQ193" i="84"/>
  <c r="AR193" i="84"/>
  <c r="AS193" i="84"/>
  <c r="AT193" i="84"/>
  <c r="AV193" i="84"/>
  <c r="AW193" i="84"/>
  <c r="AX193" i="84"/>
  <c r="AY193" i="84"/>
  <c r="AL194" i="84"/>
  <c r="AM194" i="84"/>
  <c r="AN194" i="84"/>
  <c r="AO194" i="84"/>
  <c r="AQ194" i="84"/>
  <c r="AR194" i="84"/>
  <c r="AS194" i="84"/>
  <c r="AT194" i="84"/>
  <c r="AV194" i="84"/>
  <c r="AW194" i="84"/>
  <c r="AX194" i="84"/>
  <c r="AY194" i="84"/>
  <c r="AL195" i="84"/>
  <c r="AM195" i="84"/>
  <c r="AN195" i="84"/>
  <c r="AO195" i="84"/>
  <c r="AQ195" i="84"/>
  <c r="AR195" i="84"/>
  <c r="AS195" i="84"/>
  <c r="AT195" i="84"/>
  <c r="AV195" i="84"/>
  <c r="AW195" i="84"/>
  <c r="AX195" i="84"/>
  <c r="AY195" i="84"/>
  <c r="AL196" i="84"/>
  <c r="AM196" i="84"/>
  <c r="AN196" i="84"/>
  <c r="AO196" i="84"/>
  <c r="AQ196" i="84"/>
  <c r="AR196" i="84"/>
  <c r="AS196" i="84"/>
  <c r="AT196" i="84"/>
  <c r="AV196" i="84"/>
  <c r="AW196" i="84"/>
  <c r="AX196" i="84"/>
  <c r="AY196" i="84"/>
  <c r="AL197" i="84"/>
  <c r="AM197" i="84"/>
  <c r="AN197" i="84"/>
  <c r="AO197" i="84"/>
  <c r="AQ197" i="84"/>
  <c r="AR197" i="84"/>
  <c r="AS197" i="84"/>
  <c r="AT197" i="84"/>
  <c r="AV197" i="84"/>
  <c r="AW197" i="84"/>
  <c r="AX197" i="84"/>
  <c r="AY197" i="84"/>
  <c r="AL198" i="84"/>
  <c r="AM198" i="84"/>
  <c r="AN198" i="84"/>
  <c r="AO198" i="84"/>
  <c r="AQ198" i="84"/>
  <c r="AR198" i="84"/>
  <c r="AS198" i="84"/>
  <c r="AT198" i="84"/>
  <c r="AV198" i="84"/>
  <c r="AW198" i="84"/>
  <c r="AX198" i="84"/>
  <c r="AY198" i="84"/>
  <c r="AL199" i="84"/>
  <c r="AM199" i="84"/>
  <c r="AN199" i="84"/>
  <c r="AO199" i="84"/>
  <c r="AQ199" i="84"/>
  <c r="AR199" i="84"/>
  <c r="AS199" i="84"/>
  <c r="AT199" i="84"/>
  <c r="AV199" i="84"/>
  <c r="AW199" i="84"/>
  <c r="AX199" i="84"/>
  <c r="AY199" i="84"/>
  <c r="AL200" i="84"/>
  <c r="AM200" i="84"/>
  <c r="AN200" i="84"/>
  <c r="AO200" i="84"/>
  <c r="AQ200" i="84"/>
  <c r="AR200" i="84"/>
  <c r="AS200" i="84"/>
  <c r="AT200" i="84"/>
  <c r="AV200" i="84"/>
  <c r="AW200" i="84"/>
  <c r="AX200" i="84"/>
  <c r="AY200" i="84"/>
  <c r="AL201" i="84"/>
  <c r="AM201" i="84"/>
  <c r="AN201" i="84"/>
  <c r="AO201" i="84"/>
  <c r="AQ201" i="84"/>
  <c r="AR201" i="84"/>
  <c r="AS201" i="84"/>
  <c r="AT201" i="84"/>
  <c r="AV201" i="84"/>
  <c r="AW201" i="84"/>
  <c r="AX201" i="84"/>
  <c r="AY201" i="84"/>
  <c r="AL202" i="84"/>
  <c r="AM202" i="84"/>
  <c r="AN202" i="84"/>
  <c r="AO202" i="84"/>
  <c r="AQ202" i="84"/>
  <c r="AR202" i="84"/>
  <c r="AS202" i="84"/>
  <c r="AT202" i="84"/>
  <c r="AV202" i="84"/>
  <c r="AW202" i="84"/>
  <c r="AX202" i="84"/>
  <c r="AY202" i="84"/>
  <c r="AL203" i="84"/>
  <c r="AM203" i="84"/>
  <c r="AN203" i="84"/>
  <c r="AO203" i="84"/>
  <c r="AQ203" i="84"/>
  <c r="AR203" i="84"/>
  <c r="AS203" i="84"/>
  <c r="AT203" i="84"/>
  <c r="AV203" i="84"/>
  <c r="AW203" i="84"/>
  <c r="AX203" i="84"/>
  <c r="AY203" i="84"/>
  <c r="AL204" i="84"/>
  <c r="AM204" i="84"/>
  <c r="AN204" i="84"/>
  <c r="AO204" i="84"/>
  <c r="AQ204" i="84"/>
  <c r="AR204" i="84"/>
  <c r="AS204" i="84"/>
  <c r="AT204" i="84"/>
  <c r="AV204" i="84"/>
  <c r="AW204" i="84"/>
  <c r="AX204" i="84"/>
  <c r="AY204" i="84"/>
  <c r="AL205" i="84"/>
  <c r="AM205" i="84"/>
  <c r="AN205" i="84"/>
  <c r="AO205" i="84"/>
  <c r="AQ205" i="84"/>
  <c r="AR205" i="84"/>
  <c r="AS205" i="84"/>
  <c r="AT205" i="84"/>
  <c r="AV205" i="84"/>
  <c r="AW205" i="84"/>
  <c r="AX205" i="84"/>
  <c r="AY205" i="84"/>
  <c r="AL206" i="84"/>
  <c r="AM206" i="84"/>
  <c r="AN206" i="84"/>
  <c r="AO206" i="84"/>
  <c r="AQ206" i="84"/>
  <c r="AR206" i="84"/>
  <c r="AS206" i="84"/>
  <c r="AT206" i="84"/>
  <c r="AV206" i="84"/>
  <c r="AW206" i="84"/>
  <c r="AX206" i="84"/>
  <c r="AY206" i="84"/>
  <c r="AL207" i="84"/>
  <c r="AM207" i="84"/>
  <c r="AN207" i="84"/>
  <c r="AO207" i="84"/>
  <c r="AQ207" i="84"/>
  <c r="AR207" i="84"/>
  <c r="AS207" i="84"/>
  <c r="AT207" i="84"/>
  <c r="AV207" i="84"/>
  <c r="AW207" i="84"/>
  <c r="AX207" i="84"/>
  <c r="AY207" i="84"/>
  <c r="AL208" i="84"/>
  <c r="AM208" i="84"/>
  <c r="AN208" i="84"/>
  <c r="AO208" i="84"/>
  <c r="AQ208" i="84"/>
  <c r="AR208" i="84"/>
  <c r="AS208" i="84"/>
  <c r="AT208" i="84"/>
  <c r="AV208" i="84"/>
  <c r="AW208" i="84"/>
  <c r="AX208" i="84"/>
  <c r="AY208" i="84"/>
  <c r="AL209" i="84"/>
  <c r="AM209" i="84"/>
  <c r="AN209" i="84"/>
  <c r="AO209" i="84"/>
  <c r="AQ209" i="84"/>
  <c r="AR209" i="84"/>
  <c r="AS209" i="84"/>
  <c r="AT209" i="84"/>
  <c r="AV209" i="84"/>
  <c r="AW209" i="84"/>
  <c r="AX209" i="84"/>
  <c r="AY209" i="84"/>
  <c r="AL210" i="84"/>
  <c r="AM210" i="84"/>
  <c r="AN210" i="84"/>
  <c r="AO210" i="84"/>
  <c r="AQ210" i="84"/>
  <c r="AR210" i="84"/>
  <c r="AS210" i="84"/>
  <c r="AT210" i="84"/>
  <c r="AV210" i="84"/>
  <c r="AW210" i="84"/>
  <c r="AX210" i="84"/>
  <c r="AY210" i="84"/>
  <c r="AL211" i="84"/>
  <c r="AM211" i="84"/>
  <c r="AN211" i="84"/>
  <c r="AO211" i="84"/>
  <c r="AQ211" i="84"/>
  <c r="AR211" i="84"/>
  <c r="AS211" i="84"/>
  <c r="AT211" i="84"/>
  <c r="AV211" i="84"/>
  <c r="AW211" i="84"/>
  <c r="AX211" i="84"/>
  <c r="AY211" i="84"/>
  <c r="AL212" i="84"/>
  <c r="AM212" i="84"/>
  <c r="AN212" i="84"/>
  <c r="AO212" i="84"/>
  <c r="AQ212" i="84"/>
  <c r="AR212" i="84"/>
  <c r="AS212" i="84"/>
  <c r="AT212" i="84"/>
  <c r="AV212" i="84"/>
  <c r="AW212" i="84"/>
  <c r="AX212" i="84"/>
  <c r="AY212" i="84"/>
  <c r="AL213" i="84"/>
  <c r="AM213" i="84"/>
  <c r="AN213" i="84"/>
  <c r="AO213" i="84"/>
  <c r="AQ213" i="84"/>
  <c r="AR213" i="84"/>
  <c r="AS213" i="84"/>
  <c r="AT213" i="84"/>
  <c r="AV213" i="84"/>
  <c r="AW213" i="84"/>
  <c r="AX213" i="84"/>
  <c r="AY213" i="84"/>
  <c r="AL214" i="84"/>
  <c r="AM214" i="84"/>
  <c r="AN214" i="84"/>
  <c r="AO214" i="84"/>
  <c r="AQ214" i="84"/>
  <c r="AR214" i="84"/>
  <c r="AS214" i="84"/>
  <c r="AT214" i="84"/>
  <c r="AV214" i="84"/>
  <c r="AW214" i="84"/>
  <c r="AX214" i="84"/>
  <c r="AY214" i="84"/>
  <c r="AL215" i="84"/>
  <c r="AM215" i="84"/>
  <c r="AN215" i="84"/>
  <c r="AO215" i="84"/>
  <c r="AQ215" i="84"/>
  <c r="AR215" i="84"/>
  <c r="AS215" i="84"/>
  <c r="AT215" i="84"/>
  <c r="AV215" i="84"/>
  <c r="AW215" i="84"/>
  <c r="AX215" i="84"/>
  <c r="AY215" i="84"/>
  <c r="AL216" i="84"/>
  <c r="AM216" i="84"/>
  <c r="AN216" i="84"/>
  <c r="AO216" i="84"/>
  <c r="AQ216" i="84"/>
  <c r="AR216" i="84"/>
  <c r="AS216" i="84"/>
  <c r="AT216" i="84"/>
  <c r="AV216" i="84"/>
  <c r="AW216" i="84"/>
  <c r="AX216" i="84"/>
  <c r="AY216" i="84"/>
  <c r="AL217" i="84"/>
  <c r="AM217" i="84"/>
  <c r="AN217" i="84"/>
  <c r="AO217" i="84"/>
  <c r="AQ217" i="84"/>
  <c r="AR217" i="84"/>
  <c r="AS217" i="84"/>
  <c r="AT217" i="84"/>
  <c r="AV217" i="84"/>
  <c r="AW217" i="84"/>
  <c r="AX217" i="84"/>
  <c r="AY217" i="84"/>
  <c r="AL218" i="84"/>
  <c r="AM218" i="84"/>
  <c r="AN218" i="84"/>
  <c r="AO218" i="84"/>
  <c r="AQ218" i="84"/>
  <c r="AR218" i="84"/>
  <c r="AS218" i="84"/>
  <c r="AT218" i="84"/>
  <c r="AV218" i="84"/>
  <c r="AW218" i="84"/>
  <c r="AX218" i="84"/>
  <c r="AY218" i="84"/>
  <c r="AL219" i="84"/>
  <c r="AM219" i="84"/>
  <c r="AN219" i="84"/>
  <c r="AO219" i="84"/>
  <c r="AQ219" i="84"/>
  <c r="AR219" i="84"/>
  <c r="AS219" i="84"/>
  <c r="AT219" i="84"/>
  <c r="AV219" i="84"/>
  <c r="AW219" i="84"/>
  <c r="AX219" i="84"/>
  <c r="AY219" i="84"/>
  <c r="AE428" i="84" l="1"/>
  <c r="AC428" i="84"/>
  <c r="AA428" i="84"/>
  <c r="Y428" i="84"/>
  <c r="W428" i="84"/>
  <c r="U428" i="84"/>
  <c r="S428" i="84"/>
  <c r="Q428" i="84"/>
  <c r="AD427" i="84"/>
  <c r="AB427" i="84"/>
  <c r="Z427" i="84"/>
  <c r="X427" i="84"/>
  <c r="V427" i="84"/>
  <c r="T427" i="84"/>
  <c r="R427" i="84"/>
  <c r="AE426" i="84"/>
  <c r="AC426" i="84"/>
  <c r="AA426" i="84"/>
  <c r="Y426" i="84"/>
  <c r="W426" i="84"/>
  <c r="U426" i="84"/>
  <c r="S426" i="84"/>
  <c r="Q426" i="84"/>
  <c r="AD425" i="84"/>
  <c r="AB425" i="84"/>
  <c r="Z425" i="84"/>
  <c r="X425" i="84"/>
  <c r="V425" i="84"/>
  <c r="T425" i="84"/>
  <c r="R425" i="84"/>
  <c r="AE424" i="84"/>
  <c r="AC424" i="84"/>
  <c r="AA424" i="84"/>
  <c r="Y424" i="84"/>
  <c r="W424" i="84"/>
  <c r="U424" i="84"/>
  <c r="S424" i="84"/>
  <c r="Q424" i="84"/>
  <c r="AD423" i="84"/>
  <c r="AB423" i="84"/>
  <c r="Z423" i="84"/>
  <c r="X423" i="84"/>
  <c r="V423" i="84"/>
  <c r="T423" i="84"/>
  <c r="R423" i="84"/>
  <c r="AE422" i="84"/>
  <c r="AC422" i="84"/>
  <c r="AA422" i="84"/>
  <c r="Y422" i="84"/>
  <c r="W422" i="84"/>
  <c r="U422" i="84"/>
  <c r="S422" i="84"/>
  <c r="Q422" i="84"/>
  <c r="AD421" i="84"/>
  <c r="AB421" i="84"/>
  <c r="Z421" i="84"/>
  <c r="X421" i="84"/>
  <c r="V421" i="84"/>
  <c r="T421" i="84"/>
  <c r="R421" i="84"/>
  <c r="AE420" i="84"/>
  <c r="AC420" i="84"/>
  <c r="AA420" i="84"/>
  <c r="Y420" i="84"/>
  <c r="W420" i="84"/>
  <c r="U420" i="84"/>
  <c r="S420" i="84"/>
  <c r="Q420" i="84"/>
  <c r="AD419" i="84"/>
  <c r="AB419" i="84"/>
  <c r="Z419" i="84"/>
  <c r="X419" i="84"/>
  <c r="V419" i="84"/>
  <c r="T419" i="84"/>
  <c r="R419" i="84"/>
  <c r="AE418" i="84"/>
  <c r="AC418" i="84"/>
  <c r="AA418" i="84"/>
  <c r="Y418" i="84"/>
  <c r="W418" i="84"/>
  <c r="U418" i="84"/>
  <c r="S418" i="84"/>
  <c r="Q418" i="84"/>
  <c r="AE416" i="84"/>
  <c r="AC416" i="84"/>
  <c r="AA416" i="84"/>
  <c r="Y416" i="84"/>
  <c r="W416" i="84"/>
  <c r="U416" i="84"/>
  <c r="S416" i="84"/>
  <c r="Q416" i="84"/>
  <c r="AD415" i="84"/>
  <c r="AB415" i="84"/>
  <c r="Z415" i="84"/>
  <c r="X415" i="84"/>
  <c r="V415" i="84"/>
  <c r="T415" i="84"/>
  <c r="R415" i="84"/>
  <c r="AE414" i="84"/>
  <c r="AC414" i="84"/>
  <c r="AA414" i="84"/>
  <c r="Y414" i="84"/>
  <c r="W414" i="84"/>
  <c r="U414" i="84"/>
  <c r="S414" i="84"/>
  <c r="Q414" i="84"/>
  <c r="AD413" i="84"/>
  <c r="AB413" i="84"/>
  <c r="Z413" i="84"/>
  <c r="X413" i="84"/>
  <c r="V413" i="84"/>
  <c r="T413" i="84"/>
  <c r="R413" i="84"/>
  <c r="AE412" i="84"/>
  <c r="AC412" i="84"/>
  <c r="AA412" i="84"/>
  <c r="Y412" i="84"/>
  <c r="W412" i="84"/>
  <c r="U412" i="84"/>
  <c r="S412" i="84"/>
  <c r="Q412" i="84"/>
  <c r="AD411" i="84"/>
  <c r="AB411" i="84"/>
  <c r="Z411" i="84"/>
  <c r="X411" i="84"/>
  <c r="V411" i="84"/>
  <c r="T411" i="84"/>
  <c r="R411" i="84"/>
  <c r="AE410" i="84"/>
  <c r="AC410" i="84"/>
  <c r="AA410" i="84"/>
  <c r="Y410" i="84"/>
  <c r="W410" i="84"/>
  <c r="U410" i="84"/>
  <c r="S410" i="84"/>
  <c r="Q410" i="84"/>
  <c r="AD409" i="84"/>
  <c r="AB409" i="84"/>
  <c r="Z409" i="84"/>
  <c r="X409" i="84"/>
  <c r="V409" i="84"/>
  <c r="T409" i="84"/>
  <c r="R409" i="84"/>
  <c r="AE408" i="84"/>
  <c r="AC408" i="84"/>
  <c r="AA408" i="84"/>
  <c r="Y408" i="84"/>
  <c r="W408" i="84"/>
  <c r="U408" i="84"/>
  <c r="S408" i="84"/>
  <c r="Q408" i="84"/>
  <c r="AD407" i="84"/>
  <c r="AB407" i="84"/>
  <c r="Z407" i="84"/>
  <c r="X407" i="84"/>
  <c r="V407" i="84"/>
  <c r="T407" i="84"/>
  <c r="R407" i="84"/>
  <c r="AE406" i="84"/>
  <c r="AC406" i="84"/>
  <c r="AA406" i="84"/>
  <c r="Y406" i="84"/>
  <c r="W406" i="84"/>
  <c r="U406" i="84"/>
  <c r="S406" i="84"/>
  <c r="Q406" i="84"/>
  <c r="AD405" i="84"/>
  <c r="AB405" i="84"/>
  <c r="Z405" i="84"/>
  <c r="X405" i="84"/>
  <c r="V405" i="84"/>
  <c r="T405" i="84"/>
  <c r="R405" i="84"/>
  <c r="AE404" i="84"/>
  <c r="AC404" i="84"/>
  <c r="AA404" i="84"/>
  <c r="Y404" i="84"/>
  <c r="W404" i="84"/>
  <c r="U404" i="84"/>
  <c r="S404" i="84"/>
  <c r="Q404" i="84"/>
  <c r="AD403" i="84"/>
  <c r="AB403" i="84"/>
  <c r="Z403" i="84"/>
  <c r="X403" i="84"/>
  <c r="V403" i="84"/>
  <c r="T403" i="84"/>
  <c r="R403" i="84"/>
  <c r="AE402" i="84"/>
  <c r="AC402" i="84"/>
  <c r="AA402" i="84"/>
  <c r="Y402" i="84"/>
  <c r="W402" i="84"/>
  <c r="U402" i="84"/>
  <c r="S402" i="84"/>
  <c r="Q402" i="84"/>
  <c r="AD401" i="84"/>
  <c r="AB401" i="84"/>
  <c r="Z401" i="84"/>
  <c r="X401" i="84"/>
  <c r="V401" i="84"/>
  <c r="T401" i="84"/>
  <c r="R401" i="84"/>
  <c r="AE400" i="84"/>
  <c r="AC400" i="84"/>
  <c r="AA400" i="84"/>
  <c r="Y400" i="84"/>
  <c r="W400" i="84"/>
  <c r="U400" i="84"/>
  <c r="S400" i="84"/>
  <c r="Q400" i="84"/>
  <c r="AD399" i="84"/>
  <c r="AB399" i="84"/>
  <c r="Z399" i="84"/>
  <c r="X399" i="84"/>
  <c r="V399" i="84"/>
  <c r="T399" i="84"/>
  <c r="R399" i="84"/>
  <c r="AE398" i="84"/>
  <c r="AC398" i="84"/>
  <c r="AA398" i="84"/>
  <c r="Y398" i="84"/>
  <c r="W398" i="84"/>
  <c r="U398" i="84"/>
  <c r="S398" i="84"/>
  <c r="Q398" i="84"/>
  <c r="AD397" i="84"/>
  <c r="AB397" i="84"/>
  <c r="Z397" i="84"/>
  <c r="X397" i="84"/>
  <c r="V397" i="84"/>
  <c r="T397" i="84"/>
  <c r="R397" i="84"/>
  <c r="AE396" i="84"/>
  <c r="AC396" i="84"/>
  <c r="AA396" i="84"/>
  <c r="Y396" i="84"/>
  <c r="W396" i="84"/>
  <c r="U396" i="84"/>
  <c r="S396" i="84"/>
  <c r="Q396" i="84"/>
  <c r="AD395" i="84"/>
  <c r="AB395" i="84"/>
  <c r="Z395" i="84"/>
  <c r="X395" i="84"/>
  <c r="V395" i="84"/>
  <c r="T395" i="84"/>
  <c r="R395" i="84"/>
  <c r="AE394" i="84"/>
  <c r="AC394" i="84"/>
  <c r="AA394" i="84"/>
  <c r="Y394" i="84"/>
  <c r="W394" i="84"/>
  <c r="U394" i="84"/>
  <c r="S394" i="84"/>
  <c r="Q394" i="84"/>
  <c r="AD393" i="84"/>
  <c r="AB393" i="84"/>
  <c r="Z393" i="84"/>
  <c r="X393" i="84"/>
  <c r="V393" i="84"/>
  <c r="T393" i="84"/>
  <c r="R393" i="84"/>
  <c r="AE392" i="84"/>
  <c r="AC392" i="84"/>
  <c r="AA392" i="84"/>
  <c r="Y392" i="84"/>
  <c r="W392" i="84"/>
  <c r="U392" i="84"/>
  <c r="S392" i="84"/>
  <c r="Q392" i="84"/>
  <c r="AE390" i="84"/>
  <c r="AC390" i="84"/>
  <c r="AA390" i="84"/>
  <c r="Y390" i="84"/>
  <c r="W390" i="84"/>
  <c r="U390" i="84"/>
  <c r="S390" i="84"/>
  <c r="Q390" i="84"/>
  <c r="AD389" i="84"/>
  <c r="AB389" i="84"/>
  <c r="Z389" i="84"/>
  <c r="X389" i="84"/>
  <c r="V389" i="84"/>
  <c r="T389" i="84"/>
  <c r="R389" i="84"/>
  <c r="AD387" i="84"/>
  <c r="AB387" i="84"/>
  <c r="Z387" i="84"/>
  <c r="X387" i="84"/>
  <c r="V387" i="84"/>
  <c r="T387" i="84"/>
  <c r="R387" i="84"/>
  <c r="AE386" i="84"/>
  <c r="AC386" i="84"/>
  <c r="AA386" i="84"/>
  <c r="Y386" i="84"/>
  <c r="W386" i="84"/>
  <c r="U386" i="84"/>
  <c r="S386" i="84"/>
  <c r="Q386" i="84"/>
  <c r="AD385" i="84"/>
  <c r="AB385" i="84"/>
  <c r="Z385" i="84"/>
  <c r="X385" i="84"/>
  <c r="V385" i="84"/>
  <c r="T385" i="84"/>
  <c r="R385" i="84"/>
  <c r="AE384" i="84"/>
  <c r="AC384" i="84"/>
  <c r="AA384" i="84"/>
  <c r="Y384" i="84"/>
  <c r="W384" i="84"/>
  <c r="U384" i="84"/>
  <c r="S384" i="84"/>
  <c r="Q384" i="84"/>
  <c r="AD383" i="84"/>
  <c r="AB383" i="84"/>
  <c r="Z383" i="84"/>
  <c r="X383" i="84"/>
  <c r="V383" i="84"/>
  <c r="T383" i="84"/>
  <c r="R383" i="84"/>
  <c r="AE382" i="84"/>
  <c r="AC382" i="84"/>
  <c r="AA382" i="84"/>
  <c r="Y382" i="84"/>
  <c r="W382" i="84"/>
  <c r="U382" i="84"/>
  <c r="S382" i="84"/>
  <c r="Q382" i="84"/>
  <c r="AD381" i="84"/>
  <c r="AB381" i="84"/>
  <c r="Z381" i="84"/>
  <c r="X381" i="84"/>
  <c r="V381" i="84"/>
  <c r="T381" i="84"/>
  <c r="R381" i="84"/>
  <c r="AE380" i="84"/>
  <c r="AC380" i="84"/>
  <c r="AA380" i="84"/>
  <c r="Y380" i="84"/>
  <c r="W380" i="84"/>
  <c r="U380" i="84"/>
  <c r="S380" i="84"/>
  <c r="Q380" i="84"/>
  <c r="AD379" i="84"/>
  <c r="AB379" i="84"/>
  <c r="Z379" i="84"/>
  <c r="X379" i="84"/>
  <c r="V379" i="84"/>
  <c r="T379" i="84"/>
  <c r="R379" i="84"/>
  <c r="AE378" i="84"/>
  <c r="AC378" i="84"/>
  <c r="AA378" i="84"/>
  <c r="Y378" i="84"/>
  <c r="W378" i="84"/>
  <c r="U378" i="84"/>
  <c r="S378" i="84"/>
  <c r="Q378" i="84"/>
  <c r="AD377" i="84"/>
  <c r="AB377" i="84"/>
  <c r="Z377" i="84"/>
  <c r="X377" i="84"/>
  <c r="V377" i="84"/>
  <c r="T377" i="84"/>
  <c r="R377" i="84"/>
  <c r="AE376" i="84"/>
  <c r="AC376" i="84"/>
  <c r="AA376" i="84"/>
  <c r="Y376" i="84"/>
  <c r="W376" i="84"/>
  <c r="U376" i="84"/>
  <c r="S376" i="84"/>
  <c r="Q376" i="84"/>
  <c r="AD375" i="84"/>
  <c r="AB375" i="84"/>
  <c r="Z375" i="84"/>
  <c r="X375" i="84"/>
  <c r="V375" i="84"/>
  <c r="T375" i="84"/>
  <c r="R375" i="84"/>
  <c r="AE374" i="84"/>
  <c r="AC374" i="84"/>
  <c r="AA374" i="84"/>
  <c r="Y374" i="84"/>
  <c r="W374" i="84"/>
  <c r="U374" i="84"/>
  <c r="S374" i="84"/>
  <c r="Q374" i="84"/>
  <c r="AD373" i="84"/>
  <c r="AB373" i="84"/>
  <c r="Z373" i="84"/>
  <c r="X373" i="84"/>
  <c r="V373" i="84"/>
  <c r="T373" i="84"/>
  <c r="R373" i="84"/>
  <c r="AE372" i="84"/>
  <c r="AC372" i="84"/>
  <c r="AA372" i="84"/>
  <c r="Y372" i="84"/>
  <c r="W372" i="84"/>
  <c r="U372" i="84"/>
  <c r="S372" i="84"/>
  <c r="Q372" i="84"/>
  <c r="AD371" i="84"/>
  <c r="AB371" i="84"/>
  <c r="Z371" i="84"/>
  <c r="X371" i="84"/>
  <c r="V371" i="84"/>
  <c r="T371" i="84"/>
  <c r="R371" i="84"/>
  <c r="AE370" i="84"/>
  <c r="AC370" i="84"/>
  <c r="AA370" i="84"/>
  <c r="Y370" i="84"/>
  <c r="W370" i="84"/>
  <c r="U370" i="84"/>
  <c r="S370" i="84"/>
  <c r="Q370" i="84"/>
  <c r="AD369" i="84"/>
  <c r="AB369" i="84"/>
  <c r="Z369" i="84"/>
  <c r="X369" i="84"/>
  <c r="V369" i="84"/>
  <c r="T369" i="84"/>
  <c r="R369" i="84"/>
  <c r="AE368" i="84"/>
  <c r="AC368" i="84"/>
  <c r="AA368" i="84"/>
  <c r="Y368" i="84"/>
  <c r="W368" i="84"/>
  <c r="U368" i="84"/>
  <c r="S368" i="84"/>
  <c r="Q368" i="84"/>
  <c r="AD367" i="84"/>
  <c r="AB367" i="84"/>
  <c r="Z367" i="84"/>
  <c r="X367" i="84"/>
  <c r="V367" i="84"/>
  <c r="T367" i="84"/>
  <c r="R367" i="84"/>
  <c r="AE366" i="84"/>
  <c r="AC366" i="84"/>
  <c r="AA366" i="84"/>
  <c r="Y366" i="84"/>
  <c r="W366" i="84"/>
  <c r="U366" i="84"/>
  <c r="S366" i="84"/>
  <c r="Q366" i="84"/>
  <c r="AD365" i="84"/>
  <c r="AB365" i="84"/>
  <c r="Z365" i="84"/>
  <c r="X365" i="84"/>
  <c r="V365" i="84"/>
  <c r="T365" i="84"/>
  <c r="R365" i="84"/>
  <c r="AE364" i="84"/>
  <c r="AC364" i="84"/>
  <c r="AA364" i="84"/>
  <c r="Y364" i="84"/>
  <c r="W364" i="84"/>
  <c r="U364" i="84"/>
  <c r="S364" i="84"/>
  <c r="Q364" i="84"/>
  <c r="AD363" i="84"/>
  <c r="AB363" i="84"/>
  <c r="Z363" i="84"/>
  <c r="X363" i="84"/>
  <c r="V363" i="84"/>
  <c r="T363" i="84"/>
  <c r="R363" i="84"/>
  <c r="AE362" i="84"/>
  <c r="AC362" i="84"/>
  <c r="AA362" i="84"/>
  <c r="Y362" i="84"/>
  <c r="W362" i="84"/>
  <c r="U362" i="84"/>
  <c r="S362" i="84"/>
  <c r="Q362" i="84"/>
  <c r="AD361" i="84"/>
  <c r="AB361" i="84"/>
  <c r="Z361" i="84"/>
  <c r="X361" i="84"/>
  <c r="V361" i="84"/>
  <c r="T361" i="84"/>
  <c r="R361" i="84"/>
  <c r="AE360" i="84"/>
  <c r="AC360" i="84"/>
  <c r="AA360" i="84"/>
  <c r="Y360" i="84"/>
  <c r="W360" i="84"/>
  <c r="U360" i="84"/>
  <c r="S360" i="84"/>
  <c r="Q360" i="84"/>
  <c r="AD359" i="84"/>
  <c r="AB359" i="84"/>
  <c r="Z359" i="84"/>
  <c r="X359" i="84"/>
  <c r="V359" i="84"/>
  <c r="T359" i="84"/>
  <c r="R359" i="84"/>
  <c r="AE358" i="84"/>
  <c r="AC358" i="84"/>
  <c r="AA358" i="84"/>
  <c r="Y358" i="84"/>
  <c r="W358" i="84"/>
  <c r="U358" i="84"/>
  <c r="S358" i="84"/>
  <c r="Q358" i="84"/>
  <c r="AD357" i="84"/>
  <c r="AB357" i="84"/>
  <c r="Z357" i="84"/>
  <c r="X357" i="84"/>
  <c r="V357" i="84"/>
  <c r="T357" i="84"/>
  <c r="R357" i="84"/>
  <c r="AE356" i="84"/>
  <c r="AC356" i="84"/>
  <c r="AA356" i="84"/>
  <c r="Y356" i="84"/>
  <c r="W356" i="84"/>
  <c r="U356" i="84"/>
  <c r="S356" i="84"/>
  <c r="Q356" i="84"/>
  <c r="AD355" i="84"/>
  <c r="AB355" i="84"/>
  <c r="Z355" i="84"/>
  <c r="X355" i="84"/>
  <c r="V355" i="84"/>
  <c r="T355" i="84"/>
  <c r="R355" i="84"/>
  <c r="AE354" i="84"/>
  <c r="AC354" i="84"/>
  <c r="AA354" i="84"/>
  <c r="Y354" i="84"/>
  <c r="W354" i="84"/>
  <c r="U354" i="84"/>
  <c r="S354" i="84"/>
  <c r="Q354" i="84"/>
  <c r="AD353" i="84"/>
  <c r="AB353" i="84"/>
  <c r="Z353" i="84"/>
  <c r="X353" i="84"/>
  <c r="V353" i="84"/>
  <c r="T353" i="84"/>
  <c r="R353" i="84"/>
  <c r="AE352" i="84"/>
  <c r="AC352" i="84"/>
  <c r="AA352" i="84"/>
  <c r="Y352" i="84"/>
  <c r="W352" i="84"/>
  <c r="U352" i="84"/>
  <c r="S352" i="84"/>
  <c r="Q352" i="84"/>
  <c r="AD351" i="84"/>
  <c r="AB351" i="84"/>
  <c r="Z351" i="84"/>
  <c r="X351" i="84"/>
  <c r="V351" i="84"/>
  <c r="T351" i="84"/>
  <c r="R351" i="84"/>
  <c r="AE350" i="84"/>
  <c r="AC350" i="84"/>
  <c r="AA350" i="84"/>
  <c r="Y350" i="84"/>
  <c r="W350" i="84"/>
  <c r="U350" i="84"/>
  <c r="S350" i="84"/>
  <c r="Q350" i="84"/>
  <c r="AD349" i="84"/>
  <c r="AB349" i="84"/>
  <c r="Z349" i="84"/>
  <c r="X349" i="84"/>
  <c r="V349" i="84"/>
  <c r="T349" i="84"/>
  <c r="R349" i="84"/>
  <c r="AE348" i="84"/>
  <c r="AC348" i="84"/>
  <c r="AA348" i="84"/>
  <c r="Y348" i="84"/>
  <c r="W348" i="84"/>
  <c r="U348" i="84"/>
  <c r="S348" i="84"/>
  <c r="Q348" i="84"/>
  <c r="AD347" i="84"/>
  <c r="AB347" i="84"/>
  <c r="Z347" i="84"/>
  <c r="X347" i="84"/>
  <c r="V347" i="84"/>
  <c r="T347" i="84"/>
  <c r="R347" i="84"/>
  <c r="AE346" i="84"/>
  <c r="AC346" i="84"/>
  <c r="AA346" i="84"/>
  <c r="Y346" i="84"/>
  <c r="W346" i="84"/>
  <c r="U346" i="84"/>
  <c r="S346" i="84"/>
  <c r="Q346" i="84"/>
  <c r="AD345" i="84"/>
  <c r="AB345" i="84"/>
  <c r="Z345" i="84"/>
  <c r="X345" i="84"/>
  <c r="V345" i="84"/>
  <c r="T345" i="84"/>
  <c r="R345" i="84"/>
  <c r="AE344" i="84"/>
  <c r="AC344" i="84"/>
  <c r="AA344" i="84"/>
  <c r="Y344" i="84"/>
  <c r="W344" i="84"/>
  <c r="U344" i="84"/>
  <c r="S344" i="84"/>
  <c r="Q344" i="84"/>
  <c r="AD343" i="84"/>
  <c r="AB343" i="84"/>
  <c r="Z343" i="84"/>
  <c r="X343" i="84"/>
  <c r="V343" i="84"/>
  <c r="T343" i="84"/>
  <c r="R343" i="84"/>
  <c r="AE342" i="84"/>
  <c r="AC342" i="84"/>
  <c r="AA342" i="84"/>
  <c r="Y342" i="84"/>
  <c r="W342" i="84"/>
  <c r="U342" i="84"/>
  <c r="S342" i="84"/>
  <c r="Q342" i="84"/>
  <c r="AD341" i="84"/>
  <c r="AB341" i="84"/>
  <c r="Z341" i="84"/>
  <c r="X341" i="84"/>
  <c r="V341" i="84"/>
  <c r="T341" i="84"/>
  <c r="R341" i="84"/>
  <c r="AE340" i="84"/>
  <c r="AC340" i="84"/>
  <c r="AA340" i="84"/>
  <c r="Y340" i="84"/>
  <c r="W340" i="84"/>
  <c r="U340" i="84"/>
  <c r="S340" i="84"/>
  <c r="Q340" i="84"/>
  <c r="AD339" i="84"/>
  <c r="AB339" i="84"/>
  <c r="Z339" i="84"/>
  <c r="X339" i="84"/>
  <c r="V339" i="84"/>
  <c r="T339" i="84"/>
  <c r="R339" i="84"/>
  <c r="AE338" i="84"/>
  <c r="AC338" i="84"/>
  <c r="AA338" i="84"/>
  <c r="Y338" i="84"/>
  <c r="W338" i="84"/>
  <c r="U338" i="84"/>
  <c r="S338" i="84"/>
  <c r="Q338" i="84"/>
  <c r="AD337" i="84"/>
  <c r="AB337" i="84"/>
  <c r="Z337" i="84"/>
  <c r="X337" i="84"/>
  <c r="V337" i="84"/>
  <c r="T337" i="84"/>
  <c r="R337" i="84"/>
  <c r="AE336" i="84"/>
  <c r="AC336" i="84"/>
  <c r="AA336" i="84"/>
  <c r="Y336" i="84"/>
  <c r="W336" i="84"/>
  <c r="U336" i="84"/>
  <c r="S336" i="84"/>
  <c r="Q336" i="84"/>
  <c r="AD335" i="84"/>
  <c r="AB335" i="84"/>
  <c r="Z335" i="84"/>
  <c r="X335" i="84"/>
  <c r="V335" i="84"/>
  <c r="T335" i="84"/>
  <c r="R335" i="84"/>
  <c r="AE334" i="84"/>
  <c r="AC334" i="84"/>
  <c r="AA334" i="84"/>
  <c r="Y334" i="84"/>
  <c r="W334" i="84"/>
  <c r="U334" i="84"/>
  <c r="S334" i="84"/>
  <c r="Q334" i="84"/>
  <c r="AD333" i="84"/>
  <c r="AB333" i="84"/>
  <c r="Z333" i="84"/>
  <c r="X333" i="84"/>
  <c r="V333" i="84"/>
  <c r="T333" i="84"/>
  <c r="R333" i="84"/>
  <c r="AE332" i="84"/>
  <c r="AC332" i="84"/>
  <c r="AA332" i="84"/>
  <c r="Y332" i="84"/>
  <c r="W332" i="84"/>
  <c r="U332" i="84"/>
  <c r="S332" i="84"/>
  <c r="Q332" i="84"/>
  <c r="AD331" i="84"/>
  <c r="AB331" i="84"/>
  <c r="Z331" i="84"/>
  <c r="X331" i="84"/>
  <c r="V331" i="84"/>
  <c r="T331" i="84"/>
  <c r="R331" i="84"/>
  <c r="AE330" i="84"/>
  <c r="AC330" i="84"/>
  <c r="AA330" i="84"/>
  <c r="Y330" i="84"/>
  <c r="W330" i="84"/>
  <c r="U330" i="84"/>
  <c r="S330" i="84"/>
  <c r="Q330" i="84"/>
  <c r="AD329" i="84"/>
  <c r="AB329" i="84"/>
  <c r="Z329" i="84"/>
  <c r="X329" i="84"/>
  <c r="V329" i="84"/>
  <c r="T329" i="84"/>
  <c r="R329" i="84"/>
  <c r="AE328" i="84"/>
  <c r="AC328" i="84"/>
  <c r="AA328" i="84"/>
  <c r="Y328" i="84"/>
  <c r="W328" i="84"/>
  <c r="U328" i="84"/>
  <c r="S328" i="84"/>
  <c r="Q328" i="84"/>
  <c r="AD327" i="84"/>
  <c r="AB327" i="84"/>
  <c r="Z327" i="84"/>
  <c r="X327" i="84"/>
  <c r="V327" i="84"/>
  <c r="T327" i="84"/>
  <c r="R327" i="84"/>
  <c r="AE326" i="84"/>
  <c r="AC326" i="84"/>
  <c r="AA326" i="84"/>
  <c r="Y326" i="84"/>
  <c r="W326" i="84"/>
  <c r="U326" i="84"/>
  <c r="S326" i="84"/>
  <c r="Q326" i="84"/>
  <c r="AD428" i="84"/>
  <c r="AB428" i="84"/>
  <c r="Z428" i="84"/>
  <c r="X428" i="84"/>
  <c r="V428" i="84"/>
  <c r="T428" i="84"/>
  <c r="R428" i="84"/>
  <c r="AE427" i="84"/>
  <c r="AC427" i="84"/>
  <c r="AA427" i="84"/>
  <c r="Y427" i="84"/>
  <c r="W427" i="84"/>
  <c r="U427" i="84"/>
  <c r="S427" i="84"/>
  <c r="Q427" i="84"/>
  <c r="AD426" i="84"/>
  <c r="AB426" i="84"/>
  <c r="Z426" i="84"/>
  <c r="X426" i="84"/>
  <c r="V426" i="84"/>
  <c r="T426" i="84"/>
  <c r="R426" i="84"/>
  <c r="AE425" i="84"/>
  <c r="AC425" i="84"/>
  <c r="AA425" i="84"/>
  <c r="Y425" i="84"/>
  <c r="W425" i="84"/>
  <c r="U425" i="84"/>
  <c r="S425" i="84"/>
  <c r="Q425" i="84"/>
  <c r="AD424" i="84"/>
  <c r="AB424" i="84"/>
  <c r="Z424" i="84"/>
  <c r="X424" i="84"/>
  <c r="V424" i="84"/>
  <c r="T424" i="84"/>
  <c r="R424" i="84"/>
  <c r="AE423" i="84"/>
  <c r="AC423" i="84"/>
  <c r="AA423" i="84"/>
  <c r="Y423" i="84"/>
  <c r="W423" i="84"/>
  <c r="U423" i="84"/>
  <c r="S423" i="84"/>
  <c r="Q423" i="84"/>
  <c r="AD422" i="84"/>
  <c r="AB422" i="84"/>
  <c r="Z422" i="84"/>
  <c r="X422" i="84"/>
  <c r="V422" i="84"/>
  <c r="T422" i="84"/>
  <c r="R422" i="84"/>
  <c r="AE421" i="84"/>
  <c r="AC421" i="84"/>
  <c r="AA421" i="84"/>
  <c r="Y421" i="84"/>
  <c r="W421" i="84"/>
  <c r="U421" i="84"/>
  <c r="S421" i="84"/>
  <c r="Q421" i="84"/>
  <c r="AD420" i="84"/>
  <c r="AB420" i="84"/>
  <c r="Z420" i="84"/>
  <c r="X420" i="84"/>
  <c r="V420" i="84"/>
  <c r="T420" i="84"/>
  <c r="R420" i="84"/>
  <c r="AE419" i="84"/>
  <c r="AC419" i="84"/>
  <c r="AA419" i="84"/>
  <c r="Y419" i="84"/>
  <c r="W419" i="84"/>
  <c r="U419" i="84"/>
  <c r="S419" i="84"/>
  <c r="Q419" i="84"/>
  <c r="AD418" i="84"/>
  <c r="AB418" i="84"/>
  <c r="Z418" i="84"/>
  <c r="X418" i="84"/>
  <c r="V418" i="84"/>
  <c r="T418" i="84"/>
  <c r="R418" i="84"/>
  <c r="AD416" i="84"/>
  <c r="AB416" i="84"/>
  <c r="Z416" i="84"/>
  <c r="X416" i="84"/>
  <c r="V416" i="84"/>
  <c r="T416" i="84"/>
  <c r="R416" i="84"/>
  <c r="AE415" i="84"/>
  <c r="AC415" i="84"/>
  <c r="AA415" i="84"/>
  <c r="Y415" i="84"/>
  <c r="W415" i="84"/>
  <c r="U415" i="84"/>
  <c r="S415" i="84"/>
  <c r="Q415" i="84"/>
  <c r="AD414" i="84"/>
  <c r="AB414" i="84"/>
  <c r="Z414" i="84"/>
  <c r="X414" i="84"/>
  <c r="V414" i="84"/>
  <c r="T414" i="84"/>
  <c r="R414" i="84"/>
  <c r="AE413" i="84"/>
  <c r="AC413" i="84"/>
  <c r="AA413" i="84"/>
  <c r="Y413" i="84"/>
  <c r="W413" i="84"/>
  <c r="U413" i="84"/>
  <c r="S413" i="84"/>
  <c r="Q413" i="84"/>
  <c r="AD412" i="84"/>
  <c r="AB412" i="84"/>
  <c r="Z412" i="84"/>
  <c r="X412" i="84"/>
  <c r="V412" i="84"/>
  <c r="T412" i="84"/>
  <c r="R412" i="84"/>
  <c r="AE411" i="84"/>
  <c r="AC411" i="84"/>
  <c r="AA411" i="84"/>
  <c r="Y411" i="84"/>
  <c r="W411" i="84"/>
  <c r="U411" i="84"/>
  <c r="S411" i="84"/>
  <c r="Q411" i="84"/>
  <c r="AD410" i="84"/>
  <c r="AB410" i="84"/>
  <c r="Z410" i="84"/>
  <c r="X410" i="84"/>
  <c r="V410" i="84"/>
  <c r="T410" i="84"/>
  <c r="R410" i="84"/>
  <c r="AE409" i="84"/>
  <c r="AC409" i="84"/>
  <c r="AA409" i="84"/>
  <c r="Y409" i="84"/>
  <c r="W409" i="84"/>
  <c r="U409" i="84"/>
  <c r="S409" i="84"/>
  <c r="Q409" i="84"/>
  <c r="AD408" i="84"/>
  <c r="AB408" i="84"/>
  <c r="Z408" i="84"/>
  <c r="X408" i="84"/>
  <c r="V408" i="84"/>
  <c r="T408" i="84"/>
  <c r="R408" i="84"/>
  <c r="AE407" i="84"/>
  <c r="AC407" i="84"/>
  <c r="AA407" i="84"/>
  <c r="Y407" i="84"/>
  <c r="W407" i="84"/>
  <c r="U407" i="84"/>
  <c r="S407" i="84"/>
  <c r="Q407" i="84"/>
  <c r="AD406" i="84"/>
  <c r="AB406" i="84"/>
  <c r="Z406" i="84"/>
  <c r="X406" i="84"/>
  <c r="V406" i="84"/>
  <c r="T406" i="84"/>
  <c r="R406" i="84"/>
  <c r="AE405" i="84"/>
  <c r="AC405" i="84"/>
  <c r="AA405" i="84"/>
  <c r="Y405" i="84"/>
  <c r="W405" i="84"/>
  <c r="U405" i="84"/>
  <c r="S405" i="84"/>
  <c r="Q405" i="84"/>
  <c r="AD404" i="84"/>
  <c r="AB404" i="84"/>
  <c r="Z404" i="84"/>
  <c r="X404" i="84"/>
  <c r="V404" i="84"/>
  <c r="T404" i="84"/>
  <c r="R404" i="84"/>
  <c r="AE403" i="84"/>
  <c r="AC403" i="84"/>
  <c r="AA403" i="84"/>
  <c r="Y403" i="84"/>
  <c r="W403" i="84"/>
  <c r="U403" i="84"/>
  <c r="S403" i="84"/>
  <c r="Q403" i="84"/>
  <c r="AD402" i="84"/>
  <c r="AB402" i="84"/>
  <c r="Z402" i="84"/>
  <c r="X402" i="84"/>
  <c r="V402" i="84"/>
  <c r="T402" i="84"/>
  <c r="R402" i="84"/>
  <c r="AE401" i="84"/>
  <c r="AC401" i="84"/>
  <c r="AA401" i="84"/>
  <c r="Y401" i="84"/>
  <c r="W401" i="84"/>
  <c r="U401" i="84"/>
  <c r="S401" i="84"/>
  <c r="Q401" i="84"/>
  <c r="AD400" i="84"/>
  <c r="AB400" i="84"/>
  <c r="Z400" i="84"/>
  <c r="X400" i="84"/>
  <c r="V400" i="84"/>
  <c r="T400" i="84"/>
  <c r="R400" i="84"/>
  <c r="AE399" i="84"/>
  <c r="AC399" i="84"/>
  <c r="AA399" i="84"/>
  <c r="Y399" i="84"/>
  <c r="W399" i="84"/>
  <c r="U399" i="84"/>
  <c r="S399" i="84"/>
  <c r="Q399" i="84"/>
  <c r="AD398" i="84"/>
  <c r="AB398" i="84"/>
  <c r="Z398" i="84"/>
  <c r="X398" i="84"/>
  <c r="V398" i="84"/>
  <c r="T398" i="84"/>
  <c r="R398" i="84"/>
  <c r="AE397" i="84"/>
  <c r="AC397" i="84"/>
  <c r="AA397" i="84"/>
  <c r="Y397" i="84"/>
  <c r="W397" i="84"/>
  <c r="U397" i="84"/>
  <c r="S397" i="84"/>
  <c r="Q397" i="84"/>
  <c r="AD396" i="84"/>
  <c r="AB396" i="84"/>
  <c r="Z396" i="84"/>
  <c r="X396" i="84"/>
  <c r="V396" i="84"/>
  <c r="T396" i="84"/>
  <c r="R396" i="84"/>
  <c r="AE395" i="84"/>
  <c r="AC395" i="84"/>
  <c r="AA395" i="84"/>
  <c r="Y395" i="84"/>
  <c r="W395" i="84"/>
  <c r="U395" i="84"/>
  <c r="S395" i="84"/>
  <c r="Q395" i="84"/>
  <c r="AD394" i="84"/>
  <c r="AB394" i="84"/>
  <c r="Z394" i="84"/>
  <c r="X394" i="84"/>
  <c r="V394" i="84"/>
  <c r="T394" i="84"/>
  <c r="R394" i="84"/>
  <c r="AE393" i="84"/>
  <c r="AC393" i="84"/>
  <c r="AA393" i="84"/>
  <c r="Y393" i="84"/>
  <c r="W393" i="84"/>
  <c r="U393" i="84"/>
  <c r="S393" i="84"/>
  <c r="Q393" i="84"/>
  <c r="AD392" i="84"/>
  <c r="AB392" i="84"/>
  <c r="Z392" i="84"/>
  <c r="X392" i="84"/>
  <c r="V392" i="84"/>
  <c r="T392" i="84"/>
  <c r="R392" i="84"/>
  <c r="AD390" i="84"/>
  <c r="AB390" i="84"/>
  <c r="Z390" i="84"/>
  <c r="X390" i="84"/>
  <c r="V390" i="84"/>
  <c r="T390" i="84"/>
  <c r="R390" i="84"/>
  <c r="AE389" i="84"/>
  <c r="AC389" i="84"/>
  <c r="AA389" i="84"/>
  <c r="Y389" i="84"/>
  <c r="W389" i="84"/>
  <c r="U389" i="84"/>
  <c r="S389" i="84"/>
  <c r="Q389" i="84"/>
  <c r="AE387" i="84"/>
  <c r="AC387" i="84"/>
  <c r="AA387" i="84"/>
  <c r="Y387" i="84"/>
  <c r="W387" i="84"/>
  <c r="U387" i="84"/>
  <c r="S387" i="84"/>
  <c r="Q387" i="84"/>
  <c r="AD386" i="84"/>
  <c r="AB386" i="84"/>
  <c r="Z386" i="84"/>
  <c r="X386" i="84"/>
  <c r="V386" i="84"/>
  <c r="T386" i="84"/>
  <c r="R386" i="84"/>
  <c r="AE385" i="84"/>
  <c r="AC385" i="84"/>
  <c r="AA385" i="84"/>
  <c r="Y385" i="84"/>
  <c r="W385" i="84"/>
  <c r="U385" i="84"/>
  <c r="S385" i="84"/>
  <c r="Q385" i="84"/>
  <c r="AD384" i="84"/>
  <c r="AB384" i="84"/>
  <c r="Z384" i="84"/>
  <c r="X384" i="84"/>
  <c r="V384" i="84"/>
  <c r="T384" i="84"/>
  <c r="R384" i="84"/>
  <c r="AE383" i="84"/>
  <c r="AC383" i="84"/>
  <c r="AA383" i="84"/>
  <c r="Y383" i="84"/>
  <c r="W383" i="84"/>
  <c r="U383" i="84"/>
  <c r="S383" i="84"/>
  <c r="Q383" i="84"/>
  <c r="AD382" i="84"/>
  <c r="AB382" i="84"/>
  <c r="Z382" i="84"/>
  <c r="X382" i="84"/>
  <c r="V382" i="84"/>
  <c r="T382" i="84"/>
  <c r="R382" i="84"/>
  <c r="AE381" i="84"/>
  <c r="AC381" i="84"/>
  <c r="AA381" i="84"/>
  <c r="Y381" i="84"/>
  <c r="W381" i="84"/>
  <c r="U381" i="84"/>
  <c r="S381" i="84"/>
  <c r="Q381" i="84"/>
  <c r="AD380" i="84"/>
  <c r="AB380" i="84"/>
  <c r="Z380" i="84"/>
  <c r="X380" i="84"/>
  <c r="V380" i="84"/>
  <c r="T380" i="84"/>
  <c r="R380" i="84"/>
  <c r="AE379" i="84"/>
  <c r="AC379" i="84"/>
  <c r="AA379" i="84"/>
  <c r="Y379" i="84"/>
  <c r="W379" i="84"/>
  <c r="U379" i="84"/>
  <c r="S379" i="84"/>
  <c r="Q379" i="84"/>
  <c r="AD378" i="84"/>
  <c r="AB378" i="84"/>
  <c r="Z378" i="84"/>
  <c r="X378" i="84"/>
  <c r="V378" i="84"/>
  <c r="T378" i="84"/>
  <c r="R378" i="84"/>
  <c r="AE377" i="84"/>
  <c r="AC377" i="84"/>
  <c r="AA377" i="84"/>
  <c r="Y377" i="84"/>
  <c r="W377" i="84"/>
  <c r="U377" i="84"/>
  <c r="S377" i="84"/>
  <c r="Q377" i="84"/>
  <c r="AD376" i="84"/>
  <c r="AB376" i="84"/>
  <c r="Z376" i="84"/>
  <c r="X376" i="84"/>
  <c r="V376" i="84"/>
  <c r="T376" i="84"/>
  <c r="R376" i="84"/>
  <c r="AE375" i="84"/>
  <c r="AC375" i="84"/>
  <c r="AA375" i="84"/>
  <c r="Y375" i="84"/>
  <c r="W375" i="84"/>
  <c r="U375" i="84"/>
  <c r="S375" i="84"/>
  <c r="Q375" i="84"/>
  <c r="AD374" i="84"/>
  <c r="AB374" i="84"/>
  <c r="Z374" i="84"/>
  <c r="X374" i="84"/>
  <c r="V374" i="84"/>
  <c r="T374" i="84"/>
  <c r="R374" i="84"/>
  <c r="AE373" i="84"/>
  <c r="AC373" i="84"/>
  <c r="AA373" i="84"/>
  <c r="Y373" i="84"/>
  <c r="W373" i="84"/>
  <c r="U373" i="84"/>
  <c r="S373" i="84"/>
  <c r="Q373" i="84"/>
  <c r="AD372" i="84"/>
  <c r="AB372" i="84"/>
  <c r="Z372" i="84"/>
  <c r="X372" i="84"/>
  <c r="V372" i="84"/>
  <c r="T372" i="84"/>
  <c r="R372" i="84"/>
  <c r="AE371" i="84"/>
  <c r="AC371" i="84"/>
  <c r="AA371" i="84"/>
  <c r="Y371" i="84"/>
  <c r="W371" i="84"/>
  <c r="U371" i="84"/>
  <c r="S371" i="84"/>
  <c r="Q371" i="84"/>
  <c r="AD370" i="84"/>
  <c r="AB370" i="84"/>
  <c r="Z370" i="84"/>
  <c r="X370" i="84"/>
  <c r="V370" i="84"/>
  <c r="T370" i="84"/>
  <c r="R370" i="84"/>
  <c r="AE369" i="84"/>
  <c r="AC369" i="84"/>
  <c r="AA369" i="84"/>
  <c r="Y369" i="84"/>
  <c r="W369" i="84"/>
  <c r="U369" i="84"/>
  <c r="S369" i="84"/>
  <c r="Q369" i="84"/>
  <c r="AD368" i="84"/>
  <c r="AB368" i="84"/>
  <c r="Z368" i="84"/>
  <c r="X368" i="84"/>
  <c r="V368" i="84"/>
  <c r="T368" i="84"/>
  <c r="R368" i="84"/>
  <c r="AE367" i="84"/>
  <c r="AC367" i="84"/>
  <c r="AA367" i="84"/>
  <c r="Y367" i="84"/>
  <c r="W367" i="84"/>
  <c r="U367" i="84"/>
  <c r="S367" i="84"/>
  <c r="Q367" i="84"/>
  <c r="AD366" i="84"/>
  <c r="AB366" i="84"/>
  <c r="Z366" i="84"/>
  <c r="X366" i="84"/>
  <c r="V366" i="84"/>
  <c r="T366" i="84"/>
  <c r="R366" i="84"/>
  <c r="AE365" i="84"/>
  <c r="AC365" i="84"/>
  <c r="AA365" i="84"/>
  <c r="Y365" i="84"/>
  <c r="W365" i="84"/>
  <c r="U365" i="84"/>
  <c r="S365" i="84"/>
  <c r="Q365" i="84"/>
  <c r="AD364" i="84"/>
  <c r="AB364" i="84"/>
  <c r="Z364" i="84"/>
  <c r="X364" i="84"/>
  <c r="V364" i="84"/>
  <c r="T364" i="84"/>
  <c r="R364" i="84"/>
  <c r="AE363" i="84"/>
  <c r="AC363" i="84"/>
  <c r="AA363" i="84"/>
  <c r="Y363" i="84"/>
  <c r="W363" i="84"/>
  <c r="U363" i="84"/>
  <c r="S363" i="84"/>
  <c r="Q363" i="84"/>
  <c r="AD362" i="84"/>
  <c r="AB362" i="84"/>
  <c r="Z362" i="84"/>
  <c r="X362" i="84"/>
  <c r="V362" i="84"/>
  <c r="T362" i="84"/>
  <c r="R362" i="84"/>
  <c r="AE361" i="84"/>
  <c r="AC361" i="84"/>
  <c r="AA361" i="84"/>
  <c r="Y361" i="84"/>
  <c r="W361" i="84"/>
  <c r="U361" i="84"/>
  <c r="S361" i="84"/>
  <c r="Q361" i="84"/>
  <c r="AD360" i="84"/>
  <c r="AB360" i="84"/>
  <c r="Z360" i="84"/>
  <c r="X360" i="84"/>
  <c r="V360" i="84"/>
  <c r="T360" i="84"/>
  <c r="R360" i="84"/>
  <c r="AE359" i="84"/>
  <c r="AC359" i="84"/>
  <c r="AA359" i="84"/>
  <c r="Y359" i="84"/>
  <c r="W359" i="84"/>
  <c r="U359" i="84"/>
  <c r="S359" i="84"/>
  <c r="Q359" i="84"/>
  <c r="AD358" i="84"/>
  <c r="AB358" i="84"/>
  <c r="Z358" i="84"/>
  <c r="X358" i="84"/>
  <c r="V358" i="84"/>
  <c r="T358" i="84"/>
  <c r="R358" i="84"/>
  <c r="AE357" i="84"/>
  <c r="AC357" i="84"/>
  <c r="AA357" i="84"/>
  <c r="Y357" i="84"/>
  <c r="W357" i="84"/>
  <c r="U357" i="84"/>
  <c r="S357" i="84"/>
  <c r="Q357" i="84"/>
  <c r="AD356" i="84"/>
  <c r="AB356" i="84"/>
  <c r="Z356" i="84"/>
  <c r="X356" i="84"/>
  <c r="V356" i="84"/>
  <c r="T356" i="84"/>
  <c r="R356" i="84"/>
  <c r="AE355" i="84"/>
  <c r="AC355" i="84"/>
  <c r="AA355" i="84"/>
  <c r="Y355" i="84"/>
  <c r="W355" i="84"/>
  <c r="U355" i="84"/>
  <c r="S355" i="84"/>
  <c r="Q355" i="84"/>
  <c r="AD354" i="84"/>
  <c r="AB354" i="84"/>
  <c r="Z354" i="84"/>
  <c r="X354" i="84"/>
  <c r="V354" i="84"/>
  <c r="T354" i="84"/>
  <c r="R354" i="84"/>
  <c r="AE353" i="84"/>
  <c r="AC353" i="84"/>
  <c r="AA353" i="84"/>
  <c r="Y353" i="84"/>
  <c r="W353" i="84"/>
  <c r="U353" i="84"/>
  <c r="S353" i="84"/>
  <c r="Q353" i="84"/>
  <c r="AD352" i="84"/>
  <c r="AB352" i="84"/>
  <c r="Z352" i="84"/>
  <c r="X352" i="84"/>
  <c r="V352" i="84"/>
  <c r="T352" i="84"/>
  <c r="R352" i="84"/>
  <c r="AE351" i="84"/>
  <c r="AC351" i="84"/>
  <c r="AA351" i="84"/>
  <c r="Y351" i="84"/>
  <c r="W351" i="84"/>
  <c r="U351" i="84"/>
  <c r="S351" i="84"/>
  <c r="Q351" i="84"/>
  <c r="AD350" i="84"/>
  <c r="AB350" i="84"/>
  <c r="Z350" i="84"/>
  <c r="X350" i="84"/>
  <c r="V350" i="84"/>
  <c r="T350" i="84"/>
  <c r="R350" i="84"/>
  <c r="AE349" i="84"/>
  <c r="AC349" i="84"/>
  <c r="AA349" i="84"/>
  <c r="Y349" i="84"/>
  <c r="W349" i="84"/>
  <c r="U349" i="84"/>
  <c r="S349" i="84"/>
  <c r="Q349" i="84"/>
  <c r="AD348" i="84"/>
  <c r="AB348" i="84"/>
  <c r="Z348" i="84"/>
  <c r="X348" i="84"/>
  <c r="V348" i="84"/>
  <c r="T348" i="84"/>
  <c r="R348" i="84"/>
  <c r="AE347" i="84"/>
  <c r="AC347" i="84"/>
  <c r="AA347" i="84"/>
  <c r="Y347" i="84"/>
  <c r="W347" i="84"/>
  <c r="U347" i="84"/>
  <c r="S347" i="84"/>
  <c r="Q347" i="84"/>
  <c r="AD346" i="84"/>
  <c r="AB346" i="84"/>
  <c r="Z346" i="84"/>
  <c r="X346" i="84"/>
  <c r="V346" i="84"/>
  <c r="T346" i="84"/>
  <c r="R346" i="84"/>
  <c r="AE345" i="84"/>
  <c r="AC345" i="84"/>
  <c r="AA345" i="84"/>
  <c r="Y345" i="84"/>
  <c r="W345" i="84"/>
  <c r="U345" i="84"/>
  <c r="S345" i="84"/>
  <c r="Q345" i="84"/>
  <c r="AD344" i="84"/>
  <c r="AB344" i="84"/>
  <c r="Z344" i="84"/>
  <c r="X344" i="84"/>
  <c r="V344" i="84"/>
  <c r="T344" i="84"/>
  <c r="R344" i="84"/>
  <c r="AE343" i="84"/>
  <c r="AC343" i="84"/>
  <c r="AA343" i="84"/>
  <c r="Y343" i="84"/>
  <c r="W343" i="84"/>
  <c r="U343" i="84"/>
  <c r="S343" i="84"/>
  <c r="Q343" i="84"/>
  <c r="AD342" i="84"/>
  <c r="AB342" i="84"/>
  <c r="Z342" i="84"/>
  <c r="X342" i="84"/>
  <c r="V342" i="84"/>
  <c r="T342" i="84"/>
  <c r="R342" i="84"/>
  <c r="AE341" i="84"/>
  <c r="AC341" i="84"/>
  <c r="AA341" i="84"/>
  <c r="Y341" i="84"/>
  <c r="W341" i="84"/>
  <c r="U341" i="84"/>
  <c r="S341" i="84"/>
  <c r="Q341" i="84"/>
  <c r="AD340" i="84"/>
  <c r="AB340" i="84"/>
  <c r="Z340" i="84"/>
  <c r="X340" i="84"/>
  <c r="V340" i="84"/>
  <c r="T340" i="84"/>
  <c r="R340" i="84"/>
  <c r="AE339" i="84"/>
  <c r="AC339" i="84"/>
  <c r="AA339" i="84"/>
  <c r="Y339" i="84"/>
  <c r="W339" i="84"/>
  <c r="U339" i="84"/>
  <c r="S339" i="84"/>
  <c r="Q339" i="84"/>
  <c r="AD338" i="84"/>
  <c r="AB338" i="84"/>
  <c r="Z338" i="84"/>
  <c r="X338" i="84"/>
  <c r="V338" i="84"/>
  <c r="T338" i="84"/>
  <c r="R338" i="84"/>
  <c r="AE337" i="84"/>
  <c r="AC337" i="84"/>
  <c r="AA337" i="84"/>
  <c r="Y337" i="84"/>
  <c r="W337" i="84"/>
  <c r="U337" i="84"/>
  <c r="S337" i="84"/>
  <c r="Q337" i="84"/>
  <c r="AD336" i="84"/>
  <c r="AB336" i="84"/>
  <c r="Z336" i="84"/>
  <c r="X336" i="84"/>
  <c r="V336" i="84"/>
  <c r="T336" i="84"/>
  <c r="R336" i="84"/>
  <c r="AE335" i="84"/>
  <c r="AC335" i="84"/>
  <c r="AA335" i="84"/>
  <c r="Y335" i="84"/>
  <c r="W335" i="84"/>
  <c r="U335" i="84"/>
  <c r="S335" i="84"/>
  <c r="Q335" i="84"/>
  <c r="AD334" i="84"/>
  <c r="AB334" i="84"/>
  <c r="Z334" i="84"/>
  <c r="X334" i="84"/>
  <c r="V334" i="84"/>
  <c r="T334" i="84"/>
  <c r="R334" i="84"/>
  <c r="AE333" i="84"/>
  <c r="AC333" i="84"/>
  <c r="AA333" i="84"/>
  <c r="Y333" i="84"/>
  <c r="W333" i="84"/>
  <c r="U333" i="84"/>
  <c r="S333" i="84"/>
  <c r="Q333" i="84"/>
  <c r="AD332" i="84"/>
  <c r="AB332" i="84"/>
  <c r="Z332" i="84"/>
  <c r="X332" i="84"/>
  <c r="V332" i="84"/>
  <c r="T332" i="84"/>
  <c r="R332" i="84"/>
  <c r="AE331" i="84"/>
  <c r="AC331" i="84"/>
  <c r="AA331" i="84"/>
  <c r="Y331" i="84"/>
  <c r="W331" i="84"/>
  <c r="U331" i="84"/>
  <c r="S331" i="84"/>
  <c r="Q331" i="84"/>
  <c r="AD330" i="84"/>
  <c r="AB330" i="84"/>
  <c r="Z330" i="84"/>
  <c r="X330" i="84"/>
  <c r="V330" i="84"/>
  <c r="T330" i="84"/>
  <c r="R330" i="84"/>
  <c r="AE329" i="84"/>
  <c r="AC329" i="84"/>
  <c r="AA329" i="84"/>
  <c r="Y329" i="84"/>
  <c r="W329" i="84"/>
  <c r="U329" i="84"/>
  <c r="S329" i="84"/>
  <c r="Q329" i="84"/>
  <c r="AD328" i="84"/>
  <c r="AB328" i="84"/>
  <c r="Z328" i="84"/>
  <c r="X328" i="84"/>
  <c r="V328" i="84"/>
  <c r="T328" i="84"/>
  <c r="R328" i="84"/>
  <c r="AE327" i="84"/>
  <c r="AC327" i="84"/>
  <c r="AA327" i="84"/>
  <c r="Y327" i="84"/>
  <c r="W327" i="84"/>
  <c r="U327" i="84"/>
  <c r="S327" i="84"/>
  <c r="Q327" i="84"/>
  <c r="AD326" i="84"/>
  <c r="AB326" i="84"/>
  <c r="Z326" i="84"/>
  <c r="X326" i="84"/>
  <c r="V326" i="84"/>
  <c r="T326" i="84"/>
  <c r="R326" i="84"/>
  <c r="P83" i="117"/>
  <c r="S271" i="115" l="1"/>
  <c r="T271" i="115"/>
  <c r="I9" i="150"/>
  <c r="I10" i="150"/>
  <c r="I11" i="150"/>
  <c r="I12" i="150"/>
  <c r="I13" i="150"/>
  <c r="I14" i="150"/>
  <c r="I15" i="150"/>
  <c r="I16" i="150"/>
  <c r="I17" i="150"/>
  <c r="I18" i="150"/>
  <c r="I19" i="150"/>
  <c r="I20" i="150"/>
  <c r="I21" i="150"/>
  <c r="I22" i="150"/>
  <c r="I23" i="150"/>
  <c r="I24" i="150"/>
  <c r="I25" i="150"/>
  <c r="I26" i="150"/>
  <c r="I27" i="150"/>
  <c r="I28" i="150"/>
  <c r="I29" i="150"/>
  <c r="I30" i="150"/>
  <c r="I31" i="150"/>
  <c r="I32" i="150"/>
  <c r="I33" i="150"/>
  <c r="I34" i="150"/>
  <c r="I35" i="150"/>
  <c r="I36" i="150"/>
  <c r="I37" i="150"/>
  <c r="I38" i="150"/>
  <c r="I39" i="150"/>
  <c r="I40" i="150"/>
  <c r="I41" i="150"/>
  <c r="I42" i="150"/>
  <c r="I43" i="150"/>
  <c r="I44" i="150"/>
  <c r="I45" i="150"/>
  <c r="I46" i="150"/>
  <c r="I47" i="150"/>
  <c r="I48" i="150"/>
  <c r="I49" i="150"/>
  <c r="I50" i="150"/>
  <c r="I51" i="150"/>
  <c r="I52" i="150"/>
  <c r="I53" i="150"/>
  <c r="I54" i="150"/>
  <c r="I55" i="150"/>
  <c r="I56" i="150"/>
  <c r="I57" i="150"/>
  <c r="I58" i="150"/>
  <c r="I59" i="150"/>
  <c r="I60" i="150"/>
  <c r="I61" i="150"/>
  <c r="I62" i="150"/>
  <c r="I63" i="150"/>
  <c r="I64" i="150"/>
  <c r="I65" i="150"/>
  <c r="I66" i="150"/>
  <c r="I67" i="150"/>
  <c r="I68" i="150"/>
  <c r="I69" i="150"/>
  <c r="I70" i="150"/>
  <c r="I71" i="150"/>
  <c r="I72" i="150"/>
  <c r="I73" i="150"/>
  <c r="I74" i="150"/>
  <c r="I75" i="150"/>
  <c r="I76" i="150"/>
  <c r="I77" i="150"/>
  <c r="I78" i="150"/>
  <c r="I79" i="150"/>
  <c r="I80" i="150"/>
  <c r="I81" i="150"/>
  <c r="I82" i="150"/>
  <c r="I83" i="150"/>
  <c r="I84" i="150"/>
  <c r="I85" i="150"/>
  <c r="I86" i="150"/>
  <c r="I87" i="150"/>
  <c r="I88" i="150"/>
  <c r="I89" i="150"/>
  <c r="I90" i="150"/>
  <c r="I91" i="150"/>
  <c r="I92" i="150"/>
  <c r="I93" i="150"/>
  <c r="I94" i="150"/>
  <c r="I95" i="150"/>
  <c r="I96" i="150"/>
  <c r="I97" i="150"/>
  <c r="I98" i="150"/>
  <c r="I99" i="150"/>
  <c r="I100" i="150"/>
  <c r="I101" i="150"/>
  <c r="I102" i="150"/>
  <c r="I103" i="150"/>
  <c r="I104" i="150"/>
  <c r="I105" i="150"/>
  <c r="I106" i="150"/>
  <c r="I107" i="150"/>
  <c r="I108" i="150"/>
  <c r="I109" i="150"/>
  <c r="I110" i="150"/>
  <c r="I111" i="150"/>
  <c r="I112" i="150"/>
  <c r="I113" i="150"/>
  <c r="I114" i="150"/>
  <c r="I115" i="150"/>
  <c r="I116" i="150"/>
  <c r="I117" i="150"/>
  <c r="I118" i="150"/>
  <c r="I119" i="150"/>
  <c r="I120" i="150"/>
  <c r="I121" i="150"/>
  <c r="I122" i="150"/>
  <c r="I123" i="150"/>
  <c r="I124" i="150"/>
  <c r="I125" i="150"/>
  <c r="I126" i="150"/>
  <c r="I127" i="150"/>
  <c r="I128" i="150"/>
  <c r="I129" i="150"/>
  <c r="I130" i="150"/>
  <c r="I131" i="150"/>
  <c r="I132" i="150"/>
  <c r="I133" i="150"/>
  <c r="I134" i="150"/>
  <c r="I135" i="150"/>
  <c r="I136" i="150"/>
  <c r="I137" i="150"/>
  <c r="I138" i="150"/>
  <c r="I139" i="150"/>
  <c r="I140" i="150"/>
  <c r="I141" i="150"/>
  <c r="I142" i="150"/>
  <c r="I143" i="150"/>
  <c r="I144" i="150"/>
  <c r="I145" i="150"/>
  <c r="I146" i="150"/>
  <c r="I147" i="150"/>
  <c r="I148" i="150"/>
  <c r="I149" i="150"/>
  <c r="I150" i="150"/>
  <c r="I151" i="150"/>
  <c r="I152" i="150"/>
  <c r="I153" i="150"/>
  <c r="I154" i="150"/>
  <c r="I155" i="150"/>
  <c r="I156" i="150"/>
  <c r="I157" i="150"/>
  <c r="I158" i="150"/>
  <c r="I159" i="150"/>
  <c r="I160" i="150"/>
  <c r="I161" i="150"/>
  <c r="I162" i="150"/>
  <c r="I163" i="150"/>
  <c r="I164" i="150"/>
  <c r="I165" i="150"/>
  <c r="I166" i="150"/>
  <c r="I167" i="150"/>
  <c r="I168" i="150"/>
  <c r="I169" i="150"/>
  <c r="I170" i="150"/>
  <c r="I171" i="150"/>
  <c r="I172" i="150"/>
  <c r="I173" i="150"/>
  <c r="I174" i="150"/>
  <c r="I175" i="150"/>
  <c r="I176" i="150"/>
  <c r="I177" i="150"/>
  <c r="I178" i="150"/>
  <c r="I179" i="150"/>
  <c r="I180" i="150"/>
  <c r="I181" i="150"/>
  <c r="I182" i="150"/>
  <c r="I183" i="150"/>
  <c r="I184" i="150"/>
  <c r="I185" i="150"/>
  <c r="I186" i="150"/>
  <c r="I187" i="150"/>
  <c r="I188" i="150"/>
  <c r="I189" i="150"/>
  <c r="I190" i="150"/>
  <c r="I191" i="150"/>
  <c r="I192" i="150"/>
  <c r="I193" i="150"/>
  <c r="I194" i="150"/>
  <c r="I195" i="150"/>
  <c r="I196" i="150"/>
  <c r="I197" i="150"/>
  <c r="I198" i="150"/>
  <c r="I199" i="150"/>
  <c r="I200" i="150"/>
  <c r="I201" i="150"/>
  <c r="I202" i="150"/>
  <c r="I203" i="150"/>
  <c r="I204" i="150"/>
  <c r="I205" i="150"/>
  <c r="I206" i="150"/>
  <c r="I207" i="150"/>
  <c r="I208" i="150"/>
  <c r="I209" i="150"/>
  <c r="I210" i="150"/>
  <c r="I211" i="150"/>
  <c r="I212" i="150"/>
  <c r="I213" i="150"/>
  <c r="I214" i="150"/>
  <c r="I215" i="150"/>
  <c r="I216" i="150"/>
  <c r="I217" i="150"/>
  <c r="I218" i="150"/>
  <c r="I219" i="150"/>
  <c r="I220" i="150"/>
  <c r="I221" i="150"/>
  <c r="I222" i="150"/>
  <c r="I223" i="150"/>
  <c r="I224" i="150"/>
  <c r="I225" i="150"/>
  <c r="I226" i="150"/>
  <c r="I227" i="150"/>
  <c r="I228" i="150"/>
  <c r="I229" i="150"/>
  <c r="I230" i="150"/>
  <c r="I231" i="150"/>
  <c r="I232" i="150"/>
  <c r="I233" i="150"/>
  <c r="I234" i="150"/>
  <c r="I235" i="150"/>
  <c r="I236" i="150"/>
  <c r="I237" i="150"/>
  <c r="I238" i="150"/>
  <c r="I239" i="150"/>
  <c r="I240" i="150"/>
  <c r="I241" i="150"/>
  <c r="I242" i="150"/>
  <c r="I243" i="150"/>
  <c r="I244" i="150"/>
  <c r="I245" i="150"/>
  <c r="I8" i="150"/>
  <c r="R273" i="115" l="1"/>
  <c r="Y95" i="149"/>
  <c r="Y97" i="149" l="1"/>
  <c r="AB97" i="149"/>
  <c r="Y99" i="149" l="1"/>
  <c r="N74" i="153"/>
  <c r="AI74" i="153" s="1"/>
  <c r="N73" i="153"/>
  <c r="AI73" i="153" s="1"/>
  <c r="AI72" i="153"/>
  <c r="AI71" i="153"/>
  <c r="N70" i="153"/>
  <c r="AI70" i="153" s="1"/>
  <c r="N69" i="153"/>
  <c r="AI68" i="153"/>
  <c r="AI67" i="153"/>
  <c r="AI69" i="153" l="1"/>
  <c r="N75" i="153"/>
  <c r="C213" i="79"/>
  <c r="L219" i="84" s="1"/>
  <c r="C212" i="79"/>
  <c r="L218" i="84" s="1"/>
  <c r="C211" i="79"/>
  <c r="L217" i="84" s="1"/>
  <c r="C210" i="79"/>
  <c r="L216" i="84" s="1"/>
  <c r="C209" i="79"/>
  <c r="L215" i="84" s="1"/>
  <c r="C208" i="79"/>
  <c r="L214" i="84" s="1"/>
  <c r="C207" i="79"/>
  <c r="L213" i="84" s="1"/>
  <c r="C206" i="79"/>
  <c r="L212" i="84" s="1"/>
  <c r="C205" i="79"/>
  <c r="L211" i="84" s="1"/>
  <c r="C204" i="79"/>
  <c r="L210" i="84" s="1"/>
  <c r="C203" i="79"/>
  <c r="L209" i="84" s="1"/>
  <c r="C202" i="79"/>
  <c r="C201" i="79"/>
  <c r="L207" i="84" s="1"/>
  <c r="C200" i="79"/>
  <c r="L206" i="84" s="1"/>
  <c r="C199" i="79"/>
  <c r="L205" i="84" s="1"/>
  <c r="C198" i="79"/>
  <c r="L204" i="84" s="1"/>
  <c r="C197" i="79"/>
  <c r="L203" i="84" s="1"/>
  <c r="C196" i="79"/>
  <c r="L202" i="84" s="1"/>
  <c r="C195" i="79"/>
  <c r="L201" i="84" s="1"/>
  <c r="C194" i="79"/>
  <c r="L200" i="84" s="1"/>
  <c r="C193" i="79"/>
  <c r="L199" i="84" s="1"/>
  <c r="C192" i="79"/>
  <c r="L198" i="84" s="1"/>
  <c r="C191" i="79"/>
  <c r="L197" i="84" s="1"/>
  <c r="C190" i="79"/>
  <c r="L196" i="84" s="1"/>
  <c r="C189" i="79"/>
  <c r="L195" i="84" s="1"/>
  <c r="C188" i="79"/>
  <c r="L194" i="84" s="1"/>
  <c r="C187" i="79"/>
  <c r="L193" i="84" s="1"/>
  <c r="C186" i="79"/>
  <c r="L192" i="84" s="1"/>
  <c r="C185" i="79"/>
  <c r="L191" i="84" s="1"/>
  <c r="C184" i="79"/>
  <c r="L190" i="84" s="1"/>
  <c r="C183" i="79"/>
  <c r="L189" i="84" s="1"/>
  <c r="C182" i="79"/>
  <c r="L188" i="84" s="1"/>
  <c r="C181" i="79"/>
  <c r="L187" i="84" s="1"/>
  <c r="C180" i="79"/>
  <c r="L186" i="84" s="1"/>
  <c r="C179" i="79"/>
  <c r="L185" i="84" s="1"/>
  <c r="C178" i="79"/>
  <c r="L184" i="84" s="1"/>
  <c r="C177" i="79"/>
  <c r="L183" i="84" s="1"/>
  <c r="C176" i="79"/>
  <c r="C175" i="79"/>
  <c r="L181" i="84" s="1"/>
  <c r="C174" i="79"/>
  <c r="L180" i="84" s="1"/>
  <c r="C173" i="79"/>
  <c r="C172" i="79"/>
  <c r="L178" i="84" s="1"/>
  <c r="C171" i="79"/>
  <c r="L177" i="84" s="1"/>
  <c r="C170" i="79"/>
  <c r="L176" i="84" s="1"/>
  <c r="C169" i="79"/>
  <c r="L175" i="84" s="1"/>
  <c r="C168" i="79"/>
  <c r="L174" i="84" s="1"/>
  <c r="C167" i="79"/>
  <c r="L173" i="84" s="1"/>
  <c r="C166" i="79"/>
  <c r="L172" i="84" s="1"/>
  <c r="C165" i="79"/>
  <c r="L171" i="84" s="1"/>
  <c r="C164" i="79"/>
  <c r="L170" i="84" s="1"/>
  <c r="C163" i="79"/>
  <c r="L169" i="84" s="1"/>
  <c r="C162" i="79"/>
  <c r="L168" i="84" s="1"/>
  <c r="C161" i="79"/>
  <c r="L167" i="84" s="1"/>
  <c r="C160" i="79"/>
  <c r="L166" i="84" s="1"/>
  <c r="C159" i="79"/>
  <c r="L165" i="84" s="1"/>
  <c r="C158" i="79"/>
  <c r="L164" i="84" s="1"/>
  <c r="C157" i="79"/>
  <c r="L163" i="84" s="1"/>
  <c r="C156" i="79"/>
  <c r="L162" i="84" s="1"/>
  <c r="C155" i="79"/>
  <c r="L161" i="84" s="1"/>
  <c r="C154" i="79"/>
  <c r="L160" i="84" s="1"/>
  <c r="C153" i="79"/>
  <c r="L159" i="84" s="1"/>
  <c r="C152" i="79"/>
  <c r="L158" i="84" s="1"/>
  <c r="C151" i="79"/>
  <c r="L157" i="84" s="1"/>
  <c r="C150" i="79"/>
  <c r="L156" i="84" s="1"/>
  <c r="C149" i="79"/>
  <c r="L155" i="84" s="1"/>
  <c r="C148" i="79"/>
  <c r="L154" i="84" s="1"/>
  <c r="C147" i="79"/>
  <c r="L153" i="84" s="1"/>
  <c r="C146" i="79"/>
  <c r="L152" i="84" s="1"/>
  <c r="C145" i="79"/>
  <c r="L151" i="84" s="1"/>
  <c r="C144" i="79"/>
  <c r="L150" i="84" s="1"/>
  <c r="C143" i="79"/>
  <c r="L149" i="84" s="1"/>
  <c r="C142" i="79"/>
  <c r="L148" i="84" s="1"/>
  <c r="C141" i="79"/>
  <c r="L147" i="84" s="1"/>
  <c r="C140" i="79"/>
  <c r="L146" i="84" s="1"/>
  <c r="C139" i="79"/>
  <c r="L145" i="84" s="1"/>
  <c r="C138" i="79"/>
  <c r="L144" i="84" s="1"/>
  <c r="C137" i="79"/>
  <c r="L143" i="84" s="1"/>
  <c r="C136" i="79"/>
  <c r="L142" i="84" s="1"/>
  <c r="C135" i="79"/>
  <c r="L141" i="84" s="1"/>
  <c r="C134" i="79"/>
  <c r="L140" i="84" s="1"/>
  <c r="C133" i="79"/>
  <c r="L139" i="84" s="1"/>
  <c r="C132" i="79"/>
  <c r="L138" i="84" s="1"/>
  <c r="C131" i="79"/>
  <c r="L137" i="84" s="1"/>
  <c r="C130" i="79"/>
  <c r="L136" i="84" s="1"/>
  <c r="C129" i="79"/>
  <c r="L135" i="84" s="1"/>
  <c r="C128" i="79"/>
  <c r="L134" i="84" s="1"/>
  <c r="C127" i="79"/>
  <c r="L133" i="84" s="1"/>
  <c r="C126" i="79"/>
  <c r="L132" i="84" s="1"/>
  <c r="C125" i="79"/>
  <c r="L131" i="84" s="1"/>
  <c r="C124" i="79"/>
  <c r="L130" i="84" s="1"/>
  <c r="C123" i="79"/>
  <c r="L129" i="84" s="1"/>
  <c r="C122" i="79"/>
  <c r="L128" i="84" s="1"/>
  <c r="C121" i="79"/>
  <c r="L127" i="84" s="1"/>
  <c r="C120" i="79"/>
  <c r="L126" i="84" s="1"/>
  <c r="C119" i="79"/>
  <c r="L125" i="84" s="1"/>
  <c r="C118" i="79"/>
  <c r="L124" i="84" s="1"/>
  <c r="C117" i="79"/>
  <c r="L123" i="84" s="1"/>
  <c r="C116" i="79"/>
  <c r="L122" i="84" s="1"/>
  <c r="C115" i="79"/>
  <c r="L121" i="84" s="1"/>
  <c r="C114" i="79"/>
  <c r="L120" i="84" s="1"/>
  <c r="C113" i="79"/>
  <c r="L119" i="84" s="1"/>
  <c r="C112" i="79"/>
  <c r="L118" i="84" s="1"/>
  <c r="C111" i="79"/>
  <c r="L117" i="84" s="1"/>
  <c r="C110" i="79"/>
  <c r="C109" i="79"/>
  <c r="C108" i="79"/>
  <c r="C107" i="79"/>
  <c r="C106" i="79"/>
  <c r="C105" i="79"/>
  <c r="C104" i="79"/>
  <c r="C103" i="79"/>
  <c r="C102" i="79"/>
  <c r="C101" i="79"/>
  <c r="C100" i="79"/>
  <c r="C99" i="79"/>
  <c r="C98" i="79"/>
  <c r="C97" i="79"/>
  <c r="C96" i="79"/>
  <c r="C95" i="79"/>
  <c r="C94" i="79"/>
  <c r="C93" i="79"/>
  <c r="C92" i="79"/>
  <c r="C91" i="79"/>
  <c r="C90" i="79"/>
  <c r="C89" i="79"/>
  <c r="C88" i="79"/>
  <c r="C87" i="79"/>
  <c r="C86" i="79"/>
  <c r="C85" i="79"/>
  <c r="C84" i="79"/>
  <c r="C83" i="79"/>
  <c r="C82" i="79"/>
  <c r="C81" i="79"/>
  <c r="C80" i="79"/>
  <c r="C79" i="79"/>
  <c r="C78" i="79"/>
  <c r="C77" i="79"/>
  <c r="C76" i="79"/>
  <c r="C75" i="79"/>
  <c r="C74" i="79"/>
  <c r="C73" i="79"/>
  <c r="C72" i="79"/>
  <c r="C71" i="79"/>
  <c r="C70" i="79"/>
  <c r="C69" i="79"/>
  <c r="C68" i="79"/>
  <c r="C67" i="79"/>
  <c r="C66" i="79"/>
  <c r="C65" i="79"/>
  <c r="C64" i="79"/>
  <c r="C63" i="79"/>
  <c r="C62" i="79"/>
  <c r="C61" i="79"/>
  <c r="C60" i="79"/>
  <c r="C59" i="79"/>
  <c r="C58" i="79"/>
  <c r="C57" i="79"/>
  <c r="C56" i="79"/>
  <c r="C55" i="79"/>
  <c r="C54" i="79"/>
  <c r="C53" i="79"/>
  <c r="C52" i="79"/>
  <c r="C51" i="79"/>
  <c r="C50" i="79"/>
  <c r="C49" i="79"/>
  <c r="C48" i="79"/>
  <c r="C47" i="79"/>
  <c r="C46" i="79"/>
  <c r="C45" i="79"/>
  <c r="C44" i="79"/>
  <c r="C43" i="79"/>
  <c r="C42" i="79"/>
  <c r="C41" i="79"/>
  <c r="C40" i="79"/>
  <c r="C39" i="79"/>
  <c r="C38" i="79"/>
  <c r="C37" i="79"/>
  <c r="C36" i="79"/>
  <c r="C35" i="79"/>
  <c r="C34" i="79"/>
  <c r="C33" i="79"/>
  <c r="C32" i="79"/>
  <c r="C31" i="79"/>
  <c r="C30" i="79"/>
  <c r="C29" i="79"/>
  <c r="C28" i="79"/>
  <c r="C27" i="79"/>
  <c r="K27" i="79" s="1"/>
  <c r="C26" i="79"/>
  <c r="K26" i="79" s="1"/>
  <c r="C25" i="79"/>
  <c r="K25" i="79" s="1"/>
  <c r="C24" i="79"/>
  <c r="K24" i="79" s="1"/>
  <c r="C23" i="79"/>
  <c r="K23" i="79" s="1"/>
  <c r="C22" i="79"/>
  <c r="K22" i="79" s="1"/>
  <c r="C21" i="79"/>
  <c r="K21" i="79" s="1"/>
  <c r="C20" i="79"/>
  <c r="K20" i="79" s="1"/>
  <c r="C19" i="79"/>
  <c r="K19" i="79" s="1"/>
  <c r="C18" i="79"/>
  <c r="K18" i="79" s="1"/>
  <c r="C17" i="79"/>
  <c r="K17" i="79" s="1"/>
  <c r="C16" i="79"/>
  <c r="K16" i="79" s="1"/>
  <c r="C15" i="79"/>
  <c r="K15" i="79" l="1"/>
  <c r="D15" i="79"/>
  <c r="CL22" i="84"/>
  <c r="CL26" i="84"/>
  <c r="CL28" i="84"/>
  <c r="G28" i="84"/>
  <c r="AG28" i="84" s="1"/>
  <c r="CL30" i="84"/>
  <c r="G30" i="84"/>
  <c r="AG30" i="84" s="1"/>
  <c r="CL32" i="84"/>
  <c r="G32" i="84"/>
  <c r="AG32" i="84" s="1"/>
  <c r="CL34" i="84"/>
  <c r="G34" i="84"/>
  <c r="CL36" i="84"/>
  <c r="G36" i="84"/>
  <c r="CL38" i="84"/>
  <c r="G38" i="84"/>
  <c r="CL40" i="84"/>
  <c r="G40" i="84"/>
  <c r="CL42" i="84"/>
  <c r="G42" i="84"/>
  <c r="CL44" i="84"/>
  <c r="G44" i="84"/>
  <c r="CL46" i="84"/>
  <c r="G46" i="84"/>
  <c r="CL48" i="84"/>
  <c r="G48" i="84"/>
  <c r="CL50" i="84"/>
  <c r="G50" i="84"/>
  <c r="CL52" i="84"/>
  <c r="G52" i="84"/>
  <c r="CL54" i="84"/>
  <c r="G54" i="84"/>
  <c r="CL56" i="84"/>
  <c r="G56" i="84"/>
  <c r="CL58" i="84"/>
  <c r="G58" i="84"/>
  <c r="CL60" i="84"/>
  <c r="G60" i="84"/>
  <c r="CL62" i="84"/>
  <c r="G62" i="84"/>
  <c r="CL64" i="84"/>
  <c r="G64" i="84"/>
  <c r="CL66" i="84"/>
  <c r="G66" i="84"/>
  <c r="CL68" i="84"/>
  <c r="G68" i="84"/>
  <c r="CL70" i="84"/>
  <c r="G70" i="84"/>
  <c r="CL72" i="84"/>
  <c r="G72" i="84"/>
  <c r="CL74" i="84"/>
  <c r="G74" i="84"/>
  <c r="CL76" i="84"/>
  <c r="G76" i="84"/>
  <c r="CL78" i="84"/>
  <c r="G78" i="84"/>
  <c r="CL80" i="84"/>
  <c r="G80" i="84"/>
  <c r="CL82" i="84"/>
  <c r="G82" i="84"/>
  <c r="CL84" i="84"/>
  <c r="G84" i="84"/>
  <c r="CL86" i="84"/>
  <c r="G86" i="84"/>
  <c r="CL88" i="84"/>
  <c r="G88" i="84"/>
  <c r="CL90" i="84"/>
  <c r="G90" i="84"/>
  <c r="CL92" i="84"/>
  <c r="G92" i="84"/>
  <c r="CL94" i="84"/>
  <c r="G94" i="84"/>
  <c r="CL96" i="84"/>
  <c r="G96" i="84"/>
  <c r="CL98" i="84"/>
  <c r="G98" i="84"/>
  <c r="CL100" i="84"/>
  <c r="G100" i="84"/>
  <c r="CL102" i="84"/>
  <c r="G102" i="84"/>
  <c r="CL104" i="84"/>
  <c r="G104" i="84"/>
  <c r="CL106" i="84"/>
  <c r="G106" i="84"/>
  <c r="CL108" i="84"/>
  <c r="G108" i="84"/>
  <c r="CL110" i="84"/>
  <c r="G110" i="84"/>
  <c r="CL112" i="84"/>
  <c r="G112" i="84"/>
  <c r="CL114" i="84"/>
  <c r="G114" i="84"/>
  <c r="CL116" i="84"/>
  <c r="G116" i="84"/>
  <c r="CL118" i="84"/>
  <c r="G118" i="84"/>
  <c r="CL120" i="84"/>
  <c r="G120" i="84"/>
  <c r="CL122" i="84"/>
  <c r="G122" i="84"/>
  <c r="CL124" i="84"/>
  <c r="G124" i="84"/>
  <c r="CL126" i="84"/>
  <c r="G126" i="84"/>
  <c r="CL128" i="84"/>
  <c r="G128" i="84"/>
  <c r="CL130" i="84"/>
  <c r="G130" i="84"/>
  <c r="CL132" i="84"/>
  <c r="G132" i="84"/>
  <c r="CL134" i="84"/>
  <c r="G134" i="84"/>
  <c r="CL136" i="84"/>
  <c r="G136" i="84"/>
  <c r="CL138" i="84"/>
  <c r="G138" i="84"/>
  <c r="CL140" i="84"/>
  <c r="G140" i="84"/>
  <c r="CL142" i="84"/>
  <c r="G142" i="84"/>
  <c r="CL144" i="84"/>
  <c r="G144" i="84"/>
  <c r="CL146" i="84"/>
  <c r="G146" i="84"/>
  <c r="CL148" i="84"/>
  <c r="G148" i="84"/>
  <c r="CL150" i="84"/>
  <c r="G150" i="84"/>
  <c r="CL152" i="84"/>
  <c r="G152" i="84"/>
  <c r="CL154" i="84"/>
  <c r="G154" i="84"/>
  <c r="CL156" i="84"/>
  <c r="G156" i="84"/>
  <c r="CL158" i="84"/>
  <c r="G158" i="84"/>
  <c r="CL160" i="84"/>
  <c r="G160" i="84"/>
  <c r="CL162" i="84"/>
  <c r="G162" i="84"/>
  <c r="CL164" i="84"/>
  <c r="G164" i="84"/>
  <c r="CL166" i="84"/>
  <c r="G166" i="84"/>
  <c r="CL168" i="84"/>
  <c r="G168" i="84"/>
  <c r="CL170" i="84"/>
  <c r="G170" i="84"/>
  <c r="CL172" i="84"/>
  <c r="G172" i="84"/>
  <c r="CL174" i="84"/>
  <c r="G174" i="84"/>
  <c r="CL176" i="84"/>
  <c r="G176" i="84"/>
  <c r="CL178" i="84"/>
  <c r="G178" i="84"/>
  <c r="CL180" i="84"/>
  <c r="G180" i="84"/>
  <c r="CL182" i="84"/>
  <c r="G182" i="84"/>
  <c r="CL184" i="84"/>
  <c r="G184" i="84"/>
  <c r="CL186" i="84"/>
  <c r="G186" i="84"/>
  <c r="CL188" i="84"/>
  <c r="G188" i="84"/>
  <c r="CL190" i="84"/>
  <c r="G190" i="84"/>
  <c r="CL192" i="84"/>
  <c r="G192" i="84"/>
  <c r="CL194" i="84"/>
  <c r="G194" i="84"/>
  <c r="CL196" i="84"/>
  <c r="G196" i="84"/>
  <c r="CL198" i="84"/>
  <c r="G198" i="84"/>
  <c r="CL200" i="84"/>
  <c r="G200" i="84"/>
  <c r="CL202" i="84"/>
  <c r="G202" i="84"/>
  <c r="CL204" i="84"/>
  <c r="G204" i="84"/>
  <c r="CL206" i="84"/>
  <c r="G206" i="84"/>
  <c r="CL208" i="84"/>
  <c r="G208" i="84"/>
  <c r="CL210" i="84"/>
  <c r="G210" i="84"/>
  <c r="CL212" i="84"/>
  <c r="G212" i="84"/>
  <c r="CL214" i="84"/>
  <c r="G214" i="84"/>
  <c r="CL216" i="84"/>
  <c r="G216" i="84"/>
  <c r="CL218" i="84"/>
  <c r="G218" i="84"/>
  <c r="CL24" i="84"/>
  <c r="G24" i="84"/>
  <c r="AG24" i="84" s="1"/>
  <c r="CL21" i="84"/>
  <c r="CL23" i="84"/>
  <c r="CL25" i="84"/>
  <c r="G25" i="84"/>
  <c r="AG25" i="84" s="1"/>
  <c r="CL27" i="84"/>
  <c r="G27" i="84"/>
  <c r="AG27" i="84" s="1"/>
  <c r="CL29" i="84"/>
  <c r="G29" i="84"/>
  <c r="AG29" i="84" s="1"/>
  <c r="CL31" i="84"/>
  <c r="G31" i="84"/>
  <c r="AG31" i="84" s="1"/>
  <c r="CL33" i="84"/>
  <c r="G33" i="84"/>
  <c r="AG33" i="84" s="1"/>
  <c r="CL35" i="84"/>
  <c r="G35" i="84"/>
  <c r="CL37" i="84"/>
  <c r="G37" i="84"/>
  <c r="CL39" i="84"/>
  <c r="G39" i="84"/>
  <c r="CL41" i="84"/>
  <c r="G41" i="84"/>
  <c r="CL43" i="84"/>
  <c r="G43" i="84"/>
  <c r="CL45" i="84"/>
  <c r="G45" i="84"/>
  <c r="CL47" i="84"/>
  <c r="G47" i="84"/>
  <c r="CL49" i="84"/>
  <c r="G49" i="84"/>
  <c r="CL51" i="84"/>
  <c r="G51" i="84"/>
  <c r="CL53" i="84"/>
  <c r="G53" i="84"/>
  <c r="CL55" i="84"/>
  <c r="G55" i="84"/>
  <c r="CL57" i="84"/>
  <c r="G57" i="84"/>
  <c r="CL59" i="84"/>
  <c r="G59" i="84"/>
  <c r="CL61" i="84"/>
  <c r="G61" i="84"/>
  <c r="CL63" i="84"/>
  <c r="G63" i="84"/>
  <c r="CL65" i="84"/>
  <c r="G65" i="84"/>
  <c r="CL67" i="84"/>
  <c r="G67" i="84"/>
  <c r="CL69" i="84"/>
  <c r="G69" i="84"/>
  <c r="CL71" i="84"/>
  <c r="G71" i="84"/>
  <c r="CL73" i="84"/>
  <c r="G73" i="84"/>
  <c r="CL75" i="84"/>
  <c r="G75" i="84"/>
  <c r="CL77" i="84"/>
  <c r="G77" i="84"/>
  <c r="CL79" i="84"/>
  <c r="G79" i="84"/>
  <c r="CL81" i="84"/>
  <c r="G81" i="84"/>
  <c r="CL83" i="84"/>
  <c r="G83" i="84"/>
  <c r="CL85" i="84"/>
  <c r="G85" i="84"/>
  <c r="CL87" i="84"/>
  <c r="G87" i="84"/>
  <c r="CL89" i="84"/>
  <c r="G89" i="84"/>
  <c r="CL91" i="84"/>
  <c r="G91" i="84"/>
  <c r="CL93" i="84"/>
  <c r="G93" i="84"/>
  <c r="CL95" i="84"/>
  <c r="G95" i="84"/>
  <c r="CL97" i="84"/>
  <c r="G97" i="84"/>
  <c r="CL99" i="84"/>
  <c r="G99" i="84"/>
  <c r="CL101" i="84"/>
  <c r="G101" i="84"/>
  <c r="CL103" i="84"/>
  <c r="G103" i="84"/>
  <c r="CL105" i="84"/>
  <c r="G105" i="84"/>
  <c r="CL107" i="84"/>
  <c r="G107" i="84"/>
  <c r="CL109" i="84"/>
  <c r="G109" i="84"/>
  <c r="CL111" i="84"/>
  <c r="G111" i="84"/>
  <c r="CL113" i="84"/>
  <c r="G113" i="84"/>
  <c r="CL115" i="84"/>
  <c r="G115" i="84"/>
  <c r="CL117" i="84"/>
  <c r="G117" i="84"/>
  <c r="CL119" i="84"/>
  <c r="G119" i="84"/>
  <c r="CL121" i="84"/>
  <c r="G121" i="84"/>
  <c r="CL123" i="84"/>
  <c r="G123" i="84"/>
  <c r="CL125" i="84"/>
  <c r="G125" i="84"/>
  <c r="CL127" i="84"/>
  <c r="G127" i="84"/>
  <c r="CL129" i="84"/>
  <c r="G129" i="84"/>
  <c r="CL131" i="84"/>
  <c r="G131" i="84"/>
  <c r="CL133" i="84"/>
  <c r="G133" i="84"/>
  <c r="CL135" i="84"/>
  <c r="G135" i="84"/>
  <c r="CL137" i="84"/>
  <c r="G137" i="84"/>
  <c r="CL139" i="84"/>
  <c r="G139" i="84"/>
  <c r="CL141" i="84"/>
  <c r="G141" i="84"/>
  <c r="CL143" i="84"/>
  <c r="G143" i="84"/>
  <c r="CL145" i="84"/>
  <c r="G145" i="84"/>
  <c r="CL147" i="84"/>
  <c r="G147" i="84"/>
  <c r="CL149" i="84"/>
  <c r="G149" i="84"/>
  <c r="CL151" i="84"/>
  <c r="G151" i="84"/>
  <c r="CL153" i="84"/>
  <c r="G153" i="84"/>
  <c r="CL155" i="84"/>
  <c r="G155" i="84"/>
  <c r="CL157" i="84"/>
  <c r="G157" i="84"/>
  <c r="CL159" i="84"/>
  <c r="G159" i="84"/>
  <c r="CL161" i="84"/>
  <c r="G161" i="84"/>
  <c r="CL163" i="84"/>
  <c r="G163" i="84"/>
  <c r="CL165" i="84"/>
  <c r="G165" i="84"/>
  <c r="CL167" i="84"/>
  <c r="G167" i="84"/>
  <c r="CL169" i="84"/>
  <c r="G169" i="84"/>
  <c r="CL171" i="84"/>
  <c r="G171" i="84"/>
  <c r="CL173" i="84"/>
  <c r="G173" i="84"/>
  <c r="CL175" i="84"/>
  <c r="G175" i="84"/>
  <c r="CL177" i="84"/>
  <c r="G177" i="84"/>
  <c r="CL179" i="84"/>
  <c r="G179" i="84"/>
  <c r="CL181" i="84"/>
  <c r="G181" i="84"/>
  <c r="CL183" i="84"/>
  <c r="G183" i="84"/>
  <c r="CL185" i="84"/>
  <c r="G185" i="84"/>
  <c r="CL187" i="84"/>
  <c r="G187" i="84"/>
  <c r="CL189" i="84"/>
  <c r="G189" i="84"/>
  <c r="CL191" i="84"/>
  <c r="G191" i="84"/>
  <c r="CL193" i="84"/>
  <c r="G193" i="84"/>
  <c r="CL195" i="84"/>
  <c r="G195" i="84"/>
  <c r="CL197" i="84"/>
  <c r="G197" i="84"/>
  <c r="CL199" i="84"/>
  <c r="G199" i="84"/>
  <c r="CL201" i="84"/>
  <c r="G201" i="84"/>
  <c r="CL203" i="84"/>
  <c r="G203" i="84"/>
  <c r="CL205" i="84"/>
  <c r="G205" i="84"/>
  <c r="CL207" i="84"/>
  <c r="G207" i="84"/>
  <c r="CL209" i="84"/>
  <c r="G209" i="84"/>
  <c r="CL211" i="84"/>
  <c r="G211" i="84"/>
  <c r="CL213" i="84"/>
  <c r="G213" i="84"/>
  <c r="CL215" i="84"/>
  <c r="G215" i="84"/>
  <c r="CL217" i="84"/>
  <c r="G217" i="84"/>
  <c r="CL219" i="84"/>
  <c r="G219" i="84"/>
  <c r="CL20" i="84"/>
  <c r="CM20" i="84" s="1"/>
  <c r="AM21" i="135"/>
  <c r="AM53" i="135" s="1"/>
  <c r="AM19" i="135"/>
  <c r="AM51" i="135" s="1"/>
  <c r="AJ21" i="135"/>
  <c r="AM66" i="135" l="1"/>
  <c r="G57" i="153"/>
  <c r="AF66" i="154"/>
  <c r="N32" i="155"/>
  <c r="Q32" i="155" s="1"/>
  <c r="M32" i="155"/>
  <c r="P32" i="155" s="1"/>
  <c r="D32" i="155"/>
  <c r="G32" i="155" s="1"/>
  <c r="C32" i="155"/>
  <c r="F32" i="155" s="1"/>
  <c r="Q31" i="155"/>
  <c r="M31" i="155"/>
  <c r="P31" i="155" s="1"/>
  <c r="I31" i="155"/>
  <c r="L31" i="155" s="1"/>
  <c r="H31" i="155"/>
  <c r="D31" i="155"/>
  <c r="G31" i="155" s="1"/>
  <c r="C31" i="155"/>
  <c r="F31" i="155" s="1"/>
  <c r="M29" i="155"/>
  <c r="P29" i="155" s="1"/>
  <c r="C29" i="155"/>
  <c r="F29" i="155" s="1"/>
  <c r="N28" i="155"/>
  <c r="Q28" i="155" s="1"/>
  <c r="M28" i="155"/>
  <c r="P28" i="155" s="1"/>
  <c r="D28" i="155"/>
  <c r="G28" i="155" s="1"/>
  <c r="C28" i="155"/>
  <c r="F28" i="155" s="1"/>
  <c r="N27" i="155"/>
  <c r="M27" i="155"/>
  <c r="D27" i="155"/>
  <c r="C27" i="155"/>
  <c r="Q26" i="155"/>
  <c r="P26" i="155"/>
  <c r="I26" i="155"/>
  <c r="L26" i="155" s="1"/>
  <c r="H26" i="155"/>
  <c r="K26" i="155" s="1"/>
  <c r="G26" i="155"/>
  <c r="S25" i="155"/>
  <c r="V25" i="155" s="1"/>
  <c r="R25" i="155"/>
  <c r="U25" i="155" s="1"/>
  <c r="Q25" i="155"/>
  <c r="G25" i="155"/>
  <c r="S24" i="155"/>
  <c r="V24" i="155" s="1"/>
  <c r="R24" i="155"/>
  <c r="U24" i="155" s="1"/>
  <c r="Q24" i="155"/>
  <c r="L24" i="155"/>
  <c r="K24" i="155"/>
  <c r="R22" i="155"/>
  <c r="U22" i="155" s="1"/>
  <c r="S21" i="155"/>
  <c r="V21" i="155" s="1"/>
  <c r="R21" i="155"/>
  <c r="U21" i="155" s="1"/>
  <c r="G21" i="155"/>
  <c r="S20" i="155"/>
  <c r="V20" i="155" s="1"/>
  <c r="R20" i="155"/>
  <c r="U20" i="155" s="1"/>
  <c r="Q20" i="155"/>
  <c r="G20" i="155"/>
  <c r="Q19" i="155"/>
  <c r="P19" i="155"/>
  <c r="I19" i="155"/>
  <c r="L19" i="155" s="1"/>
  <c r="H19" i="155"/>
  <c r="K19" i="155" s="1"/>
  <c r="S18" i="155"/>
  <c r="R18" i="155"/>
  <c r="Q18" i="155"/>
  <c r="G18" i="155"/>
  <c r="S17" i="155"/>
  <c r="R17" i="155"/>
  <c r="U17" i="155" s="1"/>
  <c r="Q17" i="155"/>
  <c r="L17" i="155"/>
  <c r="K17" i="155"/>
  <c r="G17" i="155"/>
  <c r="R15" i="155"/>
  <c r="U15" i="155" s="1"/>
  <c r="S14" i="155"/>
  <c r="R14" i="155"/>
  <c r="S13" i="155"/>
  <c r="U13" i="155"/>
  <c r="Q13" i="155"/>
  <c r="P13" i="155"/>
  <c r="G13" i="155"/>
  <c r="F13" i="155"/>
  <c r="M66" i="154"/>
  <c r="L66" i="154"/>
  <c r="Y53" i="154"/>
  <c r="X53" i="154"/>
  <c r="W53" i="154"/>
  <c r="Y52" i="154"/>
  <c r="X52" i="154"/>
  <c r="W52" i="154"/>
  <c r="Y51" i="154"/>
  <c r="X51" i="154"/>
  <c r="W51" i="154"/>
  <c r="Y50" i="154"/>
  <c r="X50" i="154"/>
  <c r="W50" i="154"/>
  <c r="Y49" i="154"/>
  <c r="X49" i="154"/>
  <c r="W49" i="154"/>
  <c r="Y48" i="154"/>
  <c r="X48" i="154"/>
  <c r="W48" i="154"/>
  <c r="Y47" i="154"/>
  <c r="X47" i="154"/>
  <c r="W47" i="154"/>
  <c r="Y46" i="154"/>
  <c r="X46" i="154"/>
  <c r="W46" i="154"/>
  <c r="Y45" i="154"/>
  <c r="X45" i="154"/>
  <c r="W45" i="154"/>
  <c r="Y44" i="154"/>
  <c r="X44" i="154"/>
  <c r="W44" i="154"/>
  <c r="Y43" i="154"/>
  <c r="X43" i="154"/>
  <c r="W43" i="154"/>
  <c r="Y42" i="154"/>
  <c r="X42" i="154"/>
  <c r="W42" i="154"/>
  <c r="Y41" i="154"/>
  <c r="X41" i="154"/>
  <c r="W41" i="154"/>
  <c r="Y40" i="154"/>
  <c r="X40" i="154"/>
  <c r="W40" i="154"/>
  <c r="Y39" i="154"/>
  <c r="X39" i="154"/>
  <c r="W39" i="154"/>
  <c r="Y38" i="154"/>
  <c r="X38" i="154"/>
  <c r="W38" i="154"/>
  <c r="Y37" i="154"/>
  <c r="X37" i="154"/>
  <c r="W37" i="154"/>
  <c r="Y36" i="154"/>
  <c r="X36" i="154"/>
  <c r="W36" i="154"/>
  <c r="Y35" i="154"/>
  <c r="X35" i="154"/>
  <c r="W35" i="154"/>
  <c r="Y34" i="154"/>
  <c r="X34" i="154"/>
  <c r="W34" i="154"/>
  <c r="Y33" i="154"/>
  <c r="X33" i="154"/>
  <c r="W33" i="154"/>
  <c r="Y32" i="154"/>
  <c r="X32" i="154"/>
  <c r="W32" i="154"/>
  <c r="Y31" i="154"/>
  <c r="X31" i="154"/>
  <c r="W31" i="154"/>
  <c r="Y30" i="154"/>
  <c r="X30" i="154"/>
  <c r="W30" i="154"/>
  <c r="Y29" i="154"/>
  <c r="X29" i="154"/>
  <c r="W29" i="154"/>
  <c r="Y28" i="154"/>
  <c r="X28" i="154"/>
  <c r="W28" i="154"/>
  <c r="Y27" i="154"/>
  <c r="X27" i="154"/>
  <c r="W27" i="154"/>
  <c r="Y26" i="154"/>
  <c r="X26" i="154"/>
  <c r="W26" i="154"/>
  <c r="Y25" i="154"/>
  <c r="X25" i="154"/>
  <c r="W25" i="154"/>
  <c r="Y24" i="154"/>
  <c r="X24" i="154"/>
  <c r="W24" i="154"/>
  <c r="Y22" i="154"/>
  <c r="X22" i="154"/>
  <c r="W22" i="154"/>
  <c r="Y19" i="154"/>
  <c r="X19" i="154"/>
  <c r="W19" i="154"/>
  <c r="O17" i="154"/>
  <c r="N17" i="154"/>
  <c r="M17" i="154"/>
  <c r="S75" i="153"/>
  <c r="R75" i="153"/>
  <c r="L75" i="153"/>
  <c r="H75" i="153"/>
  <c r="Q75" i="153" s="1"/>
  <c r="G75" i="153"/>
  <c r="P75" i="153" s="1"/>
  <c r="E75" i="153"/>
  <c r="D75" i="153"/>
  <c r="F75" i="153" s="1"/>
  <c r="S74" i="153"/>
  <c r="AF74" i="153" s="1"/>
  <c r="R74" i="153"/>
  <c r="Q74" i="153"/>
  <c r="P74" i="153"/>
  <c r="AH74" i="153"/>
  <c r="L74" i="153"/>
  <c r="I74" i="153"/>
  <c r="F74" i="153"/>
  <c r="S73" i="153"/>
  <c r="AF73" i="153" s="1"/>
  <c r="R73" i="153"/>
  <c r="Q73" i="153"/>
  <c r="P73" i="153"/>
  <c r="AH73" i="153"/>
  <c r="L73" i="153"/>
  <c r="I73" i="153"/>
  <c r="F73" i="153"/>
  <c r="S72" i="153"/>
  <c r="AF72" i="153" s="1"/>
  <c r="R72" i="153"/>
  <c r="Q72" i="153"/>
  <c r="P72" i="153"/>
  <c r="AH72" i="153"/>
  <c r="L72" i="153"/>
  <c r="I72" i="153"/>
  <c r="F72" i="153"/>
  <c r="S71" i="153"/>
  <c r="AF71" i="153" s="1"/>
  <c r="R71" i="153"/>
  <c r="Q71" i="153"/>
  <c r="P71" i="153"/>
  <c r="AH71" i="153"/>
  <c r="L71" i="153"/>
  <c r="I71" i="153"/>
  <c r="F71" i="153"/>
  <c r="S70" i="153"/>
  <c r="AF70" i="153" s="1"/>
  <c r="R70" i="153"/>
  <c r="Q70" i="153"/>
  <c r="P70" i="153"/>
  <c r="AH70" i="153"/>
  <c r="L70" i="153"/>
  <c r="I70" i="153"/>
  <c r="F70" i="153"/>
  <c r="S69" i="153"/>
  <c r="AF69" i="153" s="1"/>
  <c r="R69" i="153"/>
  <c r="Q69" i="153"/>
  <c r="P69" i="153"/>
  <c r="AH69" i="153"/>
  <c r="L69" i="153"/>
  <c r="I69" i="153"/>
  <c r="F69" i="153"/>
  <c r="S68" i="153"/>
  <c r="AF68" i="153" s="1"/>
  <c r="R68" i="153"/>
  <c r="Q68" i="153"/>
  <c r="P68" i="153"/>
  <c r="AH68" i="153"/>
  <c r="L68" i="153"/>
  <c r="I68" i="153"/>
  <c r="F68" i="153"/>
  <c r="S67" i="153"/>
  <c r="AF67" i="153" s="1"/>
  <c r="R67" i="153"/>
  <c r="Q67" i="153"/>
  <c r="AE67" i="153" s="1"/>
  <c r="P67" i="153"/>
  <c r="L67" i="153"/>
  <c r="I67" i="153"/>
  <c r="F67" i="153"/>
  <c r="J57" i="153"/>
  <c r="I57" i="153"/>
  <c r="H57" i="153"/>
  <c r="J52" i="153"/>
  <c r="AC52" i="153" s="1"/>
  <c r="I52" i="153"/>
  <c r="H52" i="153"/>
  <c r="J51" i="153"/>
  <c r="AC51" i="153" s="1"/>
  <c r="I51" i="153"/>
  <c r="H51" i="153"/>
  <c r="J50" i="153"/>
  <c r="AC50" i="153" s="1"/>
  <c r="I50" i="153"/>
  <c r="H50" i="153"/>
  <c r="H41" i="153"/>
  <c r="G41" i="153"/>
  <c r="E41" i="153"/>
  <c r="D41" i="153"/>
  <c r="I40" i="153"/>
  <c r="F40" i="153"/>
  <c r="I39" i="153"/>
  <c r="F39" i="153"/>
  <c r="I38" i="153"/>
  <c r="F38" i="153"/>
  <c r="I37" i="153"/>
  <c r="F37" i="153"/>
  <c r="I36" i="153"/>
  <c r="F36" i="153"/>
  <c r="I35" i="153"/>
  <c r="F35" i="153"/>
  <c r="I34" i="153"/>
  <c r="F34" i="153"/>
  <c r="I33" i="153"/>
  <c r="F33" i="153"/>
  <c r="I32" i="153"/>
  <c r="F32" i="153"/>
  <c r="I31" i="153"/>
  <c r="F31" i="153"/>
  <c r="I30" i="153"/>
  <c r="F30" i="153"/>
  <c r="I29" i="153"/>
  <c r="F29" i="153"/>
  <c r="I24" i="153"/>
  <c r="F24" i="153"/>
  <c r="I23" i="153"/>
  <c r="F23" i="153"/>
  <c r="I22" i="153"/>
  <c r="F22" i="153"/>
  <c r="I21" i="153"/>
  <c r="F21" i="153"/>
  <c r="I20" i="153"/>
  <c r="F20" i="153"/>
  <c r="I19" i="153"/>
  <c r="F19" i="153"/>
  <c r="I18" i="153"/>
  <c r="F18" i="153"/>
  <c r="I17" i="153"/>
  <c r="F17" i="153"/>
  <c r="F41" i="152"/>
  <c r="I14" i="152"/>
  <c r="D17" i="152"/>
  <c r="C17" i="152"/>
  <c r="X17" i="154" l="1"/>
  <c r="W23" i="154"/>
  <c r="Y17" i="154"/>
  <c r="X23" i="154"/>
  <c r="Y23" i="154"/>
  <c r="D33" i="155"/>
  <c r="G33" i="155" s="1"/>
  <c r="C33" i="155"/>
  <c r="F33" i="155" s="1"/>
  <c r="S28" i="155"/>
  <c r="V28" i="155" s="1"/>
  <c r="S31" i="155"/>
  <c r="V31" i="155" s="1"/>
  <c r="S32" i="155"/>
  <c r="V32" i="155" s="1"/>
  <c r="N33" i="155"/>
  <c r="Q33" i="155" s="1"/>
  <c r="V17" i="155"/>
  <c r="M33" i="155"/>
  <c r="P33" i="155" s="1"/>
  <c r="W17" i="154"/>
  <c r="P27" i="155"/>
  <c r="F27" i="155"/>
  <c r="G27" i="155"/>
  <c r="G19" i="155"/>
  <c r="S19" i="155"/>
  <c r="V19" i="155" s="1"/>
  <c r="F26" i="155"/>
  <c r="R26" i="155"/>
  <c r="U26" i="155" s="1"/>
  <c r="F19" i="155"/>
  <c r="R19" i="155"/>
  <c r="U19" i="155" s="1"/>
  <c r="G51" i="152"/>
  <c r="G52" i="152"/>
  <c r="N17" i="152"/>
  <c r="F50" i="152"/>
  <c r="F49" i="152"/>
  <c r="H16" i="152"/>
  <c r="G16" i="152"/>
  <c r="I15" i="152"/>
  <c r="G53" i="152"/>
  <c r="G54" i="152"/>
  <c r="G15" i="152"/>
  <c r="G14" i="152"/>
  <c r="G50" i="152"/>
  <c r="F41" i="153"/>
  <c r="I41" i="153"/>
  <c r="F56" i="154"/>
  <c r="L56" i="154" s="1"/>
  <c r="H56" i="154"/>
  <c r="N56" i="154" s="1"/>
  <c r="S27" i="155"/>
  <c r="H14" i="152"/>
  <c r="H15" i="152"/>
  <c r="G49" i="152"/>
  <c r="R28" i="155"/>
  <c r="U28" i="155" s="1"/>
  <c r="E105" i="154"/>
  <c r="M105" i="154" s="1"/>
  <c r="I105" i="154"/>
  <c r="Q105" i="154" s="1"/>
  <c r="V13" i="155"/>
  <c r="R32" i="155"/>
  <c r="U32" i="155" s="1"/>
  <c r="AB49" i="153"/>
  <c r="AE51" i="153"/>
  <c r="AB51" i="153"/>
  <c r="I16" i="152"/>
  <c r="AE50" i="153"/>
  <c r="AB50" i="153"/>
  <c r="AE52" i="153"/>
  <c r="AB52" i="153"/>
  <c r="AE68" i="153"/>
  <c r="AE69" i="153"/>
  <c r="AE70" i="153"/>
  <c r="AE71" i="153"/>
  <c r="AE72" i="153"/>
  <c r="AE73" i="153"/>
  <c r="AE74" i="153"/>
  <c r="R29" i="155"/>
  <c r="U29" i="155" s="1"/>
  <c r="I33" i="155"/>
  <c r="L33" i="155" s="1"/>
  <c r="E56" i="154"/>
  <c r="G56" i="154"/>
  <c r="M56" i="154" s="1"/>
  <c r="H105" i="154"/>
  <c r="P105" i="154" s="1"/>
  <c r="U14" i="155"/>
  <c r="U18" i="155"/>
  <c r="I56" i="154"/>
  <c r="O56" i="154" s="1"/>
  <c r="S26" i="155"/>
  <c r="V26" i="155" s="1"/>
  <c r="F53" i="152"/>
  <c r="F54" i="152"/>
  <c r="V18" i="155"/>
  <c r="I75" i="153"/>
  <c r="V14" i="155"/>
  <c r="H33" i="155"/>
  <c r="K33" i="155" s="1"/>
  <c r="K31" i="155"/>
  <c r="AH67" i="153"/>
  <c r="Q27" i="155"/>
  <c r="R27" i="155"/>
  <c r="R31" i="155"/>
  <c r="U31" i="155" s="1"/>
  <c r="G87" i="141"/>
  <c r="Q93" i="135" s="1"/>
  <c r="E183" i="135"/>
  <c r="K183" i="135" s="1"/>
  <c r="H89" i="141"/>
  <c r="R95" i="135" s="1"/>
  <c r="G89" i="141"/>
  <c r="Q95" i="135" s="1"/>
  <c r="E89" i="141"/>
  <c r="O95" i="135" s="1"/>
  <c r="D89" i="141"/>
  <c r="N95" i="135" s="1"/>
  <c r="E181" i="135"/>
  <c r="K181" i="135" s="1"/>
  <c r="H87" i="141"/>
  <c r="R93" i="135" s="1"/>
  <c r="E87" i="141"/>
  <c r="O93" i="135" s="1"/>
  <c r="D87" i="141"/>
  <c r="N93" i="135" s="1"/>
  <c r="H184" i="149"/>
  <c r="H183" i="149"/>
  <c r="H182" i="149"/>
  <c r="I181" i="149"/>
  <c r="H181" i="149"/>
  <c r="K181" i="149" s="1"/>
  <c r="F184" i="149"/>
  <c r="L184" i="149" s="1"/>
  <c r="F183" i="149"/>
  <c r="L183" i="149" s="1"/>
  <c r="F182" i="149"/>
  <c r="L182" i="149" s="1"/>
  <c r="F181" i="149"/>
  <c r="E184" i="149"/>
  <c r="E183" i="149"/>
  <c r="E182" i="149"/>
  <c r="K184" i="149" l="1"/>
  <c r="L181" i="149"/>
  <c r="R98" i="135"/>
  <c r="K183" i="149"/>
  <c r="K182" i="149"/>
  <c r="O98" i="135"/>
  <c r="N98" i="135"/>
  <c r="Q98" i="135"/>
  <c r="F182" i="135"/>
  <c r="H182" i="135"/>
  <c r="I182" i="135"/>
  <c r="H180" i="135"/>
  <c r="E182" i="135"/>
  <c r="S33" i="155"/>
  <c r="V33" i="155" s="1"/>
  <c r="R33" i="155"/>
  <c r="U33" i="155" s="1"/>
  <c r="J90" i="141"/>
  <c r="D86" i="198" s="1"/>
  <c r="J88" i="141"/>
  <c r="D84" i="198" s="1"/>
  <c r="J89" i="136"/>
  <c r="J90" i="136"/>
  <c r="J88" i="136"/>
  <c r="J87" i="136"/>
  <c r="K88" i="136"/>
  <c r="K90" i="136"/>
  <c r="K89" i="136"/>
  <c r="K87" i="136"/>
  <c r="K90" i="141"/>
  <c r="K88" i="141"/>
  <c r="V27" i="155"/>
  <c r="J56" i="154"/>
  <c r="AA47" i="153"/>
  <c r="AC3" i="153" s="1"/>
  <c r="K16" i="152"/>
  <c r="K15" i="152"/>
  <c r="K14" i="152"/>
  <c r="U27" i="155"/>
  <c r="J89" i="141"/>
  <c r="D85" i="198" s="1"/>
  <c r="J87" i="141"/>
  <c r="D83" i="198" s="1"/>
  <c r="K87" i="141"/>
  <c r="K89" i="141"/>
  <c r="G91" i="141"/>
  <c r="E91" i="141"/>
  <c r="D91" i="141"/>
  <c r="H91" i="141"/>
  <c r="D91" i="136"/>
  <c r="D83" i="197" l="1"/>
  <c r="D84" i="197"/>
  <c r="D86" i="197"/>
  <c r="D85" i="197"/>
  <c r="L182" i="135"/>
  <c r="K182" i="135"/>
  <c r="Q48" i="142"/>
  <c r="R48" i="142" s="1"/>
  <c r="F180" i="135"/>
  <c r="I180" i="135"/>
  <c r="E180" i="135"/>
  <c r="K180" i="135" s="1"/>
  <c r="J91" i="136"/>
  <c r="K91" i="136"/>
  <c r="P101" i="149"/>
  <c r="S101" i="149"/>
  <c r="K105" i="154"/>
  <c r="J91" i="141"/>
  <c r="D87" i="198" s="1"/>
  <c r="K91" i="141"/>
  <c r="E16" i="2"/>
  <c r="D16" i="2"/>
  <c r="C16" i="2"/>
  <c r="D87" i="197" l="1"/>
  <c r="L180" i="135"/>
  <c r="P103" i="149"/>
  <c r="A108" i="141"/>
  <c r="A114" i="136"/>
  <c r="A108" i="136"/>
  <c r="U14" i="154"/>
  <c r="V5" i="154" s="1"/>
  <c r="Q50" i="142" s="1"/>
  <c r="R50" i="142" s="1"/>
  <c r="E28" i="101"/>
  <c r="K96" i="3"/>
  <c r="J96" i="3"/>
  <c r="L96" i="3"/>
  <c r="F96" i="3"/>
  <c r="E96" i="3"/>
  <c r="D96" i="3"/>
  <c r="D17" i="79" l="1"/>
  <c r="E17" i="79"/>
  <c r="G17" i="79"/>
  <c r="C11" i="104" s="1"/>
  <c r="I17" i="79"/>
  <c r="D11" i="104" s="1"/>
  <c r="D18" i="79"/>
  <c r="E18" i="79"/>
  <c r="G18" i="79"/>
  <c r="C12" i="104" s="1"/>
  <c r="I18" i="79"/>
  <c r="D12" i="104" s="1"/>
  <c r="F18" i="79" l="1"/>
  <c r="F17" i="79"/>
  <c r="L18" i="79"/>
  <c r="B12" i="104" s="1"/>
  <c r="L17" i="79"/>
  <c r="B11" i="104" s="1"/>
  <c r="AC24" i="84"/>
  <c r="P24" i="84"/>
  <c r="AD23" i="84"/>
  <c r="Q23" i="84"/>
  <c r="AD24" i="84"/>
  <c r="Q24" i="84"/>
  <c r="AC23" i="84"/>
  <c r="P23" i="84"/>
  <c r="H23" i="84" l="1"/>
  <c r="BU23" i="84"/>
  <c r="BU24" i="84"/>
  <c r="H24" i="84"/>
  <c r="K23" i="84"/>
  <c r="CI24" i="84"/>
  <c r="CH23" i="84"/>
  <c r="O23" i="84"/>
  <c r="CG23" i="84"/>
  <c r="V23" i="84"/>
  <c r="L232" i="84" s="1"/>
  <c r="O24" i="84"/>
  <c r="CG24" i="84"/>
  <c r="W24" i="84"/>
  <c r="N233" i="84" s="1"/>
  <c r="V24" i="84"/>
  <c r="L233" i="84" s="1"/>
  <c r="W23" i="84"/>
  <c r="N232" i="84" s="1"/>
  <c r="CI23" i="84"/>
  <c r="CH24" i="84"/>
  <c r="K24" i="84"/>
  <c r="M5" i="101" l="1"/>
  <c r="H5" i="101"/>
  <c r="C5" i="101"/>
  <c r="AN96" i="135" l="1"/>
  <c r="I127" i="135" s="1"/>
  <c r="AN94" i="135"/>
  <c r="I125" i="135" s="1"/>
  <c r="AN88" i="135"/>
  <c r="I119" i="135" s="1"/>
  <c r="AN85" i="135"/>
  <c r="I116" i="135" s="1"/>
  <c r="AM120" i="135"/>
  <c r="H151" i="135" s="1"/>
  <c r="AN95" i="135"/>
  <c r="I126" i="135" s="1"/>
  <c r="AM95" i="135"/>
  <c r="H126" i="135" s="1"/>
  <c r="AM93" i="135"/>
  <c r="H124" i="135" s="1"/>
  <c r="AM119" i="135"/>
  <c r="H150" i="135" s="1"/>
  <c r="AM77" i="135"/>
  <c r="H108" i="135" s="1"/>
  <c r="AN86" i="135"/>
  <c r="I117" i="135" s="1"/>
  <c r="AN77" i="135"/>
  <c r="I108" i="135" s="1"/>
  <c r="AN93" i="135"/>
  <c r="I124" i="135" s="1"/>
  <c r="AN75" i="135"/>
  <c r="I106" i="135" s="1"/>
  <c r="AM75" i="135"/>
  <c r="H106" i="135" s="1"/>
  <c r="AM94" i="135"/>
  <c r="H125" i="135" s="1"/>
  <c r="AM96" i="135"/>
  <c r="H127" i="135" s="1"/>
  <c r="AM117" i="135"/>
  <c r="H148" i="135" s="1"/>
  <c r="AM85" i="135"/>
  <c r="H116" i="135" s="1"/>
  <c r="AM118" i="135"/>
  <c r="H149" i="135" s="1"/>
  <c r="AM86" i="135"/>
  <c r="H117" i="135" s="1"/>
  <c r="AN87" i="135"/>
  <c r="I118" i="135" s="1"/>
  <c r="AN119" i="135"/>
  <c r="I150" i="135" s="1"/>
  <c r="AM87" i="135"/>
  <c r="H118" i="135" s="1"/>
  <c r="AN118" i="135"/>
  <c r="I149" i="135" s="1"/>
  <c r="AN120" i="135"/>
  <c r="I151" i="135" s="1"/>
  <c r="AM88" i="135"/>
  <c r="H119" i="135" s="1"/>
  <c r="AN117" i="135"/>
  <c r="I148" i="135" s="1"/>
  <c r="AN122" i="135" l="1"/>
  <c r="I153" i="135" s="1"/>
  <c r="AN123" i="135"/>
  <c r="I154" i="135" s="1"/>
  <c r="AM90" i="135"/>
  <c r="H121" i="135" s="1"/>
  <c r="AM99" i="135"/>
  <c r="H130" i="135" s="1"/>
  <c r="AM98" i="135"/>
  <c r="H129" i="135" s="1"/>
  <c r="AM97" i="135"/>
  <c r="H128" i="135" s="1"/>
  <c r="AN124" i="135"/>
  <c r="I155" i="135" s="1"/>
  <c r="AM89" i="135"/>
  <c r="H120" i="135" s="1"/>
  <c r="AM100" i="135"/>
  <c r="H131" i="135" s="1"/>
  <c r="AM81" i="135"/>
  <c r="H112" i="135" s="1"/>
  <c r="AN121" i="135"/>
  <c r="I152" i="135" s="1"/>
  <c r="AM121" i="135"/>
  <c r="H152" i="135" s="1"/>
  <c r="AM92" i="135"/>
  <c r="H123" i="135" s="1"/>
  <c r="AM79" i="135"/>
  <c r="H110" i="135" s="1"/>
  <c r="AM123" i="135"/>
  <c r="H154" i="135" s="1"/>
  <c r="AM91" i="135"/>
  <c r="H122" i="135" s="1"/>
  <c r="AM124" i="135"/>
  <c r="H155" i="135" s="1"/>
  <c r="AM122" i="135"/>
  <c r="H153" i="135" s="1"/>
  <c r="W100" i="135"/>
  <c r="H96" i="135"/>
  <c r="Z100" i="135"/>
  <c r="E96" i="135"/>
  <c r="N100" i="135"/>
  <c r="Q100" i="135"/>
  <c r="AN99" i="135"/>
  <c r="I130" i="135" s="1"/>
  <c r="AN89" i="135"/>
  <c r="I120" i="135" s="1"/>
  <c r="AN90" i="135"/>
  <c r="I121" i="135" s="1"/>
  <c r="AN92" i="135"/>
  <c r="I123" i="135" s="1"/>
  <c r="AN100" i="135"/>
  <c r="I131" i="135" s="1"/>
  <c r="AN97" i="135"/>
  <c r="I128" i="135" s="1"/>
  <c r="AN81" i="135"/>
  <c r="I112" i="135" s="1"/>
  <c r="AN98" i="135"/>
  <c r="I129" i="135" s="1"/>
  <c r="AN79" i="135"/>
  <c r="I110" i="135" s="1"/>
  <c r="AN91" i="135"/>
  <c r="I122" i="135" s="1"/>
  <c r="W102" i="135" l="1"/>
  <c r="N102" i="135"/>
  <c r="E98" i="135"/>
  <c r="AM125" i="135"/>
  <c r="H156" i="135" s="1"/>
  <c r="AM103" i="135"/>
  <c r="H134" i="135" s="1"/>
  <c r="AN125" i="135"/>
  <c r="I156" i="135" s="1"/>
  <c r="AN128" i="135"/>
  <c r="I159" i="135" s="1"/>
  <c r="AM101" i="135"/>
  <c r="H132" i="135" s="1"/>
  <c r="AN127" i="135"/>
  <c r="I158" i="135" s="1"/>
  <c r="AM104" i="135"/>
  <c r="H135" i="135" s="1"/>
  <c r="AM102" i="135"/>
  <c r="H133" i="135" s="1"/>
  <c r="AN126" i="135"/>
  <c r="I157" i="135" s="1"/>
  <c r="AM127" i="135"/>
  <c r="H158" i="135" s="1"/>
  <c r="AM128" i="135"/>
  <c r="H159" i="135" s="1"/>
  <c r="AM126" i="135"/>
  <c r="H157" i="135" s="1"/>
  <c r="AN103" i="135"/>
  <c r="I134" i="135" s="1"/>
  <c r="H3" i="135"/>
  <c r="AN102" i="135"/>
  <c r="I133" i="135" s="1"/>
  <c r="AN101" i="135"/>
  <c r="I132" i="135" s="1"/>
  <c r="AN104" i="135"/>
  <c r="I135" i="135" s="1"/>
  <c r="AN132" i="135" l="1"/>
  <c r="I163" i="135" s="1"/>
  <c r="AM108" i="135"/>
  <c r="H139" i="135" s="1"/>
  <c r="AN129" i="135"/>
  <c r="I160" i="135" s="1"/>
  <c r="AM106" i="135"/>
  <c r="H137" i="135" s="1"/>
  <c r="AN131" i="135"/>
  <c r="I162" i="135" s="1"/>
  <c r="AM107" i="135"/>
  <c r="H138" i="135" s="1"/>
  <c r="AN130" i="135"/>
  <c r="I161" i="135" s="1"/>
  <c r="AM105" i="135"/>
  <c r="H136" i="135" s="1"/>
  <c r="AM129" i="135"/>
  <c r="H160" i="135" s="1"/>
  <c r="AM131" i="135"/>
  <c r="H162" i="135" s="1"/>
  <c r="AM132" i="135"/>
  <c r="H163" i="135" s="1"/>
  <c r="AM130" i="135"/>
  <c r="H161" i="135" s="1"/>
  <c r="AN107" i="135"/>
  <c r="I138" i="135" s="1"/>
  <c r="AN108" i="135"/>
  <c r="I139" i="135" s="1"/>
  <c r="AN105" i="135"/>
  <c r="I136" i="135" s="1"/>
  <c r="AN106" i="135"/>
  <c r="I137" i="135" s="1"/>
  <c r="AM109" i="135" l="1"/>
  <c r="H140" i="135" s="1"/>
  <c r="AM110" i="135"/>
  <c r="H141" i="135" s="1"/>
  <c r="AN134" i="135"/>
  <c r="I165" i="135" s="1"/>
  <c r="AN133" i="135"/>
  <c r="I164" i="135" s="1"/>
  <c r="AM111" i="135"/>
  <c r="H142" i="135" s="1"/>
  <c r="AM112" i="135"/>
  <c r="H143" i="135" s="1"/>
  <c r="AM133" i="135"/>
  <c r="H164" i="135" s="1"/>
  <c r="AN135" i="135"/>
  <c r="I166" i="135" s="1"/>
  <c r="AN136" i="135"/>
  <c r="I167" i="135" s="1"/>
  <c r="AM135" i="135"/>
  <c r="H166" i="135" s="1"/>
  <c r="AM136" i="135"/>
  <c r="H167" i="135" s="1"/>
  <c r="AM134" i="135"/>
  <c r="H165" i="135" s="1"/>
  <c r="AN111" i="135"/>
  <c r="I142" i="135" s="1"/>
  <c r="AN112" i="135"/>
  <c r="I143" i="135" s="1"/>
  <c r="AN110" i="135"/>
  <c r="I141" i="135" s="1"/>
  <c r="AN109" i="135"/>
  <c r="I140" i="135" s="1"/>
  <c r="AN139" i="135" l="1"/>
  <c r="I170" i="135" s="1"/>
  <c r="AN137" i="135"/>
  <c r="I168" i="135" s="1"/>
  <c r="AM137" i="135"/>
  <c r="H168" i="135" s="1"/>
  <c r="AN138" i="135"/>
  <c r="I169" i="135" s="1"/>
  <c r="AN140" i="135"/>
  <c r="I171" i="135" s="1"/>
  <c r="AM139" i="135"/>
  <c r="H170" i="135" s="1"/>
  <c r="AM140" i="135"/>
  <c r="H171" i="135" s="1"/>
  <c r="AM138" i="135"/>
  <c r="H169" i="135" s="1"/>
  <c r="AM141" i="135" l="1"/>
  <c r="H172" i="135" s="1"/>
  <c r="AN141" i="135"/>
  <c r="I172" i="135" s="1"/>
  <c r="AN142" i="135"/>
  <c r="I173" i="135" s="1"/>
  <c r="AN144" i="135"/>
  <c r="I175" i="135" s="1"/>
  <c r="AN143" i="135"/>
  <c r="I174" i="135" s="1"/>
  <c r="AM143" i="135"/>
  <c r="H174" i="135" s="1"/>
  <c r="AM144" i="135"/>
  <c r="H175" i="135" s="1"/>
  <c r="AM142" i="135"/>
  <c r="H173" i="135" s="1"/>
  <c r="AN148" i="135" l="1"/>
  <c r="I179" i="135" s="1"/>
  <c r="AN146" i="135"/>
  <c r="I177" i="135" s="1"/>
  <c r="AN145" i="135"/>
  <c r="I176" i="135" s="1"/>
  <c r="AN147" i="135"/>
  <c r="I178" i="135" s="1"/>
  <c r="AM145" i="135"/>
  <c r="H176" i="135" s="1"/>
  <c r="AM147" i="135"/>
  <c r="H178" i="135" s="1"/>
  <c r="AM148" i="135"/>
  <c r="H179" i="135" s="1"/>
  <c r="AM146" i="135"/>
  <c r="H177" i="135" s="1"/>
  <c r="AK20" i="149"/>
  <c r="AO41" i="149"/>
  <c r="AO57" i="149" s="1"/>
  <c r="AO44" i="149"/>
  <c r="AO60" i="149" s="1"/>
  <c r="AN44" i="149"/>
  <c r="AN60" i="149" s="1"/>
  <c r="AN41" i="149"/>
  <c r="AN57" i="149" s="1"/>
  <c r="AO67" i="149" l="1"/>
  <c r="AN67" i="149"/>
  <c r="AN88" i="149"/>
  <c r="H119" i="149" s="1"/>
  <c r="AN92" i="149"/>
  <c r="H123" i="149" s="1"/>
  <c r="AN116" i="149"/>
  <c r="H147" i="149" s="1"/>
  <c r="AN124" i="149"/>
  <c r="H155" i="149" s="1"/>
  <c r="AN128" i="149"/>
  <c r="H159" i="149" s="1"/>
  <c r="AN132" i="149"/>
  <c r="H163" i="149" s="1"/>
  <c r="AN136" i="149"/>
  <c r="H167" i="149" s="1"/>
  <c r="AN140" i="149"/>
  <c r="H171" i="149" s="1"/>
  <c r="AN144" i="149"/>
  <c r="H175" i="149" s="1"/>
  <c r="AN148" i="149"/>
  <c r="H179" i="149" s="1"/>
  <c r="AN120" i="149"/>
  <c r="H151" i="149" s="1"/>
  <c r="AO88" i="149"/>
  <c r="I119" i="149" s="1"/>
  <c r="AO92" i="149"/>
  <c r="I123" i="149" s="1"/>
  <c r="AO116" i="149"/>
  <c r="I147" i="149" s="1"/>
  <c r="AO124" i="149"/>
  <c r="I155" i="149" s="1"/>
  <c r="AO128" i="149"/>
  <c r="I159" i="149" s="1"/>
  <c r="AO132" i="149"/>
  <c r="I163" i="149" s="1"/>
  <c r="AO136" i="149"/>
  <c r="I167" i="149" s="1"/>
  <c r="AO140" i="149"/>
  <c r="I171" i="149" s="1"/>
  <c r="AO144" i="149"/>
  <c r="I175" i="149" s="1"/>
  <c r="AO148" i="149"/>
  <c r="I179" i="149" s="1"/>
  <c r="AO120" i="149"/>
  <c r="I151" i="149" s="1"/>
  <c r="AN96" i="149"/>
  <c r="H127" i="149" s="1"/>
  <c r="AN100" i="149"/>
  <c r="H131" i="149" s="1"/>
  <c r="AN104" i="149"/>
  <c r="H135" i="149" s="1"/>
  <c r="AN108" i="149"/>
  <c r="H139" i="149" s="1"/>
  <c r="AN112" i="149"/>
  <c r="H143" i="149" s="1"/>
  <c r="AO86" i="149"/>
  <c r="I117" i="149" s="1"/>
  <c r="AO90" i="149"/>
  <c r="I121" i="149" s="1"/>
  <c r="AO114" i="149"/>
  <c r="I145" i="149" s="1"/>
  <c r="AO118" i="149"/>
  <c r="I149" i="149" s="1"/>
  <c r="AO122" i="149"/>
  <c r="I153" i="149" s="1"/>
  <c r="AO126" i="149"/>
  <c r="I157" i="149" s="1"/>
  <c r="AO130" i="149"/>
  <c r="I161" i="149" s="1"/>
  <c r="AO134" i="149"/>
  <c r="I165" i="149" s="1"/>
  <c r="AO138" i="149"/>
  <c r="I169" i="149" s="1"/>
  <c r="AO142" i="149"/>
  <c r="I173" i="149" s="1"/>
  <c r="AO146" i="149"/>
  <c r="I177" i="149" s="1"/>
  <c r="AN86" i="149"/>
  <c r="H117" i="149" s="1"/>
  <c r="AN90" i="149"/>
  <c r="H121" i="149" s="1"/>
  <c r="AN114" i="149"/>
  <c r="H145" i="149" s="1"/>
  <c r="AN118" i="149"/>
  <c r="H149" i="149" s="1"/>
  <c r="AN122" i="149"/>
  <c r="H153" i="149" s="1"/>
  <c r="AN126" i="149"/>
  <c r="H157" i="149" s="1"/>
  <c r="AN130" i="149"/>
  <c r="H161" i="149" s="1"/>
  <c r="AN134" i="149"/>
  <c r="H165" i="149" s="1"/>
  <c r="AN138" i="149"/>
  <c r="H169" i="149" s="1"/>
  <c r="AN142" i="149"/>
  <c r="H173" i="149" s="1"/>
  <c r="AN146" i="149"/>
  <c r="H177" i="149" s="1"/>
  <c r="AO78" i="149"/>
  <c r="I109" i="149" s="1"/>
  <c r="AO82" i="149"/>
  <c r="I113" i="149" s="1"/>
  <c r="AN94" i="149"/>
  <c r="H125" i="149" s="1"/>
  <c r="AN98" i="149"/>
  <c r="H129" i="149" s="1"/>
  <c r="AN102" i="149"/>
  <c r="H133" i="149" s="1"/>
  <c r="AN106" i="149"/>
  <c r="H137" i="149" s="1"/>
  <c r="AN110" i="149"/>
  <c r="H141" i="149" s="1"/>
  <c r="AO96" i="149"/>
  <c r="I127" i="149" s="1"/>
  <c r="AO100" i="149"/>
  <c r="I131" i="149" s="1"/>
  <c r="AO104" i="149"/>
  <c r="I135" i="149" s="1"/>
  <c r="AO108" i="149"/>
  <c r="I139" i="149" s="1"/>
  <c r="AO112" i="149"/>
  <c r="I143" i="149" s="1"/>
  <c r="AO76" i="149"/>
  <c r="I107" i="149" s="1"/>
  <c r="AO80" i="149"/>
  <c r="I111" i="149" s="1"/>
  <c r="AO94" i="149"/>
  <c r="I125" i="149" s="1"/>
  <c r="AO98" i="149"/>
  <c r="I129" i="149" s="1"/>
  <c r="AO102" i="149"/>
  <c r="I133" i="149" s="1"/>
  <c r="AO106" i="149"/>
  <c r="I137" i="149" s="1"/>
  <c r="AO110" i="149"/>
  <c r="I141" i="149" s="1"/>
  <c r="BA25" i="149"/>
  <c r="H3" i="149" l="1"/>
  <c r="AN76" i="149"/>
  <c r="H107" i="149" s="1"/>
  <c r="AN80" i="149"/>
  <c r="H111" i="149" s="1"/>
  <c r="AO87" i="149"/>
  <c r="I118" i="149" s="1"/>
  <c r="AO91" i="149"/>
  <c r="I122" i="149" s="1"/>
  <c r="AO115" i="149"/>
  <c r="I146" i="149" s="1"/>
  <c r="AO123" i="149"/>
  <c r="I154" i="149" s="1"/>
  <c r="AO127" i="149"/>
  <c r="I158" i="149" s="1"/>
  <c r="AO131" i="149"/>
  <c r="I162" i="149" s="1"/>
  <c r="AO135" i="149"/>
  <c r="I166" i="149" s="1"/>
  <c r="AO139" i="149"/>
  <c r="I170" i="149" s="1"/>
  <c r="AO143" i="149"/>
  <c r="I174" i="149" s="1"/>
  <c r="AO147" i="149"/>
  <c r="I178" i="149" s="1"/>
  <c r="AO119" i="149"/>
  <c r="I150" i="149" s="1"/>
  <c r="AN97" i="149"/>
  <c r="H128" i="149" s="1"/>
  <c r="AN101" i="149"/>
  <c r="H132" i="149" s="1"/>
  <c r="AN105" i="149"/>
  <c r="H136" i="149" s="1"/>
  <c r="AN109" i="149"/>
  <c r="H140" i="149" s="1"/>
  <c r="AN113" i="149"/>
  <c r="H144" i="149" s="1"/>
  <c r="AN95" i="149"/>
  <c r="H126" i="149" s="1"/>
  <c r="AN99" i="149"/>
  <c r="H130" i="149" s="1"/>
  <c r="AN103" i="149"/>
  <c r="H134" i="149" s="1"/>
  <c r="AN107" i="149"/>
  <c r="H138" i="149" s="1"/>
  <c r="AN111" i="149"/>
  <c r="H142" i="149" s="1"/>
  <c r="AN78" i="149"/>
  <c r="H109" i="149" s="1"/>
  <c r="AN82" i="149"/>
  <c r="H113" i="149" s="1"/>
  <c r="AN89" i="149"/>
  <c r="H120" i="149" s="1"/>
  <c r="AN93" i="149"/>
  <c r="H124" i="149" s="1"/>
  <c r="AN117" i="149"/>
  <c r="H148" i="149" s="1"/>
  <c r="AN121" i="149"/>
  <c r="H152" i="149" s="1"/>
  <c r="AN125" i="149"/>
  <c r="H156" i="149" s="1"/>
  <c r="AN129" i="149"/>
  <c r="H160" i="149" s="1"/>
  <c r="AN133" i="149"/>
  <c r="H164" i="149" s="1"/>
  <c r="AN137" i="149"/>
  <c r="H168" i="149" s="1"/>
  <c r="AN141" i="149"/>
  <c r="H172" i="149" s="1"/>
  <c r="AN145" i="149"/>
  <c r="H176" i="149" s="1"/>
  <c r="AN149" i="149"/>
  <c r="H180" i="149" s="1"/>
  <c r="AN87" i="149"/>
  <c r="H118" i="149" s="1"/>
  <c r="AN91" i="149"/>
  <c r="H122" i="149" s="1"/>
  <c r="AN115" i="149"/>
  <c r="H146" i="149" s="1"/>
  <c r="AN119" i="149"/>
  <c r="H150" i="149" s="1"/>
  <c r="AN123" i="149"/>
  <c r="H154" i="149" s="1"/>
  <c r="AN127" i="149"/>
  <c r="H158" i="149" s="1"/>
  <c r="AN131" i="149"/>
  <c r="H162" i="149" s="1"/>
  <c r="AN135" i="149"/>
  <c r="H166" i="149" s="1"/>
  <c r="AN139" i="149"/>
  <c r="H170" i="149" s="1"/>
  <c r="AN143" i="149"/>
  <c r="H174" i="149" s="1"/>
  <c r="AN147" i="149"/>
  <c r="H178" i="149" s="1"/>
  <c r="AO97" i="149"/>
  <c r="I128" i="149" s="1"/>
  <c r="AO101" i="149"/>
  <c r="I132" i="149" s="1"/>
  <c r="AO105" i="149"/>
  <c r="I136" i="149" s="1"/>
  <c r="AO109" i="149"/>
  <c r="I140" i="149" s="1"/>
  <c r="AO113" i="149"/>
  <c r="I144" i="149" s="1"/>
  <c r="AO89" i="149"/>
  <c r="I120" i="149" s="1"/>
  <c r="AO93" i="149"/>
  <c r="I124" i="149" s="1"/>
  <c r="AO117" i="149"/>
  <c r="I148" i="149" s="1"/>
  <c r="AO121" i="149"/>
  <c r="I152" i="149" s="1"/>
  <c r="AO125" i="149"/>
  <c r="I156" i="149" s="1"/>
  <c r="AO129" i="149"/>
  <c r="I160" i="149" s="1"/>
  <c r="AO133" i="149"/>
  <c r="I164" i="149" s="1"/>
  <c r="AO137" i="149"/>
  <c r="I168" i="149" s="1"/>
  <c r="AO141" i="149"/>
  <c r="I172" i="149" s="1"/>
  <c r="AO145" i="149"/>
  <c r="I176" i="149" s="1"/>
  <c r="AO149" i="149"/>
  <c r="I180" i="149" s="1"/>
  <c r="AO95" i="149"/>
  <c r="I126" i="149" s="1"/>
  <c r="AO99" i="149"/>
  <c r="I130" i="149" s="1"/>
  <c r="AO103" i="149"/>
  <c r="I134" i="149" s="1"/>
  <c r="AO107" i="149"/>
  <c r="I138" i="149" s="1"/>
  <c r="AO111" i="149"/>
  <c r="I142" i="149" s="1"/>
  <c r="BA27" i="149"/>
  <c r="C21" i="117"/>
  <c r="C22" i="117"/>
  <c r="C23" i="117"/>
  <c r="C24" i="117"/>
  <c r="C25" i="117"/>
  <c r="C27" i="117"/>
  <c r="C28" i="117"/>
  <c r="C29" i="117"/>
  <c r="C30" i="117"/>
  <c r="BA29" i="149" l="1"/>
  <c r="A112" i="136" s="1"/>
  <c r="Q50" i="117"/>
  <c r="P50" i="117"/>
  <c r="M50" i="117"/>
  <c r="L50" i="117"/>
  <c r="K50" i="117"/>
  <c r="R50" i="117"/>
  <c r="G6" i="136"/>
  <c r="F4" i="149"/>
  <c r="G5" i="136"/>
  <c r="A98" i="136"/>
  <c r="Y94" i="117"/>
  <c r="AQ30" i="117" s="1"/>
  <c r="A100" i="136"/>
  <c r="J4" i="149" l="1"/>
  <c r="J6" i="136" s="1"/>
  <c r="D4" i="149"/>
  <c r="N52" i="117"/>
  <c r="I52" i="117"/>
  <c r="T15" i="115"/>
  <c r="D6" i="136"/>
  <c r="H214" i="115"/>
  <c r="N75" i="117"/>
  <c r="I75" i="117"/>
  <c r="M49" i="142" l="1"/>
  <c r="N49" i="142" s="1"/>
  <c r="H4" i="115"/>
  <c r="J5" i="3" l="1"/>
  <c r="AE66" i="154" l="1"/>
  <c r="U63" i="154" l="1"/>
  <c r="W5" i="154" s="1"/>
  <c r="A102" i="136"/>
  <c r="W6" i="79"/>
  <c r="R6" i="79"/>
  <c r="M6" i="79"/>
  <c r="Q51" i="142" l="1"/>
  <c r="R51" i="142" s="1"/>
  <c r="D28" i="79" l="1"/>
  <c r="G28" i="79"/>
  <c r="C22" i="104" s="1"/>
  <c r="K28" i="79"/>
  <c r="E28" i="79"/>
  <c r="I28" i="79"/>
  <c r="D22" i="104" s="1"/>
  <c r="E27" i="79"/>
  <c r="I27" i="79"/>
  <c r="D21" i="104" s="1"/>
  <c r="G27" i="79"/>
  <c r="C21" i="104" s="1"/>
  <c r="D27" i="79"/>
  <c r="AG34" i="84" l="1"/>
  <c r="F27" i="79"/>
  <c r="F28" i="79"/>
  <c r="L27" i="79"/>
  <c r="AC33" i="84"/>
  <c r="P33" i="84"/>
  <c r="L28" i="79"/>
  <c r="AH34" i="84" s="1"/>
  <c r="AC34" i="84"/>
  <c r="P34" i="84"/>
  <c r="AD33" i="84"/>
  <c r="Q33" i="84"/>
  <c r="AD34" i="84"/>
  <c r="Q34" i="84"/>
  <c r="G28" i="101"/>
  <c r="F28" i="101"/>
  <c r="BU34" i="84" l="1"/>
  <c r="H33" i="84"/>
  <c r="BU33" i="84"/>
  <c r="H34" i="84"/>
  <c r="AH33" i="84"/>
  <c r="K33" i="84"/>
  <c r="K34" i="84"/>
  <c r="CI34" i="84"/>
  <c r="V33" i="84"/>
  <c r="L242" i="84" s="1"/>
  <c r="W33" i="84"/>
  <c r="N242" i="84" s="1"/>
  <c r="CI33" i="84"/>
  <c r="O33" i="84"/>
  <c r="CH33" i="84"/>
  <c r="W34" i="84"/>
  <c r="N243" i="84" s="1"/>
  <c r="V34" i="84"/>
  <c r="L243" i="84" s="1"/>
  <c r="CH34" i="84"/>
  <c r="O34" i="84"/>
  <c r="CG34" i="84"/>
  <c r="CG33" i="84"/>
  <c r="D28" i="101"/>
  <c r="M28" i="101" l="1"/>
  <c r="Q83" i="117"/>
  <c r="BZ20" i="84" l="1"/>
  <c r="AZ24" i="135" l="1"/>
  <c r="G5" i="141" l="1"/>
  <c r="AZ26" i="135" l="1"/>
  <c r="AZ28" i="135" s="1"/>
  <c r="A112" i="141" s="1"/>
  <c r="BH96" i="135" l="1"/>
  <c r="BH98" i="135" s="1"/>
  <c r="A114" i="141" s="1"/>
  <c r="F4" i="135" l="1"/>
  <c r="A102" i="141"/>
  <c r="A100" i="141"/>
  <c r="BT180" i="84"/>
  <c r="BT181" i="84" s="1"/>
  <c r="BT182" i="84" s="1"/>
  <c r="BT183" i="84" s="1"/>
  <c r="J4" i="135" l="1"/>
  <c r="J6" i="141" s="1"/>
  <c r="D4" i="135"/>
  <c r="E178" i="79"/>
  <c r="I178" i="79"/>
  <c r="D172" i="104" s="1"/>
  <c r="G178" i="79"/>
  <c r="C172" i="104" s="1"/>
  <c r="D178" i="79"/>
  <c r="K178" i="79"/>
  <c r="AG184" i="84" s="1"/>
  <c r="D180" i="79"/>
  <c r="G180" i="79"/>
  <c r="C174" i="104" s="1"/>
  <c r="K180" i="79"/>
  <c r="AG186" i="84" s="1"/>
  <c r="I180" i="79"/>
  <c r="D174" i="104" s="1"/>
  <c r="E180" i="79"/>
  <c r="D184" i="79"/>
  <c r="G184" i="79"/>
  <c r="C178" i="104" s="1"/>
  <c r="K184" i="79"/>
  <c r="AG190" i="84" s="1"/>
  <c r="E184" i="79"/>
  <c r="I184" i="79"/>
  <c r="D178" i="104" s="1"/>
  <c r="D188" i="79"/>
  <c r="G188" i="79"/>
  <c r="C182" i="104" s="1"/>
  <c r="K188" i="79"/>
  <c r="AG194" i="84" s="1"/>
  <c r="I188" i="79"/>
  <c r="D182" i="104" s="1"/>
  <c r="E188" i="79"/>
  <c r="D192" i="79"/>
  <c r="G192" i="79"/>
  <c r="C186" i="104" s="1"/>
  <c r="K192" i="79"/>
  <c r="AG198" i="84" s="1"/>
  <c r="E192" i="79"/>
  <c r="I192" i="79"/>
  <c r="D186" i="104" s="1"/>
  <c r="D196" i="79"/>
  <c r="G196" i="79"/>
  <c r="C190" i="104" s="1"/>
  <c r="K196" i="79"/>
  <c r="AG202" i="84" s="1"/>
  <c r="I196" i="79"/>
  <c r="D190" i="104" s="1"/>
  <c r="E196" i="79"/>
  <c r="E200" i="79"/>
  <c r="I200" i="79"/>
  <c r="D194" i="104" s="1"/>
  <c r="D200" i="79"/>
  <c r="G200" i="79"/>
  <c r="C194" i="104" s="1"/>
  <c r="K200" i="79"/>
  <c r="AG206" i="84" s="1"/>
  <c r="E204" i="79"/>
  <c r="I204" i="79"/>
  <c r="D198" i="104" s="1"/>
  <c r="D204" i="79"/>
  <c r="G204" i="79"/>
  <c r="C198" i="104" s="1"/>
  <c r="K204" i="79"/>
  <c r="AG210" i="84" s="1"/>
  <c r="E208" i="79"/>
  <c r="I208" i="79"/>
  <c r="D202" i="104" s="1"/>
  <c r="D208" i="79"/>
  <c r="G208" i="79"/>
  <c r="C202" i="104" s="1"/>
  <c r="K208" i="79"/>
  <c r="AG214" i="84" s="1"/>
  <c r="E212" i="79"/>
  <c r="I212" i="79"/>
  <c r="D206" i="104" s="1"/>
  <c r="D212" i="79"/>
  <c r="G212" i="79"/>
  <c r="C206" i="104" s="1"/>
  <c r="K212" i="79"/>
  <c r="AG218" i="84" s="1"/>
  <c r="E177" i="79"/>
  <c r="I177" i="79"/>
  <c r="D171" i="104" s="1"/>
  <c r="D177" i="79"/>
  <c r="K177" i="79"/>
  <c r="AG183" i="84" s="1"/>
  <c r="G177" i="79"/>
  <c r="C171" i="104" s="1"/>
  <c r="D179" i="79"/>
  <c r="G179" i="79"/>
  <c r="C173" i="104" s="1"/>
  <c r="K179" i="79"/>
  <c r="AG185" i="84" s="1"/>
  <c r="E179" i="79"/>
  <c r="I179" i="79"/>
  <c r="D173" i="104" s="1"/>
  <c r="E181" i="79"/>
  <c r="I181" i="79"/>
  <c r="D175" i="104" s="1"/>
  <c r="G181" i="79"/>
  <c r="C175" i="104" s="1"/>
  <c r="D181" i="79"/>
  <c r="K181" i="79"/>
  <c r="AG187" i="84" s="1"/>
  <c r="D183" i="79"/>
  <c r="G183" i="79"/>
  <c r="C177" i="104" s="1"/>
  <c r="K183" i="79"/>
  <c r="AG189" i="84" s="1"/>
  <c r="I183" i="79"/>
  <c r="D177" i="104" s="1"/>
  <c r="E183" i="79"/>
  <c r="E185" i="79"/>
  <c r="I185" i="79"/>
  <c r="D179" i="104" s="1"/>
  <c r="D185" i="79"/>
  <c r="K185" i="79"/>
  <c r="AG191" i="84" s="1"/>
  <c r="G185" i="79"/>
  <c r="C179" i="104" s="1"/>
  <c r="D187" i="79"/>
  <c r="G187" i="79"/>
  <c r="C181" i="104" s="1"/>
  <c r="K187" i="79"/>
  <c r="AG193" i="84" s="1"/>
  <c r="E187" i="79"/>
  <c r="I187" i="79"/>
  <c r="D181" i="104" s="1"/>
  <c r="E189" i="79"/>
  <c r="I189" i="79"/>
  <c r="D183" i="104" s="1"/>
  <c r="G189" i="79"/>
  <c r="C183" i="104" s="1"/>
  <c r="K189" i="79"/>
  <c r="AG195" i="84" s="1"/>
  <c r="D189" i="79"/>
  <c r="D191" i="79"/>
  <c r="G191" i="79"/>
  <c r="C185" i="104" s="1"/>
  <c r="K191" i="79"/>
  <c r="AG197" i="84" s="1"/>
  <c r="I191" i="79"/>
  <c r="D185" i="104" s="1"/>
  <c r="E191" i="79"/>
  <c r="E193" i="79"/>
  <c r="I193" i="79"/>
  <c r="D187" i="104" s="1"/>
  <c r="D193" i="79"/>
  <c r="K193" i="79"/>
  <c r="AG199" i="84" s="1"/>
  <c r="G193" i="79"/>
  <c r="C187" i="104" s="1"/>
  <c r="D195" i="79"/>
  <c r="G195" i="79"/>
  <c r="C189" i="104" s="1"/>
  <c r="K195" i="79"/>
  <c r="AG201" i="84" s="1"/>
  <c r="E195" i="79"/>
  <c r="I195" i="79"/>
  <c r="D189" i="104" s="1"/>
  <c r="E197" i="79"/>
  <c r="I197" i="79"/>
  <c r="D191" i="104" s="1"/>
  <c r="G197" i="79"/>
  <c r="C191" i="104" s="1"/>
  <c r="D197" i="79"/>
  <c r="K197" i="79"/>
  <c r="AG203" i="84" s="1"/>
  <c r="E199" i="79"/>
  <c r="I199" i="79"/>
  <c r="D193" i="104" s="1"/>
  <c r="G199" i="79"/>
  <c r="C193" i="104" s="1"/>
  <c r="K199" i="79"/>
  <c r="AG205" i="84" s="1"/>
  <c r="D199" i="79"/>
  <c r="E201" i="79"/>
  <c r="I201" i="79"/>
  <c r="D195" i="104" s="1"/>
  <c r="D201" i="79"/>
  <c r="G201" i="79"/>
  <c r="C195" i="104" s="1"/>
  <c r="K201" i="79"/>
  <c r="AG207" i="84" s="1"/>
  <c r="D203" i="79"/>
  <c r="G203" i="79"/>
  <c r="C197" i="104" s="1"/>
  <c r="K203" i="79"/>
  <c r="AG209" i="84" s="1"/>
  <c r="E203" i="79"/>
  <c r="I203" i="79"/>
  <c r="D197" i="104" s="1"/>
  <c r="E205" i="79"/>
  <c r="I205" i="79"/>
  <c r="D199" i="104" s="1"/>
  <c r="D205" i="79"/>
  <c r="G205" i="79"/>
  <c r="C199" i="104" s="1"/>
  <c r="K205" i="79"/>
  <c r="AG211" i="84" s="1"/>
  <c r="D207" i="79"/>
  <c r="G207" i="79"/>
  <c r="C201" i="104" s="1"/>
  <c r="K207" i="79"/>
  <c r="AG213" i="84" s="1"/>
  <c r="E207" i="79"/>
  <c r="I207" i="79"/>
  <c r="D201" i="104" s="1"/>
  <c r="E209" i="79"/>
  <c r="I209" i="79"/>
  <c r="D203" i="104" s="1"/>
  <c r="D209" i="79"/>
  <c r="G209" i="79"/>
  <c r="C203" i="104" s="1"/>
  <c r="K209" i="79"/>
  <c r="AG215" i="84" s="1"/>
  <c r="D211" i="79"/>
  <c r="G211" i="79"/>
  <c r="C205" i="104" s="1"/>
  <c r="K211" i="79"/>
  <c r="AG217" i="84" s="1"/>
  <c r="E211" i="79"/>
  <c r="I211" i="79"/>
  <c r="D205" i="104" s="1"/>
  <c r="E213" i="79"/>
  <c r="I213" i="79"/>
  <c r="D207" i="104" s="1"/>
  <c r="D213" i="79"/>
  <c r="G213" i="79"/>
  <c r="C207" i="104" s="1"/>
  <c r="K213" i="79"/>
  <c r="AG219" i="84" s="1"/>
  <c r="D176" i="79"/>
  <c r="G176" i="79"/>
  <c r="C170" i="104" s="1"/>
  <c r="K176" i="79"/>
  <c r="AG182" i="84" s="1"/>
  <c r="E176" i="79"/>
  <c r="I176" i="79"/>
  <c r="D170" i="104" s="1"/>
  <c r="E182" i="79"/>
  <c r="I182" i="79"/>
  <c r="D176" i="104" s="1"/>
  <c r="D182" i="79"/>
  <c r="K182" i="79"/>
  <c r="AG188" i="84" s="1"/>
  <c r="G182" i="79"/>
  <c r="C176" i="104" s="1"/>
  <c r="E186" i="79"/>
  <c r="I186" i="79"/>
  <c r="D180" i="104" s="1"/>
  <c r="G186" i="79"/>
  <c r="C180" i="104" s="1"/>
  <c r="K186" i="79"/>
  <c r="AG192" i="84" s="1"/>
  <c r="D186" i="79"/>
  <c r="E190" i="79"/>
  <c r="I190" i="79"/>
  <c r="D184" i="104" s="1"/>
  <c r="D190" i="79"/>
  <c r="K190" i="79"/>
  <c r="AG196" i="84" s="1"/>
  <c r="G190" i="79"/>
  <c r="C184" i="104" s="1"/>
  <c r="E194" i="79"/>
  <c r="I194" i="79"/>
  <c r="D188" i="104" s="1"/>
  <c r="G194" i="79"/>
  <c r="C188" i="104" s="1"/>
  <c r="D194" i="79"/>
  <c r="K194" i="79"/>
  <c r="AG200" i="84" s="1"/>
  <c r="E198" i="79"/>
  <c r="I198" i="79"/>
  <c r="D192" i="104" s="1"/>
  <c r="D198" i="79"/>
  <c r="K198" i="79"/>
  <c r="AG204" i="84" s="1"/>
  <c r="G198" i="79"/>
  <c r="C192" i="104" s="1"/>
  <c r="D202" i="79"/>
  <c r="G202" i="79"/>
  <c r="C196" i="104" s="1"/>
  <c r="K202" i="79"/>
  <c r="AG208" i="84" s="1"/>
  <c r="E202" i="79"/>
  <c r="I202" i="79"/>
  <c r="D196" i="104" s="1"/>
  <c r="D206" i="79"/>
  <c r="G206" i="79"/>
  <c r="C200" i="104" s="1"/>
  <c r="K206" i="79"/>
  <c r="AG212" i="84" s="1"/>
  <c r="E206" i="79"/>
  <c r="I206" i="79"/>
  <c r="D200" i="104" s="1"/>
  <c r="D210" i="79"/>
  <c r="G210" i="79"/>
  <c r="C204" i="104" s="1"/>
  <c r="K210" i="79"/>
  <c r="AG216" i="84" s="1"/>
  <c r="E210" i="79"/>
  <c r="I210" i="79"/>
  <c r="D204" i="104" s="1"/>
  <c r="A98" i="141"/>
  <c r="G6" i="141"/>
  <c r="BT184" i="84"/>
  <c r="F204" i="79" l="1"/>
  <c r="F203" i="79"/>
  <c r="F202" i="79"/>
  <c r="O405" i="84"/>
  <c r="O397" i="84"/>
  <c r="O401" i="84"/>
  <c r="O393" i="84"/>
  <c r="AD216" i="84"/>
  <c r="Q216" i="84"/>
  <c r="L206" i="79"/>
  <c r="AH212" i="84" s="1"/>
  <c r="AC212" i="84"/>
  <c r="P212" i="84"/>
  <c r="AD208" i="84"/>
  <c r="Q208" i="84"/>
  <c r="AD204" i="84"/>
  <c r="Q204" i="84"/>
  <c r="AC200" i="84"/>
  <c r="P200" i="84"/>
  <c r="AD196" i="84"/>
  <c r="Q196" i="84"/>
  <c r="AC192" i="84"/>
  <c r="P192" i="84"/>
  <c r="AD188" i="84"/>
  <c r="Q188" i="84"/>
  <c r="AD182" i="84"/>
  <c r="Q182" i="84"/>
  <c r="AC219" i="84"/>
  <c r="P219" i="84"/>
  <c r="AD219" i="84"/>
  <c r="Q219" i="84"/>
  <c r="AD217" i="84"/>
  <c r="Q217" i="84"/>
  <c r="AC215" i="84"/>
  <c r="P215" i="84"/>
  <c r="AD215" i="84"/>
  <c r="Q215" i="84"/>
  <c r="AD213" i="84"/>
  <c r="Q213" i="84"/>
  <c r="AC211" i="84"/>
  <c r="P211" i="84"/>
  <c r="AD211" i="84"/>
  <c r="Q211" i="84"/>
  <c r="AD209" i="84"/>
  <c r="Q209" i="84"/>
  <c r="AC207" i="84"/>
  <c r="P207" i="84"/>
  <c r="AD207" i="84"/>
  <c r="Q207" i="84"/>
  <c r="AC205" i="84"/>
  <c r="P205" i="84"/>
  <c r="AD203" i="84"/>
  <c r="Q203" i="84"/>
  <c r="AD201" i="84"/>
  <c r="Q201" i="84"/>
  <c r="AD199" i="84"/>
  <c r="Q199" i="84"/>
  <c r="L191" i="79"/>
  <c r="AH197" i="84" s="1"/>
  <c r="AD195" i="84"/>
  <c r="Q195" i="84"/>
  <c r="AD193" i="84"/>
  <c r="Q193" i="84"/>
  <c r="AD191" i="84"/>
  <c r="Q191" i="84"/>
  <c r="L183" i="79"/>
  <c r="AH189" i="84" s="1"/>
  <c r="AD187" i="84"/>
  <c r="Q187" i="84"/>
  <c r="AD185" i="84"/>
  <c r="Q185" i="84"/>
  <c r="AD183" i="84"/>
  <c r="Q183" i="84"/>
  <c r="L212" i="79"/>
  <c r="AH218" i="84" s="1"/>
  <c r="AC214" i="84"/>
  <c r="P214" i="84"/>
  <c r="AD214" i="84"/>
  <c r="Q214" i="84"/>
  <c r="L204" i="79"/>
  <c r="AH210" i="84" s="1"/>
  <c r="AC206" i="84"/>
  <c r="P206" i="84"/>
  <c r="AD206" i="84"/>
  <c r="Q206" i="84"/>
  <c r="AC198" i="84"/>
  <c r="P198" i="84"/>
  <c r="AC190" i="84"/>
  <c r="P190" i="84"/>
  <c r="AD184" i="84"/>
  <c r="Q184" i="84"/>
  <c r="L210" i="79"/>
  <c r="AH216" i="84" s="1"/>
  <c r="AC216" i="84"/>
  <c r="P216" i="84"/>
  <c r="AD212" i="84"/>
  <c r="Q212" i="84"/>
  <c r="L202" i="79"/>
  <c r="AH208" i="84" s="1"/>
  <c r="AC208" i="84"/>
  <c r="P208" i="84"/>
  <c r="AC204" i="84"/>
  <c r="P204" i="84"/>
  <c r="AD200" i="84"/>
  <c r="Q200" i="84"/>
  <c r="AC196" i="84"/>
  <c r="P196" i="84"/>
  <c r="AD192" i="84"/>
  <c r="Q192" i="84"/>
  <c r="AC188" i="84"/>
  <c r="P188" i="84"/>
  <c r="AC182" i="84"/>
  <c r="P182" i="84"/>
  <c r="AC217" i="84"/>
  <c r="P217" i="84"/>
  <c r="AC213" i="84"/>
  <c r="P213" i="84"/>
  <c r="AC209" i="84"/>
  <c r="P209" i="84"/>
  <c r="AD205" i="84"/>
  <c r="Q205" i="84"/>
  <c r="AC203" i="84"/>
  <c r="P203" i="84"/>
  <c r="L197" i="79"/>
  <c r="AH203" i="84" s="1"/>
  <c r="L195" i="79"/>
  <c r="AH201" i="84" s="1"/>
  <c r="AC201" i="84"/>
  <c r="P201" i="84"/>
  <c r="AC199" i="84"/>
  <c r="P199" i="84"/>
  <c r="L193" i="79"/>
  <c r="AH199" i="84" s="1"/>
  <c r="AD197" i="84"/>
  <c r="Q197" i="84"/>
  <c r="AC197" i="84"/>
  <c r="P197" i="84"/>
  <c r="AC195" i="84"/>
  <c r="P195" i="84"/>
  <c r="L189" i="79"/>
  <c r="AH195" i="84" s="1"/>
  <c r="L187" i="79"/>
  <c r="AH193" i="84" s="1"/>
  <c r="AC193" i="84"/>
  <c r="P193" i="84"/>
  <c r="AC191" i="84"/>
  <c r="P191" i="84"/>
  <c r="L185" i="79"/>
  <c r="AH191" i="84" s="1"/>
  <c r="AD189" i="84"/>
  <c r="Q189" i="84"/>
  <c r="AC189" i="84"/>
  <c r="P189" i="84"/>
  <c r="AC187" i="84"/>
  <c r="P187" i="84"/>
  <c r="L181" i="79"/>
  <c r="AH187" i="84" s="1"/>
  <c r="L179" i="79"/>
  <c r="AH185" i="84" s="1"/>
  <c r="AC185" i="84"/>
  <c r="P185" i="84"/>
  <c r="AC183" i="84"/>
  <c r="P183" i="84"/>
  <c r="L177" i="79"/>
  <c r="AH183" i="84" s="1"/>
  <c r="AC218" i="84"/>
  <c r="P218" i="84"/>
  <c r="AD218" i="84"/>
  <c r="Q218" i="84"/>
  <c r="L208" i="79"/>
  <c r="AH214" i="84" s="1"/>
  <c r="AC210" i="84"/>
  <c r="P210" i="84"/>
  <c r="AD210" i="84"/>
  <c r="Q210" i="84"/>
  <c r="L200" i="79"/>
  <c r="AH206" i="84" s="1"/>
  <c r="AD202" i="84"/>
  <c r="Q202" i="84"/>
  <c r="AC202" i="84"/>
  <c r="P202" i="84"/>
  <c r="AD198" i="84"/>
  <c r="Q198" i="84"/>
  <c r="AD194" i="84"/>
  <c r="Q194" i="84"/>
  <c r="AC194" i="84"/>
  <c r="P194" i="84"/>
  <c r="AD190" i="84"/>
  <c r="Q190" i="84"/>
  <c r="AD186" i="84"/>
  <c r="Q186" i="84"/>
  <c r="AC186" i="84"/>
  <c r="P186" i="84"/>
  <c r="AC184" i="84"/>
  <c r="P184" i="84"/>
  <c r="O423" i="84"/>
  <c r="O415" i="84"/>
  <c r="O408" i="84"/>
  <c r="O398" i="84"/>
  <c r="O413" i="84"/>
  <c r="O419" i="84"/>
  <c r="O411" i="84"/>
  <c r="O407" i="84"/>
  <c r="O406" i="84"/>
  <c r="O400" i="84"/>
  <c r="O392" i="84"/>
  <c r="O427" i="84"/>
  <c r="O426" i="84"/>
  <c r="O404" i="84"/>
  <c r="O394" i="84"/>
  <c r="O402" i="84"/>
  <c r="O403" i="84"/>
  <c r="O395" i="84"/>
  <c r="O399" i="84"/>
  <c r="O424" i="84"/>
  <c r="O420" i="84"/>
  <c r="O416" i="84"/>
  <c r="O412" i="84"/>
  <c r="O396" i="84"/>
  <c r="O428" i="84"/>
  <c r="O414" i="84"/>
  <c r="O421" i="84"/>
  <c r="O422" i="84"/>
  <c r="O418" i="84"/>
  <c r="O410" i="84"/>
  <c r="O425" i="84"/>
  <c r="O409" i="84"/>
  <c r="F210" i="79"/>
  <c r="F197" i="79"/>
  <c r="F195" i="79"/>
  <c r="F193" i="79"/>
  <c r="F189" i="79"/>
  <c r="F187" i="79"/>
  <c r="F185" i="79"/>
  <c r="F181" i="79"/>
  <c r="F179" i="79"/>
  <c r="L194" i="79"/>
  <c r="AH200" i="84" s="1"/>
  <c r="F194" i="79"/>
  <c r="F186" i="79"/>
  <c r="L186" i="79"/>
  <c r="AH192" i="84" s="1"/>
  <c r="F199" i="79"/>
  <c r="L199" i="79"/>
  <c r="AH205" i="84" s="1"/>
  <c r="F177" i="79"/>
  <c r="F208" i="79"/>
  <c r="F200" i="79"/>
  <c r="L196" i="79"/>
  <c r="AH202" i="84" s="1"/>
  <c r="F196" i="79"/>
  <c r="L192" i="79"/>
  <c r="AH198" i="84" s="1"/>
  <c r="F192" i="79"/>
  <c r="F188" i="79"/>
  <c r="L188" i="79"/>
  <c r="AH194" i="84" s="1"/>
  <c r="F184" i="79"/>
  <c r="L184" i="79"/>
  <c r="AH190" i="84" s="1"/>
  <c r="F180" i="79"/>
  <c r="L180" i="79"/>
  <c r="AH186" i="84" s="1"/>
  <c r="F206" i="79"/>
  <c r="L198" i="79"/>
  <c r="AH204" i="84" s="1"/>
  <c r="F198" i="79"/>
  <c r="F190" i="79"/>
  <c r="L190" i="79"/>
  <c r="AH196" i="84" s="1"/>
  <c r="F182" i="79"/>
  <c r="L182" i="79"/>
  <c r="AH188" i="84" s="1"/>
  <c r="F176" i="79"/>
  <c r="L176" i="79"/>
  <c r="AH182" i="84" s="1"/>
  <c r="F213" i="79"/>
  <c r="L213" i="79"/>
  <c r="AH219" i="84" s="1"/>
  <c r="F211" i="79"/>
  <c r="L211" i="79"/>
  <c r="AH217" i="84" s="1"/>
  <c r="F209" i="79"/>
  <c r="L209" i="79"/>
  <c r="AH215" i="84" s="1"/>
  <c r="F207" i="79"/>
  <c r="L207" i="79"/>
  <c r="AH213" i="84" s="1"/>
  <c r="F205" i="79"/>
  <c r="L205" i="79"/>
  <c r="AH211" i="84" s="1"/>
  <c r="L203" i="79"/>
  <c r="AH209" i="84" s="1"/>
  <c r="F201" i="79"/>
  <c r="L201" i="79"/>
  <c r="AH207" i="84" s="1"/>
  <c r="F191" i="79"/>
  <c r="F183" i="79"/>
  <c r="F212" i="79"/>
  <c r="F178" i="79"/>
  <c r="L178" i="79"/>
  <c r="AH184" i="84" s="1"/>
  <c r="D6" i="141"/>
  <c r="CM196" i="84"/>
  <c r="CM192" i="84"/>
  <c r="CM188" i="84"/>
  <c r="CM184" i="84"/>
  <c r="BT185" i="84"/>
  <c r="B196" i="104" l="1"/>
  <c r="B170" i="104"/>
  <c r="BU199" i="84"/>
  <c r="BU203" i="84"/>
  <c r="BU201" i="84"/>
  <c r="BU197" i="84"/>
  <c r="BU194" i="84"/>
  <c r="BU200" i="84"/>
  <c r="BU213" i="84"/>
  <c r="BU182" i="84"/>
  <c r="BU192" i="84"/>
  <c r="BU190" i="84"/>
  <c r="BU214" i="84"/>
  <c r="BU208" i="84"/>
  <c r="BU193" i="84"/>
  <c r="BU189" i="84"/>
  <c r="BU212" i="84"/>
  <c r="BU202" i="84"/>
  <c r="BU211" i="84"/>
  <c r="BU219" i="84"/>
  <c r="A213" i="79" s="1"/>
  <c r="BU205" i="84"/>
  <c r="H186" i="84"/>
  <c r="F395" i="84" s="1"/>
  <c r="BU186" i="84"/>
  <c r="BU207" i="84"/>
  <c r="BU215" i="84"/>
  <c r="BU188" i="84"/>
  <c r="H206" i="84"/>
  <c r="F415" i="84" s="1"/>
  <c r="BU206" i="84"/>
  <c r="H185" i="84"/>
  <c r="F394" i="84" s="1"/>
  <c r="BU185" i="84"/>
  <c r="BU184" i="84"/>
  <c r="BU209" i="84"/>
  <c r="BU217" i="84"/>
  <c r="BU196" i="84"/>
  <c r="H183" i="84"/>
  <c r="F392" i="84" s="1"/>
  <c r="BU183" i="84"/>
  <c r="H187" i="84"/>
  <c r="F396" i="84" s="1"/>
  <c r="BU187" i="84"/>
  <c r="H216" i="84"/>
  <c r="F425" i="84" s="1"/>
  <c r="BU216" i="84"/>
  <c r="BU210" i="84"/>
  <c r="BU204" i="84"/>
  <c r="H191" i="84"/>
  <c r="F400" i="84" s="1"/>
  <c r="BU191" i="84"/>
  <c r="H218" i="84"/>
  <c r="F427" i="84" s="1"/>
  <c r="BU218" i="84"/>
  <c r="BU198" i="84"/>
  <c r="H195" i="84"/>
  <c r="F404" i="84" s="1"/>
  <c r="BU195" i="84"/>
  <c r="H201" i="84"/>
  <c r="F410" i="84" s="1"/>
  <c r="H203" i="84"/>
  <c r="F412" i="84" s="1"/>
  <c r="H199" i="84"/>
  <c r="F408" i="84" s="1"/>
  <c r="H200" i="84"/>
  <c r="F409" i="84" s="1"/>
  <c r="H190" i="84"/>
  <c r="F399" i="84" s="1"/>
  <c r="H213" i="84"/>
  <c r="F422" i="84" s="1"/>
  <c r="H182" i="84"/>
  <c r="H192" i="84"/>
  <c r="F401" i="84" s="1"/>
  <c r="H204" i="84"/>
  <c r="F413" i="84" s="1"/>
  <c r="H207" i="84"/>
  <c r="F416" i="84" s="1"/>
  <c r="H215" i="84"/>
  <c r="F424" i="84" s="1"/>
  <c r="H188" i="84"/>
  <c r="F397" i="84" s="1"/>
  <c r="H196" i="84"/>
  <c r="F405" i="84" s="1"/>
  <c r="H217" i="84"/>
  <c r="F426" i="84" s="1"/>
  <c r="H194" i="84"/>
  <c r="F403" i="84" s="1"/>
  <c r="H211" i="84"/>
  <c r="F420" i="84" s="1"/>
  <c r="H219" i="84"/>
  <c r="F428" i="84" s="1"/>
  <c r="H198" i="84"/>
  <c r="F407" i="84" s="1"/>
  <c r="H205" i="84"/>
  <c r="F414" i="84" s="1"/>
  <c r="H193" i="84"/>
  <c r="F402" i="84" s="1"/>
  <c r="H214" i="84"/>
  <c r="F423" i="84" s="1"/>
  <c r="H184" i="84"/>
  <c r="F393" i="84" s="1"/>
  <c r="H189" i="84"/>
  <c r="F398" i="84" s="1"/>
  <c r="H212" i="84"/>
  <c r="F421" i="84" s="1"/>
  <c r="H197" i="84"/>
  <c r="F406" i="84" s="1"/>
  <c r="H202" i="84"/>
  <c r="F411" i="84" s="1"/>
  <c r="CH207" i="84"/>
  <c r="CH215" i="84"/>
  <c r="CI188" i="84"/>
  <c r="CI184" i="84"/>
  <c r="W209" i="84"/>
  <c r="N418" i="84" s="1"/>
  <c r="W217" i="84"/>
  <c r="N426" i="84" s="1"/>
  <c r="CI196" i="84"/>
  <c r="W211" i="84"/>
  <c r="N420" i="84" s="1"/>
  <c r="W219" i="84"/>
  <c r="N428" i="84" s="1"/>
  <c r="CG198" i="84"/>
  <c r="CH205" i="84"/>
  <c r="CI213" i="84"/>
  <c r="CI182" i="84"/>
  <c r="U202" i="84"/>
  <c r="CH192" i="84"/>
  <c r="K212" i="84"/>
  <c r="K190" i="84"/>
  <c r="K200" i="84"/>
  <c r="K206" i="84"/>
  <c r="K191" i="84"/>
  <c r="K195" i="84"/>
  <c r="K189" i="84"/>
  <c r="K209" i="84"/>
  <c r="K194" i="84"/>
  <c r="K199" i="84"/>
  <c r="K203" i="84"/>
  <c r="K197" i="84"/>
  <c r="K217" i="84"/>
  <c r="K211" i="84"/>
  <c r="K219" i="84"/>
  <c r="P428" i="84"/>
  <c r="K205" i="84"/>
  <c r="K201" i="84"/>
  <c r="K204" i="84"/>
  <c r="K213" i="84"/>
  <c r="K182" i="84"/>
  <c r="K198" i="84"/>
  <c r="P399" i="84"/>
  <c r="K185" i="84"/>
  <c r="K184" i="84"/>
  <c r="K186" i="84"/>
  <c r="K183" i="84"/>
  <c r="K187" i="84"/>
  <c r="K218" i="84"/>
  <c r="P427" i="84"/>
  <c r="K196" i="84"/>
  <c r="K207" i="84"/>
  <c r="K215" i="84"/>
  <c r="K188" i="84"/>
  <c r="P409" i="84"/>
  <c r="K214" i="84"/>
  <c r="K193" i="84"/>
  <c r="K208" i="84"/>
  <c r="K216" i="84"/>
  <c r="P425" i="84"/>
  <c r="K210" i="84"/>
  <c r="P419" i="84"/>
  <c r="P423" i="84"/>
  <c r="P413" i="84"/>
  <c r="P415" i="84"/>
  <c r="CM208" i="84"/>
  <c r="CM201" i="84"/>
  <c r="CM213" i="84"/>
  <c r="CM205" i="84"/>
  <c r="CM187" i="84"/>
  <c r="CM207" i="84"/>
  <c r="CM215" i="84"/>
  <c r="CM182" i="84"/>
  <c r="CM194" i="84"/>
  <c r="CM185" i="84"/>
  <c r="CM217" i="84"/>
  <c r="CM183" i="84"/>
  <c r="CM197" i="84"/>
  <c r="CM202" i="84"/>
  <c r="CM204" i="84"/>
  <c r="CM199" i="84"/>
  <c r="CM214" i="84"/>
  <c r="CM200" i="84"/>
  <c r="CM216" i="84"/>
  <c r="CM209" i="84"/>
  <c r="CM212" i="84"/>
  <c r="CM219" i="84"/>
  <c r="CM203" i="84"/>
  <c r="CM211" i="84"/>
  <c r="CM190" i="84"/>
  <c r="CM186" i="84"/>
  <c r="CM193" i="84"/>
  <c r="CM195" i="84"/>
  <c r="CM218" i="84"/>
  <c r="CM191" i="84"/>
  <c r="CM198" i="84"/>
  <c r="CM210" i="84"/>
  <c r="CM189" i="84"/>
  <c r="CM206" i="84"/>
  <c r="P402" i="84"/>
  <c r="P396" i="84"/>
  <c r="P406" i="84"/>
  <c r="P394" i="84"/>
  <c r="P398" i="84"/>
  <c r="P404" i="84"/>
  <c r="P410" i="84"/>
  <c r="P392" i="84"/>
  <c r="P400" i="84"/>
  <c r="P408" i="84"/>
  <c r="P421" i="84"/>
  <c r="O184" i="84"/>
  <c r="U184" i="84"/>
  <c r="CG184" i="84"/>
  <c r="CH186" i="84"/>
  <c r="CI186" i="84"/>
  <c r="V190" i="84"/>
  <c r="L399" i="84" s="1"/>
  <c r="W190" i="84"/>
  <c r="N399" i="84" s="1"/>
  <c r="V194" i="84"/>
  <c r="L403" i="84" s="1"/>
  <c r="W194" i="84"/>
  <c r="N403" i="84" s="1"/>
  <c r="CI198" i="84"/>
  <c r="CH202" i="84"/>
  <c r="CI202" i="84"/>
  <c r="O206" i="84"/>
  <c r="AB206" i="84"/>
  <c r="V210" i="84"/>
  <c r="L419" i="84" s="1"/>
  <c r="W210" i="84"/>
  <c r="N419" i="84" s="1"/>
  <c r="U214" i="84"/>
  <c r="CG214" i="84"/>
  <c r="CI218" i="84"/>
  <c r="CH218" i="84"/>
  <c r="O183" i="84"/>
  <c r="CG183" i="84"/>
  <c r="CH183" i="84"/>
  <c r="CH185" i="84"/>
  <c r="O185" i="84"/>
  <c r="CG185" i="84"/>
  <c r="O187" i="84"/>
  <c r="CG187" i="84"/>
  <c r="CH187" i="84"/>
  <c r="W189" i="84"/>
  <c r="N398" i="84" s="1"/>
  <c r="U191" i="84"/>
  <c r="AB191" i="84"/>
  <c r="U193" i="84"/>
  <c r="AB193" i="84"/>
  <c r="U195" i="84"/>
  <c r="AB195" i="84"/>
  <c r="W197" i="84"/>
  <c r="N406" i="84" s="1"/>
  <c r="U199" i="84"/>
  <c r="AB199" i="84"/>
  <c r="U201" i="84"/>
  <c r="AB201" i="84"/>
  <c r="U203" i="84"/>
  <c r="AB203" i="84"/>
  <c r="V205" i="84"/>
  <c r="L414" i="84" s="1"/>
  <c r="CI205" i="84"/>
  <c r="U207" i="84"/>
  <c r="AB207" i="84"/>
  <c r="U209" i="84"/>
  <c r="AB209" i="84"/>
  <c r="O211" i="84"/>
  <c r="CG211" i="84"/>
  <c r="CH213" i="84"/>
  <c r="O213" i="84"/>
  <c r="CG213" i="84"/>
  <c r="U215" i="84"/>
  <c r="AB215" i="84"/>
  <c r="U217" i="84"/>
  <c r="AB217" i="84"/>
  <c r="O219" i="84"/>
  <c r="CG219" i="84"/>
  <c r="CH182" i="84"/>
  <c r="O182" i="84"/>
  <c r="AB182" i="84"/>
  <c r="AB188" i="84"/>
  <c r="CH188" i="84"/>
  <c r="V192" i="84"/>
  <c r="L401" i="84" s="1"/>
  <c r="W192" i="84"/>
  <c r="N401" i="84" s="1"/>
  <c r="CI192" i="84"/>
  <c r="K192" i="84"/>
  <c r="AB196" i="84"/>
  <c r="CH196" i="84"/>
  <c r="V200" i="84"/>
  <c r="L409" i="84" s="1"/>
  <c r="W200" i="84"/>
  <c r="N409" i="84" s="1"/>
  <c r="CI200" i="84"/>
  <c r="O204" i="84"/>
  <c r="U204" i="84"/>
  <c r="CG204" i="84"/>
  <c r="AB208" i="84"/>
  <c r="V212" i="84"/>
  <c r="L421" i="84" s="1"/>
  <c r="W212" i="84"/>
  <c r="N421" i="84" s="1"/>
  <c r="CI212" i="84"/>
  <c r="CH216" i="84"/>
  <c r="O216" i="84"/>
  <c r="U216" i="84"/>
  <c r="CG216" i="84"/>
  <c r="V184" i="84"/>
  <c r="L393" i="84" s="1"/>
  <c r="W184" i="84"/>
  <c r="N393" i="84" s="1"/>
  <c r="U186" i="84"/>
  <c r="CH190" i="84"/>
  <c r="O190" i="84"/>
  <c r="AB190" i="84"/>
  <c r="O194" i="84"/>
  <c r="AB194" i="84"/>
  <c r="CG194" i="84"/>
  <c r="U198" i="84"/>
  <c r="K202" i="84"/>
  <c r="CI206" i="84"/>
  <c r="CH206" i="84"/>
  <c r="O210" i="84"/>
  <c r="AB210" i="84"/>
  <c r="CG210" i="84"/>
  <c r="V214" i="84"/>
  <c r="L423" i="84" s="1"/>
  <c r="W214" i="84"/>
  <c r="N423" i="84" s="1"/>
  <c r="U218" i="84"/>
  <c r="V183" i="84"/>
  <c r="L392" i="84" s="1"/>
  <c r="CI183" i="84"/>
  <c r="V185" i="84"/>
  <c r="L394" i="84" s="1"/>
  <c r="CI185" i="84"/>
  <c r="V187" i="84"/>
  <c r="L396" i="84" s="1"/>
  <c r="CI187" i="84"/>
  <c r="U189" i="84"/>
  <c r="AB189" i="84"/>
  <c r="W191" i="84"/>
  <c r="N400" i="84" s="1"/>
  <c r="W193" i="84"/>
  <c r="N402" i="84" s="1"/>
  <c r="W195" i="84"/>
  <c r="N404" i="84" s="1"/>
  <c r="U197" i="84"/>
  <c r="AB197" i="84"/>
  <c r="W199" i="84"/>
  <c r="N408" i="84" s="1"/>
  <c r="W201" i="84"/>
  <c r="N410" i="84" s="1"/>
  <c r="W203" i="84"/>
  <c r="N412" i="84" s="1"/>
  <c r="U205" i="84"/>
  <c r="AB205" i="84"/>
  <c r="V207" i="84"/>
  <c r="L416" i="84" s="1"/>
  <c r="CI207" i="84"/>
  <c r="V213" i="84"/>
  <c r="L422" i="84" s="1"/>
  <c r="V215" i="84"/>
  <c r="L424" i="84" s="1"/>
  <c r="CI215" i="84"/>
  <c r="V188" i="84"/>
  <c r="L397" i="84" s="1"/>
  <c r="W188" i="84"/>
  <c r="N397" i="84" s="1"/>
  <c r="AB192" i="84"/>
  <c r="V196" i="84"/>
  <c r="L405" i="84" s="1"/>
  <c r="W196" i="84"/>
  <c r="N405" i="84" s="1"/>
  <c r="AB200" i="84"/>
  <c r="CH200" i="84"/>
  <c r="AB212" i="84"/>
  <c r="V216" i="84"/>
  <c r="L425" i="84" s="1"/>
  <c r="W216" i="84"/>
  <c r="N425" i="84" s="1"/>
  <c r="CI216" i="84"/>
  <c r="AB184" i="84"/>
  <c r="CH184" i="84"/>
  <c r="V186" i="84"/>
  <c r="L395" i="84" s="1"/>
  <c r="W186" i="84"/>
  <c r="N395" i="84" s="1"/>
  <c r="CI190" i="84"/>
  <c r="CH194" i="84"/>
  <c r="CI194" i="84"/>
  <c r="V198" i="84"/>
  <c r="L407" i="84" s="1"/>
  <c r="W198" i="84"/>
  <c r="N407" i="84" s="1"/>
  <c r="V202" i="84"/>
  <c r="L411" i="84" s="1"/>
  <c r="W202" i="84"/>
  <c r="N411" i="84" s="1"/>
  <c r="U206" i="84"/>
  <c r="CG206" i="84"/>
  <c r="CI210" i="84"/>
  <c r="CH210" i="84"/>
  <c r="O214" i="84"/>
  <c r="AB214" i="84"/>
  <c r="V218" i="84"/>
  <c r="L427" i="84" s="1"/>
  <c r="W218" i="84"/>
  <c r="N427" i="84" s="1"/>
  <c r="U183" i="84"/>
  <c r="AB183" i="84"/>
  <c r="U185" i="84"/>
  <c r="AB185" i="84"/>
  <c r="U187" i="84"/>
  <c r="AB187" i="84"/>
  <c r="CH189" i="84"/>
  <c r="V189" i="84"/>
  <c r="L398" i="84" s="1"/>
  <c r="CI189" i="84"/>
  <c r="O191" i="84"/>
  <c r="CG191" i="84"/>
  <c r="CH191" i="84"/>
  <c r="CH193" i="84"/>
  <c r="O193" i="84"/>
  <c r="CG193" i="84"/>
  <c r="O195" i="84"/>
  <c r="CG195" i="84"/>
  <c r="CH195" i="84"/>
  <c r="CH197" i="84"/>
  <c r="V197" i="84"/>
  <c r="L406" i="84" s="1"/>
  <c r="CI197" i="84"/>
  <c r="O199" i="84"/>
  <c r="CG199" i="84"/>
  <c r="CH199" i="84"/>
  <c r="CH201" i="84"/>
  <c r="O201" i="84"/>
  <c r="CG201" i="84"/>
  <c r="O203" i="84"/>
  <c r="CG203" i="84"/>
  <c r="CH203" i="84"/>
  <c r="W205" i="84"/>
  <c r="N414" i="84" s="1"/>
  <c r="O207" i="84"/>
  <c r="CG207" i="84"/>
  <c r="CH209" i="84"/>
  <c r="O209" i="84"/>
  <c r="CG209" i="84"/>
  <c r="U211" i="84"/>
  <c r="AB211" i="84"/>
  <c r="U213" i="84"/>
  <c r="AB213" i="84"/>
  <c r="O215" i="84"/>
  <c r="CG215" i="84"/>
  <c r="CH217" i="84"/>
  <c r="O217" i="84"/>
  <c r="CG217" i="84"/>
  <c r="U219" i="84"/>
  <c r="AB219" i="84"/>
  <c r="U182" i="84"/>
  <c r="CG182" i="84"/>
  <c r="O188" i="84"/>
  <c r="U188" i="84"/>
  <c r="CG188" i="84"/>
  <c r="O196" i="84"/>
  <c r="U196" i="84"/>
  <c r="CG196" i="84"/>
  <c r="AB204" i="84"/>
  <c r="CH204" i="84"/>
  <c r="CH208" i="84"/>
  <c r="O208" i="84"/>
  <c r="U208" i="84"/>
  <c r="CG208" i="84"/>
  <c r="AB216" i="84"/>
  <c r="O186" i="84"/>
  <c r="AB186" i="84"/>
  <c r="CG186" i="84"/>
  <c r="U190" i="84"/>
  <c r="CG190" i="84"/>
  <c r="U194" i="84"/>
  <c r="CH198" i="84"/>
  <c r="O198" i="84"/>
  <c r="AB198" i="84"/>
  <c r="O202" i="84"/>
  <c r="AB202" i="84"/>
  <c r="CG202" i="84"/>
  <c r="V206" i="84"/>
  <c r="L415" i="84" s="1"/>
  <c r="W206" i="84"/>
  <c r="N415" i="84" s="1"/>
  <c r="U210" i="84"/>
  <c r="CI214" i="84"/>
  <c r="CH214" i="84"/>
  <c r="O218" i="84"/>
  <c r="AB218" i="84"/>
  <c r="CG218" i="84"/>
  <c r="W183" i="84"/>
  <c r="N392" i="84" s="1"/>
  <c r="W185" i="84"/>
  <c r="N394" i="84" s="1"/>
  <c r="W187" i="84"/>
  <c r="N396" i="84" s="1"/>
  <c r="O189" i="84"/>
  <c r="CG189" i="84"/>
  <c r="V191" i="84"/>
  <c r="L400" i="84" s="1"/>
  <c r="CI191" i="84"/>
  <c r="V193" i="84"/>
  <c r="L402" i="84" s="1"/>
  <c r="CI193" i="84"/>
  <c r="V195" i="84"/>
  <c r="L404" i="84" s="1"/>
  <c r="CI195" i="84"/>
  <c r="O197" i="84"/>
  <c r="CG197" i="84"/>
  <c r="V199" i="84"/>
  <c r="L408" i="84" s="1"/>
  <c r="CI199" i="84"/>
  <c r="V201" i="84"/>
  <c r="L410" i="84" s="1"/>
  <c r="CI201" i="84"/>
  <c r="V203" i="84"/>
  <c r="L412" i="84" s="1"/>
  <c r="CI203" i="84"/>
  <c r="O205" i="84"/>
  <c r="CG205" i="84"/>
  <c r="W207" i="84"/>
  <c r="N416" i="84" s="1"/>
  <c r="V209" i="84"/>
  <c r="L418" i="84" s="1"/>
  <c r="CI209" i="84"/>
  <c r="V211" i="84"/>
  <c r="L420" i="84" s="1"/>
  <c r="CI211" i="84"/>
  <c r="CH211" i="84"/>
  <c r="W213" i="84"/>
  <c r="N422" i="84" s="1"/>
  <c r="W215" i="84"/>
  <c r="N424" i="84" s="1"/>
  <c r="V217" i="84"/>
  <c r="L426" i="84" s="1"/>
  <c r="CI217" i="84"/>
  <c r="V219" i="84"/>
  <c r="L428" i="84" s="1"/>
  <c r="CI219" i="84"/>
  <c r="CH219" i="84"/>
  <c r="V182" i="84"/>
  <c r="L391" i="84" s="1"/>
  <c r="W182" i="84"/>
  <c r="N391" i="84" s="1"/>
  <c r="O192" i="84"/>
  <c r="U192" i="84"/>
  <c r="CG192" i="84"/>
  <c r="O200" i="84"/>
  <c r="U200" i="84"/>
  <c r="CG200" i="84"/>
  <c r="V204" i="84"/>
  <c r="L413" i="84" s="1"/>
  <c r="W204" i="84"/>
  <c r="N413" i="84" s="1"/>
  <c r="CI204" i="84"/>
  <c r="V208" i="84"/>
  <c r="L417" i="84" s="1"/>
  <c r="W208" i="84"/>
  <c r="N417" i="84" s="1"/>
  <c r="CI208" i="84"/>
  <c r="CH212" i="84"/>
  <c r="O212" i="84"/>
  <c r="U212" i="84"/>
  <c r="CG212" i="84"/>
  <c r="P403" i="84"/>
  <c r="P412" i="84"/>
  <c r="P414" i="84"/>
  <c r="P416" i="84"/>
  <c r="P418" i="84"/>
  <c r="P420" i="84"/>
  <c r="P422" i="84"/>
  <c r="P424" i="84"/>
  <c r="P426" i="84"/>
  <c r="P405" i="84"/>
  <c r="P407" i="84"/>
  <c r="P393" i="84"/>
  <c r="P395" i="84"/>
  <c r="P397" i="84"/>
  <c r="P401" i="84"/>
  <c r="P411" i="84"/>
  <c r="BT186" i="84"/>
  <c r="J414" i="84" l="1"/>
  <c r="J406" i="84"/>
  <c r="J398" i="84"/>
  <c r="J426" i="84"/>
  <c r="J416" i="84"/>
  <c r="J412" i="84"/>
  <c r="J410" i="84"/>
  <c r="J408" i="84"/>
  <c r="J404" i="84"/>
  <c r="J402" i="84"/>
  <c r="J400" i="84"/>
  <c r="J424" i="84"/>
  <c r="J418" i="84"/>
  <c r="J409" i="84"/>
  <c r="J421" i="84"/>
  <c r="J427" i="84"/>
  <c r="J411" i="84"/>
  <c r="J407" i="84"/>
  <c r="J397" i="84"/>
  <c r="J403" i="84"/>
  <c r="J399" i="84"/>
  <c r="J391" i="84"/>
  <c r="J420" i="84"/>
  <c r="J401" i="84"/>
  <c r="J395" i="84"/>
  <c r="J417" i="84"/>
  <c r="J405" i="84"/>
  <c r="J423" i="84"/>
  <c r="J419" i="84"/>
  <c r="J425" i="84"/>
  <c r="J413" i="84"/>
  <c r="J428" i="84"/>
  <c r="J422" i="84"/>
  <c r="J396" i="84"/>
  <c r="J394" i="84"/>
  <c r="J392" i="84"/>
  <c r="J415" i="84"/>
  <c r="J393" i="84"/>
  <c r="Y192" i="84"/>
  <c r="Y194" i="84"/>
  <c r="Y190" i="84"/>
  <c r="Y212" i="84"/>
  <c r="Y200" i="84"/>
  <c r="Y210" i="84"/>
  <c r="Y188" i="84"/>
  <c r="Y196" i="84"/>
  <c r="Y202" i="84"/>
  <c r="Y213" i="84"/>
  <c r="Y211" i="84"/>
  <c r="Y187" i="84"/>
  <c r="Y185" i="84"/>
  <c r="Y183" i="84"/>
  <c r="Y206" i="84"/>
  <c r="Y205" i="84"/>
  <c r="Y189" i="84"/>
  <c r="Y198" i="84"/>
  <c r="Y217" i="84"/>
  <c r="Y215" i="84"/>
  <c r="Y195" i="84"/>
  <c r="Y193" i="84"/>
  <c r="Y191" i="84"/>
  <c r="Y214" i="84"/>
  <c r="Y208" i="84"/>
  <c r="Y182" i="84"/>
  <c r="Y219" i="84"/>
  <c r="C219" i="84" s="1"/>
  <c r="Y197" i="84"/>
  <c r="Y218" i="84"/>
  <c r="Y186" i="84"/>
  <c r="Y216" i="84"/>
  <c r="Y204" i="84"/>
  <c r="Y209" i="84"/>
  <c r="Y207" i="84"/>
  <c r="Y203" i="84"/>
  <c r="Y201" i="84"/>
  <c r="Y199" i="84"/>
  <c r="Y184" i="84"/>
  <c r="BV200" i="84"/>
  <c r="BV218" i="84"/>
  <c r="BV217" i="84"/>
  <c r="BV215" i="84"/>
  <c r="BV212" i="84"/>
  <c r="BV209" i="84"/>
  <c r="BV206" i="84"/>
  <c r="BV203" i="84"/>
  <c r="BV201" i="84"/>
  <c r="BV216" i="84"/>
  <c r="BV214" i="84"/>
  <c r="BV213" i="84"/>
  <c r="BV211" i="84"/>
  <c r="BV210" i="84"/>
  <c r="BV208" i="84"/>
  <c r="BV207" i="84"/>
  <c r="BV205" i="84"/>
  <c r="BV204" i="84"/>
  <c r="BV202" i="84"/>
  <c r="BV198" i="84"/>
  <c r="BV197" i="84"/>
  <c r="BV195" i="84"/>
  <c r="BV194" i="84"/>
  <c r="BV192" i="84"/>
  <c r="BV191" i="84"/>
  <c r="BV189" i="84"/>
  <c r="BV188" i="84"/>
  <c r="BV186" i="84"/>
  <c r="BV185" i="84"/>
  <c r="BV183" i="84"/>
  <c r="BV199" i="84"/>
  <c r="BV196" i="84"/>
  <c r="BV193" i="84"/>
  <c r="BV190" i="84"/>
  <c r="BV187" i="84"/>
  <c r="BV184" i="84"/>
  <c r="BV182" i="84"/>
  <c r="BT187" i="84"/>
  <c r="J207" i="104" l="1"/>
  <c r="R207" i="104"/>
  <c r="M207" i="104"/>
  <c r="V207" i="104"/>
  <c r="E207" i="104"/>
  <c r="N207" i="104"/>
  <c r="F207" i="104"/>
  <c r="O207" i="104"/>
  <c r="G207" i="104"/>
  <c r="P207" i="104"/>
  <c r="H207" i="104"/>
  <c r="Q207" i="104"/>
  <c r="U207" i="104"/>
  <c r="I207" i="104"/>
  <c r="K207" i="104"/>
  <c r="L207" i="104"/>
  <c r="S207" i="104"/>
  <c r="T207" i="104"/>
  <c r="A176" i="79"/>
  <c r="BZ182" i="84" s="1"/>
  <c r="BW182" i="84"/>
  <c r="A181" i="79"/>
  <c r="BW187" i="84" s="1"/>
  <c r="A179" i="79"/>
  <c r="BW185" i="84" s="1"/>
  <c r="A205" i="79"/>
  <c r="BW211" i="84"/>
  <c r="A208" i="79"/>
  <c r="BW214" i="84"/>
  <c r="A206" i="79"/>
  <c r="BW212" i="84"/>
  <c r="A211" i="79"/>
  <c r="BW217" i="84"/>
  <c r="A178" i="79"/>
  <c r="BW184" i="84" s="1"/>
  <c r="A177" i="79"/>
  <c r="BW183" i="84" s="1"/>
  <c r="A180" i="79"/>
  <c r="BW186" i="84" s="1"/>
  <c r="BW210" i="84"/>
  <c r="A207" i="79"/>
  <c r="BW213" i="84"/>
  <c r="A210" i="79"/>
  <c r="BW216" i="84"/>
  <c r="A209" i="79"/>
  <c r="BW215" i="84"/>
  <c r="A212" i="79"/>
  <c r="BW218" i="84"/>
  <c r="BT188" i="84"/>
  <c r="A182" i="79" s="1"/>
  <c r="BW188" i="84" s="1"/>
  <c r="Z391" i="84" l="1"/>
  <c r="S391" i="84"/>
  <c r="X391" i="84"/>
  <c r="Q391" i="84"/>
  <c r="V391" i="84"/>
  <c r="AE391" i="84"/>
  <c r="T391" i="84"/>
  <c r="AC391" i="84"/>
  <c r="R391" i="84"/>
  <c r="AA391" i="84"/>
  <c r="Y391" i="84"/>
  <c r="AB391" i="84"/>
  <c r="U391" i="84"/>
  <c r="AD391" i="84"/>
  <c r="W391" i="84"/>
  <c r="BT189" i="84"/>
  <c r="A183" i="79" s="1"/>
  <c r="BW189" i="84" s="1"/>
  <c r="BT190" i="84" l="1"/>
  <c r="A184" i="79" s="1"/>
  <c r="BW190" i="84" s="1"/>
  <c r="BT191" i="84" l="1"/>
  <c r="A185" i="79" s="1"/>
  <c r="BW191" i="84" s="1"/>
  <c r="BQ20" i="84"/>
  <c r="BP20" i="84"/>
  <c r="BO20" i="84"/>
  <c r="BN20" i="84"/>
  <c r="BL20" i="84"/>
  <c r="BK20" i="84"/>
  <c r="BJ20" i="84"/>
  <c r="BI20" i="84"/>
  <c r="BG20" i="84"/>
  <c r="BF20" i="84"/>
  <c r="BE20" i="84"/>
  <c r="AY20" i="84"/>
  <c r="AX20" i="84"/>
  <c r="AW20" i="84"/>
  <c r="AV20" i="84"/>
  <c r="AT20" i="84"/>
  <c r="AS20" i="84"/>
  <c r="AR20" i="84"/>
  <c r="AQ20" i="84"/>
  <c r="AO20" i="84"/>
  <c r="AN20" i="84"/>
  <c r="AM20" i="84"/>
  <c r="BD20" i="84"/>
  <c r="AL20" i="84"/>
  <c r="X229" i="84" l="1"/>
  <c r="V229" i="84"/>
  <c r="T229" i="84"/>
  <c r="AB229" i="84"/>
  <c r="AC229" i="84"/>
  <c r="U229" i="84"/>
  <c r="W229" i="84"/>
  <c r="AE229" i="84"/>
  <c r="R229" i="84"/>
  <c r="Z229" i="84"/>
  <c r="S229" i="84"/>
  <c r="AA229" i="84"/>
  <c r="Y229" i="84"/>
  <c r="AD229" i="84"/>
  <c r="Q229" i="84"/>
  <c r="AL18" i="84"/>
  <c r="BE18" i="84"/>
  <c r="BG18" i="84"/>
  <c r="BI18" i="84"/>
  <c r="BK18" i="84"/>
  <c r="BM18" i="84"/>
  <c r="BO18" i="84"/>
  <c r="BQ18" i="84"/>
  <c r="AM18" i="84"/>
  <c r="AO18" i="84"/>
  <c r="AQ18" i="84"/>
  <c r="AS18" i="84"/>
  <c r="AU18" i="84"/>
  <c r="AW18" i="84"/>
  <c r="AY18" i="84"/>
  <c r="BD18" i="84"/>
  <c r="BF18" i="84"/>
  <c r="BJ18" i="84"/>
  <c r="BL18" i="84"/>
  <c r="BN18" i="84"/>
  <c r="BP18" i="84"/>
  <c r="BR18" i="84"/>
  <c r="AN18" i="84"/>
  <c r="AP18" i="84"/>
  <c r="AR18" i="84"/>
  <c r="AT18" i="84"/>
  <c r="AV18" i="84"/>
  <c r="AX18" i="84"/>
  <c r="AZ18" i="84"/>
  <c r="BT192" i="84"/>
  <c r="A186" i="79" s="1"/>
  <c r="BW192" i="84" s="1"/>
  <c r="BT193" i="84" l="1"/>
  <c r="A187" i="79" s="1"/>
  <c r="BW193" i="84" s="1"/>
  <c r="BT194" i="84" l="1"/>
  <c r="A188" i="79" s="1"/>
  <c r="BW194" i="84" s="1"/>
  <c r="BT195" i="84" l="1"/>
  <c r="A189" i="79" s="1"/>
  <c r="BW195" i="84" s="1"/>
  <c r="BT196" i="84" l="1"/>
  <c r="A190" i="79" s="1"/>
  <c r="BW196" i="84" s="1"/>
  <c r="BT197" i="84" l="1"/>
  <c r="A191" i="79" s="1"/>
  <c r="BW197" i="84" s="1"/>
  <c r="BT198" i="84" l="1"/>
  <c r="A192" i="79" s="1"/>
  <c r="BW198" i="84" s="1"/>
  <c r="BT199" i="84" l="1"/>
  <c r="A193" i="79" s="1"/>
  <c r="BW199" i="84" s="1"/>
  <c r="BT200" i="84" l="1"/>
  <c r="A194" i="79" s="1"/>
  <c r="BW200" i="84" s="1"/>
  <c r="BT201" i="84" l="1"/>
  <c r="A195" i="79" s="1"/>
  <c r="BW201" i="84" s="1"/>
  <c r="BT202" i="84" l="1"/>
  <c r="A196" i="79" s="1"/>
  <c r="BW202" i="84" s="1"/>
  <c r="BT203" i="84" l="1"/>
  <c r="A197" i="79" s="1"/>
  <c r="BW203" i="84" s="1"/>
  <c r="BT204" i="84" l="1"/>
  <c r="A198" i="79" s="1"/>
  <c r="BW204" i="84" s="1"/>
  <c r="BT205" i="84" l="1"/>
  <c r="A199" i="79" s="1"/>
  <c r="BW205" i="84" s="1"/>
  <c r="BT206" i="84" l="1"/>
  <c r="A200" i="79" s="1"/>
  <c r="BW206" i="84" s="1"/>
  <c r="BT207" i="84" l="1"/>
  <c r="A201" i="79" s="1"/>
  <c r="BW207" i="84" s="1"/>
  <c r="BT208" i="84" l="1"/>
  <c r="A202" i="79" s="1"/>
  <c r="BZ208" i="84" s="1"/>
  <c r="T417" i="84" l="1"/>
  <c r="AE417" i="84"/>
  <c r="R417" i="84"/>
  <c r="AC417" i="84"/>
  <c r="V417" i="84"/>
  <c r="AA417" i="84"/>
  <c r="AD417" i="84"/>
  <c r="Y417" i="84"/>
  <c r="AB417" i="84"/>
  <c r="W417" i="84"/>
  <c r="Q417" i="84"/>
  <c r="Z417" i="84"/>
  <c r="U417" i="84"/>
  <c r="X417" i="84"/>
  <c r="S417" i="84"/>
  <c r="BW208" i="84"/>
  <c r="H208" i="84"/>
  <c r="BT209" i="84"/>
  <c r="A203" i="79" s="1"/>
  <c r="BW209" i="84" l="1"/>
  <c r="H209" i="84"/>
  <c r="F418" i="84" s="1"/>
  <c r="BT210" i="84"/>
  <c r="A204" i="79" s="1"/>
  <c r="H210" i="84" s="1"/>
  <c r="F419" i="84" s="1"/>
  <c r="BT211" i="84" l="1"/>
  <c r="BT212" i="84" l="1"/>
  <c r="BT213" i="84" l="1"/>
  <c r="BT214" i="84" l="1"/>
  <c r="BT215" i="84" l="1"/>
  <c r="BT216" i="84" l="1"/>
  <c r="BT217" i="84" l="1"/>
  <c r="BT218" i="84" l="1"/>
  <c r="BT219" i="84" l="1"/>
  <c r="L14" i="117" l="1"/>
  <c r="K14" i="117"/>
  <c r="J14" i="117"/>
  <c r="I14" i="117"/>
  <c r="H14" i="117"/>
  <c r="G14" i="117"/>
  <c r="F14" i="117"/>
  <c r="E14" i="117"/>
  <c r="D14" i="117"/>
  <c r="M45" i="142"/>
  <c r="N45" i="142" s="1"/>
  <c r="M47" i="142"/>
  <c r="N47" i="142" s="1"/>
  <c r="R15" i="114" l="1"/>
  <c r="BR16" i="84"/>
  <c r="BM16" i="84"/>
  <c r="AZ16" i="84"/>
  <c r="AU16" i="84"/>
  <c r="G23" i="114" l="1"/>
  <c r="H113" i="115"/>
  <c r="G36" i="114"/>
  <c r="H193" i="115"/>
  <c r="H189" i="113"/>
  <c r="H109" i="113"/>
  <c r="H3" i="114" l="1"/>
  <c r="I4" i="2" s="1"/>
  <c r="V28" i="101" l="1"/>
  <c r="U28" i="101"/>
  <c r="T28" i="101"/>
  <c r="S28" i="101"/>
  <c r="Q28" i="101"/>
  <c r="P28" i="101"/>
  <c r="O28" i="101"/>
  <c r="N28" i="101"/>
  <c r="R28" i="101" l="1"/>
  <c r="D16" i="79"/>
  <c r="G16" i="79"/>
  <c r="I16" i="79"/>
  <c r="D10" i="104" s="1"/>
  <c r="E16" i="79"/>
  <c r="D20" i="79"/>
  <c r="G20" i="79"/>
  <c r="C14" i="104" s="1"/>
  <c r="I20" i="79"/>
  <c r="D14" i="104" s="1"/>
  <c r="E20" i="79"/>
  <c r="D22" i="79"/>
  <c r="G22" i="79"/>
  <c r="C16" i="104" s="1"/>
  <c r="I22" i="79"/>
  <c r="D16" i="104" s="1"/>
  <c r="E22" i="79"/>
  <c r="D24" i="79"/>
  <c r="G24" i="79"/>
  <c r="C18" i="104" s="1"/>
  <c r="I24" i="79"/>
  <c r="D18" i="104" s="1"/>
  <c r="E24" i="79"/>
  <c r="E26" i="79"/>
  <c r="I26" i="79"/>
  <c r="D20" i="104" s="1"/>
  <c r="D26" i="79"/>
  <c r="G26" i="79"/>
  <c r="C20" i="104" s="1"/>
  <c r="E30" i="79"/>
  <c r="I30" i="79"/>
  <c r="D24" i="104" s="1"/>
  <c r="G30" i="79"/>
  <c r="C24" i="104" s="1"/>
  <c r="K30" i="79"/>
  <c r="AG36" i="84" s="1"/>
  <c r="D30" i="79"/>
  <c r="D32" i="79"/>
  <c r="G32" i="79"/>
  <c r="C26" i="104" s="1"/>
  <c r="K32" i="79"/>
  <c r="AG38" i="84" s="1"/>
  <c r="I32" i="79"/>
  <c r="D26" i="104" s="1"/>
  <c r="E32" i="79"/>
  <c r="E34" i="79"/>
  <c r="I34" i="79"/>
  <c r="D28" i="104" s="1"/>
  <c r="D34" i="79"/>
  <c r="K34" i="79"/>
  <c r="AG40" i="84" s="1"/>
  <c r="G34" i="79"/>
  <c r="C28" i="104" s="1"/>
  <c r="D36" i="79"/>
  <c r="G36" i="79"/>
  <c r="C30" i="104" s="1"/>
  <c r="K36" i="79"/>
  <c r="AG42" i="84" s="1"/>
  <c r="E36" i="79"/>
  <c r="I36" i="79"/>
  <c r="D30" i="104" s="1"/>
  <c r="E38" i="79"/>
  <c r="I38" i="79"/>
  <c r="D32" i="104" s="1"/>
  <c r="G38" i="79"/>
  <c r="C32" i="104" s="1"/>
  <c r="D38" i="79"/>
  <c r="K38" i="79"/>
  <c r="AG44" i="84" s="1"/>
  <c r="D40" i="79"/>
  <c r="G40" i="79"/>
  <c r="C34" i="104" s="1"/>
  <c r="K40" i="79"/>
  <c r="AG46" i="84" s="1"/>
  <c r="I40" i="79"/>
  <c r="D34" i="104" s="1"/>
  <c r="E40" i="79"/>
  <c r="E42" i="79"/>
  <c r="I42" i="79"/>
  <c r="D36" i="104" s="1"/>
  <c r="D42" i="79"/>
  <c r="K42" i="79"/>
  <c r="AG48" i="84" s="1"/>
  <c r="G42" i="79"/>
  <c r="C36" i="104" s="1"/>
  <c r="D44" i="79"/>
  <c r="G44" i="79"/>
  <c r="C38" i="104" s="1"/>
  <c r="K44" i="79"/>
  <c r="AG50" i="84" s="1"/>
  <c r="E44" i="79"/>
  <c r="I44" i="79"/>
  <c r="D38" i="104" s="1"/>
  <c r="E46" i="79"/>
  <c r="G46" i="79"/>
  <c r="C40" i="104" s="1"/>
  <c r="K46" i="79"/>
  <c r="AG52" i="84" s="1"/>
  <c r="I46" i="79"/>
  <c r="D40" i="104" s="1"/>
  <c r="D46" i="79"/>
  <c r="E48" i="79"/>
  <c r="I48" i="79"/>
  <c r="D42" i="104" s="1"/>
  <c r="D48" i="79"/>
  <c r="K48" i="79"/>
  <c r="AG54" i="84" s="1"/>
  <c r="G48" i="79"/>
  <c r="C42" i="104" s="1"/>
  <c r="D50" i="79"/>
  <c r="G50" i="79"/>
  <c r="C44" i="104" s="1"/>
  <c r="K50" i="79"/>
  <c r="AG56" i="84" s="1"/>
  <c r="E50" i="79"/>
  <c r="I50" i="79"/>
  <c r="D44" i="104" s="1"/>
  <c r="E52" i="79"/>
  <c r="I52" i="79"/>
  <c r="D46" i="104" s="1"/>
  <c r="G52" i="79"/>
  <c r="C46" i="104" s="1"/>
  <c r="D52" i="79"/>
  <c r="K52" i="79"/>
  <c r="AG58" i="84" s="1"/>
  <c r="D54" i="79"/>
  <c r="G54" i="79"/>
  <c r="C48" i="104" s="1"/>
  <c r="K54" i="79"/>
  <c r="AG60" i="84" s="1"/>
  <c r="I54" i="79"/>
  <c r="D48" i="104" s="1"/>
  <c r="E54" i="79"/>
  <c r="D56" i="79"/>
  <c r="G56" i="79"/>
  <c r="C50" i="104" s="1"/>
  <c r="K56" i="79"/>
  <c r="AG62" i="84" s="1"/>
  <c r="I56" i="79"/>
  <c r="D50" i="104" s="1"/>
  <c r="E56" i="79"/>
  <c r="D58" i="79"/>
  <c r="G58" i="79"/>
  <c r="C52" i="104" s="1"/>
  <c r="K58" i="79"/>
  <c r="AG64" i="84" s="1"/>
  <c r="I58" i="79"/>
  <c r="D52" i="104" s="1"/>
  <c r="E58" i="79"/>
  <c r="D60" i="79"/>
  <c r="G60" i="79"/>
  <c r="C54" i="104" s="1"/>
  <c r="K60" i="79"/>
  <c r="AG66" i="84" s="1"/>
  <c r="I60" i="79"/>
  <c r="D54" i="104" s="1"/>
  <c r="E60" i="79"/>
  <c r="D62" i="79"/>
  <c r="G62" i="79"/>
  <c r="C56" i="104" s="1"/>
  <c r="K62" i="79"/>
  <c r="AG68" i="84" s="1"/>
  <c r="I62" i="79"/>
  <c r="D56" i="104" s="1"/>
  <c r="E62" i="79"/>
  <c r="D64" i="79"/>
  <c r="G64" i="79"/>
  <c r="C58" i="104" s="1"/>
  <c r="K64" i="79"/>
  <c r="AG70" i="84" s="1"/>
  <c r="I64" i="79"/>
  <c r="D58" i="104" s="1"/>
  <c r="E64" i="79"/>
  <c r="E66" i="79"/>
  <c r="I66" i="79"/>
  <c r="D60" i="104" s="1"/>
  <c r="D66" i="79"/>
  <c r="K66" i="79"/>
  <c r="AG72" i="84" s="1"/>
  <c r="G66" i="79"/>
  <c r="C60" i="104" s="1"/>
  <c r="D68" i="79"/>
  <c r="G68" i="79"/>
  <c r="C62" i="104" s="1"/>
  <c r="K68" i="79"/>
  <c r="AG74" i="84" s="1"/>
  <c r="E68" i="79"/>
  <c r="I68" i="79"/>
  <c r="D62" i="104" s="1"/>
  <c r="E70" i="79"/>
  <c r="I70" i="79"/>
  <c r="D64" i="104" s="1"/>
  <c r="G70" i="79"/>
  <c r="C64" i="104" s="1"/>
  <c r="D70" i="79"/>
  <c r="K70" i="79"/>
  <c r="AG76" i="84" s="1"/>
  <c r="D72" i="79"/>
  <c r="G72" i="79"/>
  <c r="C66" i="104" s="1"/>
  <c r="K72" i="79"/>
  <c r="AG78" i="84" s="1"/>
  <c r="I72" i="79"/>
  <c r="D66" i="104" s="1"/>
  <c r="E72" i="79"/>
  <c r="E74" i="79"/>
  <c r="I74" i="79"/>
  <c r="D68" i="104" s="1"/>
  <c r="D74" i="79"/>
  <c r="K74" i="79"/>
  <c r="AG80" i="84" s="1"/>
  <c r="G74" i="79"/>
  <c r="C68" i="104" s="1"/>
  <c r="D76" i="79"/>
  <c r="G76" i="79"/>
  <c r="C70" i="104" s="1"/>
  <c r="K76" i="79"/>
  <c r="AG82" i="84" s="1"/>
  <c r="E76" i="79"/>
  <c r="I76" i="79"/>
  <c r="D70" i="104" s="1"/>
  <c r="E78" i="79"/>
  <c r="I78" i="79"/>
  <c r="D72" i="104" s="1"/>
  <c r="G78" i="79"/>
  <c r="C72" i="104" s="1"/>
  <c r="K78" i="79"/>
  <c r="AG84" i="84" s="1"/>
  <c r="D78" i="79"/>
  <c r="D80" i="79"/>
  <c r="G80" i="79"/>
  <c r="C74" i="104" s="1"/>
  <c r="K80" i="79"/>
  <c r="AG86" i="84" s="1"/>
  <c r="I80" i="79"/>
  <c r="D74" i="104" s="1"/>
  <c r="E80" i="79"/>
  <c r="E82" i="79"/>
  <c r="I82" i="79"/>
  <c r="D76" i="104" s="1"/>
  <c r="D82" i="79"/>
  <c r="K82" i="79"/>
  <c r="AG88" i="84" s="1"/>
  <c r="G82" i="79"/>
  <c r="C76" i="104" s="1"/>
  <c r="D84" i="79"/>
  <c r="G84" i="79"/>
  <c r="C78" i="104" s="1"/>
  <c r="K84" i="79"/>
  <c r="AG90" i="84" s="1"/>
  <c r="E84" i="79"/>
  <c r="I84" i="79"/>
  <c r="D78" i="104" s="1"/>
  <c r="E86" i="79"/>
  <c r="I86" i="79"/>
  <c r="D80" i="104" s="1"/>
  <c r="G86" i="79"/>
  <c r="C80" i="104" s="1"/>
  <c r="D86" i="79"/>
  <c r="K86" i="79"/>
  <c r="AG92" i="84" s="1"/>
  <c r="D88" i="79"/>
  <c r="G88" i="79"/>
  <c r="C82" i="104" s="1"/>
  <c r="K88" i="79"/>
  <c r="AG94" i="84" s="1"/>
  <c r="I88" i="79"/>
  <c r="D82" i="104" s="1"/>
  <c r="E88" i="79"/>
  <c r="E90" i="79"/>
  <c r="I90" i="79"/>
  <c r="D84" i="104" s="1"/>
  <c r="D90" i="79"/>
  <c r="K90" i="79"/>
  <c r="AG96" i="84" s="1"/>
  <c r="G90" i="79"/>
  <c r="C84" i="104" s="1"/>
  <c r="D92" i="79"/>
  <c r="E92" i="79"/>
  <c r="I92" i="79"/>
  <c r="D86" i="104" s="1"/>
  <c r="K92" i="79"/>
  <c r="AG98" i="84" s="1"/>
  <c r="G92" i="79"/>
  <c r="C86" i="104" s="1"/>
  <c r="D94" i="79"/>
  <c r="G94" i="79"/>
  <c r="C88" i="104" s="1"/>
  <c r="K94" i="79"/>
  <c r="AG100" i="84" s="1"/>
  <c r="E94" i="79"/>
  <c r="I94" i="79"/>
  <c r="D88" i="104" s="1"/>
  <c r="E96" i="79"/>
  <c r="I96" i="79"/>
  <c r="D90" i="104" s="1"/>
  <c r="G96" i="79"/>
  <c r="C90" i="104" s="1"/>
  <c r="D96" i="79"/>
  <c r="K96" i="79"/>
  <c r="AG102" i="84" s="1"/>
  <c r="D98" i="79"/>
  <c r="G98" i="79"/>
  <c r="C92" i="104" s="1"/>
  <c r="K98" i="79"/>
  <c r="AG104" i="84" s="1"/>
  <c r="I98" i="79"/>
  <c r="D92" i="104" s="1"/>
  <c r="E98" i="79"/>
  <c r="E100" i="79"/>
  <c r="I100" i="79"/>
  <c r="D94" i="104" s="1"/>
  <c r="D100" i="79"/>
  <c r="K100" i="79"/>
  <c r="AG106" i="84" s="1"/>
  <c r="G100" i="79"/>
  <c r="C94" i="104" s="1"/>
  <c r="D102" i="79"/>
  <c r="G102" i="79"/>
  <c r="C96" i="104" s="1"/>
  <c r="K102" i="79"/>
  <c r="AG108" i="84" s="1"/>
  <c r="E102" i="79"/>
  <c r="I102" i="79"/>
  <c r="D96" i="104" s="1"/>
  <c r="E104" i="79"/>
  <c r="I104" i="79"/>
  <c r="D98" i="104" s="1"/>
  <c r="G104" i="79"/>
  <c r="C98" i="104" s="1"/>
  <c r="K104" i="79"/>
  <c r="AG110" i="84" s="1"/>
  <c r="D104" i="79"/>
  <c r="D106" i="79"/>
  <c r="G106" i="79"/>
  <c r="C100" i="104" s="1"/>
  <c r="K106" i="79"/>
  <c r="AG112" i="84" s="1"/>
  <c r="I106" i="79"/>
  <c r="D100" i="104" s="1"/>
  <c r="E106" i="79"/>
  <c r="E108" i="79"/>
  <c r="I108" i="79"/>
  <c r="D102" i="104" s="1"/>
  <c r="D108" i="79"/>
  <c r="K108" i="79"/>
  <c r="AG114" i="84" s="1"/>
  <c r="G108" i="79"/>
  <c r="C102" i="104" s="1"/>
  <c r="E110" i="79"/>
  <c r="I110" i="79"/>
  <c r="D104" i="104" s="1"/>
  <c r="D110" i="79"/>
  <c r="K110" i="79"/>
  <c r="AG116" i="84" s="1"/>
  <c r="G110" i="79"/>
  <c r="C104" i="104" s="1"/>
  <c r="E112" i="79"/>
  <c r="I112" i="79"/>
  <c r="D106" i="104" s="1"/>
  <c r="D112" i="79"/>
  <c r="K112" i="79"/>
  <c r="AG118" i="84" s="1"/>
  <c r="G112" i="79"/>
  <c r="C106" i="104" s="1"/>
  <c r="E114" i="79"/>
  <c r="I114" i="79"/>
  <c r="D108" i="104" s="1"/>
  <c r="D114" i="79"/>
  <c r="K114" i="79"/>
  <c r="AG120" i="84" s="1"/>
  <c r="G114" i="79"/>
  <c r="C108" i="104" s="1"/>
  <c r="E116" i="79"/>
  <c r="I116" i="79"/>
  <c r="D110" i="104" s="1"/>
  <c r="D116" i="79"/>
  <c r="K116" i="79"/>
  <c r="AG122" i="84" s="1"/>
  <c r="G116" i="79"/>
  <c r="C110" i="104" s="1"/>
  <c r="E118" i="79"/>
  <c r="I118" i="79"/>
  <c r="D112" i="104" s="1"/>
  <c r="D118" i="79"/>
  <c r="K118" i="79"/>
  <c r="AG124" i="84" s="1"/>
  <c r="G118" i="79"/>
  <c r="C112" i="104" s="1"/>
  <c r="D120" i="79"/>
  <c r="G120" i="79"/>
  <c r="C114" i="104" s="1"/>
  <c r="K120" i="79"/>
  <c r="AG126" i="84" s="1"/>
  <c r="E120" i="79"/>
  <c r="I120" i="79"/>
  <c r="D114" i="104" s="1"/>
  <c r="E122" i="79"/>
  <c r="I122" i="79"/>
  <c r="D116" i="104" s="1"/>
  <c r="G122" i="79"/>
  <c r="C116" i="104" s="1"/>
  <c r="K122" i="79"/>
  <c r="AG128" i="84" s="1"/>
  <c r="D122" i="79"/>
  <c r="D124" i="79"/>
  <c r="G124" i="79"/>
  <c r="C118" i="104" s="1"/>
  <c r="K124" i="79"/>
  <c r="AG130" i="84" s="1"/>
  <c r="I124" i="79"/>
  <c r="D118" i="104" s="1"/>
  <c r="E124" i="79"/>
  <c r="E126" i="79"/>
  <c r="I126" i="79"/>
  <c r="D120" i="104" s="1"/>
  <c r="D126" i="79"/>
  <c r="K126" i="79"/>
  <c r="AG132" i="84" s="1"/>
  <c r="G126" i="79"/>
  <c r="C120" i="104" s="1"/>
  <c r="D128" i="79"/>
  <c r="G128" i="79"/>
  <c r="C122" i="104" s="1"/>
  <c r="K128" i="79"/>
  <c r="AG134" i="84" s="1"/>
  <c r="E128" i="79"/>
  <c r="I128" i="79"/>
  <c r="D122" i="104" s="1"/>
  <c r="E130" i="79"/>
  <c r="I130" i="79"/>
  <c r="D124" i="104" s="1"/>
  <c r="G130" i="79"/>
  <c r="C124" i="104" s="1"/>
  <c r="D130" i="79"/>
  <c r="K130" i="79"/>
  <c r="AG136" i="84" s="1"/>
  <c r="D132" i="79"/>
  <c r="G132" i="79"/>
  <c r="C126" i="104" s="1"/>
  <c r="K132" i="79"/>
  <c r="AG138" i="84" s="1"/>
  <c r="I132" i="79"/>
  <c r="D126" i="104" s="1"/>
  <c r="E132" i="79"/>
  <c r="E134" i="79"/>
  <c r="I134" i="79"/>
  <c r="D128" i="104" s="1"/>
  <c r="D134" i="79"/>
  <c r="K134" i="79"/>
  <c r="AG140" i="84" s="1"/>
  <c r="G134" i="79"/>
  <c r="C128" i="104" s="1"/>
  <c r="D136" i="79"/>
  <c r="G136" i="79"/>
  <c r="C130" i="104" s="1"/>
  <c r="K136" i="79"/>
  <c r="AG142" i="84" s="1"/>
  <c r="E136" i="79"/>
  <c r="I136" i="79"/>
  <c r="D130" i="104" s="1"/>
  <c r="E138" i="79"/>
  <c r="I138" i="79"/>
  <c r="D132" i="104" s="1"/>
  <c r="G138" i="79"/>
  <c r="C132" i="104" s="1"/>
  <c r="K138" i="79"/>
  <c r="AG144" i="84" s="1"/>
  <c r="D138" i="79"/>
  <c r="D140" i="79"/>
  <c r="G140" i="79"/>
  <c r="C134" i="104" s="1"/>
  <c r="K140" i="79"/>
  <c r="AG146" i="84" s="1"/>
  <c r="I140" i="79"/>
  <c r="D134" i="104" s="1"/>
  <c r="E140" i="79"/>
  <c r="E142" i="79"/>
  <c r="I142" i="79"/>
  <c r="D136" i="104" s="1"/>
  <c r="D142" i="79"/>
  <c r="K142" i="79"/>
  <c r="AG148" i="84" s="1"/>
  <c r="G142" i="79"/>
  <c r="C136" i="104" s="1"/>
  <c r="D144" i="79"/>
  <c r="G144" i="79"/>
  <c r="C138" i="104" s="1"/>
  <c r="K144" i="79"/>
  <c r="AG150" i="84" s="1"/>
  <c r="E144" i="79"/>
  <c r="I144" i="79"/>
  <c r="D138" i="104" s="1"/>
  <c r="E146" i="79"/>
  <c r="I146" i="79"/>
  <c r="D140" i="104" s="1"/>
  <c r="G146" i="79"/>
  <c r="C140" i="104" s="1"/>
  <c r="D146" i="79"/>
  <c r="K146" i="79"/>
  <c r="AG152" i="84" s="1"/>
  <c r="D148" i="79"/>
  <c r="G148" i="79"/>
  <c r="C142" i="104" s="1"/>
  <c r="K148" i="79"/>
  <c r="AG154" i="84" s="1"/>
  <c r="I148" i="79"/>
  <c r="D142" i="104" s="1"/>
  <c r="E148" i="79"/>
  <c r="E150" i="79"/>
  <c r="I150" i="79"/>
  <c r="D144" i="104" s="1"/>
  <c r="D150" i="79"/>
  <c r="K150" i="79"/>
  <c r="AG156" i="84" s="1"/>
  <c r="G150" i="79"/>
  <c r="C144" i="104" s="1"/>
  <c r="D152" i="79"/>
  <c r="G152" i="79"/>
  <c r="C146" i="104" s="1"/>
  <c r="K152" i="79"/>
  <c r="AG158" i="84" s="1"/>
  <c r="E152" i="79"/>
  <c r="I152" i="79"/>
  <c r="D146" i="104" s="1"/>
  <c r="E154" i="79"/>
  <c r="I154" i="79"/>
  <c r="D148" i="104" s="1"/>
  <c r="G154" i="79"/>
  <c r="C148" i="104" s="1"/>
  <c r="K154" i="79"/>
  <c r="AG160" i="84" s="1"/>
  <c r="D154" i="79"/>
  <c r="D156" i="79"/>
  <c r="G156" i="79"/>
  <c r="C150" i="104" s="1"/>
  <c r="K156" i="79"/>
  <c r="AG162" i="84" s="1"/>
  <c r="I156" i="79"/>
  <c r="D150" i="104" s="1"/>
  <c r="E156" i="79"/>
  <c r="E158" i="79"/>
  <c r="I158" i="79"/>
  <c r="D152" i="104" s="1"/>
  <c r="D158" i="79"/>
  <c r="K158" i="79"/>
  <c r="AG164" i="84" s="1"/>
  <c r="G158" i="79"/>
  <c r="C152" i="104" s="1"/>
  <c r="D160" i="79"/>
  <c r="G160" i="79"/>
  <c r="C154" i="104" s="1"/>
  <c r="K160" i="79"/>
  <c r="AG166" i="84" s="1"/>
  <c r="E160" i="79"/>
  <c r="I160" i="79"/>
  <c r="D154" i="104" s="1"/>
  <c r="E162" i="79"/>
  <c r="I162" i="79"/>
  <c r="D156" i="104" s="1"/>
  <c r="G162" i="79"/>
  <c r="C156" i="104" s="1"/>
  <c r="D162" i="79"/>
  <c r="K162" i="79"/>
  <c r="AG168" i="84" s="1"/>
  <c r="D164" i="79"/>
  <c r="G164" i="79"/>
  <c r="C158" i="104" s="1"/>
  <c r="K164" i="79"/>
  <c r="AG170" i="84" s="1"/>
  <c r="I164" i="79"/>
  <c r="D158" i="104" s="1"/>
  <c r="E164" i="79"/>
  <c r="E166" i="79"/>
  <c r="I166" i="79"/>
  <c r="D160" i="104" s="1"/>
  <c r="D166" i="79"/>
  <c r="K166" i="79"/>
  <c r="AG172" i="84" s="1"/>
  <c r="G166" i="79"/>
  <c r="C160" i="104" s="1"/>
  <c r="D168" i="79"/>
  <c r="G168" i="79"/>
  <c r="C162" i="104" s="1"/>
  <c r="K168" i="79"/>
  <c r="AG174" i="84" s="1"/>
  <c r="E168" i="79"/>
  <c r="I168" i="79"/>
  <c r="D162" i="104" s="1"/>
  <c r="E170" i="79"/>
  <c r="I170" i="79"/>
  <c r="D164" i="104" s="1"/>
  <c r="G170" i="79"/>
  <c r="C164" i="104" s="1"/>
  <c r="K170" i="79"/>
  <c r="AG176" i="84" s="1"/>
  <c r="D170" i="79"/>
  <c r="D172" i="79"/>
  <c r="G172" i="79"/>
  <c r="C166" i="104" s="1"/>
  <c r="K172" i="79"/>
  <c r="AG178" i="84" s="1"/>
  <c r="I172" i="79"/>
  <c r="D166" i="104" s="1"/>
  <c r="E172" i="79"/>
  <c r="E174" i="79"/>
  <c r="I174" i="79"/>
  <c r="D168" i="104" s="1"/>
  <c r="D174" i="79"/>
  <c r="K174" i="79"/>
  <c r="AG180" i="84" s="1"/>
  <c r="G174" i="79"/>
  <c r="C168" i="104" s="1"/>
  <c r="G15" i="79"/>
  <c r="E15" i="79"/>
  <c r="I15" i="79"/>
  <c r="D9" i="104" s="1"/>
  <c r="D19" i="79"/>
  <c r="G19" i="79"/>
  <c r="C13" i="104" s="1"/>
  <c r="E19" i="79"/>
  <c r="I19" i="79"/>
  <c r="D13" i="104" s="1"/>
  <c r="D21" i="79"/>
  <c r="G21" i="79"/>
  <c r="C15" i="104" s="1"/>
  <c r="E21" i="79"/>
  <c r="I21" i="79"/>
  <c r="D15" i="104" s="1"/>
  <c r="D23" i="79"/>
  <c r="G23" i="79"/>
  <c r="C17" i="104" s="1"/>
  <c r="E23" i="79"/>
  <c r="I23" i="79"/>
  <c r="D17" i="104" s="1"/>
  <c r="D25" i="79"/>
  <c r="G25" i="79"/>
  <c r="C19" i="104" s="1"/>
  <c r="E25" i="79"/>
  <c r="I25" i="79"/>
  <c r="D19" i="104" s="1"/>
  <c r="D29" i="79"/>
  <c r="G29" i="79"/>
  <c r="C23" i="104" s="1"/>
  <c r="K29" i="79"/>
  <c r="I29" i="79"/>
  <c r="D23" i="104" s="1"/>
  <c r="E29" i="79"/>
  <c r="E31" i="79"/>
  <c r="I31" i="79"/>
  <c r="D25" i="104" s="1"/>
  <c r="D31" i="79"/>
  <c r="K31" i="79"/>
  <c r="AG37" i="84" s="1"/>
  <c r="G31" i="79"/>
  <c r="C25" i="104" s="1"/>
  <c r="D33" i="79"/>
  <c r="G33" i="79"/>
  <c r="C27" i="104" s="1"/>
  <c r="K33" i="79"/>
  <c r="AG39" i="84" s="1"/>
  <c r="E33" i="79"/>
  <c r="I33" i="79"/>
  <c r="D27" i="104" s="1"/>
  <c r="E35" i="79"/>
  <c r="I35" i="79"/>
  <c r="D29" i="104" s="1"/>
  <c r="G35" i="79"/>
  <c r="C29" i="104" s="1"/>
  <c r="D35" i="79"/>
  <c r="K35" i="79"/>
  <c r="AG41" i="84" s="1"/>
  <c r="D37" i="79"/>
  <c r="G37" i="79"/>
  <c r="C31" i="104" s="1"/>
  <c r="K37" i="79"/>
  <c r="AG43" i="84" s="1"/>
  <c r="I37" i="79"/>
  <c r="D31" i="104" s="1"/>
  <c r="E37" i="79"/>
  <c r="E39" i="79"/>
  <c r="I39" i="79"/>
  <c r="D33" i="104" s="1"/>
  <c r="D39" i="79"/>
  <c r="K39" i="79"/>
  <c r="AG45" i="84" s="1"/>
  <c r="G39" i="79"/>
  <c r="C33" i="104" s="1"/>
  <c r="D41" i="79"/>
  <c r="G41" i="79"/>
  <c r="C35" i="104" s="1"/>
  <c r="K41" i="79"/>
  <c r="AG47" i="84" s="1"/>
  <c r="E41" i="79"/>
  <c r="I41" i="79"/>
  <c r="D35" i="104" s="1"/>
  <c r="E43" i="79"/>
  <c r="I43" i="79"/>
  <c r="D37" i="104" s="1"/>
  <c r="G43" i="79"/>
  <c r="C37" i="104" s="1"/>
  <c r="K43" i="79"/>
  <c r="AG49" i="84" s="1"/>
  <c r="D43" i="79"/>
  <c r="D45" i="79"/>
  <c r="G45" i="79"/>
  <c r="C39" i="104" s="1"/>
  <c r="K45" i="79"/>
  <c r="AG51" i="84" s="1"/>
  <c r="I45" i="79"/>
  <c r="D39" i="104" s="1"/>
  <c r="E45" i="79"/>
  <c r="D47" i="79"/>
  <c r="G47" i="79"/>
  <c r="C41" i="104" s="1"/>
  <c r="K47" i="79"/>
  <c r="AG53" i="84" s="1"/>
  <c r="E47" i="79"/>
  <c r="I47" i="79"/>
  <c r="D41" i="104" s="1"/>
  <c r="E49" i="79"/>
  <c r="I49" i="79"/>
  <c r="D43" i="104" s="1"/>
  <c r="G49" i="79"/>
  <c r="C43" i="104" s="1"/>
  <c r="D49" i="79"/>
  <c r="K49" i="79"/>
  <c r="AG55" i="84" s="1"/>
  <c r="D51" i="79"/>
  <c r="G51" i="79"/>
  <c r="C45" i="104" s="1"/>
  <c r="K51" i="79"/>
  <c r="AG57" i="84" s="1"/>
  <c r="I51" i="79"/>
  <c r="D45" i="104" s="1"/>
  <c r="E51" i="79"/>
  <c r="E53" i="79"/>
  <c r="I53" i="79"/>
  <c r="D47" i="104" s="1"/>
  <c r="D53" i="79"/>
  <c r="K53" i="79"/>
  <c r="AG59" i="84" s="1"/>
  <c r="G53" i="79"/>
  <c r="C47" i="104" s="1"/>
  <c r="D55" i="79"/>
  <c r="G55" i="79"/>
  <c r="C49" i="104" s="1"/>
  <c r="K55" i="79"/>
  <c r="AG61" i="84" s="1"/>
  <c r="E55" i="79"/>
  <c r="I55" i="79"/>
  <c r="D49" i="104" s="1"/>
  <c r="D57" i="79"/>
  <c r="G57" i="79"/>
  <c r="C51" i="104" s="1"/>
  <c r="K57" i="79"/>
  <c r="AG63" i="84" s="1"/>
  <c r="E57" i="79"/>
  <c r="I57" i="79"/>
  <c r="D51" i="104" s="1"/>
  <c r="D59" i="79"/>
  <c r="G59" i="79"/>
  <c r="C53" i="104" s="1"/>
  <c r="K59" i="79"/>
  <c r="AG65" i="84" s="1"/>
  <c r="E59" i="79"/>
  <c r="I59" i="79"/>
  <c r="D53" i="104" s="1"/>
  <c r="D61" i="79"/>
  <c r="G61" i="79"/>
  <c r="C55" i="104" s="1"/>
  <c r="K61" i="79"/>
  <c r="AG67" i="84" s="1"/>
  <c r="E61" i="79"/>
  <c r="I61" i="79"/>
  <c r="D55" i="104" s="1"/>
  <c r="D63" i="79"/>
  <c r="G63" i="79"/>
  <c r="C57" i="104" s="1"/>
  <c r="K63" i="79"/>
  <c r="AG69" i="84" s="1"/>
  <c r="E63" i="79"/>
  <c r="I63" i="79"/>
  <c r="D57" i="104" s="1"/>
  <c r="D65" i="79"/>
  <c r="G65" i="79"/>
  <c r="C59" i="104" s="1"/>
  <c r="K65" i="79"/>
  <c r="AG71" i="84" s="1"/>
  <c r="E65" i="79"/>
  <c r="I65" i="79"/>
  <c r="D59" i="104" s="1"/>
  <c r="E67" i="79"/>
  <c r="I67" i="79"/>
  <c r="D61" i="104" s="1"/>
  <c r="G67" i="79"/>
  <c r="C61" i="104" s="1"/>
  <c r="D67" i="79"/>
  <c r="K67" i="79"/>
  <c r="AG73" i="84" s="1"/>
  <c r="D69" i="79"/>
  <c r="G69" i="79"/>
  <c r="C63" i="104" s="1"/>
  <c r="K69" i="79"/>
  <c r="AG75" i="84" s="1"/>
  <c r="I69" i="79"/>
  <c r="D63" i="104" s="1"/>
  <c r="E69" i="79"/>
  <c r="E71" i="79"/>
  <c r="I71" i="79"/>
  <c r="D65" i="104" s="1"/>
  <c r="D71" i="79"/>
  <c r="K71" i="79"/>
  <c r="AG77" i="84" s="1"/>
  <c r="G71" i="79"/>
  <c r="C65" i="104" s="1"/>
  <c r="D73" i="79"/>
  <c r="G73" i="79"/>
  <c r="C67" i="104" s="1"/>
  <c r="K73" i="79"/>
  <c r="AG79" i="84" s="1"/>
  <c r="E73" i="79"/>
  <c r="I73" i="79"/>
  <c r="D67" i="104" s="1"/>
  <c r="E75" i="79"/>
  <c r="I75" i="79"/>
  <c r="D69" i="104" s="1"/>
  <c r="G75" i="79"/>
  <c r="C69" i="104" s="1"/>
  <c r="K75" i="79"/>
  <c r="AG81" i="84" s="1"/>
  <c r="D75" i="79"/>
  <c r="D77" i="79"/>
  <c r="G77" i="79"/>
  <c r="C71" i="104" s="1"/>
  <c r="K77" i="79"/>
  <c r="AG83" i="84" s="1"/>
  <c r="I77" i="79"/>
  <c r="D71" i="104" s="1"/>
  <c r="E77" i="79"/>
  <c r="E79" i="79"/>
  <c r="I79" i="79"/>
  <c r="D73" i="104" s="1"/>
  <c r="D79" i="79"/>
  <c r="K79" i="79"/>
  <c r="AG85" i="84" s="1"/>
  <c r="G79" i="79"/>
  <c r="C73" i="104" s="1"/>
  <c r="D81" i="79"/>
  <c r="G81" i="79"/>
  <c r="C75" i="104" s="1"/>
  <c r="K81" i="79"/>
  <c r="AG87" i="84" s="1"/>
  <c r="E81" i="79"/>
  <c r="I81" i="79"/>
  <c r="D75" i="104" s="1"/>
  <c r="E83" i="79"/>
  <c r="I83" i="79"/>
  <c r="D77" i="104" s="1"/>
  <c r="G83" i="79"/>
  <c r="C77" i="104" s="1"/>
  <c r="D83" i="79"/>
  <c r="K83" i="79"/>
  <c r="AG89" i="84" s="1"/>
  <c r="D85" i="79"/>
  <c r="G85" i="79"/>
  <c r="C79" i="104" s="1"/>
  <c r="K85" i="79"/>
  <c r="AG91" i="84" s="1"/>
  <c r="I85" i="79"/>
  <c r="D79" i="104" s="1"/>
  <c r="E85" i="79"/>
  <c r="E87" i="79"/>
  <c r="I87" i="79"/>
  <c r="D81" i="104" s="1"/>
  <c r="D87" i="79"/>
  <c r="K87" i="79"/>
  <c r="AG93" i="84" s="1"/>
  <c r="G87" i="79"/>
  <c r="C81" i="104" s="1"/>
  <c r="D89" i="79"/>
  <c r="G89" i="79"/>
  <c r="C83" i="104" s="1"/>
  <c r="K89" i="79"/>
  <c r="AG95" i="84" s="1"/>
  <c r="E89" i="79"/>
  <c r="I89" i="79"/>
  <c r="D83" i="104" s="1"/>
  <c r="E91" i="79"/>
  <c r="I91" i="79"/>
  <c r="D85" i="104" s="1"/>
  <c r="G91" i="79"/>
  <c r="C85" i="104" s="1"/>
  <c r="K91" i="79"/>
  <c r="AG97" i="84" s="1"/>
  <c r="D91" i="79"/>
  <c r="E93" i="79"/>
  <c r="I93" i="79"/>
  <c r="D87" i="104" s="1"/>
  <c r="G93" i="79"/>
  <c r="C87" i="104" s="1"/>
  <c r="D93" i="79"/>
  <c r="K93" i="79"/>
  <c r="AG99" i="84" s="1"/>
  <c r="D95" i="79"/>
  <c r="G95" i="79"/>
  <c r="C89" i="104" s="1"/>
  <c r="K95" i="79"/>
  <c r="AG101" i="84" s="1"/>
  <c r="I95" i="79"/>
  <c r="D89" i="104" s="1"/>
  <c r="E95" i="79"/>
  <c r="E97" i="79"/>
  <c r="I97" i="79"/>
  <c r="D91" i="104" s="1"/>
  <c r="D97" i="79"/>
  <c r="K97" i="79"/>
  <c r="AG103" i="84" s="1"/>
  <c r="G97" i="79"/>
  <c r="C91" i="104" s="1"/>
  <c r="D99" i="79"/>
  <c r="G99" i="79"/>
  <c r="C93" i="104" s="1"/>
  <c r="K99" i="79"/>
  <c r="AG105" i="84" s="1"/>
  <c r="E99" i="79"/>
  <c r="I99" i="79"/>
  <c r="D93" i="104" s="1"/>
  <c r="E101" i="79"/>
  <c r="I101" i="79"/>
  <c r="D95" i="104" s="1"/>
  <c r="G101" i="79"/>
  <c r="C95" i="104" s="1"/>
  <c r="K101" i="79"/>
  <c r="AG107" i="84" s="1"/>
  <c r="D101" i="79"/>
  <c r="D103" i="79"/>
  <c r="G103" i="79"/>
  <c r="C97" i="104" s="1"/>
  <c r="K103" i="79"/>
  <c r="AG109" i="84" s="1"/>
  <c r="I103" i="79"/>
  <c r="D97" i="104" s="1"/>
  <c r="E103" i="79"/>
  <c r="E105" i="79"/>
  <c r="I105" i="79"/>
  <c r="D99" i="104" s="1"/>
  <c r="D105" i="79"/>
  <c r="K105" i="79"/>
  <c r="AG111" i="84" s="1"/>
  <c r="G105" i="79"/>
  <c r="C99" i="104" s="1"/>
  <c r="D107" i="79"/>
  <c r="G107" i="79"/>
  <c r="C101" i="104" s="1"/>
  <c r="K107" i="79"/>
  <c r="AG113" i="84" s="1"/>
  <c r="E107" i="79"/>
  <c r="I107" i="79"/>
  <c r="D101" i="104" s="1"/>
  <c r="E109" i="79"/>
  <c r="I109" i="79"/>
  <c r="D103" i="104" s="1"/>
  <c r="G109" i="79"/>
  <c r="C103" i="104" s="1"/>
  <c r="D109" i="79"/>
  <c r="K109" i="79"/>
  <c r="AG115" i="84" s="1"/>
  <c r="E111" i="79"/>
  <c r="I111" i="79"/>
  <c r="D105" i="104" s="1"/>
  <c r="G111" i="79"/>
  <c r="C105" i="104" s="1"/>
  <c r="K111" i="79"/>
  <c r="AG117" i="84" s="1"/>
  <c r="D111" i="79"/>
  <c r="E113" i="79"/>
  <c r="I113" i="79"/>
  <c r="D107" i="104" s="1"/>
  <c r="G113" i="79"/>
  <c r="C107" i="104" s="1"/>
  <c r="D113" i="79"/>
  <c r="K113" i="79"/>
  <c r="AG119" i="84" s="1"/>
  <c r="E115" i="79"/>
  <c r="I115" i="79"/>
  <c r="D109" i="104" s="1"/>
  <c r="G115" i="79"/>
  <c r="C109" i="104" s="1"/>
  <c r="K115" i="79"/>
  <c r="AG121" i="84" s="1"/>
  <c r="D115" i="79"/>
  <c r="E117" i="79"/>
  <c r="I117" i="79"/>
  <c r="D111" i="104" s="1"/>
  <c r="G117" i="79"/>
  <c r="C111" i="104" s="1"/>
  <c r="D117" i="79"/>
  <c r="K117" i="79"/>
  <c r="AG123" i="84" s="1"/>
  <c r="D119" i="79"/>
  <c r="G119" i="79"/>
  <c r="C113" i="104" s="1"/>
  <c r="K119" i="79"/>
  <c r="AG125" i="84" s="1"/>
  <c r="I119" i="79"/>
  <c r="D113" i="104" s="1"/>
  <c r="E119" i="79"/>
  <c r="E121" i="79"/>
  <c r="I121" i="79"/>
  <c r="D115" i="104" s="1"/>
  <c r="D121" i="79"/>
  <c r="K121" i="79"/>
  <c r="AG127" i="84" s="1"/>
  <c r="G121" i="79"/>
  <c r="C115" i="104" s="1"/>
  <c r="D123" i="79"/>
  <c r="G123" i="79"/>
  <c r="C117" i="104" s="1"/>
  <c r="K123" i="79"/>
  <c r="AG129" i="84" s="1"/>
  <c r="E123" i="79"/>
  <c r="I123" i="79"/>
  <c r="D117" i="104" s="1"/>
  <c r="E125" i="79"/>
  <c r="I125" i="79"/>
  <c r="D119" i="104" s="1"/>
  <c r="G125" i="79"/>
  <c r="C119" i="104" s="1"/>
  <c r="K125" i="79"/>
  <c r="AG131" i="84" s="1"/>
  <c r="D125" i="79"/>
  <c r="D127" i="79"/>
  <c r="G127" i="79"/>
  <c r="C121" i="104" s="1"/>
  <c r="K127" i="79"/>
  <c r="AG133" i="84" s="1"/>
  <c r="I127" i="79"/>
  <c r="D121" i="104" s="1"/>
  <c r="E127" i="79"/>
  <c r="E129" i="79"/>
  <c r="I129" i="79"/>
  <c r="D123" i="104" s="1"/>
  <c r="D129" i="79"/>
  <c r="K129" i="79"/>
  <c r="AG135" i="84" s="1"/>
  <c r="G129" i="79"/>
  <c r="C123" i="104" s="1"/>
  <c r="D131" i="79"/>
  <c r="G131" i="79"/>
  <c r="C125" i="104" s="1"/>
  <c r="K131" i="79"/>
  <c r="AG137" i="84" s="1"/>
  <c r="E131" i="79"/>
  <c r="I131" i="79"/>
  <c r="D125" i="104" s="1"/>
  <c r="E133" i="79"/>
  <c r="I133" i="79"/>
  <c r="D127" i="104" s="1"/>
  <c r="G133" i="79"/>
  <c r="C127" i="104" s="1"/>
  <c r="D133" i="79"/>
  <c r="K133" i="79"/>
  <c r="AG139" i="84" s="1"/>
  <c r="D135" i="79"/>
  <c r="G135" i="79"/>
  <c r="C129" i="104" s="1"/>
  <c r="K135" i="79"/>
  <c r="AG141" i="84" s="1"/>
  <c r="I135" i="79"/>
  <c r="D129" i="104" s="1"/>
  <c r="E135" i="79"/>
  <c r="E137" i="79"/>
  <c r="I137" i="79"/>
  <c r="D131" i="104" s="1"/>
  <c r="D137" i="79"/>
  <c r="K137" i="79"/>
  <c r="AG143" i="84" s="1"/>
  <c r="G137" i="79"/>
  <c r="C131" i="104" s="1"/>
  <c r="D139" i="79"/>
  <c r="G139" i="79"/>
  <c r="C133" i="104" s="1"/>
  <c r="K139" i="79"/>
  <c r="AG145" i="84" s="1"/>
  <c r="E139" i="79"/>
  <c r="I139" i="79"/>
  <c r="D133" i="104" s="1"/>
  <c r="E141" i="79"/>
  <c r="I141" i="79"/>
  <c r="D135" i="104" s="1"/>
  <c r="G141" i="79"/>
  <c r="C135" i="104" s="1"/>
  <c r="K141" i="79"/>
  <c r="AG147" i="84" s="1"/>
  <c r="D141" i="79"/>
  <c r="D143" i="79"/>
  <c r="G143" i="79"/>
  <c r="C137" i="104" s="1"/>
  <c r="K143" i="79"/>
  <c r="AG149" i="84" s="1"/>
  <c r="I143" i="79"/>
  <c r="D137" i="104" s="1"/>
  <c r="E143" i="79"/>
  <c r="E145" i="79"/>
  <c r="I145" i="79"/>
  <c r="D139" i="104" s="1"/>
  <c r="D145" i="79"/>
  <c r="K145" i="79"/>
  <c r="AG151" i="84" s="1"/>
  <c r="G145" i="79"/>
  <c r="C139" i="104" s="1"/>
  <c r="D147" i="79"/>
  <c r="G147" i="79"/>
  <c r="C141" i="104" s="1"/>
  <c r="K147" i="79"/>
  <c r="AG153" i="84" s="1"/>
  <c r="E147" i="79"/>
  <c r="I147" i="79"/>
  <c r="D141" i="104" s="1"/>
  <c r="E149" i="79"/>
  <c r="I149" i="79"/>
  <c r="D143" i="104" s="1"/>
  <c r="G149" i="79"/>
  <c r="C143" i="104" s="1"/>
  <c r="D149" i="79"/>
  <c r="K149" i="79"/>
  <c r="AG155" i="84" s="1"/>
  <c r="D151" i="79"/>
  <c r="G151" i="79"/>
  <c r="C145" i="104" s="1"/>
  <c r="K151" i="79"/>
  <c r="AG157" i="84" s="1"/>
  <c r="I151" i="79"/>
  <c r="D145" i="104" s="1"/>
  <c r="E151" i="79"/>
  <c r="E153" i="79"/>
  <c r="I153" i="79"/>
  <c r="D147" i="104" s="1"/>
  <c r="D153" i="79"/>
  <c r="K153" i="79"/>
  <c r="AG159" i="84" s="1"/>
  <c r="G153" i="79"/>
  <c r="C147" i="104" s="1"/>
  <c r="D155" i="79"/>
  <c r="G155" i="79"/>
  <c r="C149" i="104" s="1"/>
  <c r="K155" i="79"/>
  <c r="AG161" i="84" s="1"/>
  <c r="E155" i="79"/>
  <c r="I155" i="79"/>
  <c r="D149" i="104" s="1"/>
  <c r="E157" i="79"/>
  <c r="I157" i="79"/>
  <c r="D151" i="104" s="1"/>
  <c r="G157" i="79"/>
  <c r="C151" i="104" s="1"/>
  <c r="K157" i="79"/>
  <c r="AG163" i="84" s="1"/>
  <c r="D157" i="79"/>
  <c r="D159" i="79"/>
  <c r="G159" i="79"/>
  <c r="C153" i="104" s="1"/>
  <c r="K159" i="79"/>
  <c r="AG165" i="84" s="1"/>
  <c r="I159" i="79"/>
  <c r="D153" i="104" s="1"/>
  <c r="E159" i="79"/>
  <c r="E161" i="79"/>
  <c r="I161" i="79"/>
  <c r="D155" i="104" s="1"/>
  <c r="D161" i="79"/>
  <c r="K161" i="79"/>
  <c r="AG167" i="84" s="1"/>
  <c r="G161" i="79"/>
  <c r="C155" i="104" s="1"/>
  <c r="D163" i="79"/>
  <c r="G163" i="79"/>
  <c r="C157" i="104" s="1"/>
  <c r="K163" i="79"/>
  <c r="AG169" i="84" s="1"/>
  <c r="E163" i="79"/>
  <c r="I163" i="79"/>
  <c r="D157" i="104" s="1"/>
  <c r="E165" i="79"/>
  <c r="I165" i="79"/>
  <c r="D159" i="104" s="1"/>
  <c r="G165" i="79"/>
  <c r="C159" i="104" s="1"/>
  <c r="D165" i="79"/>
  <c r="K165" i="79"/>
  <c r="AG171" i="84" s="1"/>
  <c r="D167" i="79"/>
  <c r="G167" i="79"/>
  <c r="C161" i="104" s="1"/>
  <c r="K167" i="79"/>
  <c r="AG173" i="84" s="1"/>
  <c r="I167" i="79"/>
  <c r="D161" i="104" s="1"/>
  <c r="E167" i="79"/>
  <c r="E169" i="79"/>
  <c r="I169" i="79"/>
  <c r="D163" i="104" s="1"/>
  <c r="D169" i="79"/>
  <c r="K169" i="79"/>
  <c r="AG175" i="84" s="1"/>
  <c r="G169" i="79"/>
  <c r="C163" i="104" s="1"/>
  <c r="D171" i="79"/>
  <c r="G171" i="79"/>
  <c r="C165" i="104" s="1"/>
  <c r="K171" i="79"/>
  <c r="AG177" i="84" s="1"/>
  <c r="E171" i="79"/>
  <c r="I171" i="79"/>
  <c r="D165" i="104" s="1"/>
  <c r="E173" i="79"/>
  <c r="I173" i="79"/>
  <c r="D167" i="104" s="1"/>
  <c r="G173" i="79"/>
  <c r="C167" i="104" s="1"/>
  <c r="K173" i="79"/>
  <c r="AG179" i="84" s="1"/>
  <c r="D173" i="79"/>
  <c r="D175" i="79"/>
  <c r="G175" i="79"/>
  <c r="C169" i="104" s="1"/>
  <c r="K175" i="79"/>
  <c r="AG181" i="84" s="1"/>
  <c r="I175" i="79"/>
  <c r="D169" i="104" s="1"/>
  <c r="E175" i="79"/>
  <c r="I14" i="79"/>
  <c r="G14" i="79"/>
  <c r="F14" i="79" l="1"/>
  <c r="H20" i="84" s="1"/>
  <c r="AG35" i="84"/>
  <c r="AN10" i="104"/>
  <c r="AQ11" i="104"/>
  <c r="AQ8" i="104"/>
  <c r="AG58" i="104"/>
  <c r="AF57" i="104"/>
  <c r="AN9" i="104"/>
  <c r="H15" i="101" s="1"/>
  <c r="AR9" i="104"/>
  <c r="L15" i="101" s="1"/>
  <c r="AO8" i="104"/>
  <c r="AE57" i="104"/>
  <c r="AG60" i="104"/>
  <c r="AQ14" i="104"/>
  <c r="AR8" i="104"/>
  <c r="AQ16" i="104"/>
  <c r="AP9" i="104"/>
  <c r="J15" i="101" s="1"/>
  <c r="AE58" i="104"/>
  <c r="AQ18" i="104"/>
  <c r="AQ15" i="104"/>
  <c r="K21" i="101" s="1"/>
  <c r="AN8" i="104"/>
  <c r="AQ10" i="104"/>
  <c r="AG57" i="104"/>
  <c r="AR15" i="104"/>
  <c r="L21" i="101" s="1"/>
  <c r="AF58" i="104"/>
  <c r="AE59" i="104"/>
  <c r="AO15" i="104"/>
  <c r="I21" i="101" s="1"/>
  <c r="AE60" i="104"/>
  <c r="F15" i="2" s="1"/>
  <c r="L15" i="2" s="1"/>
  <c r="C12" i="195" s="1"/>
  <c r="E12" i="195" s="1"/>
  <c r="AP8" i="104"/>
  <c r="AQ12" i="104"/>
  <c r="K18" i="101" s="1"/>
  <c r="Q108" i="117" s="1"/>
  <c r="AV23" i="117" s="1"/>
  <c r="AO9" i="104"/>
  <c r="I15" i="101" s="1"/>
  <c r="AF60" i="104"/>
  <c r="AG59" i="104"/>
  <c r="AN15" i="104"/>
  <c r="H21" i="101" s="1"/>
  <c r="AQ9" i="104"/>
  <c r="K15" i="101" s="1"/>
  <c r="AF56" i="104"/>
  <c r="G11" i="2" s="1"/>
  <c r="M11" i="2" s="1"/>
  <c r="AP15" i="104"/>
  <c r="J21" i="101" s="1"/>
  <c r="AQ19" i="104"/>
  <c r="K25" i="101" s="1"/>
  <c r="Q115" i="117" s="1"/>
  <c r="AV30" i="117" s="1"/>
  <c r="AQ17" i="104"/>
  <c r="AF59" i="104"/>
  <c r="AQ13" i="104"/>
  <c r="CC18" i="84"/>
  <c r="AJ3" i="84" s="1"/>
  <c r="AN19" i="104"/>
  <c r="AR13" i="104"/>
  <c r="L19" i="101" s="1"/>
  <c r="R109" i="117" s="1"/>
  <c r="AW24" i="117" s="1"/>
  <c r="AO13" i="104"/>
  <c r="AN13" i="104"/>
  <c r="AP13" i="104"/>
  <c r="J19" i="101" s="1"/>
  <c r="K19" i="101"/>
  <c r="Q109" i="117" s="1"/>
  <c r="AV24" i="117" s="1"/>
  <c r="AR19" i="104"/>
  <c r="L25" i="101" s="1"/>
  <c r="R115" i="117" s="1"/>
  <c r="AW30" i="117" s="1"/>
  <c r="AO19" i="104"/>
  <c r="AP19" i="104"/>
  <c r="J25" i="101" s="1"/>
  <c r="P115" i="117" s="1"/>
  <c r="AU30" i="117" s="1"/>
  <c r="F59" i="79"/>
  <c r="F22" i="79"/>
  <c r="F16" i="79"/>
  <c r="F72" i="79"/>
  <c r="F56" i="79"/>
  <c r="F40" i="79"/>
  <c r="F19" i="79"/>
  <c r="F21" i="79"/>
  <c r="F25" i="79"/>
  <c r="F69" i="79"/>
  <c r="F37" i="79"/>
  <c r="F64" i="79"/>
  <c r="F77" i="79"/>
  <c r="F45" i="79"/>
  <c r="F29" i="79"/>
  <c r="F24" i="79"/>
  <c r="F63" i="79"/>
  <c r="F47" i="79"/>
  <c r="F20" i="79"/>
  <c r="F32" i="79"/>
  <c r="F60" i="79"/>
  <c r="F49" i="79"/>
  <c r="F26" i="79"/>
  <c r="F67" i="79"/>
  <c r="F35" i="79"/>
  <c r="F68" i="79"/>
  <c r="F66" i="79"/>
  <c r="F58" i="79"/>
  <c r="F36" i="79"/>
  <c r="F34" i="79"/>
  <c r="F79" i="79"/>
  <c r="F65" i="79"/>
  <c r="F33" i="79"/>
  <c r="F31" i="79"/>
  <c r="F78" i="79"/>
  <c r="F54" i="79"/>
  <c r="F46" i="79"/>
  <c r="F30" i="79"/>
  <c r="F55" i="79"/>
  <c r="F53" i="79"/>
  <c r="L15" i="79"/>
  <c r="B9" i="104" s="1"/>
  <c r="F15" i="79"/>
  <c r="F52" i="79"/>
  <c r="F75" i="79"/>
  <c r="F61" i="79"/>
  <c r="F51" i="79"/>
  <c r="F43" i="79"/>
  <c r="F76" i="79"/>
  <c r="F74" i="79"/>
  <c r="F44" i="79"/>
  <c r="F42" i="79"/>
  <c r="F50" i="79"/>
  <c r="F48" i="79"/>
  <c r="F73" i="79"/>
  <c r="F71" i="79"/>
  <c r="F57" i="79"/>
  <c r="F41" i="79"/>
  <c r="F39" i="79"/>
  <c r="F23" i="79"/>
  <c r="F70" i="79"/>
  <c r="F62" i="79"/>
  <c r="F38" i="79"/>
  <c r="L24" i="79"/>
  <c r="AH30" i="84" s="1"/>
  <c r="L20" i="79"/>
  <c r="B14" i="104" s="1"/>
  <c r="L25" i="79"/>
  <c r="L21" i="79"/>
  <c r="K27" i="84" s="1"/>
  <c r="L22" i="79"/>
  <c r="K28" i="84" s="1"/>
  <c r="L16" i="79"/>
  <c r="K22" i="84" s="1"/>
  <c r="L23" i="79"/>
  <c r="L19" i="79"/>
  <c r="K25" i="84" s="1"/>
  <c r="L26" i="79"/>
  <c r="O365" i="84"/>
  <c r="O372" i="84"/>
  <c r="O356" i="84"/>
  <c r="O340" i="84"/>
  <c r="O377" i="84"/>
  <c r="O331" i="84"/>
  <c r="O380" i="84"/>
  <c r="O364" i="84"/>
  <c r="O348" i="84"/>
  <c r="O332" i="84"/>
  <c r="O330" i="84"/>
  <c r="O328" i="84"/>
  <c r="O381" i="84"/>
  <c r="O353" i="84"/>
  <c r="O333" i="84"/>
  <c r="O329" i="84"/>
  <c r="L175" i="79"/>
  <c r="AH181" i="84" s="1"/>
  <c r="O390" i="84"/>
  <c r="AD179" i="84"/>
  <c r="Q179" i="84"/>
  <c r="AD177" i="84"/>
  <c r="Q177" i="84"/>
  <c r="AD175" i="84"/>
  <c r="Q175" i="84"/>
  <c r="L167" i="79"/>
  <c r="AH173" i="84" s="1"/>
  <c r="AD171" i="84"/>
  <c r="Q171" i="84"/>
  <c r="AD169" i="84"/>
  <c r="Q169" i="84"/>
  <c r="AD167" i="84"/>
  <c r="Q167" i="84"/>
  <c r="L159" i="79"/>
  <c r="AH165" i="84" s="1"/>
  <c r="AD163" i="84"/>
  <c r="Q163" i="84"/>
  <c r="AD161" i="84"/>
  <c r="Q161" i="84"/>
  <c r="AD159" i="84"/>
  <c r="Q159" i="84"/>
  <c r="L151" i="79"/>
  <c r="AH157" i="84" s="1"/>
  <c r="AD155" i="84"/>
  <c r="Q155" i="84"/>
  <c r="AD153" i="84"/>
  <c r="Q153" i="84"/>
  <c r="AD151" i="84"/>
  <c r="Q151" i="84"/>
  <c r="L143" i="79"/>
  <c r="AH149" i="84" s="1"/>
  <c r="AD147" i="84"/>
  <c r="Q147" i="84"/>
  <c r="AD145" i="84"/>
  <c r="Q145" i="84"/>
  <c r="AD143" i="84"/>
  <c r="Q143" i="84"/>
  <c r="L135" i="79"/>
  <c r="AH141" i="84" s="1"/>
  <c r="AD139" i="84"/>
  <c r="Q139" i="84"/>
  <c r="AD137" i="84"/>
  <c r="Q137" i="84"/>
  <c r="AD135" i="84"/>
  <c r="Q135" i="84"/>
  <c r="L127" i="79"/>
  <c r="AH133" i="84" s="1"/>
  <c r="AD131" i="84"/>
  <c r="Q131" i="84"/>
  <c r="AD129" i="84"/>
  <c r="Q129" i="84"/>
  <c r="AD127" i="84"/>
  <c r="Q127" i="84"/>
  <c r="L119" i="79"/>
  <c r="AH125" i="84" s="1"/>
  <c r="AD123" i="84"/>
  <c r="Q123" i="84"/>
  <c r="AC121" i="84"/>
  <c r="P121" i="84"/>
  <c r="L115" i="79"/>
  <c r="AH121" i="84" s="1"/>
  <c r="AD119" i="84"/>
  <c r="Q119" i="84"/>
  <c r="AC117" i="84"/>
  <c r="P117" i="84"/>
  <c r="AD115" i="84"/>
  <c r="Q115" i="84"/>
  <c r="AD113" i="84"/>
  <c r="Q113" i="84"/>
  <c r="AD111" i="84"/>
  <c r="Q111" i="84"/>
  <c r="AD107" i="84"/>
  <c r="Q107" i="84"/>
  <c r="AD105" i="84"/>
  <c r="Q105" i="84"/>
  <c r="AD103" i="84"/>
  <c r="Q103" i="84"/>
  <c r="AD99" i="84"/>
  <c r="Q99" i="84"/>
  <c r="AC97" i="84"/>
  <c r="P97" i="84"/>
  <c r="AC95" i="84"/>
  <c r="P95" i="84"/>
  <c r="AC93" i="84"/>
  <c r="P93" i="84"/>
  <c r="AD91" i="84"/>
  <c r="Q91" i="84"/>
  <c r="AC91" i="84"/>
  <c r="P91" i="84"/>
  <c r="AC89" i="84"/>
  <c r="P89" i="84"/>
  <c r="AC87" i="84"/>
  <c r="P87" i="84"/>
  <c r="AC85" i="84"/>
  <c r="P85" i="84"/>
  <c r="AD83" i="84"/>
  <c r="Q83" i="84"/>
  <c r="AC83" i="84"/>
  <c r="P83" i="84"/>
  <c r="AC81" i="84"/>
  <c r="P81" i="84"/>
  <c r="AC79" i="84"/>
  <c r="P79" i="84"/>
  <c r="AC77" i="84"/>
  <c r="P77" i="84"/>
  <c r="AD75" i="84"/>
  <c r="Q75" i="84"/>
  <c r="AC75" i="84"/>
  <c r="P75" i="84"/>
  <c r="AC73" i="84"/>
  <c r="P73" i="84"/>
  <c r="AC71" i="84"/>
  <c r="P71" i="84"/>
  <c r="AD69" i="84"/>
  <c r="Q69" i="84"/>
  <c r="L61" i="79"/>
  <c r="AH67" i="84" s="1"/>
  <c r="AC67" i="84"/>
  <c r="P67" i="84"/>
  <c r="AD65" i="84"/>
  <c r="Q65" i="84"/>
  <c r="L57" i="79"/>
  <c r="AH63" i="84" s="1"/>
  <c r="AC63" i="84"/>
  <c r="P63" i="84"/>
  <c r="AD61" i="84"/>
  <c r="Q61" i="84"/>
  <c r="AD59" i="84"/>
  <c r="Q59" i="84"/>
  <c r="AD55" i="84"/>
  <c r="Q55" i="84"/>
  <c r="AD53" i="84"/>
  <c r="Q53" i="84"/>
  <c r="AD51" i="84"/>
  <c r="Q51" i="84"/>
  <c r="AC51" i="84"/>
  <c r="P51" i="84"/>
  <c r="AC49" i="84"/>
  <c r="P49" i="84"/>
  <c r="AC47" i="84"/>
  <c r="P47" i="84"/>
  <c r="AC45" i="84"/>
  <c r="P45" i="84"/>
  <c r="AD43" i="84"/>
  <c r="Q43" i="84"/>
  <c r="AC43" i="84"/>
  <c r="P43" i="84"/>
  <c r="AC41" i="84"/>
  <c r="P41" i="84"/>
  <c r="AC39" i="84"/>
  <c r="P39" i="84"/>
  <c r="AC37" i="84"/>
  <c r="P37" i="84"/>
  <c r="AD35" i="84"/>
  <c r="Q35" i="84"/>
  <c r="AC35" i="84"/>
  <c r="P35" i="84"/>
  <c r="AD31" i="84"/>
  <c r="Q31" i="84"/>
  <c r="AC29" i="84"/>
  <c r="P29" i="84"/>
  <c r="AD27" i="84"/>
  <c r="Q27" i="84"/>
  <c r="AC25" i="84"/>
  <c r="P25" i="84"/>
  <c r="AD21" i="84"/>
  <c r="Q21" i="84"/>
  <c r="AC21" i="84"/>
  <c r="AC180" i="84"/>
  <c r="P180" i="84"/>
  <c r="AD178" i="84"/>
  <c r="Q178" i="84"/>
  <c r="AC178" i="84"/>
  <c r="P178" i="84"/>
  <c r="AC176" i="84"/>
  <c r="P176" i="84"/>
  <c r="AC174" i="84"/>
  <c r="P174" i="84"/>
  <c r="AC172" i="84"/>
  <c r="P172" i="84"/>
  <c r="AD170" i="84"/>
  <c r="Q170" i="84"/>
  <c r="AC170" i="84"/>
  <c r="P170" i="84"/>
  <c r="AC168" i="84"/>
  <c r="P168" i="84"/>
  <c r="AC166" i="84"/>
  <c r="P166" i="84"/>
  <c r="AC164" i="84"/>
  <c r="P164" i="84"/>
  <c r="AD162" i="84"/>
  <c r="Q162" i="84"/>
  <c r="AC162" i="84"/>
  <c r="P162" i="84"/>
  <c r="AC160" i="84"/>
  <c r="P160" i="84"/>
  <c r="AC158" i="84"/>
  <c r="P158" i="84"/>
  <c r="AC156" i="84"/>
  <c r="P156" i="84"/>
  <c r="AD154" i="84"/>
  <c r="Q154" i="84"/>
  <c r="AC154" i="84"/>
  <c r="P154" i="84"/>
  <c r="AC152" i="84"/>
  <c r="P152" i="84"/>
  <c r="AC150" i="84"/>
  <c r="P150" i="84"/>
  <c r="AC148" i="84"/>
  <c r="P148" i="84"/>
  <c r="AD146" i="84"/>
  <c r="Q146" i="84"/>
  <c r="AC146" i="84"/>
  <c r="P146" i="84"/>
  <c r="AC144" i="84"/>
  <c r="P144" i="84"/>
  <c r="AC142" i="84"/>
  <c r="P142" i="84"/>
  <c r="AC140" i="84"/>
  <c r="P140" i="84"/>
  <c r="AD138" i="84"/>
  <c r="Q138" i="84"/>
  <c r="AC138" i="84"/>
  <c r="P138" i="84"/>
  <c r="AC136" i="84"/>
  <c r="P136" i="84"/>
  <c r="AC134" i="84"/>
  <c r="P134" i="84"/>
  <c r="AC132" i="84"/>
  <c r="P132" i="84"/>
  <c r="AD130" i="84"/>
  <c r="Q130" i="84"/>
  <c r="AC130" i="84"/>
  <c r="P130" i="84"/>
  <c r="AC128" i="84"/>
  <c r="P128" i="84"/>
  <c r="AC126" i="84"/>
  <c r="P126" i="84"/>
  <c r="AC124" i="84"/>
  <c r="P124" i="84"/>
  <c r="AD122" i="84"/>
  <c r="Q122" i="84"/>
  <c r="AC120" i="84"/>
  <c r="P120" i="84"/>
  <c r="AD118" i="84"/>
  <c r="Q118" i="84"/>
  <c r="AC116" i="84"/>
  <c r="P116" i="84"/>
  <c r="AD114" i="84"/>
  <c r="Q114" i="84"/>
  <c r="L106" i="79"/>
  <c r="AH112" i="84" s="1"/>
  <c r="AD110" i="84"/>
  <c r="Q110" i="84"/>
  <c r="AD108" i="84"/>
  <c r="Q108" i="84"/>
  <c r="AD106" i="84"/>
  <c r="Q106" i="84"/>
  <c r="L98" i="79"/>
  <c r="AH104" i="84" s="1"/>
  <c r="AD102" i="84"/>
  <c r="Q102" i="84"/>
  <c r="AD100" i="84"/>
  <c r="Q100" i="84"/>
  <c r="L92" i="79"/>
  <c r="AH98" i="84" s="1"/>
  <c r="AC96" i="84"/>
  <c r="P96" i="84"/>
  <c r="L90" i="79"/>
  <c r="AH96" i="84" s="1"/>
  <c r="AD94" i="84"/>
  <c r="Q94" i="84"/>
  <c r="AC94" i="84"/>
  <c r="P94" i="84"/>
  <c r="AC92" i="84"/>
  <c r="P92" i="84"/>
  <c r="L86" i="79"/>
  <c r="AH92" i="84" s="1"/>
  <c r="L84" i="79"/>
  <c r="AH90" i="84" s="1"/>
  <c r="AC90" i="84"/>
  <c r="P90" i="84"/>
  <c r="AC88" i="84"/>
  <c r="P88" i="84"/>
  <c r="L82" i="79"/>
  <c r="AH88" i="84" s="1"/>
  <c r="AD86" i="84"/>
  <c r="Q86" i="84"/>
  <c r="AC86" i="84"/>
  <c r="P86" i="84"/>
  <c r="AC84" i="84"/>
  <c r="P84" i="84"/>
  <c r="L78" i="79"/>
  <c r="AH84" i="84" s="1"/>
  <c r="L76" i="79"/>
  <c r="AH82" i="84" s="1"/>
  <c r="AC82" i="84"/>
  <c r="P82" i="84"/>
  <c r="AC80" i="84"/>
  <c r="P80" i="84"/>
  <c r="L74" i="79"/>
  <c r="AH80" i="84" s="1"/>
  <c r="AD78" i="84"/>
  <c r="Q78" i="84"/>
  <c r="AC78" i="84"/>
  <c r="P78" i="84"/>
  <c r="AC76" i="84"/>
  <c r="P76" i="84"/>
  <c r="L70" i="79"/>
  <c r="AH76" i="84" s="1"/>
  <c r="L68" i="79"/>
  <c r="AH74" i="84" s="1"/>
  <c r="AC74" i="84"/>
  <c r="P74" i="84"/>
  <c r="AC72" i="84"/>
  <c r="P72" i="84"/>
  <c r="L66" i="79"/>
  <c r="AH72" i="84" s="1"/>
  <c r="AD70" i="84"/>
  <c r="Q70" i="84"/>
  <c r="AC70" i="84"/>
  <c r="P70" i="84"/>
  <c r="AD66" i="84"/>
  <c r="Q66" i="84"/>
  <c r="AC66" i="84"/>
  <c r="P66" i="84"/>
  <c r="L58" i="79"/>
  <c r="AH64" i="84" s="1"/>
  <c r="AD62" i="84"/>
  <c r="Q62" i="84"/>
  <c r="AC62" i="84"/>
  <c r="P62" i="84"/>
  <c r="L54" i="79"/>
  <c r="AH60" i="84" s="1"/>
  <c r="AD58" i="84"/>
  <c r="Q58" i="84"/>
  <c r="AD56" i="84"/>
  <c r="Q56" i="84"/>
  <c r="AD54" i="84"/>
  <c r="Q54" i="84"/>
  <c r="L46" i="79"/>
  <c r="AH52" i="84" s="1"/>
  <c r="L44" i="79"/>
  <c r="AH50" i="84" s="1"/>
  <c r="AC50" i="84"/>
  <c r="P50" i="84"/>
  <c r="AC48" i="84"/>
  <c r="P48" i="84"/>
  <c r="L42" i="79"/>
  <c r="AH48" i="84" s="1"/>
  <c r="AD46" i="84"/>
  <c r="Q46" i="84"/>
  <c r="AC46" i="84"/>
  <c r="P46" i="84"/>
  <c r="AC44" i="84"/>
  <c r="P44" i="84"/>
  <c r="L38" i="79"/>
  <c r="AH44" i="84" s="1"/>
  <c r="L36" i="79"/>
  <c r="AH42" i="84" s="1"/>
  <c r="AC42" i="84"/>
  <c r="P42" i="84"/>
  <c r="AC40" i="84"/>
  <c r="P40" i="84"/>
  <c r="L34" i="79"/>
  <c r="AH40" i="84" s="1"/>
  <c r="AD38" i="84"/>
  <c r="Q38" i="84"/>
  <c r="AC38" i="84"/>
  <c r="P38" i="84"/>
  <c r="AC36" i="84"/>
  <c r="P36" i="84"/>
  <c r="L30" i="79"/>
  <c r="AH36" i="84" s="1"/>
  <c r="AD32" i="84"/>
  <c r="Q32" i="84"/>
  <c r="AD28" i="84"/>
  <c r="Q28" i="84"/>
  <c r="AC28" i="84"/>
  <c r="P28" i="84"/>
  <c r="AD22" i="84"/>
  <c r="Q22" i="84"/>
  <c r="AC22" i="84"/>
  <c r="AD181" i="84"/>
  <c r="Q181" i="84"/>
  <c r="AC181" i="84"/>
  <c r="P181" i="84"/>
  <c r="AC179" i="84"/>
  <c r="P179" i="84"/>
  <c r="L173" i="79"/>
  <c r="AH179" i="84" s="1"/>
  <c r="L171" i="79"/>
  <c r="AH177" i="84" s="1"/>
  <c r="AC177" i="84"/>
  <c r="P177" i="84"/>
  <c r="AC175" i="84"/>
  <c r="P175" i="84"/>
  <c r="L169" i="79"/>
  <c r="AH175" i="84" s="1"/>
  <c r="AD173" i="84"/>
  <c r="Q173" i="84"/>
  <c r="AC173" i="84"/>
  <c r="P173" i="84"/>
  <c r="AC171" i="84"/>
  <c r="P171" i="84"/>
  <c r="L165" i="79"/>
  <c r="AH171" i="84" s="1"/>
  <c r="L163" i="79"/>
  <c r="AH169" i="84" s="1"/>
  <c r="AC169" i="84"/>
  <c r="P169" i="84"/>
  <c r="AC167" i="84"/>
  <c r="P167" i="84"/>
  <c r="L161" i="79"/>
  <c r="AH167" i="84" s="1"/>
  <c r="AD165" i="84"/>
  <c r="Q165" i="84"/>
  <c r="AC165" i="84"/>
  <c r="P165" i="84"/>
  <c r="AC163" i="84"/>
  <c r="P163" i="84"/>
  <c r="L157" i="79"/>
  <c r="AH163" i="84" s="1"/>
  <c r="L155" i="79"/>
  <c r="AH161" i="84" s="1"/>
  <c r="AC161" i="84"/>
  <c r="P161" i="84"/>
  <c r="AC159" i="84"/>
  <c r="P159" i="84"/>
  <c r="L153" i="79"/>
  <c r="AH159" i="84" s="1"/>
  <c r="AD157" i="84"/>
  <c r="Q157" i="84"/>
  <c r="AC157" i="84"/>
  <c r="P157" i="84"/>
  <c r="AC155" i="84"/>
  <c r="P155" i="84"/>
  <c r="L149" i="79"/>
  <c r="AH155" i="84" s="1"/>
  <c r="L147" i="79"/>
  <c r="AH153" i="84" s="1"/>
  <c r="AC153" i="84"/>
  <c r="P153" i="84"/>
  <c r="AC151" i="84"/>
  <c r="P151" i="84"/>
  <c r="L145" i="79"/>
  <c r="AH151" i="84" s="1"/>
  <c r="AD149" i="84"/>
  <c r="Q149" i="84"/>
  <c r="AC149" i="84"/>
  <c r="P149" i="84"/>
  <c r="AC147" i="84"/>
  <c r="P147" i="84"/>
  <c r="L141" i="79"/>
  <c r="AH147" i="84" s="1"/>
  <c r="L139" i="79"/>
  <c r="AH145" i="84" s="1"/>
  <c r="AC145" i="84"/>
  <c r="P145" i="84"/>
  <c r="AC143" i="84"/>
  <c r="P143" i="84"/>
  <c r="L137" i="79"/>
  <c r="AH143" i="84" s="1"/>
  <c r="AD141" i="84"/>
  <c r="Q141" i="84"/>
  <c r="AC141" i="84"/>
  <c r="P141" i="84"/>
  <c r="AC139" i="84"/>
  <c r="P139" i="84"/>
  <c r="L133" i="79"/>
  <c r="AH139" i="84" s="1"/>
  <c r="L131" i="79"/>
  <c r="AH137" i="84" s="1"/>
  <c r="AC137" i="84"/>
  <c r="P137" i="84"/>
  <c r="AC135" i="84"/>
  <c r="P135" i="84"/>
  <c r="L129" i="79"/>
  <c r="AH135" i="84" s="1"/>
  <c r="AD133" i="84"/>
  <c r="Q133" i="84"/>
  <c r="AC133" i="84"/>
  <c r="P133" i="84"/>
  <c r="AC131" i="84"/>
  <c r="P131" i="84"/>
  <c r="L125" i="79"/>
  <c r="AH131" i="84" s="1"/>
  <c r="L123" i="79"/>
  <c r="AH129" i="84" s="1"/>
  <c r="AC129" i="84"/>
  <c r="P129" i="84"/>
  <c r="AC127" i="84"/>
  <c r="P127" i="84"/>
  <c r="L121" i="79"/>
  <c r="AH127" i="84" s="1"/>
  <c r="AD125" i="84"/>
  <c r="Q125" i="84"/>
  <c r="AC125" i="84"/>
  <c r="P125" i="84"/>
  <c r="AC123" i="84"/>
  <c r="P123" i="84"/>
  <c r="L117" i="79"/>
  <c r="AH123" i="84" s="1"/>
  <c r="AD121" i="84"/>
  <c r="Q121" i="84"/>
  <c r="AC119" i="84"/>
  <c r="P119" i="84"/>
  <c r="AD117" i="84"/>
  <c r="Q117" i="84"/>
  <c r="AC115" i="84"/>
  <c r="P115" i="84"/>
  <c r="AC113" i="84"/>
  <c r="P113" i="84"/>
  <c r="AC111" i="84"/>
  <c r="P111" i="84"/>
  <c r="AD109" i="84"/>
  <c r="Q109" i="84"/>
  <c r="AC109" i="84"/>
  <c r="P109" i="84"/>
  <c r="AC107" i="84"/>
  <c r="P107" i="84"/>
  <c r="AC105" i="84"/>
  <c r="P105" i="84"/>
  <c r="AC103" i="84"/>
  <c r="P103" i="84"/>
  <c r="AD101" i="84"/>
  <c r="Q101" i="84"/>
  <c r="AC101" i="84"/>
  <c r="P101" i="84"/>
  <c r="AC99" i="84"/>
  <c r="P99" i="84"/>
  <c r="AD97" i="84"/>
  <c r="Q97" i="84"/>
  <c r="AD95" i="84"/>
  <c r="Q95" i="84"/>
  <c r="AD93" i="84"/>
  <c r="Q93" i="84"/>
  <c r="AD89" i="84"/>
  <c r="Q89" i="84"/>
  <c r="AD87" i="84"/>
  <c r="Q87" i="84"/>
  <c r="AD85" i="84"/>
  <c r="Q85" i="84"/>
  <c r="AD81" i="84"/>
  <c r="Q81" i="84"/>
  <c r="AD79" i="84"/>
  <c r="Q79" i="84"/>
  <c r="AD77" i="84"/>
  <c r="Q77" i="84"/>
  <c r="AD73" i="84"/>
  <c r="Q73" i="84"/>
  <c r="AD71" i="84"/>
  <c r="Q71" i="84"/>
  <c r="L63" i="79"/>
  <c r="AH69" i="84" s="1"/>
  <c r="AC69" i="84"/>
  <c r="P69" i="84"/>
  <c r="AD67" i="84"/>
  <c r="Q67" i="84"/>
  <c r="L59" i="79"/>
  <c r="AH65" i="84" s="1"/>
  <c r="AC65" i="84"/>
  <c r="P65" i="84"/>
  <c r="AD63" i="84"/>
  <c r="Q63" i="84"/>
  <c r="AC61" i="84"/>
  <c r="P61" i="84"/>
  <c r="AC59" i="84"/>
  <c r="P59" i="84"/>
  <c r="AD57" i="84"/>
  <c r="Q57" i="84"/>
  <c r="AC57" i="84"/>
  <c r="P57" i="84"/>
  <c r="AC55" i="84"/>
  <c r="P55" i="84"/>
  <c r="AC53" i="84"/>
  <c r="P53" i="84"/>
  <c r="AD49" i="84"/>
  <c r="Q49" i="84"/>
  <c r="AD47" i="84"/>
  <c r="Q47" i="84"/>
  <c r="AD45" i="84"/>
  <c r="Q45" i="84"/>
  <c r="AD41" i="84"/>
  <c r="Q41" i="84"/>
  <c r="AD39" i="84"/>
  <c r="Q39" i="84"/>
  <c r="AD37" i="84"/>
  <c r="Q37" i="84"/>
  <c r="AC31" i="84"/>
  <c r="P31" i="84"/>
  <c r="AD29" i="84"/>
  <c r="Q29" i="84"/>
  <c r="AC27" i="84"/>
  <c r="P27" i="84"/>
  <c r="AD25" i="84"/>
  <c r="Q25" i="84"/>
  <c r="AD180" i="84"/>
  <c r="Q180" i="84"/>
  <c r="AD176" i="84"/>
  <c r="Q176" i="84"/>
  <c r="AD174" i="84"/>
  <c r="Q174" i="84"/>
  <c r="AD172" i="84"/>
  <c r="Q172" i="84"/>
  <c r="AD168" i="84"/>
  <c r="Q168" i="84"/>
  <c r="AD166" i="84"/>
  <c r="Q166" i="84"/>
  <c r="AD164" i="84"/>
  <c r="Q164" i="84"/>
  <c r="AD160" i="84"/>
  <c r="Q160" i="84"/>
  <c r="AD158" i="84"/>
  <c r="Q158" i="84"/>
  <c r="AD156" i="84"/>
  <c r="Q156" i="84"/>
  <c r="AD152" i="84"/>
  <c r="Q152" i="84"/>
  <c r="AD150" i="84"/>
  <c r="Q150" i="84"/>
  <c r="AD148" i="84"/>
  <c r="Q148" i="84"/>
  <c r="AD144" i="84"/>
  <c r="Q144" i="84"/>
  <c r="AD142" i="84"/>
  <c r="Q142" i="84"/>
  <c r="AD140" i="84"/>
  <c r="Q140" i="84"/>
  <c r="AD136" i="84"/>
  <c r="Q136" i="84"/>
  <c r="AD134" i="84"/>
  <c r="Q134" i="84"/>
  <c r="AD132" i="84"/>
  <c r="Q132" i="84"/>
  <c r="AD128" i="84"/>
  <c r="Q128" i="84"/>
  <c r="AD126" i="84"/>
  <c r="Q126" i="84"/>
  <c r="AD124" i="84"/>
  <c r="Q124" i="84"/>
  <c r="AC122" i="84"/>
  <c r="P122" i="84"/>
  <c r="AD120" i="84"/>
  <c r="Q120" i="84"/>
  <c r="AC118" i="84"/>
  <c r="P118" i="84"/>
  <c r="L112" i="79"/>
  <c r="AH118" i="84" s="1"/>
  <c r="AD116" i="84"/>
  <c r="Q116" i="84"/>
  <c r="AC114" i="84"/>
  <c r="P114" i="84"/>
  <c r="L108" i="79"/>
  <c r="AH114" i="84" s="1"/>
  <c r="AD112" i="84"/>
  <c r="Q112" i="84"/>
  <c r="AC112" i="84"/>
  <c r="P112" i="84"/>
  <c r="AC110" i="84"/>
  <c r="P110" i="84"/>
  <c r="L104" i="79"/>
  <c r="AH110" i="84" s="1"/>
  <c r="L102" i="79"/>
  <c r="AH108" i="84" s="1"/>
  <c r="AC108" i="84"/>
  <c r="P108" i="84"/>
  <c r="AC106" i="84"/>
  <c r="P106" i="84"/>
  <c r="L100" i="79"/>
  <c r="AH106" i="84" s="1"/>
  <c r="AD104" i="84"/>
  <c r="Q104" i="84"/>
  <c r="AC104" i="84"/>
  <c r="P104" i="84"/>
  <c r="AC102" i="84"/>
  <c r="P102" i="84"/>
  <c r="L96" i="79"/>
  <c r="AH102" i="84" s="1"/>
  <c r="L94" i="79"/>
  <c r="AH100" i="84" s="1"/>
  <c r="AC100" i="84"/>
  <c r="P100" i="84"/>
  <c r="AC98" i="84"/>
  <c r="P98" i="84"/>
  <c r="AD98" i="84"/>
  <c r="Q98" i="84"/>
  <c r="AD96" i="84"/>
  <c r="Q96" i="84"/>
  <c r="L88" i="79"/>
  <c r="AH94" i="84" s="1"/>
  <c r="AD92" i="84"/>
  <c r="Q92" i="84"/>
  <c r="AD90" i="84"/>
  <c r="Q90" i="84"/>
  <c r="AD88" i="84"/>
  <c r="Q88" i="84"/>
  <c r="L80" i="79"/>
  <c r="AH86" i="84" s="1"/>
  <c r="AD84" i="84"/>
  <c r="Q84" i="84"/>
  <c r="AD82" i="84"/>
  <c r="Q82" i="84"/>
  <c r="AD80" i="84"/>
  <c r="Q80" i="84"/>
  <c r="L72" i="79"/>
  <c r="AH78" i="84" s="1"/>
  <c r="AD76" i="84"/>
  <c r="Q76" i="84"/>
  <c r="AD74" i="84"/>
  <c r="Q74" i="84"/>
  <c r="AD72" i="84"/>
  <c r="Q72" i="84"/>
  <c r="L64" i="79"/>
  <c r="AH70" i="84" s="1"/>
  <c r="AD68" i="84"/>
  <c r="Q68" i="84"/>
  <c r="AC68" i="84"/>
  <c r="P68" i="84"/>
  <c r="AD64" i="84"/>
  <c r="Q64" i="84"/>
  <c r="AC64" i="84"/>
  <c r="P64" i="84"/>
  <c r="L56" i="79"/>
  <c r="AH62" i="84" s="1"/>
  <c r="AD60" i="84"/>
  <c r="Q60" i="84"/>
  <c r="AC60" i="84"/>
  <c r="P60" i="84"/>
  <c r="AC58" i="84"/>
  <c r="P58" i="84"/>
  <c r="L52" i="79"/>
  <c r="AH58" i="84" s="1"/>
  <c r="L50" i="79"/>
  <c r="AH56" i="84" s="1"/>
  <c r="AC56" i="84"/>
  <c r="P56" i="84"/>
  <c r="AC54" i="84"/>
  <c r="P54" i="84"/>
  <c r="L48" i="79"/>
  <c r="AH54" i="84" s="1"/>
  <c r="AD52" i="84"/>
  <c r="Q52" i="84"/>
  <c r="AC52" i="84"/>
  <c r="P52" i="84"/>
  <c r="AD50" i="84"/>
  <c r="Q50" i="84"/>
  <c r="AD48" i="84"/>
  <c r="Q48" i="84"/>
  <c r="L40" i="79"/>
  <c r="AH46" i="84" s="1"/>
  <c r="AD44" i="84"/>
  <c r="Q44" i="84"/>
  <c r="AD42" i="84"/>
  <c r="Q42" i="84"/>
  <c r="AD40" i="84"/>
  <c r="Q40" i="84"/>
  <c r="L32" i="79"/>
  <c r="AH38" i="84" s="1"/>
  <c r="AD36" i="84"/>
  <c r="Q36" i="84"/>
  <c r="AC32" i="84"/>
  <c r="AD30" i="84"/>
  <c r="Q30" i="84"/>
  <c r="AC30" i="84"/>
  <c r="P30" i="84"/>
  <c r="AD26" i="84"/>
  <c r="Q26" i="84"/>
  <c r="AC26" i="84"/>
  <c r="P26" i="84"/>
  <c r="O383" i="84"/>
  <c r="O375" i="84"/>
  <c r="O367" i="84"/>
  <c r="O359" i="84"/>
  <c r="O351" i="84"/>
  <c r="O343" i="84"/>
  <c r="O335" i="84"/>
  <c r="O373" i="84"/>
  <c r="AR18" i="104"/>
  <c r="L24" i="101" s="1"/>
  <c r="R114" i="117" s="1"/>
  <c r="AW29" i="117" s="1"/>
  <c r="AN18" i="104"/>
  <c r="H24" i="101" s="1"/>
  <c r="N114" i="117" s="1"/>
  <c r="AS29" i="117" s="1"/>
  <c r="AO17" i="104"/>
  <c r="I23" i="101" s="1"/>
  <c r="O113" i="117" s="1"/>
  <c r="AT28" i="117" s="1"/>
  <c r="AP16" i="104"/>
  <c r="J22" i="101" s="1"/>
  <c r="P112" i="117" s="1"/>
  <c r="AU27" i="117" s="1"/>
  <c r="K20" i="101"/>
  <c r="Q110" i="117" s="1"/>
  <c r="AV25" i="117" s="1"/>
  <c r="AR12" i="104"/>
  <c r="L18" i="101" s="1"/>
  <c r="R108" i="117" s="1"/>
  <c r="AW23" i="117" s="1"/>
  <c r="AN12" i="104"/>
  <c r="H18" i="101" s="1"/>
  <c r="AO11" i="104"/>
  <c r="I17" i="101" s="1"/>
  <c r="O107" i="117" s="1"/>
  <c r="AT22" i="117" s="1"/>
  <c r="AP10" i="104"/>
  <c r="J16" i="101" s="1"/>
  <c r="K24" i="101"/>
  <c r="Q114" i="117" s="1"/>
  <c r="AV29" i="117" s="1"/>
  <c r="AR17" i="104"/>
  <c r="L23" i="101" s="1"/>
  <c r="R113" i="117" s="1"/>
  <c r="AW28" i="117" s="1"/>
  <c r="AN17" i="104"/>
  <c r="H23" i="101" s="1"/>
  <c r="N113" i="117" s="1"/>
  <c r="AS28" i="117" s="1"/>
  <c r="AO16" i="104"/>
  <c r="AP14" i="104"/>
  <c r="J20" i="101" s="1"/>
  <c r="AR11" i="104"/>
  <c r="L17" i="101" s="1"/>
  <c r="R107" i="117" s="1"/>
  <c r="AW22" i="117" s="1"/>
  <c r="AN11" i="104"/>
  <c r="H17" i="101" s="1"/>
  <c r="AO10" i="104"/>
  <c r="I16" i="101" s="1"/>
  <c r="O106" i="117" s="1"/>
  <c r="AT21" i="117" s="1"/>
  <c r="J14" i="101"/>
  <c r="AP18" i="104"/>
  <c r="J24" i="101" s="1"/>
  <c r="P114" i="117" s="1"/>
  <c r="AU29" i="117" s="1"/>
  <c r="K23" i="101"/>
  <c r="Q113" i="117" s="1"/>
  <c r="AV28" i="117" s="1"/>
  <c r="AR16" i="104"/>
  <c r="L22" i="101" s="1"/>
  <c r="R112" i="117" s="1"/>
  <c r="AW27" i="117" s="1"/>
  <c r="AN16" i="104"/>
  <c r="H22" i="101" s="1"/>
  <c r="AO14" i="104"/>
  <c r="I20" i="101" s="1"/>
  <c r="AP12" i="104"/>
  <c r="J18" i="101" s="1"/>
  <c r="K17" i="101"/>
  <c r="Q107" i="117" s="1"/>
  <c r="AV22" i="117" s="1"/>
  <c r="AR10" i="104"/>
  <c r="L16" i="101" s="1"/>
  <c r="R106" i="117" s="1"/>
  <c r="AW21" i="117" s="1"/>
  <c r="H16" i="101"/>
  <c r="I14" i="101"/>
  <c r="AO18" i="104"/>
  <c r="I24" i="101" s="1"/>
  <c r="O114" i="117" s="1"/>
  <c r="AT29" i="117" s="1"/>
  <c r="AP17" i="104"/>
  <c r="J23" i="101" s="1"/>
  <c r="P113" i="117" s="1"/>
  <c r="AU28" i="117" s="1"/>
  <c r="AR14" i="104"/>
  <c r="L20" i="101" s="1"/>
  <c r="R110" i="117" s="1"/>
  <c r="AW25" i="117" s="1"/>
  <c r="AN14" i="104"/>
  <c r="H20" i="101" s="1"/>
  <c r="AO12" i="104"/>
  <c r="I18" i="101" s="1"/>
  <c r="O108" i="117" s="1"/>
  <c r="AT23" i="117" s="1"/>
  <c r="AP11" i="104"/>
  <c r="J17" i="101" s="1"/>
  <c r="K16" i="101"/>
  <c r="Q106" i="117" s="1"/>
  <c r="AV21" i="117" s="1"/>
  <c r="L14" i="101"/>
  <c r="G14" i="2"/>
  <c r="M14" i="2" s="1"/>
  <c r="H15" i="2"/>
  <c r="N15" i="2" s="1"/>
  <c r="F14" i="2"/>
  <c r="L14" i="2" s="1"/>
  <c r="C11" i="195" s="1"/>
  <c r="E11" i="195" s="1"/>
  <c r="G15" i="2"/>
  <c r="M15" i="2" s="1"/>
  <c r="H13" i="2"/>
  <c r="N13" i="2" s="1"/>
  <c r="H14" i="2"/>
  <c r="N14" i="2" s="1"/>
  <c r="AG56" i="104"/>
  <c r="H11" i="2" s="1"/>
  <c r="N11" i="2" s="1"/>
  <c r="AE56" i="104"/>
  <c r="F11" i="2" s="1"/>
  <c r="L11" i="2" s="1"/>
  <c r="O382" i="84"/>
  <c r="O374" i="84"/>
  <c r="O366" i="84"/>
  <c r="O358" i="84"/>
  <c r="O350" i="84"/>
  <c r="O342" i="84"/>
  <c r="O334" i="84"/>
  <c r="O384" i="84"/>
  <c r="O376" i="84"/>
  <c r="O368" i="84"/>
  <c r="O360" i="84"/>
  <c r="O352" i="84"/>
  <c r="O344" i="84"/>
  <c r="O336" i="84"/>
  <c r="O369" i="84"/>
  <c r="O341" i="84"/>
  <c r="O379" i="84"/>
  <c r="O371" i="84"/>
  <c r="O363" i="84"/>
  <c r="O355" i="84"/>
  <c r="O347" i="84"/>
  <c r="O339" i="84"/>
  <c r="O357" i="84"/>
  <c r="O386" i="84"/>
  <c r="O378" i="84"/>
  <c r="O370" i="84"/>
  <c r="O327" i="84"/>
  <c r="O345" i="84"/>
  <c r="O326" i="84"/>
  <c r="O362" i="84"/>
  <c r="O354" i="84"/>
  <c r="O346" i="84"/>
  <c r="O338" i="84"/>
  <c r="O349" i="84"/>
  <c r="O385" i="84"/>
  <c r="O337" i="84"/>
  <c r="O361" i="84"/>
  <c r="O389" i="84"/>
  <c r="F167" i="79"/>
  <c r="F159" i="79"/>
  <c r="F151" i="79"/>
  <c r="F143" i="79"/>
  <c r="F135" i="79"/>
  <c r="F127" i="79"/>
  <c r="F119" i="79"/>
  <c r="F115" i="79"/>
  <c r="F112" i="79"/>
  <c r="F106" i="79"/>
  <c r="F98" i="79"/>
  <c r="F90" i="79"/>
  <c r="F86" i="79"/>
  <c r="F84" i="79"/>
  <c r="F82" i="79"/>
  <c r="F175" i="79"/>
  <c r="F173" i="79"/>
  <c r="F171" i="79"/>
  <c r="F169" i="79"/>
  <c r="F165" i="79"/>
  <c r="F163" i="79"/>
  <c r="F161" i="79"/>
  <c r="F157" i="79"/>
  <c r="F155" i="79"/>
  <c r="F153" i="79"/>
  <c r="F149" i="79"/>
  <c r="F147" i="79"/>
  <c r="F145" i="79"/>
  <c r="F141" i="79"/>
  <c r="F139" i="79"/>
  <c r="F137" i="79"/>
  <c r="F133" i="79"/>
  <c r="F131" i="79"/>
  <c r="F129" i="79"/>
  <c r="F125" i="79"/>
  <c r="F123" i="79"/>
  <c r="F121" i="79"/>
  <c r="F117" i="79"/>
  <c r="F111" i="79"/>
  <c r="L111" i="79"/>
  <c r="AH117" i="84" s="1"/>
  <c r="L103" i="79"/>
  <c r="AH109" i="84" s="1"/>
  <c r="F103" i="79"/>
  <c r="F95" i="79"/>
  <c r="L95" i="79"/>
  <c r="AH101" i="84" s="1"/>
  <c r="F91" i="79"/>
  <c r="L91" i="79"/>
  <c r="AH97" i="84" s="1"/>
  <c r="F89" i="79"/>
  <c r="L89" i="79"/>
  <c r="AH95" i="84" s="1"/>
  <c r="F87" i="79"/>
  <c r="L87" i="79"/>
  <c r="AH93" i="84" s="1"/>
  <c r="F83" i="79"/>
  <c r="L83" i="79"/>
  <c r="AH89" i="84" s="1"/>
  <c r="F81" i="79"/>
  <c r="L81" i="79"/>
  <c r="AH87" i="84" s="1"/>
  <c r="L79" i="79"/>
  <c r="AH85" i="84" s="1"/>
  <c r="L75" i="79"/>
  <c r="AH81" i="84" s="1"/>
  <c r="L73" i="79"/>
  <c r="AH79" i="84" s="1"/>
  <c r="L71" i="79"/>
  <c r="AH77" i="84" s="1"/>
  <c r="L67" i="79"/>
  <c r="AH73" i="84" s="1"/>
  <c r="L65" i="79"/>
  <c r="AH71" i="84" s="1"/>
  <c r="L51" i="79"/>
  <c r="AH57" i="84" s="1"/>
  <c r="L43" i="79"/>
  <c r="AH49" i="84" s="1"/>
  <c r="L41" i="79"/>
  <c r="AH47" i="84" s="1"/>
  <c r="L39" i="79"/>
  <c r="AH45" i="84" s="1"/>
  <c r="L35" i="79"/>
  <c r="AH41" i="84" s="1"/>
  <c r="L33" i="79"/>
  <c r="AH39" i="84" s="1"/>
  <c r="L31" i="79"/>
  <c r="AH37" i="84" s="1"/>
  <c r="F170" i="79"/>
  <c r="L170" i="79"/>
  <c r="AH176" i="84" s="1"/>
  <c r="F168" i="79"/>
  <c r="L168" i="79"/>
  <c r="AH174" i="84" s="1"/>
  <c r="F166" i="79"/>
  <c r="L166" i="79"/>
  <c r="AH172" i="84" s="1"/>
  <c r="F162" i="79"/>
  <c r="L162" i="79"/>
  <c r="AH168" i="84" s="1"/>
  <c r="F160" i="79"/>
  <c r="L160" i="79"/>
  <c r="AH166" i="84" s="1"/>
  <c r="F158" i="79"/>
  <c r="L158" i="79"/>
  <c r="AH164" i="84" s="1"/>
  <c r="F154" i="79"/>
  <c r="L154" i="79"/>
  <c r="AH160" i="84" s="1"/>
  <c r="F152" i="79"/>
  <c r="L152" i="79"/>
  <c r="AH158" i="84" s="1"/>
  <c r="F150" i="79"/>
  <c r="L150" i="79"/>
  <c r="AH156" i="84" s="1"/>
  <c r="F146" i="79"/>
  <c r="L146" i="79"/>
  <c r="AH152" i="84" s="1"/>
  <c r="F144" i="79"/>
  <c r="L144" i="79"/>
  <c r="AH150" i="84" s="1"/>
  <c r="F142" i="79"/>
  <c r="L142" i="79"/>
  <c r="AH148" i="84" s="1"/>
  <c r="F138" i="79"/>
  <c r="L138" i="79"/>
  <c r="AH144" i="84" s="1"/>
  <c r="F136" i="79"/>
  <c r="L136" i="79"/>
  <c r="AH142" i="84" s="1"/>
  <c r="F134" i="79"/>
  <c r="L134" i="79"/>
  <c r="AH140" i="84" s="1"/>
  <c r="F130" i="79"/>
  <c r="L130" i="79"/>
  <c r="AH136" i="84" s="1"/>
  <c r="F128" i="79"/>
  <c r="L128" i="79"/>
  <c r="AH134" i="84" s="1"/>
  <c r="F126" i="79"/>
  <c r="L126" i="79"/>
  <c r="AH132" i="84" s="1"/>
  <c r="F122" i="79"/>
  <c r="L122" i="79"/>
  <c r="AH128" i="84" s="1"/>
  <c r="F120" i="79"/>
  <c r="L120" i="79"/>
  <c r="AH126" i="84" s="1"/>
  <c r="F118" i="79"/>
  <c r="L118" i="79"/>
  <c r="AH124" i="84" s="1"/>
  <c r="F114" i="79"/>
  <c r="L114" i="79"/>
  <c r="AH120" i="84" s="1"/>
  <c r="F110" i="79"/>
  <c r="L110" i="79"/>
  <c r="AH116" i="84" s="1"/>
  <c r="F108" i="79"/>
  <c r="F104" i="79"/>
  <c r="F102" i="79"/>
  <c r="F100" i="79"/>
  <c r="F96" i="79"/>
  <c r="F94" i="79"/>
  <c r="F88" i="79"/>
  <c r="F80" i="79"/>
  <c r="L62" i="79"/>
  <c r="AH68" i="84" s="1"/>
  <c r="F113" i="79"/>
  <c r="L113" i="79"/>
  <c r="AH119" i="84" s="1"/>
  <c r="L109" i="79"/>
  <c r="AH115" i="84" s="1"/>
  <c r="F109" i="79"/>
  <c r="L107" i="79"/>
  <c r="AH113" i="84" s="1"/>
  <c r="F107" i="79"/>
  <c r="L105" i="79"/>
  <c r="AH111" i="84" s="1"/>
  <c r="F105" i="79"/>
  <c r="F101" i="79"/>
  <c r="L101" i="79"/>
  <c r="AH107" i="84" s="1"/>
  <c r="F99" i="79"/>
  <c r="L99" i="79"/>
  <c r="AH105" i="84" s="1"/>
  <c r="F97" i="79"/>
  <c r="L97" i="79"/>
  <c r="AH103" i="84" s="1"/>
  <c r="F93" i="79"/>
  <c r="L93" i="79"/>
  <c r="AH99" i="84" s="1"/>
  <c r="F85" i="79"/>
  <c r="L85" i="79"/>
  <c r="AH91" i="84" s="1"/>
  <c r="L77" i="79"/>
  <c r="AH83" i="84" s="1"/>
  <c r="L69" i="79"/>
  <c r="AH75" i="84" s="1"/>
  <c r="L55" i="79"/>
  <c r="AH61" i="84" s="1"/>
  <c r="L53" i="79"/>
  <c r="AH59" i="84" s="1"/>
  <c r="L49" i="79"/>
  <c r="AH55" i="84" s="1"/>
  <c r="L47" i="79"/>
  <c r="AH53" i="84" s="1"/>
  <c r="L45" i="79"/>
  <c r="AH51" i="84" s="1"/>
  <c r="L37" i="79"/>
  <c r="AH43" i="84" s="1"/>
  <c r="L29" i="79"/>
  <c r="AH35" i="84" s="1"/>
  <c r="F174" i="79"/>
  <c r="L174" i="79"/>
  <c r="AH180" i="84" s="1"/>
  <c r="F172" i="79"/>
  <c r="L172" i="79"/>
  <c r="AH178" i="84" s="1"/>
  <c r="F164" i="79"/>
  <c r="L164" i="79"/>
  <c r="AH170" i="84" s="1"/>
  <c r="F156" i="79"/>
  <c r="L156" i="79"/>
  <c r="AH162" i="84" s="1"/>
  <c r="F148" i="79"/>
  <c r="L148" i="79"/>
  <c r="AH154" i="84" s="1"/>
  <c r="F140" i="79"/>
  <c r="L140" i="79"/>
  <c r="AH146" i="84" s="1"/>
  <c r="F132" i="79"/>
  <c r="L132" i="79"/>
  <c r="AH138" i="84" s="1"/>
  <c r="F124" i="79"/>
  <c r="L124" i="79"/>
  <c r="AH130" i="84" s="1"/>
  <c r="F116" i="79"/>
  <c r="L116" i="79"/>
  <c r="AH122" i="84" s="1"/>
  <c r="F92" i="79"/>
  <c r="L60" i="79"/>
  <c r="AH66" i="84" s="1"/>
  <c r="I22" i="101"/>
  <c r="K22" i="101"/>
  <c r="Q112" i="117" s="1"/>
  <c r="AV27" i="117" s="1"/>
  <c r="CM92" i="84"/>
  <c r="CM40" i="84"/>
  <c r="CM171" i="84"/>
  <c r="CM163" i="84"/>
  <c r="CM155" i="84"/>
  <c r="CM147" i="84"/>
  <c r="CM139" i="84"/>
  <c r="CM131" i="84"/>
  <c r="CM123" i="84"/>
  <c r="CM107" i="84"/>
  <c r="CM99" i="84"/>
  <c r="CM95" i="84"/>
  <c r="CM87" i="84"/>
  <c r="CM79" i="84"/>
  <c r="CM71" i="84"/>
  <c r="CM63" i="84"/>
  <c r="CM55" i="84"/>
  <c r="CM47" i="84"/>
  <c r="CM39" i="84"/>
  <c r="CM172" i="84"/>
  <c r="CM144" i="84"/>
  <c r="CM120" i="84"/>
  <c r="CM108" i="84"/>
  <c r="CM76" i="84"/>
  <c r="CM64" i="84"/>
  <c r="CM52" i="84"/>
  <c r="CM34" i="84"/>
  <c r="CM168" i="84"/>
  <c r="CM124" i="84"/>
  <c r="CM112" i="84"/>
  <c r="CM119" i="84"/>
  <c r="CM59" i="84"/>
  <c r="CM122" i="84"/>
  <c r="CM114" i="84"/>
  <c r="CM106" i="84"/>
  <c r="CM98" i="84"/>
  <c r="CM56" i="84"/>
  <c r="CM121" i="84"/>
  <c r="CM33" i="84"/>
  <c r="CM96" i="84"/>
  <c r="CM156" i="84"/>
  <c r="CM44" i="84"/>
  <c r="D8" i="104"/>
  <c r="AD20" i="84"/>
  <c r="Q20" i="84"/>
  <c r="AC20" i="84"/>
  <c r="P20" i="84"/>
  <c r="D11" i="195" l="1"/>
  <c r="I100" i="203"/>
  <c r="M100" i="203" s="1"/>
  <c r="D12" i="195"/>
  <c r="I101" i="203"/>
  <c r="F12" i="229"/>
  <c r="L12" i="229" s="1"/>
  <c r="I97" i="203"/>
  <c r="M97" i="203" s="1"/>
  <c r="S133" i="117"/>
  <c r="AX25" i="117" s="1"/>
  <c r="T133" i="117"/>
  <c r="AY25" i="117" s="1"/>
  <c r="S127" i="117"/>
  <c r="P107" i="117"/>
  <c r="AU22" i="117" s="1"/>
  <c r="P106" i="117"/>
  <c r="AU21" i="117" s="1"/>
  <c r="P109" i="117"/>
  <c r="AU24" i="117" s="1"/>
  <c r="P108" i="117"/>
  <c r="AU23" i="117" s="1"/>
  <c r="N107" i="117"/>
  <c r="AS22" i="117" s="1"/>
  <c r="N108" i="117"/>
  <c r="AS23" i="117" s="1"/>
  <c r="O110" i="117"/>
  <c r="AT25" i="117" s="1"/>
  <c r="P110" i="117"/>
  <c r="AU25" i="117" s="1"/>
  <c r="C10" i="104"/>
  <c r="C9" i="104"/>
  <c r="B167" i="104"/>
  <c r="B13" i="104"/>
  <c r="B10" i="104"/>
  <c r="F35" i="116"/>
  <c r="R15" i="116" s="1"/>
  <c r="Q111" i="117"/>
  <c r="AV26" i="117" s="1"/>
  <c r="G67" i="117"/>
  <c r="G44" i="117"/>
  <c r="N112" i="117"/>
  <c r="AS27" i="117" s="1"/>
  <c r="D68" i="117"/>
  <c r="D45" i="117"/>
  <c r="Q105" i="117"/>
  <c r="AV20" i="117" s="1"/>
  <c r="G38" i="117"/>
  <c r="G61" i="117"/>
  <c r="O111" i="117"/>
  <c r="AT26" i="117" s="1"/>
  <c r="E44" i="117"/>
  <c r="E67" i="117"/>
  <c r="N111" i="117"/>
  <c r="AS26" i="117" s="1"/>
  <c r="D67" i="117"/>
  <c r="E90" i="117"/>
  <c r="D44" i="117"/>
  <c r="D29" i="114"/>
  <c r="D16" i="114"/>
  <c r="R105" i="117"/>
  <c r="AW20" i="117" s="1"/>
  <c r="H61" i="117"/>
  <c r="G84" i="117"/>
  <c r="H38" i="117"/>
  <c r="E16" i="114"/>
  <c r="E29" i="114"/>
  <c r="P105" i="117"/>
  <c r="AU20" i="117" s="1"/>
  <c r="F84" i="117"/>
  <c r="F38" i="117"/>
  <c r="F61" i="117"/>
  <c r="N105" i="117"/>
  <c r="AS20" i="117" s="1"/>
  <c r="D61" i="117"/>
  <c r="D38" i="117"/>
  <c r="E84" i="117"/>
  <c r="R111" i="117"/>
  <c r="AW26" i="117" s="1"/>
  <c r="H67" i="117"/>
  <c r="G90" i="117"/>
  <c r="H44" i="117"/>
  <c r="O105" i="117"/>
  <c r="AT20" i="117" s="1"/>
  <c r="E38" i="117"/>
  <c r="E61" i="117"/>
  <c r="F16" i="114"/>
  <c r="F29" i="114"/>
  <c r="P111" i="117"/>
  <c r="AU26" i="117" s="1"/>
  <c r="F90" i="117"/>
  <c r="F67" i="117"/>
  <c r="F44" i="117"/>
  <c r="H26" i="101"/>
  <c r="L26" i="101"/>
  <c r="O104" i="117"/>
  <c r="AT19" i="117" s="1"/>
  <c r="I26" i="101"/>
  <c r="P104" i="117"/>
  <c r="J26" i="101"/>
  <c r="BU133" i="84"/>
  <c r="H191" i="117"/>
  <c r="H187" i="117"/>
  <c r="R104" i="117"/>
  <c r="O112" i="117"/>
  <c r="H183" i="117"/>
  <c r="H179" i="117"/>
  <c r="H171" i="117"/>
  <c r="N110" i="117"/>
  <c r="AS25" i="117" s="1"/>
  <c r="H175" i="117"/>
  <c r="I171" i="117"/>
  <c r="I175" i="117"/>
  <c r="I167" i="117"/>
  <c r="H167" i="117" s="1"/>
  <c r="N106" i="117"/>
  <c r="AS21" i="117" s="1"/>
  <c r="N104" i="117"/>
  <c r="AS19" i="117" s="1"/>
  <c r="H60" i="117"/>
  <c r="H37" i="117"/>
  <c r="E60" i="117"/>
  <c r="E37" i="117"/>
  <c r="G69" i="117"/>
  <c r="G46" i="117"/>
  <c r="G66" i="117"/>
  <c r="G43" i="117"/>
  <c r="G62" i="117"/>
  <c r="G39" i="117"/>
  <c r="D62" i="117"/>
  <c r="D39" i="117"/>
  <c r="F70" i="117"/>
  <c r="F47" i="117"/>
  <c r="D69" i="117"/>
  <c r="D46" i="117"/>
  <c r="F68" i="117"/>
  <c r="F45" i="117"/>
  <c r="H71" i="117"/>
  <c r="H48" i="117"/>
  <c r="F63" i="117"/>
  <c r="F40" i="117"/>
  <c r="H62" i="117"/>
  <c r="H39" i="117"/>
  <c r="F60" i="117"/>
  <c r="F37" i="117"/>
  <c r="H69" i="117"/>
  <c r="H46" i="117"/>
  <c r="E69" i="117"/>
  <c r="E46" i="117"/>
  <c r="G65" i="117"/>
  <c r="G42" i="117"/>
  <c r="G68" i="117"/>
  <c r="G45" i="117"/>
  <c r="E64" i="117"/>
  <c r="E41" i="117"/>
  <c r="G63" i="117"/>
  <c r="G40" i="117"/>
  <c r="E62" i="117"/>
  <c r="E39" i="117"/>
  <c r="G70" i="117"/>
  <c r="G47" i="117"/>
  <c r="D70" i="117"/>
  <c r="D47" i="117"/>
  <c r="F65" i="117"/>
  <c r="F42" i="117"/>
  <c r="E68" i="117"/>
  <c r="E45" i="117"/>
  <c r="D66" i="117"/>
  <c r="D43" i="117"/>
  <c r="F64" i="117"/>
  <c r="F41" i="117"/>
  <c r="D63" i="117"/>
  <c r="D40" i="117"/>
  <c r="F62" i="117"/>
  <c r="F39" i="117"/>
  <c r="H70" i="117"/>
  <c r="H47" i="117"/>
  <c r="H66" i="117"/>
  <c r="H43" i="117"/>
  <c r="E66" i="117"/>
  <c r="E43" i="117"/>
  <c r="H63" i="117"/>
  <c r="H40" i="117"/>
  <c r="E63" i="117"/>
  <c r="E40" i="117"/>
  <c r="F69" i="117"/>
  <c r="F46" i="117"/>
  <c r="G64" i="117"/>
  <c r="G41" i="117"/>
  <c r="D64" i="117"/>
  <c r="D41" i="117"/>
  <c r="G71" i="117"/>
  <c r="G48" i="117"/>
  <c r="H65" i="117"/>
  <c r="H42" i="117"/>
  <c r="D37" i="117"/>
  <c r="E70" i="117"/>
  <c r="E47" i="117"/>
  <c r="H68" i="117"/>
  <c r="H45" i="117"/>
  <c r="F66" i="117"/>
  <c r="F43" i="117"/>
  <c r="H64" i="117"/>
  <c r="H41" i="117"/>
  <c r="F71" i="117"/>
  <c r="F48" i="117"/>
  <c r="D60" i="117"/>
  <c r="E83" i="117"/>
  <c r="M72" i="153"/>
  <c r="O72" i="153" s="1"/>
  <c r="U72" i="153" s="1"/>
  <c r="AC72" i="153" s="1"/>
  <c r="M68" i="153"/>
  <c r="O68" i="153" s="1"/>
  <c r="M71" i="153"/>
  <c r="O71" i="153" s="1"/>
  <c r="E35" i="116"/>
  <c r="J17" i="155"/>
  <c r="D19" i="114"/>
  <c r="D32" i="114"/>
  <c r="F17" i="114"/>
  <c r="F30" i="114"/>
  <c r="E19" i="114"/>
  <c r="E32" i="114"/>
  <c r="D18" i="114"/>
  <c r="D31" i="114"/>
  <c r="D15" i="114"/>
  <c r="D28" i="114"/>
  <c r="F32" i="114"/>
  <c r="F19" i="114"/>
  <c r="F18" i="114"/>
  <c r="F31" i="114"/>
  <c r="E15" i="114"/>
  <c r="E28" i="114"/>
  <c r="E18" i="114"/>
  <c r="E31" i="114"/>
  <c r="F28" i="114"/>
  <c r="F15" i="114"/>
  <c r="K27" i="101"/>
  <c r="H27" i="101"/>
  <c r="L27" i="101"/>
  <c r="I27" i="101"/>
  <c r="J27" i="101"/>
  <c r="BU153" i="84"/>
  <c r="BU145" i="84"/>
  <c r="BU92" i="84"/>
  <c r="BU157" i="84"/>
  <c r="BU99" i="84"/>
  <c r="BU93" i="84"/>
  <c r="BU87" i="84"/>
  <c r="BU127" i="84"/>
  <c r="BU105" i="84"/>
  <c r="BU106" i="84"/>
  <c r="BU110" i="84"/>
  <c r="BU131" i="84"/>
  <c r="BU104" i="84"/>
  <c r="BU159" i="84"/>
  <c r="BU94" i="84"/>
  <c r="BU25" i="84"/>
  <c r="BU97" i="84"/>
  <c r="BU117" i="84"/>
  <c r="BU91" i="84"/>
  <c r="BU107" i="84"/>
  <c r="BU119" i="84"/>
  <c r="BU89" i="84"/>
  <c r="BU101" i="84"/>
  <c r="H103" i="84"/>
  <c r="BU103" i="84"/>
  <c r="H100" i="84"/>
  <c r="BU100" i="84"/>
  <c r="H95" i="84"/>
  <c r="BU95" i="84"/>
  <c r="H143" i="84"/>
  <c r="F352" i="84" s="1"/>
  <c r="BU143" i="84"/>
  <c r="H163" i="84"/>
  <c r="F372" i="84" s="1"/>
  <c r="BU163" i="84"/>
  <c r="H88" i="84"/>
  <c r="BU88" i="84"/>
  <c r="H125" i="84"/>
  <c r="F334" i="84" s="1"/>
  <c r="BU125" i="84"/>
  <c r="H29" i="84"/>
  <c r="BU29" i="84"/>
  <c r="BU48" i="84"/>
  <c r="BU58" i="84"/>
  <c r="BU84" i="84"/>
  <c r="BU72" i="84"/>
  <c r="BU26" i="84"/>
  <c r="BU43" i="84"/>
  <c r="BU22" i="84"/>
  <c r="BU122" i="84"/>
  <c r="BU154" i="84"/>
  <c r="BU180" i="84"/>
  <c r="BU115" i="84"/>
  <c r="H102" i="84"/>
  <c r="BU102" i="84"/>
  <c r="BU120" i="84"/>
  <c r="BU132" i="84"/>
  <c r="BU142" i="84"/>
  <c r="BU152" i="84"/>
  <c r="BU164" i="84"/>
  <c r="BU174" i="84"/>
  <c r="H123" i="84"/>
  <c r="F332" i="84" s="1"/>
  <c r="BU123" i="84"/>
  <c r="H167" i="84"/>
  <c r="F376" i="84" s="1"/>
  <c r="BU167" i="84"/>
  <c r="H90" i="84"/>
  <c r="BU90" i="84"/>
  <c r="BU45" i="84"/>
  <c r="BU50" i="84"/>
  <c r="BU21" i="84"/>
  <c r="BU37" i="84"/>
  <c r="BU74" i="84"/>
  <c r="BU53" i="84"/>
  <c r="BU75" i="84"/>
  <c r="BU28" i="84"/>
  <c r="H147" i="84"/>
  <c r="F356" i="84" s="1"/>
  <c r="BU147" i="84"/>
  <c r="H169" i="84"/>
  <c r="F378" i="84" s="1"/>
  <c r="BU169" i="84"/>
  <c r="H141" i="84"/>
  <c r="F350" i="84" s="1"/>
  <c r="BU141" i="84"/>
  <c r="BU47" i="84"/>
  <c r="BU80" i="84"/>
  <c r="BU39" i="84"/>
  <c r="BU41" i="84"/>
  <c r="BU69" i="84"/>
  <c r="BU31" i="84"/>
  <c r="BU65" i="84"/>
  <c r="BU130" i="84"/>
  <c r="BU162" i="84"/>
  <c r="H108" i="84"/>
  <c r="BU108" i="84"/>
  <c r="BU124" i="84"/>
  <c r="BU134" i="84"/>
  <c r="BU144" i="84"/>
  <c r="BU156" i="84"/>
  <c r="BU166" i="84"/>
  <c r="BU176" i="84"/>
  <c r="H129" i="84"/>
  <c r="F338" i="84" s="1"/>
  <c r="BU129" i="84"/>
  <c r="H151" i="84"/>
  <c r="F360" i="84" s="1"/>
  <c r="BU151" i="84"/>
  <c r="H171" i="84"/>
  <c r="F380" i="84" s="1"/>
  <c r="BU171" i="84"/>
  <c r="H96" i="84"/>
  <c r="BU96" i="84"/>
  <c r="H149" i="84"/>
  <c r="F358" i="84" s="1"/>
  <c r="BU149" i="84"/>
  <c r="BU63" i="84"/>
  <c r="BU82" i="84"/>
  <c r="BU59" i="84"/>
  <c r="BU71" i="84"/>
  <c r="BU73" i="84"/>
  <c r="H30" i="84"/>
  <c r="BU30" i="84"/>
  <c r="H27" i="84"/>
  <c r="BU27" i="84"/>
  <c r="H175" i="84"/>
  <c r="F384" i="84" s="1"/>
  <c r="BU175" i="84"/>
  <c r="BU77" i="84"/>
  <c r="BU49" i="84"/>
  <c r="BU61" i="84"/>
  <c r="BU85" i="84"/>
  <c r="BU32" i="84"/>
  <c r="BU35" i="84"/>
  <c r="H86" i="84"/>
  <c r="BU86" i="84"/>
  <c r="H138" i="84"/>
  <c r="F347" i="84" s="1"/>
  <c r="BU138" i="84"/>
  <c r="H170" i="84"/>
  <c r="F379" i="84" s="1"/>
  <c r="BU170" i="84"/>
  <c r="BU111" i="84"/>
  <c r="H114" i="84"/>
  <c r="BU114" i="84"/>
  <c r="H126" i="84"/>
  <c r="F335" i="84" s="1"/>
  <c r="BU126" i="84"/>
  <c r="H136" i="84"/>
  <c r="F345" i="84" s="1"/>
  <c r="BU136" i="84"/>
  <c r="H148" i="84"/>
  <c r="F357" i="84" s="1"/>
  <c r="BU148" i="84"/>
  <c r="H158" i="84"/>
  <c r="F367" i="84" s="1"/>
  <c r="BU158" i="84"/>
  <c r="H168" i="84"/>
  <c r="F377" i="84" s="1"/>
  <c r="BU168" i="84"/>
  <c r="BU109" i="84"/>
  <c r="H135" i="84"/>
  <c r="F344" i="84" s="1"/>
  <c r="BU135" i="84"/>
  <c r="H155" i="84"/>
  <c r="F364" i="84" s="1"/>
  <c r="BU155" i="84"/>
  <c r="H177" i="84"/>
  <c r="F386" i="84" s="1"/>
  <c r="BU177" i="84"/>
  <c r="H112" i="84"/>
  <c r="BU112" i="84"/>
  <c r="H165" i="84"/>
  <c r="F374" i="84" s="1"/>
  <c r="BU165" i="84"/>
  <c r="BU44" i="84"/>
  <c r="BU79" i="84"/>
  <c r="BU57" i="84"/>
  <c r="BU36" i="84"/>
  <c r="BU40" i="84"/>
  <c r="BU55" i="84"/>
  <c r="BU51" i="84"/>
  <c r="BU46" i="84"/>
  <c r="H137" i="84"/>
  <c r="F346" i="84" s="1"/>
  <c r="BU137" i="84"/>
  <c r="H179" i="84"/>
  <c r="BU179" i="84"/>
  <c r="H118" i="84"/>
  <c r="F327" i="84" s="1"/>
  <c r="BU118" i="84"/>
  <c r="H173" i="84"/>
  <c r="F382" i="84" s="1"/>
  <c r="BU173" i="84"/>
  <c r="BU68" i="84"/>
  <c r="BU54" i="84"/>
  <c r="BU67" i="84"/>
  <c r="BU52" i="84"/>
  <c r="BU42" i="84"/>
  <c r="BU66" i="84"/>
  <c r="BU83" i="84"/>
  <c r="BU62" i="84"/>
  <c r="H98" i="84"/>
  <c r="BU98" i="84"/>
  <c r="BU146" i="84"/>
  <c r="BU178" i="84"/>
  <c r="BU113" i="84"/>
  <c r="BU116" i="84"/>
  <c r="BU128" i="84"/>
  <c r="BU140" i="84"/>
  <c r="BU150" i="84"/>
  <c r="BU160" i="84"/>
  <c r="BU172" i="84"/>
  <c r="H139" i="84"/>
  <c r="F348" i="84" s="1"/>
  <c r="BU139" i="84"/>
  <c r="H161" i="84"/>
  <c r="F370" i="84" s="1"/>
  <c r="BU161" i="84"/>
  <c r="H181" i="84"/>
  <c r="F390" i="84" s="1"/>
  <c r="BU181" i="84"/>
  <c r="H121" i="84"/>
  <c r="F330" i="84" s="1"/>
  <c r="BU121" i="84"/>
  <c r="BU76" i="84"/>
  <c r="BU56" i="84"/>
  <c r="BU81" i="84"/>
  <c r="BU60" i="84"/>
  <c r="BU64" i="84"/>
  <c r="BU38" i="84"/>
  <c r="BU70" i="84"/>
  <c r="BU78" i="84"/>
  <c r="BU20" i="84"/>
  <c r="H117" i="84"/>
  <c r="F326" i="84" s="1"/>
  <c r="H48" i="84"/>
  <c r="H84" i="84"/>
  <c r="H72" i="84"/>
  <c r="H26" i="84"/>
  <c r="H22" i="84"/>
  <c r="H115" i="84"/>
  <c r="H130" i="84"/>
  <c r="F339" i="84" s="1"/>
  <c r="H162" i="84"/>
  <c r="F371" i="84" s="1"/>
  <c r="H124" i="84"/>
  <c r="F333" i="84" s="1"/>
  <c r="H134" i="84"/>
  <c r="F343" i="84" s="1"/>
  <c r="H144" i="84"/>
  <c r="F353" i="84" s="1"/>
  <c r="H156" i="84"/>
  <c r="F365" i="84" s="1"/>
  <c r="H166" i="84"/>
  <c r="F375" i="84" s="1"/>
  <c r="H176" i="84"/>
  <c r="F385" i="84" s="1"/>
  <c r="H74" i="84"/>
  <c r="H59" i="84"/>
  <c r="H73" i="84"/>
  <c r="H111" i="84"/>
  <c r="H109" i="84"/>
  <c r="H44" i="84"/>
  <c r="H79" i="84"/>
  <c r="H57" i="84"/>
  <c r="H40" i="84"/>
  <c r="H55" i="84"/>
  <c r="H51" i="84"/>
  <c r="H46" i="84"/>
  <c r="H154" i="84"/>
  <c r="F363" i="84" s="1"/>
  <c r="H132" i="84"/>
  <c r="F341" i="84" s="1"/>
  <c r="H152" i="84"/>
  <c r="F361" i="84" s="1"/>
  <c r="H174" i="84"/>
  <c r="F383" i="84" s="1"/>
  <c r="H45" i="84"/>
  <c r="H50" i="84"/>
  <c r="H37" i="84"/>
  <c r="H53" i="84"/>
  <c r="H75" i="84"/>
  <c r="H28" i="84"/>
  <c r="H58" i="84"/>
  <c r="H43" i="84"/>
  <c r="H122" i="84"/>
  <c r="F331" i="84" s="1"/>
  <c r="H180" i="84"/>
  <c r="F389" i="84" s="1"/>
  <c r="H120" i="84"/>
  <c r="F329" i="84" s="1"/>
  <c r="H142" i="84"/>
  <c r="F351" i="84" s="1"/>
  <c r="H164" i="84"/>
  <c r="F373" i="84" s="1"/>
  <c r="H145" i="84"/>
  <c r="F354" i="84" s="1"/>
  <c r="H133" i="84"/>
  <c r="F342" i="84" s="1"/>
  <c r="H105" i="84"/>
  <c r="H106" i="84"/>
  <c r="H87" i="84"/>
  <c r="H97" i="84"/>
  <c r="H127" i="84"/>
  <c r="F336" i="84" s="1"/>
  <c r="H92" i="84"/>
  <c r="H47" i="84"/>
  <c r="H80" i="84"/>
  <c r="H39" i="84"/>
  <c r="H41" i="84"/>
  <c r="H69" i="84"/>
  <c r="H31" i="84"/>
  <c r="H65" i="84"/>
  <c r="H63" i="84"/>
  <c r="H82" i="84"/>
  <c r="H71" i="84"/>
  <c r="H91" i="84"/>
  <c r="H107" i="84"/>
  <c r="H119" i="84"/>
  <c r="F328" i="84" s="1"/>
  <c r="H110" i="84"/>
  <c r="H89" i="84"/>
  <c r="H101" i="84"/>
  <c r="H131" i="84"/>
  <c r="F340" i="84" s="1"/>
  <c r="H153" i="84"/>
  <c r="F362" i="84" s="1"/>
  <c r="H104" i="84"/>
  <c r="H157" i="84"/>
  <c r="F366" i="84" s="1"/>
  <c r="H77" i="84"/>
  <c r="H49" i="84"/>
  <c r="H61" i="84"/>
  <c r="H85" i="84"/>
  <c r="H32" i="84"/>
  <c r="H35" i="84"/>
  <c r="H25" i="84"/>
  <c r="H99" i="84"/>
  <c r="H93" i="84"/>
  <c r="H159" i="84"/>
  <c r="F368" i="84" s="1"/>
  <c r="H68" i="84"/>
  <c r="H54" i="84"/>
  <c r="H67" i="84"/>
  <c r="H52" i="84"/>
  <c r="H42" i="84"/>
  <c r="H66" i="84"/>
  <c r="H83" i="84"/>
  <c r="H62" i="84"/>
  <c r="H36" i="84"/>
  <c r="H146" i="84"/>
  <c r="F355" i="84" s="1"/>
  <c r="H178" i="84"/>
  <c r="F387" i="84" s="1"/>
  <c r="H113" i="84"/>
  <c r="H94" i="84"/>
  <c r="H116" i="84"/>
  <c r="H128" i="84"/>
  <c r="F337" i="84" s="1"/>
  <c r="H140" i="84"/>
  <c r="F349" i="84" s="1"/>
  <c r="H150" i="84"/>
  <c r="F359" i="84" s="1"/>
  <c r="H160" i="84"/>
  <c r="F369" i="84" s="1"/>
  <c r="H172" i="84"/>
  <c r="F381" i="84" s="1"/>
  <c r="H76" i="84"/>
  <c r="H56" i="84"/>
  <c r="H81" i="84"/>
  <c r="H60" i="84"/>
  <c r="H64" i="84"/>
  <c r="H38" i="84"/>
  <c r="H70" i="84"/>
  <c r="H78" i="84"/>
  <c r="CG122" i="84"/>
  <c r="U102" i="84"/>
  <c r="CI90" i="84"/>
  <c r="CI50" i="84"/>
  <c r="V74" i="84"/>
  <c r="L283" i="84" s="1"/>
  <c r="CI80" i="84"/>
  <c r="V96" i="84"/>
  <c r="L305" i="84" s="1"/>
  <c r="V30" i="84"/>
  <c r="L239" i="84" s="1"/>
  <c r="CI84" i="84"/>
  <c r="U32" i="84"/>
  <c r="CH114" i="84"/>
  <c r="W126" i="84"/>
  <c r="N335" i="84" s="1"/>
  <c r="CI112" i="84"/>
  <c r="V44" i="84"/>
  <c r="L253" i="84" s="1"/>
  <c r="V40" i="84"/>
  <c r="L249" i="84" s="1"/>
  <c r="CG62" i="84"/>
  <c r="CI140" i="84"/>
  <c r="V60" i="84"/>
  <c r="L269" i="84" s="1"/>
  <c r="CG78" i="84"/>
  <c r="AB5" i="79"/>
  <c r="AG38" i="79"/>
  <c r="AH31" i="84"/>
  <c r="G94" i="117"/>
  <c r="F88" i="117"/>
  <c r="G88" i="117"/>
  <c r="F94" i="117"/>
  <c r="AH29" i="84"/>
  <c r="AH32" i="84"/>
  <c r="K121" i="84"/>
  <c r="K122" i="84"/>
  <c r="K154" i="84"/>
  <c r="K180" i="84"/>
  <c r="P389" i="84"/>
  <c r="K43" i="84"/>
  <c r="K59" i="84"/>
  <c r="K83" i="84"/>
  <c r="K105" i="84"/>
  <c r="K116" i="84"/>
  <c r="K128" i="84"/>
  <c r="K140" i="84"/>
  <c r="K150" i="84"/>
  <c r="K160" i="84"/>
  <c r="K172" i="84"/>
  <c r="K45" i="84"/>
  <c r="K79" i="84"/>
  <c r="K89" i="84"/>
  <c r="K101" i="84"/>
  <c r="K78" i="84"/>
  <c r="K145" i="84"/>
  <c r="K177" i="84"/>
  <c r="K64" i="84"/>
  <c r="K90" i="84"/>
  <c r="K112" i="84"/>
  <c r="K67" i="84"/>
  <c r="K181" i="84"/>
  <c r="P390" i="84"/>
  <c r="K62" i="84"/>
  <c r="K100" i="84"/>
  <c r="K143" i="84"/>
  <c r="K147" i="84"/>
  <c r="K175" i="84"/>
  <c r="K179" i="84"/>
  <c r="K60" i="84"/>
  <c r="K88" i="84"/>
  <c r="K92" i="84"/>
  <c r="K63" i="84"/>
  <c r="K125" i="84"/>
  <c r="K157" i="84"/>
  <c r="K130" i="84"/>
  <c r="K162" i="84"/>
  <c r="K51" i="84"/>
  <c r="K61" i="84"/>
  <c r="K91" i="84"/>
  <c r="K107" i="84"/>
  <c r="K119" i="84"/>
  <c r="K120" i="84"/>
  <c r="K132" i="84"/>
  <c r="K142" i="84"/>
  <c r="K152" i="84"/>
  <c r="K164" i="84"/>
  <c r="K174" i="84"/>
  <c r="K47" i="84"/>
  <c r="K71" i="84"/>
  <c r="K81" i="84"/>
  <c r="K93" i="84"/>
  <c r="K46" i="84"/>
  <c r="K86" i="84"/>
  <c r="K102" i="84"/>
  <c r="K153" i="84"/>
  <c r="K109" i="84"/>
  <c r="K108" i="84"/>
  <c r="K123" i="84"/>
  <c r="K151" i="84"/>
  <c r="K155" i="84"/>
  <c r="K96" i="84"/>
  <c r="K133" i="84"/>
  <c r="K165" i="84"/>
  <c r="K115" i="84"/>
  <c r="K138" i="84"/>
  <c r="K170" i="84"/>
  <c r="K53" i="84"/>
  <c r="K99" i="84"/>
  <c r="K68" i="84"/>
  <c r="K124" i="84"/>
  <c r="K134" i="84"/>
  <c r="K144" i="84"/>
  <c r="K156" i="84"/>
  <c r="K166" i="84"/>
  <c r="K176" i="84"/>
  <c r="K49" i="84"/>
  <c r="K73" i="84"/>
  <c r="K85" i="84"/>
  <c r="K95" i="84"/>
  <c r="K117" i="84"/>
  <c r="K94" i="84"/>
  <c r="K106" i="84"/>
  <c r="K110" i="84"/>
  <c r="K129" i="84"/>
  <c r="K161" i="84"/>
  <c r="K42" i="84"/>
  <c r="K74" i="84"/>
  <c r="K66" i="84"/>
  <c r="K111" i="84"/>
  <c r="K118" i="84"/>
  <c r="K127" i="84"/>
  <c r="K131" i="84"/>
  <c r="K159" i="84"/>
  <c r="K163" i="84"/>
  <c r="K44" i="84"/>
  <c r="K72" i="84"/>
  <c r="K76" i="84"/>
  <c r="K141" i="84"/>
  <c r="K173" i="84"/>
  <c r="K146" i="84"/>
  <c r="K178" i="84"/>
  <c r="K55" i="84"/>
  <c r="K75" i="84"/>
  <c r="K103" i="84"/>
  <c r="K126" i="84"/>
  <c r="K136" i="84"/>
  <c r="K148" i="84"/>
  <c r="K158" i="84"/>
  <c r="K168" i="84"/>
  <c r="K41" i="84"/>
  <c r="K57" i="84"/>
  <c r="K77" i="84"/>
  <c r="K87" i="84"/>
  <c r="K97" i="84"/>
  <c r="K56" i="84"/>
  <c r="K70" i="84"/>
  <c r="K114" i="84"/>
  <c r="K69" i="84"/>
  <c r="K137" i="84"/>
  <c r="K169" i="84"/>
  <c r="K50" i="84"/>
  <c r="K82" i="84"/>
  <c r="K104" i="84"/>
  <c r="K113" i="84"/>
  <c r="K54" i="84"/>
  <c r="K58" i="84"/>
  <c r="K65" i="84"/>
  <c r="K135" i="84"/>
  <c r="K139" i="84"/>
  <c r="K167" i="84"/>
  <c r="K171" i="84"/>
  <c r="K48" i="84"/>
  <c r="K52" i="84"/>
  <c r="K80" i="84"/>
  <c r="K84" i="84"/>
  <c r="K98" i="84"/>
  <c r="K149" i="84"/>
  <c r="K39" i="84"/>
  <c r="K40" i="84"/>
  <c r="K35" i="84"/>
  <c r="K30" i="84"/>
  <c r="K38" i="84"/>
  <c r="K32" i="84"/>
  <c r="K37" i="84"/>
  <c r="K29" i="84"/>
  <c r="K36" i="84"/>
  <c r="K31" i="84"/>
  <c r="K14" i="101"/>
  <c r="I183" i="117"/>
  <c r="I179" i="117"/>
  <c r="I191" i="117"/>
  <c r="I187" i="117"/>
  <c r="G85" i="117"/>
  <c r="G92" i="117"/>
  <c r="G93" i="117"/>
  <c r="G91" i="117"/>
  <c r="E85" i="117"/>
  <c r="F89" i="117"/>
  <c r="E91" i="117"/>
  <c r="E93" i="117"/>
  <c r="F85" i="117"/>
  <c r="B8" i="104"/>
  <c r="F91" i="117"/>
  <c r="CM60" i="84"/>
  <c r="CM32" i="84"/>
  <c r="CM152" i="84"/>
  <c r="CM77" i="84"/>
  <c r="CM93" i="84"/>
  <c r="CM128" i="84"/>
  <c r="CM48" i="84"/>
  <c r="CM140" i="84"/>
  <c r="CM57" i="84"/>
  <c r="CM73" i="84"/>
  <c r="CM105" i="84"/>
  <c r="CM129" i="84"/>
  <c r="CM145" i="84"/>
  <c r="CM117" i="84"/>
  <c r="CM136" i="84"/>
  <c r="CM110" i="84"/>
  <c r="CM161" i="84"/>
  <c r="CM177" i="84"/>
  <c r="CM116" i="84"/>
  <c r="CM42" i="84"/>
  <c r="CM58" i="84"/>
  <c r="CM74" i="84"/>
  <c r="CM90" i="84"/>
  <c r="CM138" i="84"/>
  <c r="CM154" i="84"/>
  <c r="CM170" i="84"/>
  <c r="CM160" i="84"/>
  <c r="CM103" i="84"/>
  <c r="CM127" i="84"/>
  <c r="CM143" i="84"/>
  <c r="CM159" i="84"/>
  <c r="CM175" i="84"/>
  <c r="CM61" i="84"/>
  <c r="CM29" i="84"/>
  <c r="CM81" i="84"/>
  <c r="CM101" i="84"/>
  <c r="CM125" i="84"/>
  <c r="CM180" i="84"/>
  <c r="CM104" i="84"/>
  <c r="CM68" i="84"/>
  <c r="CM45" i="84"/>
  <c r="CM85" i="84"/>
  <c r="CM80" i="84"/>
  <c r="CM176" i="84"/>
  <c r="CM84" i="84"/>
  <c r="CM41" i="84"/>
  <c r="CM65" i="84"/>
  <c r="CM89" i="84"/>
  <c r="CM113" i="84"/>
  <c r="CM137" i="84"/>
  <c r="CM153" i="84"/>
  <c r="CM100" i="84"/>
  <c r="CM54" i="84"/>
  <c r="CM118" i="84"/>
  <c r="CM169" i="84"/>
  <c r="CM88" i="84"/>
  <c r="CM148" i="84"/>
  <c r="CM50" i="84"/>
  <c r="CM66" i="84"/>
  <c r="CM82" i="84"/>
  <c r="CM130" i="84"/>
  <c r="CM146" i="84"/>
  <c r="CM162" i="84"/>
  <c r="CM132" i="84"/>
  <c r="CM31" i="84"/>
  <c r="CM111" i="84"/>
  <c r="CM135" i="84"/>
  <c r="CM151" i="84"/>
  <c r="CM167" i="84"/>
  <c r="CM53" i="84"/>
  <c r="CM69" i="84"/>
  <c r="CM49" i="84"/>
  <c r="CM97" i="84"/>
  <c r="CM109" i="84"/>
  <c r="CM133" i="84"/>
  <c r="CM149" i="84"/>
  <c r="CM165" i="84"/>
  <c r="CM141" i="84"/>
  <c r="CM157" i="84"/>
  <c r="CM173" i="84"/>
  <c r="CM72" i="84"/>
  <c r="CM38" i="84"/>
  <c r="CM62" i="84"/>
  <c r="CM78" i="84"/>
  <c r="CM94" i="84"/>
  <c r="CM126" i="84"/>
  <c r="CM142" i="84"/>
  <c r="CM158" i="84"/>
  <c r="CM174" i="84"/>
  <c r="CM43" i="84"/>
  <c r="CM67" i="84"/>
  <c r="CM83" i="84"/>
  <c r="CM36" i="84"/>
  <c r="CM164" i="84"/>
  <c r="CM46" i="84"/>
  <c r="CM70" i="84"/>
  <c r="CM86" i="84"/>
  <c r="CM102" i="84"/>
  <c r="CM134" i="84"/>
  <c r="CM150" i="84"/>
  <c r="CM166" i="84"/>
  <c r="CM35" i="84"/>
  <c r="CM51" i="84"/>
  <c r="CM75" i="84"/>
  <c r="CM91" i="84"/>
  <c r="CM115" i="84"/>
  <c r="CM181" i="84"/>
  <c r="E89" i="117"/>
  <c r="F93" i="117"/>
  <c r="CI22" i="84"/>
  <c r="CH22" i="84"/>
  <c r="V22" i="84"/>
  <c r="W22" i="84"/>
  <c r="N231" i="84" s="1"/>
  <c r="CG98" i="84"/>
  <c r="AB98" i="84"/>
  <c r="O98" i="84"/>
  <c r="U98" i="84"/>
  <c r="W130" i="84"/>
  <c r="N339" i="84" s="1"/>
  <c r="V130" i="84"/>
  <c r="L339" i="84" s="1"/>
  <c r="CG130" i="84"/>
  <c r="AB130" i="84"/>
  <c r="O130" i="84"/>
  <c r="CI130" i="84"/>
  <c r="CH130" i="84"/>
  <c r="CI146" i="84"/>
  <c r="CH146" i="84"/>
  <c r="U146" i="84"/>
  <c r="W146" i="84"/>
  <c r="N355" i="84" s="1"/>
  <c r="V146" i="84"/>
  <c r="L355" i="84" s="1"/>
  <c r="CG146" i="84"/>
  <c r="AB146" i="84"/>
  <c r="O146" i="84"/>
  <c r="W162" i="84"/>
  <c r="N371" i="84" s="1"/>
  <c r="V162" i="84"/>
  <c r="L371" i="84" s="1"/>
  <c r="CG162" i="84"/>
  <c r="AB162" i="84"/>
  <c r="O162" i="84"/>
  <c r="CI162" i="84"/>
  <c r="CH162" i="84"/>
  <c r="U162" i="84"/>
  <c r="CI178" i="84"/>
  <c r="CH178" i="84"/>
  <c r="U178" i="84"/>
  <c r="W178" i="84"/>
  <c r="N387" i="84" s="1"/>
  <c r="V178" i="84"/>
  <c r="L387" i="84" s="1"/>
  <c r="CG178" i="84"/>
  <c r="AB178" i="84"/>
  <c r="O178" i="84"/>
  <c r="CG180" i="84"/>
  <c r="U180" i="84"/>
  <c r="O180" i="84"/>
  <c r="CI180" i="84"/>
  <c r="W180" i="84"/>
  <c r="N389" i="84" s="1"/>
  <c r="V180" i="84"/>
  <c r="L389" i="84" s="1"/>
  <c r="CH180" i="84"/>
  <c r="AB180" i="84"/>
  <c r="V31" i="84"/>
  <c r="L240" i="84" s="1"/>
  <c r="CI31" i="84"/>
  <c r="W31" i="84"/>
  <c r="N240" i="84" s="1"/>
  <c r="CG31" i="84"/>
  <c r="O31" i="84"/>
  <c r="CH31" i="84"/>
  <c r="V43" i="84"/>
  <c r="L252" i="84" s="1"/>
  <c r="CI43" i="84"/>
  <c r="W43" i="84"/>
  <c r="N252" i="84" s="1"/>
  <c r="CH43" i="84"/>
  <c r="CG43" i="84"/>
  <c r="O43" i="84"/>
  <c r="CI53" i="84"/>
  <c r="V53" i="84"/>
  <c r="L262" i="84" s="1"/>
  <c r="W53" i="84"/>
  <c r="N262" i="84" s="1"/>
  <c r="CG53" i="84"/>
  <c r="O53" i="84"/>
  <c r="CH53" i="84"/>
  <c r="CG59" i="84"/>
  <c r="CI59" i="84"/>
  <c r="V59" i="84"/>
  <c r="L268" i="84" s="1"/>
  <c r="W59" i="84"/>
  <c r="N268" i="84" s="1"/>
  <c r="CH59" i="84"/>
  <c r="O59" i="84"/>
  <c r="W69" i="84"/>
  <c r="N278" i="84" s="1"/>
  <c r="CG69" i="84"/>
  <c r="O69" i="84"/>
  <c r="CH69" i="84"/>
  <c r="CI69" i="84"/>
  <c r="V69" i="84"/>
  <c r="L278" i="84" s="1"/>
  <c r="W83" i="84"/>
  <c r="N292" i="84" s="1"/>
  <c r="AB83" i="84"/>
  <c r="U83" i="84"/>
  <c r="CI83" i="84"/>
  <c r="V83" i="84"/>
  <c r="L292" i="84" s="1"/>
  <c r="CH83" i="84"/>
  <c r="CG83" i="84"/>
  <c r="O83" i="84"/>
  <c r="CI99" i="84"/>
  <c r="V99" i="84"/>
  <c r="L308" i="84" s="1"/>
  <c r="CH99" i="84"/>
  <c r="AB99" i="84"/>
  <c r="U99" i="84"/>
  <c r="W99" i="84"/>
  <c r="N308" i="84" s="1"/>
  <c r="CG99" i="84"/>
  <c r="O99" i="84"/>
  <c r="CI103" i="84"/>
  <c r="V103" i="84"/>
  <c r="L312" i="84" s="1"/>
  <c r="CH103" i="84"/>
  <c r="AB103" i="84"/>
  <c r="U103" i="84"/>
  <c r="W103" i="84"/>
  <c r="N312" i="84" s="1"/>
  <c r="CG103" i="84"/>
  <c r="O103" i="84"/>
  <c r="CI107" i="84"/>
  <c r="V107" i="84"/>
  <c r="L316" i="84" s="1"/>
  <c r="CH107" i="84"/>
  <c r="AB107" i="84"/>
  <c r="U107" i="84"/>
  <c r="W107" i="84"/>
  <c r="N316" i="84" s="1"/>
  <c r="CG107" i="84"/>
  <c r="O107" i="84"/>
  <c r="CI119" i="84"/>
  <c r="V119" i="84"/>
  <c r="L328" i="84" s="1"/>
  <c r="CH119" i="84"/>
  <c r="AB119" i="84"/>
  <c r="U119" i="84"/>
  <c r="W119" i="84"/>
  <c r="N328" i="84" s="1"/>
  <c r="CG119" i="84"/>
  <c r="O119" i="84"/>
  <c r="V46" i="84"/>
  <c r="L255" i="84" s="1"/>
  <c r="W46" i="84"/>
  <c r="N255" i="84" s="1"/>
  <c r="CI46" i="84"/>
  <c r="CH46" i="84"/>
  <c r="CI56" i="84"/>
  <c r="W56" i="84"/>
  <c r="N265" i="84" s="1"/>
  <c r="V56" i="84"/>
  <c r="L265" i="84" s="1"/>
  <c r="CG68" i="84"/>
  <c r="O68" i="84"/>
  <c r="CI94" i="84"/>
  <c r="W94" i="84"/>
  <c r="N303" i="84" s="1"/>
  <c r="CH94" i="84"/>
  <c r="V94" i="84"/>
  <c r="L303" i="84" s="1"/>
  <c r="V108" i="84"/>
  <c r="L317" i="84" s="1"/>
  <c r="AB108" i="84"/>
  <c r="CI108" i="84"/>
  <c r="W108" i="84"/>
  <c r="N317" i="84" s="1"/>
  <c r="CG116" i="84"/>
  <c r="U116" i="84"/>
  <c r="O116" i="84"/>
  <c r="V116" i="84"/>
  <c r="L325" i="84" s="1"/>
  <c r="CH116" i="84"/>
  <c r="AB116" i="84"/>
  <c r="CG124" i="84"/>
  <c r="U124" i="84"/>
  <c r="O124" i="84"/>
  <c r="CI124" i="84"/>
  <c r="W124" i="84"/>
  <c r="N333" i="84" s="1"/>
  <c r="CH124" i="84"/>
  <c r="AB124" i="84"/>
  <c r="CG128" i="84"/>
  <c r="U128" i="84"/>
  <c r="O128" i="84"/>
  <c r="CI128" i="84"/>
  <c r="W128" i="84"/>
  <c r="N337" i="84" s="1"/>
  <c r="CH128" i="84"/>
  <c r="AB128" i="84"/>
  <c r="CH132" i="84"/>
  <c r="AB132" i="84"/>
  <c r="V132" i="84"/>
  <c r="L341" i="84" s="1"/>
  <c r="CG132" i="84"/>
  <c r="U132" i="84"/>
  <c r="O132" i="84"/>
  <c r="CH136" i="84"/>
  <c r="AB136" i="84"/>
  <c r="V136" i="84"/>
  <c r="L345" i="84" s="1"/>
  <c r="CG136" i="84"/>
  <c r="U136" i="84"/>
  <c r="O136" i="84"/>
  <c r="CG142" i="84"/>
  <c r="AB142" i="84"/>
  <c r="O142" i="84"/>
  <c r="CH142" i="84"/>
  <c r="W142" i="84"/>
  <c r="N351" i="84" s="1"/>
  <c r="V142" i="84"/>
  <c r="L351" i="84" s="1"/>
  <c r="U142" i="84"/>
  <c r="CG148" i="84"/>
  <c r="U148" i="84"/>
  <c r="O148" i="84"/>
  <c r="CI148" i="84"/>
  <c r="W148" i="84"/>
  <c r="N357" i="84" s="1"/>
  <c r="CH148" i="84"/>
  <c r="AB148" i="84"/>
  <c r="V148" i="84"/>
  <c r="L357" i="84" s="1"/>
  <c r="CG152" i="84"/>
  <c r="U152" i="84"/>
  <c r="O152" i="84"/>
  <c r="CI152" i="84"/>
  <c r="W152" i="84"/>
  <c r="N361" i="84" s="1"/>
  <c r="CH152" i="84"/>
  <c r="AB152" i="84"/>
  <c r="V152" i="84"/>
  <c r="L361" i="84" s="1"/>
  <c r="CG158" i="84"/>
  <c r="U158" i="84"/>
  <c r="CI158" i="84"/>
  <c r="AB158" i="84"/>
  <c r="O158" i="84"/>
  <c r="CH158" i="84"/>
  <c r="W158" i="84"/>
  <c r="N367" i="84" s="1"/>
  <c r="V158" i="84"/>
  <c r="L367" i="84" s="1"/>
  <c r="CH164" i="84"/>
  <c r="AB164" i="84"/>
  <c r="V164" i="84"/>
  <c r="L373" i="84" s="1"/>
  <c r="CG164" i="84"/>
  <c r="U164" i="84"/>
  <c r="O164" i="84"/>
  <c r="CI164" i="84"/>
  <c r="W164" i="84"/>
  <c r="N373" i="84" s="1"/>
  <c r="CH168" i="84"/>
  <c r="AB168" i="84"/>
  <c r="CG168" i="84"/>
  <c r="U168" i="84"/>
  <c r="O168" i="84"/>
  <c r="CI168" i="84"/>
  <c r="W168" i="84"/>
  <c r="N377" i="84" s="1"/>
  <c r="V168" i="84"/>
  <c r="L377" i="84" s="1"/>
  <c r="AB174" i="84"/>
  <c r="O174" i="84"/>
  <c r="CH174" i="84"/>
  <c r="W174" i="84"/>
  <c r="N383" i="84" s="1"/>
  <c r="V174" i="84"/>
  <c r="L383" i="84" s="1"/>
  <c r="CG174" i="84"/>
  <c r="U174" i="84"/>
  <c r="CI174" i="84"/>
  <c r="CG64" i="84"/>
  <c r="O64" i="84"/>
  <c r="CI66" i="84"/>
  <c r="W66" i="84"/>
  <c r="N275" i="84" s="1"/>
  <c r="CH66" i="84"/>
  <c r="V66" i="84"/>
  <c r="L275" i="84" s="1"/>
  <c r="CI65" i="84"/>
  <c r="V65" i="84"/>
  <c r="L274" i="84" s="1"/>
  <c r="W65" i="84"/>
  <c r="N274" i="84" s="1"/>
  <c r="CG65" i="84"/>
  <c r="O65" i="84"/>
  <c r="CH65" i="84"/>
  <c r="W111" i="84"/>
  <c r="N320" i="84" s="1"/>
  <c r="CG111" i="84"/>
  <c r="O111" i="84"/>
  <c r="CI111" i="84"/>
  <c r="V111" i="84"/>
  <c r="L320" i="84" s="1"/>
  <c r="CH111" i="84"/>
  <c r="AB111" i="84"/>
  <c r="U111" i="84"/>
  <c r="W113" i="84"/>
  <c r="N322" i="84" s="1"/>
  <c r="AB113" i="84"/>
  <c r="U113" i="84"/>
  <c r="CI113" i="84"/>
  <c r="V113" i="84"/>
  <c r="L322" i="84" s="1"/>
  <c r="CG113" i="84"/>
  <c r="O113" i="84"/>
  <c r="CH113" i="84"/>
  <c r="W115" i="84"/>
  <c r="N324" i="84" s="1"/>
  <c r="CG115" i="84"/>
  <c r="O115" i="84"/>
  <c r="CI115" i="84"/>
  <c r="V115" i="84"/>
  <c r="L324" i="84" s="1"/>
  <c r="CH115" i="84"/>
  <c r="AB115" i="84"/>
  <c r="U115" i="84"/>
  <c r="CI28" i="84"/>
  <c r="CH28" i="84"/>
  <c r="V28" i="84"/>
  <c r="L237" i="84" s="1"/>
  <c r="W28" i="84"/>
  <c r="N237" i="84" s="1"/>
  <c r="CI38" i="84"/>
  <c r="CH38" i="84"/>
  <c r="V38" i="84"/>
  <c r="L247" i="84" s="1"/>
  <c r="W38" i="84"/>
  <c r="N247" i="84" s="1"/>
  <c r="CI54" i="84"/>
  <c r="W54" i="84"/>
  <c r="N263" i="84" s="1"/>
  <c r="V54" i="84"/>
  <c r="L263" i="84" s="1"/>
  <c r="CI58" i="84"/>
  <c r="W58" i="84"/>
  <c r="N267" i="84" s="1"/>
  <c r="V58" i="84"/>
  <c r="L267" i="84" s="1"/>
  <c r="CI70" i="84"/>
  <c r="W70" i="84"/>
  <c r="N279" i="84" s="1"/>
  <c r="CH70" i="84"/>
  <c r="V70" i="84"/>
  <c r="L279" i="84" s="1"/>
  <c r="V86" i="84"/>
  <c r="L295" i="84" s="1"/>
  <c r="CI86" i="84"/>
  <c r="W86" i="84"/>
  <c r="N295" i="84" s="1"/>
  <c r="CH86" i="84"/>
  <c r="CI100" i="84"/>
  <c r="W100" i="84"/>
  <c r="N309" i="84" s="1"/>
  <c r="CG100" i="84"/>
  <c r="U100" i="84"/>
  <c r="O100" i="84"/>
  <c r="CH100" i="84"/>
  <c r="V100" i="84"/>
  <c r="L309" i="84" s="1"/>
  <c r="W106" i="84"/>
  <c r="N315" i="84" s="1"/>
  <c r="V106" i="84"/>
  <c r="L315" i="84" s="1"/>
  <c r="U106" i="84"/>
  <c r="CI106" i="84"/>
  <c r="W110" i="84"/>
  <c r="N319" i="84" s="1"/>
  <c r="V110" i="84"/>
  <c r="L319" i="84" s="1"/>
  <c r="U110" i="84"/>
  <c r="CI110" i="84"/>
  <c r="CI21" i="84"/>
  <c r="W21" i="84"/>
  <c r="N230" i="84" s="1"/>
  <c r="V21" i="84"/>
  <c r="CH21" i="84"/>
  <c r="CG21" i="84"/>
  <c r="O25" i="84"/>
  <c r="CG25" i="84"/>
  <c r="CH25" i="84"/>
  <c r="CI25" i="84"/>
  <c r="W25" i="84"/>
  <c r="N234" i="84" s="1"/>
  <c r="V25" i="84"/>
  <c r="L234" i="84" s="1"/>
  <c r="O29" i="84"/>
  <c r="CG29" i="84"/>
  <c r="CH29" i="84"/>
  <c r="CI29" i="84"/>
  <c r="W29" i="84"/>
  <c r="N238" i="84" s="1"/>
  <c r="V29" i="84"/>
  <c r="L238" i="84" s="1"/>
  <c r="CH37" i="84"/>
  <c r="O37" i="84"/>
  <c r="CI37" i="84"/>
  <c r="W37" i="84"/>
  <c r="N246" i="84" s="1"/>
  <c r="V37" i="84"/>
  <c r="L246" i="84" s="1"/>
  <c r="CG37" i="84"/>
  <c r="CG39" i="84"/>
  <c r="O39" i="84"/>
  <c r="CH39" i="84"/>
  <c r="CI39" i="84"/>
  <c r="W39" i="84"/>
  <c r="N248" i="84" s="1"/>
  <c r="V39" i="84"/>
  <c r="L248" i="84" s="1"/>
  <c r="CH41" i="84"/>
  <c r="O41" i="84"/>
  <c r="CI41" i="84"/>
  <c r="W41" i="84"/>
  <c r="N250" i="84" s="1"/>
  <c r="V41" i="84"/>
  <c r="L250" i="84" s="1"/>
  <c r="CG41" i="84"/>
  <c r="CH45" i="84"/>
  <c r="O45" i="84"/>
  <c r="CI45" i="84"/>
  <c r="W45" i="84"/>
  <c r="N254" i="84" s="1"/>
  <c r="V45" i="84"/>
  <c r="L254" i="84" s="1"/>
  <c r="CG45" i="84"/>
  <c r="CG47" i="84"/>
  <c r="O47" i="84"/>
  <c r="CH47" i="84"/>
  <c r="CI47" i="84"/>
  <c r="W47" i="84"/>
  <c r="N256" i="84" s="1"/>
  <c r="V47" i="84"/>
  <c r="L256" i="84" s="1"/>
  <c r="CH49" i="84"/>
  <c r="CI49" i="84"/>
  <c r="V49" i="84"/>
  <c r="L258" i="84" s="1"/>
  <c r="W49" i="84"/>
  <c r="N258" i="84" s="1"/>
  <c r="CG49" i="84"/>
  <c r="O49" i="84"/>
  <c r="CG57" i="84"/>
  <c r="O57" i="84"/>
  <c r="CI57" i="84"/>
  <c r="V57" i="84"/>
  <c r="L266" i="84" s="1"/>
  <c r="W57" i="84"/>
  <c r="N266" i="84" s="1"/>
  <c r="CH57" i="84"/>
  <c r="CG67" i="84"/>
  <c r="O67" i="84"/>
  <c r="CH67" i="84"/>
  <c r="CI67" i="84"/>
  <c r="V67" i="84"/>
  <c r="L276" i="84" s="1"/>
  <c r="W67" i="84"/>
  <c r="N276" i="84" s="1"/>
  <c r="W71" i="84"/>
  <c r="N280" i="84" s="1"/>
  <c r="CG71" i="84"/>
  <c r="O71" i="84"/>
  <c r="CH71" i="84"/>
  <c r="CI71" i="84"/>
  <c r="V71" i="84"/>
  <c r="L280" i="84" s="1"/>
  <c r="CG73" i="84"/>
  <c r="O73" i="84"/>
  <c r="W73" i="84"/>
  <c r="N282" i="84" s="1"/>
  <c r="CH73" i="84"/>
  <c r="CI73" i="84"/>
  <c r="V73" i="84"/>
  <c r="L282" i="84" s="1"/>
  <c r="CG77" i="84"/>
  <c r="O77" i="84"/>
  <c r="W77" i="84"/>
  <c r="N286" i="84" s="1"/>
  <c r="CH77" i="84"/>
  <c r="CI77" i="84"/>
  <c r="V77" i="84"/>
  <c r="L286" i="84" s="1"/>
  <c r="W79" i="84"/>
  <c r="N288" i="84" s="1"/>
  <c r="CG79" i="84"/>
  <c r="O79" i="84"/>
  <c r="CH79" i="84"/>
  <c r="CI79" i="84"/>
  <c r="V79" i="84"/>
  <c r="L288" i="84" s="1"/>
  <c r="CG81" i="84"/>
  <c r="O81" i="84"/>
  <c r="W81" i="84"/>
  <c r="N290" i="84" s="1"/>
  <c r="CH81" i="84"/>
  <c r="CI81" i="84"/>
  <c r="V81" i="84"/>
  <c r="L290" i="84" s="1"/>
  <c r="CH85" i="84"/>
  <c r="AB85" i="84"/>
  <c r="U85" i="84"/>
  <c r="CI85" i="84"/>
  <c r="V85" i="84"/>
  <c r="L294" i="84" s="1"/>
  <c r="CG85" i="84"/>
  <c r="O85" i="84"/>
  <c r="W85" i="84"/>
  <c r="N294" i="84" s="1"/>
  <c r="CG87" i="84"/>
  <c r="O87" i="84"/>
  <c r="CH87" i="84"/>
  <c r="CI87" i="84"/>
  <c r="V87" i="84"/>
  <c r="L296" i="84" s="1"/>
  <c r="AB87" i="84"/>
  <c r="U87" i="84"/>
  <c r="W87" i="84"/>
  <c r="N296" i="84" s="1"/>
  <c r="CH89" i="84"/>
  <c r="AB89" i="84"/>
  <c r="U89" i="84"/>
  <c r="CI89" i="84"/>
  <c r="V89" i="84"/>
  <c r="L298" i="84" s="1"/>
  <c r="CG89" i="84"/>
  <c r="O89" i="84"/>
  <c r="W89" i="84"/>
  <c r="N298" i="84" s="1"/>
  <c r="CH93" i="84"/>
  <c r="AB93" i="84"/>
  <c r="U93" i="84"/>
  <c r="CI93" i="84"/>
  <c r="V93" i="84"/>
  <c r="L302" i="84" s="1"/>
  <c r="CG93" i="84"/>
  <c r="O93" i="84"/>
  <c r="W93" i="84"/>
  <c r="N302" i="84" s="1"/>
  <c r="CG95" i="84"/>
  <c r="O95" i="84"/>
  <c r="CH95" i="84"/>
  <c r="CI95" i="84"/>
  <c r="V95" i="84"/>
  <c r="L304" i="84" s="1"/>
  <c r="AB95" i="84"/>
  <c r="U95" i="84"/>
  <c r="W95" i="84"/>
  <c r="N304" i="84" s="1"/>
  <c r="CH97" i="84"/>
  <c r="AB97" i="84"/>
  <c r="U97" i="84"/>
  <c r="CI97" i="84"/>
  <c r="V97" i="84"/>
  <c r="L306" i="84" s="1"/>
  <c r="CG97" i="84"/>
  <c r="O97" i="84"/>
  <c r="W97" i="84"/>
  <c r="N306" i="84" s="1"/>
  <c r="AB101" i="84"/>
  <c r="U101" i="84"/>
  <c r="W101" i="84"/>
  <c r="N310" i="84" s="1"/>
  <c r="CG101" i="84"/>
  <c r="O101" i="84"/>
  <c r="CI101" i="84"/>
  <c r="V101" i="84"/>
  <c r="L310" i="84" s="1"/>
  <c r="CH101" i="84"/>
  <c r="CH117" i="84"/>
  <c r="AB117" i="84"/>
  <c r="U117" i="84"/>
  <c r="CI117" i="84"/>
  <c r="V117" i="84"/>
  <c r="L326" i="84" s="1"/>
  <c r="CG117" i="84"/>
  <c r="O117" i="84"/>
  <c r="W117" i="84"/>
  <c r="N326" i="84" s="1"/>
  <c r="W127" i="84"/>
  <c r="N336" i="84" s="1"/>
  <c r="AB127" i="84"/>
  <c r="U127" i="84"/>
  <c r="CI127" i="84"/>
  <c r="V127" i="84"/>
  <c r="L336" i="84" s="1"/>
  <c r="CH127" i="84"/>
  <c r="CG127" i="84"/>
  <c r="O127" i="84"/>
  <c r="W131" i="84"/>
  <c r="N340" i="84" s="1"/>
  <c r="AB131" i="84"/>
  <c r="U131" i="84"/>
  <c r="CI131" i="84"/>
  <c r="V131" i="84"/>
  <c r="L340" i="84" s="1"/>
  <c r="CH131" i="84"/>
  <c r="CG131" i="84"/>
  <c r="O131" i="84"/>
  <c r="W137" i="84"/>
  <c r="N346" i="84" s="1"/>
  <c r="AB137" i="84"/>
  <c r="U137" i="84"/>
  <c r="CI137" i="84"/>
  <c r="V137" i="84"/>
  <c r="L346" i="84" s="1"/>
  <c r="CG137" i="84"/>
  <c r="O137" i="84"/>
  <c r="CH137" i="84"/>
  <c r="CI143" i="84"/>
  <c r="V143" i="84"/>
  <c r="L352" i="84" s="1"/>
  <c r="CH143" i="84"/>
  <c r="CG143" i="84"/>
  <c r="O143" i="84"/>
  <c r="W143" i="84"/>
  <c r="N352" i="84" s="1"/>
  <c r="AB143" i="84"/>
  <c r="U143" i="84"/>
  <c r="CI147" i="84"/>
  <c r="V147" i="84"/>
  <c r="L356" i="84" s="1"/>
  <c r="CH147" i="84"/>
  <c r="CG147" i="84"/>
  <c r="O147" i="84"/>
  <c r="W147" i="84"/>
  <c r="N356" i="84" s="1"/>
  <c r="AB147" i="84"/>
  <c r="U147" i="84"/>
  <c r="CI153" i="84"/>
  <c r="V153" i="84"/>
  <c r="L362" i="84" s="1"/>
  <c r="CG153" i="84"/>
  <c r="O153" i="84"/>
  <c r="CH153" i="84"/>
  <c r="W153" i="84"/>
  <c r="N362" i="84" s="1"/>
  <c r="AB153" i="84"/>
  <c r="U153" i="84"/>
  <c r="W159" i="84"/>
  <c r="N368" i="84" s="1"/>
  <c r="AB159" i="84"/>
  <c r="U159" i="84"/>
  <c r="CI159" i="84"/>
  <c r="V159" i="84"/>
  <c r="L368" i="84" s="1"/>
  <c r="CH159" i="84"/>
  <c r="CG159" i="84"/>
  <c r="O159" i="84"/>
  <c r="W163" i="84"/>
  <c r="N372" i="84" s="1"/>
  <c r="AB163" i="84"/>
  <c r="U163" i="84"/>
  <c r="CI163" i="84"/>
  <c r="V163" i="84"/>
  <c r="L372" i="84" s="1"/>
  <c r="CH163" i="84"/>
  <c r="CG163" i="84"/>
  <c r="O163" i="84"/>
  <c r="W169" i="84"/>
  <c r="N378" i="84" s="1"/>
  <c r="AB169" i="84"/>
  <c r="U169" i="84"/>
  <c r="CI169" i="84"/>
  <c r="V169" i="84"/>
  <c r="L378" i="84" s="1"/>
  <c r="CG169" i="84"/>
  <c r="O169" i="84"/>
  <c r="CH169" i="84"/>
  <c r="CI175" i="84"/>
  <c r="V175" i="84"/>
  <c r="L384" i="84" s="1"/>
  <c r="CH175" i="84"/>
  <c r="CG175" i="84"/>
  <c r="O175" i="84"/>
  <c r="W175" i="84"/>
  <c r="N384" i="84" s="1"/>
  <c r="AB175" i="84"/>
  <c r="U175" i="84"/>
  <c r="CI179" i="84"/>
  <c r="V179" i="84"/>
  <c r="L388" i="84" s="1"/>
  <c r="CH179" i="84"/>
  <c r="CG179" i="84"/>
  <c r="O179" i="84"/>
  <c r="W179" i="84"/>
  <c r="N388" i="84" s="1"/>
  <c r="AB179" i="84"/>
  <c r="U179" i="84"/>
  <c r="CG26" i="84"/>
  <c r="O26" i="84"/>
  <c r="CH36" i="84"/>
  <c r="CG36" i="84"/>
  <c r="O36" i="84"/>
  <c r="CG42" i="84"/>
  <c r="O42" i="84"/>
  <c r="CH42" i="84"/>
  <c r="CH48" i="84"/>
  <c r="CG48" i="84"/>
  <c r="O48" i="84"/>
  <c r="CG52" i="84"/>
  <c r="O52" i="84"/>
  <c r="CH72" i="84"/>
  <c r="CG72" i="84"/>
  <c r="O72" i="84"/>
  <c r="CH76" i="84"/>
  <c r="CG76" i="84"/>
  <c r="O76" i="84"/>
  <c r="U82" i="84"/>
  <c r="CG82" i="84"/>
  <c r="AB82" i="84"/>
  <c r="O82" i="84"/>
  <c r="CH82" i="84"/>
  <c r="U88" i="84"/>
  <c r="CH88" i="84"/>
  <c r="CG88" i="84"/>
  <c r="AB88" i="84"/>
  <c r="O88" i="84"/>
  <c r="U92" i="84"/>
  <c r="CH92" i="84"/>
  <c r="CG92" i="84"/>
  <c r="AB92" i="84"/>
  <c r="O92" i="84"/>
  <c r="AB104" i="84"/>
  <c r="V104" i="84"/>
  <c r="L313" i="84" s="1"/>
  <c r="CG104" i="84"/>
  <c r="U104" i="84"/>
  <c r="O104" i="84"/>
  <c r="W118" i="84"/>
  <c r="N327" i="84" s="1"/>
  <c r="V118" i="84"/>
  <c r="L327" i="84" s="1"/>
  <c r="CH118" i="84"/>
  <c r="CG118" i="84"/>
  <c r="AB118" i="84"/>
  <c r="O118" i="84"/>
  <c r="CI118" i="84"/>
  <c r="AB125" i="84"/>
  <c r="U125" i="84"/>
  <c r="W125" i="84"/>
  <c r="N334" i="84" s="1"/>
  <c r="CG125" i="84"/>
  <c r="O125" i="84"/>
  <c r="CI125" i="84"/>
  <c r="V125" i="84"/>
  <c r="L334" i="84" s="1"/>
  <c r="CH125" i="84"/>
  <c r="CG141" i="84"/>
  <c r="O141" i="84"/>
  <c r="CI141" i="84"/>
  <c r="V141" i="84"/>
  <c r="L350" i="84" s="1"/>
  <c r="CH141" i="84"/>
  <c r="AB141" i="84"/>
  <c r="U141" i="84"/>
  <c r="W141" i="84"/>
  <c r="N350" i="84" s="1"/>
  <c r="AB157" i="84"/>
  <c r="U157" i="84"/>
  <c r="W157" i="84"/>
  <c r="N366" i="84" s="1"/>
  <c r="CG157" i="84"/>
  <c r="O157" i="84"/>
  <c r="CI157" i="84"/>
  <c r="V157" i="84"/>
  <c r="L366" i="84" s="1"/>
  <c r="CH157" i="84"/>
  <c r="CG173" i="84"/>
  <c r="O173" i="84"/>
  <c r="CI173" i="84"/>
  <c r="V173" i="84"/>
  <c r="L382" i="84" s="1"/>
  <c r="CH173" i="84"/>
  <c r="AB173" i="84"/>
  <c r="U173" i="84"/>
  <c r="W173" i="84"/>
  <c r="N382" i="84" s="1"/>
  <c r="K26" i="84"/>
  <c r="CH26" i="84"/>
  <c r="CI26" i="84"/>
  <c r="W30" i="84"/>
  <c r="N239" i="84" s="1"/>
  <c r="W36" i="84"/>
  <c r="N245" i="84" s="1"/>
  <c r="V36" i="84"/>
  <c r="L245" i="84" s="1"/>
  <c r="W40" i="84"/>
  <c r="N249" i="84" s="1"/>
  <c r="W42" i="84"/>
  <c r="N251" i="84" s="1"/>
  <c r="V42" i="84"/>
  <c r="L251" i="84" s="1"/>
  <c r="W44" i="84"/>
  <c r="N253" i="84" s="1"/>
  <c r="O46" i="84"/>
  <c r="CG46" i="84"/>
  <c r="CI48" i="84"/>
  <c r="W50" i="84"/>
  <c r="N259" i="84" s="1"/>
  <c r="CH52" i="84"/>
  <c r="W52" i="84"/>
  <c r="N261" i="84" s="1"/>
  <c r="CI52" i="84"/>
  <c r="O54" i="84"/>
  <c r="CG54" i="84"/>
  <c r="CH54" i="84"/>
  <c r="CH56" i="84"/>
  <c r="O56" i="84"/>
  <c r="CG56" i="84"/>
  <c r="O58" i="84"/>
  <c r="CG58" i="84"/>
  <c r="CH58" i="84"/>
  <c r="O62" i="84"/>
  <c r="CH64" i="84"/>
  <c r="W64" i="84"/>
  <c r="N273" i="84" s="1"/>
  <c r="CI64" i="84"/>
  <c r="CH68" i="84"/>
  <c r="W68" i="84"/>
  <c r="N277" i="84" s="1"/>
  <c r="CI68" i="84"/>
  <c r="V72" i="84"/>
  <c r="L281" i="84" s="1"/>
  <c r="V76" i="84"/>
  <c r="L285" i="84" s="1"/>
  <c r="O78" i="84"/>
  <c r="W80" i="84"/>
  <c r="N289" i="84" s="1"/>
  <c r="W82" i="84"/>
  <c r="N291" i="84" s="1"/>
  <c r="CI82" i="84"/>
  <c r="W84" i="84"/>
  <c r="N293" i="84" s="1"/>
  <c r="O86" i="84"/>
  <c r="AB86" i="84"/>
  <c r="CG86" i="84"/>
  <c r="W88" i="84"/>
  <c r="N297" i="84" s="1"/>
  <c r="CI88" i="84"/>
  <c r="W90" i="84"/>
  <c r="N299" i="84" s="1"/>
  <c r="W92" i="84"/>
  <c r="N301" i="84" s="1"/>
  <c r="CI92" i="84"/>
  <c r="U94" i="84"/>
  <c r="CI98" i="84"/>
  <c r="CH98" i="84"/>
  <c r="CH104" i="84"/>
  <c r="AB106" i="84"/>
  <c r="U108" i="84"/>
  <c r="AB110" i="84"/>
  <c r="W112" i="84"/>
  <c r="N321" i="84" s="1"/>
  <c r="O114" i="84"/>
  <c r="CG114" i="84"/>
  <c r="U118" i="84"/>
  <c r="O122" i="84"/>
  <c r="V126" i="84"/>
  <c r="L335" i="84" s="1"/>
  <c r="W132" i="84"/>
  <c r="N341" i="84" s="1"/>
  <c r="CI132" i="84"/>
  <c r="W136" i="84"/>
  <c r="N345" i="84" s="1"/>
  <c r="CI136" i="84"/>
  <c r="W140" i="84"/>
  <c r="N349" i="84" s="1"/>
  <c r="W122" i="84"/>
  <c r="N331" i="84" s="1"/>
  <c r="V122" i="84"/>
  <c r="L331" i="84" s="1"/>
  <c r="CH122" i="84"/>
  <c r="U122" i="84"/>
  <c r="CI122" i="84"/>
  <c r="W138" i="84"/>
  <c r="N347" i="84" s="1"/>
  <c r="V138" i="84"/>
  <c r="L347" i="84" s="1"/>
  <c r="CG138" i="84"/>
  <c r="AB138" i="84"/>
  <c r="O138" i="84"/>
  <c r="CI138" i="84"/>
  <c r="CH138" i="84"/>
  <c r="CI154" i="84"/>
  <c r="CH154" i="84"/>
  <c r="U154" i="84"/>
  <c r="W154" i="84"/>
  <c r="N363" i="84" s="1"/>
  <c r="V154" i="84"/>
  <c r="L363" i="84" s="1"/>
  <c r="CG154" i="84"/>
  <c r="AB154" i="84"/>
  <c r="O154" i="84"/>
  <c r="W170" i="84"/>
  <c r="N379" i="84" s="1"/>
  <c r="V170" i="84"/>
  <c r="L379" i="84" s="1"/>
  <c r="CG170" i="84"/>
  <c r="AB170" i="84"/>
  <c r="O170" i="84"/>
  <c r="CI170" i="84"/>
  <c r="CH170" i="84"/>
  <c r="U170" i="84"/>
  <c r="V27" i="84"/>
  <c r="L236" i="84" s="1"/>
  <c r="CI27" i="84"/>
  <c r="W27" i="84"/>
  <c r="N236" i="84" s="1"/>
  <c r="CG27" i="84"/>
  <c r="O27" i="84"/>
  <c r="CH27" i="84"/>
  <c r="V35" i="84"/>
  <c r="L244" i="84" s="1"/>
  <c r="CI35" i="84"/>
  <c r="W35" i="84"/>
  <c r="N244" i="84" s="1"/>
  <c r="CH35" i="84"/>
  <c r="CG35" i="84"/>
  <c r="O35" i="84"/>
  <c r="CI51" i="84"/>
  <c r="V51" i="84"/>
  <c r="L260" i="84" s="1"/>
  <c r="W51" i="84"/>
  <c r="N260" i="84" s="1"/>
  <c r="CH51" i="84"/>
  <c r="CG51" i="84"/>
  <c r="O51" i="84"/>
  <c r="CG55" i="84"/>
  <c r="CI55" i="84"/>
  <c r="V55" i="84"/>
  <c r="L264" i="84" s="1"/>
  <c r="W55" i="84"/>
  <c r="N264" i="84" s="1"/>
  <c r="CH55" i="84"/>
  <c r="O55" i="84"/>
  <c r="CI61" i="84"/>
  <c r="V61" i="84"/>
  <c r="L270" i="84" s="1"/>
  <c r="W61" i="84"/>
  <c r="N270" i="84" s="1"/>
  <c r="CG61" i="84"/>
  <c r="O61" i="84"/>
  <c r="CH61" i="84"/>
  <c r="CI75" i="84"/>
  <c r="V75" i="84"/>
  <c r="L284" i="84" s="1"/>
  <c r="CH75" i="84"/>
  <c r="CG75" i="84"/>
  <c r="O75" i="84"/>
  <c r="W75" i="84"/>
  <c r="N284" i="84" s="1"/>
  <c r="W91" i="84"/>
  <c r="N300" i="84" s="1"/>
  <c r="AB91" i="84"/>
  <c r="U91" i="84"/>
  <c r="CI91" i="84"/>
  <c r="V91" i="84"/>
  <c r="L300" i="84" s="1"/>
  <c r="CH91" i="84"/>
  <c r="CG91" i="84"/>
  <c r="O91" i="84"/>
  <c r="CI105" i="84"/>
  <c r="V105" i="84"/>
  <c r="L314" i="84" s="1"/>
  <c r="CG105" i="84"/>
  <c r="O105" i="84"/>
  <c r="CH105" i="84"/>
  <c r="W105" i="84"/>
  <c r="N314" i="84" s="1"/>
  <c r="AB105" i="84"/>
  <c r="U105" i="84"/>
  <c r="V32" i="84"/>
  <c r="W32" i="84"/>
  <c r="N241" i="84" s="1"/>
  <c r="CI32" i="84"/>
  <c r="V62" i="84"/>
  <c r="L271" i="84" s="1"/>
  <c r="CI62" i="84"/>
  <c r="W62" i="84"/>
  <c r="N271" i="84" s="1"/>
  <c r="CH62" i="84"/>
  <c r="V78" i="84"/>
  <c r="L287" i="84" s="1"/>
  <c r="CI78" i="84"/>
  <c r="W78" i="84"/>
  <c r="N287" i="84" s="1"/>
  <c r="CH78" i="84"/>
  <c r="CI102" i="84"/>
  <c r="CH102" i="84"/>
  <c r="CG102" i="84"/>
  <c r="AB102" i="84"/>
  <c r="O102" i="84"/>
  <c r="W102" i="84"/>
  <c r="N311" i="84" s="1"/>
  <c r="V102" i="84"/>
  <c r="L311" i="84" s="1"/>
  <c r="W114" i="84"/>
  <c r="N323" i="84" s="1"/>
  <c r="V114" i="84"/>
  <c r="L323" i="84" s="1"/>
  <c r="U114" i="84"/>
  <c r="CI114" i="84"/>
  <c r="CG120" i="84"/>
  <c r="U120" i="84"/>
  <c r="O120" i="84"/>
  <c r="CI120" i="84"/>
  <c r="W120" i="84"/>
  <c r="N329" i="84" s="1"/>
  <c r="CH120" i="84"/>
  <c r="AB120" i="84"/>
  <c r="U126" i="84"/>
  <c r="CI126" i="84"/>
  <c r="CG126" i="84"/>
  <c r="AB126" i="84"/>
  <c r="O126" i="84"/>
  <c r="CH126" i="84"/>
  <c r="CG134" i="84"/>
  <c r="AB134" i="84"/>
  <c r="O134" i="84"/>
  <c r="CH134" i="84"/>
  <c r="W134" i="84"/>
  <c r="N343" i="84" s="1"/>
  <c r="V134" i="84"/>
  <c r="L343" i="84" s="1"/>
  <c r="U134" i="84"/>
  <c r="CH140" i="84"/>
  <c r="AB140" i="84"/>
  <c r="V140" i="84"/>
  <c r="L349" i="84" s="1"/>
  <c r="CG140" i="84"/>
  <c r="U140" i="84"/>
  <c r="O140" i="84"/>
  <c r="CH144" i="84"/>
  <c r="AB144" i="84"/>
  <c r="V144" i="84"/>
  <c r="L353" i="84" s="1"/>
  <c r="CG144" i="84"/>
  <c r="U144" i="84"/>
  <c r="O144" i="84"/>
  <c r="CI144" i="84"/>
  <c r="W144" i="84"/>
  <c r="N353" i="84" s="1"/>
  <c r="U150" i="84"/>
  <c r="CI150" i="84"/>
  <c r="CG150" i="84"/>
  <c r="AB150" i="84"/>
  <c r="O150" i="84"/>
  <c r="CH150" i="84"/>
  <c r="W150" i="84"/>
  <c r="N359" i="84" s="1"/>
  <c r="V150" i="84"/>
  <c r="L359" i="84" s="1"/>
  <c r="CG156" i="84"/>
  <c r="U156" i="84"/>
  <c r="O156" i="84"/>
  <c r="CI156" i="84"/>
  <c r="W156" i="84"/>
  <c r="N365" i="84" s="1"/>
  <c r="CH156" i="84"/>
  <c r="AB156" i="84"/>
  <c r="V156" i="84"/>
  <c r="L365" i="84" s="1"/>
  <c r="CG160" i="84"/>
  <c r="U160" i="84"/>
  <c r="O160" i="84"/>
  <c r="CI160" i="84"/>
  <c r="W160" i="84"/>
  <c r="N369" i="84" s="1"/>
  <c r="CH160" i="84"/>
  <c r="AB160" i="84"/>
  <c r="V160" i="84"/>
  <c r="L369" i="84" s="1"/>
  <c r="AB166" i="84"/>
  <c r="O166" i="84"/>
  <c r="CH166" i="84"/>
  <c r="W166" i="84"/>
  <c r="N375" i="84" s="1"/>
  <c r="V166" i="84"/>
  <c r="L375" i="84" s="1"/>
  <c r="CG166" i="84"/>
  <c r="U166" i="84"/>
  <c r="CI166" i="84"/>
  <c r="CH172" i="84"/>
  <c r="AB172" i="84"/>
  <c r="CG172" i="84"/>
  <c r="U172" i="84"/>
  <c r="O172" i="84"/>
  <c r="CI172" i="84"/>
  <c r="W172" i="84"/>
  <c r="N381" i="84" s="1"/>
  <c r="V172" i="84"/>
  <c r="L381" i="84" s="1"/>
  <c r="CH176" i="84"/>
  <c r="AB176" i="84"/>
  <c r="CG176" i="84"/>
  <c r="U176" i="84"/>
  <c r="O176" i="84"/>
  <c r="CI176" i="84"/>
  <c r="W176" i="84"/>
  <c r="N385" i="84" s="1"/>
  <c r="V176" i="84"/>
  <c r="L385" i="84" s="1"/>
  <c r="O63" i="84"/>
  <c r="CG63" i="84"/>
  <c r="CH63" i="84"/>
  <c r="CI63" i="84"/>
  <c r="V63" i="84"/>
  <c r="L272" i="84" s="1"/>
  <c r="W63" i="84"/>
  <c r="N272" i="84" s="1"/>
  <c r="CG109" i="84"/>
  <c r="O109" i="84"/>
  <c r="CI109" i="84"/>
  <c r="V109" i="84"/>
  <c r="L318" i="84" s="1"/>
  <c r="CH109" i="84"/>
  <c r="AB109" i="84"/>
  <c r="U109" i="84"/>
  <c r="W109" i="84"/>
  <c r="N318" i="84" s="1"/>
  <c r="CI123" i="84"/>
  <c r="V123" i="84"/>
  <c r="L332" i="84" s="1"/>
  <c r="CH123" i="84"/>
  <c r="CG123" i="84"/>
  <c r="O123" i="84"/>
  <c r="W123" i="84"/>
  <c r="N332" i="84" s="1"/>
  <c r="AB123" i="84"/>
  <c r="U123" i="84"/>
  <c r="W129" i="84"/>
  <c r="N338" i="84" s="1"/>
  <c r="AB129" i="84"/>
  <c r="U129" i="84"/>
  <c r="CI129" i="84"/>
  <c r="V129" i="84"/>
  <c r="L338" i="84" s="1"/>
  <c r="CG129" i="84"/>
  <c r="O129" i="84"/>
  <c r="CH129" i="84"/>
  <c r="W135" i="84"/>
  <c r="N344" i="84" s="1"/>
  <c r="AB135" i="84"/>
  <c r="U135" i="84"/>
  <c r="CI135" i="84"/>
  <c r="V135" i="84"/>
  <c r="L344" i="84" s="1"/>
  <c r="CH135" i="84"/>
  <c r="CG135" i="84"/>
  <c r="O135" i="84"/>
  <c r="W139" i="84"/>
  <c r="N348" i="84" s="1"/>
  <c r="AB139" i="84"/>
  <c r="U139" i="84"/>
  <c r="CI139" i="84"/>
  <c r="V139" i="84"/>
  <c r="L348" i="84" s="1"/>
  <c r="CH139" i="84"/>
  <c r="CG139" i="84"/>
  <c r="O139" i="84"/>
  <c r="CI145" i="84"/>
  <c r="V145" i="84"/>
  <c r="L354" i="84" s="1"/>
  <c r="CG145" i="84"/>
  <c r="O145" i="84"/>
  <c r="CH145" i="84"/>
  <c r="W145" i="84"/>
  <c r="N354" i="84" s="1"/>
  <c r="AB145" i="84"/>
  <c r="U145" i="84"/>
  <c r="CI151" i="84"/>
  <c r="V151" i="84"/>
  <c r="L360" i="84" s="1"/>
  <c r="CH151" i="84"/>
  <c r="CG151" i="84"/>
  <c r="O151" i="84"/>
  <c r="W151" i="84"/>
  <c r="N360" i="84" s="1"/>
  <c r="AB151" i="84"/>
  <c r="U151" i="84"/>
  <c r="CI155" i="84"/>
  <c r="V155" i="84"/>
  <c r="L364" i="84" s="1"/>
  <c r="CH155" i="84"/>
  <c r="CG155" i="84"/>
  <c r="O155" i="84"/>
  <c r="W155" i="84"/>
  <c r="N364" i="84" s="1"/>
  <c r="AB155" i="84"/>
  <c r="U155" i="84"/>
  <c r="W161" i="84"/>
  <c r="N370" i="84" s="1"/>
  <c r="AB161" i="84"/>
  <c r="U161" i="84"/>
  <c r="CI161" i="84"/>
  <c r="V161" i="84"/>
  <c r="L370" i="84" s="1"/>
  <c r="CG161" i="84"/>
  <c r="O161" i="84"/>
  <c r="CH161" i="84"/>
  <c r="W167" i="84"/>
  <c r="N376" i="84" s="1"/>
  <c r="AB167" i="84"/>
  <c r="U167" i="84"/>
  <c r="CI167" i="84"/>
  <c r="V167" i="84"/>
  <c r="L376" i="84" s="1"/>
  <c r="CH167" i="84"/>
  <c r="CG167" i="84"/>
  <c r="O167" i="84"/>
  <c r="W171" i="84"/>
  <c r="N380" i="84" s="1"/>
  <c r="AB171" i="84"/>
  <c r="U171" i="84"/>
  <c r="CI171" i="84"/>
  <c r="V171" i="84"/>
  <c r="L380" i="84" s="1"/>
  <c r="CH171" i="84"/>
  <c r="CG171" i="84"/>
  <c r="O171" i="84"/>
  <c r="CI177" i="84"/>
  <c r="V177" i="84"/>
  <c r="L386" i="84" s="1"/>
  <c r="CG177" i="84"/>
  <c r="O177" i="84"/>
  <c r="CH177" i="84"/>
  <c r="W177" i="84"/>
  <c r="N386" i="84" s="1"/>
  <c r="AB177" i="84"/>
  <c r="U177" i="84"/>
  <c r="AB181" i="84"/>
  <c r="U181" i="84"/>
  <c r="CI181" i="84"/>
  <c r="V181" i="84"/>
  <c r="L390" i="84" s="1"/>
  <c r="CH181" i="84"/>
  <c r="CG181" i="84"/>
  <c r="O181" i="84"/>
  <c r="W181" i="84"/>
  <c r="N390" i="84" s="1"/>
  <c r="CG30" i="84"/>
  <c r="O30" i="84"/>
  <c r="CH40" i="84"/>
  <c r="CG40" i="84"/>
  <c r="O40" i="84"/>
  <c r="CH44" i="84"/>
  <c r="CG44" i="84"/>
  <c r="O44" i="84"/>
  <c r="CG50" i="84"/>
  <c r="O50" i="84"/>
  <c r="CH50" i="84"/>
  <c r="CG60" i="84"/>
  <c r="O60" i="84"/>
  <c r="CG74" i="84"/>
  <c r="O74" i="84"/>
  <c r="CH74" i="84"/>
  <c r="CH80" i="84"/>
  <c r="CG80" i="84"/>
  <c r="O80" i="84"/>
  <c r="U84" i="84"/>
  <c r="CH84" i="84"/>
  <c r="CG84" i="84"/>
  <c r="AB84" i="84"/>
  <c r="O84" i="84"/>
  <c r="U90" i="84"/>
  <c r="CG90" i="84"/>
  <c r="AB90" i="84"/>
  <c r="O90" i="84"/>
  <c r="CH90" i="84"/>
  <c r="CH96" i="84"/>
  <c r="CG96" i="84"/>
  <c r="AB96" i="84"/>
  <c r="O96" i="84"/>
  <c r="U96" i="84"/>
  <c r="AB112" i="84"/>
  <c r="V112" i="84"/>
  <c r="L321" i="84" s="1"/>
  <c r="CG112" i="84"/>
  <c r="U112" i="84"/>
  <c r="O112" i="84"/>
  <c r="CH121" i="84"/>
  <c r="CG121" i="84"/>
  <c r="O121" i="84"/>
  <c r="W121" i="84"/>
  <c r="N330" i="84" s="1"/>
  <c r="AB121" i="84"/>
  <c r="U121" i="84"/>
  <c r="CI121" i="84"/>
  <c r="V121" i="84"/>
  <c r="L330" i="84" s="1"/>
  <c r="AB133" i="84"/>
  <c r="U133" i="84"/>
  <c r="W133" i="84"/>
  <c r="N342" i="84" s="1"/>
  <c r="CG133" i="84"/>
  <c r="O133" i="84"/>
  <c r="CI133" i="84"/>
  <c r="V133" i="84"/>
  <c r="L342" i="84" s="1"/>
  <c r="CH133" i="84"/>
  <c r="CG149" i="84"/>
  <c r="O149" i="84"/>
  <c r="CI149" i="84"/>
  <c r="V149" i="84"/>
  <c r="L358" i="84" s="1"/>
  <c r="CH149" i="84"/>
  <c r="AB149" i="84"/>
  <c r="U149" i="84"/>
  <c r="W149" i="84"/>
  <c r="N358" i="84" s="1"/>
  <c r="AB165" i="84"/>
  <c r="U165" i="84"/>
  <c r="W165" i="84"/>
  <c r="N374" i="84" s="1"/>
  <c r="CG165" i="84"/>
  <c r="O165" i="84"/>
  <c r="CI165" i="84"/>
  <c r="V165" i="84"/>
  <c r="L374" i="84" s="1"/>
  <c r="CH165" i="84"/>
  <c r="K21" i="84"/>
  <c r="L208" i="84" s="1"/>
  <c r="CG22" i="84"/>
  <c r="W26" i="84"/>
  <c r="N235" i="84" s="1"/>
  <c r="V26" i="84"/>
  <c r="L235" i="84" s="1"/>
  <c r="O28" i="84"/>
  <c r="CG28" i="84"/>
  <c r="CH30" i="84"/>
  <c r="CI30" i="84"/>
  <c r="CG32" i="84"/>
  <c r="CH32" i="84"/>
  <c r="CI36" i="84"/>
  <c r="O38" i="84"/>
  <c r="CG38" i="84"/>
  <c r="CI40" i="84"/>
  <c r="CI42" i="84"/>
  <c r="CI44" i="84"/>
  <c r="W48" i="84"/>
  <c r="N257" i="84" s="1"/>
  <c r="V48" i="84"/>
  <c r="L257" i="84" s="1"/>
  <c r="V50" i="84"/>
  <c r="L259" i="84" s="1"/>
  <c r="V52" i="84"/>
  <c r="L261" i="84" s="1"/>
  <c r="CH60" i="84"/>
  <c r="W60" i="84"/>
  <c r="N269" i="84" s="1"/>
  <c r="CI60" i="84"/>
  <c r="V64" i="84"/>
  <c r="L273" i="84" s="1"/>
  <c r="O66" i="84"/>
  <c r="CG66" i="84"/>
  <c r="V68" i="84"/>
  <c r="L277" i="84" s="1"/>
  <c r="O70" i="84"/>
  <c r="CG70" i="84"/>
  <c r="W72" i="84"/>
  <c r="N281" i="84" s="1"/>
  <c r="CI72" i="84"/>
  <c r="W74" i="84"/>
  <c r="N283" i="84" s="1"/>
  <c r="CI74" i="84"/>
  <c r="W76" i="84"/>
  <c r="N285" i="84" s="1"/>
  <c r="CI76" i="84"/>
  <c r="V80" i="84"/>
  <c r="L289" i="84" s="1"/>
  <c r="V82" i="84"/>
  <c r="L291" i="84" s="1"/>
  <c r="V84" i="84"/>
  <c r="L293" i="84" s="1"/>
  <c r="U86" i="84"/>
  <c r="V88" i="84"/>
  <c r="L297" i="84" s="1"/>
  <c r="V90" i="84"/>
  <c r="L299" i="84" s="1"/>
  <c r="V92" i="84"/>
  <c r="L301" i="84" s="1"/>
  <c r="O94" i="84"/>
  <c r="AB94" i="84"/>
  <c r="CG94" i="84"/>
  <c r="W96" i="84"/>
  <c r="N305" i="84" s="1"/>
  <c r="CI96" i="84"/>
  <c r="V98" i="84"/>
  <c r="L307" i="84" s="1"/>
  <c r="W98" i="84"/>
  <c r="N307" i="84" s="1"/>
  <c r="AB100" i="84"/>
  <c r="W104" i="84"/>
  <c r="N313" i="84" s="1"/>
  <c r="CI104" i="84"/>
  <c r="O106" i="84"/>
  <c r="CG106" i="84"/>
  <c r="CH106" i="84"/>
  <c r="CH108" i="84"/>
  <c r="O108" i="84"/>
  <c r="CG108" i="84"/>
  <c r="O110" i="84"/>
  <c r="CG110" i="84"/>
  <c r="CH110" i="84"/>
  <c r="CH112" i="84"/>
  <c r="AB114" i="84"/>
  <c r="W116" i="84"/>
  <c r="N325" i="84" s="1"/>
  <c r="CI116" i="84"/>
  <c r="V120" i="84"/>
  <c r="L329" i="84" s="1"/>
  <c r="AB122" i="84"/>
  <c r="V124" i="84"/>
  <c r="L333" i="84" s="1"/>
  <c r="V128" i="84"/>
  <c r="L337" i="84" s="1"/>
  <c r="U130" i="84"/>
  <c r="CI134" i="84"/>
  <c r="U138" i="84"/>
  <c r="CI142" i="84"/>
  <c r="E92" i="117"/>
  <c r="G89" i="117"/>
  <c r="F92" i="117"/>
  <c r="G87" i="117"/>
  <c r="G86" i="117"/>
  <c r="G83" i="117"/>
  <c r="F87" i="117"/>
  <c r="F86" i="117"/>
  <c r="E86" i="117"/>
  <c r="E87" i="117"/>
  <c r="M74" i="153"/>
  <c r="O74" i="153" s="1"/>
  <c r="M73" i="153"/>
  <c r="O73" i="153" s="1"/>
  <c r="M70" i="153"/>
  <c r="O70" i="153" s="1"/>
  <c r="U70" i="153" s="1"/>
  <c r="AC70" i="153" s="1"/>
  <c r="M69" i="153"/>
  <c r="O69" i="153" s="1"/>
  <c r="G13" i="2"/>
  <c r="M13" i="2" s="1"/>
  <c r="F13" i="2"/>
  <c r="L13" i="2" s="1"/>
  <c r="C10" i="195" s="1"/>
  <c r="E10" i="195" s="1"/>
  <c r="AC18" i="84"/>
  <c r="AD18" i="84"/>
  <c r="C8" i="104"/>
  <c r="P346" i="84"/>
  <c r="P338" i="84"/>
  <c r="P337" i="84"/>
  <c r="P377" i="84"/>
  <c r="P361" i="84"/>
  <c r="P345" i="84"/>
  <c r="P344" i="84"/>
  <c r="P364" i="84"/>
  <c r="P330" i="84"/>
  <c r="P336" i="84"/>
  <c r="P368" i="84"/>
  <c r="P334" i="84"/>
  <c r="P350" i="84"/>
  <c r="P366" i="84"/>
  <c r="P382" i="84"/>
  <c r="P332" i="84"/>
  <c r="P384" i="84"/>
  <c r="P362" i="84"/>
  <c r="P354" i="84"/>
  <c r="P386" i="84"/>
  <c r="P356" i="84"/>
  <c r="P380" i="84"/>
  <c r="P342" i="84"/>
  <c r="P374" i="84"/>
  <c r="P339" i="84"/>
  <c r="P355" i="84"/>
  <c r="P371" i="84"/>
  <c r="P341" i="84"/>
  <c r="P365" i="84"/>
  <c r="P373" i="84"/>
  <c r="P381" i="84"/>
  <c r="P357" i="84"/>
  <c r="P327" i="84"/>
  <c r="P343" i="84"/>
  <c r="P359" i="84"/>
  <c r="P375" i="84"/>
  <c r="P360" i="84"/>
  <c r="P352" i="84"/>
  <c r="P378" i="84"/>
  <c r="P348" i="84"/>
  <c r="CH20" i="84"/>
  <c r="P369" i="84"/>
  <c r="P349" i="84"/>
  <c r="P328" i="84"/>
  <c r="P370" i="84"/>
  <c r="P340" i="84"/>
  <c r="P372" i="84"/>
  <c r="P376" i="84"/>
  <c r="P326" i="84"/>
  <c r="P358" i="84"/>
  <c r="P335" i="84"/>
  <c r="P351" i="84"/>
  <c r="P367" i="84"/>
  <c r="P383" i="84"/>
  <c r="P353" i="84"/>
  <c r="P385" i="84"/>
  <c r="P333" i="84"/>
  <c r="P331" i="84"/>
  <c r="P347" i="84"/>
  <c r="P363" i="84"/>
  <c r="P379" i="84"/>
  <c r="P329" i="84"/>
  <c r="AH20" i="84"/>
  <c r="CG20" i="84"/>
  <c r="CI20" i="84"/>
  <c r="K12" i="195" l="1" a="1"/>
  <c r="K12" i="195" s="1"/>
  <c r="F16" i="229"/>
  <c r="L16" i="229" s="1"/>
  <c r="K11" i="195" a="1"/>
  <c r="K11" i="195" s="1"/>
  <c r="F15" i="229"/>
  <c r="L15" i="229" s="1"/>
  <c r="K8" i="195" a="1"/>
  <c r="K8" i="195" s="1"/>
  <c r="M101" i="203"/>
  <c r="F12" i="195"/>
  <c r="D10" i="195"/>
  <c r="I99" i="203"/>
  <c r="M99" i="203" s="1"/>
  <c r="F11" i="195"/>
  <c r="O417" i="84"/>
  <c r="P417" i="84"/>
  <c r="F417" i="84"/>
  <c r="AX19" i="117"/>
  <c r="T127" i="117"/>
  <c r="AY19" i="117" s="1"/>
  <c r="S140" i="117"/>
  <c r="D50" i="117"/>
  <c r="E50" i="117"/>
  <c r="E73" i="117"/>
  <c r="F73" i="117"/>
  <c r="H73" i="117"/>
  <c r="D73" i="117"/>
  <c r="L34" i="84"/>
  <c r="O243" i="84" s="1"/>
  <c r="L182" i="84"/>
  <c r="M16" i="114"/>
  <c r="L16" i="114"/>
  <c r="N16" i="114"/>
  <c r="P117" i="117"/>
  <c r="R117" i="117"/>
  <c r="L20" i="84" a="1"/>
  <c r="L20" i="84" s="1"/>
  <c r="F229" i="84" s="1"/>
  <c r="AU19" i="117"/>
  <c r="Q104" i="117"/>
  <c r="Q117" i="117" s="1"/>
  <c r="K26" i="101"/>
  <c r="K28" i="101" s="1"/>
  <c r="AW19" i="117"/>
  <c r="AB8" i="104"/>
  <c r="G12" i="1" s="1"/>
  <c r="O117" i="117"/>
  <c r="AT27" i="117"/>
  <c r="I159" i="117"/>
  <c r="H159" i="117" s="1"/>
  <c r="N117" i="117"/>
  <c r="J152" i="117"/>
  <c r="J147" i="117"/>
  <c r="I163" i="117"/>
  <c r="H163" i="117" s="1"/>
  <c r="G60" i="117"/>
  <c r="G73" i="117" s="1"/>
  <c r="G37" i="117"/>
  <c r="G50" i="117" s="1"/>
  <c r="H50" i="117"/>
  <c r="F50" i="117"/>
  <c r="M67" i="153"/>
  <c r="O67" i="153" s="1"/>
  <c r="T67" i="153" s="1"/>
  <c r="AB67" i="153" s="1"/>
  <c r="F34" i="114"/>
  <c r="N19" i="114"/>
  <c r="L19" i="114"/>
  <c r="M15" i="114"/>
  <c r="E17" i="114"/>
  <c r="E30" i="114"/>
  <c r="E34" i="114" s="1"/>
  <c r="L18" i="114"/>
  <c r="N15" i="114"/>
  <c r="F21" i="114"/>
  <c r="N18" i="114"/>
  <c r="M19" i="114"/>
  <c r="D17" i="114"/>
  <c r="D21" i="114" s="1"/>
  <c r="D30" i="114"/>
  <c r="D34" i="114" s="1"/>
  <c r="N17" i="114"/>
  <c r="M18" i="114"/>
  <c r="L15" i="114"/>
  <c r="AJ77" i="104"/>
  <c r="AJ78" i="104"/>
  <c r="AJ79" i="104"/>
  <c r="AJ74" i="104"/>
  <c r="AJ76" i="104"/>
  <c r="AB59" i="104"/>
  <c r="G63" i="1" s="1"/>
  <c r="M63" i="1" s="1"/>
  <c r="AD61" i="104"/>
  <c r="I65" i="1" s="1"/>
  <c r="O65" i="1" s="1"/>
  <c r="AC64" i="104"/>
  <c r="H68" i="1" s="1"/>
  <c r="N68" i="1" s="1"/>
  <c r="AB67" i="104"/>
  <c r="AC72" i="104"/>
  <c r="H76" i="1" s="1"/>
  <c r="N76" i="1" s="1"/>
  <c r="AB75" i="104"/>
  <c r="G79" i="1" s="1"/>
  <c r="M79" i="1" s="1"/>
  <c r="AD77" i="104"/>
  <c r="I81" i="1" s="1"/>
  <c r="O81" i="1" s="1"/>
  <c r="AI9" i="104"/>
  <c r="AH12" i="104"/>
  <c r="AJ14" i="104"/>
  <c r="AI17" i="104"/>
  <c r="AJ22" i="104"/>
  <c r="AI25" i="104"/>
  <c r="AH28" i="104"/>
  <c r="AJ30" i="104"/>
  <c r="AI33" i="104"/>
  <c r="AH36" i="104"/>
  <c r="AJ38" i="104"/>
  <c r="AI41" i="104"/>
  <c r="AJ46" i="104"/>
  <c r="AI49" i="104"/>
  <c r="AH52" i="104"/>
  <c r="AJ54" i="104"/>
  <c r="AH60" i="104"/>
  <c r="AJ62" i="104"/>
  <c r="AI65" i="104"/>
  <c r="AJ70" i="104"/>
  <c r="AI73" i="104"/>
  <c r="AH77" i="104"/>
  <c r="AD9" i="104"/>
  <c r="I13" i="1" s="1"/>
  <c r="O13" i="1" s="1"/>
  <c r="AC12" i="104"/>
  <c r="H16" i="1" s="1"/>
  <c r="N16" i="1" s="1"/>
  <c r="AB15" i="104"/>
  <c r="G19" i="1" s="1"/>
  <c r="M19" i="1" s="1"/>
  <c r="AD17" i="104"/>
  <c r="I21" i="1" s="1"/>
  <c r="O21" i="1" s="1"/>
  <c r="AD25" i="104"/>
  <c r="I29" i="1" s="1"/>
  <c r="O29" i="1" s="1"/>
  <c r="AC28" i="104"/>
  <c r="H32" i="1" s="1"/>
  <c r="N32" i="1" s="1"/>
  <c r="AB31" i="104"/>
  <c r="AD33" i="104"/>
  <c r="I37" i="1" s="1"/>
  <c r="O37" i="1" s="1"/>
  <c r="AC36" i="104"/>
  <c r="H40" i="1" s="1"/>
  <c r="N40" i="1" s="1"/>
  <c r="AB39" i="104"/>
  <c r="G43" i="1" s="1"/>
  <c r="M43" i="1" s="1"/>
  <c r="AD41" i="104"/>
  <c r="I45" i="1" s="1"/>
  <c r="O45" i="1" s="1"/>
  <c r="AB47" i="104"/>
  <c r="G51" i="1" s="1"/>
  <c r="M51" i="1" s="1"/>
  <c r="AD49" i="104"/>
  <c r="I53" i="1" s="1"/>
  <c r="O53" i="1" s="1"/>
  <c r="AC52" i="104"/>
  <c r="H56" i="1" s="1"/>
  <c r="N56" i="1" s="1"/>
  <c r="AB55" i="104"/>
  <c r="AB66" i="104"/>
  <c r="G70" i="1" s="1"/>
  <c r="M70" i="1" s="1"/>
  <c r="AH27" i="104"/>
  <c r="AH43" i="104"/>
  <c r="AB14" i="104"/>
  <c r="G18" i="1" s="1"/>
  <c r="M18" i="1" s="1"/>
  <c r="AB77" i="104"/>
  <c r="G81" i="1" s="1"/>
  <c r="M81" i="1" s="1"/>
  <c r="AI27" i="104"/>
  <c r="AI43" i="104"/>
  <c r="AH70" i="104"/>
  <c r="AB9" i="104"/>
  <c r="G13" i="1" s="1"/>
  <c r="M13" i="1" s="1"/>
  <c r="AC22" i="104"/>
  <c r="H26" i="1" s="1"/>
  <c r="N26" i="1" s="1"/>
  <c r="AB49" i="104"/>
  <c r="AC61" i="104"/>
  <c r="H65" i="1" s="1"/>
  <c r="N65" i="1" s="1"/>
  <c r="AB72" i="104"/>
  <c r="G76" i="1" s="1"/>
  <c r="M76" i="1" s="1"/>
  <c r="AJ11" i="104"/>
  <c r="AI22" i="104"/>
  <c r="AH33" i="104"/>
  <c r="AJ43" i="104"/>
  <c r="AJ75" i="104"/>
  <c r="AC59" i="104"/>
  <c r="H63" i="1" s="1"/>
  <c r="N63" i="1" s="1"/>
  <c r="AB62" i="104"/>
  <c r="G66" i="1" s="1"/>
  <c r="M66" i="1" s="1"/>
  <c r="AD64" i="104"/>
  <c r="I68" i="1" s="1"/>
  <c r="O68" i="1" s="1"/>
  <c r="AC67" i="104"/>
  <c r="H71" i="1" s="1"/>
  <c r="AB70" i="104"/>
  <c r="G74" i="1" s="1"/>
  <c r="M74" i="1" s="1"/>
  <c r="AD72" i="104"/>
  <c r="I76" i="1" s="1"/>
  <c r="O76" i="1" s="1"/>
  <c r="AC75" i="104"/>
  <c r="H79" i="1" s="1"/>
  <c r="N79" i="1" s="1"/>
  <c r="AB78" i="104"/>
  <c r="G82" i="1" s="1"/>
  <c r="M82" i="1" s="1"/>
  <c r="AJ9" i="104"/>
  <c r="AI12" i="104"/>
  <c r="AH15" i="104"/>
  <c r="AJ17" i="104"/>
  <c r="AJ25" i="104"/>
  <c r="AI28" i="104"/>
  <c r="AH31" i="104"/>
  <c r="AJ33" i="104"/>
  <c r="AI36" i="104"/>
  <c r="AH39" i="104"/>
  <c r="AJ41" i="104"/>
  <c r="AH47" i="104"/>
  <c r="AJ49" i="104"/>
  <c r="AI52" i="104"/>
  <c r="AH55" i="104"/>
  <c r="AI60" i="104"/>
  <c r="AH63" i="104"/>
  <c r="AJ65" i="104"/>
  <c r="AH71" i="104"/>
  <c r="AJ73" i="104"/>
  <c r="AI77" i="104"/>
  <c r="AB10" i="104"/>
  <c r="AD12" i="104"/>
  <c r="I16" i="1" s="1"/>
  <c r="O16" i="1" s="1"/>
  <c r="AC15" i="104"/>
  <c r="H19" i="1" s="1"/>
  <c r="N19" i="1" s="1"/>
  <c r="AB18" i="104"/>
  <c r="G22" i="1" s="1"/>
  <c r="M22" i="1" s="1"/>
  <c r="AB26" i="104"/>
  <c r="G30" i="1" s="1"/>
  <c r="M30" i="1" s="1"/>
  <c r="AD28" i="104"/>
  <c r="I32" i="1" s="1"/>
  <c r="O32" i="1" s="1"/>
  <c r="AC31" i="104"/>
  <c r="H35" i="1" s="1"/>
  <c r="AB34" i="104"/>
  <c r="G38" i="1" s="1"/>
  <c r="M38" i="1" s="1"/>
  <c r="AD36" i="104"/>
  <c r="I40" i="1" s="1"/>
  <c r="O40" i="1" s="1"/>
  <c r="AC39" i="104"/>
  <c r="H43" i="1" s="1"/>
  <c r="N43" i="1" s="1"/>
  <c r="AB42" i="104"/>
  <c r="G46" i="1" s="1"/>
  <c r="M46" i="1" s="1"/>
  <c r="AC47" i="104"/>
  <c r="H51" i="1" s="1"/>
  <c r="N51" i="1" s="1"/>
  <c r="AB50" i="104"/>
  <c r="G54" i="1" s="1"/>
  <c r="M54" i="1" s="1"/>
  <c r="AD52" i="104"/>
  <c r="I56" i="1" s="1"/>
  <c r="O56" i="1" s="1"/>
  <c r="AC55" i="104"/>
  <c r="H59" i="1" s="1"/>
  <c r="N59" i="1" s="1"/>
  <c r="AD60" i="104"/>
  <c r="I64" i="1" s="1"/>
  <c r="O64" i="1" s="1"/>
  <c r="AD76" i="104"/>
  <c r="I80" i="1" s="1"/>
  <c r="O80" i="1" s="1"/>
  <c r="AJ13" i="104"/>
  <c r="AI24" i="104"/>
  <c r="AJ37" i="104"/>
  <c r="AJ53" i="104"/>
  <c r="AH67" i="104"/>
  <c r="AC11" i="104"/>
  <c r="H15" i="1" s="1"/>
  <c r="N15" i="1" s="1"/>
  <c r="AD24" i="104"/>
  <c r="I28" i="1" s="1"/>
  <c r="O28" i="1" s="1"/>
  <c r="AB46" i="104"/>
  <c r="G50" i="1" s="1"/>
  <c r="M50" i="1" s="1"/>
  <c r="AB61" i="104"/>
  <c r="AC66" i="104"/>
  <c r="H70" i="1" s="1"/>
  <c r="N70" i="1" s="1"/>
  <c r="AH14" i="104"/>
  <c r="AH30" i="104"/>
  <c r="AJ40" i="104"/>
  <c r="AH54" i="104"/>
  <c r="AI67" i="104"/>
  <c r="AD11" i="104"/>
  <c r="I15" i="1" s="1"/>
  <c r="O15" i="1" s="1"/>
  <c r="AB25" i="104"/>
  <c r="AB41" i="104"/>
  <c r="G45" i="1" s="1"/>
  <c r="M45" i="1" s="1"/>
  <c r="AC54" i="104"/>
  <c r="H58" i="1" s="1"/>
  <c r="N58" i="1" s="1"/>
  <c r="AD66" i="104"/>
  <c r="I70" i="1" s="1"/>
  <c r="O70" i="1" s="1"/>
  <c r="AC77" i="104"/>
  <c r="H81" i="1" s="1"/>
  <c r="N81" i="1" s="1"/>
  <c r="AI14" i="104"/>
  <c r="AH25" i="104"/>
  <c r="AD59" i="104"/>
  <c r="I63" i="1" s="1"/>
  <c r="O63" i="1" s="1"/>
  <c r="AC62" i="104"/>
  <c r="H66" i="1" s="1"/>
  <c r="N66" i="1" s="1"/>
  <c r="AB65" i="104"/>
  <c r="G69" i="1" s="1"/>
  <c r="M69" i="1" s="1"/>
  <c r="AD67" i="104"/>
  <c r="I71" i="1" s="1"/>
  <c r="AC70" i="104"/>
  <c r="H74" i="1" s="1"/>
  <c r="N74" i="1" s="1"/>
  <c r="AB73" i="104"/>
  <c r="AD75" i="104"/>
  <c r="I79" i="1" s="1"/>
  <c r="O79" i="1" s="1"/>
  <c r="AC78" i="104"/>
  <c r="H82" i="1" s="1"/>
  <c r="N82" i="1" s="1"/>
  <c r="AH10" i="104"/>
  <c r="AJ12" i="104"/>
  <c r="AI15" i="104"/>
  <c r="AH18" i="104"/>
  <c r="AH26" i="104"/>
  <c r="AJ28" i="104"/>
  <c r="AI31" i="104"/>
  <c r="AH34" i="104"/>
  <c r="AJ36" i="104"/>
  <c r="AI39" i="104"/>
  <c r="AH42" i="104"/>
  <c r="AI47" i="104"/>
  <c r="AH50" i="104"/>
  <c r="AJ52" i="104"/>
  <c r="AI55" i="104"/>
  <c r="AJ60" i="104"/>
  <c r="AI63" i="104"/>
  <c r="AH66" i="104"/>
  <c r="AI71" i="104"/>
  <c r="AH74" i="104"/>
  <c r="AH78" i="104"/>
  <c r="AC10" i="104"/>
  <c r="AB13" i="104"/>
  <c r="AD15" i="104"/>
  <c r="I19" i="1" s="1"/>
  <c r="O19" i="1" s="1"/>
  <c r="AC18" i="104"/>
  <c r="H22" i="1" s="1"/>
  <c r="N22" i="1" s="1"/>
  <c r="AC26" i="104"/>
  <c r="H30" i="1" s="1"/>
  <c r="N30" i="1" s="1"/>
  <c r="AB29" i="104"/>
  <c r="G33" i="1" s="1"/>
  <c r="AD31" i="104"/>
  <c r="I35" i="1" s="1"/>
  <c r="AC34" i="104"/>
  <c r="H38" i="1" s="1"/>
  <c r="N38" i="1" s="1"/>
  <c r="AB37" i="104"/>
  <c r="AD39" i="104"/>
  <c r="I43" i="1" s="1"/>
  <c r="O43" i="1" s="1"/>
  <c r="AC42" i="104"/>
  <c r="H46" i="1" s="1"/>
  <c r="N46" i="1" s="1"/>
  <c r="AB45" i="104"/>
  <c r="G49" i="1" s="1"/>
  <c r="M49" i="1" s="1"/>
  <c r="AD47" i="104"/>
  <c r="I51" i="1" s="1"/>
  <c r="O51" i="1" s="1"/>
  <c r="AC50" i="104"/>
  <c r="H54" i="1" s="1"/>
  <c r="N54" i="1" s="1"/>
  <c r="AB53" i="104"/>
  <c r="G57" i="1" s="1"/>
  <c r="M57" i="1" s="1"/>
  <c r="AD55" i="104"/>
  <c r="I59" i="1" s="1"/>
  <c r="O59" i="1" s="1"/>
  <c r="AB74" i="104"/>
  <c r="G78" i="1" s="1"/>
  <c r="M78" i="1" s="1"/>
  <c r="AI16" i="104"/>
  <c r="AJ29" i="104"/>
  <c r="AI40" i="104"/>
  <c r="AH51" i="104"/>
  <c r="AI64" i="104"/>
  <c r="AI79" i="104"/>
  <c r="AB22" i="104"/>
  <c r="G26" i="1" s="1"/>
  <c r="M26" i="1" s="1"/>
  <c r="AC43" i="104"/>
  <c r="H47" i="1" s="1"/>
  <c r="N47" i="1" s="1"/>
  <c r="AB54" i="104"/>
  <c r="G58" i="1" s="1"/>
  <c r="M58" i="1" s="1"/>
  <c r="AC74" i="104"/>
  <c r="H78" i="1" s="1"/>
  <c r="N78" i="1" s="1"/>
  <c r="AJ16" i="104"/>
  <c r="AJ24" i="104"/>
  <c r="AH38" i="104"/>
  <c r="AI51" i="104"/>
  <c r="AJ64" i="104"/>
  <c r="AC14" i="104"/>
  <c r="H18" i="1" s="1"/>
  <c r="N18" i="1" s="1"/>
  <c r="AD27" i="104"/>
  <c r="I31" i="1" s="1"/>
  <c r="O31" i="1" s="1"/>
  <c r="AC38" i="104"/>
  <c r="H42" i="1" s="1"/>
  <c r="N42" i="1" s="1"/>
  <c r="AD51" i="104"/>
  <c r="I55" i="1" s="1"/>
  <c r="O55" i="1" s="1"/>
  <c r="AB64" i="104"/>
  <c r="G68" i="1" s="1"/>
  <c r="M68" i="1" s="1"/>
  <c r="AD74" i="104"/>
  <c r="I78" i="1" s="1"/>
  <c r="O78" i="1" s="1"/>
  <c r="AH17" i="104"/>
  <c r="AJ27" i="104"/>
  <c r="AI38" i="104"/>
  <c r="AB60" i="104"/>
  <c r="G64" i="1" s="1"/>
  <c r="M64" i="1" s="1"/>
  <c r="AD62" i="104"/>
  <c r="I66" i="1" s="1"/>
  <c r="O66" i="1" s="1"/>
  <c r="AC65" i="104"/>
  <c r="H69" i="1" s="1"/>
  <c r="N69" i="1" s="1"/>
  <c r="AD70" i="104"/>
  <c r="I74" i="1" s="1"/>
  <c r="O74" i="1" s="1"/>
  <c r="AC73" i="104"/>
  <c r="H77" i="1" s="1"/>
  <c r="AB76" i="104"/>
  <c r="G80" i="1" s="1"/>
  <c r="M80" i="1" s="1"/>
  <c r="AD78" i="104"/>
  <c r="I82" i="1" s="1"/>
  <c r="O82" i="1" s="1"/>
  <c r="AI10" i="104"/>
  <c r="AH13" i="104"/>
  <c r="AJ15" i="104"/>
  <c r="AI18" i="104"/>
  <c r="AI26" i="104"/>
  <c r="AH29" i="104"/>
  <c r="AJ44" i="135" s="1"/>
  <c r="AJ31" i="104"/>
  <c r="AI34" i="104"/>
  <c r="AH37" i="104"/>
  <c r="AJ39" i="104"/>
  <c r="AI42" i="104"/>
  <c r="AH45" i="104"/>
  <c r="AJ47" i="104"/>
  <c r="AI50" i="104"/>
  <c r="AH53" i="104"/>
  <c r="AJ55" i="104"/>
  <c r="AH61" i="104"/>
  <c r="AJ63" i="104"/>
  <c r="AI66" i="104"/>
  <c r="AJ71" i="104"/>
  <c r="AI74" i="104"/>
  <c r="AI78" i="104"/>
  <c r="AD10" i="104"/>
  <c r="AC13" i="104"/>
  <c r="H17" i="1" s="1"/>
  <c r="N17" i="1" s="1"/>
  <c r="AB16" i="104"/>
  <c r="AD18" i="104"/>
  <c r="I22" i="1" s="1"/>
  <c r="O22" i="1" s="1"/>
  <c r="AB24" i="104"/>
  <c r="G28" i="1" s="1"/>
  <c r="M28" i="1" s="1"/>
  <c r="AD26" i="104"/>
  <c r="I30" i="1" s="1"/>
  <c r="O30" i="1" s="1"/>
  <c r="AC29" i="104"/>
  <c r="H33" i="1" s="1"/>
  <c r="AD34" i="104"/>
  <c r="I38" i="1" s="1"/>
  <c r="O38" i="1" s="1"/>
  <c r="AC37" i="104"/>
  <c r="H41" i="1" s="1"/>
  <c r="N41" i="1" s="1"/>
  <c r="AB40" i="104"/>
  <c r="G44" i="1" s="1"/>
  <c r="M44" i="1" s="1"/>
  <c r="AD42" i="104"/>
  <c r="I46" i="1" s="1"/>
  <c r="O46" i="1" s="1"/>
  <c r="AC45" i="104"/>
  <c r="H49" i="1" s="1"/>
  <c r="N49" i="1" s="1"/>
  <c r="AB48" i="104"/>
  <c r="G52" i="1" s="1"/>
  <c r="M52" i="1" s="1"/>
  <c r="AD50" i="104"/>
  <c r="I54" i="1" s="1"/>
  <c r="O54" i="1" s="1"/>
  <c r="AC53" i="104"/>
  <c r="H57" i="1" s="1"/>
  <c r="N57" i="1" s="1"/>
  <c r="AH11" i="104"/>
  <c r="AJ45" i="104"/>
  <c r="AH59" i="104"/>
  <c r="AI75" i="104"/>
  <c r="AD16" i="104"/>
  <c r="AC27" i="104"/>
  <c r="H31" i="1" s="1"/>
  <c r="N31" i="1" s="1"/>
  <c r="AB38" i="104"/>
  <c r="G42" i="1" s="1"/>
  <c r="M42" i="1" s="1"/>
  <c r="AD48" i="104"/>
  <c r="I52" i="1" s="1"/>
  <c r="O52" i="1" s="1"/>
  <c r="AD79" i="104"/>
  <c r="I83" i="1" s="1"/>
  <c r="AI19" i="104"/>
  <c r="AH46" i="104"/>
  <c r="AH62" i="104"/>
  <c r="AH76" i="104"/>
  <c r="AD19" i="104"/>
  <c r="I23" i="1" s="1"/>
  <c r="O23" i="1" s="1"/>
  <c r="AB33" i="104"/>
  <c r="G37" i="1" s="1"/>
  <c r="M37" i="1" s="1"/>
  <c r="AC46" i="104"/>
  <c r="H50" i="1" s="1"/>
  <c r="N50" i="1" s="1"/>
  <c r="AH9" i="104"/>
  <c r="AJ19" i="104"/>
  <c r="AI30" i="104"/>
  <c r="AH41" i="104"/>
  <c r="AI46" i="104"/>
  <c r="AC60" i="104"/>
  <c r="H64" i="1" s="1"/>
  <c r="N64" i="1" s="1"/>
  <c r="AB63" i="104"/>
  <c r="G67" i="1" s="1"/>
  <c r="M67" i="1" s="1"/>
  <c r="AD65" i="104"/>
  <c r="I69" i="1" s="1"/>
  <c r="O69" i="1" s="1"/>
  <c r="AB71" i="104"/>
  <c r="G75" i="1" s="1"/>
  <c r="M75" i="1" s="1"/>
  <c r="AD73" i="104"/>
  <c r="I77" i="1" s="1"/>
  <c r="AC76" i="104"/>
  <c r="H80" i="1" s="1"/>
  <c r="N80" i="1" s="1"/>
  <c r="AB79" i="104"/>
  <c r="AJ10" i="104"/>
  <c r="AI13" i="104"/>
  <c r="AH16" i="104"/>
  <c r="AJ18" i="104"/>
  <c r="AH24" i="104"/>
  <c r="AJ26" i="104"/>
  <c r="AI29" i="104"/>
  <c r="AJ34" i="104"/>
  <c r="AI37" i="104"/>
  <c r="AH40" i="104"/>
  <c r="AJ42" i="104"/>
  <c r="AI45" i="104"/>
  <c r="AH48" i="104"/>
  <c r="AJ50" i="104"/>
  <c r="AI53" i="104"/>
  <c r="AI61" i="104"/>
  <c r="AH64" i="104"/>
  <c r="AJ66" i="104"/>
  <c r="AH72" i="104"/>
  <c r="AH75" i="104"/>
  <c r="AH79" i="104"/>
  <c r="AB11" i="104"/>
  <c r="G15" i="1" s="1"/>
  <c r="M15" i="1" s="1"/>
  <c r="AD13" i="104"/>
  <c r="I17" i="1" s="1"/>
  <c r="O17" i="1" s="1"/>
  <c r="AC16" i="104"/>
  <c r="AB19" i="104"/>
  <c r="AC24" i="104"/>
  <c r="H28" i="1" s="1"/>
  <c r="N28" i="1" s="1"/>
  <c r="AB27" i="104"/>
  <c r="G31" i="1" s="1"/>
  <c r="M31" i="1" s="1"/>
  <c r="AD29" i="104"/>
  <c r="I33" i="1" s="1"/>
  <c r="O33" i="1" s="1"/>
  <c r="AD37" i="104"/>
  <c r="I41" i="1" s="1"/>
  <c r="O41" i="1" s="1"/>
  <c r="AC40" i="104"/>
  <c r="H44" i="1" s="1"/>
  <c r="N44" i="1" s="1"/>
  <c r="AB43" i="104"/>
  <c r="AD45" i="104"/>
  <c r="I49" i="1" s="1"/>
  <c r="O49" i="1" s="1"/>
  <c r="AC48" i="104"/>
  <c r="H52" i="1" s="1"/>
  <c r="N52" i="1" s="1"/>
  <c r="AB51" i="104"/>
  <c r="G55" i="1" s="1"/>
  <c r="M55" i="1" s="1"/>
  <c r="AD53" i="104"/>
  <c r="I57" i="1" s="1"/>
  <c r="O57" i="1" s="1"/>
  <c r="AC63" i="104"/>
  <c r="H67" i="1" s="1"/>
  <c r="N67" i="1" s="1"/>
  <c r="AC71" i="104"/>
  <c r="H75" i="1" s="1"/>
  <c r="N75" i="1" s="1"/>
  <c r="AC79" i="104"/>
  <c r="H83" i="1" s="1"/>
  <c r="AH19" i="104"/>
  <c r="AI48" i="104"/>
  <c r="AJ61" i="104"/>
  <c r="AI72" i="104"/>
  <c r="AC19" i="104"/>
  <c r="H23" i="1" s="1"/>
  <c r="N23" i="1" s="1"/>
  <c r="AB30" i="104"/>
  <c r="G34" i="1" s="1"/>
  <c r="M34" i="1" s="1"/>
  <c r="AD40" i="104"/>
  <c r="I44" i="1" s="1"/>
  <c r="O44" i="1" s="1"/>
  <c r="AC51" i="104"/>
  <c r="H55" i="1" s="1"/>
  <c r="N55" i="1" s="1"/>
  <c r="AD63" i="104"/>
  <c r="I67" i="1" s="1"/>
  <c r="O67" i="1" s="1"/>
  <c r="AD71" i="104"/>
  <c r="I75" i="1" s="1"/>
  <c r="O75" i="1" s="1"/>
  <c r="AI11" i="104"/>
  <c r="AH22" i="104"/>
  <c r="AJ48" i="104"/>
  <c r="AI59" i="104"/>
  <c r="AJ72" i="104"/>
  <c r="AB17" i="104"/>
  <c r="G21" i="1" s="1"/>
  <c r="M21" i="1" s="1"/>
  <c r="AC30" i="104"/>
  <c r="H34" i="1" s="1"/>
  <c r="N34" i="1" s="1"/>
  <c r="AD43" i="104"/>
  <c r="I47" i="1" s="1"/>
  <c r="O47" i="1" s="1"/>
  <c r="AH49" i="104"/>
  <c r="AI70" i="104"/>
  <c r="AD22" i="104"/>
  <c r="I26" i="1" s="1"/>
  <c r="O26" i="1" s="1"/>
  <c r="AC9" i="104"/>
  <c r="H13" i="1" s="1"/>
  <c r="N13" i="1" s="1"/>
  <c r="AB52" i="104"/>
  <c r="G56" i="1" s="1"/>
  <c r="M56" i="1" s="1"/>
  <c r="AJ51" i="104"/>
  <c r="AH73" i="104"/>
  <c r="AC25" i="104"/>
  <c r="H29" i="1" s="1"/>
  <c r="N29" i="1" s="1"/>
  <c r="AD46" i="104"/>
  <c r="I50" i="1" s="1"/>
  <c r="O50" i="1" s="1"/>
  <c r="AI54" i="104"/>
  <c r="AI76" i="104"/>
  <c r="AB28" i="104"/>
  <c r="G32" i="1" s="1"/>
  <c r="M32" i="1" s="1"/>
  <c r="AC49" i="104"/>
  <c r="H53" i="1" s="1"/>
  <c r="N53" i="1" s="1"/>
  <c r="AD30" i="104"/>
  <c r="I34" i="1" s="1"/>
  <c r="O34" i="1" s="1"/>
  <c r="AJ59" i="104"/>
  <c r="AB12" i="104"/>
  <c r="G16" i="1" s="1"/>
  <c r="M16" i="1" s="1"/>
  <c r="AC33" i="104"/>
  <c r="H37" i="1" s="1"/>
  <c r="N37" i="1" s="1"/>
  <c r="AD54" i="104"/>
  <c r="I58" i="1" s="1"/>
  <c r="O58" i="1" s="1"/>
  <c r="AH65" i="104"/>
  <c r="AJ67" i="104"/>
  <c r="AI62" i="104"/>
  <c r="AD14" i="104"/>
  <c r="I18" i="1" s="1"/>
  <c r="O18" i="1" s="1"/>
  <c r="AB36" i="104"/>
  <c r="G40" i="1" s="1"/>
  <c r="M40" i="1" s="1"/>
  <c r="AC17" i="104"/>
  <c r="H21" i="1" s="1"/>
  <c r="N21" i="1" s="1"/>
  <c r="AD38" i="104"/>
  <c r="I42" i="1" s="1"/>
  <c r="O42" i="1" s="1"/>
  <c r="AC41" i="104"/>
  <c r="H45" i="1" s="1"/>
  <c r="N45" i="1" s="1"/>
  <c r="J24" i="155"/>
  <c r="AK37" i="135"/>
  <c r="AK53" i="135" s="1"/>
  <c r="F83" i="117"/>
  <c r="L37" i="84"/>
  <c r="L98" i="84"/>
  <c r="O307" i="84" s="1"/>
  <c r="L77" i="84"/>
  <c r="O286" i="84" s="1"/>
  <c r="L103" i="84"/>
  <c r="P312" i="84" s="1"/>
  <c r="L72" i="84"/>
  <c r="O281" i="84" s="1"/>
  <c r="L66" i="84"/>
  <c r="P275" i="84" s="1"/>
  <c r="L115" i="84"/>
  <c r="F324" i="84" s="1"/>
  <c r="L109" i="84"/>
  <c r="O318" i="84" s="1"/>
  <c r="L47" i="84"/>
  <c r="P256" i="84" s="1"/>
  <c r="L107" i="84"/>
  <c r="F316" i="84" s="1"/>
  <c r="L63" i="84"/>
  <c r="O272" i="84" s="1"/>
  <c r="L100" i="84"/>
  <c r="O309" i="84" s="1"/>
  <c r="L43" i="84"/>
  <c r="O252" i="84" s="1"/>
  <c r="L32" i="84"/>
  <c r="P241" i="84" s="1"/>
  <c r="L84" i="84"/>
  <c r="O293" i="84" s="1"/>
  <c r="L65" i="84"/>
  <c r="O274" i="84" s="1"/>
  <c r="L57" i="84"/>
  <c r="O266" i="84" s="1"/>
  <c r="L75" i="84"/>
  <c r="O284" i="84" s="1"/>
  <c r="L44" i="84"/>
  <c r="O253" i="84" s="1"/>
  <c r="L74" i="84"/>
  <c r="P283" i="84" s="1"/>
  <c r="L95" i="84"/>
  <c r="O304" i="84" s="1"/>
  <c r="L91" i="84"/>
  <c r="O300" i="84" s="1"/>
  <c r="L62" i="84"/>
  <c r="O271" i="84" s="1"/>
  <c r="L38" i="84"/>
  <c r="O247" i="84" s="1"/>
  <c r="L80" i="84"/>
  <c r="O289" i="84" s="1"/>
  <c r="L58" i="84"/>
  <c r="O267" i="84" s="1"/>
  <c r="L69" i="84"/>
  <c r="P278" i="84" s="1"/>
  <c r="L41" i="84"/>
  <c r="P250" i="84" s="1"/>
  <c r="L55" i="84"/>
  <c r="O264" i="84" s="1"/>
  <c r="L42" i="84"/>
  <c r="O251" i="84" s="1"/>
  <c r="L85" i="84"/>
  <c r="F294" i="84" s="1"/>
  <c r="L102" i="84"/>
  <c r="O311" i="84" s="1"/>
  <c r="L61" i="84"/>
  <c r="O270" i="84" s="1"/>
  <c r="L88" i="84"/>
  <c r="F297" i="84" s="1"/>
  <c r="L78" i="84"/>
  <c r="O287" i="84" s="1"/>
  <c r="L30" i="84"/>
  <c r="L52" i="84"/>
  <c r="O261" i="84" s="1"/>
  <c r="L54" i="84"/>
  <c r="O263" i="84" s="1"/>
  <c r="L68" i="84"/>
  <c r="O277" i="84" s="1"/>
  <c r="L96" i="84"/>
  <c r="O305" i="84" s="1"/>
  <c r="L86" i="84"/>
  <c r="F295" i="84" s="1"/>
  <c r="L51" i="84"/>
  <c r="O260" i="84" s="1"/>
  <c r="L60" i="84"/>
  <c r="O269" i="84" s="1"/>
  <c r="L101" i="84"/>
  <c r="O310" i="84" s="1"/>
  <c r="L35" i="84"/>
  <c r="O244" i="84" s="1"/>
  <c r="L48" i="84"/>
  <c r="O257" i="84" s="1"/>
  <c r="L113" i="84"/>
  <c r="O322" i="84" s="1"/>
  <c r="L70" i="84"/>
  <c r="O279" i="84" s="1"/>
  <c r="L49" i="84"/>
  <c r="O258" i="84" s="1"/>
  <c r="L99" i="84"/>
  <c r="F308" i="84" s="1"/>
  <c r="L46" i="84"/>
  <c r="O255" i="84" s="1"/>
  <c r="L67" i="84"/>
  <c r="P276" i="84" s="1"/>
  <c r="L89" i="84"/>
  <c r="P298" i="84" s="1"/>
  <c r="L116" i="84"/>
  <c r="O325" i="84" s="1"/>
  <c r="L31" i="84"/>
  <c r="O240" i="84" s="1"/>
  <c r="L40" i="84"/>
  <c r="P249" i="84" s="1"/>
  <c r="L104" i="84"/>
  <c r="O313" i="84" s="1"/>
  <c r="L53" i="84"/>
  <c r="P262" i="84" s="1"/>
  <c r="L93" i="84"/>
  <c r="P302" i="84" s="1"/>
  <c r="L112" i="84"/>
  <c r="P321" i="84" s="1"/>
  <c r="L79" i="84"/>
  <c r="O288" i="84" s="1"/>
  <c r="L105" i="84"/>
  <c r="O314" i="84" s="1"/>
  <c r="L36" i="84"/>
  <c r="O245" i="84" s="1"/>
  <c r="L39" i="84"/>
  <c r="O248" i="84" s="1"/>
  <c r="L82" i="84"/>
  <c r="O291" i="84" s="1"/>
  <c r="L97" i="84"/>
  <c r="P306" i="84" s="1"/>
  <c r="L106" i="84"/>
  <c r="O315" i="84" s="1"/>
  <c r="L81" i="84"/>
  <c r="O290" i="84" s="1"/>
  <c r="L90" i="84"/>
  <c r="P299" i="84" s="1"/>
  <c r="L45" i="84"/>
  <c r="O254" i="84" s="1"/>
  <c r="L50" i="84"/>
  <c r="O259" i="84" s="1"/>
  <c r="L87" i="84"/>
  <c r="O296" i="84" s="1"/>
  <c r="L76" i="84"/>
  <c r="O285" i="84" s="1"/>
  <c r="L111" i="84"/>
  <c r="O320" i="84" s="1"/>
  <c r="L94" i="84"/>
  <c r="F303" i="84" s="1"/>
  <c r="L108" i="84"/>
  <c r="P317" i="84" s="1"/>
  <c r="L71" i="84"/>
  <c r="P280" i="84" s="1"/>
  <c r="L64" i="84"/>
  <c r="P273" i="84" s="1"/>
  <c r="L59" i="84"/>
  <c r="O268" i="84" s="1"/>
  <c r="L114" i="84"/>
  <c r="F323" i="84" s="1"/>
  <c r="L92" i="84"/>
  <c r="F301" i="84" s="1"/>
  <c r="L110" i="84"/>
  <c r="F319" i="84" s="1"/>
  <c r="L33" i="84"/>
  <c r="L73" i="84"/>
  <c r="L83" i="84"/>
  <c r="F292" i="84" s="1"/>
  <c r="L28" i="84"/>
  <c r="F237" i="84" s="1"/>
  <c r="L25" i="84"/>
  <c r="F234" i="84" s="1"/>
  <c r="L24" i="84"/>
  <c r="F233" i="84" s="1"/>
  <c r="L23" i="84"/>
  <c r="A68" i="101"/>
  <c r="A62" i="101"/>
  <c r="A56" i="101"/>
  <c r="A64" i="101"/>
  <c r="A66" i="101"/>
  <c r="Y126" i="84"/>
  <c r="Y175" i="84"/>
  <c r="Y153" i="84"/>
  <c r="Y151" i="84"/>
  <c r="Y140" i="84"/>
  <c r="Y147" i="84"/>
  <c r="Y143" i="84"/>
  <c r="Y123" i="84"/>
  <c r="Y179" i="84"/>
  <c r="J317" i="84"/>
  <c r="Y86" i="84"/>
  <c r="Y145" i="84"/>
  <c r="Y94" i="84"/>
  <c r="Y177" i="84"/>
  <c r="Y105" i="84"/>
  <c r="J374" i="84"/>
  <c r="J342" i="84"/>
  <c r="J305" i="84"/>
  <c r="J299" i="84"/>
  <c r="J390" i="84"/>
  <c r="J376" i="84"/>
  <c r="J370" i="84"/>
  <c r="J344" i="84"/>
  <c r="J338" i="84"/>
  <c r="J300" i="84"/>
  <c r="J363" i="84"/>
  <c r="J385" i="84"/>
  <c r="J335" i="84"/>
  <c r="J379" i="84"/>
  <c r="J291" i="84"/>
  <c r="J378" i="84"/>
  <c r="J372" i="84"/>
  <c r="J349" i="84"/>
  <c r="J387" i="84"/>
  <c r="J355" i="84"/>
  <c r="J307" i="84"/>
  <c r="J319" i="84"/>
  <c r="J315" i="84"/>
  <c r="J346" i="84"/>
  <c r="J340" i="84"/>
  <c r="J310" i="84"/>
  <c r="J298" i="84"/>
  <c r="J294" i="84"/>
  <c r="J322" i="84"/>
  <c r="J383" i="84"/>
  <c r="J377" i="84"/>
  <c r="J373" i="84"/>
  <c r="J367" i="84"/>
  <c r="J345" i="84"/>
  <c r="J316" i="84"/>
  <c r="J308" i="84"/>
  <c r="J389" i="84"/>
  <c r="J371" i="84"/>
  <c r="J303" i="84"/>
  <c r="J330" i="84"/>
  <c r="J321" i="84"/>
  <c r="J293" i="84"/>
  <c r="J380" i="84"/>
  <c r="J364" i="84"/>
  <c r="J348" i="84"/>
  <c r="J332" i="84"/>
  <c r="J318" i="84"/>
  <c r="J381" i="84"/>
  <c r="J375" i="84"/>
  <c r="J369" i="84"/>
  <c r="J359" i="84"/>
  <c r="J353" i="84"/>
  <c r="J343" i="84"/>
  <c r="J311" i="84"/>
  <c r="J314" i="84"/>
  <c r="J347" i="84"/>
  <c r="J331" i="84"/>
  <c r="J382" i="84"/>
  <c r="J366" i="84"/>
  <c r="J350" i="84"/>
  <c r="J334" i="84"/>
  <c r="J313" i="84"/>
  <c r="J301" i="84"/>
  <c r="J297" i="84"/>
  <c r="J384" i="84"/>
  <c r="J368" i="84"/>
  <c r="J352" i="84"/>
  <c r="J336" i="84"/>
  <c r="J326" i="84"/>
  <c r="J306" i="84"/>
  <c r="J304" i="84"/>
  <c r="J302" i="84"/>
  <c r="J324" i="84"/>
  <c r="J320" i="84"/>
  <c r="J361" i="84"/>
  <c r="J341" i="84"/>
  <c r="J325" i="84"/>
  <c r="J328" i="84"/>
  <c r="J312" i="84"/>
  <c r="J292" i="84"/>
  <c r="J339" i="84"/>
  <c r="J358" i="84"/>
  <c r="J386" i="84"/>
  <c r="J360" i="84"/>
  <c r="J354" i="84"/>
  <c r="J365" i="84"/>
  <c r="J329" i="84"/>
  <c r="J323" i="84"/>
  <c r="J295" i="84"/>
  <c r="J327" i="84"/>
  <c r="J388" i="84"/>
  <c r="J362" i="84"/>
  <c r="J356" i="84"/>
  <c r="J296" i="84"/>
  <c r="J309" i="84"/>
  <c r="J357" i="84"/>
  <c r="J351" i="84"/>
  <c r="J337" i="84"/>
  <c r="J333" i="84"/>
  <c r="Y155" i="84"/>
  <c r="Y108" i="84"/>
  <c r="Y130" i="84"/>
  <c r="Y138" i="84"/>
  <c r="Y112" i="84"/>
  <c r="Y118" i="84"/>
  <c r="Y134" i="84"/>
  <c r="Y114" i="84"/>
  <c r="Y102" i="84"/>
  <c r="Y170" i="84"/>
  <c r="Y101" i="84"/>
  <c r="Y87" i="84"/>
  <c r="Y110" i="84"/>
  <c r="Y100" i="84"/>
  <c r="Y174" i="84"/>
  <c r="Y165" i="84"/>
  <c r="Y149" i="84"/>
  <c r="Y133" i="84"/>
  <c r="Y164" i="84"/>
  <c r="Y107" i="84"/>
  <c r="Y99" i="84"/>
  <c r="Y162" i="84"/>
  <c r="Y96" i="84"/>
  <c r="Y90" i="84"/>
  <c r="Y84" i="84"/>
  <c r="Y181" i="84"/>
  <c r="Y167" i="84"/>
  <c r="Y135" i="84"/>
  <c r="Y176" i="84"/>
  <c r="Y156" i="84"/>
  <c r="Y150" i="84"/>
  <c r="Y120" i="84"/>
  <c r="Y91" i="84"/>
  <c r="Y154" i="84"/>
  <c r="Y92" i="84"/>
  <c r="Y88" i="84"/>
  <c r="Y82" i="84"/>
  <c r="Y163" i="84"/>
  <c r="Y131" i="84"/>
  <c r="Y117" i="84"/>
  <c r="Y97" i="84"/>
  <c r="Y93" i="84"/>
  <c r="Y168" i="84"/>
  <c r="Y158" i="84"/>
  <c r="Y148" i="84"/>
  <c r="Y136" i="84"/>
  <c r="Y128" i="84"/>
  <c r="Y124" i="84"/>
  <c r="Y180" i="84"/>
  <c r="Y178" i="84"/>
  <c r="Y146" i="84"/>
  <c r="Y98" i="84"/>
  <c r="Y121" i="84"/>
  <c r="Y171" i="84"/>
  <c r="Y161" i="84"/>
  <c r="Y139" i="84"/>
  <c r="Y129" i="84"/>
  <c r="Y109" i="84"/>
  <c r="Y172" i="84"/>
  <c r="Y166" i="84"/>
  <c r="Y160" i="84"/>
  <c r="Y144" i="84"/>
  <c r="Y122" i="84"/>
  <c r="Y173" i="84"/>
  <c r="Y157" i="84"/>
  <c r="Y141" i="84"/>
  <c r="Y125" i="84"/>
  <c r="Y104" i="84"/>
  <c r="Y169" i="84"/>
  <c r="Y159" i="84"/>
  <c r="Y137" i="84"/>
  <c r="Y127" i="84"/>
  <c r="Y95" i="84"/>
  <c r="Y89" i="84"/>
  <c r="Y85" i="84"/>
  <c r="Y106" i="84"/>
  <c r="Y115" i="84"/>
  <c r="Y113" i="84"/>
  <c r="Y111" i="84"/>
  <c r="Y152" i="84"/>
  <c r="Y142" i="84"/>
  <c r="Y132" i="84"/>
  <c r="Y116" i="84"/>
  <c r="Y119" i="84"/>
  <c r="Y103" i="84"/>
  <c r="Y83" i="84"/>
  <c r="K39" i="153"/>
  <c r="AK44" i="135"/>
  <c r="AK60" i="135" s="1"/>
  <c r="T72" i="153"/>
  <c r="AB72" i="153" s="1"/>
  <c r="T71" i="153"/>
  <c r="AB71" i="153" s="1"/>
  <c r="U71" i="153"/>
  <c r="AC71" i="153" s="1"/>
  <c r="T69" i="153"/>
  <c r="AB69" i="153" s="1"/>
  <c r="U69" i="153"/>
  <c r="AC69" i="153" s="1"/>
  <c r="T73" i="153"/>
  <c r="AB73" i="153" s="1"/>
  <c r="U73" i="153"/>
  <c r="AC73" i="153" s="1"/>
  <c r="H28" i="101"/>
  <c r="T70" i="153"/>
  <c r="AB70" i="153" s="1"/>
  <c r="U74" i="153"/>
  <c r="AC74" i="153" s="1"/>
  <c r="T74" i="153"/>
  <c r="AB74" i="153" s="1"/>
  <c r="T68" i="153"/>
  <c r="AB68" i="153" s="1"/>
  <c r="U68" i="153"/>
  <c r="AC68" i="153" s="1"/>
  <c r="BV181" i="84"/>
  <c r="BV178" i="84"/>
  <c r="BV179" i="84"/>
  <c r="BV20" i="84"/>
  <c r="BV180" i="84"/>
  <c r="CH18" i="84"/>
  <c r="CI18" i="84"/>
  <c r="CG18" i="84"/>
  <c r="BV168" i="84"/>
  <c r="BV172" i="84"/>
  <c r="BV177" i="84"/>
  <c r="BV174" i="84"/>
  <c r="BV175" i="84"/>
  <c r="BV176" i="84"/>
  <c r="BV166" i="84"/>
  <c r="BV164" i="84"/>
  <c r="BV165" i="84"/>
  <c r="BV170" i="84"/>
  <c r="BV163" i="84"/>
  <c r="BV169" i="84"/>
  <c r="BV173" i="84"/>
  <c r="BV162" i="84"/>
  <c r="BV159" i="84"/>
  <c r="BV157" i="84"/>
  <c r="BV155" i="84"/>
  <c r="BV153" i="84"/>
  <c r="BV151" i="84"/>
  <c r="BV149" i="84"/>
  <c r="BV147" i="84"/>
  <c r="BV145" i="84"/>
  <c r="BV143" i="84"/>
  <c r="BV141" i="84"/>
  <c r="BV139" i="84"/>
  <c r="BV137" i="84"/>
  <c r="BV135" i="84"/>
  <c r="BV133" i="84"/>
  <c r="BV131" i="84"/>
  <c r="BV129" i="84"/>
  <c r="BV127" i="84"/>
  <c r="BV125" i="84"/>
  <c r="BV123" i="84"/>
  <c r="BV121" i="84"/>
  <c r="BV119" i="84"/>
  <c r="BV117" i="84"/>
  <c r="BV115" i="84"/>
  <c r="BV113" i="84"/>
  <c r="BV111" i="84"/>
  <c r="BV109" i="84"/>
  <c r="BV107" i="84"/>
  <c r="BV105" i="84"/>
  <c r="BV103" i="84"/>
  <c r="BV101" i="84"/>
  <c r="BV99" i="84"/>
  <c r="BV97" i="84"/>
  <c r="BV95" i="84"/>
  <c r="BV93" i="84"/>
  <c r="BV91" i="84"/>
  <c r="BV89" i="84"/>
  <c r="BV87" i="84"/>
  <c r="BV85" i="84"/>
  <c r="BV83" i="84"/>
  <c r="BV81" i="84"/>
  <c r="BV79" i="84"/>
  <c r="BV77" i="84"/>
  <c r="BV75" i="84"/>
  <c r="BV73" i="84"/>
  <c r="BV71" i="84"/>
  <c r="BV69" i="84"/>
  <c r="BV67" i="84"/>
  <c r="BV65" i="84"/>
  <c r="BV63" i="84"/>
  <c r="BV61" i="84"/>
  <c r="BV59" i="84"/>
  <c r="BV57" i="84"/>
  <c r="BV55" i="84"/>
  <c r="BV53" i="84"/>
  <c r="BV51" i="84"/>
  <c r="BV49" i="84"/>
  <c r="BV47" i="84"/>
  <c r="BV45" i="84"/>
  <c r="BV43" i="84"/>
  <c r="BV41" i="84"/>
  <c r="BV39" i="84"/>
  <c r="BV37" i="84"/>
  <c r="BV35" i="84"/>
  <c r="BV33" i="84"/>
  <c r="BV31" i="84"/>
  <c r="BV29" i="84"/>
  <c r="BV27" i="84"/>
  <c r="BV25" i="84"/>
  <c r="BV23" i="84"/>
  <c r="BV21" i="84"/>
  <c r="A15" i="79" s="1"/>
  <c r="BV160" i="84"/>
  <c r="BV156" i="84"/>
  <c r="BV152" i="84"/>
  <c r="BV148" i="84"/>
  <c r="BV144" i="84"/>
  <c r="BV140" i="84"/>
  <c r="BV136" i="84"/>
  <c r="BV132" i="84"/>
  <c r="BV128" i="84"/>
  <c r="BV124" i="84"/>
  <c r="BV120" i="84"/>
  <c r="BV116" i="84"/>
  <c r="BV112" i="84"/>
  <c r="BV108" i="84"/>
  <c r="BV104" i="84"/>
  <c r="BV100" i="84"/>
  <c r="BV96" i="84"/>
  <c r="BV92" i="84"/>
  <c r="BV88" i="84"/>
  <c r="BV84" i="84"/>
  <c r="BV80" i="84"/>
  <c r="BV76" i="84"/>
  <c r="BV72" i="84"/>
  <c r="BV68" i="84"/>
  <c r="BV64" i="84"/>
  <c r="BV60" i="84"/>
  <c r="BV56" i="84"/>
  <c r="BV52" i="84"/>
  <c r="BV48" i="84"/>
  <c r="BV44" i="84"/>
  <c r="BV40" i="84"/>
  <c r="BV36" i="84"/>
  <c r="BV32" i="84"/>
  <c r="BV28" i="84"/>
  <c r="BV24" i="84"/>
  <c r="BV158" i="84"/>
  <c r="BV154" i="84"/>
  <c r="BV150" i="84"/>
  <c r="BV146" i="84"/>
  <c r="BV142" i="84"/>
  <c r="BV138" i="84"/>
  <c r="BV134" i="84"/>
  <c r="BV130" i="84"/>
  <c r="BV126" i="84"/>
  <c r="BV122" i="84"/>
  <c r="BV118" i="84"/>
  <c r="BV114" i="84"/>
  <c r="BV110" i="84"/>
  <c r="BV106" i="84"/>
  <c r="BV102" i="84"/>
  <c r="BV98" i="84"/>
  <c r="BV94" i="84"/>
  <c r="BV90" i="84"/>
  <c r="BV86" i="84"/>
  <c r="BV82" i="84"/>
  <c r="BV78" i="84"/>
  <c r="BV74" i="84"/>
  <c r="BV70" i="84"/>
  <c r="BV66" i="84"/>
  <c r="BV62" i="84"/>
  <c r="BV58" i="84"/>
  <c r="BV54" i="84"/>
  <c r="BV50" i="84"/>
  <c r="BV46" i="84"/>
  <c r="BV42" i="84"/>
  <c r="BV38" i="84"/>
  <c r="BV34" i="84"/>
  <c r="BV30" i="84"/>
  <c r="BV26" i="84"/>
  <c r="BV22" i="84"/>
  <c r="BV171" i="84"/>
  <c r="BV167" i="84"/>
  <c r="BV161" i="84"/>
  <c r="C217" i="84"/>
  <c r="C215" i="84"/>
  <c r="C213" i="84"/>
  <c r="C211" i="84"/>
  <c r="C209" i="84"/>
  <c r="C207" i="84"/>
  <c r="C205" i="84"/>
  <c r="C203" i="84"/>
  <c r="C201" i="84"/>
  <c r="C216" i="84"/>
  <c r="C214" i="84"/>
  <c r="C212" i="84"/>
  <c r="C210" i="84"/>
  <c r="C208" i="84"/>
  <c r="C206" i="84"/>
  <c r="C204" i="84"/>
  <c r="C202" i="84"/>
  <c r="C198" i="84"/>
  <c r="C195" i="84"/>
  <c r="C192" i="84"/>
  <c r="C189" i="84"/>
  <c r="C186" i="84"/>
  <c r="C183" i="84"/>
  <c r="C196" i="84"/>
  <c r="C190" i="84"/>
  <c r="C184" i="84"/>
  <c r="C182" i="84"/>
  <c r="C200" i="84"/>
  <c r="C197" i="84"/>
  <c r="C194" i="84"/>
  <c r="C191" i="84"/>
  <c r="C188" i="84"/>
  <c r="C185" i="84"/>
  <c r="C199" i="84"/>
  <c r="C193" i="84"/>
  <c r="C187" i="84"/>
  <c r="J28" i="101"/>
  <c r="L28" i="101"/>
  <c r="I28" i="101"/>
  <c r="AB20" i="84"/>
  <c r="O20" i="84"/>
  <c r="D52" i="194" l="1"/>
  <c r="F52" i="194" s="1"/>
  <c r="D47" i="194"/>
  <c r="F47" i="194" s="1"/>
  <c r="D62" i="194"/>
  <c r="F62" i="194" s="1"/>
  <c r="D66" i="194"/>
  <c r="F66" i="194" s="1"/>
  <c r="D41" i="194"/>
  <c r="F41" i="194" s="1"/>
  <c r="D51" i="194"/>
  <c r="F51" i="194" s="1"/>
  <c r="D12" i="194"/>
  <c r="F12" i="194" s="1"/>
  <c r="D32" i="194"/>
  <c r="F32" i="194" s="1"/>
  <c r="D35" i="194"/>
  <c r="F35" i="194" s="1"/>
  <c r="D20" i="194"/>
  <c r="F20" i="194" s="1"/>
  <c r="D43" i="194"/>
  <c r="F43" i="194" s="1"/>
  <c r="D23" i="194"/>
  <c r="F23" i="194" s="1"/>
  <c r="D53" i="194"/>
  <c r="F53" i="194" s="1"/>
  <c r="D13" i="194"/>
  <c r="F13" i="194" s="1"/>
  <c r="D14" i="194"/>
  <c r="F14" i="194" s="1"/>
  <c r="D63" i="194"/>
  <c r="F63" i="194" s="1"/>
  <c r="D16" i="194"/>
  <c r="F16" i="194" s="1"/>
  <c r="D11" i="194"/>
  <c r="F11" i="194" s="1"/>
  <c r="D65" i="194"/>
  <c r="F65" i="194" s="1"/>
  <c r="D46" i="194"/>
  <c r="F46" i="194" s="1"/>
  <c r="D17" i="194"/>
  <c r="F17" i="194" s="1"/>
  <c r="D34" i="194"/>
  <c r="F34" i="194" s="1"/>
  <c r="D45" i="194"/>
  <c r="F45" i="194" s="1"/>
  <c r="D61" i="194"/>
  <c r="F61" i="194" s="1"/>
  <c r="D56" i="194"/>
  <c r="F56" i="194" s="1"/>
  <c r="D36" i="194"/>
  <c r="F36" i="194" s="1"/>
  <c r="D37" i="194"/>
  <c r="F37" i="194" s="1"/>
  <c r="D67" i="194"/>
  <c r="F67" i="194" s="1"/>
  <c r="D64" i="194"/>
  <c r="F64" i="194" s="1"/>
  <c r="D25" i="194"/>
  <c r="F25" i="194" s="1"/>
  <c r="D27" i="194"/>
  <c r="F27" i="194" s="1"/>
  <c r="D55" i="194"/>
  <c r="F55" i="194" s="1"/>
  <c r="D9" i="194"/>
  <c r="F9" i="194" s="1"/>
  <c r="D57" i="194"/>
  <c r="F57" i="194" s="1"/>
  <c r="D24" i="194"/>
  <c r="F24" i="194" s="1"/>
  <c r="D54" i="194"/>
  <c r="F54" i="194" s="1"/>
  <c r="D29" i="194"/>
  <c r="F29" i="194" s="1"/>
  <c r="D33" i="194"/>
  <c r="F33" i="194" s="1"/>
  <c r="D39" i="194"/>
  <c r="F39" i="194" s="1"/>
  <c r="D40" i="194"/>
  <c r="F40" i="194" s="1"/>
  <c r="D44" i="194"/>
  <c r="F44" i="194" s="1"/>
  <c r="D42" i="194"/>
  <c r="F42" i="194" s="1"/>
  <c r="D22" i="194"/>
  <c r="F22" i="194" s="1"/>
  <c r="D30" i="194"/>
  <c r="F30" i="194" s="1"/>
  <c r="D60" i="194"/>
  <c r="F60" i="194" s="1"/>
  <c r="K10" i="195" a="1"/>
  <c r="K10" i="195" s="1"/>
  <c r="F14" i="229"/>
  <c r="L14" i="229" s="1"/>
  <c r="F10" i="195"/>
  <c r="F13" i="195" s="1"/>
  <c r="E56" i="194"/>
  <c r="L56" i="194" s="1" a="1"/>
  <c r="L56" i="194" s="1"/>
  <c r="AJ60" i="135"/>
  <c r="AJ84" i="135" s="1"/>
  <c r="E115" i="135" s="1"/>
  <c r="K115" i="135" s="1"/>
  <c r="T140" i="117"/>
  <c r="S142" i="117" s="1"/>
  <c r="D144" i="117" s="1"/>
  <c r="A44" i="101" s="1"/>
  <c r="P15" i="114"/>
  <c r="V15" i="114"/>
  <c r="P19" i="114"/>
  <c r="V19" i="114"/>
  <c r="O19" i="114"/>
  <c r="U19" i="114"/>
  <c r="Q16" i="114"/>
  <c r="W16" i="114"/>
  <c r="Q18" i="114"/>
  <c r="W18" i="114"/>
  <c r="Q19" i="114"/>
  <c r="W19" i="114"/>
  <c r="O16" i="114"/>
  <c r="U16" i="114"/>
  <c r="Q15" i="114"/>
  <c r="W15" i="114"/>
  <c r="Q17" i="114"/>
  <c r="W17" i="114"/>
  <c r="P18" i="114"/>
  <c r="V18" i="114"/>
  <c r="O18" i="114"/>
  <c r="U18" i="114"/>
  <c r="P16" i="114"/>
  <c r="V16" i="114"/>
  <c r="O15" i="114"/>
  <c r="U15" i="114"/>
  <c r="AK45" i="149"/>
  <c r="M33" i="1"/>
  <c r="P265" i="113"/>
  <c r="N83" i="1"/>
  <c r="Q259" i="113"/>
  <c r="O77" i="1"/>
  <c r="P217" i="113"/>
  <c r="N35" i="1"/>
  <c r="P253" i="113"/>
  <c r="N71" i="1"/>
  <c r="M12" i="1"/>
  <c r="E194" i="113"/>
  <c r="AL45" i="149"/>
  <c r="N33" i="1"/>
  <c r="Q265" i="113"/>
  <c r="O83" i="1"/>
  <c r="P259" i="113"/>
  <c r="N77" i="1"/>
  <c r="Q217" i="113"/>
  <c r="O35" i="1"/>
  <c r="Q253" i="113"/>
  <c r="O71" i="1"/>
  <c r="K21" i="153"/>
  <c r="E13" i="155"/>
  <c r="K18" i="153"/>
  <c r="J18" i="153"/>
  <c r="E20" i="155"/>
  <c r="J17" i="153"/>
  <c r="P243" i="84"/>
  <c r="H21" i="84"/>
  <c r="P21" i="84"/>
  <c r="L230" i="84" s="1"/>
  <c r="O21" i="84"/>
  <c r="AK84" i="135"/>
  <c r="F115" i="135" s="1"/>
  <c r="L115" i="135" s="1"/>
  <c r="O391" i="84"/>
  <c r="P391" i="84"/>
  <c r="F391" i="84"/>
  <c r="H92" i="1"/>
  <c r="I92" i="1"/>
  <c r="G92" i="1"/>
  <c r="K33" i="153"/>
  <c r="AE33" i="153" s="1"/>
  <c r="I88" i="1"/>
  <c r="O88" i="1" s="1"/>
  <c r="G94" i="1"/>
  <c r="AL43" i="149"/>
  <c r="AL59" i="149" s="1"/>
  <c r="H94" i="1"/>
  <c r="K37" i="153"/>
  <c r="AE37" i="153" s="1"/>
  <c r="G93" i="1"/>
  <c r="I93" i="1"/>
  <c r="I94" i="1"/>
  <c r="H88" i="1"/>
  <c r="N88" i="1" s="1"/>
  <c r="G90" i="1"/>
  <c r="H90" i="1"/>
  <c r="I90" i="1"/>
  <c r="G97" i="115"/>
  <c r="K35" i="153"/>
  <c r="AE35" i="153" s="1"/>
  <c r="H93" i="1"/>
  <c r="F147" i="113"/>
  <c r="F67" i="113"/>
  <c r="G80" i="113"/>
  <c r="G160" i="113"/>
  <c r="F164" i="115"/>
  <c r="F84" i="115"/>
  <c r="F195" i="113"/>
  <c r="F35" i="113"/>
  <c r="F115" i="113"/>
  <c r="G146" i="113"/>
  <c r="G66" i="113"/>
  <c r="F67" i="115"/>
  <c r="P227" i="115"/>
  <c r="F147" i="115"/>
  <c r="E89" i="113"/>
  <c r="E169" i="113"/>
  <c r="F152" i="113"/>
  <c r="F72" i="113"/>
  <c r="P223" i="113"/>
  <c r="F63" i="113"/>
  <c r="F143" i="113"/>
  <c r="Q245" i="115"/>
  <c r="G165" i="115"/>
  <c r="G85" i="115"/>
  <c r="AK46" i="135"/>
  <c r="AK62" i="135" s="1"/>
  <c r="F144" i="115"/>
  <c r="F64" i="115"/>
  <c r="G53" i="113"/>
  <c r="G133" i="113"/>
  <c r="E160" i="113"/>
  <c r="E80" i="113"/>
  <c r="E71" i="113"/>
  <c r="E151" i="113"/>
  <c r="E152" i="115"/>
  <c r="E72" i="115"/>
  <c r="E87" i="115"/>
  <c r="E167" i="115"/>
  <c r="G158" i="113"/>
  <c r="G78" i="113"/>
  <c r="E153" i="113"/>
  <c r="E73" i="113"/>
  <c r="F79" i="115"/>
  <c r="P239" i="115"/>
  <c r="F159" i="115"/>
  <c r="G173" i="115"/>
  <c r="G93" i="115"/>
  <c r="G64" i="113"/>
  <c r="G144" i="113"/>
  <c r="F139" i="113"/>
  <c r="F59" i="113"/>
  <c r="AL49" i="149"/>
  <c r="AL65" i="149" s="1"/>
  <c r="F146" i="113"/>
  <c r="F66" i="113"/>
  <c r="G64" i="115"/>
  <c r="G144" i="115"/>
  <c r="G199" i="115"/>
  <c r="G119" i="115"/>
  <c r="G39" i="115"/>
  <c r="E59" i="113"/>
  <c r="E139" i="113"/>
  <c r="G154" i="113"/>
  <c r="G74" i="113"/>
  <c r="G140" i="113"/>
  <c r="G60" i="113"/>
  <c r="J31" i="153"/>
  <c r="K32" i="153"/>
  <c r="AK45" i="135"/>
  <c r="AK61" i="135" s="1"/>
  <c r="P229" i="113"/>
  <c r="F149" i="113"/>
  <c r="F69" i="113"/>
  <c r="F148" i="113"/>
  <c r="F68" i="113"/>
  <c r="I91" i="1"/>
  <c r="G201" i="113"/>
  <c r="G121" i="113"/>
  <c r="G41" i="113"/>
  <c r="F160" i="113"/>
  <c r="F80" i="113"/>
  <c r="K29" i="153"/>
  <c r="E76" i="113"/>
  <c r="E156" i="113"/>
  <c r="F82" i="115"/>
  <c r="F162" i="115"/>
  <c r="E57" i="115"/>
  <c r="E137" i="115"/>
  <c r="E181" i="113"/>
  <c r="E101" i="113"/>
  <c r="E34" i="113"/>
  <c r="E114" i="113"/>
  <c r="AK36" i="149"/>
  <c r="AK52" i="149" s="1"/>
  <c r="G72" i="113"/>
  <c r="G152" i="113"/>
  <c r="G158" i="115"/>
  <c r="G78" i="115"/>
  <c r="F169" i="113"/>
  <c r="F89" i="113"/>
  <c r="Q223" i="113"/>
  <c r="G63" i="113"/>
  <c r="G143" i="113"/>
  <c r="E142" i="115"/>
  <c r="E62" i="115"/>
  <c r="AK48" i="149"/>
  <c r="AK64" i="149" s="1"/>
  <c r="E144" i="113"/>
  <c r="E64" i="113"/>
  <c r="K25" i="153"/>
  <c r="F159" i="113"/>
  <c r="F79" i="113"/>
  <c r="F80" i="115"/>
  <c r="F160" i="115"/>
  <c r="G145" i="113"/>
  <c r="G65" i="113"/>
  <c r="G161" i="115"/>
  <c r="G81" i="115"/>
  <c r="G146" i="115"/>
  <c r="G66" i="115"/>
  <c r="E147" i="113"/>
  <c r="E67" i="113"/>
  <c r="Q227" i="115"/>
  <c r="G147" i="115"/>
  <c r="G67" i="115"/>
  <c r="F153" i="113"/>
  <c r="F73" i="113"/>
  <c r="G79" i="115"/>
  <c r="G159" i="115"/>
  <c r="Q239" i="115"/>
  <c r="F181" i="113"/>
  <c r="F101" i="113"/>
  <c r="Q233" i="115"/>
  <c r="G153" i="115"/>
  <c r="G73" i="115"/>
  <c r="E195" i="113"/>
  <c r="E35" i="113"/>
  <c r="E115" i="113"/>
  <c r="G147" i="113"/>
  <c r="G67" i="113"/>
  <c r="E154" i="115"/>
  <c r="E74" i="115"/>
  <c r="E62" i="113"/>
  <c r="E142" i="113"/>
  <c r="G160" i="115"/>
  <c r="G80" i="115"/>
  <c r="F53" i="113"/>
  <c r="F133" i="113"/>
  <c r="G156" i="113"/>
  <c r="G76" i="113"/>
  <c r="F173" i="115"/>
  <c r="F93" i="115"/>
  <c r="G157" i="115"/>
  <c r="G77" i="115"/>
  <c r="E205" i="115"/>
  <c r="E45" i="115"/>
  <c r="E125" i="115"/>
  <c r="F85" i="115"/>
  <c r="P245" i="115"/>
  <c r="F165" i="115"/>
  <c r="E144" i="115"/>
  <c r="E64" i="115"/>
  <c r="E199" i="115"/>
  <c r="E119" i="115"/>
  <c r="E39" i="115"/>
  <c r="F51" i="115"/>
  <c r="F131" i="115"/>
  <c r="E157" i="115"/>
  <c r="E77" i="115"/>
  <c r="E145" i="113"/>
  <c r="E65" i="113"/>
  <c r="G91" i="1"/>
  <c r="E41" i="113"/>
  <c r="E121" i="113"/>
  <c r="E201" i="113"/>
  <c r="F151" i="115"/>
  <c r="F71" i="115"/>
  <c r="G159" i="113"/>
  <c r="G79" i="113"/>
  <c r="E158" i="115"/>
  <c r="E78" i="115"/>
  <c r="E151" i="115"/>
  <c r="E71" i="115"/>
  <c r="E154" i="113"/>
  <c r="E74" i="113"/>
  <c r="G90" i="3"/>
  <c r="E24" i="115" s="1"/>
  <c r="N93" i="115" s="1"/>
  <c r="Q241" i="113"/>
  <c r="G81" i="113"/>
  <c r="G161" i="113"/>
  <c r="AL47" i="149"/>
  <c r="AL63" i="149" s="1"/>
  <c r="F140" i="113"/>
  <c r="F60" i="113"/>
  <c r="G162" i="115"/>
  <c r="G82" i="115"/>
  <c r="E148" i="113"/>
  <c r="E68" i="113"/>
  <c r="F154" i="115"/>
  <c r="F74" i="115"/>
  <c r="F142" i="113"/>
  <c r="F62" i="113"/>
  <c r="E81" i="115"/>
  <c r="E161" i="115"/>
  <c r="I90" i="3"/>
  <c r="G24" i="115" s="1"/>
  <c r="P93" i="115" s="1"/>
  <c r="F125" i="115"/>
  <c r="F205" i="115"/>
  <c r="F45" i="115"/>
  <c r="P235" i="113"/>
  <c r="F155" i="113"/>
  <c r="F75" i="113"/>
  <c r="Q229" i="113"/>
  <c r="G69" i="113"/>
  <c r="G149" i="113"/>
  <c r="F158" i="115"/>
  <c r="F78" i="115"/>
  <c r="E157" i="113"/>
  <c r="E77" i="113"/>
  <c r="E53" i="113"/>
  <c r="E133" i="113"/>
  <c r="E131" i="115"/>
  <c r="E51" i="115"/>
  <c r="G91" i="3"/>
  <c r="E25" i="115" s="1"/>
  <c r="N94" i="115" s="1"/>
  <c r="F71" i="113"/>
  <c r="F151" i="113"/>
  <c r="F152" i="115"/>
  <c r="F72" i="115"/>
  <c r="G51" i="115"/>
  <c r="G131" i="115"/>
  <c r="E79" i="113"/>
  <c r="E159" i="113"/>
  <c r="E173" i="115"/>
  <c r="E93" i="115"/>
  <c r="K31" i="153"/>
  <c r="E160" i="115"/>
  <c r="E80" i="115"/>
  <c r="G181" i="113"/>
  <c r="G101" i="113"/>
  <c r="F167" i="115"/>
  <c r="F87" i="115"/>
  <c r="J30" i="153"/>
  <c r="E72" i="113"/>
  <c r="E152" i="113"/>
  <c r="F145" i="113"/>
  <c r="F65" i="113"/>
  <c r="H91" i="1"/>
  <c r="F121" i="113"/>
  <c r="F201" i="113"/>
  <c r="F41" i="113"/>
  <c r="G151" i="115"/>
  <c r="G71" i="115"/>
  <c r="G205" i="115"/>
  <c r="G125" i="115"/>
  <c r="G45" i="115"/>
  <c r="P233" i="115"/>
  <c r="F153" i="115"/>
  <c r="F73" i="115"/>
  <c r="G139" i="113"/>
  <c r="G59" i="113"/>
  <c r="G195" i="113"/>
  <c r="G35" i="113"/>
  <c r="G115" i="113"/>
  <c r="E146" i="115"/>
  <c r="E66" i="115"/>
  <c r="G167" i="115"/>
  <c r="G87" i="115"/>
  <c r="G169" i="113"/>
  <c r="G89" i="113"/>
  <c r="F142" i="115"/>
  <c r="F62" i="115"/>
  <c r="F74" i="113"/>
  <c r="F154" i="113"/>
  <c r="G152" i="115"/>
  <c r="G72" i="115"/>
  <c r="G142" i="115"/>
  <c r="G62" i="115"/>
  <c r="G148" i="113"/>
  <c r="G68" i="113"/>
  <c r="G157" i="113"/>
  <c r="G77" i="113"/>
  <c r="F156" i="113"/>
  <c r="F76" i="113"/>
  <c r="F77" i="115"/>
  <c r="F157" i="115"/>
  <c r="E84" i="115"/>
  <c r="E164" i="115"/>
  <c r="G62" i="113"/>
  <c r="G142" i="113"/>
  <c r="F81" i="115"/>
  <c r="F161" i="115"/>
  <c r="F158" i="113"/>
  <c r="F78" i="113"/>
  <c r="G164" i="115"/>
  <c r="G84" i="115"/>
  <c r="G88" i="1"/>
  <c r="M88" i="1" s="1"/>
  <c r="E158" i="113"/>
  <c r="E78" i="113"/>
  <c r="K30" i="153"/>
  <c r="F157" i="113"/>
  <c r="F77" i="113"/>
  <c r="G151" i="113"/>
  <c r="G71" i="113"/>
  <c r="K28" i="153"/>
  <c r="AJ48" i="135"/>
  <c r="AJ64" i="135" s="1"/>
  <c r="E150" i="115"/>
  <c r="E70" i="115"/>
  <c r="AK49" i="149"/>
  <c r="AK65" i="149" s="1"/>
  <c r="E66" i="113"/>
  <c r="K26" i="153"/>
  <c r="E146" i="113"/>
  <c r="F119" i="115"/>
  <c r="F39" i="115"/>
  <c r="F199" i="115"/>
  <c r="AL48" i="149"/>
  <c r="AL64" i="149" s="1"/>
  <c r="F144" i="113"/>
  <c r="F64" i="113"/>
  <c r="F70" i="115"/>
  <c r="AK48" i="135"/>
  <c r="AK64" i="135" s="1"/>
  <c r="F150" i="115"/>
  <c r="G153" i="113"/>
  <c r="G73" i="113"/>
  <c r="G74" i="115"/>
  <c r="G154" i="115"/>
  <c r="G150" i="115"/>
  <c r="G70" i="115"/>
  <c r="P241" i="113"/>
  <c r="F161" i="113"/>
  <c r="F81" i="113"/>
  <c r="E140" i="113"/>
  <c r="E60" i="113"/>
  <c r="AK47" i="149"/>
  <c r="AK63" i="149" s="1"/>
  <c r="F146" i="115"/>
  <c r="F66" i="115"/>
  <c r="Q235" i="113"/>
  <c r="G155" i="113"/>
  <c r="G75" i="113"/>
  <c r="E162" i="115"/>
  <c r="E82" i="115"/>
  <c r="AV19" i="117"/>
  <c r="P205" i="113"/>
  <c r="H95" i="1"/>
  <c r="N95" i="1" s="1"/>
  <c r="Q205" i="113"/>
  <c r="I95" i="1"/>
  <c r="O95" i="1" s="1"/>
  <c r="N119" i="117"/>
  <c r="D121" i="117" s="1"/>
  <c r="AE39" i="153"/>
  <c r="AF39" i="153"/>
  <c r="AL38" i="149"/>
  <c r="AL54" i="149" s="1"/>
  <c r="H147" i="117"/>
  <c r="H149" i="117" s="1"/>
  <c r="K23" i="153"/>
  <c r="AJ41" i="135"/>
  <c r="K19" i="153"/>
  <c r="AJ37" i="135"/>
  <c r="AJ53" i="135" s="1"/>
  <c r="AK38" i="149"/>
  <c r="AK54" i="149" s="1"/>
  <c r="H152" i="117"/>
  <c r="AK43" i="149"/>
  <c r="AK59" i="149" s="1"/>
  <c r="D75" i="117"/>
  <c r="D77" i="117" s="1"/>
  <c r="D52" i="117"/>
  <c r="D54" i="117" s="1"/>
  <c r="K17" i="153"/>
  <c r="AF17" i="153" s="1"/>
  <c r="M17" i="114"/>
  <c r="E21" i="114"/>
  <c r="D23" i="114" s="1"/>
  <c r="B23" i="114" s="1"/>
  <c r="F96" i="115"/>
  <c r="F176" i="115"/>
  <c r="F175" i="115"/>
  <c r="F95" i="115"/>
  <c r="E202" i="115"/>
  <c r="E122" i="115"/>
  <c r="E42" i="115"/>
  <c r="P257" i="115"/>
  <c r="F177" i="115"/>
  <c r="F97" i="115"/>
  <c r="E187" i="115"/>
  <c r="E107" i="115"/>
  <c r="P263" i="115"/>
  <c r="F183" i="115"/>
  <c r="F103" i="115"/>
  <c r="F207" i="115"/>
  <c r="F127" i="115"/>
  <c r="F47" i="115"/>
  <c r="F60" i="115"/>
  <c r="F140" i="115"/>
  <c r="G176" i="115"/>
  <c r="G96" i="115"/>
  <c r="E176" i="115"/>
  <c r="E96" i="115"/>
  <c r="F201" i="115"/>
  <c r="F121" i="115"/>
  <c r="F41" i="115"/>
  <c r="G204" i="115"/>
  <c r="G44" i="115"/>
  <c r="G124" i="115"/>
  <c r="E136" i="115"/>
  <c r="E56" i="115"/>
  <c r="F184" i="115"/>
  <c r="F104" i="115"/>
  <c r="F138" i="115"/>
  <c r="F58" i="115"/>
  <c r="F186" i="115"/>
  <c r="F106" i="115"/>
  <c r="G59" i="115"/>
  <c r="G139" i="115"/>
  <c r="E138" i="115"/>
  <c r="E58" i="115"/>
  <c r="E188" i="115"/>
  <c r="E108" i="115"/>
  <c r="G187" i="115"/>
  <c r="G107" i="115"/>
  <c r="F187" i="115"/>
  <c r="F107" i="115"/>
  <c r="F208" i="115"/>
  <c r="F48" i="115"/>
  <c r="F128" i="115"/>
  <c r="G202" i="115"/>
  <c r="G122" i="115"/>
  <c r="G42" i="115"/>
  <c r="G174" i="115"/>
  <c r="G94" i="115"/>
  <c r="E186" i="115"/>
  <c r="E106" i="115"/>
  <c r="G186" i="115"/>
  <c r="G106" i="115"/>
  <c r="F139" i="115"/>
  <c r="F59" i="115"/>
  <c r="P209" i="115"/>
  <c r="F209" i="115"/>
  <c r="F49" i="115"/>
  <c r="F129" i="115"/>
  <c r="E204" i="115"/>
  <c r="E124" i="115"/>
  <c r="E44" i="115"/>
  <c r="Q209" i="115"/>
  <c r="G209" i="115"/>
  <c r="G129" i="115"/>
  <c r="G49" i="115"/>
  <c r="L17" i="114"/>
  <c r="G184" i="115"/>
  <c r="G104" i="115"/>
  <c r="F108" i="115"/>
  <c r="F188" i="115"/>
  <c r="E184" i="115"/>
  <c r="E104" i="115"/>
  <c r="F202" i="115"/>
  <c r="F42" i="115"/>
  <c r="F122" i="115"/>
  <c r="Q269" i="115"/>
  <c r="G189" i="115"/>
  <c r="G109" i="115"/>
  <c r="Q263" i="115"/>
  <c r="G183" i="115"/>
  <c r="G103" i="115"/>
  <c r="F204" i="115"/>
  <c r="F124" i="115"/>
  <c r="F44" i="115"/>
  <c r="G208" i="115"/>
  <c r="G128" i="115"/>
  <c r="G48" i="115"/>
  <c r="E139" i="115"/>
  <c r="E59" i="115"/>
  <c r="E172" i="115"/>
  <c r="E92" i="115"/>
  <c r="P269" i="115"/>
  <c r="F189" i="115"/>
  <c r="F109" i="115"/>
  <c r="F136" i="115"/>
  <c r="F56" i="115"/>
  <c r="G188" i="115"/>
  <c r="G108" i="115"/>
  <c r="G136" i="115"/>
  <c r="G56" i="115"/>
  <c r="F94" i="115"/>
  <c r="F174" i="115"/>
  <c r="G140" i="115"/>
  <c r="G60" i="115"/>
  <c r="G172" i="115"/>
  <c r="G92" i="115"/>
  <c r="E140" i="115"/>
  <c r="E60" i="115"/>
  <c r="G201" i="115"/>
  <c r="G41" i="115"/>
  <c r="G121" i="115"/>
  <c r="G138" i="115"/>
  <c r="G58" i="115"/>
  <c r="G175" i="115"/>
  <c r="G95" i="115"/>
  <c r="E174" i="115"/>
  <c r="E94" i="115"/>
  <c r="E175" i="115"/>
  <c r="E95" i="115"/>
  <c r="F172" i="115"/>
  <c r="F92" i="115"/>
  <c r="E201" i="115"/>
  <c r="E121" i="115"/>
  <c r="E41" i="115"/>
  <c r="E208" i="115"/>
  <c r="E128" i="115"/>
  <c r="E48" i="115"/>
  <c r="F117" i="113"/>
  <c r="F197" i="113"/>
  <c r="F37" i="113"/>
  <c r="G200" i="113"/>
  <c r="G120" i="113"/>
  <c r="G40" i="113"/>
  <c r="G165" i="113"/>
  <c r="G85" i="113"/>
  <c r="E183" i="113"/>
  <c r="E103" i="113"/>
  <c r="E177" i="113"/>
  <c r="E97" i="113"/>
  <c r="F172" i="113"/>
  <c r="F92" i="113"/>
  <c r="E85" i="113"/>
  <c r="E165" i="113"/>
  <c r="G100" i="113"/>
  <c r="G180" i="113"/>
  <c r="F54" i="113"/>
  <c r="F134" i="113"/>
  <c r="F93" i="113"/>
  <c r="F173" i="113"/>
  <c r="F48" i="113"/>
  <c r="F128" i="113"/>
  <c r="E171" i="113"/>
  <c r="E91" i="113"/>
  <c r="G182" i="113"/>
  <c r="G102" i="113"/>
  <c r="G56" i="113"/>
  <c r="G136" i="113"/>
  <c r="E200" i="113"/>
  <c r="E40" i="113"/>
  <c r="E120" i="113"/>
  <c r="F204" i="113"/>
  <c r="F124" i="113"/>
  <c r="F44" i="113"/>
  <c r="G172" i="113"/>
  <c r="G92" i="113"/>
  <c r="E184" i="113"/>
  <c r="E104" i="113"/>
  <c r="F99" i="113"/>
  <c r="F179" i="113"/>
  <c r="E132" i="113"/>
  <c r="E52" i="113"/>
  <c r="E172" i="113"/>
  <c r="E92" i="113"/>
  <c r="G183" i="113"/>
  <c r="G103" i="113"/>
  <c r="G168" i="113"/>
  <c r="G88" i="113"/>
  <c r="F180" i="113"/>
  <c r="F100" i="113"/>
  <c r="E134" i="113"/>
  <c r="E54" i="113"/>
  <c r="G203" i="113"/>
  <c r="G123" i="113"/>
  <c r="G43" i="113"/>
  <c r="E197" i="113"/>
  <c r="E37" i="113"/>
  <c r="E117" i="113"/>
  <c r="F183" i="113"/>
  <c r="F103" i="113"/>
  <c r="G135" i="113"/>
  <c r="G55" i="113"/>
  <c r="G176" i="113"/>
  <c r="G96" i="113"/>
  <c r="E128" i="113"/>
  <c r="E48" i="113"/>
  <c r="G170" i="113"/>
  <c r="G90" i="113"/>
  <c r="F182" i="113"/>
  <c r="F102" i="113"/>
  <c r="F136" i="113"/>
  <c r="F56" i="113"/>
  <c r="G97" i="113"/>
  <c r="G177" i="113"/>
  <c r="E136" i="113"/>
  <c r="E56" i="113"/>
  <c r="G197" i="113"/>
  <c r="G117" i="113"/>
  <c r="G37" i="113"/>
  <c r="F118" i="113"/>
  <c r="F198" i="113"/>
  <c r="F38" i="113"/>
  <c r="F177" i="113"/>
  <c r="F97" i="113"/>
  <c r="G134" i="113"/>
  <c r="G54" i="113"/>
  <c r="G91" i="113"/>
  <c r="G171" i="113"/>
  <c r="G184" i="113"/>
  <c r="G104" i="113"/>
  <c r="F88" i="113"/>
  <c r="F168" i="113"/>
  <c r="E180" i="113"/>
  <c r="E100" i="113"/>
  <c r="E55" i="113"/>
  <c r="E135" i="113"/>
  <c r="F176" i="113"/>
  <c r="F96" i="113"/>
  <c r="F132" i="113"/>
  <c r="F52" i="113"/>
  <c r="F120" i="113"/>
  <c r="F200" i="113"/>
  <c r="F40" i="113"/>
  <c r="G204" i="113"/>
  <c r="G124" i="113"/>
  <c r="G44" i="113"/>
  <c r="F170" i="113"/>
  <c r="F90" i="113"/>
  <c r="G132" i="113"/>
  <c r="G52" i="113"/>
  <c r="E204" i="113"/>
  <c r="E124" i="113"/>
  <c r="E44" i="113"/>
  <c r="F205" i="113"/>
  <c r="F125" i="113"/>
  <c r="F45" i="113"/>
  <c r="E88" i="113"/>
  <c r="E168" i="113"/>
  <c r="E102" i="113"/>
  <c r="E182" i="113"/>
  <c r="F135" i="113"/>
  <c r="F55" i="113"/>
  <c r="G128" i="113"/>
  <c r="G48" i="113"/>
  <c r="F171" i="113"/>
  <c r="F91" i="113"/>
  <c r="G198" i="113"/>
  <c r="G118" i="113"/>
  <c r="G38" i="113"/>
  <c r="E123" i="113"/>
  <c r="E43" i="113"/>
  <c r="E203" i="113"/>
  <c r="G185" i="113"/>
  <c r="G105" i="113"/>
  <c r="E96" i="113"/>
  <c r="E176" i="113"/>
  <c r="F104" i="113"/>
  <c r="F184" i="113"/>
  <c r="F85" i="113"/>
  <c r="F165" i="113"/>
  <c r="G179" i="113"/>
  <c r="G99" i="113"/>
  <c r="F137" i="113"/>
  <c r="F57" i="113"/>
  <c r="G173" i="113"/>
  <c r="G93" i="113"/>
  <c r="F185" i="113"/>
  <c r="F105" i="113"/>
  <c r="E170" i="113"/>
  <c r="E90" i="113"/>
  <c r="G57" i="113"/>
  <c r="G137" i="113"/>
  <c r="F203" i="113"/>
  <c r="F43" i="113"/>
  <c r="F123" i="113"/>
  <c r="E118" i="113"/>
  <c r="E198" i="113"/>
  <c r="E38" i="113"/>
  <c r="G205" i="113"/>
  <c r="G125" i="113"/>
  <c r="G45" i="113"/>
  <c r="G26" i="115"/>
  <c r="P95" i="115" s="1"/>
  <c r="L178" i="104"/>
  <c r="T178" i="104"/>
  <c r="H178" i="104"/>
  <c r="Q178" i="104"/>
  <c r="F178" i="104"/>
  <c r="P178" i="104"/>
  <c r="G178" i="104"/>
  <c r="R178" i="104"/>
  <c r="I178" i="104"/>
  <c r="V178" i="104"/>
  <c r="J178" i="104"/>
  <c r="K178" i="104"/>
  <c r="M178" i="104"/>
  <c r="N178" i="104"/>
  <c r="O178" i="104"/>
  <c r="E178" i="104"/>
  <c r="S178" i="104"/>
  <c r="U178" i="104"/>
  <c r="F185" i="104"/>
  <c r="N185" i="104"/>
  <c r="V185" i="104"/>
  <c r="J185" i="104"/>
  <c r="S185" i="104"/>
  <c r="E185" i="104"/>
  <c r="P185" i="104"/>
  <c r="G185" i="104"/>
  <c r="Q185" i="104"/>
  <c r="H185" i="104"/>
  <c r="U185" i="104"/>
  <c r="I185" i="104"/>
  <c r="K185" i="104"/>
  <c r="L185" i="104"/>
  <c r="M185" i="104"/>
  <c r="O185" i="104"/>
  <c r="R185" i="104"/>
  <c r="T185" i="104"/>
  <c r="F177" i="104"/>
  <c r="N177" i="104"/>
  <c r="V177" i="104"/>
  <c r="H177" i="104"/>
  <c r="Q177" i="104"/>
  <c r="J177" i="104"/>
  <c r="T177" i="104"/>
  <c r="L177" i="104"/>
  <c r="M177" i="104"/>
  <c r="I177" i="104"/>
  <c r="K177" i="104"/>
  <c r="O177" i="104"/>
  <c r="P177" i="104"/>
  <c r="R177" i="104"/>
  <c r="S177" i="104"/>
  <c r="E177" i="104"/>
  <c r="G177" i="104"/>
  <c r="U177" i="104"/>
  <c r="L198" i="104"/>
  <c r="T198" i="104"/>
  <c r="K198" i="104"/>
  <c r="U198" i="104"/>
  <c r="M198" i="104"/>
  <c r="V198" i="104"/>
  <c r="N198" i="104"/>
  <c r="O198" i="104"/>
  <c r="E198" i="104"/>
  <c r="P198" i="104"/>
  <c r="F198" i="104"/>
  <c r="Q198" i="104"/>
  <c r="G198" i="104"/>
  <c r="R198" i="104"/>
  <c r="H198" i="104"/>
  <c r="I198" i="104"/>
  <c r="J198" i="104"/>
  <c r="S198" i="104"/>
  <c r="F197" i="104"/>
  <c r="N197" i="104"/>
  <c r="V197" i="104"/>
  <c r="K197" i="104"/>
  <c r="T197" i="104"/>
  <c r="L197" i="104"/>
  <c r="U197" i="104"/>
  <c r="G197" i="104"/>
  <c r="R197" i="104"/>
  <c r="H197" i="104"/>
  <c r="S197" i="104"/>
  <c r="I197" i="104"/>
  <c r="J197" i="104"/>
  <c r="M197" i="104"/>
  <c r="E197" i="104"/>
  <c r="O197" i="104"/>
  <c r="P197" i="104"/>
  <c r="Q197" i="104"/>
  <c r="L170" i="104"/>
  <c r="T170" i="104"/>
  <c r="F170" i="104"/>
  <c r="O170" i="104"/>
  <c r="J170" i="104"/>
  <c r="U170" i="104"/>
  <c r="K170" i="104"/>
  <c r="V170" i="104"/>
  <c r="M170" i="104"/>
  <c r="N170" i="104"/>
  <c r="H170" i="104"/>
  <c r="I170" i="104"/>
  <c r="E170" i="104"/>
  <c r="G170" i="104"/>
  <c r="P170" i="104"/>
  <c r="Q170" i="104"/>
  <c r="R170" i="104"/>
  <c r="S170" i="104"/>
  <c r="J175" i="104"/>
  <c r="R175" i="104"/>
  <c r="G175" i="104"/>
  <c r="P175" i="104"/>
  <c r="N175" i="104"/>
  <c r="L175" i="104"/>
  <c r="M175" i="104"/>
  <c r="O175" i="104"/>
  <c r="Q175" i="104"/>
  <c r="S175" i="104"/>
  <c r="E175" i="104"/>
  <c r="T175" i="104"/>
  <c r="F175" i="104"/>
  <c r="U175" i="104"/>
  <c r="H175" i="104"/>
  <c r="V175" i="104"/>
  <c r="I175" i="104"/>
  <c r="K175" i="104"/>
  <c r="H188" i="104"/>
  <c r="P188" i="104"/>
  <c r="K188" i="104"/>
  <c r="T188" i="104"/>
  <c r="N188" i="104"/>
  <c r="E188" i="104"/>
  <c r="O188" i="104"/>
  <c r="I188" i="104"/>
  <c r="V188" i="104"/>
  <c r="J188" i="104"/>
  <c r="L188" i="104"/>
  <c r="M188" i="104"/>
  <c r="Q188" i="104"/>
  <c r="G188" i="104"/>
  <c r="R188" i="104"/>
  <c r="S188" i="104"/>
  <c r="U188" i="104"/>
  <c r="F188" i="104"/>
  <c r="H180" i="104"/>
  <c r="P180" i="104"/>
  <c r="I180" i="104"/>
  <c r="R180" i="104"/>
  <c r="L180" i="104"/>
  <c r="V180" i="104"/>
  <c r="M180" i="104"/>
  <c r="N180" i="104"/>
  <c r="O180" i="104"/>
  <c r="Q180" i="104"/>
  <c r="E180" i="104"/>
  <c r="S180" i="104"/>
  <c r="F180" i="104"/>
  <c r="T180" i="104"/>
  <c r="G180" i="104"/>
  <c r="J180" i="104"/>
  <c r="K180" i="104"/>
  <c r="U180" i="104"/>
  <c r="H200" i="104"/>
  <c r="P200" i="104"/>
  <c r="K200" i="104"/>
  <c r="T200" i="104"/>
  <c r="L200" i="104"/>
  <c r="U200" i="104"/>
  <c r="M200" i="104"/>
  <c r="V200" i="104"/>
  <c r="E200" i="104"/>
  <c r="N200" i="104"/>
  <c r="F200" i="104"/>
  <c r="O200" i="104"/>
  <c r="G200" i="104"/>
  <c r="I200" i="104"/>
  <c r="J200" i="104"/>
  <c r="Q200" i="104"/>
  <c r="R200" i="104"/>
  <c r="S200" i="104"/>
  <c r="J199" i="104"/>
  <c r="R199" i="104"/>
  <c r="L199" i="104"/>
  <c r="M199" i="104"/>
  <c r="V199" i="104"/>
  <c r="G199" i="104"/>
  <c r="S199" i="104"/>
  <c r="H199" i="104"/>
  <c r="T199" i="104"/>
  <c r="I199" i="104"/>
  <c r="U199" i="104"/>
  <c r="K199" i="104"/>
  <c r="N199" i="104"/>
  <c r="Q199" i="104"/>
  <c r="E199" i="104"/>
  <c r="F199" i="104"/>
  <c r="O199" i="104"/>
  <c r="P199" i="104"/>
  <c r="J183" i="104"/>
  <c r="R183" i="104"/>
  <c r="I183" i="104"/>
  <c r="S183" i="104"/>
  <c r="K183" i="104"/>
  <c r="U183" i="104"/>
  <c r="L183" i="104"/>
  <c r="V183" i="104"/>
  <c r="O183" i="104"/>
  <c r="P183" i="104"/>
  <c r="E183" i="104"/>
  <c r="Q183" i="104"/>
  <c r="F183" i="104"/>
  <c r="T183" i="104"/>
  <c r="G183" i="104"/>
  <c r="H183" i="104"/>
  <c r="M183" i="104"/>
  <c r="N183" i="104"/>
  <c r="L202" i="104"/>
  <c r="T202" i="104"/>
  <c r="K202" i="104"/>
  <c r="U202" i="104"/>
  <c r="M202" i="104"/>
  <c r="V202" i="104"/>
  <c r="E202" i="104"/>
  <c r="N202" i="104"/>
  <c r="F202" i="104"/>
  <c r="O202" i="104"/>
  <c r="G202" i="104"/>
  <c r="P202" i="104"/>
  <c r="Q202" i="104"/>
  <c r="R202" i="104"/>
  <c r="S202" i="104"/>
  <c r="H202" i="104"/>
  <c r="I202" i="104"/>
  <c r="J202" i="104"/>
  <c r="F201" i="104"/>
  <c r="N201" i="104"/>
  <c r="V201" i="104"/>
  <c r="K201" i="104"/>
  <c r="T201" i="104"/>
  <c r="L201" i="104"/>
  <c r="U201" i="104"/>
  <c r="M201" i="104"/>
  <c r="E201" i="104"/>
  <c r="O201" i="104"/>
  <c r="G201" i="104"/>
  <c r="P201" i="104"/>
  <c r="I201" i="104"/>
  <c r="J201" i="104"/>
  <c r="Q201" i="104"/>
  <c r="R201" i="104"/>
  <c r="S201" i="104"/>
  <c r="H201" i="104"/>
  <c r="J187" i="104"/>
  <c r="R187" i="104"/>
  <c r="K187" i="104"/>
  <c r="T187" i="104"/>
  <c r="L187" i="104"/>
  <c r="V187" i="104"/>
  <c r="M187" i="104"/>
  <c r="N187" i="104"/>
  <c r="O187" i="104"/>
  <c r="P187" i="104"/>
  <c r="E187" i="104"/>
  <c r="Q187" i="104"/>
  <c r="F187" i="104"/>
  <c r="S187" i="104"/>
  <c r="G187" i="104"/>
  <c r="H187" i="104"/>
  <c r="I187" i="104"/>
  <c r="U187" i="104"/>
  <c r="H204" i="104"/>
  <c r="P204" i="104"/>
  <c r="L204" i="104"/>
  <c r="U204" i="104"/>
  <c r="M204" i="104"/>
  <c r="V204" i="104"/>
  <c r="E204" i="104"/>
  <c r="N204" i="104"/>
  <c r="F204" i="104"/>
  <c r="O204" i="104"/>
  <c r="G204" i="104"/>
  <c r="Q204" i="104"/>
  <c r="I204" i="104"/>
  <c r="J204" i="104"/>
  <c r="K204" i="104"/>
  <c r="R204" i="104"/>
  <c r="S204" i="104"/>
  <c r="T204" i="104"/>
  <c r="J203" i="104"/>
  <c r="R203" i="104"/>
  <c r="L203" i="104"/>
  <c r="U203" i="104"/>
  <c r="M203" i="104"/>
  <c r="V203" i="104"/>
  <c r="E203" i="104"/>
  <c r="N203" i="104"/>
  <c r="F203" i="104"/>
  <c r="O203" i="104"/>
  <c r="G203" i="104"/>
  <c r="P203" i="104"/>
  <c r="T203" i="104"/>
  <c r="H203" i="104"/>
  <c r="I203" i="104"/>
  <c r="K203" i="104"/>
  <c r="Q203" i="104"/>
  <c r="S203" i="104"/>
  <c r="F173" i="104"/>
  <c r="N173" i="104"/>
  <c r="V173" i="104"/>
  <c r="G173" i="104"/>
  <c r="P173" i="104"/>
  <c r="I173" i="104"/>
  <c r="S173" i="104"/>
  <c r="L173" i="104"/>
  <c r="M173" i="104"/>
  <c r="R173" i="104"/>
  <c r="T173" i="104"/>
  <c r="E173" i="104"/>
  <c r="U173" i="104"/>
  <c r="H173" i="104"/>
  <c r="J173" i="104"/>
  <c r="K173" i="104"/>
  <c r="O173" i="104"/>
  <c r="Q173" i="104"/>
  <c r="F189" i="104"/>
  <c r="N189" i="104"/>
  <c r="V189" i="104"/>
  <c r="K189" i="104"/>
  <c r="T189" i="104"/>
  <c r="G189" i="104"/>
  <c r="Q189" i="104"/>
  <c r="H189" i="104"/>
  <c r="R189" i="104"/>
  <c r="S189" i="104"/>
  <c r="E189" i="104"/>
  <c r="U189" i="104"/>
  <c r="I189" i="104"/>
  <c r="J189" i="104"/>
  <c r="L189" i="104"/>
  <c r="M189" i="104"/>
  <c r="O189" i="104"/>
  <c r="P189" i="104"/>
  <c r="F205" i="104"/>
  <c r="N205" i="104"/>
  <c r="V205" i="104"/>
  <c r="L205" i="104"/>
  <c r="U205" i="104"/>
  <c r="M205" i="104"/>
  <c r="E205" i="104"/>
  <c r="O205" i="104"/>
  <c r="G205" i="104"/>
  <c r="P205" i="104"/>
  <c r="H205" i="104"/>
  <c r="Q205" i="104"/>
  <c r="J205" i="104"/>
  <c r="K205" i="104"/>
  <c r="R205" i="104"/>
  <c r="S205" i="104"/>
  <c r="T205" i="104"/>
  <c r="I205" i="104"/>
  <c r="L186" i="104"/>
  <c r="T186" i="104"/>
  <c r="J186" i="104"/>
  <c r="S186" i="104"/>
  <c r="H186" i="104"/>
  <c r="R186" i="104"/>
  <c r="I186" i="104"/>
  <c r="U186" i="104"/>
  <c r="P186" i="104"/>
  <c r="E186" i="104"/>
  <c r="Q186" i="104"/>
  <c r="F186" i="104"/>
  <c r="V186" i="104"/>
  <c r="G186" i="104"/>
  <c r="K186" i="104"/>
  <c r="M186" i="104"/>
  <c r="N186" i="104"/>
  <c r="O186" i="104"/>
  <c r="H176" i="104"/>
  <c r="P176" i="104"/>
  <c r="G176" i="104"/>
  <c r="Q176" i="104"/>
  <c r="F176" i="104"/>
  <c r="R176" i="104"/>
  <c r="E176" i="104"/>
  <c r="S176" i="104"/>
  <c r="I176" i="104"/>
  <c r="T176" i="104"/>
  <c r="L176" i="104"/>
  <c r="M176" i="104"/>
  <c r="N176" i="104"/>
  <c r="O176" i="104"/>
  <c r="U176" i="104"/>
  <c r="V176" i="104"/>
  <c r="J176" i="104"/>
  <c r="K176" i="104"/>
  <c r="H184" i="104"/>
  <c r="P184" i="104"/>
  <c r="J184" i="104"/>
  <c r="S184" i="104"/>
  <c r="M184" i="104"/>
  <c r="N184" i="104"/>
  <c r="K184" i="104"/>
  <c r="L184" i="104"/>
  <c r="O184" i="104"/>
  <c r="Q184" i="104"/>
  <c r="E184" i="104"/>
  <c r="R184" i="104"/>
  <c r="G184" i="104"/>
  <c r="I184" i="104"/>
  <c r="T184" i="104"/>
  <c r="U184" i="104"/>
  <c r="V184" i="104"/>
  <c r="F184" i="104"/>
  <c r="H192" i="104"/>
  <c r="P192" i="104"/>
  <c r="L192" i="104"/>
  <c r="U192" i="104"/>
  <c r="E192" i="104"/>
  <c r="O192" i="104"/>
  <c r="F192" i="104"/>
  <c r="Q192" i="104"/>
  <c r="G192" i="104"/>
  <c r="T192" i="104"/>
  <c r="I192" i="104"/>
  <c r="V192" i="104"/>
  <c r="J192" i="104"/>
  <c r="K192" i="104"/>
  <c r="M192" i="104"/>
  <c r="N192" i="104"/>
  <c r="R192" i="104"/>
  <c r="S192" i="104"/>
  <c r="J191" i="104"/>
  <c r="R191" i="104"/>
  <c r="L191" i="104"/>
  <c r="U191" i="104"/>
  <c r="M191" i="104"/>
  <c r="N191" i="104"/>
  <c r="I191" i="104"/>
  <c r="K191" i="104"/>
  <c r="O191" i="104"/>
  <c r="P191" i="104"/>
  <c r="E191" i="104"/>
  <c r="Q191" i="104"/>
  <c r="F191" i="104"/>
  <c r="G191" i="104"/>
  <c r="H191" i="104"/>
  <c r="S191" i="104"/>
  <c r="T191" i="104"/>
  <c r="V191" i="104"/>
  <c r="H172" i="104"/>
  <c r="P172" i="104"/>
  <c r="F172" i="104"/>
  <c r="O172" i="104"/>
  <c r="E172" i="104"/>
  <c r="Q172" i="104"/>
  <c r="G172" i="104"/>
  <c r="R172" i="104"/>
  <c r="I172" i="104"/>
  <c r="S172" i="104"/>
  <c r="J172" i="104"/>
  <c r="T172" i="104"/>
  <c r="M172" i="104"/>
  <c r="N172" i="104"/>
  <c r="U172" i="104"/>
  <c r="V172" i="104"/>
  <c r="K172" i="104"/>
  <c r="L172" i="104"/>
  <c r="J179" i="104"/>
  <c r="R179" i="104"/>
  <c r="H179" i="104"/>
  <c r="Q179" i="104"/>
  <c r="I179" i="104"/>
  <c r="T179" i="104"/>
  <c r="K179" i="104"/>
  <c r="U179" i="104"/>
  <c r="P179" i="104"/>
  <c r="E179" i="104"/>
  <c r="S179" i="104"/>
  <c r="F179" i="104"/>
  <c r="V179" i="104"/>
  <c r="G179" i="104"/>
  <c r="L179" i="104"/>
  <c r="M179" i="104"/>
  <c r="N179" i="104"/>
  <c r="O179" i="104"/>
  <c r="J171" i="104"/>
  <c r="R171" i="104"/>
  <c r="F171" i="104"/>
  <c r="O171" i="104"/>
  <c r="M171" i="104"/>
  <c r="N171" i="104"/>
  <c r="E171" i="104"/>
  <c r="P171" i="104"/>
  <c r="G171" i="104"/>
  <c r="Q171" i="104"/>
  <c r="K171" i="104"/>
  <c r="L171" i="104"/>
  <c r="H171" i="104"/>
  <c r="I171" i="104"/>
  <c r="S171" i="104"/>
  <c r="T171" i="104"/>
  <c r="U171" i="104"/>
  <c r="V171" i="104"/>
  <c r="L194" i="104"/>
  <c r="T194" i="104"/>
  <c r="J194" i="104"/>
  <c r="S194" i="104"/>
  <c r="K194" i="104"/>
  <c r="U194" i="104"/>
  <c r="M194" i="104"/>
  <c r="N194" i="104"/>
  <c r="O194" i="104"/>
  <c r="E194" i="104"/>
  <c r="P194" i="104"/>
  <c r="F194" i="104"/>
  <c r="Q194" i="104"/>
  <c r="I194" i="104"/>
  <c r="R194" i="104"/>
  <c r="V194" i="104"/>
  <c r="G194" i="104"/>
  <c r="H194" i="104"/>
  <c r="F193" i="104"/>
  <c r="N193" i="104"/>
  <c r="V193" i="104"/>
  <c r="L193" i="104"/>
  <c r="U193" i="104"/>
  <c r="H193" i="104"/>
  <c r="R193" i="104"/>
  <c r="I193" i="104"/>
  <c r="S193" i="104"/>
  <c r="P193" i="104"/>
  <c r="Q193" i="104"/>
  <c r="E193" i="104"/>
  <c r="T193" i="104"/>
  <c r="G193" i="104"/>
  <c r="J193" i="104"/>
  <c r="K193" i="104"/>
  <c r="M193" i="104"/>
  <c r="O193" i="104"/>
  <c r="F181" i="104"/>
  <c r="N181" i="104"/>
  <c r="V181" i="104"/>
  <c r="I181" i="104"/>
  <c r="R181" i="104"/>
  <c r="O181" i="104"/>
  <c r="E181" i="104"/>
  <c r="P181" i="104"/>
  <c r="J181" i="104"/>
  <c r="K181" i="104"/>
  <c r="L181" i="104"/>
  <c r="M181" i="104"/>
  <c r="Q181" i="104"/>
  <c r="U181" i="104"/>
  <c r="G181" i="104"/>
  <c r="H181" i="104"/>
  <c r="S181" i="104"/>
  <c r="T181" i="104"/>
  <c r="L190" i="104"/>
  <c r="T190" i="104"/>
  <c r="K190" i="104"/>
  <c r="U190" i="104"/>
  <c r="I190" i="104"/>
  <c r="S190" i="104"/>
  <c r="J190" i="104"/>
  <c r="V190" i="104"/>
  <c r="O190" i="104"/>
  <c r="P190" i="104"/>
  <c r="E190" i="104"/>
  <c r="Q190" i="104"/>
  <c r="F190" i="104"/>
  <c r="R190" i="104"/>
  <c r="G190" i="104"/>
  <c r="M190" i="104"/>
  <c r="N190" i="104"/>
  <c r="H190" i="104"/>
  <c r="L182" i="104"/>
  <c r="T182" i="104"/>
  <c r="I182" i="104"/>
  <c r="R182" i="104"/>
  <c r="G182" i="104"/>
  <c r="Q182" i="104"/>
  <c r="H182" i="104"/>
  <c r="S182" i="104"/>
  <c r="E182" i="104"/>
  <c r="U182" i="104"/>
  <c r="F182" i="104"/>
  <c r="V182" i="104"/>
  <c r="J182" i="104"/>
  <c r="K182" i="104"/>
  <c r="M182" i="104"/>
  <c r="N182" i="104"/>
  <c r="O182" i="104"/>
  <c r="P182" i="104"/>
  <c r="L174" i="104"/>
  <c r="T174" i="104"/>
  <c r="G174" i="104"/>
  <c r="P174" i="104"/>
  <c r="K174" i="104"/>
  <c r="V174" i="104"/>
  <c r="F174" i="104"/>
  <c r="R174" i="104"/>
  <c r="H174" i="104"/>
  <c r="S174" i="104"/>
  <c r="O174" i="104"/>
  <c r="Q174" i="104"/>
  <c r="U174" i="104"/>
  <c r="E174" i="104"/>
  <c r="I174" i="104"/>
  <c r="J174" i="104"/>
  <c r="M174" i="104"/>
  <c r="N174" i="104"/>
  <c r="H196" i="104"/>
  <c r="P196" i="104"/>
  <c r="K196" i="104"/>
  <c r="T196" i="104"/>
  <c r="L196" i="104"/>
  <c r="U196" i="104"/>
  <c r="M196" i="104"/>
  <c r="N196" i="104"/>
  <c r="O196" i="104"/>
  <c r="E196" i="104"/>
  <c r="Q196" i="104"/>
  <c r="F196" i="104"/>
  <c r="R196" i="104"/>
  <c r="I196" i="104"/>
  <c r="J196" i="104"/>
  <c r="S196" i="104"/>
  <c r="V196" i="104"/>
  <c r="G196" i="104"/>
  <c r="J195" i="104"/>
  <c r="R195" i="104"/>
  <c r="K195" i="104"/>
  <c r="T195" i="104"/>
  <c r="L195" i="104"/>
  <c r="U195" i="104"/>
  <c r="F195" i="104"/>
  <c r="Q195" i="104"/>
  <c r="G195" i="104"/>
  <c r="S195" i="104"/>
  <c r="H195" i="104"/>
  <c r="V195" i="104"/>
  <c r="I195" i="104"/>
  <c r="M195" i="104"/>
  <c r="E195" i="104"/>
  <c r="N195" i="104"/>
  <c r="O195" i="104"/>
  <c r="P195" i="104"/>
  <c r="F26" i="115"/>
  <c r="O95" i="115" s="1"/>
  <c r="E26" i="115"/>
  <c r="N95" i="115" s="1"/>
  <c r="H94" i="3"/>
  <c r="F28" i="115" s="1"/>
  <c r="O97" i="115" s="1"/>
  <c r="I94" i="3"/>
  <c r="G28" i="115" s="1"/>
  <c r="P97" i="115" s="1"/>
  <c r="G94" i="3"/>
  <c r="E28" i="115" s="1"/>
  <c r="N97" i="115" s="1"/>
  <c r="U67" i="153"/>
  <c r="AC67" i="153" s="1"/>
  <c r="M75" i="153"/>
  <c r="O75" i="153" s="1"/>
  <c r="T75" i="153" s="1"/>
  <c r="K40" i="153"/>
  <c r="K36" i="153"/>
  <c r="K38" i="153"/>
  <c r="K34" i="153"/>
  <c r="K24" i="153"/>
  <c r="K22" i="153"/>
  <c r="AK77" i="135"/>
  <c r="F108" i="135" s="1"/>
  <c r="L108" i="135" s="1"/>
  <c r="A52" i="101"/>
  <c r="P304" i="84"/>
  <c r="P252" i="84"/>
  <c r="F304" i="84"/>
  <c r="P281" i="84"/>
  <c r="O275" i="84"/>
  <c r="P257" i="84"/>
  <c r="P300" i="84"/>
  <c r="P261" i="84"/>
  <c r="P264" i="84"/>
  <c r="O256" i="84"/>
  <c r="P266" i="84"/>
  <c r="O298" i="84"/>
  <c r="P288" i="84"/>
  <c r="P244" i="84"/>
  <c r="F298" i="84"/>
  <c r="F299" i="84"/>
  <c r="P260" i="84"/>
  <c r="O299" i="84"/>
  <c r="O262" i="84"/>
  <c r="O312" i="84"/>
  <c r="P297" i="84"/>
  <c r="P307" i="84"/>
  <c r="F307" i="84"/>
  <c r="O297" i="84"/>
  <c r="P316" i="84"/>
  <c r="P269" i="84"/>
  <c r="O278" i="84"/>
  <c r="P303" i="84"/>
  <c r="P287" i="84"/>
  <c r="P272" i="84"/>
  <c r="P286" i="84"/>
  <c r="F325" i="84"/>
  <c r="P253" i="84"/>
  <c r="O241" i="84"/>
  <c r="O302" i="84"/>
  <c r="F302" i="84"/>
  <c r="O303" i="84"/>
  <c r="P315" i="84"/>
  <c r="F315" i="84"/>
  <c r="P255" i="84"/>
  <c r="O295" i="84"/>
  <c r="P325" i="84"/>
  <c r="P263" i="84"/>
  <c r="P251" i="84"/>
  <c r="F300" i="84"/>
  <c r="O316" i="84"/>
  <c r="P285" i="84"/>
  <c r="P295" i="84"/>
  <c r="F306" i="84"/>
  <c r="P313" i="84"/>
  <c r="P308" i="84"/>
  <c r="P270" i="84"/>
  <c r="P267" i="84"/>
  <c r="F313" i="84"/>
  <c r="O308" i="84"/>
  <c r="O306" i="84"/>
  <c r="P258" i="84"/>
  <c r="P289" i="84"/>
  <c r="P284" i="84"/>
  <c r="O317" i="84"/>
  <c r="O283" i="84"/>
  <c r="O321" i="84"/>
  <c r="F309" i="84"/>
  <c r="F312" i="84"/>
  <c r="P309" i="84"/>
  <c r="O276" i="84"/>
  <c r="F321" i="84"/>
  <c r="O250" i="84"/>
  <c r="F317" i="84"/>
  <c r="P290" i="84"/>
  <c r="P310" i="84"/>
  <c r="F310" i="84"/>
  <c r="F296" i="84"/>
  <c r="P248" i="84"/>
  <c r="O249" i="84"/>
  <c r="F322" i="84"/>
  <c r="P259" i="84"/>
  <c r="F291" i="84"/>
  <c r="P296" i="84"/>
  <c r="P291" i="84"/>
  <c r="O273" i="84"/>
  <c r="F318" i="84"/>
  <c r="P245" i="84"/>
  <c r="F311" i="84"/>
  <c r="P247" i="84"/>
  <c r="P311" i="84"/>
  <c r="P318" i="84"/>
  <c r="F305" i="84"/>
  <c r="P279" i="84"/>
  <c r="P305" i="84"/>
  <c r="P274" i="84"/>
  <c r="F314" i="84"/>
  <c r="P254" i="84"/>
  <c r="P314" i="84"/>
  <c r="P240" i="84"/>
  <c r="P322" i="84"/>
  <c r="P271" i="84"/>
  <c r="P293" i="84"/>
  <c r="P324" i="84"/>
  <c r="F293" i="84"/>
  <c r="O324" i="84"/>
  <c r="P277" i="84"/>
  <c r="P294" i="84"/>
  <c r="O280" i="84"/>
  <c r="O294" i="84"/>
  <c r="P268" i="84"/>
  <c r="F320" i="84"/>
  <c r="P320" i="84"/>
  <c r="O319" i="84"/>
  <c r="P319" i="84"/>
  <c r="O301" i="84"/>
  <c r="P301" i="84"/>
  <c r="O323" i="84"/>
  <c r="P323" i="84"/>
  <c r="O292" i="84"/>
  <c r="P292" i="84"/>
  <c r="O242" i="84"/>
  <c r="P242" i="84"/>
  <c r="O282" i="84"/>
  <c r="P282" i="84"/>
  <c r="A58" i="101"/>
  <c r="A54" i="101"/>
  <c r="A60" i="101"/>
  <c r="P229" i="84"/>
  <c r="O229" i="84"/>
  <c r="AK42" i="135"/>
  <c r="AK58" i="135" s="1"/>
  <c r="AJ42" i="135"/>
  <c r="A161" i="79"/>
  <c r="BW167" i="84" s="1"/>
  <c r="A24" i="79"/>
  <c r="BW30" i="84" s="1"/>
  <c r="A40" i="79"/>
  <c r="BW46" i="84" s="1"/>
  <c r="A56" i="79"/>
  <c r="BW62" i="84" s="1"/>
  <c r="A72" i="79"/>
  <c r="BW78" i="84" s="1"/>
  <c r="A88" i="79"/>
  <c r="BZ94" i="84" s="1"/>
  <c r="A104" i="79"/>
  <c r="BZ110" i="84" s="1"/>
  <c r="A120" i="79"/>
  <c r="BW126" i="84" s="1"/>
  <c r="A136" i="79"/>
  <c r="BW142" i="84" s="1"/>
  <c r="A152" i="79"/>
  <c r="BW158" i="84" s="1"/>
  <c r="A30" i="79"/>
  <c r="BW36" i="84" s="1"/>
  <c r="A46" i="79"/>
  <c r="BW52" i="84" s="1"/>
  <c r="A62" i="79"/>
  <c r="BW68" i="84" s="1"/>
  <c r="A78" i="79"/>
  <c r="BZ84" i="84" s="1"/>
  <c r="A110" i="79"/>
  <c r="BZ116" i="84" s="1"/>
  <c r="A155" i="79"/>
  <c r="BW161" i="84" s="1"/>
  <c r="A165" i="79"/>
  <c r="BW171" i="84" s="1"/>
  <c r="A20" i="79"/>
  <c r="A28" i="79"/>
  <c r="BW34" i="84" s="1"/>
  <c r="A36" i="79"/>
  <c r="BW42" i="84" s="1"/>
  <c r="A44" i="79"/>
  <c r="BW50" i="84" s="1"/>
  <c r="A52" i="79"/>
  <c r="BW58" i="84" s="1"/>
  <c r="A60" i="79"/>
  <c r="BW66" i="84" s="1"/>
  <c r="A68" i="79"/>
  <c r="BW74" i="84" s="1"/>
  <c r="A76" i="79"/>
  <c r="BZ82" i="84" s="1"/>
  <c r="A84" i="79"/>
  <c r="BZ90" i="84" s="1"/>
  <c r="A92" i="79"/>
  <c r="BZ98" i="84" s="1"/>
  <c r="A100" i="79"/>
  <c r="BZ106" i="84" s="1"/>
  <c r="A108" i="79"/>
  <c r="BZ114" i="84" s="1"/>
  <c r="A116" i="79"/>
  <c r="BW122" i="84" s="1"/>
  <c r="A124" i="79"/>
  <c r="BW130" i="84" s="1"/>
  <c r="A132" i="79"/>
  <c r="BW138" i="84" s="1"/>
  <c r="A140" i="79"/>
  <c r="BW146" i="84" s="1"/>
  <c r="A148" i="79"/>
  <c r="BW154" i="84" s="1"/>
  <c r="A18" i="79"/>
  <c r="A26" i="79"/>
  <c r="O32" i="84" s="1"/>
  <c r="A34" i="79"/>
  <c r="BW40" i="84" s="1"/>
  <c r="A42" i="79"/>
  <c r="BW48" i="84" s="1"/>
  <c r="A50" i="79"/>
  <c r="L56" i="84" s="1"/>
  <c r="A58" i="79"/>
  <c r="BW64" i="84" s="1"/>
  <c r="A66" i="79"/>
  <c r="BW72" i="84" s="1"/>
  <c r="A74" i="79"/>
  <c r="BW80" i="84" s="1"/>
  <c r="A82" i="79"/>
  <c r="BZ88" i="84" s="1"/>
  <c r="A90" i="79"/>
  <c r="BZ96" i="84" s="1"/>
  <c r="A98" i="79"/>
  <c r="BZ104" i="84" s="1"/>
  <c r="A106" i="79"/>
  <c r="BZ112" i="84" s="1"/>
  <c r="A114" i="79"/>
  <c r="BW120" i="84" s="1"/>
  <c r="A122" i="79"/>
  <c r="BW128" i="84" s="1"/>
  <c r="A130" i="79"/>
  <c r="BW136" i="84" s="1"/>
  <c r="A138" i="79"/>
  <c r="BW144" i="84" s="1"/>
  <c r="A146" i="79"/>
  <c r="BW152" i="84" s="1"/>
  <c r="A154" i="79"/>
  <c r="BW160" i="84" s="1"/>
  <c r="A17" i="79"/>
  <c r="G23" i="84" s="1"/>
  <c r="AG23" i="84" s="1"/>
  <c r="A21" i="79"/>
  <c r="A25" i="79"/>
  <c r="BW31" i="84" s="1"/>
  <c r="A29" i="79"/>
  <c r="BW35" i="84" s="1"/>
  <c r="A33" i="79"/>
  <c r="BW39" i="84" s="1"/>
  <c r="A37" i="79"/>
  <c r="BW43" i="84" s="1"/>
  <c r="A41" i="79"/>
  <c r="BW47" i="84" s="1"/>
  <c r="A45" i="79"/>
  <c r="BW51" i="84" s="1"/>
  <c r="A49" i="79"/>
  <c r="BW55" i="84" s="1"/>
  <c r="A53" i="79"/>
  <c r="BW59" i="84" s="1"/>
  <c r="A57" i="79"/>
  <c r="BW63" i="84" s="1"/>
  <c r="A61" i="79"/>
  <c r="BW67" i="84" s="1"/>
  <c r="A65" i="79"/>
  <c r="BW71" i="84" s="1"/>
  <c r="A69" i="79"/>
  <c r="BW75" i="84" s="1"/>
  <c r="A73" i="79"/>
  <c r="BW79" i="84" s="1"/>
  <c r="A77" i="79"/>
  <c r="BZ83" i="84" s="1"/>
  <c r="A81" i="79"/>
  <c r="BZ87" i="84" s="1"/>
  <c r="A85" i="79"/>
  <c r="BZ91" i="84" s="1"/>
  <c r="A89" i="79"/>
  <c r="BZ95" i="84" s="1"/>
  <c r="A93" i="79"/>
  <c r="BZ99" i="84" s="1"/>
  <c r="A97" i="79"/>
  <c r="BZ103" i="84" s="1"/>
  <c r="A101" i="79"/>
  <c r="BZ107" i="84" s="1"/>
  <c r="A105" i="79"/>
  <c r="BZ111" i="84" s="1"/>
  <c r="A109" i="79"/>
  <c r="BZ115" i="84" s="1"/>
  <c r="A113" i="79"/>
  <c r="BW119" i="84" s="1"/>
  <c r="A117" i="79"/>
  <c r="BW123" i="84" s="1"/>
  <c r="A121" i="79"/>
  <c r="BW127" i="84" s="1"/>
  <c r="A125" i="79"/>
  <c r="BW131" i="84" s="1"/>
  <c r="A129" i="79"/>
  <c r="BW135" i="84" s="1"/>
  <c r="A133" i="79"/>
  <c r="BW139" i="84" s="1"/>
  <c r="A137" i="79"/>
  <c r="BW143" i="84" s="1"/>
  <c r="A141" i="79"/>
  <c r="BW147" i="84" s="1"/>
  <c r="A145" i="79"/>
  <c r="BW151" i="84" s="1"/>
  <c r="A149" i="79"/>
  <c r="BW155" i="84" s="1"/>
  <c r="A153" i="79"/>
  <c r="BW159" i="84" s="1"/>
  <c r="A167" i="79"/>
  <c r="BW173" i="84" s="1"/>
  <c r="A157" i="79"/>
  <c r="BW163" i="84" s="1"/>
  <c r="A159" i="79"/>
  <c r="BW165" i="84" s="1"/>
  <c r="A160" i="79"/>
  <c r="BW166" i="84" s="1"/>
  <c r="A169" i="79"/>
  <c r="BW175" i="84" s="1"/>
  <c r="A171" i="79"/>
  <c r="BW177" i="84" s="1"/>
  <c r="A162" i="79"/>
  <c r="BW168" i="84" s="1"/>
  <c r="A16" i="79"/>
  <c r="A32" i="79"/>
  <c r="BW38" i="84" s="1"/>
  <c r="A48" i="79"/>
  <c r="BW54" i="84" s="1"/>
  <c r="A64" i="79"/>
  <c r="BW70" i="84" s="1"/>
  <c r="A80" i="79"/>
  <c r="BZ86" i="84" s="1"/>
  <c r="A96" i="79"/>
  <c r="BZ102" i="84" s="1"/>
  <c r="A112" i="79"/>
  <c r="BW118" i="84" s="1"/>
  <c r="A128" i="79"/>
  <c r="BW134" i="84" s="1"/>
  <c r="A144" i="79"/>
  <c r="BW150" i="84" s="1"/>
  <c r="A22" i="79"/>
  <c r="A38" i="79"/>
  <c r="BW44" i="84" s="1"/>
  <c r="A54" i="79"/>
  <c r="BW60" i="84" s="1"/>
  <c r="A70" i="79"/>
  <c r="BW76" i="84" s="1"/>
  <c r="A86" i="79"/>
  <c r="BZ92" i="84" s="1"/>
  <c r="A94" i="79"/>
  <c r="BZ100" i="84" s="1"/>
  <c r="A102" i="79"/>
  <c r="BZ108" i="84" s="1"/>
  <c r="A118" i="79"/>
  <c r="BW124" i="84" s="1"/>
  <c r="A126" i="79"/>
  <c r="BW132" i="84" s="1"/>
  <c r="A134" i="79"/>
  <c r="BW140" i="84" s="1"/>
  <c r="A142" i="79"/>
  <c r="BW148" i="84" s="1"/>
  <c r="A150" i="79"/>
  <c r="BW156" i="84" s="1"/>
  <c r="G21" i="84"/>
  <c r="A19" i="79"/>
  <c r="A23" i="79"/>
  <c r="L29" i="84" s="1"/>
  <c r="O238" i="84" s="1"/>
  <c r="A27" i="79"/>
  <c r="BW33" i="84" s="1"/>
  <c r="A31" i="79"/>
  <c r="BW37" i="84" s="1"/>
  <c r="A35" i="79"/>
  <c r="BW41" i="84" s="1"/>
  <c r="A39" i="79"/>
  <c r="BW45" i="84" s="1"/>
  <c r="A43" i="79"/>
  <c r="BW49" i="84" s="1"/>
  <c r="A47" i="79"/>
  <c r="BW53" i="84" s="1"/>
  <c r="A51" i="79"/>
  <c r="BW57" i="84" s="1"/>
  <c r="A55" i="79"/>
  <c r="BW61" i="84" s="1"/>
  <c r="A59" i="79"/>
  <c r="BW65" i="84" s="1"/>
  <c r="A63" i="79"/>
  <c r="BW69" i="84" s="1"/>
  <c r="A67" i="79"/>
  <c r="BW73" i="84" s="1"/>
  <c r="A71" i="79"/>
  <c r="BW77" i="84" s="1"/>
  <c r="A75" i="79"/>
  <c r="BW81" i="84" s="1"/>
  <c r="A79" i="79"/>
  <c r="BZ85" i="84" s="1"/>
  <c r="A83" i="79"/>
  <c r="BZ89" i="84" s="1"/>
  <c r="A87" i="79"/>
  <c r="BZ93" i="84" s="1"/>
  <c r="A91" i="79"/>
  <c r="BZ97" i="84" s="1"/>
  <c r="A95" i="79"/>
  <c r="BZ101" i="84" s="1"/>
  <c r="A99" i="79"/>
  <c r="BZ105" i="84" s="1"/>
  <c r="A103" i="79"/>
  <c r="BZ109" i="84" s="1"/>
  <c r="A107" i="79"/>
  <c r="BZ113" i="84" s="1"/>
  <c r="A111" i="79"/>
  <c r="BW117" i="84" s="1"/>
  <c r="A115" i="79"/>
  <c r="BW121" i="84" s="1"/>
  <c r="A119" i="79"/>
  <c r="BW125" i="84" s="1"/>
  <c r="A123" i="79"/>
  <c r="BW129" i="84" s="1"/>
  <c r="A127" i="79"/>
  <c r="BW133" i="84" s="1"/>
  <c r="A131" i="79"/>
  <c r="BW137" i="84" s="1"/>
  <c r="A135" i="79"/>
  <c r="BW141" i="84" s="1"/>
  <c r="A139" i="79"/>
  <c r="BW145" i="84" s="1"/>
  <c r="A143" i="79"/>
  <c r="BW149" i="84" s="1"/>
  <c r="A147" i="79"/>
  <c r="BW153" i="84" s="1"/>
  <c r="A151" i="79"/>
  <c r="BW157" i="84" s="1"/>
  <c r="A156" i="79"/>
  <c r="BW162" i="84" s="1"/>
  <c r="A163" i="79"/>
  <c r="BW169" i="84" s="1"/>
  <c r="A164" i="79"/>
  <c r="BW170" i="84" s="1"/>
  <c r="A158" i="79"/>
  <c r="BW164" i="84" s="1"/>
  <c r="A170" i="79"/>
  <c r="BW176" i="84" s="1"/>
  <c r="A168" i="79"/>
  <c r="BW174" i="84" s="1"/>
  <c r="A166" i="79"/>
  <c r="BW172" i="84" s="1"/>
  <c r="A174" i="79"/>
  <c r="BW180" i="84" s="1"/>
  <c r="C180" i="84" s="1"/>
  <c r="A172" i="79"/>
  <c r="BW178" i="84" s="1"/>
  <c r="A175" i="79"/>
  <c r="BW181" i="84" s="1"/>
  <c r="C181" i="84" s="1"/>
  <c r="AL44" i="149"/>
  <c r="AL60" i="149" s="1"/>
  <c r="AK44" i="149"/>
  <c r="AK60" i="149" s="1"/>
  <c r="A173" i="79"/>
  <c r="BW179" i="84" s="1"/>
  <c r="C218" i="84"/>
  <c r="D36" i="114"/>
  <c r="B36" i="114" s="1"/>
  <c r="E65" i="194" l="1"/>
  <c r="L65" i="194" s="1" a="1"/>
  <c r="L65" i="194" s="1"/>
  <c r="E40" i="194"/>
  <c r="L40" i="194" s="1" a="1"/>
  <c r="L40" i="194" s="1"/>
  <c r="E55" i="194"/>
  <c r="G55" i="194" s="1"/>
  <c r="I60" i="227" s="1"/>
  <c r="O60" i="227" s="1"/>
  <c r="E61" i="194"/>
  <c r="L61" i="194" s="1" a="1"/>
  <c r="L61" i="194" s="1"/>
  <c r="E32" i="194"/>
  <c r="L32" i="194" s="1" a="1"/>
  <c r="L32" i="194" s="1"/>
  <c r="E45" i="194"/>
  <c r="G45" i="194" s="1"/>
  <c r="I50" i="227" s="1"/>
  <c r="O50" i="227" s="1"/>
  <c r="E14" i="194"/>
  <c r="L14" i="194" s="1" a="1"/>
  <c r="L14" i="194" s="1"/>
  <c r="E33" i="194"/>
  <c r="L33" i="194" s="1" a="1"/>
  <c r="L33" i="194" s="1"/>
  <c r="E25" i="194"/>
  <c r="G25" i="194" s="1"/>
  <c r="I30" i="227" s="1"/>
  <c r="O30" i="227" s="1"/>
  <c r="E34" i="194"/>
  <c r="L34" i="194" s="1" a="1"/>
  <c r="L34" i="194" s="1"/>
  <c r="E13" i="194"/>
  <c r="G13" i="194" s="1"/>
  <c r="E60" i="194"/>
  <c r="L60" i="194" s="1" a="1"/>
  <c r="L60" i="194" s="1"/>
  <c r="E29" i="194"/>
  <c r="L29" i="194" s="1" a="1"/>
  <c r="L29" i="194" s="1"/>
  <c r="E64" i="194"/>
  <c r="G64" i="194" s="1"/>
  <c r="I69" i="227" s="1"/>
  <c r="O69" i="227" s="1"/>
  <c r="E41" i="194"/>
  <c r="L41" i="194" s="1" a="1"/>
  <c r="L41" i="194" s="1"/>
  <c r="E30" i="194"/>
  <c r="L30" i="194" s="1" a="1"/>
  <c r="L30" i="194" s="1"/>
  <c r="E54" i="194"/>
  <c r="L54" i="194" s="1" a="1"/>
  <c r="L54" i="194" s="1"/>
  <c r="E46" i="194"/>
  <c r="L46" i="194" s="1" a="1"/>
  <c r="L46" i="194" s="1"/>
  <c r="E43" i="194"/>
  <c r="G43" i="194" s="1"/>
  <c r="I48" i="227" s="1"/>
  <c r="O48" i="227" s="1"/>
  <c r="E62" i="194"/>
  <c r="L62" i="194" s="1" a="1"/>
  <c r="L62" i="194" s="1"/>
  <c r="E57" i="194"/>
  <c r="L57" i="194" s="1" a="1"/>
  <c r="L57" i="194" s="1"/>
  <c r="E36" i="194"/>
  <c r="L36" i="194" s="1" a="1"/>
  <c r="L36" i="194" s="1"/>
  <c r="E11" i="194"/>
  <c r="F16" i="227" s="1"/>
  <c r="E20" i="194"/>
  <c r="L20" i="194" s="1" a="1"/>
  <c r="L20" i="194" s="1"/>
  <c r="E47" i="194"/>
  <c r="L47" i="194" s="1" a="1"/>
  <c r="L47" i="194" s="1"/>
  <c r="E9" i="194"/>
  <c r="G9" i="194" s="1"/>
  <c r="E16" i="194"/>
  <c r="L16" i="194" s="1" a="1"/>
  <c r="L16" i="194" s="1"/>
  <c r="E52" i="194"/>
  <c r="L52" i="194" s="1" a="1"/>
  <c r="L52" i="194" s="1"/>
  <c r="F89" i="233"/>
  <c r="E66" i="194"/>
  <c r="L66" i="194" s="1" a="1"/>
  <c r="L66" i="194" s="1"/>
  <c r="E24" i="194"/>
  <c r="L24" i="194" s="1" a="1"/>
  <c r="L24" i="194" s="1"/>
  <c r="E35" i="194"/>
  <c r="L35" i="194" s="1" a="1"/>
  <c r="L35" i="194" s="1"/>
  <c r="E44" i="194"/>
  <c r="L44" i="194" s="1" a="1"/>
  <c r="L44" i="194" s="1"/>
  <c r="E42" i="194"/>
  <c r="L42" i="194" s="1" a="1"/>
  <c r="L42" i="194" s="1"/>
  <c r="E17" i="194"/>
  <c r="E53" i="194"/>
  <c r="L53" i="194" s="1" a="1"/>
  <c r="L53" i="194" s="1"/>
  <c r="E22" i="194"/>
  <c r="L22" i="194" s="1" a="1"/>
  <c r="L22" i="194" s="1"/>
  <c r="E37" i="194"/>
  <c r="L37" i="194" s="1" a="1"/>
  <c r="L37" i="194" s="1"/>
  <c r="E23" i="194"/>
  <c r="L23" i="194" s="1" a="1"/>
  <c r="L23" i="194" s="1"/>
  <c r="E12" i="194"/>
  <c r="E67" i="194"/>
  <c r="L67" i="194" s="1" a="1"/>
  <c r="L67" i="194" s="1"/>
  <c r="E39" i="194"/>
  <c r="G39" i="194" s="1"/>
  <c r="E63" i="194"/>
  <c r="L63" i="194" s="1" a="1"/>
  <c r="L63" i="194" s="1"/>
  <c r="E27" i="194"/>
  <c r="L27" i="194" s="1" a="1"/>
  <c r="L27" i="194" s="1"/>
  <c r="E51" i="194"/>
  <c r="L51" i="194" s="1" a="1"/>
  <c r="L51" i="194" s="1"/>
  <c r="E30" i="196"/>
  <c r="E40" i="196"/>
  <c r="E54" i="196"/>
  <c r="E55" i="196"/>
  <c r="E67" i="196"/>
  <c r="E61" i="196"/>
  <c r="E46" i="196"/>
  <c r="E63" i="196"/>
  <c r="E23" i="196"/>
  <c r="E32" i="196"/>
  <c r="E66" i="196"/>
  <c r="D8" i="194"/>
  <c r="F8" i="194" s="1"/>
  <c r="D26" i="194"/>
  <c r="F26" i="194" s="1"/>
  <c r="E22" i="196"/>
  <c r="E39" i="196"/>
  <c r="E24" i="196"/>
  <c r="E27" i="196"/>
  <c r="E37" i="196"/>
  <c r="E45" i="196"/>
  <c r="E65" i="196"/>
  <c r="E14" i="196"/>
  <c r="F19" i="231" s="1"/>
  <c r="E43" i="196"/>
  <c r="E12" i="196"/>
  <c r="F17" i="231" s="1"/>
  <c r="E62" i="196"/>
  <c r="E42" i="196"/>
  <c r="E33" i="196"/>
  <c r="E57" i="196"/>
  <c r="E25" i="196"/>
  <c r="E36" i="196"/>
  <c r="E34" i="196"/>
  <c r="E11" i="196"/>
  <c r="F16" i="231" s="1"/>
  <c r="E13" i="196"/>
  <c r="F18" i="231" s="1"/>
  <c r="E20" i="196"/>
  <c r="E51" i="196"/>
  <c r="E47" i="196"/>
  <c r="D72" i="194"/>
  <c r="E60" i="196"/>
  <c r="E44" i="196"/>
  <c r="E29" i="196"/>
  <c r="E9" i="196"/>
  <c r="F14" i="231" s="1"/>
  <c r="E64" i="196"/>
  <c r="E56" i="196"/>
  <c r="E17" i="196"/>
  <c r="F22" i="231" s="1"/>
  <c r="E16" i="196"/>
  <c r="F21" i="231" s="1"/>
  <c r="E53" i="196"/>
  <c r="E35" i="196"/>
  <c r="E41" i="196"/>
  <c r="E52" i="196"/>
  <c r="G56" i="194"/>
  <c r="I36" i="203"/>
  <c r="M36" i="203" s="1"/>
  <c r="I117" i="203"/>
  <c r="M117" i="203" s="1"/>
  <c r="I119" i="203"/>
  <c r="M119" i="203" s="1"/>
  <c r="I68" i="203"/>
  <c r="L68" i="203" s="1"/>
  <c r="P68" i="203" s="1"/>
  <c r="I51" i="203"/>
  <c r="M51" i="203" s="1"/>
  <c r="I118" i="203"/>
  <c r="M118" i="203" s="1"/>
  <c r="I56" i="203"/>
  <c r="M56" i="203" s="1"/>
  <c r="I30" i="203"/>
  <c r="L30" i="203" s="1"/>
  <c r="I121" i="203"/>
  <c r="M121" i="203" s="1"/>
  <c r="I50" i="203"/>
  <c r="L50" i="203" s="1"/>
  <c r="P50" i="203" s="1"/>
  <c r="I88" i="203"/>
  <c r="L88" i="203" s="1"/>
  <c r="P88" i="203" s="1"/>
  <c r="I93" i="203"/>
  <c r="M93" i="203" s="1"/>
  <c r="I95" i="203"/>
  <c r="I71" i="203"/>
  <c r="M71" i="203" s="1"/>
  <c r="I15" i="203"/>
  <c r="I31" i="203"/>
  <c r="AJ58" i="135"/>
  <c r="AJ116" i="135" s="1"/>
  <c r="E147" i="135" s="1"/>
  <c r="K147" i="135" s="1"/>
  <c r="AL61" i="149"/>
  <c r="AL85" i="149" s="1"/>
  <c r="F116" i="149" s="1"/>
  <c r="L116" i="149" s="1"/>
  <c r="AK61" i="149"/>
  <c r="AK85" i="149" s="1"/>
  <c r="E116" i="149" s="1"/>
  <c r="K116" i="149" s="1"/>
  <c r="AJ57" i="135"/>
  <c r="AJ115" i="135" s="1"/>
  <c r="E146" i="135" s="1"/>
  <c r="K146" i="135" s="1"/>
  <c r="BW107" i="84"/>
  <c r="BW108" i="84"/>
  <c r="BW85" i="84"/>
  <c r="BW86" i="84"/>
  <c r="BW115" i="84"/>
  <c r="M3" i="117"/>
  <c r="E207" i="113"/>
  <c r="A70" i="101"/>
  <c r="M4" i="117"/>
  <c r="W5" i="101" s="1"/>
  <c r="S95" i="115"/>
  <c r="Y95" i="115"/>
  <c r="Q93" i="115"/>
  <c r="W93" i="115"/>
  <c r="S93" i="115"/>
  <c r="Y93" i="115"/>
  <c r="Q94" i="115"/>
  <c r="W94" i="115"/>
  <c r="Q97" i="115"/>
  <c r="W97" i="115"/>
  <c r="S97" i="115"/>
  <c r="Y97" i="115"/>
  <c r="R97" i="115"/>
  <c r="X97" i="115"/>
  <c r="Q95" i="115"/>
  <c r="W95" i="115"/>
  <c r="R95" i="115"/>
  <c r="X95" i="115"/>
  <c r="P17" i="114"/>
  <c r="V17" i="114"/>
  <c r="O17" i="114"/>
  <c r="U17" i="114"/>
  <c r="F22" i="113"/>
  <c r="O94" i="113" s="1"/>
  <c r="R94" i="113" s="1"/>
  <c r="N92" i="1"/>
  <c r="G20" i="113"/>
  <c r="P92" i="113" s="1"/>
  <c r="Y92" i="113" s="1"/>
  <c r="O90" i="1"/>
  <c r="F24" i="113"/>
  <c r="O96" i="113" s="1"/>
  <c r="R96" i="113" s="1"/>
  <c r="N94" i="1"/>
  <c r="E22" i="113"/>
  <c r="N94" i="113" s="1"/>
  <c r="Q94" i="113" s="1"/>
  <c r="M92" i="1"/>
  <c r="G21" i="113"/>
  <c r="P93" i="113" s="1"/>
  <c r="S93" i="113" s="1"/>
  <c r="O91" i="1"/>
  <c r="E21" i="113"/>
  <c r="N93" i="113" s="1"/>
  <c r="Q93" i="113" s="1"/>
  <c r="M91" i="1"/>
  <c r="F20" i="113"/>
  <c r="O92" i="113" s="1"/>
  <c r="X92" i="113" s="1"/>
  <c r="N90" i="1"/>
  <c r="G23" i="113"/>
  <c r="P95" i="113" s="1"/>
  <c r="S95" i="113" s="1"/>
  <c r="O93" i="1"/>
  <c r="F21" i="113"/>
  <c r="O93" i="113" s="1"/>
  <c r="X93" i="113" s="1"/>
  <c r="N91" i="1"/>
  <c r="E20" i="113"/>
  <c r="N92" i="113" s="1"/>
  <c r="W92" i="113" s="1"/>
  <c r="M90" i="1"/>
  <c r="E24" i="113"/>
  <c r="N96" i="113" s="1"/>
  <c r="Q96" i="113" s="1"/>
  <c r="M94" i="1"/>
  <c r="G22" i="113"/>
  <c r="P94" i="113" s="1"/>
  <c r="S94" i="113" s="1"/>
  <c r="O92" i="1"/>
  <c r="E23" i="113"/>
  <c r="N95" i="113" s="1"/>
  <c r="Q95" i="113" s="1"/>
  <c r="M93" i="1"/>
  <c r="F23" i="113"/>
  <c r="O95" i="113" s="1"/>
  <c r="X95" i="113" s="1"/>
  <c r="N93" i="1"/>
  <c r="G24" i="113"/>
  <c r="P96" i="113" s="1"/>
  <c r="S96" i="113" s="1"/>
  <c r="O94" i="1"/>
  <c r="E27" i="155"/>
  <c r="G22" i="84"/>
  <c r="AG22" i="84" s="1"/>
  <c r="P22" i="84"/>
  <c r="L231" i="84" s="1"/>
  <c r="O22" i="84"/>
  <c r="L22" i="84"/>
  <c r="AK88" i="135"/>
  <c r="F119" i="135" s="1"/>
  <c r="L119" i="135" s="1"/>
  <c r="AK96" i="135"/>
  <c r="F127" i="135" s="1"/>
  <c r="L127" i="135" s="1"/>
  <c r="BW113" i="84"/>
  <c r="BW93" i="84"/>
  <c r="BW92" i="84"/>
  <c r="BW112" i="84"/>
  <c r="BW101" i="84"/>
  <c r="BW83" i="84"/>
  <c r="BW109" i="84"/>
  <c r="BW104" i="84"/>
  <c r="BW99" i="84"/>
  <c r="BW96" i="84"/>
  <c r="BZ179" i="84"/>
  <c r="S388" i="84" s="1"/>
  <c r="L179" i="84"/>
  <c r="F388" i="84" s="1"/>
  <c r="BW91" i="84"/>
  <c r="BW88" i="84"/>
  <c r="BW56" i="84"/>
  <c r="BW97" i="84"/>
  <c r="BW100" i="84"/>
  <c r="BW102" i="84"/>
  <c r="BW105" i="84"/>
  <c r="BW89" i="84"/>
  <c r="BW90" i="84"/>
  <c r="BW111" i="84"/>
  <c r="BW95" i="84"/>
  <c r="BW114" i="84"/>
  <c r="BW82" i="84"/>
  <c r="BW116" i="84"/>
  <c r="BW110" i="84"/>
  <c r="BW106" i="84"/>
  <c r="BW84" i="84"/>
  <c r="BW94" i="84"/>
  <c r="BW103" i="84"/>
  <c r="BW87" i="84"/>
  <c r="BW98" i="84"/>
  <c r="F232" i="84"/>
  <c r="N92" i="3"/>
  <c r="O92" i="3"/>
  <c r="M92" i="3"/>
  <c r="D75" i="196" s="1"/>
  <c r="T20" i="155"/>
  <c r="AF33" i="153"/>
  <c r="AF37" i="153"/>
  <c r="H95" i="3"/>
  <c r="F29" i="115" s="1"/>
  <c r="O98" i="115" s="1"/>
  <c r="E127" i="115"/>
  <c r="AF35" i="153"/>
  <c r="H93" i="3"/>
  <c r="F27" i="115" s="1"/>
  <c r="O96" i="115" s="1"/>
  <c r="E207" i="115"/>
  <c r="AE20" i="153"/>
  <c r="H85" i="3"/>
  <c r="F19" i="115" s="1"/>
  <c r="O88" i="115" s="1"/>
  <c r="E47" i="115"/>
  <c r="P56" i="115"/>
  <c r="O44" i="115"/>
  <c r="P58" i="115"/>
  <c r="G93" i="3"/>
  <c r="E27" i="115" s="1"/>
  <c r="N96" i="115" s="1"/>
  <c r="N60" i="113"/>
  <c r="P62" i="115"/>
  <c r="O52" i="113"/>
  <c r="I91" i="3"/>
  <c r="G25" i="115" s="1"/>
  <c r="P94" i="115" s="1"/>
  <c r="I95" i="3"/>
  <c r="G29" i="115" s="1"/>
  <c r="P98" i="115" s="1"/>
  <c r="G177" i="115"/>
  <c r="P74" i="115" s="1"/>
  <c r="N56" i="113"/>
  <c r="P44" i="113"/>
  <c r="Q257" i="115"/>
  <c r="O58" i="115"/>
  <c r="O53" i="113"/>
  <c r="O61" i="115"/>
  <c r="O60" i="113"/>
  <c r="O47" i="113"/>
  <c r="P47" i="115"/>
  <c r="O47" i="115"/>
  <c r="O16" i="115"/>
  <c r="N58" i="113"/>
  <c r="O56" i="113"/>
  <c r="P69" i="113"/>
  <c r="O64" i="115"/>
  <c r="G47" i="115"/>
  <c r="N61" i="115"/>
  <c r="O54" i="113"/>
  <c r="G127" i="115"/>
  <c r="P57" i="115"/>
  <c r="G207" i="115"/>
  <c r="N59" i="115"/>
  <c r="O41" i="115"/>
  <c r="P46" i="113"/>
  <c r="O16" i="155"/>
  <c r="P16" i="115"/>
  <c r="O54" i="115"/>
  <c r="G85" i="3"/>
  <c r="E19" i="115" s="1"/>
  <c r="N88" i="115" s="1"/>
  <c r="P50" i="115"/>
  <c r="P45" i="113"/>
  <c r="N14" i="113"/>
  <c r="W14" i="113" s="1"/>
  <c r="O43" i="113"/>
  <c r="N39" i="115"/>
  <c r="P70" i="115"/>
  <c r="P51" i="113"/>
  <c r="P56" i="113"/>
  <c r="P52" i="113"/>
  <c r="N48" i="113"/>
  <c r="O57" i="115"/>
  <c r="O57" i="113"/>
  <c r="P22" i="115"/>
  <c r="N57" i="115"/>
  <c r="P55" i="113"/>
  <c r="O56" i="115"/>
  <c r="O46" i="113"/>
  <c r="O39" i="113"/>
  <c r="O69" i="113"/>
  <c r="O59" i="115"/>
  <c r="N49" i="115"/>
  <c r="I93" i="3"/>
  <c r="G27" i="115" s="1"/>
  <c r="P96" i="115" s="1"/>
  <c r="N52" i="113"/>
  <c r="N48" i="115"/>
  <c r="O44" i="113"/>
  <c r="P57" i="113"/>
  <c r="O39" i="115"/>
  <c r="N58" i="115"/>
  <c r="O51" i="115"/>
  <c r="N44" i="113"/>
  <c r="P61" i="115"/>
  <c r="O45" i="113"/>
  <c r="P81" i="113"/>
  <c r="O55" i="113"/>
  <c r="P54" i="115"/>
  <c r="P60" i="113"/>
  <c r="P41" i="115"/>
  <c r="N64" i="115"/>
  <c r="N70" i="115"/>
  <c r="N55" i="115"/>
  <c r="H90" i="3"/>
  <c r="F24" i="115" s="1"/>
  <c r="O93" i="115" s="1"/>
  <c r="P53" i="113"/>
  <c r="P64" i="115"/>
  <c r="P39" i="113"/>
  <c r="O21" i="113"/>
  <c r="O49" i="115"/>
  <c r="O42" i="113"/>
  <c r="O48" i="115"/>
  <c r="N54" i="115"/>
  <c r="N22" i="115"/>
  <c r="P40" i="113"/>
  <c r="O43" i="115"/>
  <c r="F137" i="115"/>
  <c r="F57" i="115"/>
  <c r="E148" i="115"/>
  <c r="E68" i="115"/>
  <c r="K27" i="153"/>
  <c r="AJ47" i="135"/>
  <c r="F156" i="115"/>
  <c r="F76" i="115"/>
  <c r="F163" i="115"/>
  <c r="F83" i="115"/>
  <c r="P21" i="113"/>
  <c r="P51" i="115"/>
  <c r="N47" i="115"/>
  <c r="P39" i="115"/>
  <c r="N43" i="115"/>
  <c r="O50" i="115"/>
  <c r="AE31" i="153"/>
  <c r="AF31" i="153"/>
  <c r="N59" i="113"/>
  <c r="E143" i="115"/>
  <c r="E63" i="115"/>
  <c r="F149" i="115"/>
  <c r="F69" i="115"/>
  <c r="F75" i="115"/>
  <c r="F155" i="115"/>
  <c r="AE29" i="153"/>
  <c r="AF29" i="153"/>
  <c r="AE30" i="153"/>
  <c r="AF30" i="153"/>
  <c r="O51" i="113"/>
  <c r="N57" i="113"/>
  <c r="P59" i="115"/>
  <c r="N54" i="113"/>
  <c r="N16" i="115"/>
  <c r="O70" i="115"/>
  <c r="N51" i="115"/>
  <c r="P47" i="113"/>
  <c r="N47" i="113"/>
  <c r="G163" i="115"/>
  <c r="G83" i="115"/>
  <c r="O48" i="113"/>
  <c r="AK47" i="135"/>
  <c r="AK63" i="135" s="1"/>
  <c r="F148" i="115"/>
  <c r="F68" i="115"/>
  <c r="P58" i="113"/>
  <c r="N51" i="113"/>
  <c r="O23" i="155"/>
  <c r="J32" i="153"/>
  <c r="E76" i="115"/>
  <c r="E156" i="115"/>
  <c r="G148" i="115"/>
  <c r="G68" i="115"/>
  <c r="O90" i="3"/>
  <c r="N15" i="113"/>
  <c r="G76" i="115"/>
  <c r="G156" i="115"/>
  <c r="G155" i="115"/>
  <c r="G75" i="115"/>
  <c r="F143" i="115"/>
  <c r="F63" i="115"/>
  <c r="AE32" i="153"/>
  <c r="AF32" i="153"/>
  <c r="O61" i="113"/>
  <c r="AE26" i="153"/>
  <c r="AF26" i="153"/>
  <c r="O58" i="113"/>
  <c r="P48" i="113"/>
  <c r="P28" i="115"/>
  <c r="E69" i="115"/>
  <c r="E149" i="115"/>
  <c r="M91" i="3"/>
  <c r="D74" i="196" s="1"/>
  <c r="P49" i="113"/>
  <c r="O22" i="115"/>
  <c r="G143" i="115"/>
  <c r="G63" i="115"/>
  <c r="N21" i="113"/>
  <c r="N41" i="115"/>
  <c r="G149" i="115"/>
  <c r="G69" i="115"/>
  <c r="G61" i="115"/>
  <c r="Q221" i="115"/>
  <c r="G141" i="115"/>
  <c r="N39" i="113"/>
  <c r="N46" i="113"/>
  <c r="AE28" i="153"/>
  <c r="AF28" i="153"/>
  <c r="P15" i="113"/>
  <c r="P48" i="115"/>
  <c r="N28" i="115"/>
  <c r="N33" i="113"/>
  <c r="O55" i="115"/>
  <c r="H91" i="3"/>
  <c r="F25" i="115" s="1"/>
  <c r="O94" i="115" s="1"/>
  <c r="P61" i="113"/>
  <c r="O28" i="115"/>
  <c r="O62" i="115"/>
  <c r="O33" i="113"/>
  <c r="O81" i="113"/>
  <c r="P44" i="115"/>
  <c r="AE25" i="153"/>
  <c r="AF25" i="153"/>
  <c r="AJ45" i="135"/>
  <c r="AJ61" i="135" s="1"/>
  <c r="P43" i="113"/>
  <c r="P55" i="115"/>
  <c r="G137" i="115"/>
  <c r="G57" i="115"/>
  <c r="P54" i="113"/>
  <c r="N53" i="113"/>
  <c r="P33" i="113"/>
  <c r="O40" i="113"/>
  <c r="AK41" i="135"/>
  <c r="AK57" i="135" s="1"/>
  <c r="E83" i="115"/>
  <c r="E163" i="115"/>
  <c r="N69" i="113"/>
  <c r="N40" i="113"/>
  <c r="P42" i="113"/>
  <c r="P49" i="115"/>
  <c r="F141" i="115"/>
  <c r="F61" i="115"/>
  <c r="P221" i="115"/>
  <c r="P59" i="113"/>
  <c r="N45" i="113"/>
  <c r="N42" i="113"/>
  <c r="P43" i="115"/>
  <c r="O59" i="113"/>
  <c r="O15" i="155"/>
  <c r="J27" i="153"/>
  <c r="N81" i="113"/>
  <c r="N34" i="115"/>
  <c r="O49" i="113"/>
  <c r="E75" i="115"/>
  <c r="E155" i="115"/>
  <c r="I85" i="3"/>
  <c r="O15" i="113"/>
  <c r="AG21" i="84"/>
  <c r="K3" i="117"/>
  <c r="AE36" i="153"/>
  <c r="AF36" i="153"/>
  <c r="AE21" i="153"/>
  <c r="AF21" i="153"/>
  <c r="AE40" i="153"/>
  <c r="AF40" i="153"/>
  <c r="AE18" i="153"/>
  <c r="AF18" i="153"/>
  <c r="AE22" i="153"/>
  <c r="AF22" i="153"/>
  <c r="AE24" i="153"/>
  <c r="AF24" i="153"/>
  <c r="AE19" i="153"/>
  <c r="AF19" i="153"/>
  <c r="AE34" i="153"/>
  <c r="AF34" i="153"/>
  <c r="AE38" i="153"/>
  <c r="AF38" i="153"/>
  <c r="AE23" i="153"/>
  <c r="AF23" i="153"/>
  <c r="N84" i="113"/>
  <c r="O24" i="113"/>
  <c r="O25" i="115"/>
  <c r="N25" i="115"/>
  <c r="P84" i="115"/>
  <c r="N20" i="113"/>
  <c r="P69" i="115"/>
  <c r="P85" i="115"/>
  <c r="P80" i="115"/>
  <c r="O83" i="115"/>
  <c r="P25" i="113"/>
  <c r="N34" i="113"/>
  <c r="N18" i="115"/>
  <c r="N69" i="115"/>
  <c r="P86" i="115"/>
  <c r="O26" i="115"/>
  <c r="P36" i="115"/>
  <c r="P73" i="115"/>
  <c r="O24" i="115"/>
  <c r="N19" i="115"/>
  <c r="P26" i="115"/>
  <c r="P21" i="115"/>
  <c r="N36" i="115"/>
  <c r="O36" i="115"/>
  <c r="P19" i="115"/>
  <c r="N81" i="115"/>
  <c r="O18" i="115"/>
  <c r="O73" i="115"/>
  <c r="O71" i="115"/>
  <c r="O84" i="113"/>
  <c r="N35" i="113"/>
  <c r="N33" i="115"/>
  <c r="N71" i="115"/>
  <c r="P35" i="115"/>
  <c r="P25" i="115"/>
  <c r="N35" i="115"/>
  <c r="P18" i="115"/>
  <c r="O21" i="115"/>
  <c r="O19" i="115"/>
  <c r="N73" i="115"/>
  <c r="O37" i="115"/>
  <c r="O80" i="115"/>
  <c r="O72" i="115"/>
  <c r="P18" i="113"/>
  <c r="O70" i="113"/>
  <c r="O77" i="113"/>
  <c r="O80" i="113"/>
  <c r="P83" i="113"/>
  <c r="N32" i="113"/>
  <c r="P82" i="113"/>
  <c r="N77" i="113"/>
  <c r="P65" i="113"/>
  <c r="N37" i="115"/>
  <c r="P37" i="115"/>
  <c r="P33" i="115"/>
  <c r="O33" i="115"/>
  <c r="P81" i="115"/>
  <c r="O84" i="115"/>
  <c r="N85" i="115"/>
  <c r="O35" i="115"/>
  <c r="O74" i="115"/>
  <c r="O69" i="115"/>
  <c r="P83" i="115"/>
  <c r="P71" i="115"/>
  <c r="P77" i="113"/>
  <c r="N17" i="113"/>
  <c r="N21" i="115"/>
  <c r="O86" i="115"/>
  <c r="O81" i="115"/>
  <c r="N84" i="115"/>
  <c r="O85" i="115"/>
  <c r="N36" i="113"/>
  <c r="O36" i="113"/>
  <c r="N72" i="115"/>
  <c r="P72" i="115"/>
  <c r="N83" i="115"/>
  <c r="O23" i="113"/>
  <c r="P73" i="113"/>
  <c r="N18" i="113"/>
  <c r="N82" i="113"/>
  <c r="O25" i="113"/>
  <c r="P35" i="113"/>
  <c r="O17" i="113"/>
  <c r="O37" i="113"/>
  <c r="P37" i="113"/>
  <c r="O65" i="113"/>
  <c r="N76" i="113"/>
  <c r="N23" i="113"/>
  <c r="P32" i="113"/>
  <c r="P24" i="113"/>
  <c r="P84" i="113"/>
  <c r="P34" i="113"/>
  <c r="P68" i="113"/>
  <c r="N72" i="113"/>
  <c r="N71" i="113"/>
  <c r="O72" i="113"/>
  <c r="N83" i="113"/>
  <c r="N68" i="113"/>
  <c r="P76" i="113"/>
  <c r="O83" i="113"/>
  <c r="O79" i="113"/>
  <c r="N70" i="113"/>
  <c r="P79" i="113"/>
  <c r="P85" i="113"/>
  <c r="N24" i="113"/>
  <c r="O32" i="113"/>
  <c r="P23" i="113"/>
  <c r="P28" i="113"/>
  <c r="O20" i="113"/>
  <c r="O68" i="113"/>
  <c r="P71" i="113"/>
  <c r="P17" i="113"/>
  <c r="O28" i="113"/>
  <c r="O34" i="113"/>
  <c r="N65" i="113"/>
  <c r="O82" i="113"/>
  <c r="N28" i="113"/>
  <c r="O85" i="113"/>
  <c r="O76" i="113"/>
  <c r="N80" i="113"/>
  <c r="O71" i="113"/>
  <c r="O35" i="113"/>
  <c r="O18" i="113"/>
  <c r="P72" i="113"/>
  <c r="P36" i="113"/>
  <c r="O73" i="113"/>
  <c r="P80" i="113"/>
  <c r="P20" i="113"/>
  <c r="P70" i="113"/>
  <c r="G25" i="113"/>
  <c r="P97" i="113" s="1"/>
  <c r="F25" i="113"/>
  <c r="O97" i="113" s="1"/>
  <c r="A42" i="101"/>
  <c r="L206" i="104"/>
  <c r="T206" i="104"/>
  <c r="M206" i="104"/>
  <c r="V206" i="104"/>
  <c r="E206" i="104"/>
  <c r="N206" i="104"/>
  <c r="F206" i="104"/>
  <c r="O206" i="104"/>
  <c r="G206" i="104"/>
  <c r="P206" i="104"/>
  <c r="H206" i="104"/>
  <c r="Q206" i="104"/>
  <c r="R206" i="104"/>
  <c r="S206" i="104"/>
  <c r="U206" i="104"/>
  <c r="I206" i="104"/>
  <c r="J206" i="104"/>
  <c r="K206" i="104"/>
  <c r="H168" i="104"/>
  <c r="P168" i="104"/>
  <c r="E168" i="104"/>
  <c r="N168" i="104"/>
  <c r="O168" i="104"/>
  <c r="F168" i="104"/>
  <c r="Q168" i="104"/>
  <c r="G168" i="104"/>
  <c r="R168" i="104"/>
  <c r="I168" i="104"/>
  <c r="S168" i="104"/>
  <c r="V168" i="104"/>
  <c r="J168" i="104"/>
  <c r="K168" i="104"/>
  <c r="L168" i="104"/>
  <c r="M168" i="104"/>
  <c r="T168" i="104"/>
  <c r="U168" i="104"/>
  <c r="F169" i="104"/>
  <c r="N169" i="104"/>
  <c r="V169" i="104"/>
  <c r="E169" i="104"/>
  <c r="O169" i="104"/>
  <c r="H169" i="104"/>
  <c r="R169" i="104"/>
  <c r="I169" i="104"/>
  <c r="S169" i="104"/>
  <c r="J169" i="104"/>
  <c r="T169" i="104"/>
  <c r="K169" i="104"/>
  <c r="U169" i="104"/>
  <c r="G169" i="104"/>
  <c r="P169" i="104"/>
  <c r="Q169" i="104"/>
  <c r="L169" i="104"/>
  <c r="M169" i="104"/>
  <c r="O94" i="3"/>
  <c r="N93" i="3"/>
  <c r="M94" i="3"/>
  <c r="D77" i="196" s="1"/>
  <c r="N95" i="3"/>
  <c r="N94" i="3"/>
  <c r="AJ77" i="135"/>
  <c r="E108" i="135" s="1"/>
  <c r="K108" i="135" s="1"/>
  <c r="AJ81" i="135"/>
  <c r="E112" i="135" s="1"/>
  <c r="K112" i="135" s="1"/>
  <c r="AK82" i="149"/>
  <c r="E113" i="149" s="1"/>
  <c r="K113" i="149" s="1"/>
  <c r="AK78" i="149"/>
  <c r="E109" i="149" s="1"/>
  <c r="K109" i="149" s="1"/>
  <c r="AL82" i="149"/>
  <c r="F113" i="149" s="1"/>
  <c r="L113" i="149" s="1"/>
  <c r="AL78" i="149"/>
  <c r="F109" i="149" s="1"/>
  <c r="L109" i="149" s="1"/>
  <c r="AL89" i="149"/>
  <c r="F120" i="149" s="1"/>
  <c r="L120" i="149" s="1"/>
  <c r="AL93" i="149"/>
  <c r="F124" i="149" s="1"/>
  <c r="L124" i="149" s="1"/>
  <c r="AL117" i="149"/>
  <c r="F148" i="149" s="1"/>
  <c r="L148" i="149" s="1"/>
  <c r="AL121" i="149"/>
  <c r="F152" i="149" s="1"/>
  <c r="L152" i="149" s="1"/>
  <c r="AL125" i="149"/>
  <c r="F156" i="149" s="1"/>
  <c r="L156" i="149" s="1"/>
  <c r="AL129" i="149"/>
  <c r="F160" i="149" s="1"/>
  <c r="L160" i="149" s="1"/>
  <c r="AL133" i="149"/>
  <c r="F164" i="149" s="1"/>
  <c r="L164" i="149" s="1"/>
  <c r="AL137" i="149"/>
  <c r="F168" i="149" s="1"/>
  <c r="L168" i="149" s="1"/>
  <c r="AL141" i="149"/>
  <c r="F172" i="149" s="1"/>
  <c r="L172" i="149" s="1"/>
  <c r="AL145" i="149"/>
  <c r="F176" i="149" s="1"/>
  <c r="L176" i="149" s="1"/>
  <c r="AL149" i="149"/>
  <c r="F180" i="149" s="1"/>
  <c r="L180" i="149" s="1"/>
  <c r="AL97" i="149"/>
  <c r="F128" i="149" s="1"/>
  <c r="L128" i="149" s="1"/>
  <c r="AL101" i="149"/>
  <c r="F132" i="149" s="1"/>
  <c r="L132" i="149" s="1"/>
  <c r="AL105" i="149"/>
  <c r="F136" i="149" s="1"/>
  <c r="L136" i="149" s="1"/>
  <c r="AL109" i="149"/>
  <c r="F140" i="149" s="1"/>
  <c r="L140" i="149" s="1"/>
  <c r="AL113" i="149"/>
  <c r="F144" i="149" s="1"/>
  <c r="AL96" i="149"/>
  <c r="F127" i="149" s="1"/>
  <c r="L127" i="149" s="1"/>
  <c r="AL100" i="149"/>
  <c r="F131" i="149" s="1"/>
  <c r="L131" i="149" s="1"/>
  <c r="AL104" i="149"/>
  <c r="F135" i="149" s="1"/>
  <c r="L135" i="149" s="1"/>
  <c r="AL108" i="149"/>
  <c r="F139" i="149" s="1"/>
  <c r="L139" i="149" s="1"/>
  <c r="AL112" i="149"/>
  <c r="F143" i="149" s="1"/>
  <c r="AL88" i="149"/>
  <c r="F119" i="149" s="1"/>
  <c r="L119" i="149" s="1"/>
  <c r="AL92" i="149"/>
  <c r="F123" i="149" s="1"/>
  <c r="L123" i="149" s="1"/>
  <c r="AL116" i="149"/>
  <c r="F147" i="149" s="1"/>
  <c r="L147" i="149" s="1"/>
  <c r="AL120" i="149"/>
  <c r="F151" i="149" s="1"/>
  <c r="L151" i="149" s="1"/>
  <c r="AL124" i="149"/>
  <c r="F155" i="149" s="1"/>
  <c r="L155" i="149" s="1"/>
  <c r="AL128" i="149"/>
  <c r="F159" i="149" s="1"/>
  <c r="L159" i="149" s="1"/>
  <c r="AL132" i="149"/>
  <c r="F163" i="149" s="1"/>
  <c r="L163" i="149" s="1"/>
  <c r="AL136" i="149"/>
  <c r="F167" i="149" s="1"/>
  <c r="L167" i="149" s="1"/>
  <c r="AL140" i="149"/>
  <c r="F171" i="149" s="1"/>
  <c r="L171" i="149" s="1"/>
  <c r="AL144" i="149"/>
  <c r="F175" i="149" s="1"/>
  <c r="L175" i="149" s="1"/>
  <c r="AL148" i="149"/>
  <c r="F179" i="149" s="1"/>
  <c r="L179" i="149" s="1"/>
  <c r="AK96" i="149"/>
  <c r="E127" i="149" s="1"/>
  <c r="K127" i="149" s="1"/>
  <c r="AK100" i="149"/>
  <c r="E131" i="149" s="1"/>
  <c r="K131" i="149" s="1"/>
  <c r="AK104" i="149"/>
  <c r="E135" i="149" s="1"/>
  <c r="K135" i="149" s="1"/>
  <c r="AK108" i="149"/>
  <c r="E139" i="149" s="1"/>
  <c r="K139" i="149" s="1"/>
  <c r="AK112" i="149"/>
  <c r="E143" i="149" s="1"/>
  <c r="AK97" i="149"/>
  <c r="E128" i="149" s="1"/>
  <c r="K128" i="149" s="1"/>
  <c r="AK101" i="149"/>
  <c r="E132" i="149" s="1"/>
  <c r="K132" i="149" s="1"/>
  <c r="AK105" i="149"/>
  <c r="E136" i="149" s="1"/>
  <c r="K136" i="149" s="1"/>
  <c r="AK109" i="149"/>
  <c r="E140" i="149" s="1"/>
  <c r="K140" i="149" s="1"/>
  <c r="AK113" i="149"/>
  <c r="E144" i="149" s="1"/>
  <c r="AK88" i="149"/>
  <c r="E119" i="149" s="1"/>
  <c r="K119" i="149" s="1"/>
  <c r="AK92" i="149"/>
  <c r="E123" i="149" s="1"/>
  <c r="K123" i="149" s="1"/>
  <c r="AK116" i="149"/>
  <c r="E147" i="149" s="1"/>
  <c r="K147" i="149" s="1"/>
  <c r="AK124" i="149"/>
  <c r="E155" i="149" s="1"/>
  <c r="K155" i="149" s="1"/>
  <c r="AK128" i="149"/>
  <c r="E159" i="149" s="1"/>
  <c r="K159" i="149" s="1"/>
  <c r="AK132" i="149"/>
  <c r="E163" i="149" s="1"/>
  <c r="K163" i="149" s="1"/>
  <c r="AK136" i="149"/>
  <c r="E167" i="149" s="1"/>
  <c r="K167" i="149" s="1"/>
  <c r="AK140" i="149"/>
  <c r="E171" i="149" s="1"/>
  <c r="K171" i="149" s="1"/>
  <c r="AK144" i="149"/>
  <c r="E175" i="149" s="1"/>
  <c r="K175" i="149" s="1"/>
  <c r="AK148" i="149"/>
  <c r="E179" i="149" s="1"/>
  <c r="K179" i="149" s="1"/>
  <c r="AK120" i="149"/>
  <c r="E151" i="149" s="1"/>
  <c r="K151" i="149" s="1"/>
  <c r="AK89" i="149"/>
  <c r="E120" i="149" s="1"/>
  <c r="K120" i="149" s="1"/>
  <c r="AK93" i="149"/>
  <c r="E124" i="149" s="1"/>
  <c r="K124" i="149" s="1"/>
  <c r="AK117" i="149"/>
  <c r="E148" i="149" s="1"/>
  <c r="K148" i="149" s="1"/>
  <c r="AK121" i="149"/>
  <c r="E152" i="149" s="1"/>
  <c r="K152" i="149" s="1"/>
  <c r="AK125" i="149"/>
  <c r="E156" i="149" s="1"/>
  <c r="K156" i="149" s="1"/>
  <c r="AK129" i="149"/>
  <c r="E160" i="149" s="1"/>
  <c r="K160" i="149" s="1"/>
  <c r="AK133" i="149"/>
  <c r="E164" i="149" s="1"/>
  <c r="K164" i="149" s="1"/>
  <c r="AK137" i="149"/>
  <c r="E168" i="149" s="1"/>
  <c r="K168" i="149" s="1"/>
  <c r="AK141" i="149"/>
  <c r="E172" i="149" s="1"/>
  <c r="K172" i="149" s="1"/>
  <c r="AK145" i="149"/>
  <c r="E176" i="149" s="1"/>
  <c r="K176" i="149" s="1"/>
  <c r="AK149" i="149"/>
  <c r="E180" i="149" s="1"/>
  <c r="K180" i="149" s="1"/>
  <c r="U75" i="153"/>
  <c r="AA65" i="153"/>
  <c r="AD3" i="153" s="1"/>
  <c r="H154" i="117"/>
  <c r="K4" i="117" s="1"/>
  <c r="AK81" i="135"/>
  <c r="F112" i="135" s="1"/>
  <c r="L112" i="135" s="1"/>
  <c r="BW32" i="84"/>
  <c r="O265" i="84"/>
  <c r="P265" i="84"/>
  <c r="P238" i="84"/>
  <c r="BZ29" i="84"/>
  <c r="AB29" i="84"/>
  <c r="U29" i="84"/>
  <c r="X309" i="84"/>
  <c r="V309" i="84"/>
  <c r="T309" i="84"/>
  <c r="R309" i="84"/>
  <c r="AD309" i="84"/>
  <c r="AB309" i="84"/>
  <c r="Z309" i="84"/>
  <c r="AC309" i="84"/>
  <c r="AA309" i="84"/>
  <c r="Y309" i="84"/>
  <c r="W309" i="84"/>
  <c r="U309" i="84"/>
  <c r="S309" i="84"/>
  <c r="Q309" i="84"/>
  <c r="AE309" i="84"/>
  <c r="F253" i="84"/>
  <c r="BZ44" i="84"/>
  <c r="AB44" i="84"/>
  <c r="U44" i="84"/>
  <c r="W324" i="84"/>
  <c r="U324" i="84"/>
  <c r="S324" i="84"/>
  <c r="Q324" i="84"/>
  <c r="AE324" i="84"/>
  <c r="AC324" i="84"/>
  <c r="AD324" i="84"/>
  <c r="AA324" i="84"/>
  <c r="Y324" i="84"/>
  <c r="AB324" i="84"/>
  <c r="Z324" i="84"/>
  <c r="X324" i="84"/>
  <c r="V324" i="84"/>
  <c r="T324" i="84"/>
  <c r="R324" i="84"/>
  <c r="W308" i="84"/>
  <c r="U308" i="84"/>
  <c r="S308" i="84"/>
  <c r="Q308" i="84"/>
  <c r="AE308" i="84"/>
  <c r="AC308" i="84"/>
  <c r="AA308" i="84"/>
  <c r="Y308" i="84"/>
  <c r="AB308" i="84"/>
  <c r="Z308" i="84"/>
  <c r="X308" i="84"/>
  <c r="V308" i="84"/>
  <c r="T308" i="84"/>
  <c r="R308" i="84"/>
  <c r="AD308" i="84"/>
  <c r="W292" i="84"/>
  <c r="U292" i="84"/>
  <c r="S292" i="84"/>
  <c r="Q292" i="84"/>
  <c r="AE292" i="84"/>
  <c r="AC292" i="84"/>
  <c r="AA292" i="84"/>
  <c r="Y292" i="84"/>
  <c r="AB292" i="84"/>
  <c r="Z292" i="84"/>
  <c r="X292" i="84"/>
  <c r="V292" i="84"/>
  <c r="T292" i="84"/>
  <c r="R292" i="84"/>
  <c r="AD292" i="84"/>
  <c r="F276" i="84"/>
  <c r="BZ67" i="84"/>
  <c r="U67" i="84"/>
  <c r="AB67" i="84"/>
  <c r="F260" i="84"/>
  <c r="BZ51" i="84"/>
  <c r="U51" i="84"/>
  <c r="AB51" i="84"/>
  <c r="F244" i="84"/>
  <c r="BZ35" i="84"/>
  <c r="U35" i="84"/>
  <c r="AB35" i="84"/>
  <c r="AB297" i="84"/>
  <c r="Z297" i="84"/>
  <c r="X297" i="84"/>
  <c r="V297" i="84"/>
  <c r="T297" i="84"/>
  <c r="R297" i="84"/>
  <c r="AD297" i="84"/>
  <c r="Q297" i="84"/>
  <c r="AE297" i="84"/>
  <c r="AC297" i="84"/>
  <c r="AA297" i="84"/>
  <c r="Y297" i="84"/>
  <c r="W297" i="84"/>
  <c r="U297" i="84"/>
  <c r="S297" i="84"/>
  <c r="F265" i="84"/>
  <c r="BZ56" i="84"/>
  <c r="U56" i="84"/>
  <c r="AB56" i="84"/>
  <c r="X293" i="84"/>
  <c r="V293" i="84"/>
  <c r="T293" i="84"/>
  <c r="R293" i="84"/>
  <c r="AD293" i="84"/>
  <c r="AB293" i="84"/>
  <c r="Z293" i="84"/>
  <c r="AC293" i="84"/>
  <c r="AA293" i="84"/>
  <c r="Y293" i="84"/>
  <c r="W293" i="84"/>
  <c r="U293" i="84"/>
  <c r="S293" i="84"/>
  <c r="Q293" i="84"/>
  <c r="AE293" i="84"/>
  <c r="R303" i="84"/>
  <c r="AD303" i="84"/>
  <c r="AB303" i="84"/>
  <c r="Z303" i="84"/>
  <c r="X303" i="84"/>
  <c r="V303" i="84"/>
  <c r="T303" i="84"/>
  <c r="W303" i="84"/>
  <c r="U303" i="84"/>
  <c r="S303" i="84"/>
  <c r="Q303" i="84"/>
  <c r="AE303" i="84"/>
  <c r="AC303" i="84"/>
  <c r="AA303" i="84"/>
  <c r="Y303" i="84"/>
  <c r="F239" i="84"/>
  <c r="BZ30" i="84"/>
  <c r="U30" i="84"/>
  <c r="AB30" i="84"/>
  <c r="Q318" i="84"/>
  <c r="AE318" i="84"/>
  <c r="AC318" i="84"/>
  <c r="AA318" i="84"/>
  <c r="Y318" i="84"/>
  <c r="W318" i="84"/>
  <c r="U318" i="84"/>
  <c r="S318" i="84"/>
  <c r="V318" i="84"/>
  <c r="T318" i="84"/>
  <c r="R318" i="84"/>
  <c r="AD318" i="84"/>
  <c r="AB318" i="84"/>
  <c r="Z318" i="84"/>
  <c r="X318" i="84"/>
  <c r="Q302" i="84"/>
  <c r="AE302" i="84"/>
  <c r="AC302" i="84"/>
  <c r="AA302" i="84"/>
  <c r="Y302" i="84"/>
  <c r="W302" i="84"/>
  <c r="U302" i="84"/>
  <c r="S302" i="84"/>
  <c r="V302" i="84"/>
  <c r="T302" i="84"/>
  <c r="R302" i="84"/>
  <c r="AD302" i="84"/>
  <c r="AB302" i="84"/>
  <c r="Z302" i="84"/>
  <c r="X302" i="84"/>
  <c r="F286" i="84"/>
  <c r="BZ77" i="84"/>
  <c r="U77" i="84"/>
  <c r="AB77" i="84"/>
  <c r="F270" i="84"/>
  <c r="BZ61" i="84"/>
  <c r="U61" i="84"/>
  <c r="AB61" i="84"/>
  <c r="F254" i="84"/>
  <c r="BZ45" i="84"/>
  <c r="U45" i="84"/>
  <c r="AB45" i="84"/>
  <c r="Z311" i="84"/>
  <c r="X311" i="84"/>
  <c r="V311" i="84"/>
  <c r="T311" i="84"/>
  <c r="R311" i="84"/>
  <c r="AD311" i="84"/>
  <c r="AB311" i="84"/>
  <c r="AE311" i="84"/>
  <c r="AC311" i="84"/>
  <c r="AA311" i="84"/>
  <c r="Y311" i="84"/>
  <c r="W311" i="84"/>
  <c r="U311" i="84"/>
  <c r="S311" i="84"/>
  <c r="Q311" i="84"/>
  <c r="F247" i="84"/>
  <c r="BZ38" i="84"/>
  <c r="U38" i="84"/>
  <c r="AB38" i="84"/>
  <c r="AD299" i="84"/>
  <c r="AB299" i="84"/>
  <c r="Z299" i="84"/>
  <c r="X299" i="84"/>
  <c r="V299" i="84"/>
  <c r="T299" i="84"/>
  <c r="R299" i="84"/>
  <c r="S299" i="84"/>
  <c r="Q299" i="84"/>
  <c r="AE299" i="84"/>
  <c r="AC299" i="84"/>
  <c r="AA299" i="84"/>
  <c r="Y299" i="84"/>
  <c r="W299" i="84"/>
  <c r="U299" i="84"/>
  <c r="F267" i="84"/>
  <c r="BZ58" i="84"/>
  <c r="U58" i="84"/>
  <c r="AB58" i="84"/>
  <c r="AD301" i="84"/>
  <c r="AB301" i="84"/>
  <c r="Z301" i="84"/>
  <c r="X301" i="84"/>
  <c r="V301" i="84"/>
  <c r="T301" i="84"/>
  <c r="R301" i="84"/>
  <c r="U301" i="84"/>
  <c r="S301" i="84"/>
  <c r="Q301" i="84"/>
  <c r="AE301" i="84"/>
  <c r="AC301" i="84"/>
  <c r="AA301" i="84"/>
  <c r="Y301" i="84"/>
  <c r="W301" i="84"/>
  <c r="S320" i="84"/>
  <c r="Q320" i="84"/>
  <c r="AE320" i="84"/>
  <c r="AC320" i="84"/>
  <c r="AA320" i="84"/>
  <c r="Y320" i="84"/>
  <c r="W320" i="84"/>
  <c r="U320" i="84"/>
  <c r="X320" i="84"/>
  <c r="V320" i="84"/>
  <c r="T320" i="84"/>
  <c r="R320" i="84"/>
  <c r="AD320" i="84"/>
  <c r="AB320" i="84"/>
  <c r="Z320" i="84"/>
  <c r="S304" i="84"/>
  <c r="Q304" i="84"/>
  <c r="AE304" i="84"/>
  <c r="AC304" i="84"/>
  <c r="AA304" i="84"/>
  <c r="Y304" i="84"/>
  <c r="W304" i="84"/>
  <c r="U304" i="84"/>
  <c r="X304" i="84"/>
  <c r="V304" i="84"/>
  <c r="T304" i="84"/>
  <c r="R304" i="84"/>
  <c r="AD304" i="84"/>
  <c r="AB304" i="84"/>
  <c r="Z304" i="84"/>
  <c r="F288" i="84"/>
  <c r="BZ79" i="84"/>
  <c r="AB79" i="84"/>
  <c r="U79" i="84"/>
  <c r="F272" i="84"/>
  <c r="BZ63" i="84"/>
  <c r="AB63" i="84"/>
  <c r="U63" i="84"/>
  <c r="F256" i="84"/>
  <c r="BZ47" i="84"/>
  <c r="AB47" i="84"/>
  <c r="U47" i="84"/>
  <c r="F240" i="84"/>
  <c r="BZ31" i="84"/>
  <c r="U31" i="84"/>
  <c r="AB31" i="84"/>
  <c r="T321" i="84"/>
  <c r="R321" i="84"/>
  <c r="AD321" i="84"/>
  <c r="AB321" i="84"/>
  <c r="Z321" i="84"/>
  <c r="X321" i="84"/>
  <c r="V321" i="84"/>
  <c r="Y321" i="84"/>
  <c r="W321" i="84"/>
  <c r="U321" i="84"/>
  <c r="S321" i="84"/>
  <c r="Q321" i="84"/>
  <c r="AE321" i="84"/>
  <c r="AC321" i="84"/>
  <c r="AA321" i="84"/>
  <c r="F289" i="84"/>
  <c r="BZ80" i="84"/>
  <c r="AB80" i="84"/>
  <c r="U80" i="84"/>
  <c r="F257" i="84"/>
  <c r="BZ48" i="84"/>
  <c r="U48" i="84"/>
  <c r="AB48" i="84"/>
  <c r="F277" i="84"/>
  <c r="BZ68" i="84"/>
  <c r="AB68" i="84"/>
  <c r="U68" i="84"/>
  <c r="F287" i="84"/>
  <c r="BZ78" i="84"/>
  <c r="U78" i="84"/>
  <c r="AB78" i="84"/>
  <c r="AC314" i="84"/>
  <c r="AA314" i="84"/>
  <c r="Y314" i="84"/>
  <c r="W314" i="84"/>
  <c r="U314" i="84"/>
  <c r="S314" i="84"/>
  <c r="Q314" i="84"/>
  <c r="AE314" i="84"/>
  <c r="R314" i="84"/>
  <c r="AD314" i="84"/>
  <c r="AB314" i="84"/>
  <c r="Z314" i="84"/>
  <c r="X314" i="84"/>
  <c r="V314" i="84"/>
  <c r="T314" i="84"/>
  <c r="AC298" i="84"/>
  <c r="AA298" i="84"/>
  <c r="Y298" i="84"/>
  <c r="W298" i="84"/>
  <c r="U298" i="84"/>
  <c r="S298" i="84"/>
  <c r="Q298" i="84"/>
  <c r="AE298" i="84"/>
  <c r="R298" i="84"/>
  <c r="AD298" i="84"/>
  <c r="AB298" i="84"/>
  <c r="Z298" i="84"/>
  <c r="X298" i="84"/>
  <c r="V298" i="84"/>
  <c r="T298" i="84"/>
  <c r="F282" i="84"/>
  <c r="BZ73" i="84"/>
  <c r="AB73" i="84"/>
  <c r="U73" i="84"/>
  <c r="F266" i="84"/>
  <c r="BZ57" i="84"/>
  <c r="AB57" i="84"/>
  <c r="U57" i="84"/>
  <c r="F250" i="84"/>
  <c r="BZ41" i="84"/>
  <c r="U41" i="84"/>
  <c r="AB41" i="84"/>
  <c r="Z295" i="84"/>
  <c r="X295" i="84"/>
  <c r="V295" i="84"/>
  <c r="T295" i="84"/>
  <c r="R295" i="84"/>
  <c r="AD295" i="84"/>
  <c r="AB295" i="84"/>
  <c r="AE295" i="84"/>
  <c r="AC295" i="84"/>
  <c r="AA295" i="84"/>
  <c r="Y295" i="84"/>
  <c r="W295" i="84"/>
  <c r="U295" i="84"/>
  <c r="S295" i="84"/>
  <c r="Q295" i="84"/>
  <c r="V323" i="84"/>
  <c r="T323" i="84"/>
  <c r="R323" i="84"/>
  <c r="AD323" i="84"/>
  <c r="AB323" i="84"/>
  <c r="Z323" i="84"/>
  <c r="X323" i="84"/>
  <c r="AA323" i="84"/>
  <c r="Y323" i="84"/>
  <c r="W323" i="84"/>
  <c r="U323" i="84"/>
  <c r="S323" i="84"/>
  <c r="Q323" i="84"/>
  <c r="AE323" i="84"/>
  <c r="AC323" i="84"/>
  <c r="V291" i="84"/>
  <c r="T291" i="84"/>
  <c r="R291" i="84"/>
  <c r="AD291" i="84"/>
  <c r="AB291" i="84"/>
  <c r="Z291" i="84"/>
  <c r="X291" i="84"/>
  <c r="AA291" i="84"/>
  <c r="Y291" i="84"/>
  <c r="W291" i="84"/>
  <c r="U291" i="84"/>
  <c r="S291" i="84"/>
  <c r="Q291" i="84"/>
  <c r="AE291" i="84"/>
  <c r="AC291" i="84"/>
  <c r="F259" i="84"/>
  <c r="BZ50" i="84"/>
  <c r="AB50" i="84"/>
  <c r="U50" i="84"/>
  <c r="F285" i="84"/>
  <c r="BZ76" i="84"/>
  <c r="AB76" i="84"/>
  <c r="U76" i="84"/>
  <c r="AE316" i="84"/>
  <c r="AC316" i="84"/>
  <c r="AA316" i="84"/>
  <c r="Y316" i="84"/>
  <c r="W316" i="84"/>
  <c r="U316" i="84"/>
  <c r="S316" i="84"/>
  <c r="Q316" i="84"/>
  <c r="T316" i="84"/>
  <c r="R316" i="84"/>
  <c r="AD316" i="84"/>
  <c r="AB316" i="84"/>
  <c r="Z316" i="84"/>
  <c r="X316" i="84"/>
  <c r="V316" i="84"/>
  <c r="AE300" i="84"/>
  <c r="AC300" i="84"/>
  <c r="AA300" i="84"/>
  <c r="Y300" i="84"/>
  <c r="W300" i="84"/>
  <c r="U300" i="84"/>
  <c r="S300" i="84"/>
  <c r="Q300" i="84"/>
  <c r="T300" i="84"/>
  <c r="R300" i="84"/>
  <c r="AD300" i="84"/>
  <c r="AB300" i="84"/>
  <c r="Z300" i="84"/>
  <c r="X300" i="84"/>
  <c r="V300" i="84"/>
  <c r="F284" i="84"/>
  <c r="BZ75" i="84"/>
  <c r="AB75" i="84"/>
  <c r="U75" i="84"/>
  <c r="F268" i="84"/>
  <c r="BZ59" i="84"/>
  <c r="AB59" i="84"/>
  <c r="U59" i="84"/>
  <c r="F252" i="84"/>
  <c r="BZ43" i="84"/>
  <c r="U43" i="84"/>
  <c r="AB43" i="84"/>
  <c r="AB313" i="84"/>
  <c r="Z313" i="84"/>
  <c r="X313" i="84"/>
  <c r="V313" i="84"/>
  <c r="T313" i="84"/>
  <c r="R313" i="84"/>
  <c r="AD313" i="84"/>
  <c r="Q313" i="84"/>
  <c r="AE313" i="84"/>
  <c r="AC313" i="84"/>
  <c r="AA313" i="84"/>
  <c r="Y313" i="84"/>
  <c r="W313" i="84"/>
  <c r="U313" i="84"/>
  <c r="S313" i="84"/>
  <c r="F281" i="84"/>
  <c r="BZ72" i="84"/>
  <c r="U72" i="84"/>
  <c r="AB72" i="84"/>
  <c r="F249" i="84"/>
  <c r="BZ40" i="84"/>
  <c r="U40" i="84"/>
  <c r="AB40" i="84"/>
  <c r="F261" i="84"/>
  <c r="BZ52" i="84"/>
  <c r="AB52" i="84"/>
  <c r="U52" i="84"/>
  <c r="F271" i="84"/>
  <c r="BZ62" i="84"/>
  <c r="AB62" i="84"/>
  <c r="U62" i="84"/>
  <c r="Y310" i="84"/>
  <c r="W310" i="84"/>
  <c r="U310" i="84"/>
  <c r="S310" i="84"/>
  <c r="Q310" i="84"/>
  <c r="AE310" i="84"/>
  <c r="AC310" i="84"/>
  <c r="AA310" i="84"/>
  <c r="AD310" i="84"/>
  <c r="AB310" i="84"/>
  <c r="Z310" i="84"/>
  <c r="X310" i="84"/>
  <c r="V310" i="84"/>
  <c r="T310" i="84"/>
  <c r="R310" i="84"/>
  <c r="Y294" i="84"/>
  <c r="W294" i="84"/>
  <c r="U294" i="84"/>
  <c r="S294" i="84"/>
  <c r="Q294" i="84"/>
  <c r="AE294" i="84"/>
  <c r="AC294" i="84"/>
  <c r="AA294" i="84"/>
  <c r="AD294" i="84"/>
  <c r="AB294" i="84"/>
  <c r="Z294" i="84"/>
  <c r="X294" i="84"/>
  <c r="V294" i="84"/>
  <c r="T294" i="84"/>
  <c r="R294" i="84"/>
  <c r="F278" i="84"/>
  <c r="BZ69" i="84"/>
  <c r="AB69" i="84"/>
  <c r="U69" i="84"/>
  <c r="F262" i="84"/>
  <c r="BZ53" i="84"/>
  <c r="U53" i="84"/>
  <c r="AB53" i="84"/>
  <c r="F246" i="84"/>
  <c r="BZ37" i="84"/>
  <c r="U37" i="84"/>
  <c r="AB37" i="84"/>
  <c r="F279" i="84"/>
  <c r="BZ70" i="84"/>
  <c r="U70" i="84"/>
  <c r="AB70" i="84"/>
  <c r="AD315" i="84"/>
  <c r="AB315" i="84"/>
  <c r="Z315" i="84"/>
  <c r="X315" i="84"/>
  <c r="V315" i="84"/>
  <c r="T315" i="84"/>
  <c r="R315" i="84"/>
  <c r="S315" i="84"/>
  <c r="Q315" i="84"/>
  <c r="AE315" i="84"/>
  <c r="AC315" i="84"/>
  <c r="AA315" i="84"/>
  <c r="Y315" i="84"/>
  <c r="W315" i="84"/>
  <c r="U315" i="84"/>
  <c r="F283" i="84"/>
  <c r="BZ74" i="84"/>
  <c r="AB74" i="84"/>
  <c r="U74" i="84"/>
  <c r="F251" i="84"/>
  <c r="BZ42" i="84"/>
  <c r="U42" i="84"/>
  <c r="AB42" i="84"/>
  <c r="AD317" i="84"/>
  <c r="AB317" i="84"/>
  <c r="Z317" i="84"/>
  <c r="X317" i="84"/>
  <c r="V317" i="84"/>
  <c r="T317" i="84"/>
  <c r="R317" i="84"/>
  <c r="U317" i="84"/>
  <c r="S317" i="84"/>
  <c r="Q317" i="84"/>
  <c r="AE317" i="84"/>
  <c r="AC317" i="84"/>
  <c r="AA317" i="84"/>
  <c r="Y317" i="84"/>
  <c r="W317" i="84"/>
  <c r="F269" i="84"/>
  <c r="BZ60" i="84"/>
  <c r="U60" i="84"/>
  <c r="AB60" i="84"/>
  <c r="AA312" i="84"/>
  <c r="Y312" i="84"/>
  <c r="W312" i="84"/>
  <c r="U312" i="84"/>
  <c r="S312" i="84"/>
  <c r="Q312" i="84"/>
  <c r="AE312" i="84"/>
  <c r="AC312" i="84"/>
  <c r="AD312" i="84"/>
  <c r="AB312" i="84"/>
  <c r="Z312" i="84"/>
  <c r="X312" i="84"/>
  <c r="V312" i="84"/>
  <c r="T312" i="84"/>
  <c r="R312" i="84"/>
  <c r="AA296" i="84"/>
  <c r="Y296" i="84"/>
  <c r="W296" i="84"/>
  <c r="U296" i="84"/>
  <c r="S296" i="84"/>
  <c r="Q296" i="84"/>
  <c r="AE296" i="84"/>
  <c r="AC296" i="84"/>
  <c r="AD296" i="84"/>
  <c r="AB296" i="84"/>
  <c r="Z296" i="84"/>
  <c r="X296" i="84"/>
  <c r="V296" i="84"/>
  <c r="T296" i="84"/>
  <c r="R296" i="84"/>
  <c r="F280" i="84"/>
  <c r="BZ71" i="84"/>
  <c r="AB71" i="84"/>
  <c r="U71" i="84"/>
  <c r="F264" i="84"/>
  <c r="BZ55" i="84"/>
  <c r="AB55" i="84"/>
  <c r="U55" i="84"/>
  <c r="F248" i="84"/>
  <c r="BZ39" i="84"/>
  <c r="AB39" i="84"/>
  <c r="U39" i="84"/>
  <c r="T305" i="84"/>
  <c r="R305" i="84"/>
  <c r="AD305" i="84"/>
  <c r="AB305" i="84"/>
  <c r="Z305" i="84"/>
  <c r="X305" i="84"/>
  <c r="V305" i="84"/>
  <c r="Y305" i="84"/>
  <c r="W305" i="84"/>
  <c r="U305" i="84"/>
  <c r="S305" i="84"/>
  <c r="Q305" i="84"/>
  <c r="AE305" i="84"/>
  <c r="AC305" i="84"/>
  <c r="AA305" i="84"/>
  <c r="F273" i="84"/>
  <c r="BZ64" i="84"/>
  <c r="AB64" i="84"/>
  <c r="U64" i="84"/>
  <c r="F241" i="84"/>
  <c r="BZ32" i="84"/>
  <c r="P32" i="84"/>
  <c r="L241" i="84" s="1"/>
  <c r="AB32" i="84"/>
  <c r="J241" i="84" s="1"/>
  <c r="Y32" i="84"/>
  <c r="X325" i="84"/>
  <c r="V325" i="84"/>
  <c r="T325" i="84"/>
  <c r="R325" i="84"/>
  <c r="AD325" i="84"/>
  <c r="AE325" i="84"/>
  <c r="AB325" i="84"/>
  <c r="Z325" i="84"/>
  <c r="AC325" i="84"/>
  <c r="AA325" i="84"/>
  <c r="Y325" i="84"/>
  <c r="W325" i="84"/>
  <c r="U325" i="84"/>
  <c r="S325" i="84"/>
  <c r="Q325" i="84"/>
  <c r="F245" i="84"/>
  <c r="BZ36" i="84"/>
  <c r="AB36" i="84"/>
  <c r="U36" i="84"/>
  <c r="R319" i="84"/>
  <c r="AD319" i="84"/>
  <c r="AB319" i="84"/>
  <c r="Z319" i="84"/>
  <c r="X319" i="84"/>
  <c r="V319" i="84"/>
  <c r="T319" i="84"/>
  <c r="W319" i="84"/>
  <c r="U319" i="84"/>
  <c r="S319" i="84"/>
  <c r="Q319" i="84"/>
  <c r="AE319" i="84"/>
  <c r="AC319" i="84"/>
  <c r="AA319" i="84"/>
  <c r="Y319" i="84"/>
  <c r="F255" i="84"/>
  <c r="BZ46" i="84"/>
  <c r="U46" i="84"/>
  <c r="AB46" i="84"/>
  <c r="U322" i="84"/>
  <c r="S322" i="84"/>
  <c r="Q322" i="84"/>
  <c r="AE322" i="84"/>
  <c r="AC322" i="84"/>
  <c r="AA322" i="84"/>
  <c r="Y322" i="84"/>
  <c r="W322" i="84"/>
  <c r="Z322" i="84"/>
  <c r="X322" i="84"/>
  <c r="V322" i="84"/>
  <c r="T322" i="84"/>
  <c r="R322" i="84"/>
  <c r="AD322" i="84"/>
  <c r="AB322" i="84"/>
  <c r="U306" i="84"/>
  <c r="S306" i="84"/>
  <c r="Q306" i="84"/>
  <c r="AE306" i="84"/>
  <c r="AC306" i="84"/>
  <c r="AA306" i="84"/>
  <c r="Y306" i="84"/>
  <c r="W306" i="84"/>
  <c r="Z306" i="84"/>
  <c r="X306" i="84"/>
  <c r="V306" i="84"/>
  <c r="T306" i="84"/>
  <c r="R306" i="84"/>
  <c r="AD306" i="84"/>
  <c r="AB306" i="84"/>
  <c r="F290" i="84"/>
  <c r="BZ81" i="84"/>
  <c r="U81" i="84"/>
  <c r="AB81" i="84"/>
  <c r="F274" i="84"/>
  <c r="BZ65" i="84"/>
  <c r="AB65" i="84"/>
  <c r="U65" i="84"/>
  <c r="F258" i="84"/>
  <c r="BZ49" i="84"/>
  <c r="U49" i="84"/>
  <c r="AB49" i="84"/>
  <c r="F242" i="84"/>
  <c r="BZ33" i="84"/>
  <c r="AB33" i="84"/>
  <c r="U33" i="84"/>
  <c r="F263" i="84"/>
  <c r="BZ54" i="84"/>
  <c r="AB54" i="84"/>
  <c r="U54" i="84"/>
  <c r="V307" i="84"/>
  <c r="T307" i="84"/>
  <c r="R307" i="84"/>
  <c r="AD307" i="84"/>
  <c r="AB307" i="84"/>
  <c r="Z307" i="84"/>
  <c r="X307" i="84"/>
  <c r="AA307" i="84"/>
  <c r="Y307" i="84"/>
  <c r="W307" i="84"/>
  <c r="U307" i="84"/>
  <c r="S307" i="84"/>
  <c r="Q307" i="84"/>
  <c r="AE307" i="84"/>
  <c r="AC307" i="84"/>
  <c r="F275" i="84"/>
  <c r="BZ66" i="84"/>
  <c r="AB66" i="84"/>
  <c r="U66" i="84"/>
  <c r="F243" i="84"/>
  <c r="BZ34" i="84"/>
  <c r="U34" i="84"/>
  <c r="AB34" i="84"/>
  <c r="U23" i="84"/>
  <c r="AB23" i="84"/>
  <c r="U24" i="84"/>
  <c r="AB24" i="84"/>
  <c r="BW29" i="84"/>
  <c r="F238" i="84"/>
  <c r="U26" i="84"/>
  <c r="AB26" i="84"/>
  <c r="AB25" i="84"/>
  <c r="U25" i="84"/>
  <c r="U28" i="84"/>
  <c r="AB28" i="84"/>
  <c r="U22" i="84"/>
  <c r="AB22" i="84"/>
  <c r="U27" i="84"/>
  <c r="AB27" i="84"/>
  <c r="U21" i="84"/>
  <c r="AB21" i="84"/>
  <c r="AH23" i="84"/>
  <c r="P232" i="84" s="1"/>
  <c r="O232" i="84"/>
  <c r="O233" i="84"/>
  <c r="AH24" i="84"/>
  <c r="P233" i="84" s="1"/>
  <c r="O234" i="84"/>
  <c r="AH25" i="84"/>
  <c r="P234" i="84" s="1"/>
  <c r="AH28" i="84"/>
  <c r="P237" i="84" s="1"/>
  <c r="O237" i="84"/>
  <c r="AH21" i="84"/>
  <c r="AH27" i="84"/>
  <c r="CM27" i="84"/>
  <c r="L26" i="84"/>
  <c r="BW27" i="84"/>
  <c r="BZ24" i="84"/>
  <c r="AA233" i="84" s="1"/>
  <c r="BZ25" i="84"/>
  <c r="V234" i="84" s="1"/>
  <c r="BW21" i="84"/>
  <c r="BZ22" i="84"/>
  <c r="R231" i="84" s="1"/>
  <c r="BZ23" i="84"/>
  <c r="W232" i="84" s="1"/>
  <c r="BW28" i="84"/>
  <c r="BZ28" i="84"/>
  <c r="A38" i="101"/>
  <c r="BW22" i="84"/>
  <c r="BW25" i="84"/>
  <c r="BW24" i="84"/>
  <c r="BW23" i="84"/>
  <c r="BW26" i="84"/>
  <c r="L21" i="84"/>
  <c r="BZ27" i="84"/>
  <c r="L27" i="84"/>
  <c r="BZ26" i="84"/>
  <c r="G26" i="84"/>
  <c r="AG26" i="84" s="1"/>
  <c r="BZ21" i="84"/>
  <c r="F3" i="114"/>
  <c r="AJ96" i="135"/>
  <c r="E127" i="135" s="1"/>
  <c r="K127" i="135" s="1"/>
  <c r="G14" i="194" l="1"/>
  <c r="G65" i="194"/>
  <c r="G61" i="194"/>
  <c r="I66" i="227" s="1"/>
  <c r="O66" i="227" s="1"/>
  <c r="G52" i="194"/>
  <c r="F57" i="227" s="1"/>
  <c r="G62" i="194"/>
  <c r="I67" i="227" s="1"/>
  <c r="O67" i="227" s="1"/>
  <c r="G60" i="194"/>
  <c r="I65" i="227" s="1"/>
  <c r="O65" i="227" s="1"/>
  <c r="G36" i="194"/>
  <c r="I41" i="227" s="1"/>
  <c r="O41" i="227" s="1"/>
  <c r="L64" i="194" a="1"/>
  <c r="L64" i="194" s="1"/>
  <c r="L13" i="194" a="1"/>
  <c r="L13" i="194" s="1"/>
  <c r="L9" i="194" a="1"/>
  <c r="L9" i="194" s="1"/>
  <c r="F21" i="227"/>
  <c r="L55" i="194" a="1"/>
  <c r="L55" i="194" s="1"/>
  <c r="L11" i="194" a="1"/>
  <c r="L11" i="194" s="1"/>
  <c r="G34" i="194"/>
  <c r="I39" i="227" s="1"/>
  <c r="O39" i="227" s="1"/>
  <c r="G40" i="194"/>
  <c r="F45" i="227" s="1"/>
  <c r="G46" i="194"/>
  <c r="I51" i="227" s="1"/>
  <c r="O51" i="227" s="1"/>
  <c r="L45" i="194" a="1"/>
  <c r="L45" i="194" s="1"/>
  <c r="F14" i="227"/>
  <c r="F18" i="227"/>
  <c r="L43" i="194" a="1"/>
  <c r="L43" i="194" s="1"/>
  <c r="G16" i="194"/>
  <c r="I21" i="227" s="1"/>
  <c r="O21" i="227" s="1"/>
  <c r="G30" i="194"/>
  <c r="F35" i="227" s="1"/>
  <c r="G20" i="194"/>
  <c r="F25" i="227" s="1"/>
  <c r="G11" i="194"/>
  <c r="I16" i="227" s="1"/>
  <c r="O16" i="227" s="1"/>
  <c r="F19" i="227"/>
  <c r="A21" i="195" s="1"/>
  <c r="G33" i="194"/>
  <c r="I38" i="227" s="1"/>
  <c r="O38" i="227" s="1"/>
  <c r="G41" i="194"/>
  <c r="I46" i="227" s="1"/>
  <c r="O46" i="227" s="1"/>
  <c r="G47" i="194"/>
  <c r="I52" i="227" s="1"/>
  <c r="O52" i="227" s="1"/>
  <c r="G32" i="194"/>
  <c r="F37" i="227" s="1"/>
  <c r="G29" i="194"/>
  <c r="I34" i="227" s="1"/>
  <c r="O34" i="227" s="1"/>
  <c r="E26" i="194"/>
  <c r="L26" i="194" s="1" a="1"/>
  <c r="L26" i="194" s="1"/>
  <c r="L25" i="194" a="1"/>
  <c r="L25" i="194" s="1"/>
  <c r="G54" i="194"/>
  <c r="I59" i="227" s="1"/>
  <c r="O59" i="227" s="1"/>
  <c r="G57" i="194"/>
  <c r="I62" i="227" s="1"/>
  <c r="O62" i="227" s="1"/>
  <c r="A95" i="197"/>
  <c r="I89" i="233"/>
  <c r="I19" i="227"/>
  <c r="O19" i="227" s="1"/>
  <c r="I44" i="227"/>
  <c r="O44" i="227" s="1"/>
  <c r="L12" i="194" a="1"/>
  <c r="L12" i="194" s="1"/>
  <c r="G17" i="194"/>
  <c r="I22" i="227" s="1"/>
  <c r="O22" i="227" s="1"/>
  <c r="G66" i="194"/>
  <c r="F71" i="227" s="1"/>
  <c r="G24" i="194"/>
  <c r="G35" i="194"/>
  <c r="F22" i="227"/>
  <c r="L17" i="194" a="1"/>
  <c r="L17" i="194" s="1"/>
  <c r="G51" i="194"/>
  <c r="G44" i="194"/>
  <c r="G67" i="194"/>
  <c r="G42" i="194"/>
  <c r="E8" i="194"/>
  <c r="F17" i="227"/>
  <c r="G53" i="194"/>
  <c r="G37" i="194"/>
  <c r="L39" i="194" a="1"/>
  <c r="L39" i="194" s="1"/>
  <c r="I18" i="227"/>
  <c r="O18" i="227" s="1"/>
  <c r="I14" i="227"/>
  <c r="O14" i="227" s="1"/>
  <c r="G22" i="194"/>
  <c r="G9" i="196"/>
  <c r="I14" i="231" s="1"/>
  <c r="G12" i="196"/>
  <c r="I17" i="231" s="1"/>
  <c r="G47" i="196"/>
  <c r="G11" i="196"/>
  <c r="I16" i="231" s="1"/>
  <c r="O16" i="231" s="1"/>
  <c r="G57" i="196"/>
  <c r="G45" i="196"/>
  <c r="G39" i="196"/>
  <c r="G17" i="196"/>
  <c r="I22" i="231" s="1"/>
  <c r="O22" i="231" s="1"/>
  <c r="G30" i="196"/>
  <c r="G56" i="196"/>
  <c r="G44" i="196"/>
  <c r="G51" i="196"/>
  <c r="G33" i="196"/>
  <c r="G43" i="196"/>
  <c r="G37" i="196"/>
  <c r="G23" i="196"/>
  <c r="G67" i="196"/>
  <c r="G35" i="196"/>
  <c r="G20" i="196"/>
  <c r="G42" i="196"/>
  <c r="G27" i="196"/>
  <c r="G63" i="196"/>
  <c r="G55" i="196"/>
  <c r="G23" i="194"/>
  <c r="G53" i="196"/>
  <c r="G62" i="196"/>
  <c r="G66" i="196"/>
  <c r="G54" i="196"/>
  <c r="G16" i="196"/>
  <c r="I21" i="231" s="1"/>
  <c r="O21" i="231" s="1"/>
  <c r="G13" i="196"/>
  <c r="I18" i="231" s="1"/>
  <c r="O18" i="231" s="1"/>
  <c r="G25" i="196"/>
  <c r="G12" i="194"/>
  <c r="I61" i="227"/>
  <c r="O61" i="227" s="1"/>
  <c r="I70" i="227"/>
  <c r="O70" i="227" s="1"/>
  <c r="G63" i="194"/>
  <c r="G27" i="194"/>
  <c r="D73" i="194"/>
  <c r="D74" i="194"/>
  <c r="L41" i="196" a="1"/>
  <c r="L41" i="196" s="1"/>
  <c r="L64" i="196" a="1"/>
  <c r="L64" i="196" s="1"/>
  <c r="L29" i="196" a="1"/>
  <c r="L29" i="196" s="1"/>
  <c r="L34" i="196" a="1"/>
  <c r="L34" i="196" s="1"/>
  <c r="L25" i="196" a="1"/>
  <c r="L25" i="196" s="1"/>
  <c r="L65" i="196" a="1"/>
  <c r="L65" i="196" s="1"/>
  <c r="L22" i="196" a="1"/>
  <c r="L22" i="196" s="1"/>
  <c r="L61" i="196" a="1"/>
  <c r="L61" i="196" s="1"/>
  <c r="L44" i="196" a="1"/>
  <c r="L44" i="196" s="1"/>
  <c r="L27" i="196" a="1"/>
  <c r="L27" i="196" s="1"/>
  <c r="D76" i="194"/>
  <c r="G64" i="196"/>
  <c r="G34" i="196"/>
  <c r="L62" i="196" a="1"/>
  <c r="L62" i="196" s="1"/>
  <c r="L43" i="196" a="1"/>
  <c r="L43" i="196" s="1"/>
  <c r="L24" i="196" a="1"/>
  <c r="L24" i="196" s="1"/>
  <c r="G22" i="196"/>
  <c r="L32" i="196" a="1"/>
  <c r="L32" i="196" s="1"/>
  <c r="L63" i="196" a="1"/>
  <c r="L63" i="196" s="1"/>
  <c r="L40" i="196" a="1"/>
  <c r="L40" i="196" s="1"/>
  <c r="L52" i="196" a="1"/>
  <c r="L52" i="196" s="1"/>
  <c r="L35" i="196" a="1"/>
  <c r="L35" i="196" s="1"/>
  <c r="L47" i="196" a="1"/>
  <c r="L47" i="196" s="1"/>
  <c r="L36" i="196" a="1"/>
  <c r="L36" i="196" s="1"/>
  <c r="L57" i="196" a="1"/>
  <c r="L57" i="196" s="1"/>
  <c r="L14" i="196" a="1"/>
  <c r="L14" i="196" s="1"/>
  <c r="L45" i="196" a="1"/>
  <c r="L45" i="196" s="1"/>
  <c r="E26" i="196"/>
  <c r="L46" i="196" a="1"/>
  <c r="L46" i="196" s="1"/>
  <c r="L67" i="196" a="1"/>
  <c r="L67" i="196" s="1"/>
  <c r="D75" i="194"/>
  <c r="L17" i="196" a="1"/>
  <c r="L17" i="196" s="1"/>
  <c r="L60" i="196" a="1"/>
  <c r="L60" i="196" s="1"/>
  <c r="L13" i="196" a="1"/>
  <c r="L13" i="196" s="1"/>
  <c r="G24" i="196"/>
  <c r="G32" i="196"/>
  <c r="G40" i="196"/>
  <c r="G52" i="196"/>
  <c r="L56" i="196" a="1"/>
  <c r="L56" i="196" s="1"/>
  <c r="L9" i="196" a="1"/>
  <c r="L9" i="196" s="1"/>
  <c r="G36" i="196"/>
  <c r="L12" i="196" a="1"/>
  <c r="L12" i="196" s="1"/>
  <c r="G14" i="196"/>
  <c r="I19" i="231" s="1"/>
  <c r="O19" i="231" s="1"/>
  <c r="G46" i="196"/>
  <c r="L30" i="196" a="1"/>
  <c r="L30" i="196" s="1"/>
  <c r="D77" i="194"/>
  <c r="L53" i="196" a="1"/>
  <c r="L53" i="196" s="1"/>
  <c r="G60" i="196"/>
  <c r="L51" i="196" a="1"/>
  <c r="L51" i="196" s="1"/>
  <c r="L33" i="196" a="1"/>
  <c r="L33" i="196" s="1"/>
  <c r="G65" i="196"/>
  <c r="L37" i="196" a="1"/>
  <c r="L37" i="196" s="1"/>
  <c r="G61" i="196"/>
  <c r="L55" i="196" a="1"/>
  <c r="L55" i="196" s="1"/>
  <c r="G41" i="196"/>
  <c r="L16" i="196" a="1"/>
  <c r="L16" i="196" s="1"/>
  <c r="G29" i="196"/>
  <c r="L20" i="196" a="1"/>
  <c r="L20" i="196" s="1"/>
  <c r="L11" i="196" a="1"/>
  <c r="L11" i="196" s="1"/>
  <c r="L42" i="196" a="1"/>
  <c r="L42" i="196" s="1"/>
  <c r="L39" i="196" a="1"/>
  <c r="L39" i="196" s="1"/>
  <c r="L66" i="196" a="1"/>
  <c r="L66" i="196" s="1"/>
  <c r="L23" i="196" a="1"/>
  <c r="L23" i="196" s="1"/>
  <c r="L54" i="196" a="1"/>
  <c r="L54" i="196" s="1"/>
  <c r="F69" i="227"/>
  <c r="M69" i="227" s="1"/>
  <c r="F61" i="227"/>
  <c r="F50" i="227"/>
  <c r="M50" i="227" s="1"/>
  <c r="F44" i="227"/>
  <c r="F60" i="227"/>
  <c r="M60" i="227" s="1"/>
  <c r="F66" i="227"/>
  <c r="F70" i="227"/>
  <c r="F30" i="227"/>
  <c r="M30" i="227" s="1"/>
  <c r="F48" i="227"/>
  <c r="M48" i="227" s="1"/>
  <c r="I73" i="203"/>
  <c r="M73" i="203" s="1"/>
  <c r="I14" i="203"/>
  <c r="M14" i="203" s="1"/>
  <c r="I13" i="203"/>
  <c r="M13" i="203" s="1"/>
  <c r="I8" i="203"/>
  <c r="M8" i="203" s="1"/>
  <c r="I92" i="203"/>
  <c r="I32" i="203"/>
  <c r="M32" i="203" s="1"/>
  <c r="F7" i="200"/>
  <c r="I10" i="203"/>
  <c r="M10" i="203" s="1"/>
  <c r="I9" i="203"/>
  <c r="M9" i="203" s="1"/>
  <c r="I16" i="203"/>
  <c r="J16" i="203" s="1"/>
  <c r="N16" i="203" s="1"/>
  <c r="I28" i="203"/>
  <c r="M28" i="203" s="1"/>
  <c r="I90" i="203"/>
  <c r="M90" i="203" s="1"/>
  <c r="I113" i="203"/>
  <c r="L113" i="203" s="1"/>
  <c r="I74" i="203"/>
  <c r="I49" i="203"/>
  <c r="M49" i="203" s="1"/>
  <c r="I55" i="203"/>
  <c r="J55" i="203" s="1"/>
  <c r="N55" i="203" s="1"/>
  <c r="I116" i="203"/>
  <c r="M116" i="203" s="1"/>
  <c r="I75" i="203"/>
  <c r="I96" i="203"/>
  <c r="I69" i="203"/>
  <c r="M69" i="203" s="1"/>
  <c r="I94" i="203"/>
  <c r="F19" i="200"/>
  <c r="H19" i="200" s="1"/>
  <c r="F11" i="200"/>
  <c r="H11" i="200" s="1"/>
  <c r="I72" i="203"/>
  <c r="I54" i="203"/>
  <c r="K54" i="203" s="1"/>
  <c r="O54" i="203" s="1"/>
  <c r="I52" i="203"/>
  <c r="K52" i="203" s="1"/>
  <c r="O52" i="203" s="1"/>
  <c r="I76" i="203"/>
  <c r="I70" i="203"/>
  <c r="L70" i="203" s="1"/>
  <c r="P70" i="203" s="1"/>
  <c r="F10" i="200"/>
  <c r="G10" i="200" s="1"/>
  <c r="K36" i="203"/>
  <c r="O36" i="203" s="1"/>
  <c r="I120" i="203"/>
  <c r="M120" i="203" s="1"/>
  <c r="I48" i="203"/>
  <c r="L48" i="203" s="1"/>
  <c r="P48" i="203" s="1"/>
  <c r="I115" i="203"/>
  <c r="M88" i="203"/>
  <c r="J36" i="203"/>
  <c r="N36" i="203" s="1"/>
  <c r="F21" i="200"/>
  <c r="G21" i="200" s="1"/>
  <c r="I21" i="200" s="1"/>
  <c r="M30" i="203"/>
  <c r="M95" i="203"/>
  <c r="I35" i="203"/>
  <c r="J35" i="203" s="1"/>
  <c r="N35" i="203" s="1"/>
  <c r="M68" i="203"/>
  <c r="M50" i="203"/>
  <c r="K56" i="203"/>
  <c r="O56" i="203" s="1"/>
  <c r="J56" i="203"/>
  <c r="N56" i="203" s="1"/>
  <c r="M31" i="203"/>
  <c r="P30" i="203"/>
  <c r="J15" i="203"/>
  <c r="M15" i="203"/>
  <c r="AJ88" i="135"/>
  <c r="E119" i="135" s="1"/>
  <c r="K119" i="135" s="1"/>
  <c r="AJ87" i="135"/>
  <c r="E118" i="135" s="1"/>
  <c r="K118" i="135" s="1"/>
  <c r="AJ63" i="135"/>
  <c r="AJ95" i="135" s="1"/>
  <c r="K143" i="149"/>
  <c r="L143" i="149"/>
  <c r="K144" i="149"/>
  <c r="L144" i="149"/>
  <c r="D4" i="117"/>
  <c r="W4" i="101"/>
  <c r="Q92" i="113"/>
  <c r="S92" i="113"/>
  <c r="R93" i="113"/>
  <c r="W95" i="113"/>
  <c r="Y93" i="113"/>
  <c r="X94" i="113"/>
  <c r="R21" i="115"/>
  <c r="X21" i="115"/>
  <c r="S21" i="115"/>
  <c r="Y21" i="115"/>
  <c r="S43" i="115"/>
  <c r="Y43" i="115"/>
  <c r="R74" i="115"/>
  <c r="X74" i="115"/>
  <c r="Q18" i="115"/>
  <c r="W18" i="115"/>
  <c r="Q58" i="115"/>
  <c r="W58" i="115"/>
  <c r="Q83" i="115"/>
  <c r="W83" i="115"/>
  <c r="R86" i="115"/>
  <c r="X86" i="115"/>
  <c r="R35" i="115"/>
  <c r="X35" i="115"/>
  <c r="Q35" i="115"/>
  <c r="W35" i="115"/>
  <c r="R73" i="115"/>
  <c r="X73" i="115"/>
  <c r="Q19" i="115"/>
  <c r="W19" i="115"/>
  <c r="Q25" i="115"/>
  <c r="W25" i="115"/>
  <c r="S49" i="115"/>
  <c r="Y49" i="115"/>
  <c r="Q28" i="115"/>
  <c r="W28" i="115"/>
  <c r="Q41" i="115"/>
  <c r="W41" i="115"/>
  <c r="Q47" i="115"/>
  <c r="W47" i="115"/>
  <c r="Q54" i="115"/>
  <c r="W54" i="115"/>
  <c r="R93" i="115"/>
  <c r="X93" i="115"/>
  <c r="R39" i="115"/>
  <c r="X39" i="115"/>
  <c r="R57" i="115"/>
  <c r="X57" i="115"/>
  <c r="R41" i="115"/>
  <c r="X41" i="115"/>
  <c r="S74" i="115"/>
  <c r="Y74" i="115"/>
  <c r="S37" i="115"/>
  <c r="Y37" i="115"/>
  <c r="R51" i="115"/>
  <c r="X51" i="115"/>
  <c r="S22" i="115"/>
  <c r="Y22" i="115"/>
  <c r="R47" i="115"/>
  <c r="X47" i="115"/>
  <c r="S18" i="115"/>
  <c r="Y18" i="115"/>
  <c r="Q61" i="115"/>
  <c r="W61" i="115"/>
  <c r="S72" i="115"/>
  <c r="Y72" i="115"/>
  <c r="Q21" i="115"/>
  <c r="W21" i="115"/>
  <c r="Q85" i="115"/>
  <c r="W85" i="115"/>
  <c r="R72" i="115"/>
  <c r="X72" i="115"/>
  <c r="S25" i="115"/>
  <c r="Y25" i="115"/>
  <c r="R18" i="115"/>
  <c r="X18" i="115"/>
  <c r="R24" i="115"/>
  <c r="X24" i="115"/>
  <c r="R25" i="115"/>
  <c r="X25" i="115"/>
  <c r="Q34" i="115"/>
  <c r="W34" i="115"/>
  <c r="S48" i="115"/>
  <c r="Y48" i="115"/>
  <c r="S51" i="115"/>
  <c r="Y51" i="115"/>
  <c r="R48" i="115"/>
  <c r="X48" i="115"/>
  <c r="Q55" i="115"/>
  <c r="W55" i="115"/>
  <c r="Q59" i="115"/>
  <c r="W59" i="115"/>
  <c r="R64" i="115"/>
  <c r="X64" i="115"/>
  <c r="S58" i="115"/>
  <c r="Y58" i="115"/>
  <c r="R96" i="115"/>
  <c r="X96" i="115"/>
  <c r="R69" i="115"/>
  <c r="X69" i="115"/>
  <c r="Q69" i="115"/>
  <c r="W69" i="115"/>
  <c r="R88" i="115"/>
  <c r="X88" i="115"/>
  <c r="R59" i="115"/>
  <c r="X59" i="115"/>
  <c r="Q72" i="115"/>
  <c r="W72" i="115"/>
  <c r="R84" i="115"/>
  <c r="X84" i="115"/>
  <c r="R80" i="115"/>
  <c r="X80" i="115"/>
  <c r="S35" i="115"/>
  <c r="Y35" i="115"/>
  <c r="Q81" i="115"/>
  <c r="W81" i="115"/>
  <c r="S73" i="115"/>
  <c r="Y73" i="115"/>
  <c r="R83" i="115"/>
  <c r="X83" i="115"/>
  <c r="S55" i="115"/>
  <c r="Y55" i="115"/>
  <c r="R62" i="115"/>
  <c r="X62" i="115"/>
  <c r="Q70" i="115"/>
  <c r="W70" i="115"/>
  <c r="S61" i="115"/>
  <c r="Y61" i="115"/>
  <c r="S50" i="115"/>
  <c r="Y50" i="115"/>
  <c r="R61" i="115"/>
  <c r="X61" i="115"/>
  <c r="S98" i="115"/>
  <c r="Y98" i="115"/>
  <c r="R44" i="115"/>
  <c r="X44" i="115"/>
  <c r="Q84" i="115"/>
  <c r="W84" i="115"/>
  <c r="R55" i="115"/>
  <c r="X55" i="115"/>
  <c r="Q43" i="115"/>
  <c r="W43" i="115"/>
  <c r="S64" i="115"/>
  <c r="Y64" i="115"/>
  <c r="Q49" i="115"/>
  <c r="W49" i="115"/>
  <c r="Q39" i="115"/>
  <c r="W39" i="115"/>
  <c r="S26" i="115"/>
  <c r="Y26" i="115"/>
  <c r="S39" i="115"/>
  <c r="Y39" i="115"/>
  <c r="S81" i="115"/>
  <c r="Y81" i="115"/>
  <c r="R37" i="115"/>
  <c r="X37" i="115"/>
  <c r="Q71" i="115"/>
  <c r="W71" i="115"/>
  <c r="S19" i="115"/>
  <c r="Y19" i="115"/>
  <c r="S36" i="115"/>
  <c r="Y36" i="115"/>
  <c r="S80" i="115"/>
  <c r="Y80" i="115"/>
  <c r="R28" i="115"/>
  <c r="X28" i="115"/>
  <c r="Q51" i="115"/>
  <c r="W51" i="115"/>
  <c r="R49" i="115"/>
  <c r="X49" i="115"/>
  <c r="Q64" i="115"/>
  <c r="W64" i="115"/>
  <c r="Q48" i="115"/>
  <c r="W48" i="115"/>
  <c r="R56" i="115"/>
  <c r="X56" i="115"/>
  <c r="Q88" i="115"/>
  <c r="W88" i="115"/>
  <c r="S94" i="115"/>
  <c r="Y94" i="115"/>
  <c r="S56" i="115"/>
  <c r="Y56" i="115"/>
  <c r="R22" i="115"/>
  <c r="X22" i="115"/>
  <c r="S54" i="115"/>
  <c r="Y54" i="115"/>
  <c r="R81" i="115"/>
  <c r="X81" i="115"/>
  <c r="R71" i="115"/>
  <c r="X71" i="115"/>
  <c r="S84" i="115"/>
  <c r="Y84" i="115"/>
  <c r="Q22" i="115"/>
  <c r="W22" i="115"/>
  <c r="S47" i="115"/>
  <c r="Y47" i="115"/>
  <c r="S71" i="115"/>
  <c r="Y71" i="115"/>
  <c r="R33" i="115"/>
  <c r="X33" i="115"/>
  <c r="Q73" i="115"/>
  <c r="W73" i="115"/>
  <c r="Q33" i="115"/>
  <c r="W33" i="115"/>
  <c r="R36" i="115"/>
  <c r="X36" i="115"/>
  <c r="R26" i="115"/>
  <c r="X26" i="115"/>
  <c r="S85" i="115"/>
  <c r="Y85" i="115"/>
  <c r="R70" i="115"/>
  <c r="X70" i="115"/>
  <c r="S41" i="115"/>
  <c r="Y41" i="115"/>
  <c r="R54" i="115"/>
  <c r="X54" i="115"/>
  <c r="S57" i="115"/>
  <c r="Y57" i="115"/>
  <c r="R58" i="115"/>
  <c r="X58" i="115"/>
  <c r="R98" i="115"/>
  <c r="X98" i="115"/>
  <c r="Q37" i="115"/>
  <c r="W37" i="115"/>
  <c r="S44" i="115"/>
  <c r="Y44" i="115"/>
  <c r="S59" i="115"/>
  <c r="Y59" i="115"/>
  <c r="Q96" i="115"/>
  <c r="W96" i="115"/>
  <c r="R85" i="115"/>
  <c r="X85" i="115"/>
  <c r="S83" i="115"/>
  <c r="Y83" i="115"/>
  <c r="S33" i="115"/>
  <c r="Y33" i="115"/>
  <c r="R19" i="115"/>
  <c r="X19" i="115"/>
  <c r="Q36" i="115"/>
  <c r="W36" i="115"/>
  <c r="S86" i="115"/>
  <c r="Y86" i="115"/>
  <c r="S69" i="115"/>
  <c r="Y69" i="115"/>
  <c r="R94" i="115"/>
  <c r="X94" i="115"/>
  <c r="S28" i="115"/>
  <c r="Y28" i="115"/>
  <c r="Q16" i="115"/>
  <c r="W16" i="115"/>
  <c r="R50" i="115"/>
  <c r="X50" i="115"/>
  <c r="R43" i="115"/>
  <c r="X43" i="115"/>
  <c r="S96" i="115"/>
  <c r="Y96" i="115"/>
  <c r="Q57" i="115"/>
  <c r="W57" i="115"/>
  <c r="S70" i="115"/>
  <c r="Y70" i="115"/>
  <c r="S16" i="115"/>
  <c r="Y16" i="115"/>
  <c r="R16" i="115"/>
  <c r="X16" i="115"/>
  <c r="S62" i="115"/>
  <c r="Y62" i="115"/>
  <c r="D3" i="114"/>
  <c r="J3" i="114"/>
  <c r="L4" i="2" s="1"/>
  <c r="R95" i="113"/>
  <c r="W93" i="113"/>
  <c r="Y94" i="113"/>
  <c r="R92" i="113"/>
  <c r="W94" i="113"/>
  <c r="Y95" i="113"/>
  <c r="W96" i="113"/>
  <c r="X96" i="113"/>
  <c r="Y96" i="113"/>
  <c r="S76" i="113"/>
  <c r="Y76" i="113"/>
  <c r="S65" i="113"/>
  <c r="Y65" i="113"/>
  <c r="Q40" i="113"/>
  <c r="W40" i="113"/>
  <c r="R81" i="113"/>
  <c r="X81" i="113"/>
  <c r="R55" i="113"/>
  <c r="X55" i="113"/>
  <c r="S46" i="113"/>
  <c r="Y46" i="113"/>
  <c r="R32" i="113"/>
  <c r="X32" i="113"/>
  <c r="R15" i="113"/>
  <c r="X15" i="113"/>
  <c r="R40" i="113"/>
  <c r="X40" i="113"/>
  <c r="R33" i="113"/>
  <c r="X33" i="113"/>
  <c r="S15" i="113"/>
  <c r="Y15" i="113"/>
  <c r="R58" i="113"/>
  <c r="X58" i="113"/>
  <c r="S81" i="113"/>
  <c r="Y81" i="113"/>
  <c r="R69" i="113"/>
  <c r="X69" i="113"/>
  <c r="R47" i="113"/>
  <c r="X47" i="113"/>
  <c r="Q56" i="113"/>
  <c r="W56" i="113"/>
  <c r="S70" i="113"/>
  <c r="Y70" i="113"/>
  <c r="R71" i="113"/>
  <c r="X71" i="113"/>
  <c r="R28" i="113"/>
  <c r="X28" i="113"/>
  <c r="Q24" i="113"/>
  <c r="W24" i="113"/>
  <c r="Q83" i="113"/>
  <c r="W83" i="113"/>
  <c r="S32" i="113"/>
  <c r="Y32" i="113"/>
  <c r="R25" i="113"/>
  <c r="X25" i="113"/>
  <c r="R36" i="113"/>
  <c r="X36" i="113"/>
  <c r="S77" i="113"/>
  <c r="Y77" i="113"/>
  <c r="S82" i="113"/>
  <c r="Y82" i="113"/>
  <c r="R84" i="113"/>
  <c r="X84" i="113"/>
  <c r="Q20" i="113"/>
  <c r="W20" i="113"/>
  <c r="Q51" i="113"/>
  <c r="W51" i="113"/>
  <c r="R48" i="113"/>
  <c r="X48" i="113"/>
  <c r="Q59" i="113"/>
  <c r="W59" i="113"/>
  <c r="R45" i="113"/>
  <c r="X45" i="113"/>
  <c r="S57" i="113"/>
  <c r="Y57" i="113"/>
  <c r="R39" i="113"/>
  <c r="X39" i="113"/>
  <c r="Q48" i="113"/>
  <c r="W48" i="113"/>
  <c r="S45" i="113"/>
  <c r="Y45" i="113"/>
  <c r="R60" i="113"/>
  <c r="X60" i="113"/>
  <c r="R18" i="113"/>
  <c r="X18" i="113"/>
  <c r="S48" i="113"/>
  <c r="Y48" i="113"/>
  <c r="S53" i="113"/>
  <c r="Y53" i="113"/>
  <c r="S44" i="113"/>
  <c r="Y44" i="113"/>
  <c r="S24" i="113"/>
  <c r="Y24" i="113"/>
  <c r="Q80" i="113"/>
  <c r="W80" i="113"/>
  <c r="Y85" i="113"/>
  <c r="R72" i="113"/>
  <c r="X72" i="113"/>
  <c r="Q36" i="113"/>
  <c r="W36" i="113"/>
  <c r="Q32" i="113"/>
  <c r="W32" i="113"/>
  <c r="Q81" i="113"/>
  <c r="W81" i="113"/>
  <c r="S43" i="113"/>
  <c r="Y43" i="113"/>
  <c r="S61" i="113"/>
  <c r="Y61" i="113"/>
  <c r="S49" i="113"/>
  <c r="Y49" i="113"/>
  <c r="Q15" i="113"/>
  <c r="W15" i="113"/>
  <c r="S58" i="113"/>
  <c r="Y58" i="113"/>
  <c r="S21" i="113"/>
  <c r="Y21" i="113"/>
  <c r="R42" i="113"/>
  <c r="X42" i="113"/>
  <c r="R44" i="113"/>
  <c r="X44" i="113"/>
  <c r="R46" i="113"/>
  <c r="X46" i="113"/>
  <c r="S52" i="113"/>
  <c r="Y52" i="113"/>
  <c r="S69" i="113"/>
  <c r="Y69" i="113"/>
  <c r="Q65" i="113"/>
  <c r="W65" i="113"/>
  <c r="Q60" i="113"/>
  <c r="W60" i="113"/>
  <c r="R34" i="113"/>
  <c r="X34" i="113"/>
  <c r="Q17" i="113"/>
  <c r="W17" i="113"/>
  <c r="Q77" i="113"/>
  <c r="W77" i="113"/>
  <c r="S59" i="113"/>
  <c r="Y59" i="113"/>
  <c r="S20" i="113"/>
  <c r="Y20" i="113"/>
  <c r="S80" i="113"/>
  <c r="Y80" i="113"/>
  <c r="R76" i="113"/>
  <c r="X76" i="113"/>
  <c r="S71" i="113"/>
  <c r="Y71" i="113"/>
  <c r="S79" i="113"/>
  <c r="Y79" i="113"/>
  <c r="Q71" i="113"/>
  <c r="W71" i="113"/>
  <c r="Q76" i="113"/>
  <c r="W76" i="113"/>
  <c r="Q18" i="113"/>
  <c r="W18" i="113"/>
  <c r="S83" i="113"/>
  <c r="Y83" i="113"/>
  <c r="Q34" i="113"/>
  <c r="W34" i="113"/>
  <c r="S42" i="113"/>
  <c r="Y42" i="113"/>
  <c r="Q69" i="113"/>
  <c r="W69" i="113"/>
  <c r="Q21" i="113"/>
  <c r="W21" i="113"/>
  <c r="R61" i="113"/>
  <c r="X61" i="113"/>
  <c r="Q54" i="113"/>
  <c r="W54" i="113"/>
  <c r="Q44" i="113"/>
  <c r="W44" i="113"/>
  <c r="S56" i="113"/>
  <c r="Y56" i="113"/>
  <c r="R56" i="113"/>
  <c r="X56" i="113"/>
  <c r="R53" i="113"/>
  <c r="X53" i="113"/>
  <c r="R17" i="113"/>
  <c r="X17" i="113"/>
  <c r="S18" i="113"/>
  <c r="Y18" i="113"/>
  <c r="S54" i="113"/>
  <c r="Y54" i="113"/>
  <c r="S47" i="113"/>
  <c r="Y47" i="113"/>
  <c r="R43" i="113"/>
  <c r="X43" i="113"/>
  <c r="R35" i="113"/>
  <c r="X35" i="113"/>
  <c r="S35" i="113"/>
  <c r="Y35" i="113"/>
  <c r="Q35" i="113"/>
  <c r="W35" i="113"/>
  <c r="R49" i="113"/>
  <c r="X49" i="113"/>
  <c r="R73" i="113"/>
  <c r="X73" i="113"/>
  <c r="X85" i="113"/>
  <c r="R68" i="113"/>
  <c r="X68" i="113"/>
  <c r="Q70" i="113"/>
  <c r="W70" i="113"/>
  <c r="Q72" i="113"/>
  <c r="W72" i="113"/>
  <c r="R65" i="113"/>
  <c r="X65" i="113"/>
  <c r="S73" i="113"/>
  <c r="Y73" i="113"/>
  <c r="R80" i="113"/>
  <c r="X80" i="113"/>
  <c r="S25" i="113"/>
  <c r="Y25" i="113"/>
  <c r="R21" i="113"/>
  <c r="X21" i="113"/>
  <c r="Q52" i="113"/>
  <c r="W52" i="113"/>
  <c r="S55" i="113"/>
  <c r="Y55" i="113"/>
  <c r="S51" i="113"/>
  <c r="Y51" i="113"/>
  <c r="Q58" i="113"/>
  <c r="W58" i="113"/>
  <c r="S23" i="113"/>
  <c r="Y23" i="113"/>
  <c r="Q68" i="113"/>
  <c r="W68" i="113"/>
  <c r="Q23" i="113"/>
  <c r="W23" i="113"/>
  <c r="R97" i="113"/>
  <c r="X97" i="113"/>
  <c r="S36" i="113"/>
  <c r="Y36" i="113"/>
  <c r="Q28" i="113"/>
  <c r="W28" i="113"/>
  <c r="R20" i="113"/>
  <c r="X20" i="113"/>
  <c r="R79" i="113"/>
  <c r="X79" i="113"/>
  <c r="S68" i="113"/>
  <c r="Y68" i="113"/>
  <c r="S37" i="113"/>
  <c r="Y37" i="113"/>
  <c r="R23" i="113"/>
  <c r="X23" i="113"/>
  <c r="R77" i="113"/>
  <c r="X77" i="113"/>
  <c r="R24" i="113"/>
  <c r="X24" i="113"/>
  <c r="R59" i="113"/>
  <c r="X59" i="113"/>
  <c r="Q42" i="113"/>
  <c r="W42" i="113"/>
  <c r="S33" i="113"/>
  <c r="Y33" i="113"/>
  <c r="Q33" i="113"/>
  <c r="W33" i="113"/>
  <c r="Q57" i="113"/>
  <c r="W57" i="113"/>
  <c r="S39" i="113"/>
  <c r="Y39" i="113"/>
  <c r="S60" i="113"/>
  <c r="Y60" i="113"/>
  <c r="R52" i="113"/>
  <c r="X52" i="113"/>
  <c r="S84" i="113"/>
  <c r="Y84" i="113"/>
  <c r="Q45" i="113"/>
  <c r="W45" i="113"/>
  <c r="Q39" i="113"/>
  <c r="W39" i="113"/>
  <c r="R57" i="113"/>
  <c r="X57" i="113"/>
  <c r="S17" i="113"/>
  <c r="Y17" i="113"/>
  <c r="Q82" i="113"/>
  <c r="W82" i="113"/>
  <c r="S97" i="113"/>
  <c r="Y97" i="113"/>
  <c r="S72" i="113"/>
  <c r="Y72" i="113"/>
  <c r="R82" i="113"/>
  <c r="X82" i="113"/>
  <c r="S28" i="113"/>
  <c r="Y28" i="113"/>
  <c r="R83" i="113"/>
  <c r="X83" i="113"/>
  <c r="S34" i="113"/>
  <c r="Y34" i="113"/>
  <c r="R37" i="113"/>
  <c r="X37" i="113"/>
  <c r="R70" i="113"/>
  <c r="X70" i="113"/>
  <c r="Q84" i="113"/>
  <c r="W84" i="113"/>
  <c r="Q53" i="113"/>
  <c r="W53" i="113"/>
  <c r="Q46" i="113"/>
  <c r="W46" i="113"/>
  <c r="Q47" i="113"/>
  <c r="W47" i="113"/>
  <c r="R51" i="113"/>
  <c r="X51" i="113"/>
  <c r="S40" i="113"/>
  <c r="Y40" i="113"/>
  <c r="R54" i="113"/>
  <c r="X54" i="113"/>
  <c r="F231" i="84"/>
  <c r="AH22" i="84"/>
  <c r="AK100" i="135"/>
  <c r="F131" i="135" s="1"/>
  <c r="L131" i="135" s="1"/>
  <c r="AK116" i="135"/>
  <c r="F147" i="135" s="1"/>
  <c r="L147" i="135" s="1"/>
  <c r="AK115" i="135"/>
  <c r="F146" i="135" s="1"/>
  <c r="L146" i="135" s="1"/>
  <c r="AK95" i="135"/>
  <c r="F126" i="135" s="1"/>
  <c r="L126" i="135" s="1"/>
  <c r="AE388" i="84"/>
  <c r="Z388" i="84"/>
  <c r="AB388" i="84"/>
  <c r="R388" i="84"/>
  <c r="W388" i="84"/>
  <c r="V388" i="84"/>
  <c r="AA388" i="84"/>
  <c r="AC388" i="84"/>
  <c r="AD388" i="84"/>
  <c r="X388" i="84"/>
  <c r="U388" i="84"/>
  <c r="T388" i="84"/>
  <c r="Q388" i="84"/>
  <c r="Y388" i="84"/>
  <c r="O93" i="3"/>
  <c r="O95" i="3"/>
  <c r="AF20" i="153"/>
  <c r="M93" i="3"/>
  <c r="D76" i="196" s="1"/>
  <c r="N24" i="115"/>
  <c r="L20" i="153"/>
  <c r="AB20" i="153" s="1"/>
  <c r="N90" i="3"/>
  <c r="H90" i="117"/>
  <c r="K90" i="117" s="1"/>
  <c r="AD26" i="117" s="1"/>
  <c r="AI26" i="117" s="1"/>
  <c r="N91" i="3"/>
  <c r="L27" i="153"/>
  <c r="N27" i="153" s="1"/>
  <c r="O85" i="3"/>
  <c r="P24" i="115"/>
  <c r="P46" i="115"/>
  <c r="P40" i="115"/>
  <c r="O53" i="115"/>
  <c r="P38" i="115"/>
  <c r="P53" i="115"/>
  <c r="O38" i="115"/>
  <c r="O45" i="115"/>
  <c r="O46" i="115"/>
  <c r="O34" i="115"/>
  <c r="M90" i="3"/>
  <c r="D73" i="196" s="1"/>
  <c r="P34" i="115"/>
  <c r="N85" i="3"/>
  <c r="O60" i="115"/>
  <c r="N52" i="115"/>
  <c r="N60" i="115"/>
  <c r="P60" i="115"/>
  <c r="O52" i="115"/>
  <c r="G19" i="115"/>
  <c r="P88" i="115" s="1"/>
  <c r="J90" i="117"/>
  <c r="O90" i="117" s="1"/>
  <c r="AH26" i="117" s="1"/>
  <c r="AM26" i="117" s="1"/>
  <c r="N46" i="115"/>
  <c r="O91" i="3"/>
  <c r="AE27" i="153"/>
  <c r="AF27" i="153"/>
  <c r="M85" i="3"/>
  <c r="D69" i="196" s="1"/>
  <c r="O40" i="115"/>
  <c r="P52" i="115"/>
  <c r="N53" i="115"/>
  <c r="N40" i="115"/>
  <c r="N45" i="115"/>
  <c r="I90" i="117"/>
  <c r="M90" i="117" s="1"/>
  <c r="P45" i="115"/>
  <c r="Q49" i="142"/>
  <c r="R49" i="142" s="1"/>
  <c r="A50" i="101"/>
  <c r="A48" i="101"/>
  <c r="F4" i="2"/>
  <c r="X234" i="84"/>
  <c r="AA234" i="84"/>
  <c r="Z234" i="84"/>
  <c r="U231" i="84"/>
  <c r="AC232" i="84"/>
  <c r="AE232" i="84"/>
  <c r="S231" i="84"/>
  <c r="CM28" i="84"/>
  <c r="AC233" i="84"/>
  <c r="Z233" i="84"/>
  <c r="AE233" i="84"/>
  <c r="O236" i="84"/>
  <c r="AB233" i="84"/>
  <c r="Y231" i="84"/>
  <c r="T231" i="84"/>
  <c r="X231" i="84"/>
  <c r="Z231" i="84"/>
  <c r="H18" i="84"/>
  <c r="W231" i="84"/>
  <c r="J243" i="84"/>
  <c r="Y34" i="84"/>
  <c r="Z263" i="84"/>
  <c r="X263" i="84"/>
  <c r="V263" i="84"/>
  <c r="T263" i="84"/>
  <c r="R263" i="84"/>
  <c r="AD263" i="84"/>
  <c r="AB263" i="84"/>
  <c r="AE263" i="84"/>
  <c r="AC263" i="84"/>
  <c r="AA263" i="84"/>
  <c r="Y263" i="84"/>
  <c r="W263" i="84"/>
  <c r="U263" i="84"/>
  <c r="S263" i="84"/>
  <c r="Q263" i="84"/>
  <c r="U258" i="84"/>
  <c r="S258" i="84"/>
  <c r="Q258" i="84"/>
  <c r="AE258" i="84"/>
  <c r="AC258" i="84"/>
  <c r="AA258" i="84"/>
  <c r="Y258" i="84"/>
  <c r="W258" i="84"/>
  <c r="Z258" i="84"/>
  <c r="X258" i="84"/>
  <c r="V258" i="84"/>
  <c r="T258" i="84"/>
  <c r="R258" i="84"/>
  <c r="AD258" i="84"/>
  <c r="AB258" i="84"/>
  <c r="U290" i="84"/>
  <c r="S290" i="84"/>
  <c r="Q290" i="84"/>
  <c r="AE290" i="84"/>
  <c r="AC290" i="84"/>
  <c r="AA290" i="84"/>
  <c r="Y290" i="84"/>
  <c r="W290" i="84"/>
  <c r="Z290" i="84"/>
  <c r="X290" i="84"/>
  <c r="V290" i="84"/>
  <c r="T290" i="84"/>
  <c r="R290" i="84"/>
  <c r="AD290" i="84"/>
  <c r="AB290" i="84"/>
  <c r="AA248" i="84"/>
  <c r="Y248" i="84"/>
  <c r="W248" i="84"/>
  <c r="U248" i="84"/>
  <c r="S248" i="84"/>
  <c r="Q248" i="84"/>
  <c r="AE248" i="84"/>
  <c r="AC248" i="84"/>
  <c r="AD248" i="84"/>
  <c r="AB248" i="84"/>
  <c r="Z248" i="84"/>
  <c r="X248" i="84"/>
  <c r="V248" i="84"/>
  <c r="T248" i="84"/>
  <c r="R248" i="84"/>
  <c r="AA280" i="84"/>
  <c r="Y280" i="84"/>
  <c r="W280" i="84"/>
  <c r="U280" i="84"/>
  <c r="S280" i="84"/>
  <c r="Q280" i="84"/>
  <c r="AE280" i="84"/>
  <c r="AC280" i="84"/>
  <c r="AD280" i="84"/>
  <c r="AB280" i="84"/>
  <c r="Z280" i="84"/>
  <c r="X280" i="84"/>
  <c r="V280" i="84"/>
  <c r="T280" i="84"/>
  <c r="R280" i="84"/>
  <c r="Y246" i="84"/>
  <c r="W246" i="84"/>
  <c r="U246" i="84"/>
  <c r="S246" i="84"/>
  <c r="Q246" i="84"/>
  <c r="AE246" i="84"/>
  <c r="AC246" i="84"/>
  <c r="AA246" i="84"/>
  <c r="AD246" i="84"/>
  <c r="T246" i="84"/>
  <c r="AB246" i="84"/>
  <c r="Z246" i="84"/>
  <c r="X246" i="84"/>
  <c r="V246" i="84"/>
  <c r="R246" i="84"/>
  <c r="Y278" i="84"/>
  <c r="W278" i="84"/>
  <c r="U278" i="84"/>
  <c r="S278" i="84"/>
  <c r="Q278" i="84"/>
  <c r="AE278" i="84"/>
  <c r="AC278" i="84"/>
  <c r="AA278" i="84"/>
  <c r="AD278" i="84"/>
  <c r="AB278" i="84"/>
  <c r="Z278" i="84"/>
  <c r="X278" i="84"/>
  <c r="V278" i="84"/>
  <c r="T278" i="84"/>
  <c r="R278" i="84"/>
  <c r="J271" i="84"/>
  <c r="Y62" i="84"/>
  <c r="Y43" i="84"/>
  <c r="J252" i="84"/>
  <c r="AC250" i="84"/>
  <c r="AA250" i="84"/>
  <c r="Y250" i="84"/>
  <c r="W250" i="84"/>
  <c r="U250" i="84"/>
  <c r="S250" i="84"/>
  <c r="Q250" i="84"/>
  <c r="AE250" i="84"/>
  <c r="R250" i="84"/>
  <c r="AD250" i="84"/>
  <c r="AB250" i="84"/>
  <c r="Z250" i="84"/>
  <c r="X250" i="84"/>
  <c r="V250" i="84"/>
  <c r="T250" i="84"/>
  <c r="AC282" i="84"/>
  <c r="AA282" i="84"/>
  <c r="Y282" i="84"/>
  <c r="W282" i="84"/>
  <c r="U282" i="84"/>
  <c r="S282" i="84"/>
  <c r="Q282" i="84"/>
  <c r="AE282" i="84"/>
  <c r="R282" i="84"/>
  <c r="AD282" i="84"/>
  <c r="AB282" i="84"/>
  <c r="Z282" i="84"/>
  <c r="X282" i="84"/>
  <c r="V282" i="84"/>
  <c r="T282" i="84"/>
  <c r="Y31" i="84"/>
  <c r="J240" i="84"/>
  <c r="Y38" i="84"/>
  <c r="J247" i="84"/>
  <c r="Q270" i="84"/>
  <c r="AE270" i="84"/>
  <c r="AC270" i="84"/>
  <c r="AA270" i="84"/>
  <c r="Y270" i="84"/>
  <c r="W270" i="84"/>
  <c r="U270" i="84"/>
  <c r="S270" i="84"/>
  <c r="V270" i="84"/>
  <c r="T270" i="84"/>
  <c r="R270" i="84"/>
  <c r="AD270" i="84"/>
  <c r="AB270" i="84"/>
  <c r="Z270" i="84"/>
  <c r="X270" i="84"/>
  <c r="AB265" i="84"/>
  <c r="Z265" i="84"/>
  <c r="X265" i="84"/>
  <c r="V265" i="84"/>
  <c r="T265" i="84"/>
  <c r="R265" i="84"/>
  <c r="AD265" i="84"/>
  <c r="Q265" i="84"/>
  <c r="AE265" i="84"/>
  <c r="AC265" i="84"/>
  <c r="AA265" i="84"/>
  <c r="Y265" i="84"/>
  <c r="W265" i="84"/>
  <c r="U265" i="84"/>
  <c r="S265" i="84"/>
  <c r="V243" i="84"/>
  <c r="T243" i="84"/>
  <c r="R243" i="84"/>
  <c r="AD243" i="84"/>
  <c r="AB243" i="84"/>
  <c r="Z243" i="84"/>
  <c r="X243" i="84"/>
  <c r="AA243" i="84"/>
  <c r="Y243" i="84"/>
  <c r="W243" i="84"/>
  <c r="U243" i="84"/>
  <c r="S243" i="84"/>
  <c r="Q243" i="84"/>
  <c r="AE243" i="84"/>
  <c r="AC243" i="84"/>
  <c r="J255" i="84"/>
  <c r="Y46" i="84"/>
  <c r="T241" i="84"/>
  <c r="R241" i="84"/>
  <c r="AD241" i="84"/>
  <c r="AB241" i="84"/>
  <c r="Z241" i="84"/>
  <c r="X241" i="84"/>
  <c r="V241" i="84"/>
  <c r="Y241" i="84"/>
  <c r="W241" i="84"/>
  <c r="U241" i="84"/>
  <c r="S241" i="84"/>
  <c r="Q241" i="84"/>
  <c r="AE241" i="84"/>
  <c r="AC241" i="84"/>
  <c r="AA241" i="84"/>
  <c r="J269" i="84"/>
  <c r="Y60" i="84"/>
  <c r="AD283" i="84"/>
  <c r="AB283" i="84"/>
  <c r="Z283" i="84"/>
  <c r="X283" i="84"/>
  <c r="V283" i="84"/>
  <c r="T283" i="84"/>
  <c r="R283" i="84"/>
  <c r="S283" i="84"/>
  <c r="Q283" i="84"/>
  <c r="AE283" i="84"/>
  <c r="AC283" i="84"/>
  <c r="AA283" i="84"/>
  <c r="Y283" i="84"/>
  <c r="W283" i="84"/>
  <c r="U283" i="84"/>
  <c r="Y40" i="84"/>
  <c r="J249" i="84"/>
  <c r="AE252" i="84"/>
  <c r="AC252" i="84"/>
  <c r="AA252" i="84"/>
  <c r="Y252" i="84"/>
  <c r="W252" i="84"/>
  <c r="U252" i="84"/>
  <c r="S252" i="84"/>
  <c r="Q252" i="84"/>
  <c r="T252" i="84"/>
  <c r="R252" i="84"/>
  <c r="AD252" i="84"/>
  <c r="AB252" i="84"/>
  <c r="Z252" i="84"/>
  <c r="X252" i="84"/>
  <c r="V252" i="84"/>
  <c r="AE284" i="84"/>
  <c r="AC284" i="84"/>
  <c r="AA284" i="84"/>
  <c r="Y284" i="84"/>
  <c r="W284" i="84"/>
  <c r="U284" i="84"/>
  <c r="S284" i="84"/>
  <c r="Q284" i="84"/>
  <c r="T284" i="84"/>
  <c r="R284" i="84"/>
  <c r="AD284" i="84"/>
  <c r="AB284" i="84"/>
  <c r="Z284" i="84"/>
  <c r="X284" i="84"/>
  <c r="V284" i="84"/>
  <c r="J285" i="84"/>
  <c r="Y76" i="84"/>
  <c r="J287" i="84"/>
  <c r="Y78" i="84"/>
  <c r="Y48" i="84"/>
  <c r="J257" i="84"/>
  <c r="S240" i="84"/>
  <c r="Q240" i="84"/>
  <c r="AE240" i="84"/>
  <c r="AC240" i="84"/>
  <c r="AA240" i="84"/>
  <c r="Y240" i="84"/>
  <c r="W240" i="84"/>
  <c r="U240" i="84"/>
  <c r="X240" i="84"/>
  <c r="AD240" i="84"/>
  <c r="V240" i="84"/>
  <c r="T240" i="84"/>
  <c r="R240" i="84"/>
  <c r="AB240" i="84"/>
  <c r="Z240" i="84"/>
  <c r="S272" i="84"/>
  <c r="Q272" i="84"/>
  <c r="AE272" i="84"/>
  <c r="AC272" i="84"/>
  <c r="AA272" i="84"/>
  <c r="Y272" i="84"/>
  <c r="W272" i="84"/>
  <c r="U272" i="84"/>
  <c r="X272" i="84"/>
  <c r="V272" i="84"/>
  <c r="T272" i="84"/>
  <c r="R272" i="84"/>
  <c r="AD272" i="84"/>
  <c r="AB272" i="84"/>
  <c r="Z272" i="84"/>
  <c r="Z247" i="84"/>
  <c r="X247" i="84"/>
  <c r="V247" i="84"/>
  <c r="T247" i="84"/>
  <c r="R247" i="84"/>
  <c r="AD247" i="84"/>
  <c r="AB247" i="84"/>
  <c r="AE247" i="84"/>
  <c r="AC247" i="84"/>
  <c r="AA247" i="84"/>
  <c r="Y247" i="84"/>
  <c r="W247" i="84"/>
  <c r="U247" i="84"/>
  <c r="S247" i="84"/>
  <c r="Q247" i="84"/>
  <c r="J242" i="84"/>
  <c r="Y33" i="84"/>
  <c r="J274" i="84"/>
  <c r="Y65" i="84"/>
  <c r="R255" i="84"/>
  <c r="AD255" i="84"/>
  <c r="AB255" i="84"/>
  <c r="Z255" i="84"/>
  <c r="X255" i="84"/>
  <c r="V255" i="84"/>
  <c r="T255" i="84"/>
  <c r="W255" i="84"/>
  <c r="U255" i="84"/>
  <c r="S255" i="84"/>
  <c r="Q255" i="84"/>
  <c r="AE255" i="84"/>
  <c r="AC255" i="84"/>
  <c r="AA255" i="84"/>
  <c r="Y255" i="84"/>
  <c r="J264" i="84"/>
  <c r="Y55" i="84"/>
  <c r="AD269" i="84"/>
  <c r="AB269" i="84"/>
  <c r="Z269" i="84"/>
  <c r="X269" i="84"/>
  <c r="V269" i="84"/>
  <c r="T269" i="84"/>
  <c r="R269" i="84"/>
  <c r="U269" i="84"/>
  <c r="S269" i="84"/>
  <c r="Q269" i="84"/>
  <c r="AE269" i="84"/>
  <c r="AC269" i="84"/>
  <c r="AA269" i="84"/>
  <c r="Y269" i="84"/>
  <c r="W269" i="84"/>
  <c r="R271" i="84"/>
  <c r="AD271" i="84"/>
  <c r="AB271" i="84"/>
  <c r="Z271" i="84"/>
  <c r="X271" i="84"/>
  <c r="V271" i="84"/>
  <c r="T271" i="84"/>
  <c r="W271" i="84"/>
  <c r="U271" i="84"/>
  <c r="S271" i="84"/>
  <c r="Q271" i="84"/>
  <c r="AE271" i="84"/>
  <c r="AC271" i="84"/>
  <c r="AA271" i="84"/>
  <c r="Y271" i="84"/>
  <c r="AB249" i="84"/>
  <c r="Z249" i="84"/>
  <c r="X249" i="84"/>
  <c r="V249" i="84"/>
  <c r="T249" i="84"/>
  <c r="R249" i="84"/>
  <c r="AD249" i="84"/>
  <c r="Q249" i="84"/>
  <c r="AE249" i="84"/>
  <c r="AC249" i="84"/>
  <c r="AA249" i="84"/>
  <c r="Y249" i="84"/>
  <c r="W249" i="84"/>
  <c r="U249" i="84"/>
  <c r="S249" i="84"/>
  <c r="Y57" i="84"/>
  <c r="J266" i="84"/>
  <c r="R287" i="84"/>
  <c r="AD287" i="84"/>
  <c r="AB287" i="84"/>
  <c r="Z287" i="84"/>
  <c r="X287" i="84"/>
  <c r="V287" i="84"/>
  <c r="T287" i="84"/>
  <c r="W287" i="84"/>
  <c r="U287" i="84"/>
  <c r="S287" i="84"/>
  <c r="Q287" i="84"/>
  <c r="AE287" i="84"/>
  <c r="AC287" i="84"/>
  <c r="AA287" i="84"/>
  <c r="Y287" i="84"/>
  <c r="T257" i="84"/>
  <c r="R257" i="84"/>
  <c r="AD257" i="84"/>
  <c r="AB257" i="84"/>
  <c r="Z257" i="84"/>
  <c r="X257" i="84"/>
  <c r="V257" i="84"/>
  <c r="Y257" i="84"/>
  <c r="W257" i="84"/>
  <c r="U257" i="84"/>
  <c r="S257" i="84"/>
  <c r="Q257" i="84"/>
  <c r="AE257" i="84"/>
  <c r="AC257" i="84"/>
  <c r="AA257" i="84"/>
  <c r="Y35" i="84"/>
  <c r="J244" i="84"/>
  <c r="J276" i="84"/>
  <c r="Y67" i="84"/>
  <c r="Y44" i="84"/>
  <c r="J253" i="84"/>
  <c r="Y66" i="84"/>
  <c r="J275" i="84"/>
  <c r="Y36" i="84"/>
  <c r="J245" i="84"/>
  <c r="J273" i="84"/>
  <c r="Y64" i="84"/>
  <c r="Y70" i="84"/>
  <c r="J279" i="84"/>
  <c r="J262" i="84"/>
  <c r="Y53" i="84"/>
  <c r="J268" i="84"/>
  <c r="Y59" i="84"/>
  <c r="AD285" i="84"/>
  <c r="AB285" i="84"/>
  <c r="Z285" i="84"/>
  <c r="X285" i="84"/>
  <c r="V285" i="84"/>
  <c r="T285" i="84"/>
  <c r="R285" i="84"/>
  <c r="U285" i="84"/>
  <c r="S285" i="84"/>
  <c r="Q285" i="84"/>
  <c r="AE285" i="84"/>
  <c r="AC285" i="84"/>
  <c r="AA285" i="84"/>
  <c r="Y285" i="84"/>
  <c r="W285" i="84"/>
  <c r="J256" i="84"/>
  <c r="Y47" i="84"/>
  <c r="Y79" i="84"/>
  <c r="J288" i="84"/>
  <c r="Y45" i="84"/>
  <c r="J254" i="84"/>
  <c r="J286" i="84"/>
  <c r="Y77" i="84"/>
  <c r="W244" i="84"/>
  <c r="U244" i="84"/>
  <c r="S244" i="84"/>
  <c r="Q244" i="84"/>
  <c r="AE244" i="84"/>
  <c r="AC244" i="84"/>
  <c r="AA244" i="84"/>
  <c r="Y244" i="84"/>
  <c r="AB244" i="84"/>
  <c r="Z244" i="84"/>
  <c r="X244" i="84"/>
  <c r="V244" i="84"/>
  <c r="T244" i="84"/>
  <c r="R244" i="84"/>
  <c r="AD244" i="84"/>
  <c r="W276" i="84"/>
  <c r="U276" i="84"/>
  <c r="S276" i="84"/>
  <c r="Q276" i="84"/>
  <c r="AE276" i="84"/>
  <c r="AC276" i="84"/>
  <c r="AA276" i="84"/>
  <c r="Y276" i="84"/>
  <c r="AB276" i="84"/>
  <c r="Z276" i="84"/>
  <c r="X276" i="84"/>
  <c r="V276" i="84"/>
  <c r="T276" i="84"/>
  <c r="R276" i="84"/>
  <c r="AD276" i="84"/>
  <c r="U242" i="84"/>
  <c r="S242" i="84"/>
  <c r="Q242" i="84"/>
  <c r="AE242" i="84"/>
  <c r="AC242" i="84"/>
  <c r="AA242" i="84"/>
  <c r="Y242" i="84"/>
  <c r="W242" i="84"/>
  <c r="Z242" i="84"/>
  <c r="X242" i="84"/>
  <c r="V242" i="84"/>
  <c r="T242" i="84"/>
  <c r="R242" i="84"/>
  <c r="AD242" i="84"/>
  <c r="AB242" i="84"/>
  <c r="U274" i="84"/>
  <c r="S274" i="84"/>
  <c r="Q274" i="84"/>
  <c r="AE274" i="84"/>
  <c r="AC274" i="84"/>
  <c r="AA274" i="84"/>
  <c r="Y274" i="84"/>
  <c r="W274" i="84"/>
  <c r="Z274" i="84"/>
  <c r="X274" i="84"/>
  <c r="V274" i="84"/>
  <c r="T274" i="84"/>
  <c r="R274" i="84"/>
  <c r="AD274" i="84"/>
  <c r="AB274" i="84"/>
  <c r="AA264" i="84"/>
  <c r="Y264" i="84"/>
  <c r="W264" i="84"/>
  <c r="U264" i="84"/>
  <c r="S264" i="84"/>
  <c r="Q264" i="84"/>
  <c r="AE264" i="84"/>
  <c r="AC264" i="84"/>
  <c r="AD264" i="84"/>
  <c r="AB264" i="84"/>
  <c r="Z264" i="84"/>
  <c r="X264" i="84"/>
  <c r="V264" i="84"/>
  <c r="T264" i="84"/>
  <c r="R264" i="84"/>
  <c r="Y42" i="84"/>
  <c r="J251" i="84"/>
  <c r="Z279" i="84"/>
  <c r="X279" i="84"/>
  <c r="V279" i="84"/>
  <c r="T279" i="84"/>
  <c r="R279" i="84"/>
  <c r="AD279" i="84"/>
  <c r="AB279" i="84"/>
  <c r="AE279" i="84"/>
  <c r="AC279" i="84"/>
  <c r="AA279" i="84"/>
  <c r="Y279" i="84"/>
  <c r="W279" i="84"/>
  <c r="U279" i="84"/>
  <c r="S279" i="84"/>
  <c r="Q279" i="84"/>
  <c r="Y262" i="84"/>
  <c r="W262" i="84"/>
  <c r="U262" i="84"/>
  <c r="S262" i="84"/>
  <c r="Q262" i="84"/>
  <c r="AE262" i="84"/>
  <c r="AC262" i="84"/>
  <c r="AA262" i="84"/>
  <c r="AD262" i="84"/>
  <c r="AB262" i="84"/>
  <c r="Z262" i="84"/>
  <c r="X262" i="84"/>
  <c r="V262" i="84"/>
  <c r="T262" i="84"/>
  <c r="R262" i="84"/>
  <c r="Y52" i="84"/>
  <c r="J261" i="84"/>
  <c r="AC266" i="84"/>
  <c r="AA266" i="84"/>
  <c r="Y266" i="84"/>
  <c r="W266" i="84"/>
  <c r="U266" i="84"/>
  <c r="S266" i="84"/>
  <c r="Q266" i="84"/>
  <c r="AE266" i="84"/>
  <c r="R266" i="84"/>
  <c r="AD266" i="84"/>
  <c r="AB266" i="84"/>
  <c r="Z266" i="84"/>
  <c r="X266" i="84"/>
  <c r="V266" i="84"/>
  <c r="T266" i="84"/>
  <c r="Y68" i="84"/>
  <c r="J277" i="84"/>
  <c r="Y80" i="84"/>
  <c r="J289" i="84"/>
  <c r="Q254" i="84"/>
  <c r="AE254" i="84"/>
  <c r="AC254" i="84"/>
  <c r="AA254" i="84"/>
  <c r="Y254" i="84"/>
  <c r="W254" i="84"/>
  <c r="U254" i="84"/>
  <c r="S254" i="84"/>
  <c r="V254" i="84"/>
  <c r="T254" i="84"/>
  <c r="R254" i="84"/>
  <c r="AD254" i="84"/>
  <c r="AB254" i="84"/>
  <c r="Z254" i="84"/>
  <c r="X254" i="84"/>
  <c r="Q286" i="84"/>
  <c r="AE286" i="84"/>
  <c r="AC286" i="84"/>
  <c r="AA286" i="84"/>
  <c r="Y286" i="84"/>
  <c r="W286" i="84"/>
  <c r="U286" i="84"/>
  <c r="S286" i="84"/>
  <c r="V286" i="84"/>
  <c r="T286" i="84"/>
  <c r="R286" i="84"/>
  <c r="AD286" i="84"/>
  <c r="AB286" i="84"/>
  <c r="Z286" i="84"/>
  <c r="X286" i="84"/>
  <c r="AD253" i="84"/>
  <c r="AB253" i="84"/>
  <c r="Z253" i="84"/>
  <c r="X253" i="84"/>
  <c r="V253" i="84"/>
  <c r="T253" i="84"/>
  <c r="R253" i="84"/>
  <c r="U253" i="84"/>
  <c r="S253" i="84"/>
  <c r="Q253" i="84"/>
  <c r="AE253" i="84"/>
  <c r="AC253" i="84"/>
  <c r="AA253" i="84"/>
  <c r="Y253" i="84"/>
  <c r="W253" i="84"/>
  <c r="V275" i="84"/>
  <c r="T275" i="84"/>
  <c r="R275" i="84"/>
  <c r="AD275" i="84"/>
  <c r="AB275" i="84"/>
  <c r="Z275" i="84"/>
  <c r="X275" i="84"/>
  <c r="AA275" i="84"/>
  <c r="Y275" i="84"/>
  <c r="W275" i="84"/>
  <c r="U275" i="84"/>
  <c r="S275" i="84"/>
  <c r="Q275" i="84"/>
  <c r="AE275" i="84"/>
  <c r="AC275" i="84"/>
  <c r="X245" i="84"/>
  <c r="V245" i="84"/>
  <c r="T245" i="84"/>
  <c r="R245" i="84"/>
  <c r="AD245" i="84"/>
  <c r="AB245" i="84"/>
  <c r="Z245" i="84"/>
  <c r="AC245" i="84"/>
  <c r="AA245" i="84"/>
  <c r="Y245" i="84"/>
  <c r="W245" i="84"/>
  <c r="U245" i="84"/>
  <c r="Q245" i="84"/>
  <c r="AE245" i="84"/>
  <c r="S245" i="84"/>
  <c r="T273" i="84"/>
  <c r="R273" i="84"/>
  <c r="AD273" i="84"/>
  <c r="AB273" i="84"/>
  <c r="Z273" i="84"/>
  <c r="X273" i="84"/>
  <c r="V273" i="84"/>
  <c r="Y273" i="84"/>
  <c r="W273" i="84"/>
  <c r="U273" i="84"/>
  <c r="S273" i="84"/>
  <c r="Q273" i="84"/>
  <c r="AE273" i="84"/>
  <c r="AC273" i="84"/>
  <c r="AA273" i="84"/>
  <c r="AD251" i="84"/>
  <c r="AB251" i="84"/>
  <c r="Z251" i="84"/>
  <c r="X251" i="84"/>
  <c r="V251" i="84"/>
  <c r="T251" i="84"/>
  <c r="R251" i="84"/>
  <c r="S251" i="84"/>
  <c r="Q251" i="84"/>
  <c r="AE251" i="84"/>
  <c r="AC251" i="84"/>
  <c r="AA251" i="84"/>
  <c r="Y251" i="84"/>
  <c r="W251" i="84"/>
  <c r="U251" i="84"/>
  <c r="J281" i="84"/>
  <c r="Y72" i="84"/>
  <c r="AE268" i="84"/>
  <c r="AC268" i="84"/>
  <c r="AA268" i="84"/>
  <c r="Y268" i="84"/>
  <c r="W268" i="84"/>
  <c r="U268" i="84"/>
  <c r="S268" i="84"/>
  <c r="Q268" i="84"/>
  <c r="T268" i="84"/>
  <c r="R268" i="84"/>
  <c r="AD268" i="84"/>
  <c r="AB268" i="84"/>
  <c r="Z268" i="84"/>
  <c r="X268" i="84"/>
  <c r="V268" i="84"/>
  <c r="J259" i="84"/>
  <c r="Y50" i="84"/>
  <c r="S256" i="84"/>
  <c r="Q256" i="84"/>
  <c r="AE256" i="84"/>
  <c r="AC256" i="84"/>
  <c r="AA256" i="84"/>
  <c r="Y256" i="84"/>
  <c r="W256" i="84"/>
  <c r="U256" i="84"/>
  <c r="X256" i="84"/>
  <c r="V256" i="84"/>
  <c r="T256" i="84"/>
  <c r="R256" i="84"/>
  <c r="AD256" i="84"/>
  <c r="AB256" i="84"/>
  <c r="Z256" i="84"/>
  <c r="S288" i="84"/>
  <c r="Q288" i="84"/>
  <c r="AE288" i="84"/>
  <c r="AC288" i="84"/>
  <c r="AA288" i="84"/>
  <c r="Y288" i="84"/>
  <c r="W288" i="84"/>
  <c r="U288" i="84"/>
  <c r="X288" i="84"/>
  <c r="V288" i="84"/>
  <c r="T288" i="84"/>
  <c r="R288" i="84"/>
  <c r="AD288" i="84"/>
  <c r="AB288" i="84"/>
  <c r="Z288" i="84"/>
  <c r="J267" i="84"/>
  <c r="Y58" i="84"/>
  <c r="J239" i="84"/>
  <c r="Y30" i="84"/>
  <c r="J238" i="84"/>
  <c r="Y29" i="84"/>
  <c r="J263" i="84"/>
  <c r="Y54" i="84"/>
  <c r="Y39" i="84"/>
  <c r="J248" i="84"/>
  <c r="J280" i="84"/>
  <c r="Y71" i="84"/>
  <c r="J278" i="84"/>
  <c r="Y69" i="84"/>
  <c r="X261" i="84"/>
  <c r="V261" i="84"/>
  <c r="T261" i="84"/>
  <c r="R261" i="84"/>
  <c r="AD261" i="84"/>
  <c r="AB261" i="84"/>
  <c r="Z261" i="84"/>
  <c r="AC261" i="84"/>
  <c r="AA261" i="84"/>
  <c r="Y261" i="84"/>
  <c r="W261" i="84"/>
  <c r="U261" i="84"/>
  <c r="S261" i="84"/>
  <c r="Q261" i="84"/>
  <c r="AE261" i="84"/>
  <c r="AB281" i="84"/>
  <c r="Z281" i="84"/>
  <c r="X281" i="84"/>
  <c r="V281" i="84"/>
  <c r="T281" i="84"/>
  <c r="R281" i="84"/>
  <c r="AD281" i="84"/>
  <c r="Q281" i="84"/>
  <c r="AE281" i="84"/>
  <c r="AC281" i="84"/>
  <c r="AA281" i="84"/>
  <c r="Y281" i="84"/>
  <c r="W281" i="84"/>
  <c r="U281" i="84"/>
  <c r="S281" i="84"/>
  <c r="J282" i="84"/>
  <c r="Y73" i="84"/>
  <c r="X277" i="84"/>
  <c r="V277" i="84"/>
  <c r="T277" i="84"/>
  <c r="R277" i="84"/>
  <c r="AD277" i="84"/>
  <c r="AB277" i="84"/>
  <c r="Z277" i="84"/>
  <c r="AC277" i="84"/>
  <c r="AA277" i="84"/>
  <c r="Y277" i="84"/>
  <c r="W277" i="84"/>
  <c r="U277" i="84"/>
  <c r="S277" i="84"/>
  <c r="Q277" i="84"/>
  <c r="AE277" i="84"/>
  <c r="T289" i="84"/>
  <c r="R289" i="84"/>
  <c r="AD289" i="84"/>
  <c r="AB289" i="84"/>
  <c r="Z289" i="84"/>
  <c r="X289" i="84"/>
  <c r="V289" i="84"/>
  <c r="Y289" i="84"/>
  <c r="W289" i="84"/>
  <c r="U289" i="84"/>
  <c r="S289" i="84"/>
  <c r="Q289" i="84"/>
  <c r="AE289" i="84"/>
  <c r="AC289" i="84"/>
  <c r="AA289" i="84"/>
  <c r="AD267" i="84"/>
  <c r="AB267" i="84"/>
  <c r="Z267" i="84"/>
  <c r="X267" i="84"/>
  <c r="V267" i="84"/>
  <c r="T267" i="84"/>
  <c r="R267" i="84"/>
  <c r="S267" i="84"/>
  <c r="Q267" i="84"/>
  <c r="AE267" i="84"/>
  <c r="AC267" i="84"/>
  <c r="AA267" i="84"/>
  <c r="Y267" i="84"/>
  <c r="W267" i="84"/>
  <c r="U267" i="84"/>
  <c r="R239" i="84"/>
  <c r="AD239" i="84"/>
  <c r="AB239" i="84"/>
  <c r="Z239" i="84"/>
  <c r="X239" i="84"/>
  <c r="V239" i="84"/>
  <c r="T239" i="84"/>
  <c r="W239" i="84"/>
  <c r="U239" i="84"/>
  <c r="S239" i="84"/>
  <c r="Q239" i="84"/>
  <c r="AE239" i="84"/>
  <c r="AA239" i="84"/>
  <c r="Y239" i="84"/>
  <c r="AC239" i="84"/>
  <c r="Y51" i="84"/>
  <c r="J260" i="84"/>
  <c r="Y49" i="84"/>
  <c r="J258" i="84"/>
  <c r="J290" i="84"/>
  <c r="Y81" i="84"/>
  <c r="J283" i="84"/>
  <c r="Y74" i="84"/>
  <c r="Y37" i="84"/>
  <c r="J246" i="84"/>
  <c r="Y75" i="84"/>
  <c r="J284" i="84"/>
  <c r="V259" i="84"/>
  <c r="T259" i="84"/>
  <c r="R259" i="84"/>
  <c r="AD259" i="84"/>
  <c r="AB259" i="84"/>
  <c r="Z259" i="84"/>
  <c r="X259" i="84"/>
  <c r="AA259" i="84"/>
  <c r="Y259" i="84"/>
  <c r="W259" i="84"/>
  <c r="U259" i="84"/>
  <c r="S259" i="84"/>
  <c r="Q259" i="84"/>
  <c r="AE259" i="84"/>
  <c r="AC259" i="84"/>
  <c r="Y41" i="84"/>
  <c r="J250" i="84"/>
  <c r="J272" i="84"/>
  <c r="Y63" i="84"/>
  <c r="Y61" i="84"/>
  <c r="J270" i="84"/>
  <c r="Y56" i="84"/>
  <c r="J265" i="84"/>
  <c r="W260" i="84"/>
  <c r="U260" i="84"/>
  <c r="S260" i="84"/>
  <c r="Q260" i="84"/>
  <c r="AE260" i="84"/>
  <c r="AC260" i="84"/>
  <c r="AA260" i="84"/>
  <c r="Y260" i="84"/>
  <c r="AB260" i="84"/>
  <c r="Z260" i="84"/>
  <c r="X260" i="84"/>
  <c r="V260" i="84"/>
  <c r="T260" i="84"/>
  <c r="R260" i="84"/>
  <c r="AD260" i="84"/>
  <c r="Q238" i="84"/>
  <c r="AE238" i="84"/>
  <c r="AC238" i="84"/>
  <c r="AA238" i="84"/>
  <c r="Y238" i="84"/>
  <c r="W238" i="84"/>
  <c r="U238" i="84"/>
  <c r="S238" i="84"/>
  <c r="V238" i="84"/>
  <c r="T238" i="84"/>
  <c r="R238" i="84"/>
  <c r="AD238" i="84"/>
  <c r="AB238" i="84"/>
  <c r="Z238" i="84"/>
  <c r="X238" i="84"/>
  <c r="T232" i="84"/>
  <c r="X232" i="84"/>
  <c r="Y27" i="84"/>
  <c r="J236" i="84"/>
  <c r="Y26" i="84"/>
  <c r="J235" i="84"/>
  <c r="Y22" i="84"/>
  <c r="J231" i="84"/>
  <c r="J237" i="84"/>
  <c r="Y28" i="84"/>
  <c r="J233" i="84"/>
  <c r="Y24" i="84"/>
  <c r="AB18" i="84"/>
  <c r="J234" i="84"/>
  <c r="Y25" i="84"/>
  <c r="J232" i="84"/>
  <c r="Y23" i="84"/>
  <c r="J230" i="84"/>
  <c r="Y21" i="84"/>
  <c r="C21" i="84" s="1"/>
  <c r="Y232" i="84"/>
  <c r="R232" i="84"/>
  <c r="AB231" i="84"/>
  <c r="V232" i="84"/>
  <c r="V231" i="84"/>
  <c r="Z232" i="84"/>
  <c r="AA232" i="84"/>
  <c r="AB232" i="84"/>
  <c r="AD232" i="84"/>
  <c r="Q232" i="84"/>
  <c r="S232" i="84"/>
  <c r="U232" i="84"/>
  <c r="AC231" i="84"/>
  <c r="AD231" i="84"/>
  <c r="AE231" i="84"/>
  <c r="AA231" i="84"/>
  <c r="Q231" i="84"/>
  <c r="W234" i="84"/>
  <c r="Q234" i="84"/>
  <c r="U234" i="84"/>
  <c r="T234" i="84"/>
  <c r="AC234" i="84"/>
  <c r="AH26" i="84"/>
  <c r="AB234" i="84"/>
  <c r="R233" i="84"/>
  <c r="T233" i="84"/>
  <c r="S234" i="84"/>
  <c r="Y234" i="84"/>
  <c r="V233" i="84"/>
  <c r="X233" i="84"/>
  <c r="AD233" i="84"/>
  <c r="R234" i="84"/>
  <c r="AE234" i="84"/>
  <c r="Q233" i="84"/>
  <c r="S233" i="84"/>
  <c r="AD234" i="84"/>
  <c r="U233" i="84"/>
  <c r="W233" i="84"/>
  <c r="Y233" i="84"/>
  <c r="AE237" i="84"/>
  <c r="AC237" i="84"/>
  <c r="Q237" i="84"/>
  <c r="AD237" i="84"/>
  <c r="AB237" i="84"/>
  <c r="AA237" i="84"/>
  <c r="Y237" i="84"/>
  <c r="Z237" i="84"/>
  <c r="X237" i="84"/>
  <c r="W237" i="84"/>
  <c r="U237" i="84"/>
  <c r="V237" i="84"/>
  <c r="T237" i="84"/>
  <c r="S237" i="84"/>
  <c r="R237" i="84"/>
  <c r="R4" i="101"/>
  <c r="A36" i="101"/>
  <c r="F235" i="84"/>
  <c r="P236" i="84"/>
  <c r="F236" i="84"/>
  <c r="AE236" i="84"/>
  <c r="AA236" i="84"/>
  <c r="W236" i="84"/>
  <c r="S236" i="84"/>
  <c r="AD236" i="84"/>
  <c r="R236" i="84"/>
  <c r="AC236" i="84"/>
  <c r="Y236" i="84"/>
  <c r="U236" i="84"/>
  <c r="Q236" i="84"/>
  <c r="AB236" i="84"/>
  <c r="X236" i="84"/>
  <c r="T236" i="84"/>
  <c r="Z236" i="84"/>
  <c r="V236" i="84"/>
  <c r="AD235" i="84"/>
  <c r="Z235" i="84"/>
  <c r="V235" i="84"/>
  <c r="R235" i="84"/>
  <c r="AE235" i="84"/>
  <c r="AA235" i="84"/>
  <c r="W235" i="84"/>
  <c r="S235" i="84"/>
  <c r="AB235" i="84"/>
  <c r="X235" i="84"/>
  <c r="T235" i="84"/>
  <c r="AC235" i="84"/>
  <c r="Y235" i="84"/>
  <c r="U235" i="84"/>
  <c r="Q235" i="84"/>
  <c r="AK92" i="135"/>
  <c r="F123" i="135" s="1"/>
  <c r="L123" i="135" s="1"/>
  <c r="F230" i="84"/>
  <c r="AD230" i="84"/>
  <c r="Z230" i="84"/>
  <c r="V230" i="84"/>
  <c r="R230" i="84"/>
  <c r="AC230" i="84"/>
  <c r="Y230" i="84"/>
  <c r="U230" i="84"/>
  <c r="Q230" i="84"/>
  <c r="AB230" i="84"/>
  <c r="X230" i="84"/>
  <c r="T230" i="84"/>
  <c r="AE230" i="84"/>
  <c r="AA230" i="84"/>
  <c r="W230" i="84"/>
  <c r="S230" i="84"/>
  <c r="CM24" i="84"/>
  <c r="CM23" i="84"/>
  <c r="L18" i="84"/>
  <c r="AG18" i="79" s="1"/>
  <c r="CM25" i="84"/>
  <c r="AJ92" i="135"/>
  <c r="E123" i="135" s="1"/>
  <c r="K123" i="135" s="1"/>
  <c r="AJ100" i="135"/>
  <c r="E131" i="135" s="1"/>
  <c r="K131" i="135" s="1"/>
  <c r="C4" i="2"/>
  <c r="M115" i="203" l="1"/>
  <c r="L115" i="203"/>
  <c r="M113" i="203"/>
  <c r="M76" i="203"/>
  <c r="M72" i="203"/>
  <c r="I25" i="227"/>
  <c r="O25" i="227" s="1"/>
  <c r="F41" i="227"/>
  <c r="M41" i="227" s="1"/>
  <c r="I57" i="227"/>
  <c r="O57" i="227" s="1"/>
  <c r="F65" i="227"/>
  <c r="M65" i="227" s="1"/>
  <c r="F67" i="227"/>
  <c r="M67" i="227" s="1"/>
  <c r="F59" i="227"/>
  <c r="M59" i="227" s="1"/>
  <c r="F38" i="227"/>
  <c r="M38" i="227" s="1"/>
  <c r="F46" i="227"/>
  <c r="M46" i="227" s="1"/>
  <c r="I45" i="227"/>
  <c r="O45" i="227" s="1"/>
  <c r="F39" i="227"/>
  <c r="M39" i="227" s="1"/>
  <c r="F34" i="227"/>
  <c r="M34" i="227" s="1"/>
  <c r="F51" i="227"/>
  <c r="M51" i="227" s="1"/>
  <c r="I35" i="227"/>
  <c r="O35" i="227" s="1"/>
  <c r="F62" i="227"/>
  <c r="M62" i="227" s="1"/>
  <c r="I37" i="227"/>
  <c r="O37" i="227" s="1"/>
  <c r="G26" i="194"/>
  <c r="G76" i="194" s="1"/>
  <c r="F52" i="227"/>
  <c r="M52" i="227" s="1"/>
  <c r="A101" i="197"/>
  <c r="E3" i="233"/>
  <c r="F3" i="233"/>
  <c r="I60" i="142" s="1"/>
  <c r="J60" i="142" s="1"/>
  <c r="I71" i="227"/>
  <c r="O71" i="227" s="1"/>
  <c r="M44" i="227"/>
  <c r="M19" i="227"/>
  <c r="M21" i="227"/>
  <c r="I27" i="227"/>
  <c r="O27" i="227" s="1"/>
  <c r="G8" i="194"/>
  <c r="I40" i="227"/>
  <c r="O40" i="227" s="1"/>
  <c r="I47" i="227"/>
  <c r="O47" i="227" s="1"/>
  <c r="I72" i="227"/>
  <c r="O72" i="227" s="1"/>
  <c r="I29" i="227"/>
  <c r="O29" i="227" s="1"/>
  <c r="F49" i="227"/>
  <c r="A27" i="195"/>
  <c r="F42" i="227"/>
  <c r="F56" i="227"/>
  <c r="I58" i="227"/>
  <c r="O58" i="227" s="1"/>
  <c r="F29" i="227"/>
  <c r="F40" i="227"/>
  <c r="G75" i="194"/>
  <c r="I56" i="227"/>
  <c r="O56" i="227" s="1"/>
  <c r="F72" i="227"/>
  <c r="F13" i="227"/>
  <c r="L8" i="194" a="1"/>
  <c r="L8" i="194" s="1"/>
  <c r="F47" i="227"/>
  <c r="G74" i="194"/>
  <c r="I49" i="227"/>
  <c r="O49" i="227" s="1"/>
  <c r="F58" i="227"/>
  <c r="M18" i="227"/>
  <c r="I42" i="227"/>
  <c r="O42" i="227" s="1"/>
  <c r="O17" i="231"/>
  <c r="M70" i="227"/>
  <c r="M16" i="227"/>
  <c r="M16" i="231"/>
  <c r="I51" i="231"/>
  <c r="O51" i="231" s="1"/>
  <c r="F51" i="231"/>
  <c r="F37" i="231"/>
  <c r="I37" i="231"/>
  <c r="O37" i="231" s="1"/>
  <c r="F39" i="231"/>
  <c r="I39" i="231"/>
  <c r="O39" i="231" s="1"/>
  <c r="I32" i="231"/>
  <c r="O32" i="231" s="1"/>
  <c r="F32" i="231"/>
  <c r="I38" i="231"/>
  <c r="O38" i="231" s="1"/>
  <c r="F38" i="231"/>
  <c r="I62" i="231"/>
  <c r="O62" i="231" s="1"/>
  <c r="F62" i="231"/>
  <c r="M22" i="231"/>
  <c r="I70" i="231"/>
  <c r="O70" i="231" s="1"/>
  <c r="F70" i="231"/>
  <c r="F29" i="231"/>
  <c r="I29" i="231"/>
  <c r="O29" i="231" s="1"/>
  <c r="F69" i="231"/>
  <c r="I69" i="231"/>
  <c r="O69" i="231" s="1"/>
  <c r="I59" i="231"/>
  <c r="O59" i="231" s="1"/>
  <c r="F59" i="231"/>
  <c r="F47" i="231"/>
  <c r="I47" i="231"/>
  <c r="O47" i="231" s="1"/>
  <c r="I56" i="231"/>
  <c r="O56" i="231" s="1"/>
  <c r="F56" i="231"/>
  <c r="M18" i="231"/>
  <c r="F71" i="231"/>
  <c r="I71" i="231"/>
  <c r="O71" i="231" s="1"/>
  <c r="F25" i="231"/>
  <c r="I25" i="231"/>
  <c r="O25" i="231" s="1"/>
  <c r="I49" i="231"/>
  <c r="O49" i="231" s="1"/>
  <c r="F49" i="231"/>
  <c r="I52" i="231"/>
  <c r="O52" i="231" s="1"/>
  <c r="F52" i="231"/>
  <c r="M19" i="231"/>
  <c r="M21" i="231"/>
  <c r="I34" i="231"/>
  <c r="O34" i="231" s="1"/>
  <c r="F34" i="231"/>
  <c r="I41" i="231"/>
  <c r="O41" i="231" s="1"/>
  <c r="F41" i="231"/>
  <c r="I67" i="231"/>
  <c r="O67" i="231" s="1"/>
  <c r="F67" i="231"/>
  <c r="I40" i="231"/>
  <c r="O40" i="231" s="1"/>
  <c r="F40" i="231"/>
  <c r="F61" i="231"/>
  <c r="I61" i="231"/>
  <c r="O61" i="231" s="1"/>
  <c r="F65" i="231"/>
  <c r="I65" i="231"/>
  <c r="O65" i="231" s="1"/>
  <c r="I27" i="231"/>
  <c r="O27" i="231" s="1"/>
  <c r="F27" i="231"/>
  <c r="F58" i="231"/>
  <c r="I58" i="231"/>
  <c r="O58" i="231" s="1"/>
  <c r="I72" i="231"/>
  <c r="O72" i="231" s="1"/>
  <c r="F72" i="231"/>
  <c r="I35" i="231"/>
  <c r="O35" i="231" s="1"/>
  <c r="F35" i="231"/>
  <c r="I46" i="231"/>
  <c r="O46" i="231" s="1"/>
  <c r="F46" i="231"/>
  <c r="F28" i="231"/>
  <c r="I28" i="231"/>
  <c r="O28" i="231" s="1"/>
  <c r="I57" i="231"/>
  <c r="O57" i="231" s="1"/>
  <c r="F57" i="231"/>
  <c r="I30" i="231"/>
  <c r="O30" i="231" s="1"/>
  <c r="F30" i="231"/>
  <c r="F60" i="231"/>
  <c r="I60" i="231"/>
  <c r="O60" i="231" s="1"/>
  <c r="F42" i="231"/>
  <c r="I42" i="231"/>
  <c r="O42" i="231" s="1"/>
  <c r="I44" i="231"/>
  <c r="O44" i="231" s="1"/>
  <c r="F44" i="231"/>
  <c r="F66" i="231"/>
  <c r="I66" i="231"/>
  <c r="O66" i="231" s="1"/>
  <c r="F45" i="231"/>
  <c r="I45" i="231"/>
  <c r="O45" i="231" s="1"/>
  <c r="F68" i="231"/>
  <c r="I68" i="231"/>
  <c r="O68" i="231" s="1"/>
  <c r="I48" i="231"/>
  <c r="O48" i="231" s="1"/>
  <c r="F48" i="231"/>
  <c r="I50" i="231"/>
  <c r="O50" i="231" s="1"/>
  <c r="F50" i="231"/>
  <c r="G75" i="196"/>
  <c r="O14" i="231"/>
  <c r="M14" i="231"/>
  <c r="F27" i="227"/>
  <c r="G72" i="194"/>
  <c r="I28" i="227"/>
  <c r="O28" i="227" s="1"/>
  <c r="M17" i="231"/>
  <c r="G73" i="196"/>
  <c r="G77" i="196"/>
  <c r="F28" i="227"/>
  <c r="G73" i="194"/>
  <c r="M61" i="227"/>
  <c r="M22" i="227"/>
  <c r="M66" i="227"/>
  <c r="G26" i="196"/>
  <c r="I32" i="227"/>
  <c r="O32" i="227" s="1"/>
  <c r="I68" i="227"/>
  <c r="O68" i="227" s="1"/>
  <c r="I17" i="227"/>
  <c r="F68" i="227"/>
  <c r="G77" i="194"/>
  <c r="F32" i="227"/>
  <c r="G72" i="196"/>
  <c r="G74" i="196"/>
  <c r="L26" i="196" a="1"/>
  <c r="L26" i="196" s="1"/>
  <c r="M14" i="227"/>
  <c r="K32" i="203"/>
  <c r="O32" i="203" s="1"/>
  <c r="M92" i="203"/>
  <c r="M16" i="203"/>
  <c r="I7" i="203"/>
  <c r="M7" i="203" s="1"/>
  <c r="F8" i="200"/>
  <c r="H8" i="200" s="1"/>
  <c r="L90" i="203"/>
  <c r="P90" i="203" s="1"/>
  <c r="L28" i="203"/>
  <c r="P28" i="203" s="1"/>
  <c r="M55" i="203"/>
  <c r="P113" i="203"/>
  <c r="F31" i="200"/>
  <c r="G31" i="200" s="1"/>
  <c r="I31" i="200" s="1"/>
  <c r="F28" i="200"/>
  <c r="H28" i="200" s="1"/>
  <c r="F40" i="200"/>
  <c r="G40" i="200" s="1"/>
  <c r="I40" i="200" s="1"/>
  <c r="M96" i="203"/>
  <c r="M74" i="203"/>
  <c r="G11" i="200"/>
  <c r="I11" i="200" s="1"/>
  <c r="G19" i="200"/>
  <c r="I19" i="200" s="1"/>
  <c r="M52" i="203"/>
  <c r="M75" i="203"/>
  <c r="H10" i="200"/>
  <c r="F29" i="200"/>
  <c r="H29" i="200" s="1"/>
  <c r="I34" i="203"/>
  <c r="K34" i="203" s="1"/>
  <c r="F41" i="200"/>
  <c r="G41" i="200" s="1"/>
  <c r="I41" i="200" s="1"/>
  <c r="M94" i="203"/>
  <c r="F39" i="200"/>
  <c r="H39" i="200" s="1"/>
  <c r="M70" i="203"/>
  <c r="F38" i="200"/>
  <c r="G38" i="200" s="1"/>
  <c r="I38" i="200" s="1"/>
  <c r="M54" i="203"/>
  <c r="P115" i="203"/>
  <c r="M48" i="203"/>
  <c r="H21" i="200"/>
  <c r="I136" i="203"/>
  <c r="M136" i="203" s="1"/>
  <c r="M35" i="203"/>
  <c r="AJ91" i="135"/>
  <c r="E122" i="135" s="1"/>
  <c r="K122" i="135" s="1"/>
  <c r="H7" i="200"/>
  <c r="G7" i="200"/>
  <c r="N15" i="203"/>
  <c r="I10" i="200"/>
  <c r="E126" i="135"/>
  <c r="K126" i="135" s="1"/>
  <c r="AJ99" i="135"/>
  <c r="E130" i="135" s="1"/>
  <c r="K130" i="135" s="1"/>
  <c r="S88" i="115"/>
  <c r="Y88" i="115"/>
  <c r="S34" i="115"/>
  <c r="Y34" i="115"/>
  <c r="S38" i="115"/>
  <c r="Y38" i="115"/>
  <c r="S52" i="115"/>
  <c r="Y52" i="115"/>
  <c r="R40" i="115"/>
  <c r="X40" i="115"/>
  <c r="R52" i="115"/>
  <c r="X52" i="115"/>
  <c r="R53" i="115"/>
  <c r="X53" i="115"/>
  <c r="S45" i="115"/>
  <c r="Y45" i="115"/>
  <c r="S60" i="115"/>
  <c r="Y60" i="115"/>
  <c r="R46" i="115"/>
  <c r="X46" i="115"/>
  <c r="S46" i="115"/>
  <c r="Y46" i="115"/>
  <c r="Q60" i="115"/>
  <c r="W60" i="115"/>
  <c r="R45" i="115"/>
  <c r="X45" i="115"/>
  <c r="S24" i="115"/>
  <c r="Y24" i="115"/>
  <c r="Q45" i="115"/>
  <c r="W45" i="115"/>
  <c r="Q52" i="115"/>
  <c r="W52" i="115"/>
  <c r="R38" i="115"/>
  <c r="X38" i="115"/>
  <c r="Q24" i="115"/>
  <c r="W24" i="115"/>
  <c r="Q40" i="115"/>
  <c r="W40" i="115"/>
  <c r="Q46" i="115"/>
  <c r="W46" i="115"/>
  <c r="R60" i="115"/>
  <c r="X60" i="115"/>
  <c r="S53" i="115"/>
  <c r="Y53" i="115"/>
  <c r="R34" i="115"/>
  <c r="X34" i="115"/>
  <c r="S40" i="115"/>
  <c r="Y40" i="115"/>
  <c r="Q53" i="115"/>
  <c r="W53" i="115"/>
  <c r="L90" i="117"/>
  <c r="AE26" i="117" s="1"/>
  <c r="AJ26" i="117" s="1"/>
  <c r="AK104" i="135"/>
  <c r="F135" i="135" s="1"/>
  <c r="L135" i="135" s="1"/>
  <c r="AK87" i="135"/>
  <c r="F118" i="135" s="1"/>
  <c r="L118" i="135" s="1"/>
  <c r="AK99" i="135"/>
  <c r="F130" i="135" s="1"/>
  <c r="L130" i="135" s="1"/>
  <c r="N20" i="153"/>
  <c r="M20" i="153"/>
  <c r="AC20" i="153"/>
  <c r="AB27" i="153"/>
  <c r="M27" i="153"/>
  <c r="AC27" i="153"/>
  <c r="N90" i="117"/>
  <c r="AG26" i="117" s="1"/>
  <c r="AL26" i="117" s="1"/>
  <c r="AF26" i="117"/>
  <c r="AK26" i="117" s="1"/>
  <c r="M48" i="142"/>
  <c r="N48" i="142" s="1"/>
  <c r="R5" i="101"/>
  <c r="AK120" i="135"/>
  <c r="F151" i="135" s="1"/>
  <c r="L151" i="135" s="1"/>
  <c r="AK119" i="135"/>
  <c r="F150" i="135" s="1"/>
  <c r="L150" i="135" s="1"/>
  <c r="AJ104" i="135"/>
  <c r="E135" i="135" s="1"/>
  <c r="K135" i="135" s="1"/>
  <c r="AJ120" i="135"/>
  <c r="E151" i="135" s="1"/>
  <c r="K151" i="135" s="1"/>
  <c r="AJ119" i="135"/>
  <c r="E150" i="135" s="1"/>
  <c r="K150" i="135" s="1"/>
  <c r="M25" i="227" l="1"/>
  <c r="M57" i="227"/>
  <c r="M37" i="227"/>
  <c r="M45" i="227"/>
  <c r="F31" i="227"/>
  <c r="I31" i="227"/>
  <c r="O31" i="227" s="1"/>
  <c r="M35" i="227"/>
  <c r="D3" i="233"/>
  <c r="J5" i="197"/>
  <c r="M71" i="227"/>
  <c r="M40" i="227"/>
  <c r="M29" i="227"/>
  <c r="M47" i="227"/>
  <c r="I13" i="227"/>
  <c r="O13" i="227" s="1"/>
  <c r="M58" i="227"/>
  <c r="M72" i="227"/>
  <c r="M27" i="227"/>
  <c r="M56" i="227"/>
  <c r="M49" i="227"/>
  <c r="M42" i="227"/>
  <c r="M56" i="231"/>
  <c r="M51" i="231"/>
  <c r="M52" i="231"/>
  <c r="M38" i="231"/>
  <c r="M66" i="231"/>
  <c r="M42" i="231"/>
  <c r="M45" i="231"/>
  <c r="M40" i="231"/>
  <c r="M48" i="231"/>
  <c r="M44" i="231"/>
  <c r="M57" i="231"/>
  <c r="M72" i="231"/>
  <c r="M34" i="231"/>
  <c r="M62" i="231"/>
  <c r="M47" i="231"/>
  <c r="M37" i="231"/>
  <c r="M59" i="231"/>
  <c r="M58" i="231"/>
  <c r="M46" i="231"/>
  <c r="M35" i="231"/>
  <c r="M49" i="231"/>
  <c r="M71" i="231"/>
  <c r="M67" i="231"/>
  <c r="M39" i="231"/>
  <c r="M70" i="231"/>
  <c r="M29" i="231"/>
  <c r="M65" i="231"/>
  <c r="M50" i="231"/>
  <c r="M30" i="231"/>
  <c r="M41" i="231"/>
  <c r="M25" i="231"/>
  <c r="G76" i="196"/>
  <c r="F31" i="231"/>
  <c r="I31" i="231"/>
  <c r="O31" i="231" s="1"/>
  <c r="M28" i="227"/>
  <c r="M68" i="231"/>
  <c r="M61" i="231"/>
  <c r="M69" i="231"/>
  <c r="M60" i="231"/>
  <c r="M32" i="231"/>
  <c r="M27" i="231"/>
  <c r="M28" i="231"/>
  <c r="M68" i="227"/>
  <c r="M32" i="227"/>
  <c r="O17" i="227"/>
  <c r="M17" i="227"/>
  <c r="G8" i="200"/>
  <c r="I8" i="200" s="1"/>
  <c r="L132" i="203"/>
  <c r="P132" i="203" s="1"/>
  <c r="G28" i="200"/>
  <c r="I28" i="200" s="1"/>
  <c r="H40" i="200"/>
  <c r="H31" i="200"/>
  <c r="K134" i="203"/>
  <c r="O134" i="203" s="1"/>
  <c r="J136" i="203"/>
  <c r="N136" i="203" s="1"/>
  <c r="F76" i="200"/>
  <c r="H76" i="200" s="1"/>
  <c r="G29" i="200"/>
  <c r="I29" i="200" s="1"/>
  <c r="G76" i="200"/>
  <c r="I76" i="200" s="1"/>
  <c r="M34" i="203"/>
  <c r="H41" i="200"/>
  <c r="K136" i="203"/>
  <c r="O136" i="203" s="1"/>
  <c r="G39" i="200"/>
  <c r="I39" i="200" s="1"/>
  <c r="F74" i="200"/>
  <c r="H74" i="200" s="1"/>
  <c r="H38" i="200"/>
  <c r="L133" i="203"/>
  <c r="P133" i="203" s="1"/>
  <c r="O34" i="203"/>
  <c r="K135" i="203"/>
  <c r="I7" i="200"/>
  <c r="AJ103" i="135"/>
  <c r="E134" i="135" s="1"/>
  <c r="K134" i="135" s="1"/>
  <c r="AK108" i="135"/>
  <c r="F139" i="135" s="1"/>
  <c r="L139" i="135" s="1"/>
  <c r="AK91" i="135"/>
  <c r="F122" i="135" s="1"/>
  <c r="L122" i="135" s="1"/>
  <c r="AK103" i="135"/>
  <c r="F134" i="135" s="1"/>
  <c r="L134" i="135" s="1"/>
  <c r="AK123" i="135"/>
  <c r="F154" i="135" s="1"/>
  <c r="L154" i="135" s="1"/>
  <c r="AK124" i="135"/>
  <c r="F155" i="135" s="1"/>
  <c r="L155" i="135" s="1"/>
  <c r="AJ123" i="135"/>
  <c r="E154" i="135" s="1"/>
  <c r="K154" i="135" s="1"/>
  <c r="AJ124" i="135"/>
  <c r="E155" i="135" s="1"/>
  <c r="K155" i="135" s="1"/>
  <c r="AJ108" i="135"/>
  <c r="E139" i="135" s="1"/>
  <c r="K139" i="135" s="1"/>
  <c r="M31" i="227" l="1"/>
  <c r="M13" i="227"/>
  <c r="M31" i="231"/>
  <c r="J142" i="203"/>
  <c r="N142" i="203" s="1"/>
  <c r="G74" i="200"/>
  <c r="I74" i="200" s="1"/>
  <c r="L142" i="203"/>
  <c r="P142" i="203" s="1"/>
  <c r="O135" i="203"/>
  <c r="K142" i="203"/>
  <c r="AJ107" i="135"/>
  <c r="E138" i="135" s="1"/>
  <c r="K138" i="135" s="1"/>
  <c r="AK112" i="135"/>
  <c r="F143" i="135" s="1"/>
  <c r="AK107" i="135"/>
  <c r="F138" i="135" s="1"/>
  <c r="L138" i="135" s="1"/>
  <c r="J19" i="155"/>
  <c r="AJ112" i="135"/>
  <c r="E143" i="135" s="1"/>
  <c r="AK128" i="135"/>
  <c r="F159" i="135" s="1"/>
  <c r="L159" i="135" s="1"/>
  <c r="AK127" i="135"/>
  <c r="F158" i="135" s="1"/>
  <c r="L158" i="135" s="1"/>
  <c r="AQ25" i="117"/>
  <c r="AQ27" i="117"/>
  <c r="AQ28" i="117"/>
  <c r="AQ29" i="117"/>
  <c r="A24" i="2"/>
  <c r="AJ128" i="135"/>
  <c r="E159" i="135" s="1"/>
  <c r="K159" i="135" s="1"/>
  <c r="AJ127" i="135"/>
  <c r="E158" i="135" s="1"/>
  <c r="K158" i="135" s="1"/>
  <c r="C11" i="199" l="1"/>
  <c r="D11" i="199" s="1"/>
  <c r="C13" i="199"/>
  <c r="D13" i="199" s="1"/>
  <c r="C12" i="199"/>
  <c r="D12" i="199" s="1"/>
  <c r="O142" i="203"/>
  <c r="AJ111" i="135"/>
  <c r="E142" i="135" s="1"/>
  <c r="K142" i="135" s="1"/>
  <c r="L143" i="135"/>
  <c r="K143" i="135"/>
  <c r="AK111" i="135"/>
  <c r="F142" i="135" s="1"/>
  <c r="AK131" i="135"/>
  <c r="F162" i="135" s="1"/>
  <c r="L162" i="135" s="1"/>
  <c r="AK132" i="135"/>
  <c r="F163" i="135" s="1"/>
  <c r="L163" i="135" s="1"/>
  <c r="AJ131" i="135"/>
  <c r="E162" i="135" s="1"/>
  <c r="K162" i="135" s="1"/>
  <c r="AJ132" i="135"/>
  <c r="E163" i="135" s="1"/>
  <c r="K163" i="135" s="1"/>
  <c r="H33" i="115"/>
  <c r="H3" i="115" s="1"/>
  <c r="L142" i="135" l="1"/>
  <c r="A26" i="2"/>
  <c r="AK136" i="135"/>
  <c r="F167" i="135" s="1"/>
  <c r="L167" i="135" s="1"/>
  <c r="AK135" i="135"/>
  <c r="F166" i="135" s="1"/>
  <c r="L166" i="135" s="1"/>
  <c r="AJ136" i="135"/>
  <c r="E167" i="135" s="1"/>
  <c r="K167" i="135" s="1"/>
  <c r="AJ135" i="135"/>
  <c r="E166" i="135" s="1"/>
  <c r="K166" i="135" s="1"/>
  <c r="J4" i="3"/>
  <c r="AK139" i="135" l="1"/>
  <c r="F170" i="135" s="1"/>
  <c r="L170" i="135" s="1"/>
  <c r="AK140" i="135"/>
  <c r="F171" i="135" s="1"/>
  <c r="L171" i="135" s="1"/>
  <c r="AJ139" i="135"/>
  <c r="E170" i="135" s="1"/>
  <c r="K170" i="135" s="1"/>
  <c r="AJ140" i="135"/>
  <c r="E171" i="135" s="1"/>
  <c r="K171" i="135" s="1"/>
  <c r="AB16" i="84"/>
  <c r="AG24" i="79" s="1"/>
  <c r="I45" i="142" l="1"/>
  <c r="J45" i="142" s="1"/>
  <c r="AK144" i="135"/>
  <c r="F175" i="135" s="1"/>
  <c r="L175" i="135" s="1"/>
  <c r="AK143" i="135"/>
  <c r="F174" i="135" s="1"/>
  <c r="L174" i="135" s="1"/>
  <c r="AJ144" i="135"/>
  <c r="E175" i="135" s="1"/>
  <c r="K175" i="135" s="1"/>
  <c r="AJ143" i="135"/>
  <c r="E174" i="135" s="1"/>
  <c r="K174" i="135" s="1"/>
  <c r="U83" i="117"/>
  <c r="Z83" i="117" s="1"/>
  <c r="AK147" i="135" l="1"/>
  <c r="F178" i="135" s="1"/>
  <c r="L178" i="135" s="1"/>
  <c r="AK148" i="135"/>
  <c r="F179" i="135" s="1"/>
  <c r="L179" i="135" s="1"/>
  <c r="AQ22" i="117"/>
  <c r="AQ21" i="117"/>
  <c r="AJ147" i="135"/>
  <c r="E178" i="135" s="1"/>
  <c r="K178" i="135" s="1"/>
  <c r="AJ148" i="135"/>
  <c r="E179" i="135" s="1"/>
  <c r="K179" i="135" s="1"/>
  <c r="T83" i="117"/>
  <c r="X83" i="117" s="1"/>
  <c r="S83" i="117"/>
  <c r="Y83" i="117" l="1"/>
  <c r="V83" i="117"/>
  <c r="V96" i="117" s="1"/>
  <c r="J27" i="113"/>
  <c r="I27" i="113"/>
  <c r="T86" i="113"/>
  <c r="AQ23" i="117"/>
  <c r="AP19" i="117"/>
  <c r="AR19" i="117"/>
  <c r="F4" i="61"/>
  <c r="W83" i="117" l="1"/>
  <c r="AO19" i="117" s="1"/>
  <c r="AN19" i="117"/>
  <c r="AQ19" i="117"/>
  <c r="H29" i="113"/>
  <c r="H3" i="113" s="1"/>
  <c r="J4" i="1" l="1"/>
  <c r="O388" i="84" l="1"/>
  <c r="CM179" i="84" l="1"/>
  <c r="C176" i="84"/>
  <c r="P388" i="84"/>
  <c r="C159" i="84"/>
  <c r="C161" i="84"/>
  <c r="C164" i="84"/>
  <c r="C165" i="84"/>
  <c r="C151" i="84"/>
  <c r="C157" i="84"/>
  <c r="C156" i="84"/>
  <c r="C172" i="84"/>
  <c r="C173" i="84"/>
  <c r="C152" i="84"/>
  <c r="C170" i="84"/>
  <c r="C155" i="84"/>
  <c r="C162" i="84"/>
  <c r="C175" i="84"/>
  <c r="C158" i="84"/>
  <c r="C160" i="84"/>
  <c r="C169" i="84"/>
  <c r="C150" i="84"/>
  <c r="C168" i="84"/>
  <c r="C154" i="84"/>
  <c r="C174" i="84"/>
  <c r="C167" i="84"/>
  <c r="C177" i="84"/>
  <c r="C166" i="84"/>
  <c r="C153" i="84"/>
  <c r="E139" i="104" l="1"/>
  <c r="M139" i="104"/>
  <c r="U139" i="104"/>
  <c r="F139" i="104"/>
  <c r="O139" i="104"/>
  <c r="P139" i="104"/>
  <c r="J139" i="104"/>
  <c r="T139" i="104"/>
  <c r="L139" i="104"/>
  <c r="N139" i="104"/>
  <c r="Q139" i="104"/>
  <c r="R139" i="104"/>
  <c r="G139" i="104"/>
  <c r="H139" i="104"/>
  <c r="I139" i="104"/>
  <c r="K139" i="104"/>
  <c r="S139" i="104"/>
  <c r="V139" i="104"/>
  <c r="G142" i="104"/>
  <c r="O142" i="104"/>
  <c r="F142" i="104"/>
  <c r="P142" i="104"/>
  <c r="M142" i="104"/>
  <c r="I142" i="104"/>
  <c r="S142" i="104"/>
  <c r="N142" i="104"/>
  <c r="Q142" i="104"/>
  <c r="R142" i="104"/>
  <c r="E142" i="104"/>
  <c r="T142" i="104"/>
  <c r="K142" i="104"/>
  <c r="L142" i="104"/>
  <c r="U142" i="104"/>
  <c r="V142" i="104"/>
  <c r="H142" i="104"/>
  <c r="J142" i="104"/>
  <c r="E143" i="104"/>
  <c r="M143" i="104"/>
  <c r="U143" i="104"/>
  <c r="G143" i="104"/>
  <c r="P143" i="104"/>
  <c r="F143" i="104"/>
  <c r="Q143" i="104"/>
  <c r="K143" i="104"/>
  <c r="V143" i="104"/>
  <c r="J143" i="104"/>
  <c r="L143" i="104"/>
  <c r="N143" i="104"/>
  <c r="O143" i="104"/>
  <c r="H143" i="104"/>
  <c r="I143" i="104"/>
  <c r="R143" i="104"/>
  <c r="S143" i="104"/>
  <c r="T143" i="104"/>
  <c r="F153" i="104"/>
  <c r="N153" i="104"/>
  <c r="V153" i="104"/>
  <c r="J153" i="104"/>
  <c r="S153" i="104"/>
  <c r="E153" i="104"/>
  <c r="O153" i="104"/>
  <c r="H153" i="104"/>
  <c r="T153" i="104"/>
  <c r="I153" i="104"/>
  <c r="U153" i="104"/>
  <c r="K153" i="104"/>
  <c r="L153" i="104"/>
  <c r="Q153" i="104"/>
  <c r="R153" i="104"/>
  <c r="G153" i="104"/>
  <c r="M153" i="104"/>
  <c r="P153" i="104"/>
  <c r="L162" i="104"/>
  <c r="T162" i="104"/>
  <c r="M162" i="104"/>
  <c r="V162" i="104"/>
  <c r="H162" i="104"/>
  <c r="Q162" i="104"/>
  <c r="E162" i="104"/>
  <c r="P162" i="104"/>
  <c r="F162" i="104"/>
  <c r="R162" i="104"/>
  <c r="G162" i="104"/>
  <c r="S162" i="104"/>
  <c r="I162" i="104"/>
  <c r="U162" i="104"/>
  <c r="J162" i="104"/>
  <c r="K162" i="104"/>
  <c r="N162" i="104"/>
  <c r="O162" i="104"/>
  <c r="H156" i="104"/>
  <c r="P156" i="104"/>
  <c r="K156" i="104"/>
  <c r="T156" i="104"/>
  <c r="F156" i="104"/>
  <c r="O156" i="104"/>
  <c r="N156" i="104"/>
  <c r="Q156" i="104"/>
  <c r="E156" i="104"/>
  <c r="R156" i="104"/>
  <c r="G156" i="104"/>
  <c r="S156" i="104"/>
  <c r="L156" i="104"/>
  <c r="M156" i="104"/>
  <c r="I156" i="104"/>
  <c r="J156" i="104"/>
  <c r="U156" i="104"/>
  <c r="V156" i="104"/>
  <c r="L158" i="104"/>
  <c r="T158" i="104"/>
  <c r="K158" i="104"/>
  <c r="U158" i="104"/>
  <c r="G158" i="104"/>
  <c r="P158" i="104"/>
  <c r="O158" i="104"/>
  <c r="E158" i="104"/>
  <c r="Q158" i="104"/>
  <c r="F158" i="104"/>
  <c r="R158" i="104"/>
  <c r="H158" i="104"/>
  <c r="S158" i="104"/>
  <c r="I158" i="104"/>
  <c r="J158" i="104"/>
  <c r="M158" i="104"/>
  <c r="N158" i="104"/>
  <c r="V158" i="104"/>
  <c r="H152" i="104"/>
  <c r="P152" i="104"/>
  <c r="J152" i="104"/>
  <c r="S152" i="104"/>
  <c r="E152" i="104"/>
  <c r="N152" i="104"/>
  <c r="M152" i="104"/>
  <c r="O152" i="104"/>
  <c r="Q152" i="104"/>
  <c r="F152" i="104"/>
  <c r="R152" i="104"/>
  <c r="K152" i="104"/>
  <c r="L152" i="104"/>
  <c r="T152" i="104"/>
  <c r="U152" i="104"/>
  <c r="V152" i="104"/>
  <c r="G152" i="104"/>
  <c r="I152" i="104"/>
  <c r="G138" i="104"/>
  <c r="O138" i="104"/>
  <c r="E138" i="104"/>
  <c r="N138" i="104"/>
  <c r="L138" i="104"/>
  <c r="V138" i="104"/>
  <c r="H138" i="104"/>
  <c r="R138" i="104"/>
  <c r="Q138" i="104"/>
  <c r="S138" i="104"/>
  <c r="F138" i="104"/>
  <c r="T138" i="104"/>
  <c r="I138" i="104"/>
  <c r="U138" i="104"/>
  <c r="M138" i="104"/>
  <c r="P138" i="104"/>
  <c r="J138" i="104"/>
  <c r="K138" i="104"/>
  <c r="K140" i="104"/>
  <c r="S140" i="104"/>
  <c r="F140" i="104"/>
  <c r="O140" i="104"/>
  <c r="H140" i="104"/>
  <c r="R140" i="104"/>
  <c r="M140" i="104"/>
  <c r="I140" i="104"/>
  <c r="V140" i="104"/>
  <c r="J140" i="104"/>
  <c r="L140" i="104"/>
  <c r="N140" i="104"/>
  <c r="E140" i="104"/>
  <c r="G140" i="104"/>
  <c r="P140" i="104"/>
  <c r="Q140" i="104"/>
  <c r="T140" i="104"/>
  <c r="U140" i="104"/>
  <c r="I149" i="104"/>
  <c r="Q149" i="104"/>
  <c r="H149" i="104"/>
  <c r="R149" i="104"/>
  <c r="M149" i="104"/>
  <c r="G149" i="104"/>
  <c r="S149" i="104"/>
  <c r="N149" i="104"/>
  <c r="O149" i="104"/>
  <c r="P149" i="104"/>
  <c r="E149" i="104"/>
  <c r="T149" i="104"/>
  <c r="K149" i="104"/>
  <c r="L149" i="104"/>
  <c r="F149" i="104"/>
  <c r="J149" i="104"/>
  <c r="U149" i="104"/>
  <c r="V149" i="104"/>
  <c r="I141" i="104"/>
  <c r="Q141" i="104"/>
  <c r="F141" i="104"/>
  <c r="O141" i="104"/>
  <c r="K141" i="104"/>
  <c r="U141" i="104"/>
  <c r="E141" i="104"/>
  <c r="P141" i="104"/>
  <c r="S141" i="104"/>
  <c r="G141" i="104"/>
  <c r="T141" i="104"/>
  <c r="H141" i="104"/>
  <c r="V141" i="104"/>
  <c r="J141" i="104"/>
  <c r="N141" i="104"/>
  <c r="R141" i="104"/>
  <c r="L141" i="104"/>
  <c r="M141" i="104"/>
  <c r="F157" i="104"/>
  <c r="N157" i="104"/>
  <c r="V157" i="104"/>
  <c r="K157" i="104"/>
  <c r="T157" i="104"/>
  <c r="G157" i="104"/>
  <c r="P157" i="104"/>
  <c r="I157" i="104"/>
  <c r="U157" i="104"/>
  <c r="J157" i="104"/>
  <c r="L157" i="104"/>
  <c r="M157" i="104"/>
  <c r="R157" i="104"/>
  <c r="S157" i="104"/>
  <c r="E157" i="104"/>
  <c r="H157" i="104"/>
  <c r="O157" i="104"/>
  <c r="Q157" i="104"/>
  <c r="F161" i="104"/>
  <c r="N161" i="104"/>
  <c r="V161" i="104"/>
  <c r="L161" i="104"/>
  <c r="U161" i="104"/>
  <c r="H161" i="104"/>
  <c r="Q161" i="104"/>
  <c r="J161" i="104"/>
  <c r="K161" i="104"/>
  <c r="M161" i="104"/>
  <c r="O161" i="104"/>
  <c r="S161" i="104"/>
  <c r="T161" i="104"/>
  <c r="P161" i="104"/>
  <c r="R161" i="104"/>
  <c r="E161" i="104"/>
  <c r="G161" i="104"/>
  <c r="I161" i="104"/>
  <c r="E147" i="104"/>
  <c r="M147" i="104"/>
  <c r="U147" i="104"/>
  <c r="H147" i="104"/>
  <c r="Q147" i="104"/>
  <c r="G147" i="104"/>
  <c r="R147" i="104"/>
  <c r="L147" i="104"/>
  <c r="I147" i="104"/>
  <c r="V147" i="104"/>
  <c r="J147" i="104"/>
  <c r="K147" i="104"/>
  <c r="N147" i="104"/>
  <c r="S147" i="104"/>
  <c r="T147" i="104"/>
  <c r="F147" i="104"/>
  <c r="O147" i="104"/>
  <c r="P147" i="104"/>
  <c r="G150" i="104"/>
  <c r="O150" i="104"/>
  <c r="I150" i="104"/>
  <c r="R150" i="104"/>
  <c r="E150" i="104"/>
  <c r="P150" i="104"/>
  <c r="K150" i="104"/>
  <c r="U150" i="104"/>
  <c r="J150" i="104"/>
  <c r="L150" i="104"/>
  <c r="M150" i="104"/>
  <c r="N150" i="104"/>
  <c r="T150" i="104"/>
  <c r="V150" i="104"/>
  <c r="Q150" i="104"/>
  <c r="S150" i="104"/>
  <c r="F150" i="104"/>
  <c r="H150" i="104"/>
  <c r="L154" i="104"/>
  <c r="T154" i="104"/>
  <c r="J154" i="104"/>
  <c r="S154" i="104"/>
  <c r="F154" i="104"/>
  <c r="O154" i="104"/>
  <c r="N154" i="104"/>
  <c r="P154" i="104"/>
  <c r="E154" i="104"/>
  <c r="Q154" i="104"/>
  <c r="G154" i="104"/>
  <c r="R154" i="104"/>
  <c r="K154" i="104"/>
  <c r="M154" i="104"/>
  <c r="U154" i="104"/>
  <c r="V154" i="104"/>
  <c r="H154" i="104"/>
  <c r="I154" i="104"/>
  <c r="K148" i="104"/>
  <c r="S148" i="104"/>
  <c r="H148" i="104"/>
  <c r="Q148" i="104"/>
  <c r="J148" i="104"/>
  <c r="U148" i="104"/>
  <c r="E148" i="104"/>
  <c r="O148" i="104"/>
  <c r="R148" i="104"/>
  <c r="F148" i="104"/>
  <c r="T148" i="104"/>
  <c r="G148" i="104"/>
  <c r="V148" i="104"/>
  <c r="I148" i="104"/>
  <c r="N148" i="104"/>
  <c r="P148" i="104"/>
  <c r="L148" i="104"/>
  <c r="M148" i="104"/>
  <c r="H160" i="104"/>
  <c r="P160" i="104"/>
  <c r="L160" i="104"/>
  <c r="U160" i="104"/>
  <c r="G160" i="104"/>
  <c r="Q160" i="104"/>
  <c r="O160" i="104"/>
  <c r="E160" i="104"/>
  <c r="R160" i="104"/>
  <c r="F160" i="104"/>
  <c r="S160" i="104"/>
  <c r="I160" i="104"/>
  <c r="T160" i="104"/>
  <c r="M160" i="104"/>
  <c r="N160" i="104"/>
  <c r="J160" i="104"/>
  <c r="K160" i="104"/>
  <c r="V160" i="104"/>
  <c r="F165" i="104"/>
  <c r="N165" i="104"/>
  <c r="V165" i="104"/>
  <c r="M165" i="104"/>
  <c r="G165" i="104"/>
  <c r="Q165" i="104"/>
  <c r="H165" i="104"/>
  <c r="R165" i="104"/>
  <c r="I165" i="104"/>
  <c r="S165" i="104"/>
  <c r="J165" i="104"/>
  <c r="T165" i="104"/>
  <c r="O165" i="104"/>
  <c r="P165" i="104"/>
  <c r="E165" i="104"/>
  <c r="K165" i="104"/>
  <c r="L165" i="104"/>
  <c r="U165" i="104"/>
  <c r="G146" i="104"/>
  <c r="O146" i="104"/>
  <c r="H146" i="104"/>
  <c r="Q146" i="104"/>
  <c r="N146" i="104"/>
  <c r="J146" i="104"/>
  <c r="T146" i="104"/>
  <c r="L146" i="104"/>
  <c r="M146" i="104"/>
  <c r="P146" i="104"/>
  <c r="R146" i="104"/>
  <c r="I146" i="104"/>
  <c r="K146" i="104"/>
  <c r="S146" i="104"/>
  <c r="U146" i="104"/>
  <c r="V146" i="104"/>
  <c r="E146" i="104"/>
  <c r="F146" i="104"/>
  <c r="K144" i="104"/>
  <c r="S144" i="104"/>
  <c r="G144" i="104"/>
  <c r="P144" i="104"/>
  <c r="I144" i="104"/>
  <c r="T144" i="104"/>
  <c r="N144" i="104"/>
  <c r="F144" i="104"/>
  <c r="U144" i="104"/>
  <c r="H144" i="104"/>
  <c r="V144" i="104"/>
  <c r="J144" i="104"/>
  <c r="L144" i="104"/>
  <c r="Q144" i="104"/>
  <c r="R144" i="104"/>
  <c r="M144" i="104"/>
  <c r="O144" i="104"/>
  <c r="E144" i="104"/>
  <c r="H164" i="104"/>
  <c r="P164" i="104"/>
  <c r="M164" i="104"/>
  <c r="V164" i="104"/>
  <c r="N164" i="104"/>
  <c r="E164" i="104"/>
  <c r="O164" i="104"/>
  <c r="F164" i="104"/>
  <c r="Q164" i="104"/>
  <c r="G164" i="104"/>
  <c r="R164" i="104"/>
  <c r="K164" i="104"/>
  <c r="L164" i="104"/>
  <c r="U164" i="104"/>
  <c r="I164" i="104"/>
  <c r="J164" i="104"/>
  <c r="S164" i="104"/>
  <c r="T164" i="104"/>
  <c r="J155" i="104"/>
  <c r="R155" i="104"/>
  <c r="K155" i="104"/>
  <c r="T155" i="104"/>
  <c r="F155" i="104"/>
  <c r="O155" i="104"/>
  <c r="H155" i="104"/>
  <c r="U155" i="104"/>
  <c r="I155" i="104"/>
  <c r="V155" i="104"/>
  <c r="L155" i="104"/>
  <c r="M155" i="104"/>
  <c r="E155" i="104"/>
  <c r="G155" i="104"/>
  <c r="N155" i="104"/>
  <c r="P155" i="104"/>
  <c r="Q155" i="104"/>
  <c r="S155" i="104"/>
  <c r="J163" i="104"/>
  <c r="R163" i="104"/>
  <c r="M163" i="104"/>
  <c r="V163" i="104"/>
  <c r="H163" i="104"/>
  <c r="K163" i="104"/>
  <c r="U163" i="104"/>
  <c r="L163" i="104"/>
  <c r="N163" i="104"/>
  <c r="O163" i="104"/>
  <c r="G163" i="104"/>
  <c r="I163" i="104"/>
  <c r="P163" i="104"/>
  <c r="Q163" i="104"/>
  <c r="S163" i="104"/>
  <c r="T163" i="104"/>
  <c r="E163" i="104"/>
  <c r="F163" i="104"/>
  <c r="I145" i="104"/>
  <c r="Q145" i="104"/>
  <c r="G145" i="104"/>
  <c r="P145" i="104"/>
  <c r="L145" i="104"/>
  <c r="V145" i="104"/>
  <c r="F145" i="104"/>
  <c r="R145" i="104"/>
  <c r="O145" i="104"/>
  <c r="S145" i="104"/>
  <c r="E145" i="104"/>
  <c r="T145" i="104"/>
  <c r="H145" i="104"/>
  <c r="U145" i="104"/>
  <c r="J145" i="104"/>
  <c r="K145" i="104"/>
  <c r="M145" i="104"/>
  <c r="N145" i="104"/>
  <c r="C179" i="84"/>
  <c r="C171" i="84"/>
  <c r="C163" i="84"/>
  <c r="O387" i="84"/>
  <c r="E151" i="104" l="1"/>
  <c r="M151" i="104"/>
  <c r="I151" i="104"/>
  <c r="R151" i="104"/>
  <c r="H151" i="104"/>
  <c r="S151" i="104"/>
  <c r="N151" i="104"/>
  <c r="F151" i="104"/>
  <c r="T151" i="104"/>
  <c r="G151" i="104"/>
  <c r="U151" i="104"/>
  <c r="J151" i="104"/>
  <c r="V151" i="104"/>
  <c r="K151" i="104"/>
  <c r="L151" i="104"/>
  <c r="O151" i="104"/>
  <c r="P151" i="104"/>
  <c r="Q151" i="104"/>
  <c r="J159" i="104"/>
  <c r="R159" i="104"/>
  <c r="L159" i="104"/>
  <c r="U159" i="104"/>
  <c r="G159" i="104"/>
  <c r="P159" i="104"/>
  <c r="I159" i="104"/>
  <c r="V159" i="104"/>
  <c r="K159" i="104"/>
  <c r="M159" i="104"/>
  <c r="N159" i="104"/>
  <c r="F159" i="104"/>
  <c r="H159" i="104"/>
  <c r="S159" i="104"/>
  <c r="T159" i="104"/>
  <c r="E159" i="104"/>
  <c r="Q159" i="104"/>
  <c r="O159" i="104"/>
  <c r="J167" i="104"/>
  <c r="R167" i="104"/>
  <c r="E167" i="104"/>
  <c r="N167" i="104"/>
  <c r="L167" i="104"/>
  <c r="V167" i="104"/>
  <c r="M167" i="104"/>
  <c r="O167" i="104"/>
  <c r="F167" i="104"/>
  <c r="P167" i="104"/>
  <c r="T167" i="104"/>
  <c r="U167" i="104"/>
  <c r="G167" i="104"/>
  <c r="H167" i="104"/>
  <c r="I167" i="104"/>
  <c r="K167" i="104"/>
  <c r="Q167" i="104"/>
  <c r="S167" i="104"/>
  <c r="CM178" i="84"/>
  <c r="P387" i="84"/>
  <c r="C178" i="84" l="1"/>
  <c r="L166" i="104" l="1"/>
  <c r="T166" i="104"/>
  <c r="E166" i="104"/>
  <c r="N166" i="104"/>
  <c r="I166" i="104"/>
  <c r="S166" i="104"/>
  <c r="J166" i="104"/>
  <c r="U166" i="104"/>
  <c r="K166" i="104"/>
  <c r="V166" i="104"/>
  <c r="M166" i="104"/>
  <c r="Q166" i="104"/>
  <c r="R166" i="104"/>
  <c r="O166" i="104"/>
  <c r="P166" i="104"/>
  <c r="F166" i="104"/>
  <c r="G166" i="104"/>
  <c r="H166" i="104"/>
  <c r="O230" i="84"/>
  <c r="O231" i="84"/>
  <c r="BH18" i="84"/>
  <c r="O246" i="84"/>
  <c r="O235" i="84"/>
  <c r="O239" i="84"/>
  <c r="CM21" i="84" l="1"/>
  <c r="P230" i="84"/>
  <c r="CM37" i="84"/>
  <c r="CM22" i="84"/>
  <c r="CM30" i="84"/>
  <c r="CM26" i="84"/>
  <c r="A6" i="79"/>
  <c r="O18" i="84"/>
  <c r="Q18" i="84"/>
  <c r="G18" i="84"/>
  <c r="P18" i="84"/>
  <c r="P231" i="84"/>
  <c r="P235" i="84"/>
  <c r="P246" i="84"/>
  <c r="P239" i="84"/>
  <c r="CG16" i="84"/>
  <c r="N4" i="84" s="1"/>
  <c r="AG16" i="79" l="1"/>
  <c r="E6" i="79"/>
  <c r="AG42" i="79"/>
  <c r="AH18" i="84"/>
  <c r="AG28" i="79" s="1"/>
  <c r="AG18" i="84"/>
  <c r="T3" i="84" l="1"/>
  <c r="AG26" i="79"/>
  <c r="W20" i="84"/>
  <c r="N229" i="84" s="1"/>
  <c r="CM18" i="84" l="1"/>
  <c r="T4" i="84" s="1"/>
  <c r="D4" i="84" s="1"/>
  <c r="M43" i="142" s="1"/>
  <c r="K5" i="79"/>
  <c r="V20" i="84"/>
  <c r="L229" i="84" s="1"/>
  <c r="K6" i="79" l="1"/>
  <c r="AG44" i="79"/>
  <c r="BH16" i="84"/>
  <c r="BD16" i="84" s="1"/>
  <c r="AG32" i="79" s="1"/>
  <c r="AP16" i="84"/>
  <c r="N43" i="142" l="1"/>
  <c r="AL16" i="84"/>
  <c r="AG30" i="79" s="1"/>
  <c r="W18" i="84" l="1"/>
  <c r="V18" i="84" l="1"/>
  <c r="C149" i="84" l="1"/>
  <c r="I137" i="104" l="1"/>
  <c r="Q137" i="104"/>
  <c r="E137" i="104"/>
  <c r="N137" i="104"/>
  <c r="J137" i="104"/>
  <c r="T137" i="104"/>
  <c r="O137" i="104"/>
  <c r="G137" i="104"/>
  <c r="U137" i="104"/>
  <c r="H137" i="104"/>
  <c r="V137" i="104"/>
  <c r="K137" i="104"/>
  <c r="L137" i="104"/>
  <c r="F137" i="104"/>
  <c r="M137" i="104"/>
  <c r="P137" i="104"/>
  <c r="R137" i="104"/>
  <c r="S137" i="104"/>
  <c r="C33" i="84"/>
  <c r="C145" i="84"/>
  <c r="C127" i="84"/>
  <c r="C107" i="84"/>
  <c r="C91" i="84"/>
  <c r="C79" i="84"/>
  <c r="C67" i="84"/>
  <c r="C59" i="84"/>
  <c r="C51" i="84"/>
  <c r="C43" i="84"/>
  <c r="C148" i="84"/>
  <c r="C140" i="84"/>
  <c r="C132" i="84"/>
  <c r="C124" i="84"/>
  <c r="C116" i="84"/>
  <c r="C108" i="84"/>
  <c r="C100" i="84"/>
  <c r="C92" i="84"/>
  <c r="C84" i="84"/>
  <c r="C76" i="84"/>
  <c r="C68" i="84"/>
  <c r="C60" i="84"/>
  <c r="C52" i="84"/>
  <c r="C44" i="84"/>
  <c r="C36" i="84"/>
  <c r="C31" i="84"/>
  <c r="C131" i="84"/>
  <c r="C133" i="84"/>
  <c r="C119" i="84"/>
  <c r="C103" i="84"/>
  <c r="C87" i="84"/>
  <c r="C147" i="84"/>
  <c r="C139" i="84"/>
  <c r="C129" i="84"/>
  <c r="C121" i="84"/>
  <c r="C113" i="84"/>
  <c r="C105" i="84"/>
  <c r="C97" i="84"/>
  <c r="C89" i="84"/>
  <c r="C81" i="84"/>
  <c r="C73" i="84"/>
  <c r="C65" i="84"/>
  <c r="C57" i="84"/>
  <c r="C49" i="84"/>
  <c r="C41" i="84"/>
  <c r="C146" i="84"/>
  <c r="C138" i="84"/>
  <c r="C130" i="84"/>
  <c r="C122" i="84"/>
  <c r="C114" i="84"/>
  <c r="C106" i="84"/>
  <c r="C98" i="84"/>
  <c r="C90" i="84"/>
  <c r="C82" i="84"/>
  <c r="C74" i="84"/>
  <c r="C66" i="84"/>
  <c r="C58" i="84"/>
  <c r="C50" i="84"/>
  <c r="C42" i="84"/>
  <c r="C35" i="84"/>
  <c r="C32" i="84"/>
  <c r="C137" i="84"/>
  <c r="C115" i="84"/>
  <c r="C99" i="84"/>
  <c r="C83" i="84"/>
  <c r="C75" i="84"/>
  <c r="C63" i="84"/>
  <c r="C55" i="84"/>
  <c r="C47" i="84"/>
  <c r="C39" i="84"/>
  <c r="C144" i="84"/>
  <c r="C136" i="84"/>
  <c r="C128" i="84"/>
  <c r="C120" i="84"/>
  <c r="C112" i="84"/>
  <c r="C104" i="84"/>
  <c r="C96" i="84"/>
  <c r="C88" i="84"/>
  <c r="C80" i="84"/>
  <c r="C72" i="84"/>
  <c r="C64" i="84"/>
  <c r="C56" i="84"/>
  <c r="C48" i="84"/>
  <c r="C40" i="84"/>
  <c r="C30" i="84"/>
  <c r="C29" i="84"/>
  <c r="C28" i="84"/>
  <c r="C141" i="84"/>
  <c r="C123" i="84"/>
  <c r="C111" i="84"/>
  <c r="C95" i="84"/>
  <c r="C71" i="84"/>
  <c r="C143" i="84"/>
  <c r="C135" i="84"/>
  <c r="C125" i="84"/>
  <c r="C117" i="84"/>
  <c r="C109" i="84"/>
  <c r="C101" i="84"/>
  <c r="C93" i="84"/>
  <c r="C85" i="84"/>
  <c r="C77" i="84"/>
  <c r="C69" i="84"/>
  <c r="C61" i="84"/>
  <c r="C53" i="84"/>
  <c r="C45" i="84"/>
  <c r="C142" i="84"/>
  <c r="C134" i="84"/>
  <c r="C126" i="84"/>
  <c r="C118" i="84"/>
  <c r="C110" i="84"/>
  <c r="C102" i="84"/>
  <c r="C94" i="84"/>
  <c r="C86" i="84"/>
  <c r="C78" i="84"/>
  <c r="C70" i="84"/>
  <c r="C62" i="84"/>
  <c r="C54" i="84"/>
  <c r="C46" i="84"/>
  <c r="C38" i="84"/>
  <c r="C26" i="84"/>
  <c r="E34" i="104" l="1"/>
  <c r="M34" i="104"/>
  <c r="U34" i="104"/>
  <c r="J34" i="104"/>
  <c r="S34" i="104"/>
  <c r="K34" i="104"/>
  <c r="T34" i="104"/>
  <c r="L34" i="104"/>
  <c r="V34" i="104"/>
  <c r="O34" i="104"/>
  <c r="P34" i="104"/>
  <c r="R34" i="104"/>
  <c r="Q34" i="104"/>
  <c r="I34" i="104"/>
  <c r="N34" i="104"/>
  <c r="F34" i="104"/>
  <c r="G34" i="104"/>
  <c r="H34" i="104"/>
  <c r="L98" i="104"/>
  <c r="T98" i="104"/>
  <c r="H98" i="104"/>
  <c r="Q98" i="104"/>
  <c r="V98" i="104"/>
  <c r="E98" i="104"/>
  <c r="I98" i="104"/>
  <c r="R98" i="104"/>
  <c r="J98" i="104"/>
  <c r="S98" i="104"/>
  <c r="K98" i="104"/>
  <c r="U98" i="104"/>
  <c r="F98" i="104"/>
  <c r="P98" i="104"/>
  <c r="M98" i="104"/>
  <c r="G98" i="104"/>
  <c r="N98" i="104"/>
  <c r="O98" i="104"/>
  <c r="I57" i="104"/>
  <c r="Q57" i="104"/>
  <c r="J57" i="104"/>
  <c r="R57" i="104"/>
  <c r="N57" i="104"/>
  <c r="E57" i="104"/>
  <c r="P57" i="104"/>
  <c r="G57" i="104"/>
  <c r="T57" i="104"/>
  <c r="F57" i="104"/>
  <c r="V57" i="104"/>
  <c r="H57" i="104"/>
  <c r="K57" i="104"/>
  <c r="S57" i="104"/>
  <c r="L57" i="104"/>
  <c r="M57" i="104"/>
  <c r="O57" i="104"/>
  <c r="U57" i="104"/>
  <c r="E123" i="104"/>
  <c r="M123" i="104"/>
  <c r="U123" i="104"/>
  <c r="J123" i="104"/>
  <c r="S123" i="104"/>
  <c r="F123" i="104"/>
  <c r="O123" i="104"/>
  <c r="Q123" i="104"/>
  <c r="I123" i="104"/>
  <c r="V123" i="104"/>
  <c r="K123" i="104"/>
  <c r="T123" i="104"/>
  <c r="G123" i="104"/>
  <c r="H123" i="104"/>
  <c r="P123" i="104"/>
  <c r="R123" i="104"/>
  <c r="L123" i="104"/>
  <c r="N123" i="104"/>
  <c r="G17" i="104"/>
  <c r="O17" i="104"/>
  <c r="E17" i="104"/>
  <c r="N17" i="104"/>
  <c r="F17" i="104"/>
  <c r="P17" i="104"/>
  <c r="H17" i="104"/>
  <c r="Q17" i="104"/>
  <c r="I17" i="104"/>
  <c r="R17" i="104"/>
  <c r="L17" i="104"/>
  <c r="S17" i="104"/>
  <c r="U17" i="104"/>
  <c r="V17" i="104"/>
  <c r="J17" i="104"/>
  <c r="T17" i="104"/>
  <c r="K17" i="104"/>
  <c r="M17" i="104"/>
  <c r="K76" i="104"/>
  <c r="S76" i="104"/>
  <c r="L76" i="104"/>
  <c r="T76" i="104"/>
  <c r="H76" i="104"/>
  <c r="R76" i="104"/>
  <c r="N76" i="104"/>
  <c r="O76" i="104"/>
  <c r="G76" i="104"/>
  <c r="E76" i="104"/>
  <c r="P76" i="104"/>
  <c r="J76" i="104"/>
  <c r="F76" i="104"/>
  <c r="Q76" i="104"/>
  <c r="U76" i="104"/>
  <c r="I76" i="104"/>
  <c r="V76" i="104"/>
  <c r="M76" i="104"/>
  <c r="K27" i="104"/>
  <c r="S27" i="104"/>
  <c r="H27" i="104"/>
  <c r="Q27" i="104"/>
  <c r="I27" i="104"/>
  <c r="R27" i="104"/>
  <c r="J27" i="104"/>
  <c r="T27" i="104"/>
  <c r="G27" i="104"/>
  <c r="F27" i="104"/>
  <c r="M27" i="104"/>
  <c r="L27" i="104"/>
  <c r="N27" i="104"/>
  <c r="O27" i="104"/>
  <c r="E27" i="104"/>
  <c r="P27" i="104"/>
  <c r="U27" i="104"/>
  <c r="V27" i="104"/>
  <c r="I125" i="104"/>
  <c r="Q125" i="104"/>
  <c r="K125" i="104"/>
  <c r="T125" i="104"/>
  <c r="F125" i="104"/>
  <c r="E125" i="104"/>
  <c r="P125" i="104"/>
  <c r="J125" i="104"/>
  <c r="U125" i="104"/>
  <c r="L125" i="104"/>
  <c r="V125" i="104"/>
  <c r="G125" i="104"/>
  <c r="H125" i="104"/>
  <c r="M125" i="104"/>
  <c r="R125" i="104"/>
  <c r="S125" i="104"/>
  <c r="N125" i="104"/>
  <c r="O125" i="104"/>
  <c r="G70" i="104"/>
  <c r="O70" i="104"/>
  <c r="H70" i="104"/>
  <c r="P70" i="104"/>
  <c r="J70" i="104"/>
  <c r="T70" i="104"/>
  <c r="L70" i="104"/>
  <c r="K70" i="104"/>
  <c r="M70" i="104"/>
  <c r="N70" i="104"/>
  <c r="F70" i="104"/>
  <c r="U70" i="104"/>
  <c r="V70" i="104"/>
  <c r="Q70" i="104"/>
  <c r="R70" i="104"/>
  <c r="E70" i="104"/>
  <c r="S70" i="104"/>
  <c r="I70" i="104"/>
  <c r="G134" i="104"/>
  <c r="O134" i="104"/>
  <c r="M134" i="104"/>
  <c r="V134" i="104"/>
  <c r="K134" i="104"/>
  <c r="U134" i="104"/>
  <c r="E134" i="104"/>
  <c r="P134" i="104"/>
  <c r="F134" i="104"/>
  <c r="Q134" i="104"/>
  <c r="J134" i="104"/>
  <c r="L134" i="104"/>
  <c r="N134" i="104"/>
  <c r="R134" i="104"/>
  <c r="H134" i="104"/>
  <c r="I134" i="104"/>
  <c r="S134" i="104"/>
  <c r="T134" i="104"/>
  <c r="F85" i="104"/>
  <c r="N85" i="104"/>
  <c r="V85" i="104"/>
  <c r="M85" i="104"/>
  <c r="E85" i="104"/>
  <c r="O85" i="104"/>
  <c r="R85" i="104"/>
  <c r="G85" i="104"/>
  <c r="P85" i="104"/>
  <c r="K85" i="104"/>
  <c r="T85" i="104"/>
  <c r="H85" i="104"/>
  <c r="Q85" i="104"/>
  <c r="U85" i="104"/>
  <c r="I85" i="104"/>
  <c r="J85" i="104"/>
  <c r="S85" i="104"/>
  <c r="L85" i="104"/>
  <c r="J91" i="104"/>
  <c r="R91" i="104"/>
  <c r="F91" i="104"/>
  <c r="O91" i="104"/>
  <c r="K91" i="104"/>
  <c r="G91" i="104"/>
  <c r="P91" i="104"/>
  <c r="H91" i="104"/>
  <c r="Q91" i="104"/>
  <c r="M91" i="104"/>
  <c r="V91" i="104"/>
  <c r="N91" i="104"/>
  <c r="I91" i="104"/>
  <c r="S91" i="104"/>
  <c r="E91" i="104"/>
  <c r="T91" i="104"/>
  <c r="L91" i="104"/>
  <c r="U91" i="104"/>
  <c r="J48" i="104"/>
  <c r="R48" i="104"/>
  <c r="K48" i="104"/>
  <c r="S48" i="104"/>
  <c r="L48" i="104"/>
  <c r="T48" i="104"/>
  <c r="M48" i="104"/>
  <c r="P48" i="104"/>
  <c r="F48" i="104"/>
  <c r="U48" i="104"/>
  <c r="Q48" i="104"/>
  <c r="V48" i="104"/>
  <c r="E48" i="104"/>
  <c r="N48" i="104"/>
  <c r="G48" i="104"/>
  <c r="O48" i="104"/>
  <c r="H48" i="104"/>
  <c r="I48" i="104"/>
  <c r="H112" i="104"/>
  <c r="P112" i="104"/>
  <c r="L112" i="104"/>
  <c r="U112" i="104"/>
  <c r="M112" i="104"/>
  <c r="V112" i="104"/>
  <c r="Q112" i="104"/>
  <c r="E112" i="104"/>
  <c r="N112" i="104"/>
  <c r="F112" i="104"/>
  <c r="O112" i="104"/>
  <c r="J112" i="104"/>
  <c r="I112" i="104"/>
  <c r="G112" i="104"/>
  <c r="R112" i="104"/>
  <c r="S112" i="104"/>
  <c r="K112" i="104"/>
  <c r="T112" i="104"/>
  <c r="E67" i="104"/>
  <c r="M67" i="104"/>
  <c r="U67" i="104"/>
  <c r="F67" i="104"/>
  <c r="N67" i="104"/>
  <c r="V67" i="104"/>
  <c r="P67" i="104"/>
  <c r="H67" i="104"/>
  <c r="S67" i="104"/>
  <c r="J67" i="104"/>
  <c r="T67" i="104"/>
  <c r="G67" i="104"/>
  <c r="I67" i="104"/>
  <c r="Q67" i="104"/>
  <c r="K67" i="104"/>
  <c r="L67" i="104"/>
  <c r="O67" i="104"/>
  <c r="R67" i="104"/>
  <c r="E42" i="104"/>
  <c r="M42" i="104"/>
  <c r="U42" i="104"/>
  <c r="L42" i="104"/>
  <c r="V42" i="104"/>
  <c r="N42" i="104"/>
  <c r="F42" i="104"/>
  <c r="O42" i="104"/>
  <c r="Q42" i="104"/>
  <c r="G42" i="104"/>
  <c r="T42" i="104"/>
  <c r="I42" i="104"/>
  <c r="H42" i="104"/>
  <c r="J42" i="104"/>
  <c r="K42" i="104"/>
  <c r="P42" i="104"/>
  <c r="R42" i="104"/>
  <c r="S42" i="104"/>
  <c r="L106" i="104"/>
  <c r="T106" i="104"/>
  <c r="J106" i="104"/>
  <c r="S106" i="104"/>
  <c r="K106" i="104"/>
  <c r="U106" i="104"/>
  <c r="M106" i="104"/>
  <c r="V106" i="104"/>
  <c r="E106" i="104"/>
  <c r="N106" i="104"/>
  <c r="O106" i="104"/>
  <c r="G106" i="104"/>
  <c r="F106" i="104"/>
  <c r="P106" i="104"/>
  <c r="H106" i="104"/>
  <c r="Q106" i="104"/>
  <c r="I106" i="104"/>
  <c r="R106" i="104"/>
  <c r="I65" i="104"/>
  <c r="Q65" i="104"/>
  <c r="J65" i="104"/>
  <c r="R65" i="104"/>
  <c r="H65" i="104"/>
  <c r="T65" i="104"/>
  <c r="F65" i="104"/>
  <c r="S65" i="104"/>
  <c r="K65" i="104"/>
  <c r="V65" i="104"/>
  <c r="G65" i="104"/>
  <c r="L65" i="104"/>
  <c r="M65" i="104"/>
  <c r="U65" i="104"/>
  <c r="E65" i="104"/>
  <c r="N65" i="104"/>
  <c r="O65" i="104"/>
  <c r="P65" i="104"/>
  <c r="E131" i="104"/>
  <c r="M131" i="104"/>
  <c r="U131" i="104"/>
  <c r="L131" i="104"/>
  <c r="V131" i="104"/>
  <c r="N131" i="104"/>
  <c r="G131" i="104"/>
  <c r="Q131" i="104"/>
  <c r="H131" i="104"/>
  <c r="R131" i="104"/>
  <c r="O131" i="104"/>
  <c r="P131" i="104"/>
  <c r="S131" i="104"/>
  <c r="T131" i="104"/>
  <c r="J131" i="104"/>
  <c r="K131" i="104"/>
  <c r="F131" i="104"/>
  <c r="I131" i="104"/>
  <c r="E18" i="104"/>
  <c r="M18" i="104"/>
  <c r="U18" i="104"/>
  <c r="F18" i="104"/>
  <c r="O18" i="104"/>
  <c r="G18" i="104"/>
  <c r="P18" i="104"/>
  <c r="H18" i="104"/>
  <c r="Q18" i="104"/>
  <c r="I18" i="104"/>
  <c r="R18" i="104"/>
  <c r="L18" i="104"/>
  <c r="T18" i="104"/>
  <c r="J18" i="104"/>
  <c r="K18" i="104"/>
  <c r="S18" i="104"/>
  <c r="V18" i="104"/>
  <c r="N18" i="104"/>
  <c r="H84" i="104"/>
  <c r="P84" i="104"/>
  <c r="M84" i="104"/>
  <c r="V84" i="104"/>
  <c r="E84" i="104"/>
  <c r="N84" i="104"/>
  <c r="I84" i="104"/>
  <c r="F84" i="104"/>
  <c r="O84" i="104"/>
  <c r="R84" i="104"/>
  <c r="K84" i="104"/>
  <c r="T84" i="104"/>
  <c r="U84" i="104"/>
  <c r="G84" i="104"/>
  <c r="Q84" i="104"/>
  <c r="L84" i="104"/>
  <c r="J84" i="104"/>
  <c r="S84" i="104"/>
  <c r="K35" i="104"/>
  <c r="S35" i="104"/>
  <c r="J35" i="104"/>
  <c r="T35" i="104"/>
  <c r="L35" i="104"/>
  <c r="U35" i="104"/>
  <c r="M35" i="104"/>
  <c r="V35" i="104"/>
  <c r="I35" i="104"/>
  <c r="O35" i="104"/>
  <c r="Q35" i="104"/>
  <c r="E35" i="104"/>
  <c r="F35" i="104"/>
  <c r="P35" i="104"/>
  <c r="G35" i="104"/>
  <c r="H35" i="104"/>
  <c r="N35" i="104"/>
  <c r="R35" i="104"/>
  <c r="I20" i="104"/>
  <c r="Q20" i="104"/>
  <c r="F20" i="104"/>
  <c r="O20" i="104"/>
  <c r="G20" i="104"/>
  <c r="P20" i="104"/>
  <c r="H20" i="104"/>
  <c r="R20" i="104"/>
  <c r="J20" i="104"/>
  <c r="S20" i="104"/>
  <c r="M20" i="104"/>
  <c r="K20" i="104"/>
  <c r="L20" i="104"/>
  <c r="N20" i="104"/>
  <c r="T20" i="104"/>
  <c r="V20" i="104"/>
  <c r="E20" i="104"/>
  <c r="U20" i="104"/>
  <c r="L78" i="104"/>
  <c r="T78" i="104"/>
  <c r="K78" i="104"/>
  <c r="U78" i="104"/>
  <c r="M78" i="104"/>
  <c r="V78" i="104"/>
  <c r="E78" i="104"/>
  <c r="N78" i="104"/>
  <c r="I78" i="104"/>
  <c r="R78" i="104"/>
  <c r="J78" i="104"/>
  <c r="F78" i="104"/>
  <c r="O78" i="104"/>
  <c r="G78" i="104"/>
  <c r="P78" i="104"/>
  <c r="H78" i="104"/>
  <c r="Q78" i="104"/>
  <c r="S78" i="104"/>
  <c r="G29" i="104"/>
  <c r="O29" i="104"/>
  <c r="I29" i="104"/>
  <c r="R29" i="104"/>
  <c r="J29" i="104"/>
  <c r="S29" i="104"/>
  <c r="K29" i="104"/>
  <c r="T29" i="104"/>
  <c r="P29" i="104"/>
  <c r="E29" i="104"/>
  <c r="V29" i="104"/>
  <c r="H29" i="104"/>
  <c r="Q29" i="104"/>
  <c r="U29" i="104"/>
  <c r="M29" i="104"/>
  <c r="N29" i="104"/>
  <c r="F29" i="104"/>
  <c r="L29" i="104"/>
  <c r="F93" i="104"/>
  <c r="N93" i="104"/>
  <c r="V93" i="104"/>
  <c r="G93" i="104"/>
  <c r="P93" i="104"/>
  <c r="K93" i="104"/>
  <c r="H93" i="104"/>
  <c r="Q93" i="104"/>
  <c r="I93" i="104"/>
  <c r="R93" i="104"/>
  <c r="T93" i="104"/>
  <c r="U93" i="104"/>
  <c r="M93" i="104"/>
  <c r="J93" i="104"/>
  <c r="S93" i="104"/>
  <c r="O93" i="104"/>
  <c r="L93" i="104"/>
  <c r="E93" i="104"/>
  <c r="J107" i="104"/>
  <c r="R107" i="104"/>
  <c r="K107" i="104"/>
  <c r="T107" i="104"/>
  <c r="P107" i="104"/>
  <c r="L107" i="104"/>
  <c r="U107" i="104"/>
  <c r="F107" i="104"/>
  <c r="M107" i="104"/>
  <c r="V107" i="104"/>
  <c r="E107" i="104"/>
  <c r="N107" i="104"/>
  <c r="H107" i="104"/>
  <c r="O107" i="104"/>
  <c r="G107" i="104"/>
  <c r="Q107" i="104"/>
  <c r="I107" i="104"/>
  <c r="S107" i="104"/>
  <c r="K56" i="104"/>
  <c r="S56" i="104"/>
  <c r="L56" i="104"/>
  <c r="T56" i="104"/>
  <c r="J56" i="104"/>
  <c r="V56" i="104"/>
  <c r="I56" i="104"/>
  <c r="N56" i="104"/>
  <c r="G56" i="104"/>
  <c r="H56" i="104"/>
  <c r="M56" i="104"/>
  <c r="E56" i="104"/>
  <c r="R56" i="104"/>
  <c r="U56" i="104"/>
  <c r="O56" i="104"/>
  <c r="P56" i="104"/>
  <c r="Q56" i="104"/>
  <c r="F56" i="104"/>
  <c r="K120" i="104"/>
  <c r="S120" i="104"/>
  <c r="I120" i="104"/>
  <c r="R120" i="104"/>
  <c r="E120" i="104"/>
  <c r="N120" i="104"/>
  <c r="J120" i="104"/>
  <c r="V120" i="104"/>
  <c r="O120" i="104"/>
  <c r="P120" i="104"/>
  <c r="Q120" i="104"/>
  <c r="T120" i="104"/>
  <c r="U120" i="104"/>
  <c r="F120" i="104"/>
  <c r="L120" i="104"/>
  <c r="M120" i="104"/>
  <c r="G120" i="104"/>
  <c r="H120" i="104"/>
  <c r="J79" i="104"/>
  <c r="R79" i="104"/>
  <c r="L79" i="104"/>
  <c r="U79" i="104"/>
  <c r="M79" i="104"/>
  <c r="V79" i="104"/>
  <c r="E79" i="104"/>
  <c r="N79" i="104"/>
  <c r="G79" i="104"/>
  <c r="I79" i="104"/>
  <c r="S79" i="104"/>
  <c r="T79" i="104"/>
  <c r="F79" i="104"/>
  <c r="O79" i="104"/>
  <c r="K79" i="104"/>
  <c r="P79" i="104"/>
  <c r="H79" i="104"/>
  <c r="Q79" i="104"/>
  <c r="G50" i="104"/>
  <c r="O50" i="104"/>
  <c r="H50" i="104"/>
  <c r="P50" i="104"/>
  <c r="L50" i="104"/>
  <c r="V50" i="104"/>
  <c r="I50" i="104"/>
  <c r="T50" i="104"/>
  <c r="K50" i="104"/>
  <c r="R50" i="104"/>
  <c r="S50" i="104"/>
  <c r="E50" i="104"/>
  <c r="U50" i="104"/>
  <c r="N50" i="104"/>
  <c r="F50" i="104"/>
  <c r="J50" i="104"/>
  <c r="M50" i="104"/>
  <c r="Q50" i="104"/>
  <c r="G114" i="104"/>
  <c r="O114" i="104"/>
  <c r="H114" i="104"/>
  <c r="Q114" i="104"/>
  <c r="L114" i="104"/>
  <c r="U114" i="104"/>
  <c r="I114" i="104"/>
  <c r="T114" i="104"/>
  <c r="M114" i="104"/>
  <c r="N114" i="104"/>
  <c r="F114" i="104"/>
  <c r="J114" i="104"/>
  <c r="K114" i="104"/>
  <c r="P114" i="104"/>
  <c r="V114" i="104"/>
  <c r="R114" i="104"/>
  <c r="S114" i="104"/>
  <c r="E114" i="104"/>
  <c r="I73" i="104"/>
  <c r="Q73" i="104"/>
  <c r="J73" i="104"/>
  <c r="R73" i="104"/>
  <c r="H73" i="104"/>
  <c r="T73" i="104"/>
  <c r="F73" i="104"/>
  <c r="S73" i="104"/>
  <c r="G73" i="104"/>
  <c r="U73" i="104"/>
  <c r="K73" i="104"/>
  <c r="V73" i="104"/>
  <c r="O73" i="104"/>
  <c r="P73" i="104"/>
  <c r="L73" i="104"/>
  <c r="M73" i="104"/>
  <c r="N73" i="104"/>
  <c r="E73" i="104"/>
  <c r="E59" i="104"/>
  <c r="M59" i="104"/>
  <c r="U59" i="104"/>
  <c r="F59" i="104"/>
  <c r="N59" i="104"/>
  <c r="V59" i="104"/>
  <c r="J59" i="104"/>
  <c r="T59" i="104"/>
  <c r="Q59" i="104"/>
  <c r="H59" i="104"/>
  <c r="S59" i="104"/>
  <c r="R59" i="104"/>
  <c r="G59" i="104"/>
  <c r="O59" i="104"/>
  <c r="I59" i="104"/>
  <c r="K59" i="104"/>
  <c r="L59" i="104"/>
  <c r="P59" i="104"/>
  <c r="I28" i="104"/>
  <c r="Q28" i="104"/>
  <c r="H28" i="104"/>
  <c r="R28" i="104"/>
  <c r="J28" i="104"/>
  <c r="S28" i="104"/>
  <c r="K28" i="104"/>
  <c r="T28" i="104"/>
  <c r="E28" i="104"/>
  <c r="U28" i="104"/>
  <c r="F28" i="104"/>
  <c r="L28" i="104"/>
  <c r="N28" i="104"/>
  <c r="O28" i="104"/>
  <c r="P28" i="104"/>
  <c r="G28" i="104"/>
  <c r="V28" i="104"/>
  <c r="M28" i="104"/>
  <c r="H92" i="104"/>
  <c r="P92" i="104"/>
  <c r="F92" i="104"/>
  <c r="O92" i="104"/>
  <c r="G92" i="104"/>
  <c r="Q92" i="104"/>
  <c r="K92" i="104"/>
  <c r="I92" i="104"/>
  <c r="R92" i="104"/>
  <c r="M92" i="104"/>
  <c r="V92" i="104"/>
  <c r="J92" i="104"/>
  <c r="S92" i="104"/>
  <c r="T92" i="104"/>
  <c r="N92" i="104"/>
  <c r="L92" i="104"/>
  <c r="U92" i="104"/>
  <c r="E92" i="104"/>
  <c r="L43" i="104"/>
  <c r="T43" i="104"/>
  <c r="E43" i="104"/>
  <c r="M43" i="104"/>
  <c r="U43" i="104"/>
  <c r="F43" i="104"/>
  <c r="N43" i="104"/>
  <c r="V43" i="104"/>
  <c r="K43" i="104"/>
  <c r="R43" i="104"/>
  <c r="H43" i="104"/>
  <c r="J43" i="104"/>
  <c r="O43" i="104"/>
  <c r="P43" i="104"/>
  <c r="G43" i="104"/>
  <c r="Q43" i="104"/>
  <c r="S43" i="104"/>
  <c r="I43" i="104"/>
  <c r="K23" i="104"/>
  <c r="S23" i="104"/>
  <c r="G23" i="104"/>
  <c r="P23" i="104"/>
  <c r="H23" i="104"/>
  <c r="Q23" i="104"/>
  <c r="I23" i="104"/>
  <c r="R23" i="104"/>
  <c r="F23" i="104"/>
  <c r="V23" i="104"/>
  <c r="E23" i="104"/>
  <c r="L23" i="104"/>
  <c r="M23" i="104"/>
  <c r="O23" i="104"/>
  <c r="U23" i="104"/>
  <c r="N23" i="104"/>
  <c r="J23" i="104"/>
  <c r="T23" i="104"/>
  <c r="L86" i="104"/>
  <c r="T86" i="104"/>
  <c r="E86" i="104"/>
  <c r="N86" i="104"/>
  <c r="I86" i="104"/>
  <c r="F86" i="104"/>
  <c r="O86" i="104"/>
  <c r="G86" i="104"/>
  <c r="P86" i="104"/>
  <c r="K86" i="104"/>
  <c r="U86" i="104"/>
  <c r="M86" i="104"/>
  <c r="H86" i="104"/>
  <c r="Q86" i="104"/>
  <c r="R86" i="104"/>
  <c r="J86" i="104"/>
  <c r="S86" i="104"/>
  <c r="V86" i="104"/>
  <c r="G37" i="104"/>
  <c r="O37" i="104"/>
  <c r="K37" i="104"/>
  <c r="T37" i="104"/>
  <c r="L37" i="104"/>
  <c r="U37" i="104"/>
  <c r="M37" i="104"/>
  <c r="V37" i="104"/>
  <c r="E37" i="104"/>
  <c r="R37" i="104"/>
  <c r="J37" i="104"/>
  <c r="P37" i="104"/>
  <c r="H37" i="104"/>
  <c r="I37" i="104"/>
  <c r="N37" i="104"/>
  <c r="F37" i="104"/>
  <c r="Q37" i="104"/>
  <c r="S37" i="104"/>
  <c r="F101" i="104"/>
  <c r="N101" i="104"/>
  <c r="V101" i="104"/>
  <c r="I101" i="104"/>
  <c r="R101" i="104"/>
  <c r="O101" i="104"/>
  <c r="J101" i="104"/>
  <c r="S101" i="104"/>
  <c r="E101" i="104"/>
  <c r="K101" i="104"/>
  <c r="T101" i="104"/>
  <c r="L101" i="104"/>
  <c r="U101" i="104"/>
  <c r="M101" i="104"/>
  <c r="G101" i="104"/>
  <c r="H101" i="104"/>
  <c r="P101" i="104"/>
  <c r="Q101" i="104"/>
  <c r="I121" i="104"/>
  <c r="Q121" i="104"/>
  <c r="J121" i="104"/>
  <c r="S121" i="104"/>
  <c r="E121" i="104"/>
  <c r="N121" i="104"/>
  <c r="P121" i="104"/>
  <c r="H121" i="104"/>
  <c r="U121" i="104"/>
  <c r="K121" i="104"/>
  <c r="V121" i="104"/>
  <c r="R121" i="104"/>
  <c r="T121" i="104"/>
  <c r="F121" i="104"/>
  <c r="M121" i="104"/>
  <c r="O121" i="104"/>
  <c r="G121" i="104"/>
  <c r="L121" i="104"/>
  <c r="K64" i="104"/>
  <c r="S64" i="104"/>
  <c r="L64" i="104"/>
  <c r="T64" i="104"/>
  <c r="F64" i="104"/>
  <c r="P64" i="104"/>
  <c r="M64" i="104"/>
  <c r="O64" i="104"/>
  <c r="I64" i="104"/>
  <c r="J64" i="104"/>
  <c r="N64" i="104"/>
  <c r="G64" i="104"/>
  <c r="V64" i="104"/>
  <c r="Q64" i="104"/>
  <c r="R64" i="104"/>
  <c r="E64" i="104"/>
  <c r="U64" i="104"/>
  <c r="H64" i="104"/>
  <c r="K128" i="104"/>
  <c r="S128" i="104"/>
  <c r="L128" i="104"/>
  <c r="U128" i="104"/>
  <c r="E128" i="104"/>
  <c r="O128" i="104"/>
  <c r="H128" i="104"/>
  <c r="R128" i="104"/>
  <c r="I128" i="104"/>
  <c r="T128" i="104"/>
  <c r="Q128" i="104"/>
  <c r="V128" i="104"/>
  <c r="F128" i="104"/>
  <c r="G128" i="104"/>
  <c r="N128" i="104"/>
  <c r="P128" i="104"/>
  <c r="J128" i="104"/>
  <c r="M128" i="104"/>
  <c r="J95" i="104"/>
  <c r="R95" i="104"/>
  <c r="G95" i="104"/>
  <c r="P95" i="104"/>
  <c r="L95" i="104"/>
  <c r="H95" i="104"/>
  <c r="Q95" i="104"/>
  <c r="I95" i="104"/>
  <c r="S95" i="104"/>
  <c r="N95" i="104"/>
  <c r="K95" i="104"/>
  <c r="T95" i="104"/>
  <c r="U95" i="104"/>
  <c r="M95" i="104"/>
  <c r="F95" i="104"/>
  <c r="V95" i="104"/>
  <c r="E95" i="104"/>
  <c r="O95" i="104"/>
  <c r="G58" i="104"/>
  <c r="O58" i="104"/>
  <c r="H58" i="104"/>
  <c r="P58" i="104"/>
  <c r="F58" i="104"/>
  <c r="R58" i="104"/>
  <c r="K58" i="104"/>
  <c r="V58" i="104"/>
  <c r="M58" i="104"/>
  <c r="T58" i="104"/>
  <c r="E58" i="104"/>
  <c r="U58" i="104"/>
  <c r="I58" i="104"/>
  <c r="L58" i="104"/>
  <c r="Q58" i="104"/>
  <c r="S58" i="104"/>
  <c r="J58" i="104"/>
  <c r="N58" i="104"/>
  <c r="G122" i="104"/>
  <c r="O122" i="104"/>
  <c r="J122" i="104"/>
  <c r="S122" i="104"/>
  <c r="E122" i="104"/>
  <c r="N122" i="104"/>
  <c r="K122" i="104"/>
  <c r="V122" i="104"/>
  <c r="P122" i="104"/>
  <c r="Q122" i="104"/>
  <c r="T122" i="104"/>
  <c r="U122" i="104"/>
  <c r="F122" i="104"/>
  <c r="H122" i="104"/>
  <c r="I122" i="104"/>
  <c r="L122" i="104"/>
  <c r="M122" i="104"/>
  <c r="R122" i="104"/>
  <c r="F81" i="104"/>
  <c r="N81" i="104"/>
  <c r="V81" i="104"/>
  <c r="L81" i="104"/>
  <c r="U81" i="104"/>
  <c r="M81" i="104"/>
  <c r="E81" i="104"/>
  <c r="O81" i="104"/>
  <c r="H81" i="104"/>
  <c r="J81" i="104"/>
  <c r="S81" i="104"/>
  <c r="G81" i="104"/>
  <c r="P81" i="104"/>
  <c r="T81" i="104"/>
  <c r="Q81" i="104"/>
  <c r="I81" i="104"/>
  <c r="R81" i="104"/>
  <c r="K81" i="104"/>
  <c r="J83" i="104"/>
  <c r="R83" i="104"/>
  <c r="M83" i="104"/>
  <c r="V83" i="104"/>
  <c r="Q83" i="104"/>
  <c r="E83" i="104"/>
  <c r="N83" i="104"/>
  <c r="F83" i="104"/>
  <c r="O83" i="104"/>
  <c r="K83" i="104"/>
  <c r="T83" i="104"/>
  <c r="G83" i="104"/>
  <c r="P83" i="104"/>
  <c r="H83" i="104"/>
  <c r="L83" i="104"/>
  <c r="I83" i="104"/>
  <c r="S83" i="104"/>
  <c r="U83" i="104"/>
  <c r="I36" i="104"/>
  <c r="Q36" i="104"/>
  <c r="K36" i="104"/>
  <c r="T36" i="104"/>
  <c r="L36" i="104"/>
  <c r="U36" i="104"/>
  <c r="M36" i="104"/>
  <c r="V36" i="104"/>
  <c r="G36" i="104"/>
  <c r="N36" i="104"/>
  <c r="P36" i="104"/>
  <c r="E36" i="104"/>
  <c r="F36" i="104"/>
  <c r="H36" i="104"/>
  <c r="S36" i="104"/>
  <c r="J36" i="104"/>
  <c r="O36" i="104"/>
  <c r="R36" i="104"/>
  <c r="H100" i="104"/>
  <c r="P100" i="104"/>
  <c r="I100" i="104"/>
  <c r="R100" i="104"/>
  <c r="V100" i="104"/>
  <c r="J100" i="104"/>
  <c r="S100" i="104"/>
  <c r="K100" i="104"/>
  <c r="T100" i="104"/>
  <c r="L100" i="104"/>
  <c r="U100" i="104"/>
  <c r="F100" i="104"/>
  <c r="M100" i="104"/>
  <c r="N100" i="104"/>
  <c r="E100" i="104"/>
  <c r="O100" i="104"/>
  <c r="G100" i="104"/>
  <c r="Q100" i="104"/>
  <c r="E51" i="104"/>
  <c r="M51" i="104"/>
  <c r="U51" i="104"/>
  <c r="F51" i="104"/>
  <c r="N51" i="104"/>
  <c r="V51" i="104"/>
  <c r="P51" i="104"/>
  <c r="O51" i="104"/>
  <c r="G51" i="104"/>
  <c r="R51" i="104"/>
  <c r="Q51" i="104"/>
  <c r="S51" i="104"/>
  <c r="T51" i="104"/>
  <c r="K51" i="104"/>
  <c r="L51" i="104"/>
  <c r="H51" i="104"/>
  <c r="I51" i="104"/>
  <c r="J51" i="104"/>
  <c r="E30" i="104"/>
  <c r="M30" i="104"/>
  <c r="U30" i="104"/>
  <c r="I30" i="104"/>
  <c r="R30" i="104"/>
  <c r="J30" i="104"/>
  <c r="S30" i="104"/>
  <c r="K30" i="104"/>
  <c r="T30" i="104"/>
  <c r="N30" i="104"/>
  <c r="V30" i="104"/>
  <c r="G30" i="104"/>
  <c r="F30" i="104"/>
  <c r="P30" i="104"/>
  <c r="H30" i="104"/>
  <c r="L30" i="104"/>
  <c r="O30" i="104"/>
  <c r="Q30" i="104"/>
  <c r="L94" i="104"/>
  <c r="T94" i="104"/>
  <c r="G94" i="104"/>
  <c r="P94" i="104"/>
  <c r="V94" i="104"/>
  <c r="H94" i="104"/>
  <c r="Q94" i="104"/>
  <c r="U94" i="104"/>
  <c r="M94" i="104"/>
  <c r="I94" i="104"/>
  <c r="R94" i="104"/>
  <c r="E94" i="104"/>
  <c r="N94" i="104"/>
  <c r="F94" i="104"/>
  <c r="J94" i="104"/>
  <c r="S94" i="104"/>
  <c r="K94" i="104"/>
  <c r="O94" i="104"/>
  <c r="H45" i="104"/>
  <c r="P45" i="104"/>
  <c r="I45" i="104"/>
  <c r="Q45" i="104"/>
  <c r="J45" i="104"/>
  <c r="R45" i="104"/>
  <c r="N45" i="104"/>
  <c r="L45" i="104"/>
  <c r="O45" i="104"/>
  <c r="M45" i="104"/>
  <c r="S45" i="104"/>
  <c r="T45" i="104"/>
  <c r="G45" i="104"/>
  <c r="U45" i="104"/>
  <c r="E45" i="104"/>
  <c r="V45" i="104"/>
  <c r="F45" i="104"/>
  <c r="K45" i="104"/>
  <c r="F109" i="104"/>
  <c r="N109" i="104"/>
  <c r="V109" i="104"/>
  <c r="K109" i="104"/>
  <c r="T109" i="104"/>
  <c r="P109" i="104"/>
  <c r="L109" i="104"/>
  <c r="U109" i="104"/>
  <c r="M109" i="104"/>
  <c r="E109" i="104"/>
  <c r="O109" i="104"/>
  <c r="Q109" i="104"/>
  <c r="I109" i="104"/>
  <c r="G109" i="104"/>
  <c r="H109" i="104"/>
  <c r="R109" i="104"/>
  <c r="S109" i="104"/>
  <c r="J109" i="104"/>
  <c r="E119" i="104"/>
  <c r="M119" i="104"/>
  <c r="U119" i="104"/>
  <c r="I119" i="104"/>
  <c r="R119" i="104"/>
  <c r="N119" i="104"/>
  <c r="P119" i="104"/>
  <c r="H119" i="104"/>
  <c r="T119" i="104"/>
  <c r="J119" i="104"/>
  <c r="V119" i="104"/>
  <c r="O119" i="104"/>
  <c r="Q119" i="104"/>
  <c r="S119" i="104"/>
  <c r="K119" i="104"/>
  <c r="L119" i="104"/>
  <c r="F119" i="104"/>
  <c r="G119" i="104"/>
  <c r="K72" i="104"/>
  <c r="S72" i="104"/>
  <c r="L72" i="104"/>
  <c r="T72" i="104"/>
  <c r="F72" i="104"/>
  <c r="P72" i="104"/>
  <c r="M72" i="104"/>
  <c r="N72" i="104"/>
  <c r="O72" i="104"/>
  <c r="I72" i="104"/>
  <c r="V72" i="104"/>
  <c r="J72" i="104"/>
  <c r="E72" i="104"/>
  <c r="Q72" i="104"/>
  <c r="G72" i="104"/>
  <c r="R72" i="104"/>
  <c r="H72" i="104"/>
  <c r="U72" i="104"/>
  <c r="K136" i="104"/>
  <c r="S136" i="104"/>
  <c r="E136" i="104"/>
  <c r="N136" i="104"/>
  <c r="G136" i="104"/>
  <c r="Q136" i="104"/>
  <c r="J136" i="104"/>
  <c r="U136" i="104"/>
  <c r="L136" i="104"/>
  <c r="V136" i="104"/>
  <c r="H136" i="104"/>
  <c r="I136" i="104"/>
  <c r="M136" i="104"/>
  <c r="O136" i="104"/>
  <c r="T136" i="104"/>
  <c r="F136" i="104"/>
  <c r="P136" i="104"/>
  <c r="R136" i="104"/>
  <c r="E115" i="104"/>
  <c r="M115" i="104"/>
  <c r="U115" i="104"/>
  <c r="H115" i="104"/>
  <c r="Q115" i="104"/>
  <c r="L115" i="104"/>
  <c r="V115" i="104"/>
  <c r="O115" i="104"/>
  <c r="G115" i="104"/>
  <c r="S115" i="104"/>
  <c r="I115" i="104"/>
  <c r="T115" i="104"/>
  <c r="J115" i="104"/>
  <c r="K115" i="104"/>
  <c r="N115" i="104"/>
  <c r="P115" i="104"/>
  <c r="F115" i="104"/>
  <c r="R115" i="104"/>
  <c r="G66" i="104"/>
  <c r="O66" i="104"/>
  <c r="H66" i="104"/>
  <c r="P66" i="104"/>
  <c r="L66" i="104"/>
  <c r="V66" i="104"/>
  <c r="M66" i="104"/>
  <c r="Q66" i="104"/>
  <c r="F66" i="104"/>
  <c r="U66" i="104"/>
  <c r="I66" i="104"/>
  <c r="J66" i="104"/>
  <c r="S66" i="104"/>
  <c r="T66" i="104"/>
  <c r="K66" i="104"/>
  <c r="N66" i="104"/>
  <c r="R66" i="104"/>
  <c r="E66" i="104"/>
  <c r="G130" i="104"/>
  <c r="O130" i="104"/>
  <c r="L130" i="104"/>
  <c r="U130" i="104"/>
  <c r="J130" i="104"/>
  <c r="T130" i="104"/>
  <c r="N130" i="104"/>
  <c r="E130" i="104"/>
  <c r="P130" i="104"/>
  <c r="Q130" i="104"/>
  <c r="R130" i="104"/>
  <c r="S130" i="104"/>
  <c r="F130" i="104"/>
  <c r="V130" i="104"/>
  <c r="H130" i="104"/>
  <c r="I130" i="104"/>
  <c r="K130" i="104"/>
  <c r="M130" i="104"/>
  <c r="F89" i="104"/>
  <c r="N89" i="104"/>
  <c r="V89" i="104"/>
  <c r="E89" i="104"/>
  <c r="O89" i="104"/>
  <c r="G89" i="104"/>
  <c r="P89" i="104"/>
  <c r="H89" i="104"/>
  <c r="Q89" i="104"/>
  <c r="L89" i="104"/>
  <c r="U89" i="104"/>
  <c r="I89" i="104"/>
  <c r="R89" i="104"/>
  <c r="S89" i="104"/>
  <c r="J89" i="104"/>
  <c r="K89" i="104"/>
  <c r="T89" i="104"/>
  <c r="M89" i="104"/>
  <c r="J99" i="104"/>
  <c r="R99" i="104"/>
  <c r="H99" i="104"/>
  <c r="Q99" i="104"/>
  <c r="I99" i="104"/>
  <c r="S99" i="104"/>
  <c r="V99" i="104"/>
  <c r="K99" i="104"/>
  <c r="T99" i="104"/>
  <c r="L99" i="104"/>
  <c r="U99" i="104"/>
  <c r="M99" i="104"/>
  <c r="N99" i="104"/>
  <c r="F99" i="104"/>
  <c r="E99" i="104"/>
  <c r="O99" i="104"/>
  <c r="G99" i="104"/>
  <c r="P99" i="104"/>
  <c r="J44" i="104"/>
  <c r="R44" i="104"/>
  <c r="K44" i="104"/>
  <c r="S44" i="104"/>
  <c r="L44" i="104"/>
  <c r="T44" i="104"/>
  <c r="G44" i="104"/>
  <c r="U44" i="104"/>
  <c r="O44" i="104"/>
  <c r="E44" i="104"/>
  <c r="Q44" i="104"/>
  <c r="M44" i="104"/>
  <c r="N44" i="104"/>
  <c r="P44" i="104"/>
  <c r="H44" i="104"/>
  <c r="I44" i="104"/>
  <c r="V44" i="104"/>
  <c r="F44" i="104"/>
  <c r="H108" i="104"/>
  <c r="P108" i="104"/>
  <c r="K108" i="104"/>
  <c r="T108" i="104"/>
  <c r="F108" i="104"/>
  <c r="L108" i="104"/>
  <c r="U108" i="104"/>
  <c r="G108" i="104"/>
  <c r="M108" i="104"/>
  <c r="V108" i="104"/>
  <c r="E108" i="104"/>
  <c r="N108" i="104"/>
  <c r="O108" i="104"/>
  <c r="I108" i="104"/>
  <c r="Q108" i="104"/>
  <c r="R108" i="104"/>
  <c r="J108" i="104"/>
  <c r="S108" i="104"/>
  <c r="E63" i="104"/>
  <c r="M63" i="104"/>
  <c r="U63" i="104"/>
  <c r="F63" i="104"/>
  <c r="N63" i="104"/>
  <c r="V63" i="104"/>
  <c r="L63" i="104"/>
  <c r="G63" i="104"/>
  <c r="R63" i="104"/>
  <c r="I63" i="104"/>
  <c r="T63" i="104"/>
  <c r="K63" i="104"/>
  <c r="O63" i="104"/>
  <c r="P63" i="104"/>
  <c r="H63" i="104"/>
  <c r="Q63" i="104"/>
  <c r="S63" i="104"/>
  <c r="J63" i="104"/>
  <c r="E38" i="104"/>
  <c r="M38" i="104"/>
  <c r="U38" i="104"/>
  <c r="K38" i="104"/>
  <c r="T38" i="104"/>
  <c r="L38" i="104"/>
  <c r="V38" i="104"/>
  <c r="N38" i="104"/>
  <c r="P38" i="104"/>
  <c r="I38" i="104"/>
  <c r="O38" i="104"/>
  <c r="J38" i="104"/>
  <c r="Q38" i="104"/>
  <c r="R38" i="104"/>
  <c r="G38" i="104"/>
  <c r="S38" i="104"/>
  <c r="F38" i="104"/>
  <c r="H38" i="104"/>
  <c r="L102" i="104"/>
  <c r="T102" i="104"/>
  <c r="I102" i="104"/>
  <c r="R102" i="104"/>
  <c r="O102" i="104"/>
  <c r="J102" i="104"/>
  <c r="S102" i="104"/>
  <c r="N102" i="104"/>
  <c r="K102" i="104"/>
  <c r="U102" i="104"/>
  <c r="M102" i="104"/>
  <c r="V102" i="104"/>
  <c r="G102" i="104"/>
  <c r="E102" i="104"/>
  <c r="F102" i="104"/>
  <c r="P102" i="104"/>
  <c r="H102" i="104"/>
  <c r="Q102" i="104"/>
  <c r="I53" i="104"/>
  <c r="Q53" i="104"/>
  <c r="J53" i="104"/>
  <c r="R53" i="104"/>
  <c r="L53" i="104"/>
  <c r="V53" i="104"/>
  <c r="O53" i="104"/>
  <c r="F53" i="104"/>
  <c r="S53" i="104"/>
  <c r="M53" i="104"/>
  <c r="N53" i="104"/>
  <c r="P53" i="104"/>
  <c r="H53" i="104"/>
  <c r="K53" i="104"/>
  <c r="T53" i="104"/>
  <c r="E53" i="104"/>
  <c r="U53" i="104"/>
  <c r="G53" i="104"/>
  <c r="I117" i="104"/>
  <c r="Q117" i="104"/>
  <c r="H117" i="104"/>
  <c r="R117" i="104"/>
  <c r="M117" i="104"/>
  <c r="V117" i="104"/>
  <c r="O117" i="104"/>
  <c r="G117" i="104"/>
  <c r="T117" i="104"/>
  <c r="J117" i="104"/>
  <c r="U117" i="104"/>
  <c r="L117" i="104"/>
  <c r="N117" i="104"/>
  <c r="P117" i="104"/>
  <c r="S117" i="104"/>
  <c r="F117" i="104"/>
  <c r="K117" i="104"/>
  <c r="E117" i="104"/>
  <c r="K19" i="104"/>
  <c r="S19" i="104"/>
  <c r="F19" i="104"/>
  <c r="O19" i="104"/>
  <c r="G19" i="104"/>
  <c r="P19" i="104"/>
  <c r="H19" i="104"/>
  <c r="Q19" i="104"/>
  <c r="I19" i="104"/>
  <c r="R19" i="104"/>
  <c r="M19" i="104"/>
  <c r="V19" i="104"/>
  <c r="E19" i="104"/>
  <c r="J19" i="104"/>
  <c r="L19" i="104"/>
  <c r="N19" i="104"/>
  <c r="T19" i="104"/>
  <c r="U19" i="104"/>
  <c r="H80" i="104"/>
  <c r="P80" i="104"/>
  <c r="L80" i="104"/>
  <c r="U80" i="104"/>
  <c r="M80" i="104"/>
  <c r="V80" i="104"/>
  <c r="E80" i="104"/>
  <c r="N80" i="104"/>
  <c r="G80" i="104"/>
  <c r="J80" i="104"/>
  <c r="S80" i="104"/>
  <c r="T80" i="104"/>
  <c r="F80" i="104"/>
  <c r="O80" i="104"/>
  <c r="Q80" i="104"/>
  <c r="I80" i="104"/>
  <c r="R80" i="104"/>
  <c r="K80" i="104"/>
  <c r="K31" i="104"/>
  <c r="S31" i="104"/>
  <c r="I31" i="104"/>
  <c r="R31" i="104"/>
  <c r="J31" i="104"/>
  <c r="T31" i="104"/>
  <c r="L31" i="104"/>
  <c r="U31" i="104"/>
  <c r="H31" i="104"/>
  <c r="Q31" i="104"/>
  <c r="F31" i="104"/>
  <c r="E31" i="104"/>
  <c r="G31" i="104"/>
  <c r="M31" i="104"/>
  <c r="V31" i="104"/>
  <c r="N31" i="104"/>
  <c r="O31" i="104"/>
  <c r="P31" i="104"/>
  <c r="I133" i="104"/>
  <c r="Q133" i="104"/>
  <c r="M133" i="104"/>
  <c r="V133" i="104"/>
  <c r="H133" i="104"/>
  <c r="S133" i="104"/>
  <c r="L133" i="104"/>
  <c r="N133" i="104"/>
  <c r="K133" i="104"/>
  <c r="O133" i="104"/>
  <c r="P133" i="104"/>
  <c r="R133" i="104"/>
  <c r="G133" i="104"/>
  <c r="J133" i="104"/>
  <c r="T133" i="104"/>
  <c r="U133" i="104"/>
  <c r="E133" i="104"/>
  <c r="F133" i="104"/>
  <c r="G74" i="104"/>
  <c r="O74" i="104"/>
  <c r="H74" i="104"/>
  <c r="P74" i="104"/>
  <c r="L74" i="104"/>
  <c r="V74" i="104"/>
  <c r="M74" i="104"/>
  <c r="S74" i="104"/>
  <c r="N74" i="104"/>
  <c r="Q74" i="104"/>
  <c r="F74" i="104"/>
  <c r="J74" i="104"/>
  <c r="U74" i="104"/>
  <c r="E74" i="104"/>
  <c r="R74" i="104"/>
  <c r="I74" i="104"/>
  <c r="T74" i="104"/>
  <c r="K74" i="104"/>
  <c r="G33" i="104"/>
  <c r="O33" i="104"/>
  <c r="J33" i="104"/>
  <c r="S33" i="104"/>
  <c r="K33" i="104"/>
  <c r="T33" i="104"/>
  <c r="L33" i="104"/>
  <c r="U33" i="104"/>
  <c r="Q33" i="104"/>
  <c r="P33" i="104"/>
  <c r="E33" i="104"/>
  <c r="V33" i="104"/>
  <c r="M33" i="104"/>
  <c r="N33" i="104"/>
  <c r="R33" i="104"/>
  <c r="H33" i="104"/>
  <c r="F33" i="104"/>
  <c r="I33" i="104"/>
  <c r="F97" i="104"/>
  <c r="N97" i="104"/>
  <c r="V97" i="104"/>
  <c r="H97" i="104"/>
  <c r="Q97" i="104"/>
  <c r="L97" i="104"/>
  <c r="I97" i="104"/>
  <c r="R97" i="104"/>
  <c r="J97" i="104"/>
  <c r="S97" i="104"/>
  <c r="K97" i="104"/>
  <c r="T97" i="104"/>
  <c r="E97" i="104"/>
  <c r="P97" i="104"/>
  <c r="U97" i="104"/>
  <c r="M97" i="104"/>
  <c r="G97" i="104"/>
  <c r="O97" i="104"/>
  <c r="J111" i="104"/>
  <c r="R111" i="104"/>
  <c r="L111" i="104"/>
  <c r="U111" i="104"/>
  <c r="G111" i="104"/>
  <c r="H111" i="104"/>
  <c r="M111" i="104"/>
  <c r="V111" i="104"/>
  <c r="E111" i="104"/>
  <c r="N111" i="104"/>
  <c r="F111" i="104"/>
  <c r="O111" i="104"/>
  <c r="P111" i="104"/>
  <c r="I111" i="104"/>
  <c r="Q111" i="104"/>
  <c r="S111" i="104"/>
  <c r="K111" i="104"/>
  <c r="T111" i="104"/>
  <c r="K52" i="104"/>
  <c r="S52" i="104"/>
  <c r="L52" i="104"/>
  <c r="T52" i="104"/>
  <c r="H52" i="104"/>
  <c r="R52" i="104"/>
  <c r="I52" i="104"/>
  <c r="V52" i="104"/>
  <c r="M52" i="104"/>
  <c r="O52" i="104"/>
  <c r="P52" i="104"/>
  <c r="Q52" i="104"/>
  <c r="J52" i="104"/>
  <c r="E52" i="104"/>
  <c r="U52" i="104"/>
  <c r="F52" i="104"/>
  <c r="G52" i="104"/>
  <c r="N52" i="104"/>
  <c r="K116" i="104"/>
  <c r="S116" i="104"/>
  <c r="H116" i="104"/>
  <c r="Q116" i="104"/>
  <c r="M116" i="104"/>
  <c r="V116" i="104"/>
  <c r="I116" i="104"/>
  <c r="U116" i="104"/>
  <c r="N116" i="104"/>
  <c r="O116" i="104"/>
  <c r="J116" i="104"/>
  <c r="L116" i="104"/>
  <c r="P116" i="104"/>
  <c r="R116" i="104"/>
  <c r="E116" i="104"/>
  <c r="F116" i="104"/>
  <c r="G116" i="104"/>
  <c r="T116" i="104"/>
  <c r="E71" i="104"/>
  <c r="M71" i="104"/>
  <c r="U71" i="104"/>
  <c r="F71" i="104"/>
  <c r="N71" i="104"/>
  <c r="V71" i="104"/>
  <c r="L71" i="104"/>
  <c r="G71" i="104"/>
  <c r="R71" i="104"/>
  <c r="H71" i="104"/>
  <c r="S71" i="104"/>
  <c r="I71" i="104"/>
  <c r="T71" i="104"/>
  <c r="P71" i="104"/>
  <c r="J71" i="104"/>
  <c r="K71" i="104"/>
  <c r="O71" i="104"/>
  <c r="Q71" i="104"/>
  <c r="F46" i="104"/>
  <c r="N46" i="104"/>
  <c r="V46" i="104"/>
  <c r="G46" i="104"/>
  <c r="O46" i="104"/>
  <c r="H46" i="104"/>
  <c r="P46" i="104"/>
  <c r="J46" i="104"/>
  <c r="U46" i="104"/>
  <c r="I46" i="104"/>
  <c r="L46" i="104"/>
  <c r="Q46" i="104"/>
  <c r="R46" i="104"/>
  <c r="S46" i="104"/>
  <c r="K46" i="104"/>
  <c r="M46" i="104"/>
  <c r="T46" i="104"/>
  <c r="E46" i="104"/>
  <c r="L110" i="104"/>
  <c r="T110" i="104"/>
  <c r="K110" i="104"/>
  <c r="U110" i="104"/>
  <c r="M110" i="104"/>
  <c r="V110" i="104"/>
  <c r="G110" i="104"/>
  <c r="Q110" i="104"/>
  <c r="E110" i="104"/>
  <c r="N110" i="104"/>
  <c r="F110" i="104"/>
  <c r="O110" i="104"/>
  <c r="I110" i="104"/>
  <c r="P110" i="104"/>
  <c r="H110" i="104"/>
  <c r="R110" i="104"/>
  <c r="J110" i="104"/>
  <c r="S110" i="104"/>
  <c r="I61" i="104"/>
  <c r="Q61" i="104"/>
  <c r="J61" i="104"/>
  <c r="R61" i="104"/>
  <c r="F61" i="104"/>
  <c r="P61" i="104"/>
  <c r="E61" i="104"/>
  <c r="S61" i="104"/>
  <c r="H61" i="104"/>
  <c r="U61" i="104"/>
  <c r="N61" i="104"/>
  <c r="O61" i="104"/>
  <c r="T61" i="104"/>
  <c r="L61" i="104"/>
  <c r="M61" i="104"/>
  <c r="V61" i="104"/>
  <c r="G61" i="104"/>
  <c r="K61" i="104"/>
  <c r="E127" i="104"/>
  <c r="M127" i="104"/>
  <c r="U127" i="104"/>
  <c r="K127" i="104"/>
  <c r="T127" i="104"/>
  <c r="L127" i="104"/>
  <c r="F127" i="104"/>
  <c r="P127" i="104"/>
  <c r="G127" i="104"/>
  <c r="Q127" i="104"/>
  <c r="S127" i="104"/>
  <c r="V127" i="104"/>
  <c r="H127" i="104"/>
  <c r="I127" i="104"/>
  <c r="O127" i="104"/>
  <c r="R127" i="104"/>
  <c r="J127" i="104"/>
  <c r="N127" i="104"/>
  <c r="I24" i="104"/>
  <c r="Q24" i="104"/>
  <c r="G24" i="104"/>
  <c r="P24" i="104"/>
  <c r="H24" i="104"/>
  <c r="R24" i="104"/>
  <c r="J24" i="104"/>
  <c r="S24" i="104"/>
  <c r="T24" i="104"/>
  <c r="E24" i="104"/>
  <c r="V24" i="104"/>
  <c r="K24" i="104"/>
  <c r="L24" i="104"/>
  <c r="N24" i="104"/>
  <c r="F24" i="104"/>
  <c r="M24" i="104"/>
  <c r="O24" i="104"/>
  <c r="U24" i="104"/>
  <c r="H88" i="104"/>
  <c r="P88" i="104"/>
  <c r="E88" i="104"/>
  <c r="N88" i="104"/>
  <c r="S88" i="104"/>
  <c r="F88" i="104"/>
  <c r="O88" i="104"/>
  <c r="J88" i="104"/>
  <c r="G88" i="104"/>
  <c r="Q88" i="104"/>
  <c r="L88" i="104"/>
  <c r="U88" i="104"/>
  <c r="V88" i="104"/>
  <c r="I88" i="104"/>
  <c r="R88" i="104"/>
  <c r="M88" i="104"/>
  <c r="K88" i="104"/>
  <c r="T88" i="104"/>
  <c r="K39" i="104"/>
  <c r="S39" i="104"/>
  <c r="L39" i="104"/>
  <c r="U39" i="104"/>
  <c r="M39" i="104"/>
  <c r="V39" i="104"/>
  <c r="E39" i="104"/>
  <c r="N39" i="104"/>
  <c r="J39" i="104"/>
  <c r="H39" i="104"/>
  <c r="O39" i="104"/>
  <c r="Q39" i="104"/>
  <c r="R39" i="104"/>
  <c r="T39" i="104"/>
  <c r="I39" i="104"/>
  <c r="P39" i="104"/>
  <c r="F39" i="104"/>
  <c r="G39" i="104"/>
  <c r="G21" i="104"/>
  <c r="O21" i="104"/>
  <c r="F21" i="104"/>
  <c r="P21" i="104"/>
  <c r="H21" i="104"/>
  <c r="Q21" i="104"/>
  <c r="I21" i="104"/>
  <c r="R21" i="104"/>
  <c r="J21" i="104"/>
  <c r="M21" i="104"/>
  <c r="E21" i="104"/>
  <c r="L21" i="104"/>
  <c r="N21" i="104"/>
  <c r="S21" i="104"/>
  <c r="T21" i="104"/>
  <c r="U21" i="104"/>
  <c r="V21" i="104"/>
  <c r="K21" i="104"/>
  <c r="E14" i="104"/>
  <c r="AB44" i="104" s="1"/>
  <c r="G48" i="1" s="1"/>
  <c r="M48" i="1" s="1"/>
  <c r="M14" i="104"/>
  <c r="U14" i="104"/>
  <c r="N14" i="104"/>
  <c r="AH44" i="104" s="1"/>
  <c r="F14" i="104"/>
  <c r="O14" i="104"/>
  <c r="G14" i="104"/>
  <c r="P14" i="104"/>
  <c r="H14" i="104"/>
  <c r="AC44" i="104" s="1"/>
  <c r="H48" i="1" s="1"/>
  <c r="N48" i="1" s="1"/>
  <c r="Q14" i="104"/>
  <c r="AI44" i="104" s="1"/>
  <c r="K14" i="104"/>
  <c r="AD44" i="104" s="1"/>
  <c r="I48" i="1" s="1"/>
  <c r="O48" i="1" s="1"/>
  <c r="I14" i="104"/>
  <c r="L14" i="104"/>
  <c r="R14" i="104"/>
  <c r="S14" i="104"/>
  <c r="T14" i="104"/>
  <c r="AJ44" i="104" s="1"/>
  <c r="V14" i="104"/>
  <c r="J14" i="104"/>
  <c r="L82" i="104"/>
  <c r="T82" i="104"/>
  <c r="M82" i="104"/>
  <c r="V82" i="104"/>
  <c r="E82" i="104"/>
  <c r="N82" i="104"/>
  <c r="F82" i="104"/>
  <c r="O82" i="104"/>
  <c r="H82" i="104"/>
  <c r="J82" i="104"/>
  <c r="K82" i="104"/>
  <c r="G82" i="104"/>
  <c r="P82" i="104"/>
  <c r="Q82" i="104"/>
  <c r="I82" i="104"/>
  <c r="R82" i="104"/>
  <c r="S82" i="104"/>
  <c r="U82" i="104"/>
  <c r="G41" i="104"/>
  <c r="O41" i="104"/>
  <c r="L41" i="104"/>
  <c r="U41" i="104"/>
  <c r="M41" i="104"/>
  <c r="V41" i="104"/>
  <c r="E41" i="104"/>
  <c r="N41" i="104"/>
  <c r="F41" i="104"/>
  <c r="S41" i="104"/>
  <c r="H41" i="104"/>
  <c r="J41" i="104"/>
  <c r="I41" i="104"/>
  <c r="R41" i="104"/>
  <c r="T41" i="104"/>
  <c r="K41" i="104"/>
  <c r="P41" i="104"/>
  <c r="Q41" i="104"/>
  <c r="F105" i="104"/>
  <c r="N105" i="104"/>
  <c r="V105" i="104"/>
  <c r="J105" i="104"/>
  <c r="S105" i="104"/>
  <c r="O105" i="104"/>
  <c r="P105" i="104"/>
  <c r="K105" i="104"/>
  <c r="T105" i="104"/>
  <c r="E105" i="104"/>
  <c r="L105" i="104"/>
  <c r="U105" i="104"/>
  <c r="M105" i="104"/>
  <c r="H105" i="104"/>
  <c r="Q105" i="104"/>
  <c r="G105" i="104"/>
  <c r="R105" i="104"/>
  <c r="I105" i="104"/>
  <c r="I129" i="104"/>
  <c r="Q129" i="104"/>
  <c r="L129" i="104"/>
  <c r="U129" i="104"/>
  <c r="G129" i="104"/>
  <c r="R129" i="104"/>
  <c r="K129" i="104"/>
  <c r="V129" i="104"/>
  <c r="M129" i="104"/>
  <c r="P129" i="104"/>
  <c r="S129" i="104"/>
  <c r="E129" i="104"/>
  <c r="T129" i="104"/>
  <c r="F129" i="104"/>
  <c r="N129" i="104"/>
  <c r="O129" i="104"/>
  <c r="H129" i="104"/>
  <c r="J129" i="104"/>
  <c r="K60" i="104"/>
  <c r="S60" i="104"/>
  <c r="L60" i="104"/>
  <c r="T60" i="104"/>
  <c r="N60" i="104"/>
  <c r="J60" i="104"/>
  <c r="O60" i="104"/>
  <c r="Q60" i="104"/>
  <c r="E60" i="104"/>
  <c r="R60" i="104"/>
  <c r="F60" i="104"/>
  <c r="U60" i="104"/>
  <c r="M60" i="104"/>
  <c r="G60" i="104"/>
  <c r="V60" i="104"/>
  <c r="P60" i="104"/>
  <c r="H60" i="104"/>
  <c r="I60" i="104"/>
  <c r="K124" i="104"/>
  <c r="S124" i="104"/>
  <c r="J124" i="104"/>
  <c r="T124" i="104"/>
  <c r="F124" i="104"/>
  <c r="O124" i="104"/>
  <c r="L124" i="104"/>
  <c r="P124" i="104"/>
  <c r="E124" i="104"/>
  <c r="Q124" i="104"/>
  <c r="V124" i="104"/>
  <c r="G124" i="104"/>
  <c r="H124" i="104"/>
  <c r="I124" i="104"/>
  <c r="M124" i="104"/>
  <c r="N124" i="104"/>
  <c r="R124" i="104"/>
  <c r="U124" i="104"/>
  <c r="J87" i="104"/>
  <c r="R87" i="104"/>
  <c r="E87" i="104"/>
  <c r="N87" i="104"/>
  <c r="F87" i="104"/>
  <c r="O87" i="104"/>
  <c r="G87" i="104"/>
  <c r="P87" i="104"/>
  <c r="S87" i="104"/>
  <c r="L87" i="104"/>
  <c r="U87" i="104"/>
  <c r="M87" i="104"/>
  <c r="H87" i="104"/>
  <c r="Q87" i="104"/>
  <c r="I87" i="104"/>
  <c r="K87" i="104"/>
  <c r="T87" i="104"/>
  <c r="V87" i="104"/>
  <c r="G54" i="104"/>
  <c r="O54" i="104"/>
  <c r="H54" i="104"/>
  <c r="P54" i="104"/>
  <c r="N54" i="104"/>
  <c r="J54" i="104"/>
  <c r="U54" i="104"/>
  <c r="L54" i="104"/>
  <c r="K54" i="104"/>
  <c r="M54" i="104"/>
  <c r="Q54" i="104"/>
  <c r="F54" i="104"/>
  <c r="V54" i="104"/>
  <c r="R54" i="104"/>
  <c r="S54" i="104"/>
  <c r="E54" i="104"/>
  <c r="T54" i="104"/>
  <c r="I54" i="104"/>
  <c r="G118" i="104"/>
  <c r="O118" i="104"/>
  <c r="I118" i="104"/>
  <c r="R118" i="104"/>
  <c r="M118" i="104"/>
  <c r="V118" i="104"/>
  <c r="J118" i="104"/>
  <c r="U118" i="104"/>
  <c r="N118" i="104"/>
  <c r="P118" i="104"/>
  <c r="L118" i="104"/>
  <c r="Q118" i="104"/>
  <c r="S118" i="104"/>
  <c r="T118" i="104"/>
  <c r="E118" i="104"/>
  <c r="F118" i="104"/>
  <c r="H118" i="104"/>
  <c r="K118" i="104"/>
  <c r="I69" i="104"/>
  <c r="Q69" i="104"/>
  <c r="J69" i="104"/>
  <c r="R69" i="104"/>
  <c r="F69" i="104"/>
  <c r="P69" i="104"/>
  <c r="H69" i="104"/>
  <c r="T69" i="104"/>
  <c r="N69" i="104"/>
  <c r="O69" i="104"/>
  <c r="S69" i="104"/>
  <c r="L69" i="104"/>
  <c r="E69" i="104"/>
  <c r="U69" i="104"/>
  <c r="M69" i="104"/>
  <c r="G69" i="104"/>
  <c r="V69" i="104"/>
  <c r="K69" i="104"/>
  <c r="E135" i="104"/>
  <c r="M135" i="104"/>
  <c r="U135" i="104"/>
  <c r="N135" i="104"/>
  <c r="O135" i="104"/>
  <c r="H135" i="104"/>
  <c r="R135" i="104"/>
  <c r="I135" i="104"/>
  <c r="S135" i="104"/>
  <c r="J135" i="104"/>
  <c r="K135" i="104"/>
  <c r="L135" i="104"/>
  <c r="P135" i="104"/>
  <c r="F135" i="104"/>
  <c r="G135" i="104"/>
  <c r="V135" i="104"/>
  <c r="Q135" i="104"/>
  <c r="T135" i="104"/>
  <c r="I32" i="104"/>
  <c r="Q32" i="104"/>
  <c r="J32" i="104"/>
  <c r="S32" i="104"/>
  <c r="K32" i="104"/>
  <c r="T32" i="104"/>
  <c r="L32" i="104"/>
  <c r="U32" i="104"/>
  <c r="F32" i="104"/>
  <c r="V32" i="104"/>
  <c r="P32" i="104"/>
  <c r="E32" i="104"/>
  <c r="H32" i="104"/>
  <c r="M32" i="104"/>
  <c r="N32" i="104"/>
  <c r="G32" i="104"/>
  <c r="O32" i="104"/>
  <c r="R32" i="104"/>
  <c r="H96" i="104"/>
  <c r="P96" i="104"/>
  <c r="G96" i="104"/>
  <c r="Q96" i="104"/>
  <c r="O96" i="104"/>
  <c r="I96" i="104"/>
  <c r="R96" i="104"/>
  <c r="U96" i="104"/>
  <c r="F96" i="104"/>
  <c r="J96" i="104"/>
  <c r="S96" i="104"/>
  <c r="T96" i="104"/>
  <c r="L96" i="104"/>
  <c r="E96" i="104"/>
  <c r="N96" i="104"/>
  <c r="K96" i="104"/>
  <c r="M96" i="104"/>
  <c r="V96" i="104"/>
  <c r="L47" i="104"/>
  <c r="T47" i="104"/>
  <c r="E47" i="104"/>
  <c r="M47" i="104"/>
  <c r="U47" i="104"/>
  <c r="F47" i="104"/>
  <c r="N47" i="104"/>
  <c r="V47" i="104"/>
  <c r="Q47" i="104"/>
  <c r="G47" i="104"/>
  <c r="S47" i="104"/>
  <c r="I47" i="104"/>
  <c r="P47" i="104"/>
  <c r="R47" i="104"/>
  <c r="K47" i="104"/>
  <c r="H47" i="104"/>
  <c r="J47" i="104"/>
  <c r="O47" i="104"/>
  <c r="E26" i="104"/>
  <c r="M26" i="104"/>
  <c r="U26" i="104"/>
  <c r="H26" i="104"/>
  <c r="Q26" i="104"/>
  <c r="I26" i="104"/>
  <c r="R26" i="104"/>
  <c r="J26" i="104"/>
  <c r="S26" i="104"/>
  <c r="L26" i="104"/>
  <c r="T26" i="104"/>
  <c r="G26" i="104"/>
  <c r="N26" i="104"/>
  <c r="F26" i="104"/>
  <c r="V26" i="104"/>
  <c r="K26" i="104"/>
  <c r="O26" i="104"/>
  <c r="P26" i="104"/>
  <c r="L90" i="104"/>
  <c r="T90" i="104"/>
  <c r="F90" i="104"/>
  <c r="O90" i="104"/>
  <c r="G90" i="104"/>
  <c r="P90" i="104"/>
  <c r="S90" i="104"/>
  <c r="H90" i="104"/>
  <c r="Q90" i="104"/>
  <c r="J90" i="104"/>
  <c r="M90" i="104"/>
  <c r="V90" i="104"/>
  <c r="I90" i="104"/>
  <c r="R90" i="104"/>
  <c r="E90" i="104"/>
  <c r="K90" i="104"/>
  <c r="U90" i="104"/>
  <c r="N90" i="104"/>
  <c r="H49" i="104"/>
  <c r="P49" i="104"/>
  <c r="I49" i="104"/>
  <c r="Q49" i="104"/>
  <c r="J49" i="104"/>
  <c r="R49" i="104"/>
  <c r="F49" i="104"/>
  <c r="T49" i="104"/>
  <c r="M49" i="104"/>
  <c r="O49" i="104"/>
  <c r="U49" i="104"/>
  <c r="V49" i="104"/>
  <c r="E49" i="104"/>
  <c r="N49" i="104"/>
  <c r="S49" i="104"/>
  <c r="G49" i="104"/>
  <c r="K49" i="104"/>
  <c r="L49" i="104"/>
  <c r="F113" i="104"/>
  <c r="L113" i="104"/>
  <c r="T113" i="104"/>
  <c r="P113" i="104"/>
  <c r="Q113" i="104"/>
  <c r="M113" i="104"/>
  <c r="U113" i="104"/>
  <c r="E113" i="104"/>
  <c r="N113" i="104"/>
  <c r="V113" i="104"/>
  <c r="G113" i="104"/>
  <c r="O113" i="104"/>
  <c r="I113" i="104"/>
  <c r="J113" i="104"/>
  <c r="H113" i="104"/>
  <c r="R113" i="104"/>
  <c r="S113" i="104"/>
  <c r="K113" i="104"/>
  <c r="I16" i="104"/>
  <c r="Q16" i="104"/>
  <c r="E16" i="104"/>
  <c r="N16" i="104"/>
  <c r="F16" i="104"/>
  <c r="O16" i="104"/>
  <c r="G16" i="104"/>
  <c r="P16" i="104"/>
  <c r="H16" i="104"/>
  <c r="R16" i="104"/>
  <c r="L16" i="104"/>
  <c r="M16" i="104"/>
  <c r="T16" i="104"/>
  <c r="U16" i="104"/>
  <c r="V16" i="104"/>
  <c r="J16" i="104"/>
  <c r="K16" i="104"/>
  <c r="S16" i="104"/>
  <c r="K68" i="104"/>
  <c r="S68" i="104"/>
  <c r="L68" i="104"/>
  <c r="T68" i="104"/>
  <c r="H68" i="104"/>
  <c r="N68" i="104"/>
  <c r="E68" i="104"/>
  <c r="P68" i="104"/>
  <c r="R68" i="104"/>
  <c r="F68" i="104"/>
  <c r="U68" i="104"/>
  <c r="G68" i="104"/>
  <c r="V68" i="104"/>
  <c r="O68" i="104"/>
  <c r="Q68" i="104"/>
  <c r="I68" i="104"/>
  <c r="J68" i="104"/>
  <c r="M68" i="104"/>
  <c r="K132" i="104"/>
  <c r="S132" i="104"/>
  <c r="M132" i="104"/>
  <c r="V132" i="104"/>
  <c r="F132" i="104"/>
  <c r="P132" i="104"/>
  <c r="I132" i="104"/>
  <c r="T132" i="104"/>
  <c r="J132" i="104"/>
  <c r="U132" i="104"/>
  <c r="N132" i="104"/>
  <c r="O132" i="104"/>
  <c r="Q132" i="104"/>
  <c r="R132" i="104"/>
  <c r="E132" i="104"/>
  <c r="G132" i="104"/>
  <c r="H132" i="104"/>
  <c r="L132" i="104"/>
  <c r="J103" i="104"/>
  <c r="R103" i="104"/>
  <c r="I103" i="104"/>
  <c r="S103" i="104"/>
  <c r="N103" i="104"/>
  <c r="K103" i="104"/>
  <c r="T103" i="104"/>
  <c r="L103" i="104"/>
  <c r="U103" i="104"/>
  <c r="M103" i="104"/>
  <c r="V103" i="104"/>
  <c r="F103" i="104"/>
  <c r="G103" i="104"/>
  <c r="E103" i="104"/>
  <c r="O103" i="104"/>
  <c r="P103" i="104"/>
  <c r="H103" i="104"/>
  <c r="Q103" i="104"/>
  <c r="G62" i="104"/>
  <c r="O62" i="104"/>
  <c r="H62" i="104"/>
  <c r="P62" i="104"/>
  <c r="J62" i="104"/>
  <c r="T62" i="104"/>
  <c r="L62" i="104"/>
  <c r="N62" i="104"/>
  <c r="M62" i="104"/>
  <c r="Q62" i="104"/>
  <c r="R62" i="104"/>
  <c r="I62" i="104"/>
  <c r="S62" i="104"/>
  <c r="E62" i="104"/>
  <c r="U62" i="104"/>
  <c r="F62" i="104"/>
  <c r="V62" i="104"/>
  <c r="K62" i="104"/>
  <c r="G126" i="104"/>
  <c r="O126" i="104"/>
  <c r="K126" i="104"/>
  <c r="T126" i="104"/>
  <c r="I126" i="104"/>
  <c r="S126" i="104"/>
  <c r="M126" i="104"/>
  <c r="N126" i="104"/>
  <c r="E126" i="104"/>
  <c r="U126" i="104"/>
  <c r="F126" i="104"/>
  <c r="V126" i="104"/>
  <c r="H126" i="104"/>
  <c r="J126" i="104"/>
  <c r="L126" i="104"/>
  <c r="P126" i="104"/>
  <c r="Q126" i="104"/>
  <c r="R126" i="104"/>
  <c r="I77" i="104"/>
  <c r="Q77" i="104"/>
  <c r="J77" i="104"/>
  <c r="R77" i="104"/>
  <c r="L77" i="104"/>
  <c r="V77" i="104"/>
  <c r="G77" i="104"/>
  <c r="T77" i="104"/>
  <c r="F77" i="104"/>
  <c r="H77" i="104"/>
  <c r="U77" i="104"/>
  <c r="S77" i="104"/>
  <c r="K77" i="104"/>
  <c r="N77" i="104"/>
  <c r="E77" i="104"/>
  <c r="P77" i="104"/>
  <c r="M77" i="104"/>
  <c r="O77" i="104"/>
  <c r="E75" i="104"/>
  <c r="M75" i="104"/>
  <c r="U75" i="104"/>
  <c r="F75" i="104"/>
  <c r="N75" i="104"/>
  <c r="V75" i="104"/>
  <c r="P75" i="104"/>
  <c r="H75" i="104"/>
  <c r="S75" i="104"/>
  <c r="I75" i="104"/>
  <c r="T75" i="104"/>
  <c r="J75" i="104"/>
  <c r="Q75" i="104"/>
  <c r="G75" i="104"/>
  <c r="K75" i="104"/>
  <c r="R75" i="104"/>
  <c r="L75" i="104"/>
  <c r="O75" i="104"/>
  <c r="I40" i="104"/>
  <c r="Q40" i="104"/>
  <c r="L40" i="104"/>
  <c r="U40" i="104"/>
  <c r="M40" i="104"/>
  <c r="V40" i="104"/>
  <c r="E40" i="104"/>
  <c r="N40" i="104"/>
  <c r="H40" i="104"/>
  <c r="G40" i="104"/>
  <c r="K40" i="104"/>
  <c r="S40" i="104"/>
  <c r="T40" i="104"/>
  <c r="P40" i="104"/>
  <c r="F40" i="104"/>
  <c r="J40" i="104"/>
  <c r="O40" i="104"/>
  <c r="R40" i="104"/>
  <c r="H104" i="104"/>
  <c r="P104" i="104"/>
  <c r="J104" i="104"/>
  <c r="S104" i="104"/>
  <c r="K104" i="104"/>
  <c r="T104" i="104"/>
  <c r="O104" i="104"/>
  <c r="L104" i="104"/>
  <c r="U104" i="104"/>
  <c r="M104" i="104"/>
  <c r="V104" i="104"/>
  <c r="E104" i="104"/>
  <c r="G104" i="104"/>
  <c r="N104" i="104"/>
  <c r="F104" i="104"/>
  <c r="Q104" i="104"/>
  <c r="R104" i="104"/>
  <c r="I104" i="104"/>
  <c r="E55" i="104"/>
  <c r="M55" i="104"/>
  <c r="U55" i="104"/>
  <c r="F55" i="104"/>
  <c r="N55" i="104"/>
  <c r="V55" i="104"/>
  <c r="H55" i="104"/>
  <c r="R55" i="104"/>
  <c r="P55" i="104"/>
  <c r="G55" i="104"/>
  <c r="S55" i="104"/>
  <c r="J55" i="104"/>
  <c r="K55" i="104"/>
  <c r="L55" i="104"/>
  <c r="I55" i="104"/>
  <c r="O55" i="104"/>
  <c r="Q55" i="104"/>
  <c r="T55" i="104"/>
  <c r="C37" i="84"/>
  <c r="C34" i="84"/>
  <c r="C27" i="84"/>
  <c r="E38" i="196" l="1"/>
  <c r="E52" i="152"/>
  <c r="D38" i="194"/>
  <c r="F38" i="194" s="1"/>
  <c r="G150" i="113"/>
  <c r="G70" i="113"/>
  <c r="F70" i="113"/>
  <c r="F150" i="113"/>
  <c r="E16" i="155"/>
  <c r="E150" i="113"/>
  <c r="E70" i="113"/>
  <c r="J29" i="153"/>
  <c r="F130" i="113"/>
  <c r="F50" i="113"/>
  <c r="G50" i="113"/>
  <c r="G130" i="113"/>
  <c r="E130" i="113"/>
  <c r="E50" i="113"/>
  <c r="K15" i="104"/>
  <c r="S15" i="104"/>
  <c r="E15" i="104"/>
  <c r="N15" i="104"/>
  <c r="F15" i="104"/>
  <c r="O15" i="104"/>
  <c r="G15" i="104"/>
  <c r="P15" i="104"/>
  <c r="H15" i="104"/>
  <c r="Q15" i="104"/>
  <c r="L15" i="104"/>
  <c r="J15" i="104"/>
  <c r="R15" i="104"/>
  <c r="T15" i="104"/>
  <c r="U15" i="104"/>
  <c r="V15" i="104"/>
  <c r="M15" i="104"/>
  <c r="I15" i="104"/>
  <c r="E22" i="104"/>
  <c r="M22" i="104"/>
  <c r="U22" i="104"/>
  <c r="G22" i="104"/>
  <c r="P22" i="104"/>
  <c r="H22" i="104"/>
  <c r="Q22" i="104"/>
  <c r="I22" i="104"/>
  <c r="R22" i="104"/>
  <c r="K22" i="104"/>
  <c r="F22" i="104"/>
  <c r="L22" i="104"/>
  <c r="N22" i="104"/>
  <c r="O22" i="104"/>
  <c r="S22" i="104"/>
  <c r="J22" i="104"/>
  <c r="T22" i="104"/>
  <c r="V22" i="104"/>
  <c r="G25" i="104"/>
  <c r="O25" i="104"/>
  <c r="H25" i="104"/>
  <c r="Q25" i="104"/>
  <c r="I25" i="104"/>
  <c r="R25" i="104"/>
  <c r="J25" i="104"/>
  <c r="S25" i="104"/>
  <c r="N25" i="104"/>
  <c r="U25" i="104"/>
  <c r="F25" i="104"/>
  <c r="K25" i="104"/>
  <c r="M25" i="104"/>
  <c r="T25" i="104"/>
  <c r="V25" i="104"/>
  <c r="L25" i="104"/>
  <c r="P25" i="104"/>
  <c r="E25" i="104"/>
  <c r="I16" i="2"/>
  <c r="F16" i="2"/>
  <c r="L38" i="196" l="1" a="1"/>
  <c r="L38" i="196" s="1"/>
  <c r="G38" i="196"/>
  <c r="E38" i="194"/>
  <c r="L38" i="194" s="1" a="1"/>
  <c r="L38" i="194" s="1"/>
  <c r="P50" i="113"/>
  <c r="N50" i="113"/>
  <c r="O50" i="113"/>
  <c r="X88" i="117"/>
  <c r="P30" i="113"/>
  <c r="N30" i="113"/>
  <c r="O30" i="113"/>
  <c r="G178" i="113"/>
  <c r="G98" i="113"/>
  <c r="F98" i="113"/>
  <c r="F178" i="113"/>
  <c r="E178" i="113"/>
  <c r="E98" i="113"/>
  <c r="J38" i="153"/>
  <c r="E25" i="155"/>
  <c r="I43" i="231" l="1"/>
  <c r="F43" i="231"/>
  <c r="G38" i="194"/>
  <c r="Y88" i="117"/>
  <c r="AQ24" i="117" s="1"/>
  <c r="X96" i="117"/>
  <c r="Q30" i="113"/>
  <c r="W30" i="113"/>
  <c r="S30" i="113"/>
  <c r="Y30" i="113"/>
  <c r="R50" i="113"/>
  <c r="X50" i="113"/>
  <c r="R30" i="113"/>
  <c r="X30" i="113"/>
  <c r="Q50" i="113"/>
  <c r="W50" i="113"/>
  <c r="S50" i="113"/>
  <c r="Y50" i="113"/>
  <c r="AP24" i="117"/>
  <c r="P78" i="113"/>
  <c r="N78" i="113"/>
  <c r="O78" i="113"/>
  <c r="K16" i="2"/>
  <c r="H16" i="2"/>
  <c r="G16" i="2"/>
  <c r="O43" i="231" l="1"/>
  <c r="M43" i="231"/>
  <c r="I43" i="227"/>
  <c r="O43" i="227" s="1"/>
  <c r="F43" i="227"/>
  <c r="I67" i="203"/>
  <c r="M67" i="203" s="1"/>
  <c r="S78" i="113"/>
  <c r="Y78" i="113"/>
  <c r="R78" i="113"/>
  <c r="X78" i="113"/>
  <c r="Q78" i="113"/>
  <c r="W78" i="113"/>
  <c r="Z88" i="117"/>
  <c r="Z96" i="117" s="1"/>
  <c r="M16" i="2"/>
  <c r="N16" i="2"/>
  <c r="L16" i="2"/>
  <c r="C13" i="195" s="1"/>
  <c r="M43" i="227" l="1"/>
  <c r="E26" i="152"/>
  <c r="AC26" i="152" s="1"/>
  <c r="F37" i="200"/>
  <c r="H37" i="200" s="1"/>
  <c r="V98" i="117"/>
  <c r="I3" i="117" s="1"/>
  <c r="AR24" i="117"/>
  <c r="G37" i="200" l="1"/>
  <c r="I37" i="200" s="1"/>
  <c r="M4" i="101"/>
  <c r="V26" i="152"/>
  <c r="U26" i="152"/>
  <c r="Y26" i="152"/>
  <c r="Z26" i="152"/>
  <c r="U20" i="84"/>
  <c r="J229" i="84" l="1"/>
  <c r="U18" i="84"/>
  <c r="Y20" i="84"/>
  <c r="BW20" i="84"/>
  <c r="C20" i="84" l="1"/>
  <c r="Y18" i="84"/>
  <c r="C23" i="84"/>
  <c r="C24" i="84"/>
  <c r="C25" i="84"/>
  <c r="E8" i="104" l="1"/>
  <c r="AB69" i="104" s="1"/>
  <c r="M73" i="1" s="1"/>
  <c r="F9" i="104"/>
  <c r="N9" i="104"/>
  <c r="V9" i="104"/>
  <c r="G9" i="104"/>
  <c r="O9" i="104"/>
  <c r="P9" i="104"/>
  <c r="E9" i="104"/>
  <c r="Q9" i="104"/>
  <c r="H9" i="104"/>
  <c r="R9" i="104"/>
  <c r="I9" i="104"/>
  <c r="S9" i="104"/>
  <c r="J9" i="104"/>
  <c r="T9" i="104"/>
  <c r="M9" i="104"/>
  <c r="K9" i="104"/>
  <c r="L9" i="104"/>
  <c r="U9" i="104"/>
  <c r="G13" i="104"/>
  <c r="O13" i="104"/>
  <c r="M13" i="104"/>
  <c r="V13" i="104"/>
  <c r="E13" i="104"/>
  <c r="N13" i="104"/>
  <c r="F13" i="104"/>
  <c r="P13" i="104"/>
  <c r="H13" i="104"/>
  <c r="Q13" i="104"/>
  <c r="K13" i="104"/>
  <c r="J13" i="104"/>
  <c r="L13" i="104"/>
  <c r="R13" i="104"/>
  <c r="S13" i="104"/>
  <c r="I13" i="104"/>
  <c r="T13" i="104"/>
  <c r="U13" i="104"/>
  <c r="I12" i="104"/>
  <c r="Q12" i="104"/>
  <c r="M12" i="104"/>
  <c r="V12" i="104"/>
  <c r="E12" i="104"/>
  <c r="N12" i="104"/>
  <c r="F12" i="104"/>
  <c r="O12" i="104"/>
  <c r="G12" i="104"/>
  <c r="P12" i="104"/>
  <c r="K12" i="104"/>
  <c r="U12" i="104"/>
  <c r="H12" i="104"/>
  <c r="J12" i="104"/>
  <c r="L12" i="104"/>
  <c r="R12" i="104"/>
  <c r="S12" i="104"/>
  <c r="T12" i="104"/>
  <c r="J11" i="104"/>
  <c r="K11" i="104"/>
  <c r="S11" i="104"/>
  <c r="L11" i="104"/>
  <c r="M11" i="104"/>
  <c r="V11" i="104"/>
  <c r="N11" i="104"/>
  <c r="E11" i="104"/>
  <c r="O11" i="104"/>
  <c r="F11" i="104"/>
  <c r="P11" i="104"/>
  <c r="H11" i="104"/>
  <c r="T11" i="104"/>
  <c r="G11" i="104"/>
  <c r="I11" i="104"/>
  <c r="R11" i="104"/>
  <c r="Q11" i="104"/>
  <c r="U11" i="104"/>
  <c r="K8" i="104"/>
  <c r="AD32" i="104" s="1"/>
  <c r="I36" i="1" s="1"/>
  <c r="BZ18" i="84"/>
  <c r="U16" i="84"/>
  <c r="U8" i="104"/>
  <c r="V8" i="104"/>
  <c r="S8" i="104"/>
  <c r="T8" i="104"/>
  <c r="Q8" i="104"/>
  <c r="AI32" i="104" s="1"/>
  <c r="R8" i="104"/>
  <c r="O8" i="104"/>
  <c r="P8" i="104"/>
  <c r="M8" i="104"/>
  <c r="N8" i="104"/>
  <c r="L8" i="104"/>
  <c r="I8" i="104"/>
  <c r="J8" i="104"/>
  <c r="G8" i="104"/>
  <c r="H8" i="104"/>
  <c r="AC32" i="104" s="1"/>
  <c r="H36" i="1" s="1"/>
  <c r="F8" i="104"/>
  <c r="C22" i="84"/>
  <c r="D59" i="194" l="1"/>
  <c r="F59" i="194" s="1"/>
  <c r="AJ68" i="104"/>
  <c r="AJ32" i="104"/>
  <c r="N36" i="1"/>
  <c r="F138" i="113"/>
  <c r="AL46" i="149"/>
  <c r="AL62" i="149" s="1"/>
  <c r="F58" i="113"/>
  <c r="AH68" i="104"/>
  <c r="AH32" i="104"/>
  <c r="O36" i="1"/>
  <c r="G138" i="113"/>
  <c r="G58" i="113"/>
  <c r="AB68" i="104"/>
  <c r="M72" i="1" s="1"/>
  <c r="AB32" i="104"/>
  <c r="G36" i="1" s="1"/>
  <c r="AI21" i="104"/>
  <c r="AI68" i="104"/>
  <c r="AC21" i="104"/>
  <c r="H25" i="1" s="1"/>
  <c r="N25" i="1" s="1"/>
  <c r="AC68" i="104"/>
  <c r="H72" i="1" s="1"/>
  <c r="N72" i="1" s="1"/>
  <c r="AD21" i="104"/>
  <c r="I25" i="1" s="1"/>
  <c r="O25" i="1" s="1"/>
  <c r="AD68" i="104"/>
  <c r="I72" i="1" s="1"/>
  <c r="O72" i="1" s="1"/>
  <c r="AJ35" i="104"/>
  <c r="AH35" i="104"/>
  <c r="AI35" i="104"/>
  <c r="AC35" i="104"/>
  <c r="H39" i="1" s="1"/>
  <c r="AD35" i="104"/>
  <c r="I39" i="1" s="1"/>
  <c r="O39" i="1" s="1"/>
  <c r="AB35" i="104"/>
  <c r="G39" i="1" s="1"/>
  <c r="AB21" i="104"/>
  <c r="G25" i="1" s="1"/>
  <c r="M25" i="1" s="1"/>
  <c r="E145" i="115"/>
  <c r="E65" i="115"/>
  <c r="O22" i="155"/>
  <c r="O29" i="155" s="1"/>
  <c r="J28" i="153"/>
  <c r="L28" i="153" s="1"/>
  <c r="G145" i="115"/>
  <c r="G65" i="115"/>
  <c r="F145" i="115"/>
  <c r="F65" i="115"/>
  <c r="E95" i="113"/>
  <c r="E175" i="113"/>
  <c r="AH23" i="104"/>
  <c r="AH21" i="104"/>
  <c r="AJ23" i="104"/>
  <c r="AJ21" i="104"/>
  <c r="AC58" i="104"/>
  <c r="H62" i="1" s="1"/>
  <c r="AC23" i="104"/>
  <c r="H27" i="1" s="1"/>
  <c r="N27" i="1" s="1"/>
  <c r="AI58" i="104"/>
  <c r="AI23" i="104"/>
  <c r="AD58" i="104"/>
  <c r="I62" i="1" s="1"/>
  <c r="AD23" i="104"/>
  <c r="I27" i="1" s="1"/>
  <c r="O27" i="1" s="1"/>
  <c r="AB58" i="104"/>
  <c r="G62" i="1" s="1"/>
  <c r="AB23" i="104"/>
  <c r="G27" i="1" s="1"/>
  <c r="AH69" i="104"/>
  <c r="AH58" i="104"/>
  <c r="AJ69" i="104"/>
  <c r="AJ58" i="104"/>
  <c r="AC69" i="104"/>
  <c r="H73" i="1" s="1"/>
  <c r="N73" i="1" s="1"/>
  <c r="F123" i="115"/>
  <c r="AI69" i="104"/>
  <c r="AD69" i="104"/>
  <c r="I73" i="1" s="1"/>
  <c r="O73" i="1" s="1"/>
  <c r="L10" i="104"/>
  <c r="AD56" i="104" s="1"/>
  <c r="I60" i="1" s="1"/>
  <c r="O60" i="1" s="1"/>
  <c r="T10" i="104"/>
  <c r="AJ57" i="104" s="1"/>
  <c r="E10" i="104"/>
  <c r="AB57" i="104" s="1"/>
  <c r="G61" i="1" s="1"/>
  <c r="M61" i="1" s="1"/>
  <c r="M10" i="104"/>
  <c r="U10" i="104"/>
  <c r="AJ56" i="104" s="1"/>
  <c r="H10" i="104"/>
  <c r="AC57" i="104" s="1"/>
  <c r="H61" i="1" s="1"/>
  <c r="N61" i="1" s="1"/>
  <c r="R10" i="104"/>
  <c r="AI56" i="104" s="1"/>
  <c r="I10" i="104"/>
  <c r="AC56" i="104" s="1"/>
  <c r="H60" i="1" s="1"/>
  <c r="N60" i="1" s="1"/>
  <c r="S10" i="104"/>
  <c r="J10" i="104"/>
  <c r="V10" i="104"/>
  <c r="K10" i="104"/>
  <c r="AD57" i="104" s="1"/>
  <c r="I61" i="1" s="1"/>
  <c r="O61" i="1" s="1"/>
  <c r="N10" i="104"/>
  <c r="AH57" i="104" s="1"/>
  <c r="G10" i="104"/>
  <c r="P10" i="104"/>
  <c r="Q10" i="104"/>
  <c r="AI57" i="104" s="1"/>
  <c r="F10" i="104"/>
  <c r="AB56" i="104" s="1"/>
  <c r="G60" i="1" s="1"/>
  <c r="M60" i="1" s="1"/>
  <c r="O10" i="104"/>
  <c r="AH56" i="104" s="1"/>
  <c r="AB3" i="84"/>
  <c r="R5" i="79" s="1"/>
  <c r="AG3" i="84"/>
  <c r="W5" i="79" s="1"/>
  <c r="AG36" i="79"/>
  <c r="W3" i="84"/>
  <c r="M5" i="79" s="1"/>
  <c r="AG22" i="79"/>
  <c r="AJ8" i="104"/>
  <c r="I12" i="3" s="1"/>
  <c r="O12" i="3" s="1"/>
  <c r="AI8" i="104"/>
  <c r="H12" i="3" s="1"/>
  <c r="N12" i="3" s="1"/>
  <c r="AH8" i="104"/>
  <c r="G12" i="3" s="1"/>
  <c r="M12" i="3" s="1"/>
  <c r="P211" i="113"/>
  <c r="AC8" i="104"/>
  <c r="H12" i="1" s="1"/>
  <c r="N12" i="1" s="1"/>
  <c r="Q211" i="113"/>
  <c r="AD8" i="104"/>
  <c r="I12" i="1" s="1"/>
  <c r="O12" i="1" s="1"/>
  <c r="P247" i="113"/>
  <c r="Q247" i="113"/>
  <c r="AJ43" i="135"/>
  <c r="AK43" i="135"/>
  <c r="AK59" i="135" s="1"/>
  <c r="BW18" i="84"/>
  <c r="F3" i="84" s="1"/>
  <c r="E59" i="194" l="1"/>
  <c r="L59" i="194" s="1" a="1"/>
  <c r="L59" i="194" s="1"/>
  <c r="E49" i="152"/>
  <c r="AB49" i="152" s="1"/>
  <c r="I8" i="196"/>
  <c r="E58" i="196"/>
  <c r="D49" i="194"/>
  <c r="F49" i="194" s="1"/>
  <c r="D19" i="194"/>
  <c r="F19" i="194" s="1"/>
  <c r="D48" i="194"/>
  <c r="F48" i="194" s="1"/>
  <c r="E59" i="196"/>
  <c r="I114" i="203"/>
  <c r="M114" i="203" s="1"/>
  <c r="E54" i="152"/>
  <c r="D58" i="194"/>
  <c r="F58" i="194" s="1"/>
  <c r="AJ59" i="135"/>
  <c r="AJ83" i="135" s="1"/>
  <c r="E114" i="135" s="1"/>
  <c r="K114" i="135" s="1"/>
  <c r="O38" i="113"/>
  <c r="X38" i="113" s="1"/>
  <c r="M36" i="1"/>
  <c r="AK46" i="149"/>
  <c r="AK62" i="149" s="1"/>
  <c r="E15" i="155"/>
  <c r="T15" i="155" s="1"/>
  <c r="E58" i="113"/>
  <c r="E138" i="113"/>
  <c r="J25" i="153"/>
  <c r="L25" i="153" s="1"/>
  <c r="P38" i="113"/>
  <c r="J26" i="153"/>
  <c r="L26" i="153" s="1"/>
  <c r="N26" i="153" s="1"/>
  <c r="M39" i="1"/>
  <c r="H86" i="1"/>
  <c r="N86" i="1" s="1"/>
  <c r="N62" i="1"/>
  <c r="G86" i="1"/>
  <c r="M62" i="1"/>
  <c r="J22" i="153"/>
  <c r="M27" i="1"/>
  <c r="I86" i="1"/>
  <c r="O86" i="1" s="1"/>
  <c r="O62" i="1"/>
  <c r="F141" i="113"/>
  <c r="N39" i="1"/>
  <c r="O13" i="155"/>
  <c r="F127" i="113"/>
  <c r="G47" i="113"/>
  <c r="G127" i="113"/>
  <c r="F47" i="113"/>
  <c r="F61" i="113"/>
  <c r="AC20" i="104"/>
  <c r="H24" i="1" s="1"/>
  <c r="N24" i="1" s="1"/>
  <c r="I87" i="1"/>
  <c r="G141" i="113"/>
  <c r="AJ20" i="104"/>
  <c r="G61" i="113"/>
  <c r="AI20" i="104"/>
  <c r="AH20" i="104"/>
  <c r="AD20" i="104"/>
  <c r="I24" i="1" s="1"/>
  <c r="AB20" i="104"/>
  <c r="G24" i="1" s="1"/>
  <c r="M24" i="1" s="1"/>
  <c r="E22" i="155"/>
  <c r="T22" i="155" s="1"/>
  <c r="E61" i="113"/>
  <c r="E141" i="113"/>
  <c r="AK35" i="135"/>
  <c r="AK51" i="135" s="1"/>
  <c r="E38" i="115"/>
  <c r="AK83" i="135"/>
  <c r="F114" i="135" s="1"/>
  <c r="L114" i="135" s="1"/>
  <c r="N42" i="115"/>
  <c r="E127" i="113"/>
  <c r="E47" i="113"/>
  <c r="E49" i="113"/>
  <c r="G49" i="113"/>
  <c r="G129" i="113"/>
  <c r="G163" i="113"/>
  <c r="G83" i="113"/>
  <c r="O42" i="115"/>
  <c r="E163" i="113"/>
  <c r="E83" i="113"/>
  <c r="G85" i="1"/>
  <c r="H85" i="1"/>
  <c r="F49" i="113"/>
  <c r="F129" i="113"/>
  <c r="E129" i="113"/>
  <c r="F163" i="113"/>
  <c r="F83" i="113"/>
  <c r="G175" i="113"/>
  <c r="G95" i="113"/>
  <c r="G87" i="1"/>
  <c r="AK42" i="149"/>
  <c r="N75" i="113"/>
  <c r="P42" i="115"/>
  <c r="I85" i="1"/>
  <c r="O85" i="1" s="1"/>
  <c r="N28" i="153"/>
  <c r="AC28" i="153"/>
  <c r="M28" i="153"/>
  <c r="AB28" i="153"/>
  <c r="F175" i="113"/>
  <c r="F95" i="113"/>
  <c r="F194" i="113"/>
  <c r="F114" i="113"/>
  <c r="AL36" i="149"/>
  <c r="AL52" i="149" s="1"/>
  <c r="F34" i="113"/>
  <c r="E21" i="155"/>
  <c r="G194" i="113"/>
  <c r="G114" i="113"/>
  <c r="G34" i="113"/>
  <c r="H87" i="1"/>
  <c r="AL42" i="149"/>
  <c r="AL58" i="149" s="1"/>
  <c r="P199" i="113"/>
  <c r="P267" i="113" s="1"/>
  <c r="H89" i="1"/>
  <c r="Q199" i="113"/>
  <c r="Q267" i="113" s="1"/>
  <c r="I89" i="1"/>
  <c r="P203" i="115"/>
  <c r="G39" i="113"/>
  <c r="G119" i="113"/>
  <c r="F203" i="115"/>
  <c r="F43" i="115"/>
  <c r="O20" i="115" s="1"/>
  <c r="F39" i="113"/>
  <c r="G199" i="113"/>
  <c r="F199" i="113"/>
  <c r="F119" i="113"/>
  <c r="AJ35" i="135"/>
  <c r="AJ51" i="135" s="1"/>
  <c r="J19" i="153"/>
  <c r="O17" i="155"/>
  <c r="J35" i="153"/>
  <c r="L35" i="153" s="1"/>
  <c r="F181" i="115"/>
  <c r="F101" i="115"/>
  <c r="E133" i="115"/>
  <c r="E53" i="115"/>
  <c r="G166" i="115"/>
  <c r="G86" i="115"/>
  <c r="E132" i="115"/>
  <c r="E52" i="115"/>
  <c r="F182" i="115"/>
  <c r="F102" i="115"/>
  <c r="G169" i="115"/>
  <c r="G89" i="115"/>
  <c r="P251" i="115"/>
  <c r="F171" i="115"/>
  <c r="F91" i="115"/>
  <c r="F168" i="115"/>
  <c r="F88" i="115"/>
  <c r="G182" i="115"/>
  <c r="G102" i="115"/>
  <c r="G134" i="115"/>
  <c r="G54" i="115"/>
  <c r="F170" i="115"/>
  <c r="F90" i="115"/>
  <c r="E198" i="115"/>
  <c r="E212" i="115" s="1"/>
  <c r="E118" i="115"/>
  <c r="G203" i="115"/>
  <c r="Q203" i="115"/>
  <c r="G123" i="115"/>
  <c r="G43" i="115"/>
  <c r="G198" i="115"/>
  <c r="G118" i="115"/>
  <c r="G38" i="115"/>
  <c r="F198" i="115"/>
  <c r="F118" i="115"/>
  <c r="F38" i="115"/>
  <c r="F132" i="115"/>
  <c r="F52" i="115"/>
  <c r="P215" i="115"/>
  <c r="F135" i="115"/>
  <c r="F55" i="115"/>
  <c r="F180" i="115"/>
  <c r="F100" i="115"/>
  <c r="F166" i="115"/>
  <c r="F86" i="115"/>
  <c r="G181" i="115"/>
  <c r="G101" i="115"/>
  <c r="E182" i="115"/>
  <c r="E102" i="115"/>
  <c r="E169" i="115"/>
  <c r="E89" i="115"/>
  <c r="G168" i="115"/>
  <c r="G88" i="115"/>
  <c r="G180" i="115"/>
  <c r="G100" i="115"/>
  <c r="F133" i="115"/>
  <c r="F53" i="115"/>
  <c r="F169" i="115"/>
  <c r="F89" i="115"/>
  <c r="G90" i="115"/>
  <c r="G170" i="115"/>
  <c r="E181" i="115"/>
  <c r="E101" i="115"/>
  <c r="E168" i="115"/>
  <c r="E88" i="115"/>
  <c r="Q251" i="115"/>
  <c r="G91" i="115"/>
  <c r="G171" i="115"/>
  <c r="E180" i="115"/>
  <c r="E100" i="115"/>
  <c r="G133" i="115"/>
  <c r="G53" i="115"/>
  <c r="E166" i="115"/>
  <c r="E86" i="115"/>
  <c r="E170" i="115"/>
  <c r="E90" i="115"/>
  <c r="Q215" i="115"/>
  <c r="G135" i="115"/>
  <c r="G55" i="115"/>
  <c r="G87" i="113"/>
  <c r="G167" i="113"/>
  <c r="F84" i="113"/>
  <c r="F164" i="113"/>
  <c r="F86" i="113"/>
  <c r="F166" i="113"/>
  <c r="F167" i="113"/>
  <c r="F87" i="113"/>
  <c r="G51" i="113"/>
  <c r="G131" i="113"/>
  <c r="G86" i="113"/>
  <c r="G166" i="113"/>
  <c r="F131" i="113"/>
  <c r="F51" i="113"/>
  <c r="F20" i="115"/>
  <c r="O89" i="115" s="1"/>
  <c r="O25" i="155"/>
  <c r="T25" i="155" s="1"/>
  <c r="O24" i="155"/>
  <c r="I88" i="3"/>
  <c r="Q14" i="113"/>
  <c r="H87" i="3"/>
  <c r="I89" i="3"/>
  <c r="G23" i="115" s="1"/>
  <c r="P92" i="115" s="1"/>
  <c r="H89" i="3"/>
  <c r="F23" i="115" s="1"/>
  <c r="O92" i="115" s="1"/>
  <c r="I87" i="3"/>
  <c r="G87" i="3"/>
  <c r="AK76" i="149"/>
  <c r="E107" i="149" s="1"/>
  <c r="K107" i="149" s="1"/>
  <c r="AK80" i="149"/>
  <c r="E111" i="149" s="1"/>
  <c r="K111" i="149" s="1"/>
  <c r="L32" i="153"/>
  <c r="E23" i="155"/>
  <c r="J40" i="153"/>
  <c r="L40" i="153" s="1"/>
  <c r="J36" i="153"/>
  <c r="L36" i="153" s="1"/>
  <c r="AK94" i="135"/>
  <c r="F125" i="135" s="1"/>
  <c r="L125" i="135" s="1"/>
  <c r="AK40" i="135"/>
  <c r="AK56" i="135" s="1"/>
  <c r="AJ40" i="135"/>
  <c r="AK41" i="149"/>
  <c r="AK57" i="149" s="1"/>
  <c r="A5" i="79"/>
  <c r="AG34" i="79"/>
  <c r="O16" i="84"/>
  <c r="N3" i="84" s="1"/>
  <c r="D3" i="84" s="1"/>
  <c r="E48" i="194" l="1"/>
  <c r="L48" i="194" s="1" a="1"/>
  <c r="L48" i="194" s="1"/>
  <c r="E19" i="194"/>
  <c r="L19" i="194" s="1" a="1"/>
  <c r="L19" i="194" s="1"/>
  <c r="E49" i="194"/>
  <c r="L49" i="194" s="1" a="1"/>
  <c r="L49" i="194" s="1"/>
  <c r="G59" i="194"/>
  <c r="F12" i="200"/>
  <c r="I17" i="203"/>
  <c r="G59" i="196"/>
  <c r="F13" i="231"/>
  <c r="D21" i="194"/>
  <c r="F21" i="194" s="1"/>
  <c r="E19" i="196"/>
  <c r="G19" i="196" s="1"/>
  <c r="E50" i="196"/>
  <c r="E49" i="196"/>
  <c r="L58" i="196" a="1"/>
  <c r="L58" i="196" s="1"/>
  <c r="D18" i="194"/>
  <c r="F18" i="194" s="1"/>
  <c r="L59" i="196" a="1"/>
  <c r="L59" i="196" s="1"/>
  <c r="E31" i="196"/>
  <c r="D28" i="194"/>
  <c r="F28" i="194" s="1"/>
  <c r="E48" i="196"/>
  <c r="G58" i="196"/>
  <c r="E58" i="194"/>
  <c r="L58" i="194" s="1" a="1"/>
  <c r="L58" i="194" s="1"/>
  <c r="I89" i="203"/>
  <c r="M89" i="203" s="1"/>
  <c r="E53" i="152"/>
  <c r="D50" i="194"/>
  <c r="F50" i="194" s="1"/>
  <c r="E51" i="152"/>
  <c r="AB51" i="152" s="1"/>
  <c r="D31" i="194"/>
  <c r="F31" i="194" s="1"/>
  <c r="AJ56" i="135"/>
  <c r="AJ114" i="135" s="1"/>
  <c r="E145" i="135" s="1"/>
  <c r="K145" i="135" s="1"/>
  <c r="AK58" i="149"/>
  <c r="AK84" i="149" s="1"/>
  <c r="E115" i="149" s="1"/>
  <c r="K115" i="149" s="1"/>
  <c r="R38" i="113"/>
  <c r="AB25" i="153"/>
  <c r="N25" i="153"/>
  <c r="AC25" i="153"/>
  <c r="M25" i="153"/>
  <c r="N38" i="113"/>
  <c r="S38" i="113"/>
  <c r="Y38" i="113"/>
  <c r="AC26" i="153"/>
  <c r="AB26" i="153"/>
  <c r="M26" i="153"/>
  <c r="E50" i="152"/>
  <c r="M86" i="1"/>
  <c r="O269" i="113"/>
  <c r="AJ94" i="135"/>
  <c r="E125" i="135" s="1"/>
  <c r="K125" i="135" s="1"/>
  <c r="R89" i="115"/>
  <c r="X89" i="115"/>
  <c r="S92" i="115"/>
  <c r="Y92" i="115"/>
  <c r="R20" i="115"/>
  <c r="X20" i="115"/>
  <c r="R42" i="115"/>
  <c r="X42" i="115"/>
  <c r="Q42" i="115"/>
  <c r="W42" i="115"/>
  <c r="R92" i="115"/>
  <c r="X92" i="115"/>
  <c r="S42" i="115"/>
  <c r="Y42" i="115"/>
  <c r="E17" i="113"/>
  <c r="N89" i="113" s="1"/>
  <c r="Q89" i="113" s="1"/>
  <c r="M87" i="1"/>
  <c r="F15" i="113"/>
  <c r="O87" i="113" s="1"/>
  <c r="R87" i="113" s="1"/>
  <c r="N85" i="1"/>
  <c r="G19" i="113"/>
  <c r="P91" i="113" s="1"/>
  <c r="S91" i="113" s="1"/>
  <c r="O89" i="1"/>
  <c r="G17" i="113"/>
  <c r="P89" i="113" s="1"/>
  <c r="Y89" i="113" s="1"/>
  <c r="O87" i="1"/>
  <c r="F19" i="113"/>
  <c r="O91" i="113" s="1"/>
  <c r="R91" i="113" s="1"/>
  <c r="N89" i="1"/>
  <c r="G46" i="113"/>
  <c r="O24" i="1"/>
  <c r="O41" i="113"/>
  <c r="X41" i="113" s="1"/>
  <c r="F17" i="113"/>
  <c r="O89" i="113" s="1"/>
  <c r="R89" i="113" s="1"/>
  <c r="N87" i="1"/>
  <c r="H84" i="117"/>
  <c r="K84" i="117" s="1"/>
  <c r="AD20" i="117" s="1"/>
  <c r="AI20" i="117" s="1"/>
  <c r="M85" i="1"/>
  <c r="Q75" i="113"/>
  <c r="W75" i="113"/>
  <c r="H84" i="1"/>
  <c r="J21" i="153"/>
  <c r="P27" i="113"/>
  <c r="O27" i="113"/>
  <c r="P41" i="113"/>
  <c r="I84" i="1"/>
  <c r="G126" i="113"/>
  <c r="N41" i="113"/>
  <c r="E29" i="155"/>
  <c r="AK40" i="149"/>
  <c r="E14" i="155"/>
  <c r="E126" i="113"/>
  <c r="E46" i="113"/>
  <c r="G84" i="1"/>
  <c r="AL84" i="149"/>
  <c r="F115" i="149" s="1"/>
  <c r="L115" i="149" s="1"/>
  <c r="F212" i="115"/>
  <c r="G212" i="115"/>
  <c r="M86" i="3"/>
  <c r="D70" i="196" s="1"/>
  <c r="N86" i="3"/>
  <c r="F207" i="113"/>
  <c r="G207" i="113"/>
  <c r="N27" i="113"/>
  <c r="N29" i="113"/>
  <c r="P29" i="113"/>
  <c r="O29" i="113"/>
  <c r="P14" i="113"/>
  <c r="E15" i="113"/>
  <c r="N87" i="113" s="1"/>
  <c r="P75" i="113"/>
  <c r="P63" i="113"/>
  <c r="O63" i="113"/>
  <c r="I84" i="117"/>
  <c r="M84" i="117" s="1"/>
  <c r="N84" i="117" s="1"/>
  <c r="AG20" i="117" s="1"/>
  <c r="AL20" i="117" s="1"/>
  <c r="O75" i="113"/>
  <c r="N63" i="113"/>
  <c r="G15" i="113"/>
  <c r="P87" i="113" s="1"/>
  <c r="J84" i="117"/>
  <c r="O84" i="117" s="1"/>
  <c r="AH20" i="117" s="1"/>
  <c r="AM20" i="117" s="1"/>
  <c r="O14" i="113"/>
  <c r="P19" i="113"/>
  <c r="O19" i="113"/>
  <c r="AB36" i="153"/>
  <c r="AC36" i="153"/>
  <c r="AB35" i="153"/>
  <c r="AC35" i="153"/>
  <c r="AB40" i="153"/>
  <c r="AC40" i="153"/>
  <c r="AC32" i="153"/>
  <c r="AB32" i="153"/>
  <c r="AJ39" i="135"/>
  <c r="AJ55" i="135" s="1"/>
  <c r="AK39" i="135"/>
  <c r="AK55" i="135" s="1"/>
  <c r="AL40" i="149"/>
  <c r="AL56" i="149" s="1"/>
  <c r="AK75" i="135"/>
  <c r="F106" i="135" s="1"/>
  <c r="L106" i="135" s="1"/>
  <c r="O27" i="155"/>
  <c r="O14" i="155"/>
  <c r="J23" i="153"/>
  <c r="L23" i="153" s="1"/>
  <c r="O18" i="155"/>
  <c r="O32" i="155" s="1"/>
  <c r="J39" i="153"/>
  <c r="L39" i="153" s="1"/>
  <c r="E18" i="155"/>
  <c r="J37" i="153"/>
  <c r="E17" i="155"/>
  <c r="T17" i="155" s="1"/>
  <c r="J33" i="153"/>
  <c r="L33" i="153" s="1"/>
  <c r="P65" i="115"/>
  <c r="N79" i="115"/>
  <c r="P30" i="115"/>
  <c r="O30" i="115"/>
  <c r="O63" i="115"/>
  <c r="P67" i="115"/>
  <c r="N67" i="115"/>
  <c r="P78" i="115"/>
  <c r="P31" i="115"/>
  <c r="O65" i="115"/>
  <c r="O67" i="115"/>
  <c r="O32" i="115"/>
  <c r="P79" i="115"/>
  <c r="O68" i="115"/>
  <c r="N30" i="115"/>
  <c r="E130" i="115"/>
  <c r="E50" i="115"/>
  <c r="G21" i="115"/>
  <c r="P90" i="115" s="1"/>
  <c r="N65" i="115"/>
  <c r="O15" i="115"/>
  <c r="O79" i="115"/>
  <c r="E178" i="115"/>
  <c r="E98" i="115"/>
  <c r="P20" i="115"/>
  <c r="F130" i="115"/>
  <c r="F50" i="115"/>
  <c r="F178" i="115"/>
  <c r="F98" i="115"/>
  <c r="E134" i="115"/>
  <c r="E54" i="115"/>
  <c r="G178" i="115"/>
  <c r="G98" i="115"/>
  <c r="E20" i="115"/>
  <c r="N89" i="115" s="1"/>
  <c r="P68" i="115"/>
  <c r="N78" i="115"/>
  <c r="O66" i="115"/>
  <c r="P77" i="115"/>
  <c r="N66" i="115"/>
  <c r="O77" i="115"/>
  <c r="P63" i="115"/>
  <c r="H88" i="3"/>
  <c r="I93" i="117" s="1"/>
  <c r="M93" i="117" s="1"/>
  <c r="N93" i="117" s="1"/>
  <c r="F134" i="115"/>
  <c r="F54" i="115"/>
  <c r="F21" i="115"/>
  <c r="O90" i="115" s="1"/>
  <c r="O29" i="115"/>
  <c r="P66" i="115"/>
  <c r="N29" i="115"/>
  <c r="O78" i="115"/>
  <c r="E21" i="115"/>
  <c r="N90" i="115" s="1"/>
  <c r="P32" i="115"/>
  <c r="P15" i="115"/>
  <c r="J91" i="117"/>
  <c r="O91" i="117" s="1"/>
  <c r="AH27" i="117" s="1"/>
  <c r="AM27" i="117" s="1"/>
  <c r="G132" i="115"/>
  <c r="G52" i="115"/>
  <c r="G22" i="115"/>
  <c r="P91" i="115" s="1"/>
  <c r="N63" i="115"/>
  <c r="N77" i="115"/>
  <c r="P67" i="113"/>
  <c r="P66" i="113"/>
  <c r="O66" i="113"/>
  <c r="P31" i="113"/>
  <c r="O31" i="113"/>
  <c r="O67" i="113"/>
  <c r="O64" i="113"/>
  <c r="E16" i="113"/>
  <c r="N88" i="113" s="1"/>
  <c r="E164" i="113"/>
  <c r="E84" i="113"/>
  <c r="F162" i="113"/>
  <c r="F82" i="113"/>
  <c r="G18" i="113"/>
  <c r="P90" i="113" s="1"/>
  <c r="G174" i="113"/>
  <c r="G94" i="113"/>
  <c r="G162" i="113"/>
  <c r="G82" i="113"/>
  <c r="E174" i="113"/>
  <c r="E94" i="113"/>
  <c r="G164" i="113"/>
  <c r="G84" i="113"/>
  <c r="F174" i="113"/>
  <c r="F94" i="113"/>
  <c r="E82" i="113"/>
  <c r="E162" i="113"/>
  <c r="F18" i="113"/>
  <c r="O90" i="113" s="1"/>
  <c r="F126" i="113"/>
  <c r="F46" i="113"/>
  <c r="E86" i="113"/>
  <c r="E166" i="113"/>
  <c r="F16" i="113"/>
  <c r="O88" i="113" s="1"/>
  <c r="I88" i="117"/>
  <c r="M88" i="117" s="1"/>
  <c r="N88" i="117" s="1"/>
  <c r="J88" i="117"/>
  <c r="O88" i="117" s="1"/>
  <c r="AH24" i="117" s="1"/>
  <c r="AM24" i="117" s="1"/>
  <c r="I91" i="117"/>
  <c r="M91" i="117" s="1"/>
  <c r="N91" i="117" s="1"/>
  <c r="J94" i="117"/>
  <c r="O94" i="117" s="1"/>
  <c r="AH30" i="117" s="1"/>
  <c r="AM30" i="117" s="1"/>
  <c r="I94" i="117"/>
  <c r="M94" i="117" s="1"/>
  <c r="N94" i="117" s="1"/>
  <c r="G84" i="3"/>
  <c r="H84" i="3"/>
  <c r="F18" i="115" s="1"/>
  <c r="G16" i="113"/>
  <c r="P88" i="113" s="1"/>
  <c r="O31" i="155"/>
  <c r="T13" i="155"/>
  <c r="AK114" i="135"/>
  <c r="F145" i="135" s="1"/>
  <c r="L145" i="135" s="1"/>
  <c r="N87" i="3"/>
  <c r="E18" i="113"/>
  <c r="N90" i="113" s="1"/>
  <c r="J24" i="153"/>
  <c r="L24" i="153" s="1"/>
  <c r="G88" i="3"/>
  <c r="E22" i="115" s="1"/>
  <c r="N91" i="115" s="1"/>
  <c r="O87" i="3"/>
  <c r="O88" i="3"/>
  <c r="O89" i="3"/>
  <c r="M87" i="3"/>
  <c r="D71" i="196" s="1"/>
  <c r="N89" i="3"/>
  <c r="P271" i="115"/>
  <c r="Q271" i="115"/>
  <c r="N15" i="115"/>
  <c r="AJ75" i="135"/>
  <c r="E106" i="135" s="1"/>
  <c r="K106" i="135" s="1"/>
  <c r="AJ79" i="135"/>
  <c r="E110" i="135" s="1"/>
  <c r="K110" i="135" s="1"/>
  <c r="AL76" i="149"/>
  <c r="F107" i="149" s="1"/>
  <c r="L107" i="149" s="1"/>
  <c r="AL80" i="149"/>
  <c r="F111" i="149" s="1"/>
  <c r="L111" i="149" s="1"/>
  <c r="AL95" i="149"/>
  <c r="F126" i="149" s="1"/>
  <c r="L126" i="149" s="1"/>
  <c r="AL99" i="149"/>
  <c r="F130" i="149" s="1"/>
  <c r="L130" i="149" s="1"/>
  <c r="AL103" i="149"/>
  <c r="F134" i="149" s="1"/>
  <c r="L134" i="149" s="1"/>
  <c r="AL107" i="149"/>
  <c r="F138" i="149" s="1"/>
  <c r="L138" i="149" s="1"/>
  <c r="AL111" i="149"/>
  <c r="F142" i="149" s="1"/>
  <c r="AK87" i="149"/>
  <c r="E118" i="149" s="1"/>
  <c r="K118" i="149" s="1"/>
  <c r="AK91" i="149"/>
  <c r="E122" i="149" s="1"/>
  <c r="K122" i="149" s="1"/>
  <c r="AK115" i="149"/>
  <c r="E146" i="149" s="1"/>
  <c r="K146" i="149" s="1"/>
  <c r="AK119" i="149"/>
  <c r="E150" i="149" s="1"/>
  <c r="K150" i="149" s="1"/>
  <c r="AK123" i="149"/>
  <c r="E154" i="149" s="1"/>
  <c r="K154" i="149" s="1"/>
  <c r="AK127" i="149"/>
  <c r="E158" i="149" s="1"/>
  <c r="K158" i="149" s="1"/>
  <c r="AK131" i="149"/>
  <c r="E162" i="149" s="1"/>
  <c r="K162" i="149" s="1"/>
  <c r="AK135" i="149"/>
  <c r="E166" i="149" s="1"/>
  <c r="K166" i="149" s="1"/>
  <c r="AK139" i="149"/>
  <c r="E170" i="149" s="1"/>
  <c r="K170" i="149" s="1"/>
  <c r="AK143" i="149"/>
  <c r="E174" i="149" s="1"/>
  <c r="K174" i="149" s="1"/>
  <c r="AK147" i="149"/>
  <c r="E178" i="149" s="1"/>
  <c r="K178" i="149" s="1"/>
  <c r="AK94" i="149"/>
  <c r="E125" i="149" s="1"/>
  <c r="K125" i="149" s="1"/>
  <c r="AK98" i="149"/>
  <c r="E129" i="149" s="1"/>
  <c r="K129" i="149" s="1"/>
  <c r="AK102" i="149"/>
  <c r="E133" i="149" s="1"/>
  <c r="K133" i="149" s="1"/>
  <c r="AK106" i="149"/>
  <c r="E137" i="149" s="1"/>
  <c r="K137" i="149" s="1"/>
  <c r="AK110" i="149"/>
  <c r="AK95" i="149"/>
  <c r="E126" i="149" s="1"/>
  <c r="K126" i="149" s="1"/>
  <c r="AK99" i="149"/>
  <c r="E130" i="149" s="1"/>
  <c r="K130" i="149" s="1"/>
  <c r="AK103" i="149"/>
  <c r="E134" i="149" s="1"/>
  <c r="K134" i="149" s="1"/>
  <c r="AK107" i="149"/>
  <c r="E138" i="149" s="1"/>
  <c r="K138" i="149" s="1"/>
  <c r="AK111" i="149"/>
  <c r="E142" i="149" s="1"/>
  <c r="E30" i="155"/>
  <c r="T23" i="155"/>
  <c r="Q15" i="116"/>
  <c r="N36" i="153"/>
  <c r="N40" i="153"/>
  <c r="N32" i="153"/>
  <c r="M35" i="153"/>
  <c r="N35" i="153"/>
  <c r="M32" i="153"/>
  <c r="O21" i="155"/>
  <c r="O26" i="155" s="1"/>
  <c r="E24" i="155"/>
  <c r="E26" i="155" s="1"/>
  <c r="M40" i="153"/>
  <c r="J34" i="153"/>
  <c r="L19" i="153"/>
  <c r="M36" i="153"/>
  <c r="L31" i="153"/>
  <c r="AK98" i="135"/>
  <c r="F129" i="135" s="1"/>
  <c r="L129" i="135" s="1"/>
  <c r="H4" i="113"/>
  <c r="L30" i="153"/>
  <c r="I87" i="117"/>
  <c r="M87" i="117" s="1"/>
  <c r="N87" i="117" s="1"/>
  <c r="O86" i="3"/>
  <c r="J93" i="117"/>
  <c r="O93" i="117" s="1"/>
  <c r="AH29" i="117" s="1"/>
  <c r="AM29" i="117" s="1"/>
  <c r="J92" i="117"/>
  <c r="O92" i="117" s="1"/>
  <c r="AH28" i="117" s="1"/>
  <c r="AM28" i="117" s="1"/>
  <c r="H91" i="117"/>
  <c r="K91" i="117" s="1"/>
  <c r="L91" i="117" s="1"/>
  <c r="H92" i="117"/>
  <c r="K92" i="117" s="1"/>
  <c r="L92" i="117" s="1"/>
  <c r="I92" i="117"/>
  <c r="M92" i="117" s="1"/>
  <c r="N92" i="117" s="1"/>
  <c r="J86" i="117"/>
  <c r="O86" i="117" s="1"/>
  <c r="AH22" i="117" s="1"/>
  <c r="AM22" i="117" s="1"/>
  <c r="I86" i="117"/>
  <c r="M86" i="117" s="1"/>
  <c r="N86" i="117" s="1"/>
  <c r="L29" i="153"/>
  <c r="J87" i="117"/>
  <c r="O87" i="117" s="1"/>
  <c r="AH23" i="117" s="1"/>
  <c r="AM23" i="117" s="1"/>
  <c r="AL41" i="149"/>
  <c r="AL57" i="149" s="1"/>
  <c r="I85" i="117"/>
  <c r="M85" i="117" s="1"/>
  <c r="N85" i="117" s="1"/>
  <c r="AL110" i="149"/>
  <c r="F141" i="149" s="1"/>
  <c r="E5" i="79"/>
  <c r="AG20" i="79"/>
  <c r="G19" i="194" l="1"/>
  <c r="I24" i="227" s="1"/>
  <c r="O24" i="227" s="1"/>
  <c r="G49" i="194"/>
  <c r="I54" i="227" s="1"/>
  <c r="O54" i="227" s="1"/>
  <c r="G48" i="194"/>
  <c r="F53" i="227" s="1"/>
  <c r="E18" i="194"/>
  <c r="L18" i="194" s="1" a="1"/>
  <c r="L18" i="194" s="1"/>
  <c r="I64" i="227"/>
  <c r="O64" i="227" s="1"/>
  <c r="F64" i="227"/>
  <c r="I137" i="203"/>
  <c r="M17" i="203"/>
  <c r="G12" i="200"/>
  <c r="I12" i="200" s="1"/>
  <c r="H12" i="200"/>
  <c r="I24" i="231"/>
  <c r="O24" i="231" s="1"/>
  <c r="F24" i="231"/>
  <c r="I64" i="231"/>
  <c r="O64" i="231" s="1"/>
  <c r="F64" i="231"/>
  <c r="F63" i="231"/>
  <c r="I63" i="231"/>
  <c r="G49" i="196"/>
  <c r="G31" i="196"/>
  <c r="G48" i="196"/>
  <c r="E21" i="194"/>
  <c r="L21" i="194" s="1" a="1"/>
  <c r="L21" i="194" s="1"/>
  <c r="E28" i="194"/>
  <c r="L28" i="194" s="1" a="1"/>
  <c r="L28" i="194" s="1"/>
  <c r="L8" i="196" a="1"/>
  <c r="L8" i="196" s="1"/>
  <c r="I13" i="231"/>
  <c r="O13" i="231" s="1"/>
  <c r="E18" i="196"/>
  <c r="L50" i="196" a="1"/>
  <c r="L50" i="196" s="1"/>
  <c r="E28" i="196"/>
  <c r="G50" i="196"/>
  <c r="D71" i="194"/>
  <c r="D70" i="194"/>
  <c r="L31" i="196" a="1"/>
  <c r="L31" i="196" s="1"/>
  <c r="L19" i="196" a="1"/>
  <c r="L19" i="196" s="1"/>
  <c r="L48" i="196" a="1"/>
  <c r="L48" i="196" s="1"/>
  <c r="E21" i="196"/>
  <c r="L49" i="196" a="1"/>
  <c r="L49" i="196" s="1"/>
  <c r="G58" i="194"/>
  <c r="E31" i="194"/>
  <c r="L31" i="194" s="1" a="1"/>
  <c r="L31" i="194" s="1"/>
  <c r="E50" i="194"/>
  <c r="G50" i="194" s="1"/>
  <c r="I29" i="203"/>
  <c r="I133" i="203" s="1"/>
  <c r="M133" i="203" s="1"/>
  <c r="I87" i="203"/>
  <c r="M87" i="203" s="1"/>
  <c r="E37" i="152"/>
  <c r="X37" i="152" s="1"/>
  <c r="D69" i="194"/>
  <c r="AK56" i="149"/>
  <c r="AK67" i="149" s="1"/>
  <c r="AK71" i="149" s="1"/>
  <c r="L142" i="149"/>
  <c r="K142" i="149"/>
  <c r="L141" i="149"/>
  <c r="E141" i="149"/>
  <c r="K141" i="149" s="1"/>
  <c r="Q38" i="113"/>
  <c r="W38" i="113"/>
  <c r="W89" i="113"/>
  <c r="X91" i="113"/>
  <c r="E39" i="152"/>
  <c r="E191" i="115"/>
  <c r="C35" i="116"/>
  <c r="O15" i="116" s="1"/>
  <c r="E38" i="152"/>
  <c r="O273" i="115"/>
  <c r="O275" i="115" s="1"/>
  <c r="E107" i="113"/>
  <c r="E187" i="113"/>
  <c r="AJ98" i="135"/>
  <c r="E129" i="135" s="1"/>
  <c r="K129" i="135" s="1"/>
  <c r="AJ66" i="135"/>
  <c r="AJ70" i="135" s="1"/>
  <c r="AL67" i="149"/>
  <c r="AL71" i="149" s="1"/>
  <c r="E14" i="113"/>
  <c r="G96" i="1"/>
  <c r="Q66" i="115"/>
  <c r="W66" i="115"/>
  <c r="Q79" i="115"/>
  <c r="W79" i="115"/>
  <c r="S15" i="115"/>
  <c r="Y15" i="115"/>
  <c r="Q63" i="115"/>
  <c r="W63" i="115"/>
  <c r="Q91" i="115"/>
  <c r="W91" i="115"/>
  <c r="S91" i="115"/>
  <c r="Y91" i="115"/>
  <c r="Q90" i="115"/>
  <c r="W90" i="115"/>
  <c r="Q78" i="115"/>
  <c r="W78" i="115"/>
  <c r="R79" i="115"/>
  <c r="X79" i="115"/>
  <c r="Q30" i="115"/>
  <c r="W30" i="115"/>
  <c r="Q67" i="115"/>
  <c r="W67" i="115"/>
  <c r="R65" i="115"/>
  <c r="X65" i="115"/>
  <c r="Q15" i="115"/>
  <c r="W15" i="115"/>
  <c r="Q77" i="115"/>
  <c r="W77" i="115"/>
  <c r="S65" i="115"/>
  <c r="Y65" i="115"/>
  <c r="S78" i="115"/>
  <c r="Y78" i="115"/>
  <c r="R78" i="115"/>
  <c r="X78" i="115"/>
  <c r="S68" i="115"/>
  <c r="Y68" i="115"/>
  <c r="R15" i="115"/>
  <c r="X15" i="115"/>
  <c r="R68" i="115"/>
  <c r="X68" i="115"/>
  <c r="S67" i="115"/>
  <c r="Y67" i="115"/>
  <c r="S77" i="115"/>
  <c r="Y77" i="115"/>
  <c r="Q29" i="115"/>
  <c r="W29" i="115"/>
  <c r="Q89" i="115"/>
  <c r="W89" i="115"/>
  <c r="Q65" i="115"/>
  <c r="W65" i="115"/>
  <c r="S79" i="115"/>
  <c r="Y79" i="115"/>
  <c r="R63" i="115"/>
  <c r="X63" i="115"/>
  <c r="R90" i="115"/>
  <c r="X90" i="115"/>
  <c r="S31" i="115"/>
  <c r="Y31" i="115"/>
  <c r="S32" i="115"/>
  <c r="Y32" i="115"/>
  <c r="R66" i="115"/>
  <c r="X66" i="115"/>
  <c r="S66" i="115"/>
  <c r="Y66" i="115"/>
  <c r="S63" i="115"/>
  <c r="Y63" i="115"/>
  <c r="S20" i="115"/>
  <c r="Y20" i="115"/>
  <c r="S90" i="115"/>
  <c r="Y90" i="115"/>
  <c r="R32" i="115"/>
  <c r="X32" i="115"/>
  <c r="R30" i="115"/>
  <c r="X30" i="115"/>
  <c r="R29" i="115"/>
  <c r="X29" i="115"/>
  <c r="R77" i="115"/>
  <c r="X77" i="115"/>
  <c r="E111" i="115"/>
  <c r="R67" i="115"/>
  <c r="X67" i="115"/>
  <c r="S30" i="115"/>
  <c r="Y30" i="115"/>
  <c r="Y91" i="113"/>
  <c r="R41" i="113"/>
  <c r="S89" i="113"/>
  <c r="X87" i="113"/>
  <c r="X89" i="113"/>
  <c r="D35" i="116"/>
  <c r="P15" i="116" s="1"/>
  <c r="N84" i="1"/>
  <c r="L84" i="117"/>
  <c r="AE20" i="117" s="1"/>
  <c r="AJ20" i="117" s="1"/>
  <c r="P26" i="113"/>
  <c r="S26" i="113" s="1"/>
  <c r="G14" i="113"/>
  <c r="P86" i="113" s="1"/>
  <c r="Y86" i="113" s="1"/>
  <c r="O84" i="1"/>
  <c r="M84" i="1"/>
  <c r="Q90" i="113"/>
  <c r="W90" i="113"/>
  <c r="S90" i="113"/>
  <c r="Y90" i="113"/>
  <c r="R31" i="113"/>
  <c r="X31" i="113"/>
  <c r="R14" i="113"/>
  <c r="X14" i="113"/>
  <c r="R75" i="113"/>
  <c r="X75" i="113"/>
  <c r="S14" i="113"/>
  <c r="Y14" i="113"/>
  <c r="S41" i="113"/>
  <c r="Y41" i="113"/>
  <c r="R66" i="113"/>
  <c r="X66" i="113"/>
  <c r="R63" i="113"/>
  <c r="X63" i="113"/>
  <c r="R29" i="113"/>
  <c r="X29" i="113"/>
  <c r="S27" i="113"/>
  <c r="Y27" i="113"/>
  <c r="R90" i="113"/>
  <c r="X90" i="113"/>
  <c r="S66" i="113"/>
  <c r="Y66" i="113"/>
  <c r="R19" i="113"/>
  <c r="X19" i="113"/>
  <c r="S29" i="113"/>
  <c r="Y29" i="113"/>
  <c r="Q87" i="113"/>
  <c r="W87" i="113"/>
  <c r="R27" i="113"/>
  <c r="X27" i="113"/>
  <c r="S67" i="113"/>
  <c r="Y67" i="113"/>
  <c r="S63" i="113"/>
  <c r="Y63" i="113"/>
  <c r="S19" i="113"/>
  <c r="Y19" i="113"/>
  <c r="S31" i="113"/>
  <c r="Y31" i="113"/>
  <c r="Q88" i="113"/>
  <c r="W88" i="113"/>
  <c r="S87" i="113"/>
  <c r="Y87" i="113"/>
  <c r="S75" i="113"/>
  <c r="Y75" i="113"/>
  <c r="Q29" i="113"/>
  <c r="W29" i="113"/>
  <c r="Q41" i="113"/>
  <c r="W41" i="113"/>
  <c r="R67" i="113"/>
  <c r="X67" i="113"/>
  <c r="Q63" i="113"/>
  <c r="W63" i="113"/>
  <c r="S88" i="113"/>
  <c r="Y88" i="113"/>
  <c r="R88" i="113"/>
  <c r="X88" i="113"/>
  <c r="R64" i="113"/>
  <c r="X64" i="113"/>
  <c r="Q27" i="113"/>
  <c r="W27" i="113"/>
  <c r="AF30" i="117"/>
  <c r="AK30" i="117" s="1"/>
  <c r="AG30" i="117"/>
  <c r="AL30" i="117" s="1"/>
  <c r="N26" i="113"/>
  <c r="F191" i="115"/>
  <c r="F111" i="115"/>
  <c r="G187" i="113"/>
  <c r="F187" i="113"/>
  <c r="E209" i="113"/>
  <c r="E211" i="113" s="1"/>
  <c r="AF20" i="117"/>
  <c r="AK20" i="117" s="1"/>
  <c r="AF21" i="117"/>
  <c r="AK21" i="117" s="1"/>
  <c r="AG21" i="117"/>
  <c r="AL21" i="117" s="1"/>
  <c r="AF23" i="117"/>
  <c r="AK23" i="117" s="1"/>
  <c r="AG23" i="117"/>
  <c r="AL23" i="117" s="1"/>
  <c r="AF27" i="117"/>
  <c r="AK27" i="117" s="1"/>
  <c r="AG27" i="117"/>
  <c r="AL27" i="117" s="1"/>
  <c r="AF29" i="117"/>
  <c r="AK29" i="117" s="1"/>
  <c r="AG29" i="117"/>
  <c r="AL29" i="117" s="1"/>
  <c r="AF22" i="117"/>
  <c r="AK22" i="117" s="1"/>
  <c r="AG22" i="117"/>
  <c r="AL22" i="117" s="1"/>
  <c r="AF24" i="117"/>
  <c r="AK24" i="117" s="1"/>
  <c r="AG24" i="117"/>
  <c r="AL24" i="117" s="1"/>
  <c r="AF28" i="117"/>
  <c r="AK28" i="117" s="1"/>
  <c r="AG28" i="117"/>
  <c r="AL28" i="117" s="1"/>
  <c r="AD28" i="117"/>
  <c r="AI28" i="117" s="1"/>
  <c r="AE28" i="117"/>
  <c r="AJ28" i="117" s="1"/>
  <c r="AD27" i="117"/>
  <c r="AI27" i="117" s="1"/>
  <c r="AE27" i="117"/>
  <c r="AJ27" i="117" s="1"/>
  <c r="H83" i="117"/>
  <c r="K83" i="117" s="1"/>
  <c r="AB23" i="153"/>
  <c r="AC23" i="153"/>
  <c r="AB31" i="153"/>
  <c r="AC31" i="153"/>
  <c r="AC24" i="153"/>
  <c r="AB24" i="153"/>
  <c r="AB39" i="153"/>
  <c r="AC39" i="153"/>
  <c r="AB29" i="153"/>
  <c r="AC29" i="153"/>
  <c r="AB19" i="153"/>
  <c r="AC19" i="153"/>
  <c r="AB33" i="153"/>
  <c r="AC33" i="153"/>
  <c r="AB30" i="153"/>
  <c r="AC30" i="153"/>
  <c r="AB52" i="152"/>
  <c r="AK79" i="135"/>
  <c r="F110" i="135" s="1"/>
  <c r="L110" i="135" s="1"/>
  <c r="AJ113" i="135"/>
  <c r="E144" i="135" s="1"/>
  <c r="K144" i="135" s="1"/>
  <c r="O19" i="155"/>
  <c r="T24" i="155"/>
  <c r="T31" i="155" s="1"/>
  <c r="E19" i="155"/>
  <c r="F14" i="113"/>
  <c r="O86" i="113" s="1"/>
  <c r="T18" i="155"/>
  <c r="N31" i="115"/>
  <c r="O27" i="115"/>
  <c r="N66" i="113"/>
  <c r="N62" i="113"/>
  <c r="G20" i="115"/>
  <c r="P89" i="115" s="1"/>
  <c r="F22" i="115"/>
  <c r="O91" i="115" s="1"/>
  <c r="P75" i="115"/>
  <c r="O75" i="115"/>
  <c r="N27" i="115"/>
  <c r="O87" i="115"/>
  <c r="N88" i="3"/>
  <c r="I84" i="3"/>
  <c r="G130" i="115"/>
  <c r="G191" i="115" s="1"/>
  <c r="G50" i="115"/>
  <c r="G111" i="115" s="1"/>
  <c r="E18" i="115"/>
  <c r="E31" i="115" s="1"/>
  <c r="P29" i="115"/>
  <c r="O31" i="115"/>
  <c r="M88" i="3"/>
  <c r="N75" i="115"/>
  <c r="P64" i="113"/>
  <c r="N64" i="113"/>
  <c r="O62" i="113"/>
  <c r="O74" i="113"/>
  <c r="P74" i="113"/>
  <c r="F107" i="113"/>
  <c r="O26" i="113"/>
  <c r="G107" i="113"/>
  <c r="P62" i="113"/>
  <c r="N74" i="113"/>
  <c r="I89" i="117"/>
  <c r="M89" i="117" s="1"/>
  <c r="N89" i="117" s="1"/>
  <c r="J5" i="1"/>
  <c r="H96" i="1"/>
  <c r="N96" i="1" s="1"/>
  <c r="H93" i="117"/>
  <c r="K93" i="117" s="1"/>
  <c r="L93" i="117" s="1"/>
  <c r="J85" i="117"/>
  <c r="O85" i="117" s="1"/>
  <c r="AH21" i="117" s="1"/>
  <c r="AM21" i="117" s="1"/>
  <c r="H87" i="117"/>
  <c r="K87" i="117" s="1"/>
  <c r="L87" i="117" s="1"/>
  <c r="I96" i="1"/>
  <c r="O96" i="1" s="1"/>
  <c r="M84" i="3"/>
  <c r="D68" i="196" s="1"/>
  <c r="N84" i="3"/>
  <c r="T14" i="155"/>
  <c r="O28" i="155"/>
  <c r="O30" i="155"/>
  <c r="T21" i="155"/>
  <c r="AA52" i="152"/>
  <c r="AA51" i="152"/>
  <c r="I83" i="117"/>
  <c r="M83" i="117" s="1"/>
  <c r="N24" i="153"/>
  <c r="M24" i="153"/>
  <c r="AK102" i="135"/>
  <c r="F133" i="135" s="1"/>
  <c r="L133" i="135" s="1"/>
  <c r="AL86" i="149"/>
  <c r="F117" i="149" s="1"/>
  <c r="L117" i="149" s="1"/>
  <c r="AL90" i="149"/>
  <c r="F121" i="149" s="1"/>
  <c r="L121" i="149" s="1"/>
  <c r="AL114" i="149"/>
  <c r="F145" i="149" s="1"/>
  <c r="L145" i="149" s="1"/>
  <c r="AL118" i="149"/>
  <c r="F149" i="149" s="1"/>
  <c r="L149" i="149" s="1"/>
  <c r="AL122" i="149"/>
  <c r="F153" i="149" s="1"/>
  <c r="L153" i="149" s="1"/>
  <c r="AL126" i="149"/>
  <c r="F157" i="149" s="1"/>
  <c r="L157" i="149" s="1"/>
  <c r="AL130" i="149"/>
  <c r="F161" i="149" s="1"/>
  <c r="L161" i="149" s="1"/>
  <c r="AL134" i="149"/>
  <c r="F165" i="149" s="1"/>
  <c r="L165" i="149" s="1"/>
  <c r="AL138" i="149"/>
  <c r="F169" i="149" s="1"/>
  <c r="L169" i="149" s="1"/>
  <c r="AL142" i="149"/>
  <c r="F173" i="149" s="1"/>
  <c r="L173" i="149" s="1"/>
  <c r="AL146" i="149"/>
  <c r="F177" i="149" s="1"/>
  <c r="L177" i="149" s="1"/>
  <c r="AL87" i="149"/>
  <c r="F118" i="149" s="1"/>
  <c r="L118" i="149" s="1"/>
  <c r="AL91" i="149"/>
  <c r="F122" i="149" s="1"/>
  <c r="L122" i="149" s="1"/>
  <c r="AL115" i="149"/>
  <c r="F146" i="149" s="1"/>
  <c r="L146" i="149" s="1"/>
  <c r="AL119" i="149"/>
  <c r="F150" i="149" s="1"/>
  <c r="L150" i="149" s="1"/>
  <c r="AL123" i="149"/>
  <c r="F154" i="149" s="1"/>
  <c r="L154" i="149" s="1"/>
  <c r="AL127" i="149"/>
  <c r="F158" i="149" s="1"/>
  <c r="L158" i="149" s="1"/>
  <c r="AL131" i="149"/>
  <c r="F162" i="149" s="1"/>
  <c r="L162" i="149" s="1"/>
  <c r="AL135" i="149"/>
  <c r="F166" i="149" s="1"/>
  <c r="L166" i="149" s="1"/>
  <c r="AL139" i="149"/>
  <c r="F170" i="149" s="1"/>
  <c r="L170" i="149" s="1"/>
  <c r="AL143" i="149"/>
  <c r="F174" i="149" s="1"/>
  <c r="L174" i="149" s="1"/>
  <c r="AL147" i="149"/>
  <c r="F178" i="149" s="1"/>
  <c r="L178" i="149" s="1"/>
  <c r="AL94" i="149"/>
  <c r="F125" i="149" s="1"/>
  <c r="L125" i="149" s="1"/>
  <c r="AL98" i="149"/>
  <c r="F129" i="149" s="1"/>
  <c r="L129" i="149" s="1"/>
  <c r="AL102" i="149"/>
  <c r="F133" i="149" s="1"/>
  <c r="L133" i="149" s="1"/>
  <c r="AL106" i="149"/>
  <c r="F137" i="149" s="1"/>
  <c r="L137" i="149" s="1"/>
  <c r="T16" i="155"/>
  <c r="T30" i="155" s="1"/>
  <c r="N33" i="153"/>
  <c r="M19" i="153"/>
  <c r="N19" i="153"/>
  <c r="J41" i="153"/>
  <c r="N39" i="153"/>
  <c r="M39" i="153"/>
  <c r="M31" i="153"/>
  <c r="N31" i="153"/>
  <c r="N23" i="153"/>
  <c r="M23" i="153"/>
  <c r="E31" i="155"/>
  <c r="L34" i="153"/>
  <c r="E214" i="115"/>
  <c r="E216" i="115" s="1"/>
  <c r="AK93" i="135"/>
  <c r="F124" i="135" s="1"/>
  <c r="L124" i="135" s="1"/>
  <c r="N30" i="153"/>
  <c r="M30" i="153"/>
  <c r="AK86" i="135"/>
  <c r="F117" i="135" s="1"/>
  <c r="L117" i="135" s="1"/>
  <c r="N29" i="153"/>
  <c r="H89" i="117"/>
  <c r="K89" i="117" s="1"/>
  <c r="L89" i="117" s="1"/>
  <c r="J83" i="117"/>
  <c r="O83" i="117" s="1"/>
  <c r="H85" i="117"/>
  <c r="K85" i="117" s="1"/>
  <c r="L85" i="117" s="1"/>
  <c r="H86" i="117"/>
  <c r="K86" i="117" s="1"/>
  <c r="M33" i="153"/>
  <c r="M29" i="153"/>
  <c r="T29" i="155"/>
  <c r="L38" i="153"/>
  <c r="AJ93" i="135"/>
  <c r="E124" i="135" s="1"/>
  <c r="K124" i="135" s="1"/>
  <c r="AJ86" i="135"/>
  <c r="E117" i="135" s="1"/>
  <c r="K117" i="135" s="1"/>
  <c r="L37" i="153"/>
  <c r="T27" i="155"/>
  <c r="H96" i="3"/>
  <c r="G96" i="3"/>
  <c r="AJ85" i="135"/>
  <c r="E116" i="135" s="1"/>
  <c r="K116" i="135" s="1"/>
  <c r="F24" i="227" l="1"/>
  <c r="M24" i="227" s="1"/>
  <c r="G18" i="194"/>
  <c r="I23" i="227" s="1"/>
  <c r="O23" i="227" s="1"/>
  <c r="G69" i="194"/>
  <c r="I53" i="227"/>
  <c r="O53" i="227" s="1"/>
  <c r="F54" i="227"/>
  <c r="M54" i="227" s="1"/>
  <c r="M64" i="227"/>
  <c r="M64" i="231"/>
  <c r="C53" i="204"/>
  <c r="M137" i="203"/>
  <c r="F53" i="231"/>
  <c r="I53" i="231"/>
  <c r="O53" i="231" s="1"/>
  <c r="F36" i="231"/>
  <c r="I36" i="231"/>
  <c r="G70" i="196"/>
  <c r="F55" i="231"/>
  <c r="I55" i="231"/>
  <c r="O55" i="231" s="1"/>
  <c r="G69" i="196"/>
  <c r="I54" i="231"/>
  <c r="O54" i="231" s="1"/>
  <c r="F54" i="231"/>
  <c r="M13" i="231"/>
  <c r="O63" i="231"/>
  <c r="M24" i="231"/>
  <c r="G28" i="194"/>
  <c r="G21" i="194"/>
  <c r="G70" i="194"/>
  <c r="I63" i="227"/>
  <c r="O63" i="227" s="1"/>
  <c r="E40" i="152"/>
  <c r="D72" i="196"/>
  <c r="L21" i="196" a="1"/>
  <c r="L21" i="196" s="1"/>
  <c r="L28" i="196" a="1"/>
  <c r="L28" i="196" s="1"/>
  <c r="G28" i="196"/>
  <c r="D68" i="194"/>
  <c r="L18" i="196" a="1"/>
  <c r="L18" i="196" s="1"/>
  <c r="G21" i="196"/>
  <c r="G18" i="196"/>
  <c r="G31" i="194"/>
  <c r="L50" i="194" a="1"/>
  <c r="L50" i="194" s="1"/>
  <c r="F63" i="227"/>
  <c r="F23" i="227"/>
  <c r="M29" i="203"/>
  <c r="F18" i="200"/>
  <c r="F73" i="200" s="1"/>
  <c r="H73" i="200" s="1"/>
  <c r="F20" i="200"/>
  <c r="G20" i="200" s="1"/>
  <c r="F17" i="200"/>
  <c r="H17" i="200" s="1"/>
  <c r="I55" i="227"/>
  <c r="O55" i="227" s="1"/>
  <c r="F27" i="200"/>
  <c r="I33" i="203"/>
  <c r="M33" i="203" s="1"/>
  <c r="I112" i="203"/>
  <c r="M112" i="203" s="1"/>
  <c r="V37" i="152"/>
  <c r="U37" i="152"/>
  <c r="Y37" i="152"/>
  <c r="AK146" i="149"/>
  <c r="E177" i="149" s="1"/>
  <c r="K177" i="149" s="1"/>
  <c r="AK142" i="149"/>
  <c r="E173" i="149" s="1"/>
  <c r="K173" i="149" s="1"/>
  <c r="AK134" i="149"/>
  <c r="E165" i="149" s="1"/>
  <c r="K165" i="149" s="1"/>
  <c r="AK86" i="149"/>
  <c r="E117" i="149" s="1"/>
  <c r="K117" i="149" s="1"/>
  <c r="AK126" i="149"/>
  <c r="E157" i="149" s="1"/>
  <c r="K157" i="149" s="1"/>
  <c r="M96" i="117"/>
  <c r="M96" i="1"/>
  <c r="F14" i="152"/>
  <c r="AK90" i="149"/>
  <c r="E121" i="149" s="1"/>
  <c r="K121" i="149" s="1"/>
  <c r="AK114" i="149"/>
  <c r="E145" i="149" s="1"/>
  <c r="K145" i="149" s="1"/>
  <c r="AK118" i="149"/>
  <c r="E149" i="149" s="1"/>
  <c r="K149" i="149" s="1"/>
  <c r="AK122" i="149"/>
  <c r="E153" i="149" s="1"/>
  <c r="K153" i="149" s="1"/>
  <c r="AK138" i="149"/>
  <c r="E169" i="149" s="1"/>
  <c r="K169" i="149" s="1"/>
  <c r="AK130" i="149"/>
  <c r="E161" i="149" s="1"/>
  <c r="K161" i="149" s="1"/>
  <c r="AJ102" i="135"/>
  <c r="E133" i="135" s="1"/>
  <c r="K133" i="135" s="1"/>
  <c r="S86" i="113"/>
  <c r="E36" i="152"/>
  <c r="N86" i="113"/>
  <c r="W86" i="113" s="1"/>
  <c r="E27" i="113"/>
  <c r="AK113" i="135"/>
  <c r="F144" i="135" s="1"/>
  <c r="L144" i="135" s="1"/>
  <c r="AK66" i="135"/>
  <c r="AK70" i="135" s="1"/>
  <c r="N83" i="117"/>
  <c r="AG19" i="117" s="1"/>
  <c r="AL19" i="117" s="1"/>
  <c r="L86" i="117"/>
  <c r="AE22" i="117" s="1"/>
  <c r="AJ22" i="117" s="1"/>
  <c r="K96" i="117"/>
  <c r="R31" i="115"/>
  <c r="X31" i="115"/>
  <c r="S29" i="115"/>
  <c r="Y29" i="115"/>
  <c r="S89" i="115"/>
  <c r="Y89" i="115"/>
  <c r="R87" i="115"/>
  <c r="X87" i="115"/>
  <c r="Q27" i="115"/>
  <c r="W27" i="115"/>
  <c r="R91" i="115"/>
  <c r="X91" i="115"/>
  <c r="Q75" i="115"/>
  <c r="W75" i="115"/>
  <c r="R75" i="115"/>
  <c r="X75" i="115"/>
  <c r="R27" i="115"/>
  <c r="X27" i="115"/>
  <c r="S75" i="115"/>
  <c r="Y75" i="115"/>
  <c r="Q31" i="115"/>
  <c r="W31" i="115"/>
  <c r="Y26" i="113"/>
  <c r="S62" i="113"/>
  <c r="Y62" i="113"/>
  <c r="S64" i="113"/>
  <c r="Y64" i="113"/>
  <c r="Q26" i="113"/>
  <c r="W26" i="113"/>
  <c r="Q64" i="113"/>
  <c r="W64" i="113"/>
  <c r="R26" i="113"/>
  <c r="X26" i="113"/>
  <c r="R62" i="113"/>
  <c r="X62" i="113"/>
  <c r="Q74" i="113"/>
  <c r="W74" i="113"/>
  <c r="S74" i="113"/>
  <c r="Y74" i="113"/>
  <c r="Q62" i="113"/>
  <c r="W62" i="113"/>
  <c r="R86" i="113"/>
  <c r="X86" i="113"/>
  <c r="R74" i="113"/>
  <c r="X74" i="113"/>
  <c r="Q66" i="113"/>
  <c r="W66" i="113"/>
  <c r="E55" i="152"/>
  <c r="AK85" i="135"/>
  <c r="F116" i="135" s="1"/>
  <c r="L116" i="135" s="1"/>
  <c r="AF25" i="117"/>
  <c r="AK25" i="117" s="1"/>
  <c r="AG25" i="117"/>
  <c r="AL25" i="117" s="1"/>
  <c r="AD23" i="117"/>
  <c r="AI23" i="117" s="1"/>
  <c r="AE23" i="117"/>
  <c r="AJ23" i="117" s="1"/>
  <c r="AD21" i="117"/>
  <c r="AI21" i="117" s="1"/>
  <c r="AE21" i="117"/>
  <c r="AJ21" i="117" s="1"/>
  <c r="AD29" i="117"/>
  <c r="AI29" i="117" s="1"/>
  <c r="AE29" i="117"/>
  <c r="AJ29" i="117" s="1"/>
  <c r="AD22" i="117"/>
  <c r="AI22" i="117" s="1"/>
  <c r="AD25" i="117"/>
  <c r="AI25" i="117" s="1"/>
  <c r="AE25" i="117"/>
  <c r="AJ25" i="117" s="1"/>
  <c r="AD19" i="117"/>
  <c r="AI19" i="117" s="1"/>
  <c r="L83" i="117"/>
  <c r="AB38" i="153"/>
  <c r="AC38" i="153"/>
  <c r="AB34" i="153"/>
  <c r="AC34" i="153"/>
  <c r="AB50" i="152"/>
  <c r="AB37" i="153"/>
  <c r="AC37" i="153"/>
  <c r="AF19" i="117"/>
  <c r="AK19" i="117" s="1"/>
  <c r="O33" i="155"/>
  <c r="AB54" i="152"/>
  <c r="AB53" i="152"/>
  <c r="F31" i="115"/>
  <c r="N87" i="115"/>
  <c r="N96" i="3"/>
  <c r="E109" i="113"/>
  <c r="C109" i="113" s="1"/>
  <c r="G18" i="115"/>
  <c r="M96" i="3"/>
  <c r="P27" i="115"/>
  <c r="E113" i="115"/>
  <c r="C113" i="115" s="1"/>
  <c r="J89" i="117"/>
  <c r="O89" i="117" s="1"/>
  <c r="O96" i="117" s="1"/>
  <c r="F27" i="113"/>
  <c r="G27" i="113"/>
  <c r="A112" i="1"/>
  <c r="A112" i="3"/>
  <c r="F4" i="115"/>
  <c r="A114" i="3"/>
  <c r="O84" i="3"/>
  <c r="O96" i="3" s="1"/>
  <c r="T28" i="155"/>
  <c r="C37" i="116"/>
  <c r="J37" i="116" s="1"/>
  <c r="A25" i="61" s="1"/>
  <c r="AK106" i="135"/>
  <c r="F137" i="135" s="1"/>
  <c r="L137" i="135" s="1"/>
  <c r="AJ89" i="135"/>
  <c r="E120" i="135" s="1"/>
  <c r="K120" i="135" s="1"/>
  <c r="M37" i="153"/>
  <c r="M34" i="153"/>
  <c r="F15" i="152"/>
  <c r="AC15" i="152" s="1"/>
  <c r="N34" i="153"/>
  <c r="AK97" i="135"/>
  <c r="F128" i="135" s="1"/>
  <c r="L128" i="135" s="1"/>
  <c r="F3" i="149"/>
  <c r="D3" i="149" s="1"/>
  <c r="E189" i="113"/>
  <c r="C189" i="113" s="1"/>
  <c r="AK90" i="135"/>
  <c r="F121" i="135" s="1"/>
  <c r="L121" i="135" s="1"/>
  <c r="AH19" i="117"/>
  <c r="AM19" i="117" s="1"/>
  <c r="E28" i="155"/>
  <c r="AJ90" i="135"/>
  <c r="E121" i="135" s="1"/>
  <c r="K121" i="135" s="1"/>
  <c r="AJ97" i="135"/>
  <c r="E128" i="135" s="1"/>
  <c r="K128" i="135" s="1"/>
  <c r="N37" i="153"/>
  <c r="M38" i="153"/>
  <c r="N38" i="153"/>
  <c r="AA54" i="152"/>
  <c r="I96" i="3"/>
  <c r="F16" i="152" s="1"/>
  <c r="AC16" i="152" s="1"/>
  <c r="I43" i="142"/>
  <c r="J43" i="142" s="1"/>
  <c r="O271" i="113"/>
  <c r="E193" i="115"/>
  <c r="M53" i="227" l="1"/>
  <c r="I26" i="227"/>
  <c r="O26" i="227" s="1"/>
  <c r="F26" i="227"/>
  <c r="G68" i="194"/>
  <c r="M54" i="231"/>
  <c r="D53" i="204"/>
  <c r="C55" i="204"/>
  <c r="F33" i="227"/>
  <c r="M53" i="231"/>
  <c r="I33" i="227"/>
  <c r="O33" i="227" s="1"/>
  <c r="G71" i="196"/>
  <c r="F26" i="231"/>
  <c r="I26" i="231"/>
  <c r="O26" i="231" s="1"/>
  <c r="I33" i="231"/>
  <c r="O33" i="231" s="1"/>
  <c r="F33" i="231"/>
  <c r="F23" i="231"/>
  <c r="I23" i="231"/>
  <c r="O23" i="231" s="1"/>
  <c r="M55" i="231"/>
  <c r="M63" i="227"/>
  <c r="O36" i="231"/>
  <c r="M36" i="231"/>
  <c r="M63" i="231"/>
  <c r="G71" i="194"/>
  <c r="G68" i="196"/>
  <c r="E27" i="152"/>
  <c r="AC27" i="152" s="1"/>
  <c r="D78" i="196"/>
  <c r="D78" i="194"/>
  <c r="I36" i="227"/>
  <c r="O36" i="227" s="1"/>
  <c r="M23" i="227"/>
  <c r="F36" i="227"/>
  <c r="F55" i="227"/>
  <c r="M55" i="227" s="1"/>
  <c r="H20" i="200"/>
  <c r="G17" i="200"/>
  <c r="I17" i="200" s="1"/>
  <c r="H18" i="200"/>
  <c r="G18" i="200"/>
  <c r="I27" i="203"/>
  <c r="M27" i="203" s="1"/>
  <c r="I91" i="203"/>
  <c r="I47" i="203"/>
  <c r="M47" i="203" s="1"/>
  <c r="I53" i="203"/>
  <c r="M53" i="203" s="1"/>
  <c r="H27" i="200"/>
  <c r="G27" i="200"/>
  <c r="I27" i="200" s="1"/>
  <c r="F72" i="200"/>
  <c r="I20" i="200"/>
  <c r="U36" i="152"/>
  <c r="X36" i="152"/>
  <c r="Z14" i="152"/>
  <c r="AA14" i="152"/>
  <c r="AB14" i="152"/>
  <c r="W14" i="152"/>
  <c r="AJ106" i="135"/>
  <c r="E137" i="135" s="1"/>
  <c r="K137" i="135" s="1"/>
  <c r="F3" i="135"/>
  <c r="J3" i="135" s="1"/>
  <c r="J5" i="141" s="1"/>
  <c r="Q86" i="113"/>
  <c r="J3" i="149"/>
  <c r="J5" i="136" s="1"/>
  <c r="S27" i="115"/>
  <c r="Y27" i="115"/>
  <c r="Q87" i="115"/>
  <c r="W87" i="115"/>
  <c r="D4" i="115"/>
  <c r="J4" i="115"/>
  <c r="M5" i="3" s="1"/>
  <c r="AK89" i="135"/>
  <c r="F120" i="135" s="1"/>
  <c r="L120" i="135" s="1"/>
  <c r="AH25" i="117"/>
  <c r="AM25" i="117" s="1"/>
  <c r="X38" i="152"/>
  <c r="U38" i="152"/>
  <c r="V38" i="152"/>
  <c r="Y38" i="152"/>
  <c r="X40" i="152"/>
  <c r="V40" i="152"/>
  <c r="U40" i="152"/>
  <c r="Y40" i="152"/>
  <c r="V36" i="152"/>
  <c r="Y36" i="152"/>
  <c r="X39" i="152"/>
  <c r="U39" i="152"/>
  <c r="Y39" i="152"/>
  <c r="V39" i="152"/>
  <c r="A106" i="141"/>
  <c r="E41" i="152"/>
  <c r="P87" i="115"/>
  <c r="G31" i="115"/>
  <c r="E33" i="115" s="1"/>
  <c r="C33" i="115" s="1"/>
  <c r="F4" i="113"/>
  <c r="D4" i="113" s="1"/>
  <c r="A114" i="1"/>
  <c r="A106" i="3"/>
  <c r="X15" i="152"/>
  <c r="X16" i="152"/>
  <c r="X14" i="152"/>
  <c r="AC14" i="152"/>
  <c r="AK110" i="135"/>
  <c r="F141" i="135" s="1"/>
  <c r="T19" i="155"/>
  <c r="AK101" i="135"/>
  <c r="F132" i="135" s="1"/>
  <c r="L132" i="135" s="1"/>
  <c r="AA16" i="152"/>
  <c r="AB16" i="152"/>
  <c r="W16" i="152"/>
  <c r="AA15" i="152"/>
  <c r="W15" i="152"/>
  <c r="AB15" i="152"/>
  <c r="E25" i="152"/>
  <c r="AC25" i="152" s="1"/>
  <c r="F17" i="152"/>
  <c r="A104" i="136"/>
  <c r="G5" i="3"/>
  <c r="D5" i="3"/>
  <c r="A104" i="141"/>
  <c r="D5" i="136"/>
  <c r="AK117" i="135"/>
  <c r="F148" i="135" s="1"/>
  <c r="L148" i="135" s="1"/>
  <c r="AK118" i="135"/>
  <c r="F149" i="135" s="1"/>
  <c r="L149" i="135" s="1"/>
  <c r="AE19" i="117"/>
  <c r="AJ19" i="117" s="1"/>
  <c r="E29" i="113"/>
  <c r="AJ101" i="135"/>
  <c r="E132" i="135" s="1"/>
  <c r="K132" i="135" s="1"/>
  <c r="AJ118" i="135"/>
  <c r="E149" i="135" s="1"/>
  <c r="K149" i="135" s="1"/>
  <c r="AJ117" i="135"/>
  <c r="E148" i="135" s="1"/>
  <c r="K148" i="135" s="1"/>
  <c r="A106" i="1"/>
  <c r="M26" i="227" l="1"/>
  <c r="G78" i="194"/>
  <c r="I59" i="142"/>
  <c r="J59" i="142" s="1"/>
  <c r="G78" i="196"/>
  <c r="D55" i="204"/>
  <c r="C21" i="199"/>
  <c r="D21" i="199" s="1"/>
  <c r="M33" i="227"/>
  <c r="M23" i="231"/>
  <c r="M26" i="231"/>
  <c r="F75" i="231"/>
  <c r="A86" i="196" s="1"/>
  <c r="M33" i="231"/>
  <c r="I75" i="231"/>
  <c r="Y27" i="152"/>
  <c r="AB27" i="152"/>
  <c r="Z27" i="152"/>
  <c r="V27" i="152"/>
  <c r="U27" i="152"/>
  <c r="M36" i="227"/>
  <c r="I75" i="227"/>
  <c r="F75" i="227"/>
  <c r="I18" i="200"/>
  <c r="G73" i="200"/>
  <c r="I73" i="200" s="1"/>
  <c r="I134" i="203"/>
  <c r="M134" i="203" s="1"/>
  <c r="M91" i="203"/>
  <c r="I132" i="203"/>
  <c r="C46" i="204" s="1"/>
  <c r="C47" i="204" s="1"/>
  <c r="F30" i="200"/>
  <c r="G30" i="200" s="1"/>
  <c r="I30" i="200" s="1"/>
  <c r="I135" i="203"/>
  <c r="M135" i="203" s="1"/>
  <c r="H72" i="200"/>
  <c r="G72" i="200"/>
  <c r="Z17" i="152"/>
  <c r="AA17" i="152"/>
  <c r="U25" i="152"/>
  <c r="V25" i="152"/>
  <c r="L141" i="135"/>
  <c r="AJ110" i="135"/>
  <c r="E141" i="135" s="1"/>
  <c r="D5" i="141"/>
  <c r="D3" i="135"/>
  <c r="S87" i="115"/>
  <c r="Y87" i="115"/>
  <c r="C29" i="113"/>
  <c r="A104" i="1" s="1"/>
  <c r="F3" i="113"/>
  <c r="D5" i="1"/>
  <c r="J4" i="113"/>
  <c r="M5" i="1" s="1"/>
  <c r="E28" i="152"/>
  <c r="AB25" i="152"/>
  <c r="Z25" i="152"/>
  <c r="Y25" i="152"/>
  <c r="K98" i="117"/>
  <c r="E98" i="117" s="1"/>
  <c r="G5" i="1"/>
  <c r="A108" i="1"/>
  <c r="AK105" i="135"/>
  <c r="F136" i="135" s="1"/>
  <c r="L136" i="135" s="1"/>
  <c r="A106" i="136"/>
  <c r="AK121" i="135"/>
  <c r="F152" i="135" s="1"/>
  <c r="L152" i="135" s="1"/>
  <c r="AK122" i="135"/>
  <c r="F153" i="135" s="1"/>
  <c r="L153" i="135" s="1"/>
  <c r="F3" i="115"/>
  <c r="AJ121" i="135"/>
  <c r="E152" i="135" s="1"/>
  <c r="K152" i="135" s="1"/>
  <c r="AJ122" i="135"/>
  <c r="E153" i="135" s="1"/>
  <c r="K153" i="135" s="1"/>
  <c r="AJ105" i="135"/>
  <c r="E136" i="135" s="1"/>
  <c r="K136" i="135" s="1"/>
  <c r="C193" i="115"/>
  <c r="E3" i="227" l="1"/>
  <c r="H5" i="197"/>
  <c r="F3" i="231"/>
  <c r="J4" i="196" s="1"/>
  <c r="A92" i="196"/>
  <c r="E3" i="231"/>
  <c r="A92" i="194"/>
  <c r="D46" i="204"/>
  <c r="M132" i="203"/>
  <c r="C24" i="204"/>
  <c r="D24" i="204" s="1"/>
  <c r="G75" i="200"/>
  <c r="I75" i="200" s="1"/>
  <c r="H30" i="200"/>
  <c r="F75" i="200"/>
  <c r="H75" i="200" s="1"/>
  <c r="I142" i="203"/>
  <c r="M142" i="203" s="1"/>
  <c r="D47" i="204"/>
  <c r="C49" i="204"/>
  <c r="D49" i="204" s="1"/>
  <c r="I72" i="200"/>
  <c r="K141" i="135"/>
  <c r="J3" i="113"/>
  <c r="M4" i="1" s="1"/>
  <c r="D3" i="113"/>
  <c r="J3" i="115"/>
  <c r="M4" i="3" s="1"/>
  <c r="D3" i="115"/>
  <c r="M44" i="142"/>
  <c r="N44" i="142" s="1"/>
  <c r="I50" i="142"/>
  <c r="J50" i="142" s="1"/>
  <c r="M46" i="142"/>
  <c r="N46" i="142" s="1"/>
  <c r="A108" i="3"/>
  <c r="A104" i="3"/>
  <c r="AK109" i="135"/>
  <c r="F140" i="135" s="1"/>
  <c r="G4" i="3"/>
  <c r="D4" i="1"/>
  <c r="A40" i="101"/>
  <c r="I49" i="142"/>
  <c r="J49" i="142" s="1"/>
  <c r="AJ109" i="135"/>
  <c r="E140" i="135" s="1"/>
  <c r="K140" i="135" s="1"/>
  <c r="AK125" i="135"/>
  <c r="F156" i="135" s="1"/>
  <c r="L156" i="135" s="1"/>
  <c r="AK126" i="135"/>
  <c r="F157" i="135" s="1"/>
  <c r="L157" i="135" s="1"/>
  <c r="G3" i="117"/>
  <c r="D3" i="117" s="1"/>
  <c r="D4" i="3"/>
  <c r="G4" i="1"/>
  <c r="AJ126" i="135"/>
  <c r="E157" i="135" s="1"/>
  <c r="K157" i="135" s="1"/>
  <c r="AJ125" i="135"/>
  <c r="E156" i="135" s="1"/>
  <c r="K156" i="135" s="1"/>
  <c r="H4" i="196" l="1"/>
  <c r="D3" i="231"/>
  <c r="F3" i="227"/>
  <c r="D3" i="227" s="1"/>
  <c r="A90" i="194"/>
  <c r="A86" i="194"/>
  <c r="G77" i="200"/>
  <c r="C7" i="199" s="1"/>
  <c r="C25" i="204"/>
  <c r="C27" i="204" s="1"/>
  <c r="D27" i="204" s="1"/>
  <c r="C67" i="204"/>
  <c r="D67" i="204" s="1"/>
  <c r="F77" i="200"/>
  <c r="H77" i="200" s="1"/>
  <c r="L140" i="135"/>
  <c r="I46" i="142"/>
  <c r="J46" i="142" s="1"/>
  <c r="I44" i="142"/>
  <c r="J44" i="142" s="1"/>
  <c r="AK129" i="135"/>
  <c r="F160" i="135" s="1"/>
  <c r="L160" i="135" s="1"/>
  <c r="AK130" i="135"/>
  <c r="F161" i="135" s="1"/>
  <c r="L161" i="135" s="1"/>
  <c r="C4" i="101"/>
  <c r="H4" i="101"/>
  <c r="AJ129" i="135"/>
  <c r="E160" i="135" s="1"/>
  <c r="K160" i="135" s="1"/>
  <c r="AJ130" i="135"/>
  <c r="E161" i="135" s="1"/>
  <c r="K161" i="135" s="1"/>
  <c r="I58" i="142" l="1"/>
  <c r="J58" i="142" s="1"/>
  <c r="H4" i="194"/>
  <c r="J4" i="194"/>
  <c r="I56" i="142"/>
  <c r="J56" i="142" s="1"/>
  <c r="D25" i="204"/>
  <c r="I77" i="200"/>
  <c r="C68" i="204"/>
  <c r="D68" i="204" s="1"/>
  <c r="C20" i="199"/>
  <c r="D20" i="199" s="1"/>
  <c r="D7" i="199"/>
  <c r="C18" i="199"/>
  <c r="I48" i="142"/>
  <c r="J48" i="142" s="1"/>
  <c r="AK133" i="135"/>
  <c r="F164" i="135" s="1"/>
  <c r="L164" i="135" s="1"/>
  <c r="AK134" i="135"/>
  <c r="F165" i="135" s="1"/>
  <c r="L165" i="135" s="1"/>
  <c r="AJ134" i="135"/>
  <c r="E165" i="135" s="1"/>
  <c r="K165" i="135" s="1"/>
  <c r="AJ133" i="135"/>
  <c r="E164" i="135" s="1"/>
  <c r="K164" i="135" s="1"/>
  <c r="AE17" i="153"/>
  <c r="C71" i="204" l="1"/>
  <c r="D71" i="204" s="1"/>
  <c r="D18" i="199"/>
  <c r="AK137" i="135"/>
  <c r="F168" i="135" s="1"/>
  <c r="L168" i="135" s="1"/>
  <c r="AK138" i="135"/>
  <c r="F169" i="135" s="1"/>
  <c r="L169" i="135" s="1"/>
  <c r="AJ137" i="135"/>
  <c r="E168" i="135" s="1"/>
  <c r="K168" i="135" s="1"/>
  <c r="AJ138" i="135"/>
  <c r="E169" i="135" s="1"/>
  <c r="K169" i="135" s="1"/>
  <c r="AA49" i="152"/>
  <c r="AA50" i="152"/>
  <c r="L18" i="153"/>
  <c r="L17" i="153"/>
  <c r="AC17" i="153" s="1"/>
  <c r="C22" i="199" l="1"/>
  <c r="D22" i="199" s="1"/>
  <c r="AB18" i="153"/>
  <c r="AC18" i="153"/>
  <c r="AB17" i="153"/>
  <c r="M17" i="153"/>
  <c r="N17" i="153"/>
  <c r="AK141" i="135"/>
  <c r="F172" i="135" s="1"/>
  <c r="L172" i="135" s="1"/>
  <c r="AK142" i="135"/>
  <c r="F173" i="135" s="1"/>
  <c r="L173" i="135" s="1"/>
  <c r="AJ142" i="135"/>
  <c r="E173" i="135" s="1"/>
  <c r="K173" i="135" s="1"/>
  <c r="AJ141" i="135"/>
  <c r="E172" i="135" s="1"/>
  <c r="K172" i="135" s="1"/>
  <c r="M18" i="153"/>
  <c r="N18" i="153"/>
  <c r="C24" i="199" l="1"/>
  <c r="D24" i="199" s="1"/>
  <c r="AK145" i="135"/>
  <c r="F176" i="135" s="1"/>
  <c r="L176" i="135" s="1"/>
  <c r="AK146" i="135"/>
  <c r="F177" i="135" s="1"/>
  <c r="L177" i="135" s="1"/>
  <c r="AJ145" i="135"/>
  <c r="E176" i="135" s="1"/>
  <c r="K176" i="135" s="1"/>
  <c r="AJ146" i="135"/>
  <c r="E177" i="135" s="1"/>
  <c r="K177" i="135" s="1"/>
  <c r="K41" i="153"/>
  <c r="C25" i="199" l="1"/>
  <c r="D25" i="199" s="1"/>
  <c r="T32" i="155"/>
  <c r="T33" i="155" s="1"/>
  <c r="E32" i="155"/>
  <c r="E33" i="155" s="1"/>
  <c r="J26" i="155" l="1"/>
  <c r="T26" i="155" s="1"/>
  <c r="J31" i="155"/>
  <c r="J33" i="155" s="1"/>
  <c r="AB26" i="152" l="1"/>
  <c r="T23" i="152" s="1"/>
  <c r="AA53" i="152"/>
  <c r="I51" i="152" l="1"/>
  <c r="K51" i="152" s="1"/>
  <c r="I54" i="152"/>
  <c r="K54" i="152" s="1"/>
  <c r="I52" i="152"/>
  <c r="K52" i="152" s="1"/>
  <c r="I53" i="152"/>
  <c r="K53" i="152" s="1"/>
  <c r="I50" i="152"/>
  <c r="K50" i="152" s="1"/>
  <c r="I49" i="152"/>
  <c r="K49" i="152" s="1"/>
  <c r="J50" i="152" l="1"/>
  <c r="X50" i="152" s="1"/>
  <c r="J54" i="152"/>
  <c r="U54" i="152" s="1"/>
  <c r="J53" i="152"/>
  <c r="U53" i="152" s="1"/>
  <c r="J52" i="152"/>
  <c r="X52" i="152" s="1"/>
  <c r="J51" i="152"/>
  <c r="X51" i="152" s="1"/>
  <c r="J49" i="152"/>
  <c r="U49" i="152" s="1"/>
  <c r="X54" i="152" l="1"/>
  <c r="X49" i="152"/>
  <c r="V52" i="152"/>
  <c r="Y52" i="152"/>
  <c r="U50" i="152"/>
  <c r="U51" i="152"/>
  <c r="X53" i="152"/>
  <c r="Y54" i="152"/>
  <c r="V54" i="152"/>
  <c r="V53" i="152"/>
  <c r="Y53" i="152"/>
  <c r="U52" i="152"/>
  <c r="Y51" i="152"/>
  <c r="V51" i="152"/>
  <c r="Y50" i="152"/>
  <c r="V50" i="152"/>
  <c r="Y49" i="152"/>
  <c r="V49" i="152"/>
  <c r="L22" i="153"/>
  <c r="T47" i="152" l="1"/>
  <c r="X3" i="152" s="1"/>
  <c r="Q46" i="142" s="1"/>
  <c r="R46" i="142" s="1"/>
  <c r="AB22" i="153"/>
  <c r="AC22" i="153"/>
  <c r="L21" i="153"/>
  <c r="L41" i="153"/>
  <c r="M22" i="153"/>
  <c r="N22" i="153"/>
  <c r="AB21" i="153" l="1"/>
  <c r="AC21" i="153"/>
  <c r="T34" i="152"/>
  <c r="W3" i="152" s="1"/>
  <c r="N21" i="153"/>
  <c r="M21" i="153"/>
  <c r="Z16" i="152"/>
  <c r="Z15" i="152"/>
  <c r="N41" i="153"/>
  <c r="M41" i="153"/>
  <c r="Q45" i="142" l="1"/>
  <c r="R45" i="142" s="1"/>
  <c r="O17" i="152"/>
  <c r="W17" i="152" s="1"/>
  <c r="J14" i="152"/>
  <c r="P17" i="152"/>
  <c r="AC17" i="152" s="1"/>
  <c r="AA14" i="153"/>
  <c r="AB3" i="153" s="1"/>
  <c r="J15" i="152"/>
  <c r="J16" i="152"/>
  <c r="Q47" i="142" l="1"/>
  <c r="R47" i="142" s="1"/>
  <c r="X17" i="152"/>
  <c r="AB17" i="152"/>
  <c r="V3" i="152"/>
  <c r="M16" i="152"/>
  <c r="V16" i="152" s="1"/>
  <c r="L16" i="152"/>
  <c r="U16" i="152" s="1"/>
  <c r="L15" i="152"/>
  <c r="U15" i="152" s="1"/>
  <c r="M15" i="152"/>
  <c r="V15" i="152" s="1"/>
  <c r="L14" i="152"/>
  <c r="U14" i="152" s="1"/>
  <c r="M14" i="152"/>
  <c r="V14" i="152" s="1"/>
  <c r="Q44" i="142" l="1"/>
  <c r="R44" i="142" s="1"/>
  <c r="T12" i="152" l="1"/>
  <c r="U3" i="152" s="1"/>
  <c r="Q43" i="142" l="1"/>
  <c r="R43" i="142" s="1"/>
  <c r="R52" i="142" s="1"/>
  <c r="M50" i="142" l="1"/>
  <c r="N50" i="142" l="1"/>
  <c r="N51" i="142" l="1"/>
  <c r="N52" i="142" s="1"/>
  <c r="A19" i="142" s="1"/>
  <c r="R53" i="142"/>
  <c r="A21" i="142" l="1"/>
  <c r="C28" i="116" l="1"/>
  <c r="C30" i="116" s="1"/>
  <c r="O13" i="116"/>
  <c r="F3" i="116" l="1"/>
  <c r="J30" i="116"/>
  <c r="A23" i="61" s="1"/>
  <c r="D3" i="116" l="1"/>
  <c r="I47" i="142" s="1"/>
  <c r="J47" i="142" s="1"/>
  <c r="J51" i="142" s="1"/>
  <c r="J52" i="142" s="1"/>
  <c r="B4" i="61"/>
  <c r="A17" i="142" l="1"/>
  <c r="J39" i="142"/>
  <c r="F19" i="229"/>
  <c r="E3" i="229" s="1"/>
  <c r="G4" i="195" l="1"/>
  <c r="D3" i="229"/>
  <c r="I57" i="142" s="1"/>
  <c r="J57" i="142" s="1"/>
  <c r="J63" i="142" s="1"/>
  <c r="J64" i="142" l="1"/>
  <c r="A23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tc={5E09436A-0D12-44B9-9ED1-751922304013}</author>
  </authors>
  <commentList>
    <comment ref="A82" authorId="0" shapeId="0" xr:uid="{5E09436A-0D12-44B9-9ED1-75192230401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Check appendix numbers
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<sst xmlns="http://schemas.openxmlformats.org/spreadsheetml/2006/main" count="65578" uniqueCount="29808">
  <si>
    <t>Dates</t>
  </si>
  <si>
    <t>Submission information</t>
  </si>
  <si>
    <t>Workbook checks</t>
  </si>
  <si>
    <t>Validation checks:</t>
  </si>
  <si>
    <t>Credibility checks:</t>
  </si>
  <si>
    <t>Comparison table highlighting:</t>
  </si>
  <si>
    <t>About this workbook</t>
  </si>
  <si>
    <t>Any workbook uploaded before the census date will be treated as invalid, and a further workbook will need to be uploaded on or after the census date to pass validation checks.</t>
  </si>
  <si>
    <t>UKPRN</t>
  </si>
  <si>
    <t>Guidance</t>
  </si>
  <si>
    <t>PROVIDER</t>
  </si>
  <si>
    <t>FEC</t>
  </si>
  <si>
    <t>FUNDING</t>
  </si>
  <si>
    <t>DCT</t>
  </si>
  <si>
    <t>COMPARISON</t>
  </si>
  <si>
    <t>If you have any validation failures listed above, see Appendix 2 for more information.</t>
  </si>
  <si>
    <t>DATE</t>
  </si>
  <si>
    <t>DCT_DATE</t>
  </si>
  <si>
    <t>PROVTYPE</t>
  </si>
  <si>
    <t>VERSION</t>
  </si>
  <si>
    <t>For providers whose workbooks contain comparison table highlighting, details should also be included in this email that explain any highlighting in the comparison tables.</t>
  </si>
  <si>
    <t>DEADLINE</t>
  </si>
  <si>
    <t>Enquiries</t>
  </si>
  <si>
    <t>Census</t>
  </si>
  <si>
    <t xml:space="preserve">Template version </t>
  </si>
  <si>
    <t>Validation check</t>
  </si>
  <si>
    <t>Credibility check</t>
  </si>
  <si>
    <t>Comparison table check</t>
  </si>
  <si>
    <t>Courses</t>
  </si>
  <si>
    <t>Table A</t>
  </si>
  <si>
    <t>Table 1</t>
  </si>
  <si>
    <t>Table B</t>
  </si>
  <si>
    <t>Table 2</t>
  </si>
  <si>
    <t>Table C</t>
  </si>
  <si>
    <t>Table 3</t>
  </si>
  <si>
    <t>Table D</t>
  </si>
  <si>
    <t>Table 4</t>
  </si>
  <si>
    <t>Table E</t>
  </si>
  <si>
    <t>Table 5</t>
  </si>
  <si>
    <t>Table F</t>
  </si>
  <si>
    <t>Table 6a</t>
  </si>
  <si>
    <t>Table G</t>
  </si>
  <si>
    <t>Table 6c</t>
  </si>
  <si>
    <t>Table H</t>
  </si>
  <si>
    <t>Table I</t>
  </si>
  <si>
    <t>The table of contents below contains a link to every sheet in the workbook.</t>
  </si>
  <si>
    <t>Each link describes the table on the sheet to which it links.</t>
  </si>
  <si>
    <t>Section 1: Main tables</t>
  </si>
  <si>
    <t>Table 5: Further student analysis for planning purposes</t>
  </si>
  <si>
    <t>Section 2: Comparison tables</t>
  </si>
  <si>
    <t>Comparison 1: Tables A to D</t>
  </si>
  <si>
    <t>This workbook submission has not passed validation and will not be accepted until all of the validation errors below have been fixed.</t>
  </si>
  <si>
    <r>
      <rPr>
        <sz val="11"/>
        <rFont val="Arial"/>
        <family val="2"/>
      </rPr>
      <t xml:space="preserve">If you need any assistance with the validation errors, please contact </t>
    </r>
    <r>
      <rPr>
        <u/>
        <sz val="11"/>
        <color theme="10"/>
        <rFont val="Arial"/>
        <family val="2"/>
      </rPr>
      <t>heses@officeforstudents.org.uk</t>
    </r>
  </si>
  <si>
    <t>HESES table</t>
  </si>
  <si>
    <t>Price group or profession</t>
  </si>
  <si>
    <t>Mode</t>
  </si>
  <si>
    <t>Length</t>
  </si>
  <si>
    <t>Level</t>
  </si>
  <si>
    <t>Column</t>
  </si>
  <si>
    <t>Field</t>
  </si>
  <si>
    <t>Validation code</t>
  </si>
  <si>
    <t>Validation failure</t>
  </si>
  <si>
    <t>[TABLE]</t>
  </si>
  <si>
    <t>PRICEGRP</t>
  </si>
  <si>
    <t>[MODE]</t>
  </si>
  <si>
    <t>LENGTH</t>
  </si>
  <si>
    <t>[LEVEL]</t>
  </si>
  <si>
    <t>[COLUMN]</t>
  </si>
  <si>
    <t>FIELD</t>
  </si>
  <si>
    <t>ERRCODE</t>
  </si>
  <si>
    <t>INFORMATION</t>
  </si>
  <si>
    <t>H000</t>
  </si>
  <si>
    <t>Workbook uploaded before census date</t>
  </si>
  <si>
    <t>sp_Courses_date</t>
  </si>
  <si>
    <t>Information</t>
  </si>
  <si>
    <t>Cell Z26 (not shown)</t>
  </si>
  <si>
    <t>COURSES</t>
  </si>
  <si>
    <t>H001</t>
  </si>
  <si>
    <t>Invalid or no learning aim reference</t>
  </si>
  <si>
    <t>sp_Courses_learnaim</t>
  </si>
  <si>
    <t>1. The following rows have an invalid or no learning aim reference:</t>
  </si>
  <si>
    <t>H002</t>
  </si>
  <si>
    <t>Proportion has not been entered</t>
  </si>
  <si>
    <t>sp_Courses_inputprop</t>
  </si>
  <si>
    <t>3. The following rows should have proportions entered:</t>
  </si>
  <si>
    <t>H003</t>
  </si>
  <si>
    <t>Proportions do not total 100%</t>
  </si>
  <si>
    <t>sp_Courses_totalprop</t>
  </si>
  <si>
    <t>4. In the following rows, the total of the price group proportions does not equal 100%:</t>
  </si>
  <si>
    <t>H004</t>
  </si>
  <si>
    <t>Proportion is not whole percentage</t>
  </si>
  <si>
    <t>sp_Courses_wholeprop</t>
  </si>
  <si>
    <t>5. In the following rows, the price group proportion is not a whole percentage:</t>
  </si>
  <si>
    <t>H005</t>
  </si>
  <si>
    <t>An incorrect level has been entered</t>
  </si>
  <si>
    <t>sp_Courses_level</t>
  </si>
  <si>
    <t xml:space="preserve">6. In the following rows, the level has not been entered as 'UG', 'PGT (UG fee)', 'PGT (Masters' loan)', 'PGT (Other)' or 'PGR': </t>
  </si>
  <si>
    <t>H006</t>
  </si>
  <si>
    <t>An incorrect length has been entered</t>
  </si>
  <si>
    <t>sp_Courses_length</t>
  </si>
  <si>
    <t>7. In the following rows, the length has not been entered as 'Standard' or 'Long':</t>
  </si>
  <si>
    <t>H007</t>
  </si>
  <si>
    <t>Combination of level and length used more than once for learning aim reference</t>
  </si>
  <si>
    <t>sp_Courses_levlen</t>
  </si>
  <si>
    <t>2.The following rows contain learning aims that have been entered into multiple rows with the same combination of level and length:</t>
  </si>
  <si>
    <t>H008</t>
  </si>
  <si>
    <t>Not whole number</t>
  </si>
  <si>
    <t>sp_Courses_whole</t>
  </si>
  <si>
    <t>8. The following cells do not contain whole numbers:</t>
  </si>
  <si>
    <t>H009</t>
  </si>
  <si>
    <t>Negative value</t>
  </si>
  <si>
    <t>sp_Courses_positive</t>
  </si>
  <si>
    <t>9. The following cells contain negative numbers:</t>
  </si>
  <si>
    <t>H010</t>
  </si>
  <si>
    <t>One or more rows have been left blank above this row</t>
  </si>
  <si>
    <t>sp_Courses_blank</t>
  </si>
  <si>
    <t>10. The following rows have been left blank when data has been entered below them:</t>
  </si>
  <si>
    <t>H011</t>
  </si>
  <si>
    <t>Learning aim reference has been entered without any countable years</t>
  </si>
  <si>
    <t>sp_Courses_yearscountable</t>
  </si>
  <si>
    <t>11. The following rows have a learning aim reference but no years countable:</t>
  </si>
  <si>
    <t>H012</t>
  </si>
  <si>
    <t>Temporary learning aim note length exceeds 200 characters</t>
  </si>
  <si>
    <t>sp_Courses_TLA_long</t>
  </si>
  <si>
    <t>12. The notes on temporary learning aims exceeds 200 characters:</t>
  </si>
  <si>
    <t>TABLE 123</t>
  </si>
  <si>
    <t>Table1</t>
  </si>
  <si>
    <t>Table2</t>
  </si>
  <si>
    <t>Table3</t>
  </si>
  <si>
    <t>H101</t>
  </si>
  <si>
    <t>Total not whole number</t>
  </si>
  <si>
    <t>sp_T123_totals</t>
  </si>
  <si>
    <t>Table123</t>
  </si>
  <si>
    <t>1. The following totals are not whole numbers:</t>
  </si>
  <si>
    <t>H102</t>
  </si>
  <si>
    <t>H103</t>
  </si>
  <si>
    <t>More than two decimal places</t>
  </si>
  <si>
    <t>sp_T123_decimals</t>
  </si>
  <si>
    <t>Table13</t>
  </si>
  <si>
    <t>H104</t>
  </si>
  <si>
    <t>sp_T123_positive</t>
  </si>
  <si>
    <t>2. The following cells contain values that are not whole numbers:</t>
  </si>
  <si>
    <t>TABLE 4</t>
  </si>
  <si>
    <t>H401</t>
  </si>
  <si>
    <t>sp_T4_whole</t>
  </si>
  <si>
    <t>4 Year Abroad</t>
  </si>
  <si>
    <t>1. The following cells contain values that are not whole numbers:</t>
  </si>
  <si>
    <t>H402</t>
  </si>
  <si>
    <t>sp_T4_positive</t>
  </si>
  <si>
    <t>2. The following cells contain negative numbers:</t>
  </si>
  <si>
    <t>H403</t>
  </si>
  <si>
    <t>Total greater than undergraduate total in Table 1 or 2</t>
  </si>
  <si>
    <t>sp_T4_totals</t>
  </si>
  <si>
    <t xml:space="preserve">3. The following totals are greater than the equivalent undergraduate totals in Tables 1 and 2: </t>
  </si>
  <si>
    <t>TABLE 5</t>
  </si>
  <si>
    <t>H501</t>
  </si>
  <si>
    <t>sp_T5_whole</t>
  </si>
  <si>
    <t>5_Planning</t>
  </si>
  <si>
    <t>1. The following cells do not contain whole numbers:</t>
  </si>
  <si>
    <t>H502</t>
  </si>
  <si>
    <t>sp_T5_positive</t>
  </si>
  <si>
    <t>H503</t>
  </si>
  <si>
    <t>Total not equal to total in Tables 1 and 2, or 3</t>
  </si>
  <si>
    <t>sp_T5_T123</t>
  </si>
  <si>
    <t>3. The following cells added together in Section A: All years are not equal to the corresponding totals from Tables 1, 2 and 3:</t>
  </si>
  <si>
    <t>H504</t>
  </si>
  <si>
    <t>Greater than sum of Columns 1 and 2 in Section A</t>
  </si>
  <si>
    <t>sp_T5_secAsecB</t>
  </si>
  <si>
    <t>4. The following cells in Section B: New entrants are greater than the equivalent cells in Section A: All years:</t>
  </si>
  <si>
    <t>H505</t>
  </si>
  <si>
    <t>1. Students have not been entered in Section B: New entrants:</t>
  </si>
  <si>
    <t>TABLE 6</t>
  </si>
  <si>
    <t>H601</t>
  </si>
  <si>
    <t>TableAC</t>
  </si>
  <si>
    <t>H602</t>
  </si>
  <si>
    <t>sp_T6ac_positive</t>
  </si>
  <si>
    <t>H603</t>
  </si>
  <si>
    <t>H604</t>
  </si>
  <si>
    <t>H605</t>
  </si>
  <si>
    <t>sp_T6ac_whole</t>
  </si>
  <si>
    <t>Not multiple of 0.5</t>
  </si>
  <si>
    <t>sp_T6ac_half</t>
  </si>
  <si>
    <t>For OfS-fundable - Absolute total greater than absolute total in Table 1 or 3</t>
  </si>
  <si>
    <t>For non-fundable - Absolute total greater than absolute total in Table 1 or 3</t>
  </si>
  <si>
    <t>Absolute value greater than absolute total of (a) and (b)</t>
  </si>
  <si>
    <t>Courses table Column 1 manipulation</t>
  </si>
  <si>
    <t>Tables 1 to 3</t>
  </si>
  <si>
    <t>1 Full-time</t>
  </si>
  <si>
    <t>3 Part-time</t>
  </si>
  <si>
    <t>Full-time</t>
  </si>
  <si>
    <t>Sandwich year out</t>
  </si>
  <si>
    <t>Part-time</t>
  </si>
  <si>
    <t>OfS-fundable</t>
  </si>
  <si>
    <t>Non-fundable</t>
  </si>
  <si>
    <t>Overseas</t>
  </si>
  <si>
    <t>UK-domiciled</t>
  </si>
  <si>
    <t>Other</t>
  </si>
  <si>
    <t>Price group 1</t>
  </si>
  <si>
    <t>Price group 2</t>
  </si>
  <si>
    <t>Price group 3</t>
  </si>
  <si>
    <t>Price group</t>
  </si>
  <si>
    <t>(i)</t>
  </si>
  <si>
    <t>(ii)</t>
  </si>
  <si>
    <t>A</t>
  </si>
  <si>
    <t>Standard</t>
  </si>
  <si>
    <t>UG (Level 4 and 5)</t>
  </si>
  <si>
    <t>A/Standard/UG (Level 4 and 5)</t>
  </si>
  <si>
    <t>Full-time and sandwich year out</t>
  </si>
  <si>
    <t>UG (Other)</t>
  </si>
  <si>
    <t>A/Standard/UG (Other)</t>
  </si>
  <si>
    <t>PGT (UG fee)</t>
  </si>
  <si>
    <t>A/Standard/PGT (UG Fee)</t>
  </si>
  <si>
    <t>PGT (Masters' loan)</t>
  </si>
  <si>
    <t>A/Standard/PGT (Masters' loan)</t>
  </si>
  <si>
    <t>PGT (Other)</t>
  </si>
  <si>
    <t>A/Standard/PGT (Other)</t>
  </si>
  <si>
    <t>PGR</t>
  </si>
  <si>
    <t>A/Standard/PGR</t>
  </si>
  <si>
    <t>Long</t>
  </si>
  <si>
    <t>A/Long/UG (Level 4 and 5)</t>
  </si>
  <si>
    <t>A/Long/UG (Other)</t>
  </si>
  <si>
    <t>A/Long/PGT (UG Fee)</t>
  </si>
  <si>
    <t>A/Long/PGT (Masters' loan)</t>
  </si>
  <si>
    <t>A/Long/PGT (Other)</t>
  </si>
  <si>
    <t>A/Long/PGR</t>
  </si>
  <si>
    <t>B</t>
  </si>
  <si>
    <t>B/Standard/UG (Level 4 and 5)</t>
  </si>
  <si>
    <t>B/Standard/UG (Other)</t>
  </si>
  <si>
    <t>B/Standard/PGT (UG Fee)</t>
  </si>
  <si>
    <t>B/Standard/PGT (Masters' loan)</t>
  </si>
  <si>
    <t>B/Standard/PGT (Other)</t>
  </si>
  <si>
    <t>B/Standard/PGR</t>
  </si>
  <si>
    <t>B/Long/UG (Level 4 and 5)</t>
  </si>
  <si>
    <t>B/Long/UG (Other)</t>
  </si>
  <si>
    <t>B/Long/PGT (UG Fee)</t>
  </si>
  <si>
    <t>B/Long/PGT (Masters' loan)</t>
  </si>
  <si>
    <t>B/Long/PGT (Other)</t>
  </si>
  <si>
    <t>B/Long/PGR</t>
  </si>
  <si>
    <t>C1.1</t>
  </si>
  <si>
    <t>C1.1/Standard/UG (Level 4 and 5)</t>
  </si>
  <si>
    <t>C1.1/Standard/UG (Other)</t>
  </si>
  <si>
    <t>C1.1/Standard/PGT (UG Fee)</t>
  </si>
  <si>
    <t>C1.1/Standard/PGT (Masters' loan)</t>
  </si>
  <si>
    <t>C1.1/Standard/PGT (Other)</t>
  </si>
  <si>
    <t>C1.1/Standard/PGR</t>
  </si>
  <si>
    <t>C1.1/Long/UG (Level 4 and 5)</t>
  </si>
  <si>
    <t>C1.1/Long/UG (Other)</t>
  </si>
  <si>
    <t>C1.1/Long/PGT (UG Fee)</t>
  </si>
  <si>
    <t>C1.1/Long/PGT (Masters' loan)</t>
  </si>
  <si>
    <t>C1.1/Long/PGT (Other)</t>
  </si>
  <si>
    <t>C1.1/Long/PGR</t>
  </si>
  <si>
    <t>C1.2</t>
  </si>
  <si>
    <t>C1.2/Standard/UG (Level 4 and 5)</t>
  </si>
  <si>
    <t>C1.2/Standard/UG (Other)</t>
  </si>
  <si>
    <t>C1.2/Standard/PGT (UG Fee)</t>
  </si>
  <si>
    <t>C1.2/Standard/PGT (Masters' loan)</t>
  </si>
  <si>
    <t>C1.2/Standard/PGT (Other)</t>
  </si>
  <si>
    <t>C1.2/Standard/PGR</t>
  </si>
  <si>
    <t>C1.2/Long/UG (Level 4 and 5)</t>
  </si>
  <si>
    <t>C1.2/Long/UG (Other)</t>
  </si>
  <si>
    <t>C1.2/Long/PGT (UG Fee)</t>
  </si>
  <si>
    <t>C1.2/Long/PGT (Masters' loan)</t>
  </si>
  <si>
    <t>C1.2/Long/PGT (Other)</t>
  </si>
  <si>
    <t>C1.2/Long/PGR</t>
  </si>
  <si>
    <t>C2</t>
  </si>
  <si>
    <t>C2/Standard/UG (Level 4 and 5)</t>
  </si>
  <si>
    <t>C2/Standard/UG (Other)</t>
  </si>
  <si>
    <t>C2/Standard/PGT (UG Fee)</t>
  </si>
  <si>
    <t>C2/Standard/PGT (Masters' loan)</t>
  </si>
  <si>
    <t>C2/Standard/PGT (Other)</t>
  </si>
  <si>
    <t>C2/Standard/PGR</t>
  </si>
  <si>
    <t>C2/Long/UG (Level 4 and 5)</t>
  </si>
  <si>
    <t>C2/Long/UG (Other)</t>
  </si>
  <si>
    <t>C2/Long/PGT (UG Fee)</t>
  </si>
  <si>
    <t>C2/Long/PGT (Masters' loan)</t>
  </si>
  <si>
    <t>C2/Long/PGT (Other)</t>
  </si>
  <si>
    <t>C2/Long/PGR</t>
  </si>
  <si>
    <t>D</t>
  </si>
  <si>
    <t>D/Standard/UG (Level 4 and 5)</t>
  </si>
  <si>
    <t>D/Standard/UG (Other)</t>
  </si>
  <si>
    <t>D/Standard/PGT (UG Fee)</t>
  </si>
  <si>
    <t>D/Standard/PGT (Masters' loan)</t>
  </si>
  <si>
    <t>D/Standard/PGT (Other)</t>
  </si>
  <si>
    <t>D/Standard/PGR</t>
  </si>
  <si>
    <t>D/Long/UG (Level 4 and 5)</t>
  </si>
  <si>
    <t>D/Long/UG (Other)</t>
  </si>
  <si>
    <t>D/Long/PGT (UG Fee)</t>
  </si>
  <si>
    <t>D/Long/PGT (Masters' loan)</t>
  </si>
  <si>
    <t>D/Long/PGT (Other)</t>
  </si>
  <si>
    <t>D/Long/PGR</t>
  </si>
  <si>
    <t>This sheet has freeze panes on. To unfreeze panes, under the ‘View’ tab select the dropdown ‘Freeze panes’ and choose ‘Unfreeze panes’.</t>
  </si>
  <si>
    <t>Validation and credibility checks are described in full detail to the right of the table.</t>
  </si>
  <si>
    <t>Notes on temporary learning aims</t>
  </si>
  <si>
    <t>Home fee</t>
  </si>
  <si>
    <t>Row number</t>
  </si>
  <si>
    <t>Learning aim reference</t>
  </si>
  <si>
    <t>H LEARNAIM</t>
  </si>
  <si>
    <t>Price group 1 proportion</t>
  </si>
  <si>
    <t>Price group 2 proportion</t>
  </si>
  <si>
    <t>Price group 3 proportion</t>
  </si>
  <si>
    <t>(a) OfS-fundable</t>
  </si>
  <si>
    <t>(b) Non-fundable</t>
  </si>
  <si>
    <t>(c) Overseas</t>
  </si>
  <si>
    <t xml:space="preserve">Other </t>
  </si>
  <si>
    <t>Course title</t>
  </si>
  <si>
    <t>LEARNAIM</t>
  </si>
  <si>
    <t>YES</t>
  </si>
  <si>
    <t>COURSE</t>
  </si>
  <si>
    <t>PG1</t>
  </si>
  <si>
    <t>PROP1</t>
  </si>
  <si>
    <t>PG2</t>
  </si>
  <si>
    <t>PROP2</t>
  </si>
  <si>
    <t>PG3</t>
  </si>
  <si>
    <t>PROP3</t>
  </si>
  <si>
    <t>LEVEL</t>
  </si>
  <si>
    <t>[LENGTH]</t>
  </si>
  <si>
    <t>FTS_HOMEF_UK</t>
  </si>
  <si>
    <t>FTS_HOMEF_OTH</t>
  </si>
  <si>
    <t>FTS_HOMENF_UK</t>
  </si>
  <si>
    <t>FTS_HOMENF_OTH</t>
  </si>
  <si>
    <t>FTS_ISOV</t>
  </si>
  <si>
    <t>OUT_HOMEF_UK</t>
  </si>
  <si>
    <t>OUT_HOMEF_OTH</t>
  </si>
  <si>
    <t>OUT_HOMENF_UK</t>
  </si>
  <si>
    <t>OUT_HOMENF_OTH</t>
  </si>
  <si>
    <t>OUT_ISOV</t>
  </si>
  <si>
    <t>PT_HOMEF_UK</t>
  </si>
  <si>
    <t>PT_HOMEF_OTH</t>
  </si>
  <si>
    <t>PT_HOMENF_UK</t>
  </si>
  <si>
    <t>PT_HOMENF_OTH</t>
  </si>
  <si>
    <t>PT_ISOV</t>
  </si>
  <si>
    <t>NOTES_TLA</t>
  </si>
  <si>
    <t>Temp learning aim flag</t>
  </si>
  <si>
    <t>ROWNUM</t>
  </si>
  <si>
    <t>Validation checks for Courses Table (see Appendix 2 for full definitions of the underlying formulas)</t>
  </si>
  <si>
    <t>2. The following rows contain learning aims that have been entered into multiple rows with the same combination of level and length:</t>
  </si>
  <si>
    <t xml:space="preserve">6. In the following rows, the level has not been entered as 'UG (Level 4 and 5)', 'UG (Other)',  'PGT (UG fee)', 'PGT (Masters' loan)', 'PGT (Other)' or 'PGR': </t>
  </si>
  <si>
    <t>Credibility checks for Courses Table (see Appendix 3 for full definitions of the underlying formulas)</t>
  </si>
  <si>
    <t>1. In the following rows, a proportion has been entered as 0% where there is more than one price group:</t>
  </si>
  <si>
    <t>Courses validation and credibility checks</t>
  </si>
  <si>
    <t>Price groups</t>
  </si>
  <si>
    <t>Level/ length</t>
  </si>
  <si>
    <t>Notes column</t>
  </si>
  <si>
    <t>Val check</t>
  </si>
  <si>
    <t>Cred check</t>
  </si>
  <si>
    <t>Credibility: OK</t>
  </si>
  <si>
    <t>Validation Flags</t>
  </si>
  <si>
    <t>1a. Invalid LARS</t>
  </si>
  <si>
    <t>1b. No LARS</t>
  </si>
  <si>
    <t>2. Learnaim/level/length entered more than once</t>
  </si>
  <si>
    <t>3. Proportions missing</t>
  </si>
  <si>
    <t>4. Total proportion  &lt;&gt; 100%</t>
  </si>
  <si>
    <t>5. Proportion not whole</t>
  </si>
  <si>
    <t>6. Invalid level</t>
  </si>
  <si>
    <t>7. Invalid length</t>
  </si>
  <si>
    <t>8. Whole numbers</t>
  </si>
  <si>
    <t>9. Negative numbers</t>
  </si>
  <si>
    <t>10. Blank rows</t>
  </si>
  <si>
    <t>11. No students on course</t>
  </si>
  <si>
    <t>12. Notes length</t>
  </si>
  <si>
    <t>Credibility Flags</t>
  </si>
  <si>
    <t>1. 0% price group split</t>
  </si>
  <si>
    <t>2. LARS level</t>
  </si>
  <si>
    <t>Set to 1 to enable test</t>
  </si>
  <si>
    <t>Validation check 1a and 1b - Invalid or no learning aim</t>
  </si>
  <si>
    <t>Validation check 2 - learning aim, level, length combo on multiple rows (don't count dummy aims)</t>
  </si>
  <si>
    <t>Validation check 3 - Proportion empty</t>
  </si>
  <si>
    <t>Validation check 4 - Proportions not total 100%</t>
  </si>
  <si>
    <t>Validation check 5 - Proportions not whole</t>
  </si>
  <si>
    <t>Validation checks 6 and 7 - Incorrect Level and Length</t>
  </si>
  <si>
    <t>Validation check 8 - whole numbers</t>
  </si>
  <si>
    <t>Validation check 9 - negative numbers</t>
  </si>
  <si>
    <t>Validation check 10 - No blank rows</t>
  </si>
  <si>
    <t>Validation check 11 - course with no students entered</t>
  </si>
  <si>
    <t>Validation check 12 - Notes column exceeds 200 characters</t>
  </si>
  <si>
    <t>Cred check 1 - 0% split price groups</t>
  </si>
  <si>
    <t>Cred check 2 - LARS level</t>
  </si>
  <si>
    <t>Row validity (0 = valid, 1 = invalid)</t>
  </si>
  <si>
    <t>1a. Invalid</t>
  </si>
  <si>
    <t>1b. None</t>
  </si>
  <si>
    <t>Combo</t>
  </si>
  <si>
    <t>Prop 1</t>
  </si>
  <si>
    <t>Prop 2</t>
  </si>
  <si>
    <t>Prop 3</t>
  </si>
  <si>
    <t>Prop1 = 100</t>
  </si>
  <si>
    <t>Prop1+2 = 100</t>
  </si>
  <si>
    <t>Prop1+2+3 = 100</t>
  </si>
  <si>
    <t>Prop incorrectly entered</t>
  </si>
  <si>
    <t>Blank check</t>
  </si>
  <si>
    <t>Blank row</t>
  </si>
  <si>
    <t>Conditional formatting for validation checks</t>
  </si>
  <si>
    <t>Updated:</t>
  </si>
  <si>
    <t>Learning aim reference (LEARNAIMREF)</t>
  </si>
  <si>
    <t>OFS/A</t>
  </si>
  <si>
    <t>Temporary learning aim reference supplied by the OfS</t>
  </si>
  <si>
    <t>Enter level</t>
  </si>
  <si>
    <t>OFS/B</t>
  </si>
  <si>
    <t>OFS/C11</t>
  </si>
  <si>
    <t>OFS/C12</t>
  </si>
  <si>
    <t>OFS/C2</t>
  </si>
  <si>
    <t>OFS/D</t>
  </si>
  <si>
    <t>OFS/B/C11</t>
  </si>
  <si>
    <t>OFS/B/C12</t>
  </si>
  <si>
    <t>OFS/B/C2</t>
  </si>
  <si>
    <t>OFS/B/D</t>
  </si>
  <si>
    <t>OFS/C11/C12</t>
  </si>
  <si>
    <t>OFS/C11/C2</t>
  </si>
  <si>
    <t>OFS/C11/D</t>
  </si>
  <si>
    <t>OFS/C12/C2</t>
  </si>
  <si>
    <t>OFS/C12/D</t>
  </si>
  <si>
    <t>OFS/C2/D</t>
  </si>
  <si>
    <t>OFS/B/C11/C12</t>
  </si>
  <si>
    <t>OFS/B/C11/C2</t>
  </si>
  <si>
    <t>OFS/B/C11/D</t>
  </si>
  <si>
    <t>OFS/B/C12/C2</t>
  </si>
  <si>
    <t>OFS/B/C12/D</t>
  </si>
  <si>
    <t>OFS/B/C2/D</t>
  </si>
  <si>
    <t>OFS/C11/C12/C2</t>
  </si>
  <si>
    <t>OFS/C11/C12/D</t>
  </si>
  <si>
    <t>OFS/C11/C2/D</t>
  </si>
  <si>
    <t>OFS/C12/C2/D</t>
  </si>
  <si>
    <t>100567</t>
  </si>
  <si>
    <t>H00100567</t>
  </si>
  <si>
    <t>HNC in Building Services Engineering</t>
  </si>
  <si>
    <t>100572</t>
  </si>
  <si>
    <t>H00100572</t>
  </si>
  <si>
    <t>HNC in Building Services Engineering (Refrigeration)</t>
  </si>
  <si>
    <t>100573</t>
  </si>
  <si>
    <t>H00100573</t>
  </si>
  <si>
    <t>HNC in Building Studies</t>
  </si>
  <si>
    <t>100575</t>
  </si>
  <si>
    <t>H00100575</t>
  </si>
  <si>
    <t>HNC in Business</t>
  </si>
  <si>
    <t>100576</t>
  </si>
  <si>
    <t>H00100576</t>
  </si>
  <si>
    <t>HNC in Business and Finance</t>
  </si>
  <si>
    <t>100588</t>
  </si>
  <si>
    <t>H00100588</t>
  </si>
  <si>
    <t>HNC in Civil Engineering Studies</t>
  </si>
  <si>
    <t>100592</t>
  </si>
  <si>
    <t>H00100592</t>
  </si>
  <si>
    <t>HNC in Computer Studies</t>
  </si>
  <si>
    <t>100597</t>
  </si>
  <si>
    <t>H00100597</t>
  </si>
  <si>
    <t>HNC in Computing</t>
  </si>
  <si>
    <t>100618</t>
  </si>
  <si>
    <t>H00100618</t>
  </si>
  <si>
    <t>HNC in Engineering</t>
  </si>
  <si>
    <t>100623</t>
  </si>
  <si>
    <t>H00100623</t>
  </si>
  <si>
    <t>HNC in Engineering (Electrical/Electronic)</t>
  </si>
  <si>
    <t>100628</t>
  </si>
  <si>
    <t>H00100628</t>
  </si>
  <si>
    <t>HNC in Engineering (Instrumentation and Control)</t>
  </si>
  <si>
    <t>100632</t>
  </si>
  <si>
    <t>H00100632</t>
  </si>
  <si>
    <t>HNC in Engineering (Mechanical Engineering)</t>
  </si>
  <si>
    <t>100633</t>
  </si>
  <si>
    <t>H00100633</t>
  </si>
  <si>
    <t>HNC in Engineering (Mechanical/Manufacture)</t>
  </si>
  <si>
    <t>100689</t>
  </si>
  <si>
    <t>H00100689</t>
  </si>
  <si>
    <t>HNC in Science (Chemistry)</t>
  </si>
  <si>
    <t>100706</t>
  </si>
  <si>
    <t>H00100706</t>
  </si>
  <si>
    <t>HNC in Textiles</t>
  </si>
  <si>
    <t>100719</t>
  </si>
  <si>
    <t>H00100719</t>
  </si>
  <si>
    <t>HND in Animal Care</t>
  </si>
  <si>
    <t>100733</t>
  </si>
  <si>
    <t>H00100733</t>
  </si>
  <si>
    <t>HND in Building Studies</t>
  </si>
  <si>
    <t>100737</t>
  </si>
  <si>
    <t>H00100737</t>
  </si>
  <si>
    <t>HND in Business</t>
  </si>
  <si>
    <t>100738</t>
  </si>
  <si>
    <t>H00100738</t>
  </si>
  <si>
    <t>HND in Business and Finance</t>
  </si>
  <si>
    <t>100742</t>
  </si>
  <si>
    <t>H00100742</t>
  </si>
  <si>
    <t>HND in Business Information Technology</t>
  </si>
  <si>
    <t>100760</t>
  </si>
  <si>
    <t>H00100760</t>
  </si>
  <si>
    <t>HND in Computer Studies</t>
  </si>
  <si>
    <t>100764</t>
  </si>
  <si>
    <t>H00100764</t>
  </si>
  <si>
    <t>HND in Computing</t>
  </si>
  <si>
    <t>100776</t>
  </si>
  <si>
    <t>H00100776</t>
  </si>
  <si>
    <t>HND in Design</t>
  </si>
  <si>
    <t>100794</t>
  </si>
  <si>
    <t>H00100794</t>
  </si>
  <si>
    <t>HND in Design (Fashion/Textiles)</t>
  </si>
  <si>
    <t>100834</t>
  </si>
  <si>
    <t>H00100834</t>
  </si>
  <si>
    <t>HND in Engineering</t>
  </si>
  <si>
    <t>100839</t>
  </si>
  <si>
    <t>H00100839</t>
  </si>
  <si>
    <t>HND in Engineering (Electrical/Electronic)</t>
  </si>
  <si>
    <t>100843</t>
  </si>
  <si>
    <t>H00100843</t>
  </si>
  <si>
    <t>HND in Engineering (Electronics)</t>
  </si>
  <si>
    <t>100845</t>
  </si>
  <si>
    <t>H00100845</t>
  </si>
  <si>
    <t>HND in Engineering (Manufacture)</t>
  </si>
  <si>
    <t>100848</t>
  </si>
  <si>
    <t>H00100848</t>
  </si>
  <si>
    <t>HND in Engineering (Mechanical/Manufacture)</t>
  </si>
  <si>
    <t>100888</t>
  </si>
  <si>
    <t>H00100888</t>
  </si>
  <si>
    <t>HND in Horticulture</t>
  </si>
  <si>
    <t>100902</t>
  </si>
  <si>
    <t>H00100902</t>
  </si>
  <si>
    <t>HND in Media</t>
  </si>
  <si>
    <t>100936</t>
  </si>
  <si>
    <t>H00100936</t>
  </si>
  <si>
    <t>HND in Media (Journalism)</t>
  </si>
  <si>
    <t>100947</t>
  </si>
  <si>
    <t>H00100947</t>
  </si>
  <si>
    <t>HND in Nautical Science</t>
  </si>
  <si>
    <t>100948</t>
  </si>
  <si>
    <t>H00100948</t>
  </si>
  <si>
    <t>HND in Performing Arts</t>
  </si>
  <si>
    <t>101000</t>
  </si>
  <si>
    <t>H00101000</t>
  </si>
  <si>
    <t>HND in Science (Sports Studies)</t>
  </si>
  <si>
    <t>101020</t>
  </si>
  <si>
    <t>H00101020</t>
  </si>
  <si>
    <t>HND in Travel and Tourism Management</t>
  </si>
  <si>
    <t>102054</t>
  </si>
  <si>
    <t>H00102054</t>
  </si>
  <si>
    <t>Teaching Diploma</t>
  </si>
  <si>
    <t>103002</t>
  </si>
  <si>
    <t>H00103002</t>
  </si>
  <si>
    <t>Advanced Diploma in Point-of-sale Design</t>
  </si>
  <si>
    <t>103139</t>
  </si>
  <si>
    <t>H00103139</t>
  </si>
  <si>
    <t>Membership</t>
  </si>
  <si>
    <t>103247</t>
  </si>
  <si>
    <t>H00103247</t>
  </si>
  <si>
    <t>Graduateship</t>
  </si>
  <si>
    <t>103620</t>
  </si>
  <si>
    <t>H00103620</t>
  </si>
  <si>
    <t>Professional Diploma in Arboriculture</t>
  </si>
  <si>
    <t>103630</t>
  </si>
  <si>
    <t>H00103630</t>
  </si>
  <si>
    <t>Associate Chartered Accountant (ACA)</t>
  </si>
  <si>
    <t>103669</t>
  </si>
  <si>
    <t>H00103669</t>
  </si>
  <si>
    <t>Associateship</t>
  </si>
  <si>
    <t>103743</t>
  </si>
  <si>
    <t>H00103743</t>
  </si>
  <si>
    <t>Diploma in Acoustics and Noise Control</t>
  </si>
  <si>
    <t>112263</t>
  </si>
  <si>
    <t>H00112263</t>
  </si>
  <si>
    <t>Certificate in Oral Health Education</t>
  </si>
  <si>
    <t>112264</t>
  </si>
  <si>
    <t>H00112264</t>
  </si>
  <si>
    <t>Certificate in Dental Sedation Nursing</t>
  </si>
  <si>
    <t>114049</t>
  </si>
  <si>
    <t>H00114049</t>
  </si>
  <si>
    <t>Membership (Levels GradICSA - ACIS - FCIS)</t>
  </si>
  <si>
    <t>114135</t>
  </si>
  <si>
    <t>H00114135</t>
  </si>
  <si>
    <t>PGCE (Post Graduate Certificate in Education)</t>
  </si>
  <si>
    <t>114159</t>
  </si>
  <si>
    <t>H00114159</t>
  </si>
  <si>
    <t>Member (Corporate Membership in Automotive Assessors Award)</t>
  </si>
  <si>
    <t>114171</t>
  </si>
  <si>
    <t>H00114171</t>
  </si>
  <si>
    <t>BA in Journalism</t>
  </si>
  <si>
    <t>114185</t>
  </si>
  <si>
    <t>H00114185</t>
  </si>
  <si>
    <t>BEng in Integrated Engineering</t>
  </si>
  <si>
    <t>116058</t>
  </si>
  <si>
    <t>H00116058</t>
  </si>
  <si>
    <t>Stage 4 Horse Knowledge and Riding</t>
  </si>
  <si>
    <t>116062</t>
  </si>
  <si>
    <t>H00116062</t>
  </si>
  <si>
    <t>Stage 4 Horse Knowledge and Care - Intermediate Stable Manager</t>
  </si>
  <si>
    <t>116067</t>
  </si>
  <si>
    <t>H00116067</t>
  </si>
  <si>
    <t>Stable Manager</t>
  </si>
  <si>
    <t>117765</t>
  </si>
  <si>
    <t>H00117765</t>
  </si>
  <si>
    <t>Pre-entry Certificate in Press Photography (36 week post A-level)</t>
  </si>
  <si>
    <t>117766</t>
  </si>
  <si>
    <t>H00117766</t>
  </si>
  <si>
    <t>Pre-entry Certificate in Photo-journalism (36 week post A-level)</t>
  </si>
  <si>
    <t>117768</t>
  </si>
  <si>
    <t>H00117768</t>
  </si>
  <si>
    <t>Press Photography (12-week block release course)</t>
  </si>
  <si>
    <t>118332</t>
  </si>
  <si>
    <t>H00118332</t>
  </si>
  <si>
    <t>HND in Business and Marketing</t>
  </si>
  <si>
    <t>118776</t>
  </si>
  <si>
    <t>H00118776</t>
  </si>
  <si>
    <t>Diploma in Marketing Strategy and Management</t>
  </si>
  <si>
    <t>119773</t>
  </si>
  <si>
    <t>H00119773</t>
  </si>
  <si>
    <t>HNC in Horticulture</t>
  </si>
  <si>
    <t>119955</t>
  </si>
  <si>
    <t>H00119955</t>
  </si>
  <si>
    <t>Teaching Certificate (CT-ABRSM)</t>
  </si>
  <si>
    <t>204728</t>
  </si>
  <si>
    <t>H00204728</t>
  </si>
  <si>
    <t>HNC in Art and Design (Fine Art)</t>
  </si>
  <si>
    <t>204729</t>
  </si>
  <si>
    <t>H00204729</t>
  </si>
  <si>
    <t>HNC in Art and Design (Graphic Design)</t>
  </si>
  <si>
    <t>204734</t>
  </si>
  <si>
    <t>H00204734</t>
  </si>
  <si>
    <t>HNC in Art and Design (Textiles)</t>
  </si>
  <si>
    <t>204794</t>
  </si>
  <si>
    <t>H00204794</t>
  </si>
  <si>
    <t>HND in Art and Design (Fine Art)</t>
  </si>
  <si>
    <t>204795</t>
  </si>
  <si>
    <t>H00204795</t>
  </si>
  <si>
    <t>HND in Art and Design (Graphic Design)</t>
  </si>
  <si>
    <t>204800</t>
  </si>
  <si>
    <t>H00204800</t>
  </si>
  <si>
    <t>HND in Art and Design (Textiles)</t>
  </si>
  <si>
    <t>204840</t>
  </si>
  <si>
    <t>H00204840</t>
  </si>
  <si>
    <t>HND in Public Services</t>
  </si>
  <si>
    <t>205110</t>
  </si>
  <si>
    <t>H00205110</t>
  </si>
  <si>
    <t>National Certificate Examination in Newspaper Journalism</t>
  </si>
  <si>
    <t>220109</t>
  </si>
  <si>
    <t>H00220109</t>
  </si>
  <si>
    <t>WABBA Qualifications Tutor Training Award</t>
  </si>
  <si>
    <t>220684</t>
  </si>
  <si>
    <t>H00220684</t>
  </si>
  <si>
    <t>CG 8030 Advanced Technician Diploma in Electrical and Electronic Engineering</t>
  </si>
  <si>
    <t>221012</t>
  </si>
  <si>
    <t>H00221012</t>
  </si>
  <si>
    <t>Counselling Diploma</t>
  </si>
  <si>
    <t>221265</t>
  </si>
  <si>
    <t>H00221265</t>
  </si>
  <si>
    <t>Fellow Teaching Certificate</t>
  </si>
  <si>
    <t>221464</t>
  </si>
  <si>
    <t>H00221464</t>
  </si>
  <si>
    <t>HNC in Business Studies</t>
  </si>
  <si>
    <t>221485</t>
  </si>
  <si>
    <t>H00221485</t>
  </si>
  <si>
    <t>HND in Engineering (Telecommunications)</t>
  </si>
  <si>
    <t>221488</t>
  </si>
  <si>
    <t>H00221488</t>
  </si>
  <si>
    <t>HND in Equine Studies</t>
  </si>
  <si>
    <t>221535</t>
  </si>
  <si>
    <t>H00221535</t>
  </si>
  <si>
    <t>HNC in Mechanical and Production Engineering</t>
  </si>
  <si>
    <t>221554</t>
  </si>
  <si>
    <t>H00221554</t>
  </si>
  <si>
    <t>HND in Multi Media</t>
  </si>
  <si>
    <t>221601</t>
  </si>
  <si>
    <t>H00221601</t>
  </si>
  <si>
    <t>HND in Science (Sports Therapy)</t>
  </si>
  <si>
    <t>222221</t>
  </si>
  <si>
    <t>H00222221</t>
  </si>
  <si>
    <t>HND in Design (Multi-Media)</t>
  </si>
  <si>
    <t>223115</t>
  </si>
  <si>
    <t>H00223115</t>
  </si>
  <si>
    <t>Certificate in Education Part 1</t>
  </si>
  <si>
    <t>223119</t>
  </si>
  <si>
    <t>H00223119</t>
  </si>
  <si>
    <t>BSc (Hons) in Aquaculture and Fishery Management</t>
  </si>
  <si>
    <t>223120</t>
  </si>
  <si>
    <t>H00223120</t>
  </si>
  <si>
    <t>Certificate in Education - Post 16</t>
  </si>
  <si>
    <t>223133</t>
  </si>
  <si>
    <t>H00223133</t>
  </si>
  <si>
    <t>BSc (Hons) in Podiatry</t>
  </si>
  <si>
    <t>223134</t>
  </si>
  <si>
    <t>H00223134</t>
  </si>
  <si>
    <t>BA (Hons) in Business Studies</t>
  </si>
  <si>
    <t>223139</t>
  </si>
  <si>
    <t>H00223139</t>
  </si>
  <si>
    <t>Certificate of Education</t>
  </si>
  <si>
    <t>229011</t>
  </si>
  <si>
    <t>H00229011</t>
  </si>
  <si>
    <t>Certificate in Management Studies</t>
  </si>
  <si>
    <t>229056</t>
  </si>
  <si>
    <t>H00229056</t>
  </si>
  <si>
    <t>Diploma in Massage</t>
  </si>
  <si>
    <t>229202</t>
  </si>
  <si>
    <t>H00229202</t>
  </si>
  <si>
    <t>Post Graduate (Masters) in Education</t>
  </si>
  <si>
    <t>229204</t>
  </si>
  <si>
    <t>H00229204</t>
  </si>
  <si>
    <t>PGC in Education</t>
  </si>
  <si>
    <t>229687</t>
  </si>
  <si>
    <t>H00229687</t>
  </si>
  <si>
    <t>BEng (Hons) in Mechanical Engineering</t>
  </si>
  <si>
    <t>229692</t>
  </si>
  <si>
    <t>H00229692</t>
  </si>
  <si>
    <t>BA (Hons) in Professional Studies (Social Work)</t>
  </si>
  <si>
    <t>229693</t>
  </si>
  <si>
    <t>H00229693</t>
  </si>
  <si>
    <t>Certificate in Education</t>
  </si>
  <si>
    <t>229695</t>
  </si>
  <si>
    <t>H00229695</t>
  </si>
  <si>
    <t>BA (Hons) in Professional Studies (Early Childhood Studies)</t>
  </si>
  <si>
    <t>229700</t>
  </si>
  <si>
    <t>H00229700</t>
  </si>
  <si>
    <t>BA (Hons) in Documentary Photography</t>
  </si>
  <si>
    <t>229723</t>
  </si>
  <si>
    <t>H00229723</t>
  </si>
  <si>
    <t>BSc (Hons) in Biomedical Sciences</t>
  </si>
  <si>
    <t>229726</t>
  </si>
  <si>
    <t>H00229726</t>
  </si>
  <si>
    <t>BSc (Hons) in Biological Sciences</t>
  </si>
  <si>
    <t>229736</t>
  </si>
  <si>
    <t>H00229736</t>
  </si>
  <si>
    <t>MSc in Acoustics</t>
  </si>
  <si>
    <t>229745</t>
  </si>
  <si>
    <t>H00229745</t>
  </si>
  <si>
    <t>BSc (Hons) in Osteopathic Medicine</t>
  </si>
  <si>
    <t>229871</t>
  </si>
  <si>
    <t>H00229871</t>
  </si>
  <si>
    <t>BA (Hons) in Furniture Design and Making</t>
  </si>
  <si>
    <t>229876</t>
  </si>
  <si>
    <t>H00229876</t>
  </si>
  <si>
    <t>229899</t>
  </si>
  <si>
    <t>H00229899</t>
  </si>
  <si>
    <t>BA (Hons) in Education and Training</t>
  </si>
  <si>
    <t>229902</t>
  </si>
  <si>
    <t>H00229902</t>
  </si>
  <si>
    <t>229999</t>
  </si>
  <si>
    <t>H00229999</t>
  </si>
  <si>
    <t>BA (Hons) in Performing Arts</t>
  </si>
  <si>
    <t>230245</t>
  </si>
  <si>
    <t>H00230245</t>
  </si>
  <si>
    <t>BA (Hons) in Business; Management and Organisation</t>
  </si>
  <si>
    <t>230253</t>
  </si>
  <si>
    <t>H00230253</t>
  </si>
  <si>
    <t>BA (Hons) in Marketing</t>
  </si>
  <si>
    <t>230254</t>
  </si>
  <si>
    <t>H00230254</t>
  </si>
  <si>
    <t>BSc (Hons) in Computing</t>
  </si>
  <si>
    <t>230257</t>
  </si>
  <si>
    <t>H00230257</t>
  </si>
  <si>
    <t>BSc (Hons) Sport Science (Human Performance)</t>
  </si>
  <si>
    <t>230260</t>
  </si>
  <si>
    <t>H00230260</t>
  </si>
  <si>
    <t>BA (Hons) in Leisure Management</t>
  </si>
  <si>
    <t>230680</t>
  </si>
  <si>
    <t>H00230680</t>
  </si>
  <si>
    <t>BA (Hons) in Educational Studies</t>
  </si>
  <si>
    <t>230684</t>
  </si>
  <si>
    <t>H00230684</t>
  </si>
  <si>
    <t>BA (Hons) in Graphic Design</t>
  </si>
  <si>
    <t>230698</t>
  </si>
  <si>
    <t>H00230698</t>
  </si>
  <si>
    <t>230699</t>
  </si>
  <si>
    <t>H00230699</t>
  </si>
  <si>
    <t>MBA in Business Administration</t>
  </si>
  <si>
    <t>230703</t>
  </si>
  <si>
    <t>H00230703</t>
  </si>
  <si>
    <t>MA in Marketing</t>
  </si>
  <si>
    <t>230704</t>
  </si>
  <si>
    <t>H00230704</t>
  </si>
  <si>
    <t>MSc in Personnel &amp; Development Studies</t>
  </si>
  <si>
    <t>230712</t>
  </si>
  <si>
    <t>H00230712</t>
  </si>
  <si>
    <t>BSc in Business Computing</t>
  </si>
  <si>
    <t>230713</t>
  </si>
  <si>
    <t>H00230713</t>
  </si>
  <si>
    <t>BSc in Integrated Technology</t>
  </si>
  <si>
    <t>230718</t>
  </si>
  <si>
    <t>H00230718</t>
  </si>
  <si>
    <t>BEd in Bachelor of Education (INSET)</t>
  </si>
  <si>
    <t>230722</t>
  </si>
  <si>
    <t>H00230722</t>
  </si>
  <si>
    <t>BA (Hons) in Design Crafts for the Entertainment Industries</t>
  </si>
  <si>
    <t>230810</t>
  </si>
  <si>
    <t>H00230810</t>
  </si>
  <si>
    <t>BA (Hons) in Acting Studies</t>
  </si>
  <si>
    <t>231663</t>
  </si>
  <si>
    <t>H00231663</t>
  </si>
  <si>
    <t>BA (Hons) in Primary Education with Qualified Teacher Status (QTS)</t>
  </si>
  <si>
    <t>231666</t>
  </si>
  <si>
    <t>H00231666</t>
  </si>
  <si>
    <t>BA (Hons) in Art &amp; Design</t>
  </si>
  <si>
    <t>231682</t>
  </si>
  <si>
    <t>H00231682</t>
  </si>
  <si>
    <t>BSc (Hons) in Ophthalmic Dispensing with Management</t>
  </si>
  <si>
    <t>231683</t>
  </si>
  <si>
    <t>H00231683</t>
  </si>
  <si>
    <t>LLB (Hons) - Bachelor of Law</t>
  </si>
  <si>
    <t>231689</t>
  </si>
  <si>
    <t>H00231689</t>
  </si>
  <si>
    <t>DipHE in Youth and Community Work Development</t>
  </si>
  <si>
    <t>231870</t>
  </si>
  <si>
    <t>H00231870</t>
  </si>
  <si>
    <t>LLB Law Degree</t>
  </si>
  <si>
    <t>232885</t>
  </si>
  <si>
    <t>H00232885</t>
  </si>
  <si>
    <t>HND in Business &amp; Management</t>
  </si>
  <si>
    <t>232887</t>
  </si>
  <si>
    <t>H00232887</t>
  </si>
  <si>
    <t>HND in Computing (Software Engineering)</t>
  </si>
  <si>
    <t>232888</t>
  </si>
  <si>
    <t>H00232888</t>
  </si>
  <si>
    <t>HND in Aerospace Engineering</t>
  </si>
  <si>
    <t>232897</t>
  </si>
  <si>
    <t>H00232897</t>
  </si>
  <si>
    <t>HND in Hospitality Management</t>
  </si>
  <si>
    <t>232899</t>
  </si>
  <si>
    <t>H00232899</t>
  </si>
  <si>
    <t>HNC in Business &amp; Management</t>
  </si>
  <si>
    <t>232902</t>
  </si>
  <si>
    <t>H00232902</t>
  </si>
  <si>
    <t>HNC in Aerospace Engineering</t>
  </si>
  <si>
    <t>232903</t>
  </si>
  <si>
    <t>H00232903</t>
  </si>
  <si>
    <t>HNC in Manufacturing Engineering</t>
  </si>
  <si>
    <t>232911</t>
  </si>
  <si>
    <t>H00232911</t>
  </si>
  <si>
    <t>HNC in Hospitality Management</t>
  </si>
  <si>
    <t>232915</t>
  </si>
  <si>
    <t>H00232915</t>
  </si>
  <si>
    <t>HNC in Housing</t>
  </si>
  <si>
    <t>233127</t>
  </si>
  <si>
    <t>H00233127</t>
  </si>
  <si>
    <t>CG 8030 Electrical and Electronic Engineering Technician's Advanced Diploma</t>
  </si>
  <si>
    <t>233525</t>
  </si>
  <si>
    <t>H00233525</t>
  </si>
  <si>
    <t>Raft Trip Leader</t>
  </si>
  <si>
    <t>235372</t>
  </si>
  <si>
    <t>H00235372</t>
  </si>
  <si>
    <t>BA (Hons) in Hotel and Catering</t>
  </si>
  <si>
    <t>235390</t>
  </si>
  <si>
    <t>H00235390</t>
  </si>
  <si>
    <t>MBA in Master of Business Administration</t>
  </si>
  <si>
    <t>235420</t>
  </si>
  <si>
    <t>H00235420</t>
  </si>
  <si>
    <t>Post Graduate Certificate of Education (DMAQI)</t>
  </si>
  <si>
    <t>235453</t>
  </si>
  <si>
    <t>H00235453</t>
  </si>
  <si>
    <t>BA (Hons) in Creative Music Technology</t>
  </si>
  <si>
    <t>235454</t>
  </si>
  <si>
    <t>H00235454</t>
  </si>
  <si>
    <t>BA (Hons) in Popular Music Studies</t>
  </si>
  <si>
    <t>235455</t>
  </si>
  <si>
    <t>H00235455</t>
  </si>
  <si>
    <t>BA (Hons) in Business and Management</t>
  </si>
  <si>
    <t>236818</t>
  </si>
  <si>
    <t>H00236818</t>
  </si>
  <si>
    <t>HNC in Chemical Engineering</t>
  </si>
  <si>
    <t>237302</t>
  </si>
  <si>
    <t>H00237302</t>
  </si>
  <si>
    <t>Licensed Conveyancer</t>
  </si>
  <si>
    <t>237438</t>
  </si>
  <si>
    <t>H00237438</t>
  </si>
  <si>
    <t>Diploma in Reflexology</t>
  </si>
  <si>
    <t>237439</t>
  </si>
  <si>
    <t>H00237439</t>
  </si>
  <si>
    <t>Diploma in Aromatherapy</t>
  </si>
  <si>
    <t>237440</t>
  </si>
  <si>
    <t>H00237440</t>
  </si>
  <si>
    <t>Diploma in Kinesiology</t>
  </si>
  <si>
    <t>237501</t>
  </si>
  <si>
    <t>H00237501</t>
  </si>
  <si>
    <t>Level 5 Coach Assessment (Sea)</t>
  </si>
  <si>
    <t>237502</t>
  </si>
  <si>
    <t>H00237502</t>
  </si>
  <si>
    <t>Level 5 Coach Assessment (Surf)</t>
  </si>
  <si>
    <t>237503</t>
  </si>
  <si>
    <t>H00237503</t>
  </si>
  <si>
    <t>Level 5 Coach Assessment (Kayak)</t>
  </si>
  <si>
    <t>237504</t>
  </si>
  <si>
    <t>H00237504</t>
  </si>
  <si>
    <t>Level 5 Coach Assessment (Canoe)</t>
  </si>
  <si>
    <t>239128</t>
  </si>
  <si>
    <t>H00239128</t>
  </si>
  <si>
    <t>239334</t>
  </si>
  <si>
    <t>H00239334</t>
  </si>
  <si>
    <t>239419</t>
  </si>
  <si>
    <t>H00239419</t>
  </si>
  <si>
    <t>BSc (Hons) in Media Technology (Production)</t>
  </si>
  <si>
    <t>239642</t>
  </si>
  <si>
    <t>H00239642</t>
  </si>
  <si>
    <t>BSc (Hons) in Applied Animal Science</t>
  </si>
  <si>
    <t>239643</t>
  </si>
  <si>
    <t>H00239643</t>
  </si>
  <si>
    <t>BSc (Hons) in Wildlife Management</t>
  </si>
  <si>
    <t>239645</t>
  </si>
  <si>
    <t>H00239645</t>
  </si>
  <si>
    <t>BA (Hons) in Applied Youth and Community Studies</t>
  </si>
  <si>
    <t>239646</t>
  </si>
  <si>
    <t>H00239646</t>
  </si>
  <si>
    <t>DipHE in Youth and Community Work</t>
  </si>
  <si>
    <t>239647</t>
  </si>
  <si>
    <t>H00239647</t>
  </si>
  <si>
    <t>PGCE in CertEd (PCET)</t>
  </si>
  <si>
    <t>239670</t>
  </si>
  <si>
    <t>H00239670</t>
  </si>
  <si>
    <t>BA (Hons) in Performance Design and Management</t>
  </si>
  <si>
    <t>239671</t>
  </si>
  <si>
    <t>H00239671</t>
  </si>
  <si>
    <t>PGD in Writing for the Stage</t>
  </si>
  <si>
    <t>239931</t>
  </si>
  <si>
    <t>H00239931</t>
  </si>
  <si>
    <t>BSc in Aeronautical Engineering</t>
  </si>
  <si>
    <t>239937</t>
  </si>
  <si>
    <t>H00239937</t>
  </si>
  <si>
    <t>DipHE in Fine Art</t>
  </si>
  <si>
    <t>239989</t>
  </si>
  <si>
    <t>H00239989</t>
  </si>
  <si>
    <t>HNC in Electrical / Electronic Engineering</t>
  </si>
  <si>
    <t>239990</t>
  </si>
  <si>
    <t>H00239990</t>
  </si>
  <si>
    <t>HND in Electrical / Electronic Engineering</t>
  </si>
  <si>
    <t>239992</t>
  </si>
  <si>
    <t>H00239992</t>
  </si>
  <si>
    <t>HND in Mechanical Engineering</t>
  </si>
  <si>
    <t>240046</t>
  </si>
  <si>
    <t>H00240046</t>
  </si>
  <si>
    <t>BA (Hons) in Visual Communication</t>
  </si>
  <si>
    <t>240047</t>
  </si>
  <si>
    <t>H00240047</t>
  </si>
  <si>
    <t>BA (Hons) in Interior Design</t>
  </si>
  <si>
    <t>240048</t>
  </si>
  <si>
    <t>H00240048</t>
  </si>
  <si>
    <t>BA (Hons) in Printed Textiles</t>
  </si>
  <si>
    <t>240049</t>
  </si>
  <si>
    <t>H00240049</t>
  </si>
  <si>
    <t>BA (Hons) in Clothing Fashion</t>
  </si>
  <si>
    <t>240050</t>
  </si>
  <si>
    <t>H00240050</t>
  </si>
  <si>
    <t>BA (Hons) in Fine Art (Part-Time)</t>
  </si>
  <si>
    <t>240298</t>
  </si>
  <si>
    <t>H00240298</t>
  </si>
  <si>
    <t>HND in Theatre</t>
  </si>
  <si>
    <t>240382</t>
  </si>
  <si>
    <t>H00240382</t>
  </si>
  <si>
    <t>BA in Business Administration (FT)</t>
  </si>
  <si>
    <t>240383</t>
  </si>
  <si>
    <t>H00240383</t>
  </si>
  <si>
    <t>BA in Business Studies (FT)</t>
  </si>
  <si>
    <t>240384</t>
  </si>
  <si>
    <t>H00240384</t>
  </si>
  <si>
    <t>BA in Business Studies (PT)</t>
  </si>
  <si>
    <t>240387</t>
  </si>
  <si>
    <t>H00240387</t>
  </si>
  <si>
    <t>HND in Legal Studies (FT)</t>
  </si>
  <si>
    <t>240389</t>
  </si>
  <si>
    <t>H00240389</t>
  </si>
  <si>
    <t>LLB (Hons) (FT)</t>
  </si>
  <si>
    <t>240390</t>
  </si>
  <si>
    <t>H00240390</t>
  </si>
  <si>
    <t>LLB (FT)</t>
  </si>
  <si>
    <t>240391</t>
  </si>
  <si>
    <t>H00240391</t>
  </si>
  <si>
    <t>LLB (PT)</t>
  </si>
  <si>
    <t>240392</t>
  </si>
  <si>
    <t>H00240392</t>
  </si>
  <si>
    <t>BA (Hons) in Management (FT)</t>
  </si>
  <si>
    <t>240397</t>
  </si>
  <si>
    <t>H00240397</t>
  </si>
  <si>
    <t>BA (Hons) Criminology and Criminal Justice</t>
  </si>
  <si>
    <t>240399</t>
  </si>
  <si>
    <t>H00240399</t>
  </si>
  <si>
    <t>BA in Graphic Design</t>
  </si>
  <si>
    <t>240400</t>
  </si>
  <si>
    <t>H00240400</t>
  </si>
  <si>
    <t>BA (Hons) in English Language &amp; Literary Studies (FT)</t>
  </si>
  <si>
    <t>240431</t>
  </si>
  <si>
    <t>H00240431</t>
  </si>
  <si>
    <t>BSc in Animal Science and Welfare</t>
  </si>
  <si>
    <t>240442</t>
  </si>
  <si>
    <t>H00240442</t>
  </si>
  <si>
    <t>Applied Biology (Combination Degree)</t>
  </si>
  <si>
    <t>240472</t>
  </si>
  <si>
    <t>H00240472</t>
  </si>
  <si>
    <t>HND in Social Sciences</t>
  </si>
  <si>
    <t>240473</t>
  </si>
  <si>
    <t>H00240473</t>
  </si>
  <si>
    <t>BSc in Computing</t>
  </si>
  <si>
    <t>240474</t>
  </si>
  <si>
    <t>H00240474</t>
  </si>
  <si>
    <t>BA (Hons) in Design in Wildlife Photography</t>
  </si>
  <si>
    <t>240475</t>
  </si>
  <si>
    <t>H00240475</t>
  </si>
  <si>
    <t>BA (Hons) in Hospitality Management</t>
  </si>
  <si>
    <t>240476</t>
  </si>
  <si>
    <t>H00240476</t>
  </si>
  <si>
    <t>BA (Hons) in Hospitality Management (International Hotel Management)</t>
  </si>
  <si>
    <t>240477</t>
  </si>
  <si>
    <t>H00240477</t>
  </si>
  <si>
    <t>BA (Hons) in Hospitality Management (Tourism)</t>
  </si>
  <si>
    <t>240478</t>
  </si>
  <si>
    <t>H00240478</t>
  </si>
  <si>
    <t>BA (Hons) in Design</t>
  </si>
  <si>
    <t>240480</t>
  </si>
  <si>
    <t>H00240480</t>
  </si>
  <si>
    <t>240481</t>
  </si>
  <si>
    <t>H00240481</t>
  </si>
  <si>
    <t>PGCE Post Compulsory Education &amp; Training</t>
  </si>
  <si>
    <t>240491</t>
  </si>
  <si>
    <t>H00240491</t>
  </si>
  <si>
    <t>BEng Mechatronics</t>
  </si>
  <si>
    <t>240493</t>
  </si>
  <si>
    <t>H00240493</t>
  </si>
  <si>
    <t>BSc in Mechanical &amp; Production Engineering</t>
  </si>
  <si>
    <t>240503</t>
  </si>
  <si>
    <t>H00240503</t>
  </si>
  <si>
    <t>BA (Hons) in Post Compulsory Education</t>
  </si>
  <si>
    <t>240504</t>
  </si>
  <si>
    <t>H00240504</t>
  </si>
  <si>
    <t>Certificate of Education - Post Compulsory Education</t>
  </si>
  <si>
    <t>240583</t>
  </si>
  <si>
    <t>H00240583</t>
  </si>
  <si>
    <t>BA (Hons) in Business Management</t>
  </si>
  <si>
    <t>240588</t>
  </si>
  <si>
    <t>H00240588</t>
  </si>
  <si>
    <t>BA (Hons) in Illustration</t>
  </si>
  <si>
    <t>240608</t>
  </si>
  <si>
    <t>H00240608</t>
  </si>
  <si>
    <t>BA (Hons) in Photography</t>
  </si>
  <si>
    <t>240638</t>
  </si>
  <si>
    <t>H00240638</t>
  </si>
  <si>
    <t>HND in Graphic Design (Illustration)</t>
  </si>
  <si>
    <t>240639</t>
  </si>
  <si>
    <t>H00240639</t>
  </si>
  <si>
    <t>HND in 3D Design</t>
  </si>
  <si>
    <t>240662</t>
  </si>
  <si>
    <t>H00240662</t>
  </si>
  <si>
    <t>BA in Behavioural Studies</t>
  </si>
  <si>
    <t>240688</t>
  </si>
  <si>
    <t>H00240688</t>
  </si>
  <si>
    <t>BA (Hons) in Textile for Fashion</t>
  </si>
  <si>
    <t>240691</t>
  </si>
  <si>
    <t>H00240691</t>
  </si>
  <si>
    <t>Certificate in Education (CertEd)</t>
  </si>
  <si>
    <t>240697</t>
  </si>
  <si>
    <t>H00240697</t>
  </si>
  <si>
    <t>HND in Sport &amp; Exercise Science</t>
  </si>
  <si>
    <t>240698</t>
  </si>
  <si>
    <t>H00240698</t>
  </si>
  <si>
    <t>HND in Sports Science</t>
  </si>
  <si>
    <t>240701</t>
  </si>
  <si>
    <t>H00240701</t>
  </si>
  <si>
    <t>BA (Hons) in Management and Administration</t>
  </si>
  <si>
    <t>240768</t>
  </si>
  <si>
    <t>H00240768</t>
  </si>
  <si>
    <t>240772</t>
  </si>
  <si>
    <t>H00240772</t>
  </si>
  <si>
    <t>BSc in Quality Management</t>
  </si>
  <si>
    <t>240841</t>
  </si>
  <si>
    <t>H00240841</t>
  </si>
  <si>
    <t>BA in Media Studies (ACCRO)</t>
  </si>
  <si>
    <t>240855</t>
  </si>
  <si>
    <t>H00240855</t>
  </si>
  <si>
    <t>MA in Public History (RUSKN)</t>
  </si>
  <si>
    <t>240856</t>
  </si>
  <si>
    <t>H00240856</t>
  </si>
  <si>
    <t>DipHE in Social Change (RUSKN)</t>
  </si>
  <si>
    <t>240878</t>
  </si>
  <si>
    <t>H00240878</t>
  </si>
  <si>
    <t>240882</t>
  </si>
  <si>
    <t>H00240882</t>
  </si>
  <si>
    <t>BA (Hons) in Applied Social Science</t>
  </si>
  <si>
    <t>240889</t>
  </si>
  <si>
    <t>H00240889</t>
  </si>
  <si>
    <t>HND in Music Production</t>
  </si>
  <si>
    <t>240890</t>
  </si>
  <si>
    <t>H00240890</t>
  </si>
  <si>
    <t>HND in Music Performance</t>
  </si>
  <si>
    <t>240967</t>
  </si>
  <si>
    <t>H00240967</t>
  </si>
  <si>
    <t>240968</t>
  </si>
  <si>
    <t>H00240968</t>
  </si>
  <si>
    <t>BA (Hons) Photography</t>
  </si>
  <si>
    <t>240969</t>
  </si>
  <si>
    <t>H00240969</t>
  </si>
  <si>
    <t>BA (Hons) in Scientific and Natural History Illustration</t>
  </si>
  <si>
    <t>240970</t>
  </si>
  <si>
    <t>H00240970</t>
  </si>
  <si>
    <t>BA (Hons) in Technical and Information Illustration</t>
  </si>
  <si>
    <t>240985</t>
  </si>
  <si>
    <t>H00240985</t>
  </si>
  <si>
    <t>HND in 3D Design Craft</t>
  </si>
  <si>
    <t>240986</t>
  </si>
  <si>
    <t>H00240986</t>
  </si>
  <si>
    <t>BA in Business Management</t>
  </si>
  <si>
    <t>240993</t>
  </si>
  <si>
    <t>H00240993</t>
  </si>
  <si>
    <t>BSc in Health &amp; Social Care</t>
  </si>
  <si>
    <t>240995</t>
  </si>
  <si>
    <t>H00240995</t>
  </si>
  <si>
    <t>BSc in Learning Disabilities</t>
  </si>
  <si>
    <t>241022</t>
  </si>
  <si>
    <t>H00241022</t>
  </si>
  <si>
    <t>HNC in Forensic Science and Law</t>
  </si>
  <si>
    <t>241024</t>
  </si>
  <si>
    <t>H00241024</t>
  </si>
  <si>
    <t>PGCE in Art &amp; Design</t>
  </si>
  <si>
    <t>241032</t>
  </si>
  <si>
    <t>H00241032</t>
  </si>
  <si>
    <t>BA (Hons) in Marketing &amp; Sales</t>
  </si>
  <si>
    <t>241035</t>
  </si>
  <si>
    <t>H00241035</t>
  </si>
  <si>
    <t>BA (Hons) in Psychology &amp; Management</t>
  </si>
  <si>
    <t>241037</t>
  </si>
  <si>
    <t>H00241037</t>
  </si>
  <si>
    <t>BA (Hons) in Fashion Design</t>
  </si>
  <si>
    <t>241050</t>
  </si>
  <si>
    <t>H00241050</t>
  </si>
  <si>
    <t>New Media Design - Foundation Award</t>
  </si>
  <si>
    <t>241057</t>
  </si>
  <si>
    <t>H00241057</t>
  </si>
  <si>
    <t>MA in Youth &amp; Community Development</t>
  </si>
  <si>
    <t>241059</t>
  </si>
  <si>
    <t>H00241059</t>
  </si>
  <si>
    <t>BA (Hons) in Early Childhood Studies</t>
  </si>
  <si>
    <t>241060</t>
  </si>
  <si>
    <t>H00241060</t>
  </si>
  <si>
    <t>DipHE in Counselling &amp; Human Relations</t>
  </si>
  <si>
    <t>241065</t>
  </si>
  <si>
    <t>H00241065</t>
  </si>
  <si>
    <t>HND in Law</t>
  </si>
  <si>
    <t>241066</t>
  </si>
  <si>
    <t>H00241066</t>
  </si>
  <si>
    <t>Foundation Degree in Automotive Engineering with Motorsport</t>
  </si>
  <si>
    <t>241068</t>
  </si>
  <si>
    <t>H00241068</t>
  </si>
  <si>
    <t>HNC in Graphic Design</t>
  </si>
  <si>
    <t>241071</t>
  </si>
  <si>
    <t>H00241071</t>
  </si>
  <si>
    <t>Foundation Degree in Business Administration</t>
  </si>
  <si>
    <t>241072</t>
  </si>
  <si>
    <t>H00241072</t>
  </si>
  <si>
    <t>HNC in Spatial Design</t>
  </si>
  <si>
    <t>241076</t>
  </si>
  <si>
    <t>H00241076</t>
  </si>
  <si>
    <t>PGD in Biomedical Science</t>
  </si>
  <si>
    <t>241077</t>
  </si>
  <si>
    <t>H00241077</t>
  </si>
  <si>
    <t>MSc in Biomedical Science</t>
  </si>
  <si>
    <t>241088</t>
  </si>
  <si>
    <t>H00241088</t>
  </si>
  <si>
    <t>BSc (Hons) in Land Management &amp; Technology</t>
  </si>
  <si>
    <t>241089</t>
  </si>
  <si>
    <t>H00241089</t>
  </si>
  <si>
    <t>BSc (Hons) in Animal Management</t>
  </si>
  <si>
    <t>241091</t>
  </si>
  <si>
    <t>H00241091</t>
  </si>
  <si>
    <t>BA (Hons) in Counselling</t>
  </si>
  <si>
    <t>241092</t>
  </si>
  <si>
    <t>H00241092</t>
  </si>
  <si>
    <t>BSc (Hons) in Construction Management</t>
  </si>
  <si>
    <t>241094</t>
  </si>
  <si>
    <t>H00241094</t>
  </si>
  <si>
    <t>HND in Media (Moving Image)</t>
  </si>
  <si>
    <t>241098</t>
  </si>
  <si>
    <t>H00241098</t>
  </si>
  <si>
    <t>Foundation Degree in Technology</t>
  </si>
  <si>
    <t>241100</t>
  </si>
  <si>
    <t>H00241100</t>
  </si>
  <si>
    <t>FdA Teaching and Learning Support</t>
  </si>
  <si>
    <t>241101</t>
  </si>
  <si>
    <t>H00241101</t>
  </si>
  <si>
    <t>Foundation Degree in Digital Media Production</t>
  </si>
  <si>
    <t>241105</t>
  </si>
  <si>
    <t>H00241105</t>
  </si>
  <si>
    <t>Foundation Degree in Multimedia and Web Design</t>
  </si>
  <si>
    <t>241112</t>
  </si>
  <si>
    <t>H00241112</t>
  </si>
  <si>
    <t>DipHE in Business Information Technology</t>
  </si>
  <si>
    <t>241125</t>
  </si>
  <si>
    <t>H00241125</t>
  </si>
  <si>
    <t>BA (Hons) in Music Production</t>
  </si>
  <si>
    <t>241126</t>
  </si>
  <si>
    <t>H00241126</t>
  </si>
  <si>
    <t>MA in Women's Studies</t>
  </si>
  <si>
    <t>241127</t>
  </si>
  <si>
    <t>H00241127</t>
  </si>
  <si>
    <t>Foundation Degree in Land-based Studies</t>
  </si>
  <si>
    <t>241135</t>
  </si>
  <si>
    <t>H00241135</t>
  </si>
  <si>
    <t>HNC in Civil Engineering</t>
  </si>
  <si>
    <t>241136</t>
  </si>
  <si>
    <t>H00241136</t>
  </si>
  <si>
    <t>HND in Civil Engineering</t>
  </si>
  <si>
    <t>241137</t>
  </si>
  <si>
    <t>H00241137</t>
  </si>
  <si>
    <t>HNC in Construction</t>
  </si>
  <si>
    <t>241138</t>
  </si>
  <si>
    <t>H00241138</t>
  </si>
  <si>
    <t>HND in Construction</t>
  </si>
  <si>
    <t>241145</t>
  </si>
  <si>
    <t>H00241145</t>
  </si>
  <si>
    <t>Foundation Degree in Pre-16 Learning and Teaching Support</t>
  </si>
  <si>
    <t>241146</t>
  </si>
  <si>
    <t>H00241146</t>
  </si>
  <si>
    <t>Foundation Degree in Information Communications Enabling Technologies</t>
  </si>
  <si>
    <t>241152</t>
  </si>
  <si>
    <t>H00241152</t>
  </si>
  <si>
    <t>Foundation Degree in Equine Studies</t>
  </si>
  <si>
    <t>241160</t>
  </si>
  <si>
    <t>H00241160</t>
  </si>
  <si>
    <t>Foundation Degree in Multimedia</t>
  </si>
  <si>
    <t>241162</t>
  </si>
  <si>
    <t>H00241162</t>
  </si>
  <si>
    <t>241165</t>
  </si>
  <si>
    <t>H00241165</t>
  </si>
  <si>
    <t>Foundation Degree in Health Related Exercise and Fitness</t>
  </si>
  <si>
    <t>243000</t>
  </si>
  <si>
    <t>H00243000</t>
  </si>
  <si>
    <t>Foundation Degree in Construction</t>
  </si>
  <si>
    <t>243003</t>
  </si>
  <si>
    <t>H00243003</t>
  </si>
  <si>
    <t>BSc (Hons) Life Sciences</t>
  </si>
  <si>
    <t>243004</t>
  </si>
  <si>
    <t>H00243004</t>
  </si>
  <si>
    <t>BSc (Hons) Psychology</t>
  </si>
  <si>
    <t>243005</t>
  </si>
  <si>
    <t>H00243005</t>
  </si>
  <si>
    <t>Foundation Degree in Personal Training and Fitness</t>
  </si>
  <si>
    <t>243007</t>
  </si>
  <si>
    <t>H00243007</t>
  </si>
  <si>
    <t>Agricultural Management</t>
  </si>
  <si>
    <t>243012</t>
  </si>
  <si>
    <t>H00243012</t>
  </si>
  <si>
    <t>Foundation Degree in Countryside Management</t>
  </si>
  <si>
    <t>243014</t>
  </si>
  <si>
    <t>H00243014</t>
  </si>
  <si>
    <t>Golf Course Management</t>
  </si>
  <si>
    <t>243015</t>
  </si>
  <si>
    <t>H00243015</t>
  </si>
  <si>
    <t>Foundation Degree in Golf Course Management</t>
  </si>
  <si>
    <t>243017</t>
  </si>
  <si>
    <t>H00243017</t>
  </si>
  <si>
    <t>Landscape and Garden Design</t>
  </si>
  <si>
    <t>243019</t>
  </si>
  <si>
    <t>H00243019</t>
  </si>
  <si>
    <t>Foundation Degree in Landscape and Garden Design</t>
  </si>
  <si>
    <t>243023</t>
  </si>
  <si>
    <t>H00243023</t>
  </si>
  <si>
    <t>Foundation Degree in Animal Science</t>
  </si>
  <si>
    <t>243030</t>
  </si>
  <si>
    <t>H00243030</t>
  </si>
  <si>
    <t>Foundation Degree in Tourism &amp; Hospitality Business Management</t>
  </si>
  <si>
    <t>243032</t>
  </si>
  <si>
    <t>H00243032</t>
  </si>
  <si>
    <t>243033</t>
  </si>
  <si>
    <t>H00243033</t>
  </si>
  <si>
    <t>Foundation Degree in Positive Practice in Childcare</t>
  </si>
  <si>
    <t>243034</t>
  </si>
  <si>
    <t>H00243034</t>
  </si>
  <si>
    <t>Foundation Degree in Learning Support</t>
  </si>
  <si>
    <t>243035</t>
  </si>
  <si>
    <t>H00243035</t>
  </si>
  <si>
    <t>Foundation Degree for Teaching Assistants in Educational Studies</t>
  </si>
  <si>
    <t>243042</t>
  </si>
  <si>
    <t>H00243042</t>
  </si>
  <si>
    <t>DipHE in Operating Department Practice</t>
  </si>
  <si>
    <t>243043</t>
  </si>
  <si>
    <t>H00243043</t>
  </si>
  <si>
    <t>BA (Hons) in Digital Media Production</t>
  </si>
  <si>
    <t>243045</t>
  </si>
  <si>
    <t>H00243045</t>
  </si>
  <si>
    <t>Foundation Degree in Health and Social Care</t>
  </si>
  <si>
    <t>243046</t>
  </si>
  <si>
    <t>H00243046</t>
  </si>
  <si>
    <t>Foundation Degree in Food Manufacturing Management</t>
  </si>
  <si>
    <t>243047</t>
  </si>
  <si>
    <t>H00243047</t>
  </si>
  <si>
    <t>Foundation Degree in Professional Photography</t>
  </si>
  <si>
    <t>243054</t>
  </si>
  <si>
    <t>H00243054</t>
  </si>
  <si>
    <t>BSc (Hons) in Clinical Physiology</t>
  </si>
  <si>
    <t>243057</t>
  </si>
  <si>
    <t>H00243057</t>
  </si>
  <si>
    <t>Foundation Degree in Hospitality Business Management</t>
  </si>
  <si>
    <t>243060</t>
  </si>
  <si>
    <t>H00243060</t>
  </si>
  <si>
    <t>Certificate in Food Technology</t>
  </si>
  <si>
    <t>243064</t>
  </si>
  <si>
    <t>H00243064</t>
  </si>
  <si>
    <t>Foundation Degree in Educare and Early Childhood</t>
  </si>
  <si>
    <t>243066</t>
  </si>
  <si>
    <t>H00243066</t>
  </si>
  <si>
    <t>Foundation Degree in Culinary Arts</t>
  </si>
  <si>
    <t>243067</t>
  </si>
  <si>
    <t>H00243067</t>
  </si>
  <si>
    <t>Foundation Degree in Public Services</t>
  </si>
  <si>
    <t>243068</t>
  </si>
  <si>
    <t>H00243068</t>
  </si>
  <si>
    <t>Foundation Degree in Hospitality Management</t>
  </si>
  <si>
    <t>243071</t>
  </si>
  <si>
    <t>H00243071</t>
  </si>
  <si>
    <t>Foundation Degree in Creative Arts</t>
  </si>
  <si>
    <t>243072</t>
  </si>
  <si>
    <t>H00243072</t>
  </si>
  <si>
    <t>Foundation Degree in Performing Arts</t>
  </si>
  <si>
    <t>243073</t>
  </si>
  <si>
    <t>H00243073</t>
  </si>
  <si>
    <t>Foundation Degree in Fashion and Theatre Costume Interpretation</t>
  </si>
  <si>
    <t>243075</t>
  </si>
  <si>
    <t>H00243075</t>
  </si>
  <si>
    <t>243076</t>
  </si>
  <si>
    <t>H00243076</t>
  </si>
  <si>
    <t>Foundation Degree in Business</t>
  </si>
  <si>
    <t>243077</t>
  </si>
  <si>
    <t>H00243077</t>
  </si>
  <si>
    <t>BA in Digital Arts</t>
  </si>
  <si>
    <t>243078</t>
  </si>
  <si>
    <t>H00243078</t>
  </si>
  <si>
    <t>BA/BSC (Hons) in Computer Studies</t>
  </si>
  <si>
    <t>243080</t>
  </si>
  <si>
    <t>H00243080</t>
  </si>
  <si>
    <t>Foundation Degree in Computer Games Production</t>
  </si>
  <si>
    <t>243083</t>
  </si>
  <si>
    <t>H00243083</t>
  </si>
  <si>
    <t>Foundation Degree in Business and Management</t>
  </si>
  <si>
    <t>243084</t>
  </si>
  <si>
    <t>H00243084</t>
  </si>
  <si>
    <t>Foundation Degree in Accounting and Business Studies</t>
  </si>
  <si>
    <t>243085</t>
  </si>
  <si>
    <t>H00243085</t>
  </si>
  <si>
    <t>Foundation Degree in Applied Microbiology</t>
  </si>
  <si>
    <t>243086</t>
  </si>
  <si>
    <t>H00243086</t>
  </si>
  <si>
    <t>Foundation Degree in Health and Physical Recreation</t>
  </si>
  <si>
    <t>243090</t>
  </si>
  <si>
    <t>H00243090</t>
  </si>
  <si>
    <t>Foundation Degree in Music Technology</t>
  </si>
  <si>
    <t>243094</t>
  </si>
  <si>
    <t>H00243094</t>
  </si>
  <si>
    <t>BA (Hons) in Sports Management with Business Administration</t>
  </si>
  <si>
    <t>243096</t>
  </si>
  <si>
    <t>H00243096</t>
  </si>
  <si>
    <t>BA (Hons) in TV and Video Production</t>
  </si>
  <si>
    <t>243101</t>
  </si>
  <si>
    <t>H00243101</t>
  </si>
  <si>
    <t>BA (Hons) in Social Sciences</t>
  </si>
  <si>
    <t>243103</t>
  </si>
  <si>
    <t>H00243103</t>
  </si>
  <si>
    <t>Foundation Degree in Business Management</t>
  </si>
  <si>
    <t>243104</t>
  </si>
  <si>
    <t>H00243104</t>
  </si>
  <si>
    <t>Foundation Degree in Public Sector Management</t>
  </si>
  <si>
    <t>243106</t>
  </si>
  <si>
    <t>H00243106</t>
  </si>
  <si>
    <t>Foundation Degree in Leisure Management</t>
  </si>
  <si>
    <t>243107</t>
  </si>
  <si>
    <t>H00243107</t>
  </si>
  <si>
    <t>Foundation Degree in Tourism Management</t>
  </si>
  <si>
    <t>243112</t>
  </si>
  <si>
    <t>H00243112</t>
  </si>
  <si>
    <t>Post Graduate Certificate in Education (PGCE)</t>
  </si>
  <si>
    <t>243113</t>
  </si>
  <si>
    <t>H00243113</t>
  </si>
  <si>
    <t>Foundation Degree in TV and Radio Production</t>
  </si>
  <si>
    <t>243114</t>
  </si>
  <si>
    <t>H00243114</t>
  </si>
  <si>
    <t>Foundation Degree in Design for Interactive New Media</t>
  </si>
  <si>
    <t>243115</t>
  </si>
  <si>
    <t>H00243115</t>
  </si>
  <si>
    <t>Foundation Degree in Music Production</t>
  </si>
  <si>
    <t>243116</t>
  </si>
  <si>
    <t>H00243116</t>
  </si>
  <si>
    <t>Foundation Degree in Aeronautical Engineering</t>
  </si>
  <si>
    <t>243118</t>
  </si>
  <si>
    <t>H00243118</t>
  </si>
  <si>
    <t>Foundation Degree in Electrical and Electronic Engineering</t>
  </si>
  <si>
    <t>243119</t>
  </si>
  <si>
    <t>H00243119</t>
  </si>
  <si>
    <t>Foundation Degree in Computing</t>
  </si>
  <si>
    <t>243122</t>
  </si>
  <si>
    <t>H00243122</t>
  </si>
  <si>
    <t>Foundation Degree in Network Computing</t>
  </si>
  <si>
    <t>243129</t>
  </si>
  <si>
    <t>H00243129</t>
  </si>
  <si>
    <t>BA (Hons) in Fine Art</t>
  </si>
  <si>
    <t>243138</t>
  </si>
  <si>
    <t>H00243138</t>
  </si>
  <si>
    <t>Diploma in Management Studies</t>
  </si>
  <si>
    <t>243142</t>
  </si>
  <si>
    <t>H00243142</t>
  </si>
  <si>
    <t>Foundation Degree in Coastal Conservation with Marine Biology</t>
  </si>
  <si>
    <t>243144</t>
  </si>
  <si>
    <t>H00243144</t>
  </si>
  <si>
    <t>FdA Criminology and Criminal Justice</t>
  </si>
  <si>
    <t>243145</t>
  </si>
  <si>
    <t>H00243145</t>
  </si>
  <si>
    <t>Foundation Degree in Spatial Design (Interior and Landscape)</t>
  </si>
  <si>
    <t>243146</t>
  </si>
  <si>
    <t>H00243146</t>
  </si>
  <si>
    <t>Foundation Degree in Applied Ornithology</t>
  </si>
  <si>
    <t>243147</t>
  </si>
  <si>
    <t>H00243147</t>
  </si>
  <si>
    <t>Foundation Degree in Equine Management</t>
  </si>
  <si>
    <t>243148</t>
  </si>
  <si>
    <t>H00243148</t>
  </si>
  <si>
    <t>Foundation Degree in Wildlife and Countryside Conservation</t>
  </si>
  <si>
    <t>243149</t>
  </si>
  <si>
    <t>H00243149</t>
  </si>
  <si>
    <t>Foundation Degree in Animal Management and Behaviour</t>
  </si>
  <si>
    <t>243150</t>
  </si>
  <si>
    <t>H00243150</t>
  </si>
  <si>
    <t>Foundation Degree in Sport and Adventure Management</t>
  </si>
  <si>
    <t>243151</t>
  </si>
  <si>
    <t>H00243151</t>
  </si>
  <si>
    <t>Foundation Degree in Agriculture</t>
  </si>
  <si>
    <t>243152</t>
  </si>
  <si>
    <t>H00243152</t>
  </si>
  <si>
    <t>BSc (Hons) in Wildlife and Countryside Conservation</t>
  </si>
  <si>
    <t>243153</t>
  </si>
  <si>
    <t>H00243153</t>
  </si>
  <si>
    <t>BSc (Hons) in Animal Science and Management</t>
  </si>
  <si>
    <t>243154</t>
  </si>
  <si>
    <t>H00243154</t>
  </si>
  <si>
    <t>BSc (Hons) in Equine Science and Management</t>
  </si>
  <si>
    <t>243155</t>
  </si>
  <si>
    <t>H00243155</t>
  </si>
  <si>
    <t>BSc (Hons) in Applied Animal Behaviour and Training</t>
  </si>
  <si>
    <t>243168</t>
  </si>
  <si>
    <t>H00243168</t>
  </si>
  <si>
    <t>BA in Professional Writing</t>
  </si>
  <si>
    <t>243177</t>
  </si>
  <si>
    <t>H00243177</t>
  </si>
  <si>
    <t>Foundation Degree in Communication at Work</t>
  </si>
  <si>
    <t>243178</t>
  </si>
  <si>
    <t>H00243178</t>
  </si>
  <si>
    <t>Foundation Degree in Logistics</t>
  </si>
  <si>
    <t>243179</t>
  </si>
  <si>
    <t>H00243179</t>
  </si>
  <si>
    <t>Foundation Degree in World Class Manufacturing</t>
  </si>
  <si>
    <t>243180</t>
  </si>
  <si>
    <t>H00243180</t>
  </si>
  <si>
    <t>BA in English Studies</t>
  </si>
  <si>
    <t>243181</t>
  </si>
  <si>
    <t>H00243181</t>
  </si>
  <si>
    <t>BA (Hons) in Fine and Applied Arts</t>
  </si>
  <si>
    <t>243182</t>
  </si>
  <si>
    <t>H00243182</t>
  </si>
  <si>
    <t>Foundation Degree in Theatre Arts</t>
  </si>
  <si>
    <t>243187</t>
  </si>
  <si>
    <t>H00243187</t>
  </si>
  <si>
    <t>243189</t>
  </si>
  <si>
    <t>H00243189</t>
  </si>
  <si>
    <t>Foundation Degree in Textile Design</t>
  </si>
  <si>
    <t>243192</t>
  </si>
  <si>
    <t>H00243192</t>
  </si>
  <si>
    <t>BEng (Hons) in Industrial Systems Engineering</t>
  </si>
  <si>
    <t>243195</t>
  </si>
  <si>
    <t>H00243195</t>
  </si>
  <si>
    <t>DipHE in Psychodynamic Counselling</t>
  </si>
  <si>
    <t>243198</t>
  </si>
  <si>
    <t>H00243198</t>
  </si>
  <si>
    <t>BSc (Hons) in Forensic Science (with a Foundation Year)</t>
  </si>
  <si>
    <t>243199</t>
  </si>
  <si>
    <t>H00243199</t>
  </si>
  <si>
    <t>BSc (Hons) in Applied Biology (with a Foundation Year)</t>
  </si>
  <si>
    <t>243202</t>
  </si>
  <si>
    <t>H00243202</t>
  </si>
  <si>
    <t>BSc (Hons) in Computer Science</t>
  </si>
  <si>
    <t>243206</t>
  </si>
  <si>
    <t>H00243206</t>
  </si>
  <si>
    <t>BEng (Hons) in Electrical Engineering</t>
  </si>
  <si>
    <t>243209</t>
  </si>
  <si>
    <t>H00243209</t>
  </si>
  <si>
    <t>243212</t>
  </si>
  <si>
    <t>H00243212</t>
  </si>
  <si>
    <t>243216</t>
  </si>
  <si>
    <t>H00243216</t>
  </si>
  <si>
    <t>243218</t>
  </si>
  <si>
    <t>H00243218</t>
  </si>
  <si>
    <t>HNC in Mechanical Engineering</t>
  </si>
  <si>
    <t>243221</t>
  </si>
  <si>
    <t>H00243221</t>
  </si>
  <si>
    <t>243223</t>
  </si>
  <si>
    <t>H00243223</t>
  </si>
  <si>
    <t>Foundation Degree in Sports Therapy</t>
  </si>
  <si>
    <t>243224</t>
  </si>
  <si>
    <t>H00243224</t>
  </si>
  <si>
    <t>Foundation Degree in TV and Film Production</t>
  </si>
  <si>
    <t>243225</t>
  </si>
  <si>
    <t>H00243225</t>
  </si>
  <si>
    <t>Foundation Degree in Graphic Design</t>
  </si>
  <si>
    <t>243226</t>
  </si>
  <si>
    <t>H00243226</t>
  </si>
  <si>
    <t>BSc (Hons) in Veterinary Nursing Science</t>
  </si>
  <si>
    <t>243227</t>
  </si>
  <si>
    <t>H00243227</t>
  </si>
  <si>
    <t>MA in Archaeological Illustration</t>
  </si>
  <si>
    <t>243228</t>
  </si>
  <si>
    <t>H00243228</t>
  </si>
  <si>
    <t>243230</t>
  </si>
  <si>
    <t>H00243230</t>
  </si>
  <si>
    <t>BA (Hons) in New Media</t>
  </si>
  <si>
    <t>243232</t>
  </si>
  <si>
    <t>H00243232</t>
  </si>
  <si>
    <t>BA (Hons) in Sequential Illustration</t>
  </si>
  <si>
    <t>243233</t>
  </si>
  <si>
    <t>H00243233</t>
  </si>
  <si>
    <t>243234</t>
  </si>
  <si>
    <t>H00243234</t>
  </si>
  <si>
    <t>243235</t>
  </si>
  <si>
    <t>H00243235</t>
  </si>
  <si>
    <t>Foundation Degree in Early Years</t>
  </si>
  <si>
    <t>243236</t>
  </si>
  <si>
    <t>H00243236</t>
  </si>
  <si>
    <t>Foundation Degree in Science</t>
  </si>
  <si>
    <t>243238</t>
  </si>
  <si>
    <t>H00243238</t>
  </si>
  <si>
    <t>Foundation Degree in Early Childhood Studies</t>
  </si>
  <si>
    <t>243239</t>
  </si>
  <si>
    <t>H00243239</t>
  </si>
  <si>
    <t>Foundation Degree in Holistic Therapies</t>
  </si>
  <si>
    <t>243240</t>
  </si>
  <si>
    <t>H00243240</t>
  </si>
  <si>
    <t>243242</t>
  </si>
  <si>
    <t>H00243242</t>
  </si>
  <si>
    <t>Foundation Degree in Business and Event Management</t>
  </si>
  <si>
    <t>243245</t>
  </si>
  <si>
    <t>H00243245</t>
  </si>
  <si>
    <t>243251</t>
  </si>
  <si>
    <t>H00243251</t>
  </si>
  <si>
    <t>243258</t>
  </si>
  <si>
    <t>H00243258</t>
  </si>
  <si>
    <t>BA Combined Honours (LINCS)</t>
  </si>
  <si>
    <t>243260</t>
  </si>
  <si>
    <t>H00243260</t>
  </si>
  <si>
    <t>HNC in Telecommunications</t>
  </si>
  <si>
    <t>243261</t>
  </si>
  <si>
    <t>H00243261</t>
  </si>
  <si>
    <t>243262</t>
  </si>
  <si>
    <t>H00243262</t>
  </si>
  <si>
    <t>Foundation Degree in Travel and Tourism Management</t>
  </si>
  <si>
    <t>243264</t>
  </si>
  <si>
    <t>H00243264</t>
  </si>
  <si>
    <t>BA (Hons) in Social Work</t>
  </si>
  <si>
    <t>243265</t>
  </si>
  <si>
    <t>H00243265</t>
  </si>
  <si>
    <t>University Certificate in Information Technology</t>
  </si>
  <si>
    <t>243266</t>
  </si>
  <si>
    <t>H00243266</t>
  </si>
  <si>
    <t>University Advanced Certificate in Information Technology</t>
  </si>
  <si>
    <t>243272</t>
  </si>
  <si>
    <t>H00243272</t>
  </si>
  <si>
    <t>BA (Hons) in Accounting and Finance</t>
  </si>
  <si>
    <t>243273</t>
  </si>
  <si>
    <t>H00243273</t>
  </si>
  <si>
    <t>Foundation Degree in Enterprise Computing</t>
  </si>
  <si>
    <t>243276</t>
  </si>
  <si>
    <t>H00243276</t>
  </si>
  <si>
    <t>243277</t>
  </si>
  <si>
    <t>H00243277</t>
  </si>
  <si>
    <t>HNC in Multimedia</t>
  </si>
  <si>
    <t>243278</t>
  </si>
  <si>
    <t>H00243278</t>
  </si>
  <si>
    <t>243286</t>
  </si>
  <si>
    <t>H00243286</t>
  </si>
  <si>
    <t>BA in Fine Art for Design</t>
  </si>
  <si>
    <t>243287</t>
  </si>
  <si>
    <t>H00243287</t>
  </si>
  <si>
    <t>BA in Photography</t>
  </si>
  <si>
    <t>243291</t>
  </si>
  <si>
    <t>H00243291</t>
  </si>
  <si>
    <t>BA (Hons) in Business Management - Conversion</t>
  </si>
  <si>
    <t>243292</t>
  </si>
  <si>
    <t>H00243292</t>
  </si>
  <si>
    <t>Foundation Degree in Applied Technology</t>
  </si>
  <si>
    <t>243293</t>
  </si>
  <si>
    <t>H00243293</t>
  </si>
  <si>
    <t>Foundation Degree in Care Management</t>
  </si>
  <si>
    <t>243294</t>
  </si>
  <si>
    <t>H00243294</t>
  </si>
  <si>
    <t>HND in Sports Performance and Coaching</t>
  </si>
  <si>
    <t>243295</t>
  </si>
  <si>
    <t>H00243295</t>
  </si>
  <si>
    <t>Foundation Degree for Teaching Assistants</t>
  </si>
  <si>
    <t>243297</t>
  </si>
  <si>
    <t>H00243297</t>
  </si>
  <si>
    <t>BSc (Hons) in Psychology (with a foundation year)</t>
  </si>
  <si>
    <t>243301</t>
  </si>
  <si>
    <t>H00243301</t>
  </si>
  <si>
    <t>HND in Internet Technology</t>
  </si>
  <si>
    <t>243302</t>
  </si>
  <si>
    <t>H00243302</t>
  </si>
  <si>
    <t>Foundation Degree in Management with Business</t>
  </si>
  <si>
    <t>243305</t>
  </si>
  <si>
    <t>H00243305</t>
  </si>
  <si>
    <t>243306</t>
  </si>
  <si>
    <t>H00243306</t>
  </si>
  <si>
    <t>BSc (Hons) in Social Work</t>
  </si>
  <si>
    <t>243313</t>
  </si>
  <si>
    <t>H00243313</t>
  </si>
  <si>
    <t>Foundation Degree in Events and Facilities Management</t>
  </si>
  <si>
    <t>243314</t>
  </si>
  <si>
    <t>H00243314</t>
  </si>
  <si>
    <t>243315</t>
  </si>
  <si>
    <t>H00243315</t>
  </si>
  <si>
    <t>BSc (Hons) in Nautical Science</t>
  </si>
  <si>
    <t>243316</t>
  </si>
  <si>
    <t>H00243316</t>
  </si>
  <si>
    <t>Diploma in Management Studies (DMS)</t>
  </si>
  <si>
    <t>243317</t>
  </si>
  <si>
    <t>H00243317</t>
  </si>
  <si>
    <t>Foundation Degree in Early Years Practice</t>
  </si>
  <si>
    <t>243318</t>
  </si>
  <si>
    <t>H00243318</t>
  </si>
  <si>
    <t>243319</t>
  </si>
  <si>
    <t>H00243319</t>
  </si>
  <si>
    <t>Foundation Degree in Construction Inspection and Control</t>
  </si>
  <si>
    <t>243321</t>
  </si>
  <si>
    <t>H00243321</t>
  </si>
  <si>
    <t>BA (Hons) in Service Sector Management</t>
  </si>
  <si>
    <t>243322</t>
  </si>
  <si>
    <t>H00243322</t>
  </si>
  <si>
    <t>243323</t>
  </si>
  <si>
    <t>H00243323</t>
  </si>
  <si>
    <t>BA (Hons) in Tourism and Business Management</t>
  </si>
  <si>
    <t>243324</t>
  </si>
  <si>
    <t>H00243324</t>
  </si>
  <si>
    <t>BA in Creative Music</t>
  </si>
  <si>
    <t>243333</t>
  </si>
  <si>
    <t>H00243333</t>
  </si>
  <si>
    <t>Foundation Degree in Health and Social Welfare</t>
  </si>
  <si>
    <t>243336</t>
  </si>
  <si>
    <t>H00243336</t>
  </si>
  <si>
    <t>243337</t>
  </si>
  <si>
    <t>H00243337</t>
  </si>
  <si>
    <t>243342</t>
  </si>
  <si>
    <t>H00243342</t>
  </si>
  <si>
    <t>BA in Social Work and Welfare Studies</t>
  </si>
  <si>
    <t>243350</t>
  </si>
  <si>
    <t>H00243350</t>
  </si>
  <si>
    <t>BA (Hons) in Education (Learning Support)</t>
  </si>
  <si>
    <t>243351</t>
  </si>
  <si>
    <t>H00243351</t>
  </si>
  <si>
    <t>Foundation Degree in Early Years (Childcare and Education)</t>
  </si>
  <si>
    <t>243355</t>
  </si>
  <si>
    <t>H00243355</t>
  </si>
  <si>
    <t>HND in Wildlife and Countryside</t>
  </si>
  <si>
    <t>243356</t>
  </si>
  <si>
    <t>H00243356</t>
  </si>
  <si>
    <t>HNC in Wildlife and Countryside</t>
  </si>
  <si>
    <t>243358</t>
  </si>
  <si>
    <t>H00243358</t>
  </si>
  <si>
    <t>Foundation Degree in Crime, Deviance and Society, Psychology and Sociology</t>
  </si>
  <si>
    <t>243361</t>
  </si>
  <si>
    <t>H00243361</t>
  </si>
  <si>
    <t>BA (Hons) in Archaeology and Landscape History</t>
  </si>
  <si>
    <t>243362</t>
  </si>
  <si>
    <t>H00243362</t>
  </si>
  <si>
    <t>BA (Hons) in Business Management and Organisation</t>
  </si>
  <si>
    <t>243363</t>
  </si>
  <si>
    <t>H00243363</t>
  </si>
  <si>
    <t>BA (Hons) in Cultural Studies</t>
  </si>
  <si>
    <t>243364</t>
  </si>
  <si>
    <t>H00243364</t>
  </si>
  <si>
    <t>BSc (Hons) in Integrated Technologies</t>
  </si>
  <si>
    <t>243366</t>
  </si>
  <si>
    <t>H00243366</t>
  </si>
  <si>
    <t>Foundation Degree in Learning Support (Secondary/FE)</t>
  </si>
  <si>
    <t>243367</t>
  </si>
  <si>
    <t>H00243367</t>
  </si>
  <si>
    <t>243370</t>
  </si>
  <si>
    <t>H00243370</t>
  </si>
  <si>
    <t>243371</t>
  </si>
  <si>
    <t>H00243371</t>
  </si>
  <si>
    <t>243373</t>
  </si>
  <si>
    <t>H00243373</t>
  </si>
  <si>
    <t>BA (Hons) in Business Management with Human Resource Management</t>
  </si>
  <si>
    <t>243375</t>
  </si>
  <si>
    <t>H00243375</t>
  </si>
  <si>
    <t>BA (Hons) in Business Management with Marketing</t>
  </si>
  <si>
    <t>243378</t>
  </si>
  <si>
    <t>H00243378</t>
  </si>
  <si>
    <t>Foundation Degree in Culinary Profession</t>
  </si>
  <si>
    <t>243380</t>
  </si>
  <si>
    <t>H00243380</t>
  </si>
  <si>
    <t>FdA History and Heritage Management Studies</t>
  </si>
  <si>
    <t>243381</t>
  </si>
  <si>
    <t>H00243381</t>
  </si>
  <si>
    <t>Foundation Degree in Working with Young People in the Community</t>
  </si>
  <si>
    <t>243382</t>
  </si>
  <si>
    <t>H00243382</t>
  </si>
  <si>
    <t>Foundation Degree in Sports Development</t>
  </si>
  <si>
    <t>243383</t>
  </si>
  <si>
    <t>H00243383</t>
  </si>
  <si>
    <t>MA in Visual Design</t>
  </si>
  <si>
    <t>243384</t>
  </si>
  <si>
    <t>H00243384</t>
  </si>
  <si>
    <t>243387</t>
  </si>
  <si>
    <t>H00243387</t>
  </si>
  <si>
    <t>PGD in Counselling</t>
  </si>
  <si>
    <t>243388</t>
  </si>
  <si>
    <t>H00243388</t>
  </si>
  <si>
    <t>Foundation Degree in Sports Coaching</t>
  </si>
  <si>
    <t>243389</t>
  </si>
  <si>
    <t>H00243389</t>
  </si>
  <si>
    <t>Foundation Degree in Sport and Recreation Management</t>
  </si>
  <si>
    <t>243395</t>
  </si>
  <si>
    <t>H00243395</t>
  </si>
  <si>
    <t>Foundation Degree in Integrated Technology</t>
  </si>
  <si>
    <t>243396</t>
  </si>
  <si>
    <t>H00243396</t>
  </si>
  <si>
    <t>243398</t>
  </si>
  <si>
    <t>H00243398</t>
  </si>
  <si>
    <t>Foundation Degree in Information Communication Technology</t>
  </si>
  <si>
    <t>243399</t>
  </si>
  <si>
    <t>H00243399</t>
  </si>
  <si>
    <t>243401</t>
  </si>
  <si>
    <t>H00243401</t>
  </si>
  <si>
    <t>Foundation Degree in Business Information Technology</t>
  </si>
  <si>
    <t>243404</t>
  </si>
  <si>
    <t>H00243404</t>
  </si>
  <si>
    <t>Foundation Degree in Sport and Exercise Development</t>
  </si>
  <si>
    <t>243405</t>
  </si>
  <si>
    <t>H00243405</t>
  </si>
  <si>
    <t>BA (Hons) in English</t>
  </si>
  <si>
    <t>243406</t>
  </si>
  <si>
    <t>H00243406</t>
  </si>
  <si>
    <t>BA (Hons) in Health and Applied Social Studies</t>
  </si>
  <si>
    <t>243407</t>
  </si>
  <si>
    <t>H00243407</t>
  </si>
  <si>
    <t>Foundation Degree in Computer Engineering</t>
  </si>
  <si>
    <t>243408</t>
  </si>
  <si>
    <t>H00243408</t>
  </si>
  <si>
    <t>243409</t>
  </si>
  <si>
    <t>H00243409</t>
  </si>
  <si>
    <t>Foundation Degree in Managing Crime and Disorder</t>
  </si>
  <si>
    <t>243410</t>
  </si>
  <si>
    <t>H00243410</t>
  </si>
  <si>
    <t>BSc (Hons) in Internet Media Technologies</t>
  </si>
  <si>
    <t>243411</t>
  </si>
  <si>
    <t>H00243411</t>
  </si>
  <si>
    <t>BSc in Information Technologies</t>
  </si>
  <si>
    <t>243412</t>
  </si>
  <si>
    <t>H00243412</t>
  </si>
  <si>
    <t>BSc (Hons) in Information Technologies</t>
  </si>
  <si>
    <t>243414</t>
  </si>
  <si>
    <t>H00243414</t>
  </si>
  <si>
    <t>Foundation Degree in Music and New Media Management</t>
  </si>
  <si>
    <t>243425</t>
  </si>
  <si>
    <t>H00243425</t>
  </si>
  <si>
    <t>243426</t>
  </si>
  <si>
    <t>H00243426</t>
  </si>
  <si>
    <t>Foundation Degree in Electrical Engineering</t>
  </si>
  <si>
    <t>243427</t>
  </si>
  <si>
    <t>H00243427</t>
  </si>
  <si>
    <t>243428</t>
  </si>
  <si>
    <t>H00243428</t>
  </si>
  <si>
    <t>243429</t>
  </si>
  <si>
    <t>H00243429</t>
  </si>
  <si>
    <t>243430</t>
  </si>
  <si>
    <t>H00243430</t>
  </si>
  <si>
    <t>243433</t>
  </si>
  <si>
    <t>H00243433</t>
  </si>
  <si>
    <t>243443</t>
  </si>
  <si>
    <t>H00243443</t>
  </si>
  <si>
    <t>BA (Hons) in Fashion Business</t>
  </si>
  <si>
    <t>243444</t>
  </si>
  <si>
    <t>H00243444</t>
  </si>
  <si>
    <t>BA (Hons) in Fine Art - Combined Media</t>
  </si>
  <si>
    <t>243445</t>
  </si>
  <si>
    <t>H00243445</t>
  </si>
  <si>
    <t>243446</t>
  </si>
  <si>
    <t>H00243446</t>
  </si>
  <si>
    <t>BA (Hons) in Photo Media</t>
  </si>
  <si>
    <t>243447</t>
  </si>
  <si>
    <t>H00243447</t>
  </si>
  <si>
    <t>BA (Hons) in Theatre Design and Practice</t>
  </si>
  <si>
    <t>243448</t>
  </si>
  <si>
    <t>H00243448</t>
  </si>
  <si>
    <t>Foundation Degree in Fashion Business</t>
  </si>
  <si>
    <t>243449</t>
  </si>
  <si>
    <t>H00243449</t>
  </si>
  <si>
    <t>Foundation Degree in Fine Art - Combined Media</t>
  </si>
  <si>
    <t>243450</t>
  </si>
  <si>
    <t>H00243450</t>
  </si>
  <si>
    <t>243452</t>
  </si>
  <si>
    <t>H00243452</t>
  </si>
  <si>
    <t>Foundation Degree in Theatre Design and Practice</t>
  </si>
  <si>
    <t>243453</t>
  </si>
  <si>
    <t>H00243453</t>
  </si>
  <si>
    <t>PGD in Human Resource Management / Development</t>
  </si>
  <si>
    <t>243454</t>
  </si>
  <si>
    <t>H00243454</t>
  </si>
  <si>
    <t>Certificate in Education (Post Compulsory Education and Training)</t>
  </si>
  <si>
    <t>243455</t>
  </si>
  <si>
    <t>H00243455</t>
  </si>
  <si>
    <t>BA (Hons) in Professional Studies in Education</t>
  </si>
  <si>
    <t>243456</t>
  </si>
  <si>
    <t>H00243456</t>
  </si>
  <si>
    <t>BA (Hons) in Business</t>
  </si>
  <si>
    <t>243457</t>
  </si>
  <si>
    <t>H00243457</t>
  </si>
  <si>
    <t>243458</t>
  </si>
  <si>
    <t>H00243458</t>
  </si>
  <si>
    <t>243459</t>
  </si>
  <si>
    <t>H00243459</t>
  </si>
  <si>
    <t>243461</t>
  </si>
  <si>
    <t>H00243461</t>
  </si>
  <si>
    <t>243462</t>
  </si>
  <si>
    <t>H00243462</t>
  </si>
  <si>
    <t>243463</t>
  </si>
  <si>
    <t>H00243463</t>
  </si>
  <si>
    <t>243464</t>
  </si>
  <si>
    <t>H00243464</t>
  </si>
  <si>
    <t>Foundation Degree in Polymer Technology</t>
  </si>
  <si>
    <t>243466</t>
  </si>
  <si>
    <t>H00243466</t>
  </si>
  <si>
    <t>Foundation Degree in Construction (Architectural Design)</t>
  </si>
  <si>
    <t>243467</t>
  </si>
  <si>
    <t>H00243467</t>
  </si>
  <si>
    <t>Foundation Degree in Construction (Quantity Surveying)</t>
  </si>
  <si>
    <t>243468</t>
  </si>
  <si>
    <t>H00243468</t>
  </si>
  <si>
    <t>HND in Sports Studies</t>
  </si>
  <si>
    <t>243470</t>
  </si>
  <si>
    <t>H00243470</t>
  </si>
  <si>
    <t>PGCE in Education (Post Compulsory)</t>
  </si>
  <si>
    <t>243475</t>
  </si>
  <si>
    <t>H00243475</t>
  </si>
  <si>
    <t>Foundation Degree in Social Care with Health</t>
  </si>
  <si>
    <t>243477</t>
  </si>
  <si>
    <t>H00243477</t>
  </si>
  <si>
    <t>Foundation Degree in Spa Management</t>
  </si>
  <si>
    <t>243485</t>
  </si>
  <si>
    <t>H00243485</t>
  </si>
  <si>
    <t>Foundation Degree in Event Management</t>
  </si>
  <si>
    <t>243499</t>
  </si>
  <si>
    <t>H00243499</t>
  </si>
  <si>
    <t>PGCE in Education (Post Compulsory Education and Training)</t>
  </si>
  <si>
    <t>243501</t>
  </si>
  <si>
    <t>H00243501</t>
  </si>
  <si>
    <t>Foundation Degree in Computer Network Management</t>
  </si>
  <si>
    <t>243508</t>
  </si>
  <si>
    <t>H00243508</t>
  </si>
  <si>
    <t>243511</t>
  </si>
  <si>
    <t>H00243511</t>
  </si>
  <si>
    <t>Foundation Degree in Musical Theatre</t>
  </si>
  <si>
    <t>243512</t>
  </si>
  <si>
    <t>H00243512</t>
  </si>
  <si>
    <t>Foundation Degree in Fashion Design and Practice</t>
  </si>
  <si>
    <t>243517</t>
  </si>
  <si>
    <t>H00243517</t>
  </si>
  <si>
    <t>Foundation Degree in Fine Art Practice</t>
  </si>
  <si>
    <t>243522</t>
  </si>
  <si>
    <t>H00243522</t>
  </si>
  <si>
    <t>Foundation Degree in Media Practice</t>
  </si>
  <si>
    <t>243524</t>
  </si>
  <si>
    <t>H00243524</t>
  </si>
  <si>
    <t>Foundation Degree in ICT (Business Applications Development)</t>
  </si>
  <si>
    <t>243528</t>
  </si>
  <si>
    <t>H00243528</t>
  </si>
  <si>
    <t>Foundation Degree in Public Services Management</t>
  </si>
  <si>
    <t>243529</t>
  </si>
  <si>
    <t>H00243529</t>
  </si>
  <si>
    <t>243534</t>
  </si>
  <si>
    <t>H00243534</t>
  </si>
  <si>
    <t>BMus (Hons) in Jazz Pop and Commercial Music</t>
  </si>
  <si>
    <t>243538</t>
  </si>
  <si>
    <t>H00243538</t>
  </si>
  <si>
    <t>Foundation Degree in Architectural and Interior Design</t>
  </si>
  <si>
    <t>243540</t>
  </si>
  <si>
    <t>H00243540</t>
  </si>
  <si>
    <t>243541</t>
  </si>
  <si>
    <t>H00243541</t>
  </si>
  <si>
    <t>Foundation Degree in Floristry Design and Innovation</t>
  </si>
  <si>
    <t>243544</t>
  </si>
  <si>
    <t>H00243544</t>
  </si>
  <si>
    <t>Foundation Degree in Food Production</t>
  </si>
  <si>
    <t>243549</t>
  </si>
  <si>
    <t>H00243549</t>
  </si>
  <si>
    <t>Foundation Degree in Health Services Management and Administration</t>
  </si>
  <si>
    <t>243553</t>
  </si>
  <si>
    <t>H00243553</t>
  </si>
  <si>
    <t>Foundation Degree in Early Years (SureStart Sector Endorsed Scheme)</t>
  </si>
  <si>
    <t>243564</t>
  </si>
  <si>
    <t>H00243564</t>
  </si>
  <si>
    <t>243565</t>
  </si>
  <si>
    <t>H00243565</t>
  </si>
  <si>
    <t>Foundation Degree in Applied Digital Media (Broadcasting)</t>
  </si>
  <si>
    <t>243566</t>
  </si>
  <si>
    <t>H00243566</t>
  </si>
  <si>
    <t>Foundation Degree in Professional Studies in Education</t>
  </si>
  <si>
    <t>243567</t>
  </si>
  <si>
    <t>H00243567</t>
  </si>
  <si>
    <t>243568</t>
  </si>
  <si>
    <t>H00243568</t>
  </si>
  <si>
    <t>BA (Hons) Combined Honours Scheme</t>
  </si>
  <si>
    <t>243569</t>
  </si>
  <si>
    <t>H00243569</t>
  </si>
  <si>
    <t>BSc (Hons) in Computing and Information Systems</t>
  </si>
  <si>
    <t>243572</t>
  </si>
  <si>
    <t>H00243572</t>
  </si>
  <si>
    <t>243573</t>
  </si>
  <si>
    <t>H00243573</t>
  </si>
  <si>
    <t>Foundation Degree in Graphic Design and Production</t>
  </si>
  <si>
    <t>243575</t>
  </si>
  <si>
    <t>H00243575</t>
  </si>
  <si>
    <t>Diploma in Business Practice</t>
  </si>
  <si>
    <t>243576</t>
  </si>
  <si>
    <t>H00243576</t>
  </si>
  <si>
    <t>Foundation Degree in Travel and Tourism</t>
  </si>
  <si>
    <t>243577</t>
  </si>
  <si>
    <t>H00243577</t>
  </si>
  <si>
    <t>243578</t>
  </si>
  <si>
    <t>H00243578</t>
  </si>
  <si>
    <t>Foundation Degree in Sports and Exercise Science</t>
  </si>
  <si>
    <t>243580</t>
  </si>
  <si>
    <t>H00243580</t>
  </si>
  <si>
    <t>243583</t>
  </si>
  <si>
    <t>H00243583</t>
  </si>
  <si>
    <t>Foundation Degree in Business Management with E-Commerce</t>
  </si>
  <si>
    <t>243585</t>
  </si>
  <si>
    <t>H00243585</t>
  </si>
  <si>
    <t>BA (Hons) in Artist Blacksmithing</t>
  </si>
  <si>
    <t>243586</t>
  </si>
  <si>
    <t>H00243586</t>
  </si>
  <si>
    <t>BA (Hons) in Contemporary Applied Arts</t>
  </si>
  <si>
    <t>243587</t>
  </si>
  <si>
    <t>H00243587</t>
  </si>
  <si>
    <t>243588</t>
  </si>
  <si>
    <t>H00243588</t>
  </si>
  <si>
    <t>Foundation Degree in Contemporary Applied Arts</t>
  </si>
  <si>
    <t>243589</t>
  </si>
  <si>
    <t>H00243589</t>
  </si>
  <si>
    <t>Foundation Degree in Fine and Applied Arts</t>
  </si>
  <si>
    <t>243590</t>
  </si>
  <si>
    <t>H00243590</t>
  </si>
  <si>
    <t>243591</t>
  </si>
  <si>
    <t>H00243591</t>
  </si>
  <si>
    <t>243592</t>
  </si>
  <si>
    <t>H00243592</t>
  </si>
  <si>
    <t>Foundation Degree in Photography</t>
  </si>
  <si>
    <t>243595</t>
  </si>
  <si>
    <t>H00243595</t>
  </si>
  <si>
    <t>243603</t>
  </si>
  <si>
    <t>H00243603</t>
  </si>
  <si>
    <t>BSc (Hons) in Multimedia Computing</t>
  </si>
  <si>
    <t>243607</t>
  </si>
  <si>
    <t>H00243607</t>
  </si>
  <si>
    <t>Certificate In Education (Post Compulsory)</t>
  </si>
  <si>
    <t>243609</t>
  </si>
  <si>
    <t>H00243609</t>
  </si>
  <si>
    <t>BSc (Hons) in Polymer Technology</t>
  </si>
  <si>
    <t>243610</t>
  </si>
  <si>
    <t>H00243610</t>
  </si>
  <si>
    <t>Foundation Degree in Applied Computing</t>
  </si>
  <si>
    <t>243611</t>
  </si>
  <si>
    <t>H00243611</t>
  </si>
  <si>
    <t>BA (Hons) in English and History</t>
  </si>
  <si>
    <t>243612</t>
  </si>
  <si>
    <t>H00243612</t>
  </si>
  <si>
    <t>BA (Hons) in Social Science</t>
  </si>
  <si>
    <t>243613</t>
  </si>
  <si>
    <t>H00243613</t>
  </si>
  <si>
    <t>HND in Business Studies</t>
  </si>
  <si>
    <t>243614</t>
  </si>
  <si>
    <t>H00243614</t>
  </si>
  <si>
    <t>243615</t>
  </si>
  <si>
    <t>H00243615</t>
  </si>
  <si>
    <t>Foundation Degree in Counselling</t>
  </si>
  <si>
    <t>243616</t>
  </si>
  <si>
    <t>H00243616</t>
  </si>
  <si>
    <t>Foundation Degree in Small Business Enterprise</t>
  </si>
  <si>
    <t>243625</t>
  </si>
  <si>
    <t>H00243625</t>
  </si>
  <si>
    <t>Foundation Degree in Veterinary Nursing with Practice Management</t>
  </si>
  <si>
    <t>243626</t>
  </si>
  <si>
    <t>H00243626</t>
  </si>
  <si>
    <t>BA (Hons) in Equine and Business Management</t>
  </si>
  <si>
    <t>243627</t>
  </si>
  <si>
    <t>H00243627</t>
  </si>
  <si>
    <t>BA (Hons) in Equine Studies</t>
  </si>
  <si>
    <t>243628</t>
  </si>
  <si>
    <t>H00243628</t>
  </si>
  <si>
    <t>BA (Hons) in Business and Management for the Horseracing Industry</t>
  </si>
  <si>
    <t>243629</t>
  </si>
  <si>
    <t>H00243629</t>
  </si>
  <si>
    <t>BSc (Hons) in Equine and Human Sport Science</t>
  </si>
  <si>
    <t>243630</t>
  </si>
  <si>
    <t>H00243630</t>
  </si>
  <si>
    <t>BSc (Hons) in Equine Science</t>
  </si>
  <si>
    <t>243631</t>
  </si>
  <si>
    <t>H00243631</t>
  </si>
  <si>
    <t>BSc (Hons) in Equestrian Performance Management</t>
  </si>
  <si>
    <t>243632</t>
  </si>
  <si>
    <t>H00243632</t>
  </si>
  <si>
    <t>Foundation Degree in Animal Management and Applied Science - Sparsholt College</t>
  </si>
  <si>
    <t>243633</t>
  </si>
  <si>
    <t>H00243633</t>
  </si>
  <si>
    <t>Foundation Degree in Equestrian Performance Management</t>
  </si>
  <si>
    <t>243634</t>
  </si>
  <si>
    <t>H00243634</t>
  </si>
  <si>
    <t>Foundation Degree in Garden Design</t>
  </si>
  <si>
    <t>243635</t>
  </si>
  <si>
    <t>H00243635</t>
  </si>
  <si>
    <t>Foundation Degree in Sport Fisheries and Aquaculture</t>
  </si>
  <si>
    <t>243637</t>
  </si>
  <si>
    <t>H00243637</t>
  </si>
  <si>
    <t>Foundation Degree in Wildlife Management</t>
  </si>
  <si>
    <t>243638</t>
  </si>
  <si>
    <t>H00243638</t>
  </si>
  <si>
    <t>Foundation Degree in New Media Design and Technology</t>
  </si>
  <si>
    <t>243639</t>
  </si>
  <si>
    <t>H00243639</t>
  </si>
  <si>
    <t>243640</t>
  </si>
  <si>
    <t>H00243640</t>
  </si>
  <si>
    <t>Professional Graduation Certificate in Education</t>
  </si>
  <si>
    <t>243641</t>
  </si>
  <si>
    <t>H00243641</t>
  </si>
  <si>
    <t>BA (Hons) in Education (Early Years)</t>
  </si>
  <si>
    <t>243642</t>
  </si>
  <si>
    <t>H00243642</t>
  </si>
  <si>
    <t>Foundation Degree in Criminal Justice (Police Studies)</t>
  </si>
  <si>
    <t>243649</t>
  </si>
  <si>
    <t>H00243649</t>
  </si>
  <si>
    <t>Certificate of Higher Education in Counselling</t>
  </si>
  <si>
    <t>243652</t>
  </si>
  <si>
    <t>H00243652</t>
  </si>
  <si>
    <t>Foundation Degree in Early Years and Special Educational Needs</t>
  </si>
  <si>
    <t>243653</t>
  </si>
  <si>
    <t>H00243653</t>
  </si>
  <si>
    <t>Foundation Degree in Factual TV and Video Production</t>
  </si>
  <si>
    <t>243654</t>
  </si>
  <si>
    <t>H00243654</t>
  </si>
  <si>
    <t>Foundation Degree in Interactive Multimedia Arts and Animation</t>
  </si>
  <si>
    <t>243656</t>
  </si>
  <si>
    <t>H00243656</t>
  </si>
  <si>
    <t>Foundation Degree in Small Scale Theatre Practice</t>
  </si>
  <si>
    <t>243657</t>
  </si>
  <si>
    <t>H00243657</t>
  </si>
  <si>
    <t>Foundation Degree in Photography and Digital Imaging</t>
  </si>
  <si>
    <t>243658</t>
  </si>
  <si>
    <t>H00243658</t>
  </si>
  <si>
    <t>BA (Hons) in Culture Mind and Modernity</t>
  </si>
  <si>
    <t>243659</t>
  </si>
  <si>
    <t>H00243659</t>
  </si>
  <si>
    <t>BA (Hons) in Digital Graphic Design</t>
  </si>
  <si>
    <t>243660</t>
  </si>
  <si>
    <t>H00243660</t>
  </si>
  <si>
    <t>Foundation Degree in Complementary Therapy</t>
  </si>
  <si>
    <t>243661</t>
  </si>
  <si>
    <t>H00243661</t>
  </si>
  <si>
    <t>243663</t>
  </si>
  <si>
    <t>H00243663</t>
  </si>
  <si>
    <t>Foundation Degree in Sport and Fitness Management</t>
  </si>
  <si>
    <t>243664</t>
  </si>
  <si>
    <t>H00243664</t>
  </si>
  <si>
    <t>Foundation Degree in Early Years Practice (Sector Endorsed)</t>
  </si>
  <si>
    <t>243666</t>
  </si>
  <si>
    <t>H00243666</t>
  </si>
  <si>
    <t>BA in Sport and Adventure Management</t>
  </si>
  <si>
    <t>243667</t>
  </si>
  <si>
    <t>H00243667</t>
  </si>
  <si>
    <t>Foundation Degree in Canine Behaviour and Training</t>
  </si>
  <si>
    <t>243668</t>
  </si>
  <si>
    <t>H00243668</t>
  </si>
  <si>
    <t>243671</t>
  </si>
  <si>
    <t>H00243671</t>
  </si>
  <si>
    <t>BSc in Equine Business Management</t>
  </si>
  <si>
    <t>243672</t>
  </si>
  <si>
    <t>H00243672</t>
  </si>
  <si>
    <t>BSc in Equine Science</t>
  </si>
  <si>
    <t>243673</t>
  </si>
  <si>
    <t>H00243673</t>
  </si>
  <si>
    <t>Foundation Degree in Equine Management, Business and Equitation</t>
  </si>
  <si>
    <t>243676</t>
  </si>
  <si>
    <t>H00243676</t>
  </si>
  <si>
    <t>BA (Hons) in Furniture</t>
  </si>
  <si>
    <t>243677</t>
  </si>
  <si>
    <t>H00243677</t>
  </si>
  <si>
    <t>243683</t>
  </si>
  <si>
    <t>H00243683</t>
  </si>
  <si>
    <t>243700</t>
  </si>
  <si>
    <t>H00243700</t>
  </si>
  <si>
    <t>Foundation Degree in Interior Design</t>
  </si>
  <si>
    <t>243706</t>
  </si>
  <si>
    <t>H00243706</t>
  </si>
  <si>
    <t>BA (Hons) in Computer Game Design</t>
  </si>
  <si>
    <t>243708</t>
  </si>
  <si>
    <t>H00243708</t>
  </si>
  <si>
    <t>243710</t>
  </si>
  <si>
    <t>H00243710</t>
  </si>
  <si>
    <t>Professional Graduate Certificate (Post Compulsory Education)</t>
  </si>
  <si>
    <t>243711</t>
  </si>
  <si>
    <t>H00243711</t>
  </si>
  <si>
    <t>BA (Hons) in Music Performance</t>
  </si>
  <si>
    <t>243712</t>
  </si>
  <si>
    <t>H00243712</t>
  </si>
  <si>
    <t>BA (Hons) in Music Composition for Film and Media</t>
  </si>
  <si>
    <t>243714</t>
  </si>
  <si>
    <t>H00243714</t>
  </si>
  <si>
    <t>BA (Hons) in Education and Training Management</t>
  </si>
  <si>
    <t>243716</t>
  </si>
  <si>
    <t>H00243716</t>
  </si>
  <si>
    <t>Foundation Degree in Arboriculture and Tree Care</t>
  </si>
  <si>
    <t>243717</t>
  </si>
  <si>
    <t>H00243717</t>
  </si>
  <si>
    <t>Foundation Degree in Horticulture</t>
  </si>
  <si>
    <t>243718</t>
  </si>
  <si>
    <t>H00243718</t>
  </si>
  <si>
    <t>Foundation Degree in Lowland Woodland Management</t>
  </si>
  <si>
    <t>243720</t>
  </si>
  <si>
    <t>H00243720</t>
  </si>
  <si>
    <t>Foundation Degree in Zoo Resource Management</t>
  </si>
  <si>
    <t>243721</t>
  </si>
  <si>
    <t>H00243721</t>
  </si>
  <si>
    <t>BA (Hons) in Art and Design (Interdisciplinary)</t>
  </si>
  <si>
    <t>243726</t>
  </si>
  <si>
    <t>H00243726</t>
  </si>
  <si>
    <t>Foundation Degree in Built Environment</t>
  </si>
  <si>
    <t>243729</t>
  </si>
  <si>
    <t>H00243729</t>
  </si>
  <si>
    <t>Foundation Degree in Social Care</t>
  </si>
  <si>
    <t>243730</t>
  </si>
  <si>
    <t>H00243730</t>
  </si>
  <si>
    <t>Foundation Degree in Electrical and Electronic Technology</t>
  </si>
  <si>
    <t>243732</t>
  </si>
  <si>
    <t>H00243732</t>
  </si>
  <si>
    <t>243737</t>
  </si>
  <si>
    <t>H00243737</t>
  </si>
  <si>
    <t>Foundation Degree in Police and Community Studies</t>
  </si>
  <si>
    <t>243739</t>
  </si>
  <si>
    <t>H00243739</t>
  </si>
  <si>
    <t>243740</t>
  </si>
  <si>
    <t>H00243740</t>
  </si>
  <si>
    <t>Foundation Degree in Sport Coaching and Exercise</t>
  </si>
  <si>
    <t>243741</t>
  </si>
  <si>
    <t>H00243741</t>
  </si>
  <si>
    <t>Foundation Degree in Sport Development</t>
  </si>
  <si>
    <t>243744</t>
  </si>
  <si>
    <t>H00243744</t>
  </si>
  <si>
    <t>Foundation Degree in Gaming Technology</t>
  </si>
  <si>
    <t>243745</t>
  </si>
  <si>
    <t>H00243745</t>
  </si>
  <si>
    <t>243746</t>
  </si>
  <si>
    <t>H00243746</t>
  </si>
  <si>
    <t>243752</t>
  </si>
  <si>
    <t>H00243752</t>
  </si>
  <si>
    <t>Foundation Degree in Supporting Children's Development and Learning</t>
  </si>
  <si>
    <t>243754</t>
  </si>
  <si>
    <t>H00243754</t>
  </si>
  <si>
    <t>Foundation Degree in Furniture Making</t>
  </si>
  <si>
    <t>243755</t>
  </si>
  <si>
    <t>H00243755</t>
  </si>
  <si>
    <t>243758</t>
  </si>
  <si>
    <t>H00243758</t>
  </si>
  <si>
    <t>HE Bridging Programme (Equine Business Management)</t>
  </si>
  <si>
    <t>243759</t>
  </si>
  <si>
    <t>H00243759</t>
  </si>
  <si>
    <t>HE Bridging Programme (Equine Science)</t>
  </si>
  <si>
    <t>243761</t>
  </si>
  <si>
    <t>H00243761</t>
  </si>
  <si>
    <t>HE Bridging Programme (Wildlife and Countryside Management)</t>
  </si>
  <si>
    <t>243762</t>
  </si>
  <si>
    <t>H00243762</t>
  </si>
  <si>
    <t>HE Bridging Programme (Applied Animal Science)</t>
  </si>
  <si>
    <t>243763</t>
  </si>
  <si>
    <t>H00243763</t>
  </si>
  <si>
    <t>HE Bridging Programme (Applied Animal Behaviour and Training)</t>
  </si>
  <si>
    <t>243764</t>
  </si>
  <si>
    <t>H00243764</t>
  </si>
  <si>
    <t>Foundation Degree in Youth and Community Studies</t>
  </si>
  <si>
    <t>243770</t>
  </si>
  <si>
    <t>H00243770</t>
  </si>
  <si>
    <t>243772</t>
  </si>
  <si>
    <t>H00243772</t>
  </si>
  <si>
    <t>Foundation Degree in Electrical/Electronic Engineering</t>
  </si>
  <si>
    <t>243778</t>
  </si>
  <si>
    <t>H00243778</t>
  </si>
  <si>
    <t>Foundation Degree in Accounting and Finance</t>
  </si>
  <si>
    <t>243781</t>
  </si>
  <si>
    <t>H00243781</t>
  </si>
  <si>
    <t>243782</t>
  </si>
  <si>
    <t>H00243782</t>
  </si>
  <si>
    <t>Foundation Degree in Business and Finance</t>
  </si>
  <si>
    <t>243783</t>
  </si>
  <si>
    <t>H00243783</t>
  </si>
  <si>
    <t>243785</t>
  </si>
  <si>
    <t>H00243785</t>
  </si>
  <si>
    <t>243786</t>
  </si>
  <si>
    <t>H00243786</t>
  </si>
  <si>
    <t>243788</t>
  </si>
  <si>
    <t>H00243788</t>
  </si>
  <si>
    <t>243789</t>
  </si>
  <si>
    <t>H00243789</t>
  </si>
  <si>
    <t>BA (Hons) in Design Studies</t>
  </si>
  <si>
    <t>243790</t>
  </si>
  <si>
    <t>H00243790</t>
  </si>
  <si>
    <t>Foundation Degree in Licensed Trade Management</t>
  </si>
  <si>
    <t>243791</t>
  </si>
  <si>
    <t>H00243791</t>
  </si>
  <si>
    <t>243793</t>
  </si>
  <si>
    <t>H00243793</t>
  </si>
  <si>
    <t>Postgraduate Diploma in Interprofessional Healthcare Education</t>
  </si>
  <si>
    <t>243795</t>
  </si>
  <si>
    <t>H00243795</t>
  </si>
  <si>
    <t>Foundation Degree in Computer Game Design</t>
  </si>
  <si>
    <t>243796</t>
  </si>
  <si>
    <t>H00243796</t>
  </si>
  <si>
    <t>BA in Counselling</t>
  </si>
  <si>
    <t>243797</t>
  </si>
  <si>
    <t>H00243797</t>
  </si>
  <si>
    <t>MSc in Perfusion Science</t>
  </si>
  <si>
    <t>243798</t>
  </si>
  <si>
    <t>H00243798</t>
  </si>
  <si>
    <t>Foundation Degree in Healthcare Science</t>
  </si>
  <si>
    <t>243799</t>
  </si>
  <si>
    <t>H00243799</t>
  </si>
  <si>
    <t>Foundation Degree in Culinary and Patisserie Arts</t>
  </si>
  <si>
    <t>243800</t>
  </si>
  <si>
    <t>H00243800</t>
  </si>
  <si>
    <t>Foundation Degree in Physical Activity and Health Promotion</t>
  </si>
  <si>
    <t>243801</t>
  </si>
  <si>
    <t>H00243801</t>
  </si>
  <si>
    <t>Foundation Degree in Airline and Airport Management</t>
  </si>
  <si>
    <t>243802</t>
  </si>
  <si>
    <t>H00243802</t>
  </si>
  <si>
    <t>243804</t>
  </si>
  <si>
    <t>H00243804</t>
  </si>
  <si>
    <t>BA (Hons) in Lifelong Learning</t>
  </si>
  <si>
    <t>243805</t>
  </si>
  <si>
    <t>H00243805</t>
  </si>
  <si>
    <t>Foundation Degree in Electrical / Electronic Engineering</t>
  </si>
  <si>
    <t>243806</t>
  </si>
  <si>
    <t>H00243806</t>
  </si>
  <si>
    <t>Foundation Degree in Mechanical / Manufacturing Engineering</t>
  </si>
  <si>
    <t>243807</t>
  </si>
  <si>
    <t>H00243807</t>
  </si>
  <si>
    <t>Foundation Degree in Multi-Skill Engineering</t>
  </si>
  <si>
    <t>243814</t>
  </si>
  <si>
    <t>H00243814</t>
  </si>
  <si>
    <t>Foundation Degree in Management with Outdoor Activities</t>
  </si>
  <si>
    <t>243815</t>
  </si>
  <si>
    <t>H00243815</t>
  </si>
  <si>
    <t>243816</t>
  </si>
  <si>
    <t>H00243816</t>
  </si>
  <si>
    <t>Foundation Degree in Video Practice</t>
  </si>
  <si>
    <t>243821</t>
  </si>
  <si>
    <t>H00243821</t>
  </si>
  <si>
    <t>243822</t>
  </si>
  <si>
    <t>H00243822</t>
  </si>
  <si>
    <t>Foundation Degree in Sustainable Construction</t>
  </si>
  <si>
    <t>243823</t>
  </si>
  <si>
    <t>H00243823</t>
  </si>
  <si>
    <t>BSc in Sustainable Construction</t>
  </si>
  <si>
    <t>243824</t>
  </si>
  <si>
    <t>H00243824</t>
  </si>
  <si>
    <t>Foundation Degree in Criminal Justice and Public Services</t>
  </si>
  <si>
    <t>243825</t>
  </si>
  <si>
    <t>H00243825</t>
  </si>
  <si>
    <t>Initial Certificate in Teaching, Training and Learning</t>
  </si>
  <si>
    <t>243827</t>
  </si>
  <si>
    <t>H00243827</t>
  </si>
  <si>
    <t>Foundation Degree in Animal Health and Welfare</t>
  </si>
  <si>
    <t>243828</t>
  </si>
  <si>
    <t>H00243828</t>
  </si>
  <si>
    <t>Foundation Degree in Urban Conservation</t>
  </si>
  <si>
    <t>243829</t>
  </si>
  <si>
    <t>H00243829</t>
  </si>
  <si>
    <t>Foundation Degree in Plant Use and Design</t>
  </si>
  <si>
    <t>243830</t>
  </si>
  <si>
    <t>H00243830</t>
  </si>
  <si>
    <t>Foundation Degree in Theatre Studies</t>
  </si>
  <si>
    <t>243831</t>
  </si>
  <si>
    <t>H00243831</t>
  </si>
  <si>
    <t>Foundation Degree in Creative Digital Media</t>
  </si>
  <si>
    <t>243832</t>
  </si>
  <si>
    <t>H00243832</t>
  </si>
  <si>
    <t>Foundation Degree in e-Technology</t>
  </si>
  <si>
    <t>243833</t>
  </si>
  <si>
    <t>H00243833</t>
  </si>
  <si>
    <t>Foundation Degree in Counselling Skills and Studies</t>
  </si>
  <si>
    <t>243834</t>
  </si>
  <si>
    <t>H00243834</t>
  </si>
  <si>
    <t>Foundation Degree in Equine Sports Therapy and Rehabilitation</t>
  </si>
  <si>
    <t>243837</t>
  </si>
  <si>
    <t>H00243837</t>
  </si>
  <si>
    <t>Foundation Degree in Administration in the NHS</t>
  </si>
  <si>
    <t>243838</t>
  </si>
  <si>
    <t>H00243838</t>
  </si>
  <si>
    <t>BA (Hons) in Education Studies</t>
  </si>
  <si>
    <t>243839</t>
  </si>
  <si>
    <t>H00243839</t>
  </si>
  <si>
    <t>BA (Hons) in Information Technology in Education</t>
  </si>
  <si>
    <t>243841</t>
  </si>
  <si>
    <t>H00243841</t>
  </si>
  <si>
    <t>Foundation Degree in Applied Arts</t>
  </si>
  <si>
    <t>243842</t>
  </si>
  <si>
    <t>H00243842</t>
  </si>
  <si>
    <t>Foundation Degree in Graphic Communication</t>
  </si>
  <si>
    <t>243844</t>
  </si>
  <si>
    <t>H00243844</t>
  </si>
  <si>
    <t>Foundation Degree in Interior Architecture</t>
  </si>
  <si>
    <t>243845</t>
  </si>
  <si>
    <t>H00243845</t>
  </si>
  <si>
    <t>Foundation Degree in Fashion Design Manufacture</t>
  </si>
  <si>
    <t>243846</t>
  </si>
  <si>
    <t>H00243846</t>
  </si>
  <si>
    <t>BA (Hons) in Graphic Communication</t>
  </si>
  <si>
    <t>243847</t>
  </si>
  <si>
    <t>H00243847</t>
  </si>
  <si>
    <t>BA (Hons) in Fashion Design Manufacture</t>
  </si>
  <si>
    <t>243849</t>
  </si>
  <si>
    <t>H00243849</t>
  </si>
  <si>
    <t>Foundation Degree in Popular Music</t>
  </si>
  <si>
    <t>243850</t>
  </si>
  <si>
    <t>H00243850</t>
  </si>
  <si>
    <t>243851</t>
  </si>
  <si>
    <t>H00243851</t>
  </si>
  <si>
    <t>Foundation Degree in Young People and Young Peoples Services</t>
  </si>
  <si>
    <t>243852</t>
  </si>
  <si>
    <t>H00243852</t>
  </si>
  <si>
    <t>Foundation Degree in Software Design and Development</t>
  </si>
  <si>
    <t>243857</t>
  </si>
  <si>
    <t>H00243857</t>
  </si>
  <si>
    <t>BA (Hons) in Education</t>
  </si>
  <si>
    <t>243858</t>
  </si>
  <si>
    <t>H00243858</t>
  </si>
  <si>
    <t>Foundation Degree in Internet Computing for Business</t>
  </si>
  <si>
    <t>243859</t>
  </si>
  <si>
    <t>H00243859</t>
  </si>
  <si>
    <t>Foundation Degree in Maintenance Engineering</t>
  </si>
  <si>
    <t>243860</t>
  </si>
  <si>
    <t>H00243860</t>
  </si>
  <si>
    <t>Foundation Degree in Music Management</t>
  </si>
  <si>
    <t>243861</t>
  </si>
  <si>
    <t>H00243861</t>
  </si>
  <si>
    <t>Foundation Degree in Public Services Administration</t>
  </si>
  <si>
    <t>243862</t>
  </si>
  <si>
    <t>H00243862</t>
  </si>
  <si>
    <t>Foundation Degree in Sport and Exercise Studies</t>
  </si>
  <si>
    <t>243863</t>
  </si>
  <si>
    <t>H00243863</t>
  </si>
  <si>
    <t>Foundation Degree in Business Operations</t>
  </si>
  <si>
    <t>243864</t>
  </si>
  <si>
    <t>H00243864</t>
  </si>
  <si>
    <t>Foundation Degree in Complementary Therapies</t>
  </si>
  <si>
    <t>243865</t>
  </si>
  <si>
    <t>H00243865</t>
  </si>
  <si>
    <t>Foundation Degree in Computing and Networking</t>
  </si>
  <si>
    <t>243866</t>
  </si>
  <si>
    <t>H00243866</t>
  </si>
  <si>
    <t>Foundation Degree in Education and Care</t>
  </si>
  <si>
    <t>243867</t>
  </si>
  <si>
    <t>H00243867</t>
  </si>
  <si>
    <t>BA in Post-Compulsory Education</t>
  </si>
  <si>
    <t>243868</t>
  </si>
  <si>
    <t>H00243868</t>
  </si>
  <si>
    <t>Certificate in Education (Post Compulsory Education and Training - QTLS)</t>
  </si>
  <si>
    <t>243869</t>
  </si>
  <si>
    <t>H00243869</t>
  </si>
  <si>
    <t>PGCE in Education (Post Compulsory Education and Training - QTLS)</t>
  </si>
  <si>
    <t>243872</t>
  </si>
  <si>
    <t>H00243872</t>
  </si>
  <si>
    <t>BSc (Hons) in Community Specialist Practice</t>
  </si>
  <si>
    <t>243876</t>
  </si>
  <si>
    <t>H00243876</t>
  </si>
  <si>
    <t>243879</t>
  </si>
  <si>
    <t>H00243879</t>
  </si>
  <si>
    <t>BA (Hons) in Pastoral Counselling and Psychology</t>
  </si>
  <si>
    <t>243882</t>
  </si>
  <si>
    <t>H00243882</t>
  </si>
  <si>
    <t>Professional Graduate Certificate in Education (Post Compulsory)</t>
  </si>
  <si>
    <t>243883</t>
  </si>
  <si>
    <t>H00243883</t>
  </si>
  <si>
    <t>Foundation Degree in Computing (Systems and Networking)</t>
  </si>
  <si>
    <t>243887</t>
  </si>
  <si>
    <t>H00243887</t>
  </si>
  <si>
    <t>Foundation Degree in Classroom Support</t>
  </si>
  <si>
    <t>243888</t>
  </si>
  <si>
    <t>H00243888</t>
  </si>
  <si>
    <t>243889</t>
  </si>
  <si>
    <t>H00243889</t>
  </si>
  <si>
    <t>Foundation Degree in Early Years (Sector Endorsed)</t>
  </si>
  <si>
    <t>243890</t>
  </si>
  <si>
    <t>H00243890</t>
  </si>
  <si>
    <t>Foundation Degree in Communication At Work</t>
  </si>
  <si>
    <t>243891</t>
  </si>
  <si>
    <t>H00243891</t>
  </si>
  <si>
    <t>PGCE in Education (Primary)</t>
  </si>
  <si>
    <t>243892</t>
  </si>
  <si>
    <t>H00243892</t>
  </si>
  <si>
    <t>PGCE in Education (Secondary)</t>
  </si>
  <si>
    <t>243893</t>
  </si>
  <si>
    <t>H00243893</t>
  </si>
  <si>
    <t>243894</t>
  </si>
  <si>
    <t>H00243894</t>
  </si>
  <si>
    <t>BSc (Hons) in Computing with Software Engineering</t>
  </si>
  <si>
    <t>243896</t>
  </si>
  <si>
    <t>H00243896</t>
  </si>
  <si>
    <t>Foundation Degree in Metallurgy and Materials</t>
  </si>
  <si>
    <t>243897</t>
  </si>
  <si>
    <t>H00243897</t>
  </si>
  <si>
    <t>MA in International Business Management</t>
  </si>
  <si>
    <t>243898</t>
  </si>
  <si>
    <t>H00243898</t>
  </si>
  <si>
    <t>BEd in Education (Primary with Qualified Teacher Status)</t>
  </si>
  <si>
    <t>243899</t>
  </si>
  <si>
    <t>H00243899</t>
  </si>
  <si>
    <t>BSc (Hons) in Beauty Therapy with Management</t>
  </si>
  <si>
    <t>243901</t>
  </si>
  <si>
    <t>H00243901</t>
  </si>
  <si>
    <t>243902</t>
  </si>
  <si>
    <t>H00243902</t>
  </si>
  <si>
    <t>Certificate in Foundation Studies (Business Studies)</t>
  </si>
  <si>
    <t>243903</t>
  </si>
  <si>
    <t>H00243903</t>
  </si>
  <si>
    <t>DipHE in Counselling and Human Relations</t>
  </si>
  <si>
    <t>243904</t>
  </si>
  <si>
    <t>H00243904</t>
  </si>
  <si>
    <t>243907</t>
  </si>
  <si>
    <t>H00243907</t>
  </si>
  <si>
    <t>243908</t>
  </si>
  <si>
    <t>H00243908</t>
  </si>
  <si>
    <t>Foundation Degree in Community Health Development</t>
  </si>
  <si>
    <t>243909</t>
  </si>
  <si>
    <t>H00243909</t>
  </si>
  <si>
    <t>Foundation Degree in Supporting and Managing Learning in Education</t>
  </si>
  <si>
    <t>243910</t>
  </si>
  <si>
    <t>H00243910</t>
  </si>
  <si>
    <t>LLB (Hons) Bachelor of Law</t>
  </si>
  <si>
    <t>243913</t>
  </si>
  <si>
    <t>H00243913</t>
  </si>
  <si>
    <t>BA (Hons) in Management and Organisations</t>
  </si>
  <si>
    <t>243914</t>
  </si>
  <si>
    <t>H00243914</t>
  </si>
  <si>
    <t>BA (Hons) in Marketing and Law</t>
  </si>
  <si>
    <t>243915</t>
  </si>
  <si>
    <t>H00243915</t>
  </si>
  <si>
    <t>BA (Hons) in Marketing and Sales</t>
  </si>
  <si>
    <t>243916</t>
  </si>
  <si>
    <t>H00243916</t>
  </si>
  <si>
    <t>BA (Hons) in Marketing Communications</t>
  </si>
  <si>
    <t>243917</t>
  </si>
  <si>
    <t>H00243917</t>
  </si>
  <si>
    <t>243918</t>
  </si>
  <si>
    <t>H00243918</t>
  </si>
  <si>
    <t>BA (Hons) in Primary Education (with Qualified Teacher Status)</t>
  </si>
  <si>
    <t>243919</t>
  </si>
  <si>
    <t>H00243919</t>
  </si>
  <si>
    <t>BA (Hons) in Public Services Management</t>
  </si>
  <si>
    <t>243920</t>
  </si>
  <si>
    <t>H00243920</t>
  </si>
  <si>
    <t>BA (Hons) in Social and Community Care</t>
  </si>
  <si>
    <t>243921</t>
  </si>
  <si>
    <t>H00243921</t>
  </si>
  <si>
    <t>BA (Hons) in Textile Design</t>
  </si>
  <si>
    <t>243922</t>
  </si>
  <si>
    <t>H00243922</t>
  </si>
  <si>
    <t>BA (Hons) in Tourism Management</t>
  </si>
  <si>
    <t>243923</t>
  </si>
  <si>
    <t>H00243923</t>
  </si>
  <si>
    <t>BA (Hons) in Youth and Community Development</t>
  </si>
  <si>
    <t>243924</t>
  </si>
  <si>
    <t>H00243924</t>
  </si>
  <si>
    <t>BEd Bachelor of Education</t>
  </si>
  <si>
    <t>243925</t>
  </si>
  <si>
    <t>H00243925</t>
  </si>
  <si>
    <t>BEd Bachelor of Education (with Qualified Teacher Status)</t>
  </si>
  <si>
    <t>243926</t>
  </si>
  <si>
    <t>H00243926</t>
  </si>
  <si>
    <t>BA (Hons) in Accountancy and Law</t>
  </si>
  <si>
    <t>243927</t>
  </si>
  <si>
    <t>H00243927</t>
  </si>
  <si>
    <t>BA (Hons) in Art and Design</t>
  </si>
  <si>
    <t>243929</t>
  </si>
  <si>
    <t>H00243929</t>
  </si>
  <si>
    <t>BA (Hons) in Business Administration</t>
  </si>
  <si>
    <t>243930</t>
  </si>
  <si>
    <t>H00243930</t>
  </si>
  <si>
    <t>243932</t>
  </si>
  <si>
    <t>H00243932</t>
  </si>
  <si>
    <t>BA (Hons) in Combined Studies</t>
  </si>
  <si>
    <t>243933</t>
  </si>
  <si>
    <t>H00243933</t>
  </si>
  <si>
    <t>BA (Hons) in Counselling and Psychology in Community Settings</t>
  </si>
  <si>
    <t>243934</t>
  </si>
  <si>
    <t>H00243934</t>
  </si>
  <si>
    <t>243935</t>
  </si>
  <si>
    <t>H00243935</t>
  </si>
  <si>
    <t>243936</t>
  </si>
  <si>
    <t>H00243936</t>
  </si>
  <si>
    <t>243937</t>
  </si>
  <si>
    <t>H00243937</t>
  </si>
  <si>
    <t>BA (Hons) in Financial Services</t>
  </si>
  <si>
    <t>243938</t>
  </si>
  <si>
    <t>H00243938</t>
  </si>
  <si>
    <t>243939</t>
  </si>
  <si>
    <t>H00243939</t>
  </si>
  <si>
    <t>BA (Hons) in Graphic Media Communication</t>
  </si>
  <si>
    <t>243940</t>
  </si>
  <si>
    <t>H00243940</t>
  </si>
  <si>
    <t>BA (Hons) in Health and Social Welfare</t>
  </si>
  <si>
    <t>243941</t>
  </si>
  <si>
    <t>H00243941</t>
  </si>
  <si>
    <t>BA (Hons) in Human Resource Management</t>
  </si>
  <si>
    <t>243942</t>
  </si>
  <si>
    <t>H00243942</t>
  </si>
  <si>
    <t>MA in Marketing Practice</t>
  </si>
  <si>
    <t>243948</t>
  </si>
  <si>
    <t>H00243948</t>
  </si>
  <si>
    <t>MA in Printmaking</t>
  </si>
  <si>
    <t>243951</t>
  </si>
  <si>
    <t>H00243951</t>
  </si>
  <si>
    <t>MA in Youth and Community Development</t>
  </si>
  <si>
    <t>243954</t>
  </si>
  <si>
    <t>H00243954</t>
  </si>
  <si>
    <t>MA in Education</t>
  </si>
  <si>
    <t>243955</t>
  </si>
  <si>
    <t>H00243955</t>
  </si>
  <si>
    <t>PGD in Education</t>
  </si>
  <si>
    <t>243956</t>
  </si>
  <si>
    <t>H00243956</t>
  </si>
  <si>
    <t>243958</t>
  </si>
  <si>
    <t>H00243958</t>
  </si>
  <si>
    <t>PGD in Post Compulsory Education and Training</t>
  </si>
  <si>
    <t>243959</t>
  </si>
  <si>
    <t>H00243959</t>
  </si>
  <si>
    <t>MA in Management</t>
  </si>
  <si>
    <t>243962</t>
  </si>
  <si>
    <t>H00243962</t>
  </si>
  <si>
    <t>MA in Leadership and Management in Education</t>
  </si>
  <si>
    <t>243972</t>
  </si>
  <si>
    <t>H00243972</t>
  </si>
  <si>
    <t>PGD in Visual Culture</t>
  </si>
  <si>
    <t>243990</t>
  </si>
  <si>
    <t>H00243990</t>
  </si>
  <si>
    <t>243991</t>
  </si>
  <si>
    <t>H00243991</t>
  </si>
  <si>
    <t>BA (Hons) in Design Crafts</t>
  </si>
  <si>
    <t>243992</t>
  </si>
  <si>
    <t>H00243992</t>
  </si>
  <si>
    <t>BA (Hons) in Graphic Design and Illustration</t>
  </si>
  <si>
    <t>243993</t>
  </si>
  <si>
    <t>H00243993</t>
  </si>
  <si>
    <t>243995</t>
  </si>
  <si>
    <t>H00243995</t>
  </si>
  <si>
    <t>BA (Hons) in Media, Photography and Video</t>
  </si>
  <si>
    <t>243999</t>
  </si>
  <si>
    <t>H00243999</t>
  </si>
  <si>
    <t>244000</t>
  </si>
  <si>
    <t>H00244000</t>
  </si>
  <si>
    <t>BA (Hons) in Digital Media Design</t>
  </si>
  <si>
    <t>244001</t>
  </si>
  <si>
    <t>H00244001</t>
  </si>
  <si>
    <t>BA (Hons) in Contemporary Textiles</t>
  </si>
  <si>
    <t>244002</t>
  </si>
  <si>
    <t>H00244002</t>
  </si>
  <si>
    <t>Foundation Degree in Photographic Media</t>
  </si>
  <si>
    <t>244409</t>
  </si>
  <si>
    <t>H00244409</t>
  </si>
  <si>
    <t>CertHE in Holistic Therapies</t>
  </si>
  <si>
    <t>244410</t>
  </si>
  <si>
    <t>H00244410</t>
  </si>
  <si>
    <t>CertHE in Personal Training and Sports Performance</t>
  </si>
  <si>
    <t>244411</t>
  </si>
  <si>
    <t>H00244411</t>
  </si>
  <si>
    <t>CertHE in Science and Management of Exercise and Health</t>
  </si>
  <si>
    <t>244413</t>
  </si>
  <si>
    <t>H00244413</t>
  </si>
  <si>
    <t>CertHE in Computing</t>
  </si>
  <si>
    <t>244417</t>
  </si>
  <si>
    <t>H00244417</t>
  </si>
  <si>
    <t>CertHE in Aeronautical Engineering</t>
  </si>
  <si>
    <t>244420</t>
  </si>
  <si>
    <t>H00244420</t>
  </si>
  <si>
    <t>CertHE in Motorsport Engineering</t>
  </si>
  <si>
    <t>244421</t>
  </si>
  <si>
    <t>H00244421</t>
  </si>
  <si>
    <t>CertHE in Television and Radio Technology</t>
  </si>
  <si>
    <t>244422</t>
  </si>
  <si>
    <t>H00244422</t>
  </si>
  <si>
    <t>CertHE in Music Production</t>
  </si>
  <si>
    <t>244424</t>
  </si>
  <si>
    <t>H00244424</t>
  </si>
  <si>
    <t>CertHE in Media Technology (Production)</t>
  </si>
  <si>
    <t>244429</t>
  </si>
  <si>
    <t>H00244429</t>
  </si>
  <si>
    <t>PGD in Business Administration</t>
  </si>
  <si>
    <t>244439</t>
  </si>
  <si>
    <t>H00244439</t>
  </si>
  <si>
    <t>CertHE in Business</t>
  </si>
  <si>
    <t>244440</t>
  </si>
  <si>
    <t>H00244440</t>
  </si>
  <si>
    <t>Foundation Degree in Legal Practice</t>
  </si>
  <si>
    <t>244445</t>
  </si>
  <si>
    <t>H00244445</t>
  </si>
  <si>
    <t>244446</t>
  </si>
  <si>
    <t>H00244446</t>
  </si>
  <si>
    <t>Foundation Degree in Coaching and Sport Development</t>
  </si>
  <si>
    <t>244447</t>
  </si>
  <si>
    <t>H00244447</t>
  </si>
  <si>
    <t>Foundation Degree in Business and Management / Information Technology</t>
  </si>
  <si>
    <t>244448</t>
  </si>
  <si>
    <t>H00244448</t>
  </si>
  <si>
    <t>Foundation Degree in Supporting Teaching and Learning</t>
  </si>
  <si>
    <t>244449</t>
  </si>
  <si>
    <t>H00244449</t>
  </si>
  <si>
    <t>Foundation Degree in Information and Communication Technology</t>
  </si>
  <si>
    <t>244450</t>
  </si>
  <si>
    <t>H00244450</t>
  </si>
  <si>
    <t>Foundation Degree in New and Interactive Media</t>
  </si>
  <si>
    <t>244451</t>
  </si>
  <si>
    <t>H00244451</t>
  </si>
  <si>
    <t>Foundation Degree in Animal Science and Management</t>
  </si>
  <si>
    <t>244452</t>
  </si>
  <si>
    <t>H00244452</t>
  </si>
  <si>
    <t>Foundation Degree in Logistics and Supply Chain</t>
  </si>
  <si>
    <t>244454</t>
  </si>
  <si>
    <t>H00244454</t>
  </si>
  <si>
    <t>Foundation Degree in Software Development</t>
  </si>
  <si>
    <t>244456</t>
  </si>
  <si>
    <t>H00244456</t>
  </si>
  <si>
    <t>244460</t>
  </si>
  <si>
    <t>H00244460</t>
  </si>
  <si>
    <t>DipHE in Media Production</t>
  </si>
  <si>
    <t>244464</t>
  </si>
  <si>
    <t>H00244464</t>
  </si>
  <si>
    <t>Foundation Degree in Photography and Digital Design</t>
  </si>
  <si>
    <t>244467</t>
  </si>
  <si>
    <t>H00244467</t>
  </si>
  <si>
    <t>Foundation Degree in Casino Operations Management</t>
  </si>
  <si>
    <t>244469</t>
  </si>
  <si>
    <t>H00244469</t>
  </si>
  <si>
    <t>244470</t>
  </si>
  <si>
    <t>H00244470</t>
  </si>
  <si>
    <t>Foundation Degree in Hospitality Management (Licensed Retail)</t>
  </si>
  <si>
    <t>244471</t>
  </si>
  <si>
    <t>H00244471</t>
  </si>
  <si>
    <t>BA (Hons) in Sports Development</t>
  </si>
  <si>
    <t>244473</t>
  </si>
  <si>
    <t>H00244473</t>
  </si>
  <si>
    <t>University Certificate in Education</t>
  </si>
  <si>
    <t>244479</t>
  </si>
  <si>
    <t>H00244479</t>
  </si>
  <si>
    <t>244481</t>
  </si>
  <si>
    <t>H00244481</t>
  </si>
  <si>
    <t>Foundation Degree in Glass Manufacturing Management</t>
  </si>
  <si>
    <t>244482</t>
  </si>
  <si>
    <t>H00244482</t>
  </si>
  <si>
    <t>Foundation Degree in Logistics and Supply Chain Management</t>
  </si>
  <si>
    <t>244483</t>
  </si>
  <si>
    <t>H00244483</t>
  </si>
  <si>
    <t>Foundation Degree in Management and Business Enterprise</t>
  </si>
  <si>
    <t>244484</t>
  </si>
  <si>
    <t>H00244484</t>
  </si>
  <si>
    <t>Foundation Degree in Sports Performance Coaching</t>
  </si>
  <si>
    <t>244485</t>
  </si>
  <si>
    <t>H00244485</t>
  </si>
  <si>
    <t>Foundation Degree in Fine Art</t>
  </si>
  <si>
    <t>244486</t>
  </si>
  <si>
    <t>H00244486</t>
  </si>
  <si>
    <t>Foundation Degree in Youth Work</t>
  </si>
  <si>
    <t>244488</t>
  </si>
  <si>
    <t>H00244488</t>
  </si>
  <si>
    <t>Foundation Degree in Human Resource Management</t>
  </si>
  <si>
    <t>244490</t>
  </si>
  <si>
    <t>H00244490</t>
  </si>
  <si>
    <t>BA (Hons) in Games Design</t>
  </si>
  <si>
    <t>244491</t>
  </si>
  <si>
    <t>H00244491</t>
  </si>
  <si>
    <t>244492</t>
  </si>
  <si>
    <t>H00244492</t>
  </si>
  <si>
    <t>244493</t>
  </si>
  <si>
    <t>H00244493</t>
  </si>
  <si>
    <t>BA (Hons) in Interactive Multimedia</t>
  </si>
  <si>
    <t>244494</t>
  </si>
  <si>
    <t>H00244494</t>
  </si>
  <si>
    <t>BA (Hons) in Television and Film Design</t>
  </si>
  <si>
    <t>244495</t>
  </si>
  <si>
    <t>H00244495</t>
  </si>
  <si>
    <t>BA (Hons) in Web Design</t>
  </si>
  <si>
    <t>244496</t>
  </si>
  <si>
    <t>H00244496</t>
  </si>
  <si>
    <t>Foundation Degree in Health and Community Care Services</t>
  </si>
  <si>
    <t>244497</t>
  </si>
  <si>
    <t>H00244497</t>
  </si>
  <si>
    <t>244498</t>
  </si>
  <si>
    <t>H00244498</t>
  </si>
  <si>
    <t>244499</t>
  </si>
  <si>
    <t>H00244499</t>
  </si>
  <si>
    <t>Foundation Degree in Design for Digital Media</t>
  </si>
  <si>
    <t>244500</t>
  </si>
  <si>
    <t>H00244500</t>
  </si>
  <si>
    <t>244502</t>
  </si>
  <si>
    <t>H00244502</t>
  </si>
  <si>
    <t>FdSc Nautical Science</t>
  </si>
  <si>
    <t>244503</t>
  </si>
  <si>
    <t>H00244503</t>
  </si>
  <si>
    <t>BEng (Hons) in Autosport Technology</t>
  </si>
  <si>
    <t>244504</t>
  </si>
  <si>
    <t>H00244504</t>
  </si>
  <si>
    <t>BA (Hons) Fine Art and Professional Practice</t>
  </si>
  <si>
    <t>244505</t>
  </si>
  <si>
    <t>H00244505</t>
  </si>
  <si>
    <t>Foundation Degree in Professional Practice (Hair Salon Practice)</t>
  </si>
  <si>
    <t>244506</t>
  </si>
  <si>
    <t>H00244506</t>
  </si>
  <si>
    <t>Foundation Degree in Professional Practice (Beauty Therapy)</t>
  </si>
  <si>
    <t>244507</t>
  </si>
  <si>
    <t>H00244507</t>
  </si>
  <si>
    <t>Foundation Degree in Professional Practice (Complementary Therapy)</t>
  </si>
  <si>
    <t>244508</t>
  </si>
  <si>
    <t>H00244508</t>
  </si>
  <si>
    <t>Foundation Degree in Professional Practice (Sport and Rehabilitation Therapies)</t>
  </si>
  <si>
    <t>244510</t>
  </si>
  <si>
    <t>H00244510</t>
  </si>
  <si>
    <t>244511</t>
  </si>
  <si>
    <t>H00244511</t>
  </si>
  <si>
    <t>Foundation Degree in Creative and Cultural Industries: Heritage and Culture</t>
  </si>
  <si>
    <t>244512</t>
  </si>
  <si>
    <t>H00244512</t>
  </si>
  <si>
    <t>Foundation Degree in Creative and Cultural Industries: Creative Arts for Employment</t>
  </si>
  <si>
    <t>244513</t>
  </si>
  <si>
    <t>H00244513</t>
  </si>
  <si>
    <t>Foundation Degree in Business Improvement Techniques</t>
  </si>
  <si>
    <t>244514</t>
  </si>
  <si>
    <t>H00244514</t>
  </si>
  <si>
    <t>Foundation Degree in Sports Coaching and Development</t>
  </si>
  <si>
    <t>244515</t>
  </si>
  <si>
    <t>H00244515</t>
  </si>
  <si>
    <t>BA (Hons) in Graphic and Media Design</t>
  </si>
  <si>
    <t>244516</t>
  </si>
  <si>
    <t>H00244516</t>
  </si>
  <si>
    <t>BA (Hons) in Spatial Design (Interior and Landscape)</t>
  </si>
  <si>
    <t>244517</t>
  </si>
  <si>
    <t>H00244517</t>
  </si>
  <si>
    <t>244518</t>
  </si>
  <si>
    <t>H00244518</t>
  </si>
  <si>
    <t>244522</t>
  </si>
  <si>
    <t>H00244522</t>
  </si>
  <si>
    <t>244523</t>
  </si>
  <si>
    <t>H00244523</t>
  </si>
  <si>
    <t>Foundation Degree in International Travel and Tourism Operations Management</t>
  </si>
  <si>
    <t>244529</t>
  </si>
  <si>
    <t>H00244529</t>
  </si>
  <si>
    <t>Foundation Degree in Financial Services and Law</t>
  </si>
  <si>
    <t>244530</t>
  </si>
  <si>
    <t>H00244530</t>
  </si>
  <si>
    <t>Foundation Degree in Care Practice</t>
  </si>
  <si>
    <t>244531</t>
  </si>
  <si>
    <t>H00244531</t>
  </si>
  <si>
    <t>BA in Criminology</t>
  </si>
  <si>
    <t>244532</t>
  </si>
  <si>
    <t>H00244532</t>
  </si>
  <si>
    <t>244534</t>
  </si>
  <si>
    <t>H00244534</t>
  </si>
  <si>
    <t>BA in Cultural Studies (Combined Studies)</t>
  </si>
  <si>
    <t>244535</t>
  </si>
  <si>
    <t>H00244535</t>
  </si>
  <si>
    <t>BA in Media Studies</t>
  </si>
  <si>
    <t>244537</t>
  </si>
  <si>
    <t>H00244537</t>
  </si>
  <si>
    <t>Certificate in Education (Post Compulsory)</t>
  </si>
  <si>
    <t>244544</t>
  </si>
  <si>
    <t>H00244544</t>
  </si>
  <si>
    <t>BSc (Hons) in Clinical Professional Practice</t>
  </si>
  <si>
    <t>244550</t>
  </si>
  <si>
    <t>H00244550</t>
  </si>
  <si>
    <t>244553</t>
  </si>
  <si>
    <t>H00244553</t>
  </si>
  <si>
    <t>Foundation Degree in Business Studies</t>
  </si>
  <si>
    <t>244554</t>
  </si>
  <si>
    <t>H00244554</t>
  </si>
  <si>
    <t>Foundation Degree in Nuclear Decommissioning</t>
  </si>
  <si>
    <t>244555</t>
  </si>
  <si>
    <t>H00244555</t>
  </si>
  <si>
    <t>Foundation Degree in the Integrated Education of Children and Young People</t>
  </si>
  <si>
    <t>244556</t>
  </si>
  <si>
    <t>H00244556</t>
  </si>
  <si>
    <t>Foundation Degree in Tourism and Events Management</t>
  </si>
  <si>
    <t>244557</t>
  </si>
  <si>
    <t>H00244557</t>
  </si>
  <si>
    <t>244558</t>
  </si>
  <si>
    <t>H00244558</t>
  </si>
  <si>
    <t>Foundation Degree in Media Production</t>
  </si>
  <si>
    <t>244559</t>
  </si>
  <si>
    <t>H00244559</t>
  </si>
  <si>
    <t>Foundation Degree in Working with Children and Young People</t>
  </si>
  <si>
    <t>244560</t>
  </si>
  <si>
    <t>H00244560</t>
  </si>
  <si>
    <t>Foundation Degree in Motorsport Technology</t>
  </si>
  <si>
    <t>244561</t>
  </si>
  <si>
    <t>H00244561</t>
  </si>
  <si>
    <t>244562</t>
  </si>
  <si>
    <t>H00244562</t>
  </si>
  <si>
    <t>Foundation Degree in Integrated Practice (Early Years and Children)</t>
  </si>
  <si>
    <t>244563</t>
  </si>
  <si>
    <t>H00244563</t>
  </si>
  <si>
    <t>Foundation Degree in Integrated Practice (Young People)</t>
  </si>
  <si>
    <t>244564</t>
  </si>
  <si>
    <t>H00244564</t>
  </si>
  <si>
    <t>Foundation Degree in Fashion and Clothing Technology</t>
  </si>
  <si>
    <t>244565</t>
  </si>
  <si>
    <t>H00244565</t>
  </si>
  <si>
    <t>244566</t>
  </si>
  <si>
    <t>H00244566</t>
  </si>
  <si>
    <t>244567</t>
  </si>
  <si>
    <t>H00244567</t>
  </si>
  <si>
    <t>Foundation Degree in Network Administration</t>
  </si>
  <si>
    <t>244568</t>
  </si>
  <si>
    <t>H00244568</t>
  </si>
  <si>
    <t>Foundation Degree in Network Infrastructure</t>
  </si>
  <si>
    <t>244570</t>
  </si>
  <si>
    <t>H00244570</t>
  </si>
  <si>
    <t>LLM Masters in Law</t>
  </si>
  <si>
    <t>244571</t>
  </si>
  <si>
    <t>H00244571</t>
  </si>
  <si>
    <t>244572</t>
  </si>
  <si>
    <t>H00244572</t>
  </si>
  <si>
    <t>244573</t>
  </si>
  <si>
    <t>H00244573</t>
  </si>
  <si>
    <t>BA (Hons) in Equine Management</t>
  </si>
  <si>
    <t>244574</t>
  </si>
  <si>
    <t>H00244574</t>
  </si>
  <si>
    <t>BA (Hons) in Garden Design and Business Management</t>
  </si>
  <si>
    <t>244575</t>
  </si>
  <si>
    <t>H00244575</t>
  </si>
  <si>
    <t>BA (Hons) in Golf Management</t>
  </si>
  <si>
    <t>244578</t>
  </si>
  <si>
    <t>H00244578</t>
  </si>
  <si>
    <t>244579</t>
  </si>
  <si>
    <t>H00244579</t>
  </si>
  <si>
    <t>Foundation Degree in Counselling (Integrative)</t>
  </si>
  <si>
    <t>244580</t>
  </si>
  <si>
    <t>H00244580</t>
  </si>
  <si>
    <t>Foundation Degree in Counselling (Humanistic)</t>
  </si>
  <si>
    <t>244581</t>
  </si>
  <si>
    <t>H00244581</t>
  </si>
  <si>
    <t>Foundation Degree in Neighbourhood Management</t>
  </si>
  <si>
    <t>244582</t>
  </si>
  <si>
    <t>H00244582</t>
  </si>
  <si>
    <t>Foundation Degree in Engineering</t>
  </si>
  <si>
    <t>244583</t>
  </si>
  <si>
    <t>H00244583</t>
  </si>
  <si>
    <t>Foundation Degree in Building Services Engineering</t>
  </si>
  <si>
    <t>244584</t>
  </si>
  <si>
    <t>H00244584</t>
  </si>
  <si>
    <t>Foundation Degree in Leisure and Tourism</t>
  </si>
  <si>
    <t>244589</t>
  </si>
  <si>
    <t>H00244589</t>
  </si>
  <si>
    <t>244594</t>
  </si>
  <si>
    <t>H00244594</t>
  </si>
  <si>
    <t>BA (Hons) in Fine Art Practices</t>
  </si>
  <si>
    <t>244595</t>
  </si>
  <si>
    <t>H00244595</t>
  </si>
  <si>
    <t>BA (Hons) in Applied Arts</t>
  </si>
  <si>
    <t>244596</t>
  </si>
  <si>
    <t>H00244596</t>
  </si>
  <si>
    <t>BA (Hons) in Spatial Design</t>
  </si>
  <si>
    <t>244597</t>
  </si>
  <si>
    <t>H00244597</t>
  </si>
  <si>
    <t>BA (Hons) in Fashion</t>
  </si>
  <si>
    <t>244598</t>
  </si>
  <si>
    <t>H00244598</t>
  </si>
  <si>
    <t>244605</t>
  </si>
  <si>
    <t>H00244605</t>
  </si>
  <si>
    <t>244608</t>
  </si>
  <si>
    <t>H00244608</t>
  </si>
  <si>
    <t>BA (Hons) in Theatre Arts</t>
  </si>
  <si>
    <t>244610</t>
  </si>
  <si>
    <t>H00244610</t>
  </si>
  <si>
    <t>Foundation Degree in Early Years Studies</t>
  </si>
  <si>
    <t>244612</t>
  </si>
  <si>
    <t>H00244612</t>
  </si>
  <si>
    <t>Foundation Degree in Fashion</t>
  </si>
  <si>
    <t>244613</t>
  </si>
  <si>
    <t>H00244613</t>
  </si>
  <si>
    <t>Foundation Degree in Fashion Interpretation and Practice</t>
  </si>
  <si>
    <t>244615</t>
  </si>
  <si>
    <t>H00244615</t>
  </si>
  <si>
    <t>Foundation Degree in Law</t>
  </si>
  <si>
    <t>244618</t>
  </si>
  <si>
    <t>H00244618</t>
  </si>
  <si>
    <t>Foundation Degree in Retail Management and Leadership</t>
  </si>
  <si>
    <t>244619</t>
  </si>
  <si>
    <t>H00244619</t>
  </si>
  <si>
    <t>244620</t>
  </si>
  <si>
    <t>H00244620</t>
  </si>
  <si>
    <t>HND in Visual Communication</t>
  </si>
  <si>
    <t>244621</t>
  </si>
  <si>
    <t>H00244621</t>
  </si>
  <si>
    <t>244622</t>
  </si>
  <si>
    <t>H00244622</t>
  </si>
  <si>
    <t>Foundation Degree in Youth in the Community</t>
  </si>
  <si>
    <t>244624</t>
  </si>
  <si>
    <t>H00244624</t>
  </si>
  <si>
    <t>Professional Diploma in Safety, Health and Environmental Management</t>
  </si>
  <si>
    <t>244625</t>
  </si>
  <si>
    <t>H00244625</t>
  </si>
  <si>
    <t>Foundation Degree in Animal Welfare</t>
  </si>
  <si>
    <t>244626</t>
  </si>
  <si>
    <t>H00244626</t>
  </si>
  <si>
    <t>244627</t>
  </si>
  <si>
    <t>H00244627</t>
  </si>
  <si>
    <t>HNC in Animal Welfare</t>
  </si>
  <si>
    <t>244628</t>
  </si>
  <si>
    <t>H00244628</t>
  </si>
  <si>
    <t>BSc (Hons) in Animal Welfare</t>
  </si>
  <si>
    <t>244629</t>
  </si>
  <si>
    <t>H00244629</t>
  </si>
  <si>
    <t>BSc (Hons) in Veterinary Nursing with Practice Management</t>
  </si>
  <si>
    <t>244630</t>
  </si>
  <si>
    <t>H00244630</t>
  </si>
  <si>
    <t>244631</t>
  </si>
  <si>
    <t>H00244631</t>
  </si>
  <si>
    <t>Foundation Degree in Equine Business Management</t>
  </si>
  <si>
    <t>244632</t>
  </si>
  <si>
    <t>H00244632</t>
  </si>
  <si>
    <t>Foundation Degree in Equine Science</t>
  </si>
  <si>
    <t>244633</t>
  </si>
  <si>
    <t>H00244633</t>
  </si>
  <si>
    <t>244634</t>
  </si>
  <si>
    <t>H00244634</t>
  </si>
  <si>
    <t>BA (Hons) in Equine Business Management</t>
  </si>
  <si>
    <t>244635</t>
  </si>
  <si>
    <t>H00244635</t>
  </si>
  <si>
    <t>244636</t>
  </si>
  <si>
    <t>H00244636</t>
  </si>
  <si>
    <t>244637</t>
  </si>
  <si>
    <t>H00244637</t>
  </si>
  <si>
    <t>Foundation Degree in Library and Information Studies</t>
  </si>
  <si>
    <t>244640</t>
  </si>
  <si>
    <t>H00244640</t>
  </si>
  <si>
    <t>Foundation Degree in Airline and Airport Operations</t>
  </si>
  <si>
    <t>244641</t>
  </si>
  <si>
    <t>H00244641</t>
  </si>
  <si>
    <t>Foundation Degree in Contemporary Music Production</t>
  </si>
  <si>
    <t>244645</t>
  </si>
  <si>
    <t>H00244645</t>
  </si>
  <si>
    <t>Foundation Degree in Families, Parenting and Communities</t>
  </si>
  <si>
    <t>244646</t>
  </si>
  <si>
    <t>H00244646</t>
  </si>
  <si>
    <t>Foundation Degree in Beauty and Spa Services</t>
  </si>
  <si>
    <t>244647</t>
  </si>
  <si>
    <t>H00244647</t>
  </si>
  <si>
    <t>Foundation Degree in Cabin Crew Management</t>
  </si>
  <si>
    <t>244649</t>
  </si>
  <si>
    <t>H00244649</t>
  </si>
  <si>
    <t>Foundation Degree in Spa Therapies</t>
  </si>
  <si>
    <t>244650</t>
  </si>
  <si>
    <t>H00244650</t>
  </si>
  <si>
    <t>244651</t>
  </si>
  <si>
    <t>H00244651</t>
  </si>
  <si>
    <t>BA (Hons) in Children and Young Persons</t>
  </si>
  <si>
    <t>244652</t>
  </si>
  <si>
    <t>H00244652</t>
  </si>
  <si>
    <t>BA (Hons) in Contemporary Dance</t>
  </si>
  <si>
    <t>244653</t>
  </si>
  <si>
    <t>H00244653</t>
  </si>
  <si>
    <t>BA (Hons) in Creative Practice</t>
  </si>
  <si>
    <t>244654</t>
  </si>
  <si>
    <t>H00244654</t>
  </si>
  <si>
    <t>BA (Hons) in Television and Media</t>
  </si>
  <si>
    <t>244655</t>
  </si>
  <si>
    <t>H00244655</t>
  </si>
  <si>
    <t>BSc (Hons) in Sports Therapy</t>
  </si>
  <si>
    <t>244656</t>
  </si>
  <si>
    <t>H00244656</t>
  </si>
  <si>
    <t>CertHE in Coaching (Cricket)</t>
  </si>
  <si>
    <t>244657</t>
  </si>
  <si>
    <t>H00244657</t>
  </si>
  <si>
    <t>Foundation Degree in Acting</t>
  </si>
  <si>
    <t>244658</t>
  </si>
  <si>
    <t>H00244658</t>
  </si>
  <si>
    <t>Foundation Degree in Animation and Illustration</t>
  </si>
  <si>
    <t>244659</t>
  </si>
  <si>
    <t>H00244659</t>
  </si>
  <si>
    <t>Foundation Degree in Beauty Therapy Management</t>
  </si>
  <si>
    <t>244660</t>
  </si>
  <si>
    <t>H00244660</t>
  </si>
  <si>
    <t>Foundation Degree in Children and Young Persons</t>
  </si>
  <si>
    <t>244661</t>
  </si>
  <si>
    <t>H00244661</t>
  </si>
  <si>
    <t>Foundation Degree in Coaching for Participation and Sport Performance</t>
  </si>
  <si>
    <t>244662</t>
  </si>
  <si>
    <t>H00244662</t>
  </si>
  <si>
    <t>Foundation Degree in Commercial Photographic Practice</t>
  </si>
  <si>
    <t>244663</t>
  </si>
  <si>
    <t>H00244663</t>
  </si>
  <si>
    <t>Foundation Degree in Community and Public Services</t>
  </si>
  <si>
    <t>244664</t>
  </si>
  <si>
    <t>H00244664</t>
  </si>
  <si>
    <t>244665</t>
  </si>
  <si>
    <t>H00244665</t>
  </si>
  <si>
    <t>Foundation Degree in Contemporary Ceramic Practice</t>
  </si>
  <si>
    <t>244666</t>
  </si>
  <si>
    <t>H00244666</t>
  </si>
  <si>
    <t>Foundation Degree in Contemporary Dance</t>
  </si>
  <si>
    <t>244667</t>
  </si>
  <si>
    <t>H00244667</t>
  </si>
  <si>
    <t>Foundation Degree in Creative Advertising</t>
  </si>
  <si>
    <t>244668</t>
  </si>
  <si>
    <t>H00244668</t>
  </si>
  <si>
    <t>Foundation Degree in Editorial and News Media Design</t>
  </si>
  <si>
    <t>244669</t>
  </si>
  <si>
    <t>H00244669</t>
  </si>
  <si>
    <t>244670</t>
  </si>
  <si>
    <t>H00244670</t>
  </si>
  <si>
    <t>244671</t>
  </si>
  <si>
    <t>H00244671</t>
  </si>
  <si>
    <t>244672</t>
  </si>
  <si>
    <t>H00244672</t>
  </si>
  <si>
    <t>244673</t>
  </si>
  <si>
    <t>H00244673</t>
  </si>
  <si>
    <t>Foundation Degree in ICT Support</t>
  </si>
  <si>
    <t>244675</t>
  </si>
  <si>
    <t>H00244675</t>
  </si>
  <si>
    <t>Foundation Degree in Live Music and Touring Production</t>
  </si>
  <si>
    <t>244676</t>
  </si>
  <si>
    <t>H00244676</t>
  </si>
  <si>
    <t>Foundation Degree in Managing and Developing Performance Sport</t>
  </si>
  <si>
    <t>244678</t>
  </si>
  <si>
    <t>H00244678</t>
  </si>
  <si>
    <t>244679</t>
  </si>
  <si>
    <t>H00244679</t>
  </si>
  <si>
    <t>Foundation Degree in Sports Training and Rehabilitation</t>
  </si>
  <si>
    <t>244680</t>
  </si>
  <si>
    <t>H00244680</t>
  </si>
  <si>
    <t>Foundation Degree in Stage Management and Technical Production</t>
  </si>
  <si>
    <t>244681</t>
  </si>
  <si>
    <t>H00244681</t>
  </si>
  <si>
    <t>Foundation Degree in Television and Media Practice</t>
  </si>
  <si>
    <t>244682</t>
  </si>
  <si>
    <t>H00244682</t>
  </si>
  <si>
    <t>Foundation Degree in Textiles</t>
  </si>
  <si>
    <t>244683</t>
  </si>
  <si>
    <t>H00244683</t>
  </si>
  <si>
    <t>244684</t>
  </si>
  <si>
    <t>H00244684</t>
  </si>
  <si>
    <t>Foundation Degree in Web Design and Development</t>
  </si>
  <si>
    <t>244685</t>
  </si>
  <si>
    <t>H00244685</t>
  </si>
  <si>
    <t>BSc (Hons) in Garden Design</t>
  </si>
  <si>
    <t>244686</t>
  </si>
  <si>
    <t>H00244686</t>
  </si>
  <si>
    <t>Foundation Degree in Creative and Cultural Industries: Graphics and Digital Design</t>
  </si>
  <si>
    <t>244687</t>
  </si>
  <si>
    <t>H00244687</t>
  </si>
  <si>
    <t>Foundation Degree in Mechanical Technology</t>
  </si>
  <si>
    <t>244688</t>
  </si>
  <si>
    <t>H00244688</t>
  </si>
  <si>
    <t>Foundation Degree in Manufacturing</t>
  </si>
  <si>
    <t>244689</t>
  </si>
  <si>
    <t>H00244689</t>
  </si>
  <si>
    <t>Foundation Degree in Playwork</t>
  </si>
  <si>
    <t>244691</t>
  </si>
  <si>
    <t>H00244691</t>
  </si>
  <si>
    <t>Foundation Degree in Creative Business and Information Technology</t>
  </si>
  <si>
    <t>244692</t>
  </si>
  <si>
    <t>H00244692</t>
  </si>
  <si>
    <t>Foundation Degree in Early Years Childcare and Education</t>
  </si>
  <si>
    <t>244693</t>
  </si>
  <si>
    <t>H00244693</t>
  </si>
  <si>
    <t>Foundation Degree in Working in the Voluntary and Community Sector</t>
  </si>
  <si>
    <t>244695</t>
  </si>
  <si>
    <t>H00244695</t>
  </si>
  <si>
    <t>BA (Hons) in Musical Theatre Studies</t>
  </si>
  <si>
    <t>244696</t>
  </si>
  <si>
    <t>H00244696</t>
  </si>
  <si>
    <t>Foundation Degree in TV and Broadcast Media</t>
  </si>
  <si>
    <t>244697</t>
  </si>
  <si>
    <t>H00244697</t>
  </si>
  <si>
    <t>BA (Hons) in Psychological Studies</t>
  </si>
  <si>
    <t>244698</t>
  </si>
  <si>
    <t>H00244698</t>
  </si>
  <si>
    <t>BA (Hons) in Counselling Studies</t>
  </si>
  <si>
    <t>244699</t>
  </si>
  <si>
    <t>H00244699</t>
  </si>
  <si>
    <t>BA (Hons) in Performance Studies (Drama)</t>
  </si>
  <si>
    <t>244701</t>
  </si>
  <si>
    <t>H00244701</t>
  </si>
  <si>
    <t>Foundation Degree in Advertising and Promotion</t>
  </si>
  <si>
    <t>244702</t>
  </si>
  <si>
    <t>H00244702</t>
  </si>
  <si>
    <t>244703</t>
  </si>
  <si>
    <t>H00244703</t>
  </si>
  <si>
    <t>244704</t>
  </si>
  <si>
    <t>H00244704</t>
  </si>
  <si>
    <t>Foundation Degree in Mental Health</t>
  </si>
  <si>
    <t>244705</t>
  </si>
  <si>
    <t>H00244705</t>
  </si>
  <si>
    <t>BA (Hons) in Health and Social Care</t>
  </si>
  <si>
    <t>244706</t>
  </si>
  <si>
    <t>H00244706</t>
  </si>
  <si>
    <t>BSc (Hons) in Manufacturing Management</t>
  </si>
  <si>
    <t>244707</t>
  </si>
  <si>
    <t>H00244707</t>
  </si>
  <si>
    <t>BSc (Hons) in Food Manufacturing Management</t>
  </si>
  <si>
    <t>244708</t>
  </si>
  <si>
    <t>H00244708</t>
  </si>
  <si>
    <t>BSc (Hons) in Logistics Management</t>
  </si>
  <si>
    <t>244709</t>
  </si>
  <si>
    <t>H00244709</t>
  </si>
  <si>
    <t>BA (Hons) in Music Practice and Technology</t>
  </si>
  <si>
    <t>244710</t>
  </si>
  <si>
    <t>H00244710</t>
  </si>
  <si>
    <t>BA (Hons) in 3D Design</t>
  </si>
  <si>
    <t>244711</t>
  </si>
  <si>
    <t>H00244711</t>
  </si>
  <si>
    <t>244712</t>
  </si>
  <si>
    <t>H00244712</t>
  </si>
  <si>
    <t>BA (Hons) in Moving Image</t>
  </si>
  <si>
    <t>244715</t>
  </si>
  <si>
    <t>H00244715</t>
  </si>
  <si>
    <t>Foundation Degree in Sound and Media Technology</t>
  </si>
  <si>
    <t>244716</t>
  </si>
  <si>
    <t>H00244716</t>
  </si>
  <si>
    <t>BSc (Hons) in Motorsport Engineering</t>
  </si>
  <si>
    <t>244717</t>
  </si>
  <si>
    <t>H00244717</t>
  </si>
  <si>
    <t>244718</t>
  </si>
  <si>
    <t>H00244718</t>
  </si>
  <si>
    <t>Foundation Degree in Family Learning</t>
  </si>
  <si>
    <t>244719</t>
  </si>
  <si>
    <t>H00244719</t>
  </si>
  <si>
    <t>Foundation Degree in Working in the Community</t>
  </si>
  <si>
    <t>244720</t>
  </si>
  <si>
    <t>H00244720</t>
  </si>
  <si>
    <t>Foundation Degree in Automotive Engineering (Manufacturing)</t>
  </si>
  <si>
    <t>244721</t>
  </si>
  <si>
    <t>H00244721</t>
  </si>
  <si>
    <t>Foundation Degree in Game Design and Development</t>
  </si>
  <si>
    <t>244723</t>
  </si>
  <si>
    <t>H00244723</t>
  </si>
  <si>
    <t>FdSc Marine Biology and Coastal Zone Management</t>
  </si>
  <si>
    <t>244724</t>
  </si>
  <si>
    <t>H00244724</t>
  </si>
  <si>
    <t>BSc (Hons) Marine Biology and Coastal Zone Management</t>
  </si>
  <si>
    <t>244725</t>
  </si>
  <si>
    <t>H00244725</t>
  </si>
  <si>
    <t>BSc (Hons) in Network Engineering and Systems Administration</t>
  </si>
  <si>
    <t>244726</t>
  </si>
  <si>
    <t>H00244726</t>
  </si>
  <si>
    <t>Foundation Degree in Network Engineering and Systems Administration</t>
  </si>
  <si>
    <t>244727</t>
  </si>
  <si>
    <t>H00244727</t>
  </si>
  <si>
    <t>Foundation Degree in Professional Practice (Health and Social Care)</t>
  </si>
  <si>
    <t>244728</t>
  </si>
  <si>
    <t>H00244728</t>
  </si>
  <si>
    <t>Foundation Degree in Project Control</t>
  </si>
  <si>
    <t>244729</t>
  </si>
  <si>
    <t>H00244729</t>
  </si>
  <si>
    <t>244730</t>
  </si>
  <si>
    <t>H00244730</t>
  </si>
  <si>
    <t>Foundation Degree in Ophthalmic Science and Technology</t>
  </si>
  <si>
    <t>244731</t>
  </si>
  <si>
    <t>H00244731</t>
  </si>
  <si>
    <t>244732</t>
  </si>
  <si>
    <t>H00244732</t>
  </si>
  <si>
    <t>244733</t>
  </si>
  <si>
    <t>H00244733</t>
  </si>
  <si>
    <t>Foundation Degree in Business Information Systems</t>
  </si>
  <si>
    <t>244734</t>
  </si>
  <si>
    <t>H00244734</t>
  </si>
  <si>
    <t>Foundation Degree in Events Management</t>
  </si>
  <si>
    <t>244735</t>
  </si>
  <si>
    <t>H00244735</t>
  </si>
  <si>
    <t>DipHE in Social and Community Studies</t>
  </si>
  <si>
    <t>244736</t>
  </si>
  <si>
    <t>H00244736</t>
  </si>
  <si>
    <t>244737</t>
  </si>
  <si>
    <t>H00244737</t>
  </si>
  <si>
    <t>Foundation Degree in Photo Imaging</t>
  </si>
  <si>
    <t>244738</t>
  </si>
  <si>
    <t>H00244738</t>
  </si>
  <si>
    <t>244739</t>
  </si>
  <si>
    <t>H00244739</t>
  </si>
  <si>
    <t>Foundation Degree in Environmental Health</t>
  </si>
  <si>
    <t>244740</t>
  </si>
  <si>
    <t>H00244740</t>
  </si>
  <si>
    <t>PGD in Acoustic Noise Control</t>
  </si>
  <si>
    <t>244741</t>
  </si>
  <si>
    <t>H00244741</t>
  </si>
  <si>
    <t>MSc in Acoustic Noise Control</t>
  </si>
  <si>
    <t>244742</t>
  </si>
  <si>
    <t>H00244742</t>
  </si>
  <si>
    <t>Foundation Degree in Creative Practices</t>
  </si>
  <si>
    <t>244743</t>
  </si>
  <si>
    <t>H00244743</t>
  </si>
  <si>
    <t>244744</t>
  </si>
  <si>
    <t>H00244744</t>
  </si>
  <si>
    <t>Foundation Degree in Fashion Design and Production</t>
  </si>
  <si>
    <t>244745</t>
  </si>
  <si>
    <t>H00244745</t>
  </si>
  <si>
    <t>244746</t>
  </si>
  <si>
    <t>H00244746</t>
  </si>
  <si>
    <t>Foundation Degree in Dance and Theatre Arts</t>
  </si>
  <si>
    <t>244747</t>
  </si>
  <si>
    <t>H00244747</t>
  </si>
  <si>
    <t>Foundation Degree in Telecommunications</t>
  </si>
  <si>
    <t>244748</t>
  </si>
  <si>
    <t>H00244748</t>
  </si>
  <si>
    <t>244750</t>
  </si>
  <si>
    <t>H00244750</t>
  </si>
  <si>
    <t>244751</t>
  </si>
  <si>
    <t>H00244751</t>
  </si>
  <si>
    <t>BA (Hons) in Communication Design</t>
  </si>
  <si>
    <t>244752</t>
  </si>
  <si>
    <t>H00244752</t>
  </si>
  <si>
    <t>BSc (Hons) in Computing and Internet Technologies</t>
  </si>
  <si>
    <t>244753</t>
  </si>
  <si>
    <t>H00244753</t>
  </si>
  <si>
    <t>244754</t>
  </si>
  <si>
    <t>H00244754</t>
  </si>
  <si>
    <t>BA (Hons) in Fashion Media and Promotion</t>
  </si>
  <si>
    <t>244755</t>
  </si>
  <si>
    <t>H00244755</t>
  </si>
  <si>
    <t>BA (Hons) in Fine Art (Painting)</t>
  </si>
  <si>
    <t>244756</t>
  </si>
  <si>
    <t>H00244756</t>
  </si>
  <si>
    <t>BA (Hons) in Fine Art (Printmaking)</t>
  </si>
  <si>
    <t>244757</t>
  </si>
  <si>
    <t>H00244757</t>
  </si>
  <si>
    <t>BA (Hons) in Fine Art (Sculpture)</t>
  </si>
  <si>
    <t>244758</t>
  </si>
  <si>
    <t>H00244758</t>
  </si>
  <si>
    <t>BA (Hons) in Media Arts</t>
  </si>
  <si>
    <t>244759</t>
  </si>
  <si>
    <t>H00244759</t>
  </si>
  <si>
    <t>BA (Hons) in Surface and Textile Design</t>
  </si>
  <si>
    <t>244760</t>
  </si>
  <si>
    <t>H00244760</t>
  </si>
  <si>
    <t>244761</t>
  </si>
  <si>
    <t>H00244761</t>
  </si>
  <si>
    <t>244762</t>
  </si>
  <si>
    <t>H00244762</t>
  </si>
  <si>
    <t>244763</t>
  </si>
  <si>
    <t>H00244763</t>
  </si>
  <si>
    <t>BSc (Hons) in Applied Animal Behaviour</t>
  </si>
  <si>
    <t>244764</t>
  </si>
  <si>
    <t>H00244764</t>
  </si>
  <si>
    <t>Foundation Degree in Music</t>
  </si>
  <si>
    <t>244765</t>
  </si>
  <si>
    <t>H00244765</t>
  </si>
  <si>
    <t>244766</t>
  </si>
  <si>
    <t>H00244766</t>
  </si>
  <si>
    <t>Foundation Degree in Theatre</t>
  </si>
  <si>
    <t>244772</t>
  </si>
  <si>
    <t>H00244772</t>
  </si>
  <si>
    <t>Foundation Degree in Clinical Physiology</t>
  </si>
  <si>
    <t>244773</t>
  </si>
  <si>
    <t>H00244773</t>
  </si>
  <si>
    <t>Foundation Degree in Audiology</t>
  </si>
  <si>
    <t>244775</t>
  </si>
  <si>
    <t>H00244775</t>
  </si>
  <si>
    <t>244777</t>
  </si>
  <si>
    <t>H00244777</t>
  </si>
  <si>
    <t>Foundation Degree in Computing (Business Information Technology)</t>
  </si>
  <si>
    <t>244779</t>
  </si>
  <si>
    <t>H00244779</t>
  </si>
  <si>
    <t>Foundation Degree in Health Services Management</t>
  </si>
  <si>
    <t>244781</t>
  </si>
  <si>
    <t>H00244781</t>
  </si>
  <si>
    <t>Foundation Degree in Business and Marketing</t>
  </si>
  <si>
    <t>244782</t>
  </si>
  <si>
    <t>H00244782</t>
  </si>
  <si>
    <t>244783</t>
  </si>
  <si>
    <t>H00244783</t>
  </si>
  <si>
    <t>Foundation Degree in Costume Design and Interpretation</t>
  </si>
  <si>
    <t>244784</t>
  </si>
  <si>
    <t>H00244784</t>
  </si>
  <si>
    <t>Foundation Degree in Fashion Design and Interpretation</t>
  </si>
  <si>
    <t>244785</t>
  </si>
  <si>
    <t>H00244785</t>
  </si>
  <si>
    <t>Foundation Degree in Digital Media Journalism</t>
  </si>
  <si>
    <t>244786</t>
  </si>
  <si>
    <t>H00244786</t>
  </si>
  <si>
    <t>Foundation Degree in Lens-based Photo Media</t>
  </si>
  <si>
    <t>244788</t>
  </si>
  <si>
    <t>H00244788</t>
  </si>
  <si>
    <t>Foundation Degree in Broadcast Media</t>
  </si>
  <si>
    <t>244789</t>
  </si>
  <si>
    <t>H00244789</t>
  </si>
  <si>
    <t>BA (Hons) in Applied Creative Design</t>
  </si>
  <si>
    <t>244791</t>
  </si>
  <si>
    <t>H00244791</t>
  </si>
  <si>
    <t>BA (Hons) in Lens-based Photo Media</t>
  </si>
  <si>
    <t>244793</t>
  </si>
  <si>
    <t>H00244793</t>
  </si>
  <si>
    <t>Foundation Degree in Construction Management</t>
  </si>
  <si>
    <t>244794</t>
  </si>
  <si>
    <t>H00244794</t>
  </si>
  <si>
    <t>Foundation Degree in Engineering Technology</t>
  </si>
  <si>
    <t>244795</t>
  </si>
  <si>
    <t>H00244795</t>
  </si>
  <si>
    <t>Foundation Degree in Dance</t>
  </si>
  <si>
    <t>244797</t>
  </si>
  <si>
    <t>H00244797</t>
  </si>
  <si>
    <t>Foundation Degree in Music Performance</t>
  </si>
  <si>
    <t>244798</t>
  </si>
  <si>
    <t>H00244798</t>
  </si>
  <si>
    <t>244799</t>
  </si>
  <si>
    <t>H00244799</t>
  </si>
  <si>
    <t>244801</t>
  </si>
  <si>
    <t>H00244801</t>
  </si>
  <si>
    <t>244802</t>
  </si>
  <si>
    <t>H00244802</t>
  </si>
  <si>
    <t>BA (Hons) in Acting</t>
  </si>
  <si>
    <t>244803</t>
  </si>
  <si>
    <t>H00244803</t>
  </si>
  <si>
    <t>BA (Hons) in Dance</t>
  </si>
  <si>
    <t>244804</t>
  </si>
  <si>
    <t>H00244804</t>
  </si>
  <si>
    <t>244805</t>
  </si>
  <si>
    <t>H00244805</t>
  </si>
  <si>
    <t>244806</t>
  </si>
  <si>
    <t>H00244806</t>
  </si>
  <si>
    <t>HND in Applied Information Technology</t>
  </si>
  <si>
    <t>244807</t>
  </si>
  <si>
    <t>H00244807</t>
  </si>
  <si>
    <t>244808</t>
  </si>
  <si>
    <t>H00244808</t>
  </si>
  <si>
    <t>244809</t>
  </si>
  <si>
    <t>H00244809</t>
  </si>
  <si>
    <t>Foundation Degree in Analytical Chemistry</t>
  </si>
  <si>
    <t>244810</t>
  </si>
  <si>
    <t>H00244810</t>
  </si>
  <si>
    <t>Foundation Degree in Biotechnology</t>
  </si>
  <si>
    <t>244811</t>
  </si>
  <si>
    <t>H00244811</t>
  </si>
  <si>
    <t>Foundation Degree in Leadership and Management</t>
  </si>
  <si>
    <t>244812</t>
  </si>
  <si>
    <t>H00244812</t>
  </si>
  <si>
    <t>BSc (Hons) in Applied Computing for Business</t>
  </si>
  <si>
    <t>244813</t>
  </si>
  <si>
    <t>H00244813</t>
  </si>
  <si>
    <t>BSc (Hons) in Management of Engineering Technologies</t>
  </si>
  <si>
    <t>244814</t>
  </si>
  <si>
    <t>H00244814</t>
  </si>
  <si>
    <t>BSc (Hons) in Applied Sports Coaching Science</t>
  </si>
  <si>
    <t>244815</t>
  </si>
  <si>
    <t>H00244815</t>
  </si>
  <si>
    <t>BSc (Hons) in Applied Health and Exercise Science</t>
  </si>
  <si>
    <t>244822</t>
  </si>
  <si>
    <t>H00244822</t>
  </si>
  <si>
    <t>Foundation Degree in Criminology (with Applied Social Science)</t>
  </si>
  <si>
    <t>244826</t>
  </si>
  <si>
    <t>H00244826</t>
  </si>
  <si>
    <t>Foundation Degree in Automotive Technologies</t>
  </si>
  <si>
    <t>244827</t>
  </si>
  <si>
    <t>H00244827</t>
  </si>
  <si>
    <t>244828</t>
  </si>
  <si>
    <t>H00244828</t>
  </si>
  <si>
    <t>Foundation Degree in Management and Leadership</t>
  </si>
  <si>
    <t>244829</t>
  </si>
  <si>
    <t>H00244829</t>
  </si>
  <si>
    <t>Foundation Degree in Human Resources Management and Business</t>
  </si>
  <si>
    <t>244830</t>
  </si>
  <si>
    <t>H00244830</t>
  </si>
  <si>
    <t>244831</t>
  </si>
  <si>
    <t>H00244831</t>
  </si>
  <si>
    <t>Foundation Degree in Salon and Spa Management</t>
  </si>
  <si>
    <t>244835</t>
  </si>
  <si>
    <t>H00244835</t>
  </si>
  <si>
    <t>244836</t>
  </si>
  <si>
    <t>H00244836</t>
  </si>
  <si>
    <t>Foundation Degree in Adventure Education Management</t>
  </si>
  <si>
    <t>244838</t>
  </si>
  <si>
    <t>H00244838</t>
  </si>
  <si>
    <t>BA (Hons) in Visual Communications</t>
  </si>
  <si>
    <t>244839</t>
  </si>
  <si>
    <t>H00244839</t>
  </si>
  <si>
    <t>244840</t>
  </si>
  <si>
    <t>H00244840</t>
  </si>
  <si>
    <t>BA (Hons) in Printed Textiles and Surface Pattern Design</t>
  </si>
  <si>
    <t>244841</t>
  </si>
  <si>
    <t>H00244841</t>
  </si>
  <si>
    <t>BA (Hons) in Fashion and Clothing</t>
  </si>
  <si>
    <t>244842</t>
  </si>
  <si>
    <t>H00244842</t>
  </si>
  <si>
    <t>244843</t>
  </si>
  <si>
    <t>H00244843</t>
  </si>
  <si>
    <t>244844</t>
  </si>
  <si>
    <t>H00244844</t>
  </si>
  <si>
    <t>BA (Hons) in Creative Advertising</t>
  </si>
  <si>
    <t>244845</t>
  </si>
  <si>
    <t>H00244845</t>
  </si>
  <si>
    <t>Foundation Degree in Advertising</t>
  </si>
  <si>
    <t>244846</t>
  </si>
  <si>
    <t>H00244846</t>
  </si>
  <si>
    <t>244847</t>
  </si>
  <si>
    <t>H00244847</t>
  </si>
  <si>
    <t>Foundation Degree in Housing Studies</t>
  </si>
  <si>
    <t>244848</t>
  </si>
  <si>
    <t>H00244848</t>
  </si>
  <si>
    <t>Foundation Degree in Complementary Medicine</t>
  </si>
  <si>
    <t>244849</t>
  </si>
  <si>
    <t>H00244849</t>
  </si>
  <si>
    <t>BA (Hons) in Photographic Media</t>
  </si>
  <si>
    <t>244852</t>
  </si>
  <si>
    <t>H00244852</t>
  </si>
  <si>
    <t>BA (Hons) in English and Politics (Joint Hons)</t>
  </si>
  <si>
    <t>244853</t>
  </si>
  <si>
    <t>H00244853</t>
  </si>
  <si>
    <t>BA (Hons) in English and Sociology (Joint Hons)</t>
  </si>
  <si>
    <t>244854</t>
  </si>
  <si>
    <t>H00244854</t>
  </si>
  <si>
    <t>BA (Hons) in History and English (Joint Hons)</t>
  </si>
  <si>
    <t>244855</t>
  </si>
  <si>
    <t>H00244855</t>
  </si>
  <si>
    <t>BA (Hons) in History and Politics (Joint Hons)</t>
  </si>
  <si>
    <t>244856</t>
  </si>
  <si>
    <t>H00244856</t>
  </si>
  <si>
    <t>BA (Hons) in History and Sociology (Joint Hons)</t>
  </si>
  <si>
    <t>244857</t>
  </si>
  <si>
    <t>H00244857</t>
  </si>
  <si>
    <t>BSc (Hons) in Applied Psychology</t>
  </si>
  <si>
    <t>244859</t>
  </si>
  <si>
    <t>H00244859</t>
  </si>
  <si>
    <t>BA (Hons) Public Services</t>
  </si>
  <si>
    <t>244860</t>
  </si>
  <si>
    <t>H00244860</t>
  </si>
  <si>
    <t>BA (Hons) in Early Years Childcare</t>
  </si>
  <si>
    <t>244861</t>
  </si>
  <si>
    <t>H00244861</t>
  </si>
  <si>
    <t>BA (Hons) in Working with Children and Young People</t>
  </si>
  <si>
    <t>244862</t>
  </si>
  <si>
    <t>H00244862</t>
  </si>
  <si>
    <t>BA (Hons) in Business Accounting</t>
  </si>
  <si>
    <t>244863</t>
  </si>
  <si>
    <t>H00244863</t>
  </si>
  <si>
    <t>BA (Hons) in Fine Art (Integrated Media)</t>
  </si>
  <si>
    <t>244864</t>
  </si>
  <si>
    <t>H00244864</t>
  </si>
  <si>
    <t>Foundation Degree in Public Sector Studies</t>
  </si>
  <si>
    <t>244865</t>
  </si>
  <si>
    <t>H00244865</t>
  </si>
  <si>
    <t>Foundation Degree in Management in Adult Care Settings</t>
  </si>
  <si>
    <t>244866</t>
  </si>
  <si>
    <t>H00244866</t>
  </si>
  <si>
    <t>HE Bridging Programme: Theatre Arts</t>
  </si>
  <si>
    <t>244867</t>
  </si>
  <si>
    <t>H00244867</t>
  </si>
  <si>
    <t>HE Bridging Programme: Music</t>
  </si>
  <si>
    <t>244869</t>
  </si>
  <si>
    <t>H00244869</t>
  </si>
  <si>
    <t>FdA in Children and Young People - Derby College</t>
  </si>
  <si>
    <t>244870</t>
  </si>
  <si>
    <t>H00244870</t>
  </si>
  <si>
    <t>Foundation Degree in Arboriculture</t>
  </si>
  <si>
    <t>244871</t>
  </si>
  <si>
    <t>H00244871</t>
  </si>
  <si>
    <t>Foundation Degree in Civil Engineering</t>
  </si>
  <si>
    <t>244872</t>
  </si>
  <si>
    <t>H00244872</t>
  </si>
  <si>
    <t>244873</t>
  </si>
  <si>
    <t>H00244873</t>
  </si>
  <si>
    <t>244874</t>
  </si>
  <si>
    <t>H00244874</t>
  </si>
  <si>
    <t>Foundation Degree in Horticulture and Garden Design</t>
  </si>
  <si>
    <t>244875</t>
  </si>
  <si>
    <t>H00244875</t>
  </si>
  <si>
    <t>Foundation Degree in Land Management</t>
  </si>
  <si>
    <t>244876</t>
  </si>
  <si>
    <t>H00244876</t>
  </si>
  <si>
    <t>Foundation Degree in Sportsturf and Groundsmanship</t>
  </si>
  <si>
    <t>244877</t>
  </si>
  <si>
    <t>H00244877</t>
  </si>
  <si>
    <t>BSc (Hons) in Land Management</t>
  </si>
  <si>
    <t>244878</t>
  </si>
  <si>
    <t>H00244878</t>
  </si>
  <si>
    <t>BSc (Hons) in Equine Management</t>
  </si>
  <si>
    <t>244879</t>
  </si>
  <si>
    <t>H00244879</t>
  </si>
  <si>
    <t>244882</t>
  </si>
  <si>
    <t>H00244882</t>
  </si>
  <si>
    <t>244883</t>
  </si>
  <si>
    <t>H00244883</t>
  </si>
  <si>
    <t>Foundation Degree in Golf Management</t>
  </si>
  <si>
    <t>244884</t>
  </si>
  <si>
    <t>H00244884</t>
  </si>
  <si>
    <t>Foundation Degree in Animal Management</t>
  </si>
  <si>
    <t>244885</t>
  </si>
  <si>
    <t>H00244885</t>
  </si>
  <si>
    <t>Foundation Degree in Animal Behaviour and Welfare</t>
  </si>
  <si>
    <t>244886</t>
  </si>
  <si>
    <t>H00244886</t>
  </si>
  <si>
    <t>244889</t>
  </si>
  <si>
    <t>H00244889</t>
  </si>
  <si>
    <t>Foundation Degree in Contemporary Textile Practice</t>
  </si>
  <si>
    <t>244890</t>
  </si>
  <si>
    <t>H00244890</t>
  </si>
  <si>
    <t>Foundation Degree in Costume Construction for Stage and Screen</t>
  </si>
  <si>
    <t>244891</t>
  </si>
  <si>
    <t>H00244891</t>
  </si>
  <si>
    <t>Foundation Degree in Commercial Photography</t>
  </si>
  <si>
    <t>244892</t>
  </si>
  <si>
    <t>H00244892</t>
  </si>
  <si>
    <t>Foundation Degree in Forensic Science and Archaeology</t>
  </si>
  <si>
    <t>244893</t>
  </si>
  <si>
    <t>H00244893</t>
  </si>
  <si>
    <t>244894</t>
  </si>
  <si>
    <t>H00244894</t>
  </si>
  <si>
    <t>BA (Hons) in Film Arts</t>
  </si>
  <si>
    <t>244895</t>
  </si>
  <si>
    <t>H00244895</t>
  </si>
  <si>
    <t>BA (Hons) in Animation Arts</t>
  </si>
  <si>
    <t>244896</t>
  </si>
  <si>
    <t>H00244896</t>
  </si>
  <si>
    <t>BA (Hons) in Design For Games</t>
  </si>
  <si>
    <t>244899</t>
  </si>
  <si>
    <t>H00244899</t>
  </si>
  <si>
    <t>Foundation Degree in Animation Arts</t>
  </si>
  <si>
    <t>244900</t>
  </si>
  <si>
    <t>H00244900</t>
  </si>
  <si>
    <t>Foundation Degree in Applied Arts (Ceramics, Glass and Metals)</t>
  </si>
  <si>
    <t>244901</t>
  </si>
  <si>
    <t>H00244901</t>
  </si>
  <si>
    <t>Foundation Degree in Design For Games</t>
  </si>
  <si>
    <t>244903</t>
  </si>
  <si>
    <t>H00244903</t>
  </si>
  <si>
    <t>244904</t>
  </si>
  <si>
    <t>H00244904</t>
  </si>
  <si>
    <t>Foundation Degree in Film Arts</t>
  </si>
  <si>
    <t>244905</t>
  </si>
  <si>
    <t>H00244905</t>
  </si>
  <si>
    <t>Foundation Degree in Fine Art Practices</t>
  </si>
  <si>
    <t>244906</t>
  </si>
  <si>
    <t>H00244906</t>
  </si>
  <si>
    <t>244907</t>
  </si>
  <si>
    <t>H00244907</t>
  </si>
  <si>
    <t>Foundation Degree in Illustration and Print</t>
  </si>
  <si>
    <t>244908</t>
  </si>
  <si>
    <t>H00244908</t>
  </si>
  <si>
    <t>Foundation Degree in Spatial Design</t>
  </si>
  <si>
    <t>244909</t>
  </si>
  <si>
    <t>H00244909</t>
  </si>
  <si>
    <t>Foundation Degree in Electrical Power Engineering</t>
  </si>
  <si>
    <t>244910</t>
  </si>
  <si>
    <t>H00244910</t>
  </si>
  <si>
    <t>Foundation Degree in Engineering Systems</t>
  </si>
  <si>
    <t>244913</t>
  </si>
  <si>
    <t>H00244913</t>
  </si>
  <si>
    <t>Certificate in Teaching in the Lifelong Learning Sector</t>
  </si>
  <si>
    <t>244914</t>
  </si>
  <si>
    <t>H00244914</t>
  </si>
  <si>
    <t>Diploma in Teaching in the Lifelong Learning Sector (DTLLS)</t>
  </si>
  <si>
    <t>244916</t>
  </si>
  <si>
    <t>H00244916</t>
  </si>
  <si>
    <t>Foundation Degree in Retail Management</t>
  </si>
  <si>
    <t>244917</t>
  </si>
  <si>
    <t>H00244917</t>
  </si>
  <si>
    <t>Foundation Degree in Housing and Community Studies</t>
  </si>
  <si>
    <t>244918</t>
  </si>
  <si>
    <t>H00244918</t>
  </si>
  <si>
    <t>Foundation Degree in Hospital and Health Care</t>
  </si>
  <si>
    <t>244919</t>
  </si>
  <si>
    <t>H00244919</t>
  </si>
  <si>
    <t>DipHE in Community and Youth Work</t>
  </si>
  <si>
    <t>244920</t>
  </si>
  <si>
    <t>H00244920</t>
  </si>
  <si>
    <t>Foundation Degree in Art and Design Enterprise</t>
  </si>
  <si>
    <t>244922</t>
  </si>
  <si>
    <t>H00244922</t>
  </si>
  <si>
    <t>244923</t>
  </si>
  <si>
    <t>H00244923</t>
  </si>
  <si>
    <t>244925</t>
  </si>
  <si>
    <t>H00244925</t>
  </si>
  <si>
    <t>HND in Criminology</t>
  </si>
  <si>
    <t>244926</t>
  </si>
  <si>
    <t>H00244926</t>
  </si>
  <si>
    <t>244927</t>
  </si>
  <si>
    <t>H00244927</t>
  </si>
  <si>
    <t>244928</t>
  </si>
  <si>
    <t>H00244928</t>
  </si>
  <si>
    <t>244929</t>
  </si>
  <si>
    <t>H00244929</t>
  </si>
  <si>
    <t>244932</t>
  </si>
  <si>
    <t>H00244932</t>
  </si>
  <si>
    <t>BA (Hons) in Airline and Airport Management</t>
  </si>
  <si>
    <t>244933</t>
  </si>
  <si>
    <t>H00244933</t>
  </si>
  <si>
    <t>BA (Hons) in Contemporary Acting</t>
  </si>
  <si>
    <t>244934</t>
  </si>
  <si>
    <t>H00244934</t>
  </si>
  <si>
    <t>BA (Hons) in Music Enterprise</t>
  </si>
  <si>
    <t>244935</t>
  </si>
  <si>
    <t>H00244935</t>
  </si>
  <si>
    <t>BA (Hons) in Contemporary Directing</t>
  </si>
  <si>
    <t>244936</t>
  </si>
  <si>
    <t>H00244936</t>
  </si>
  <si>
    <t>Certificate of Higher Education for Teachers in the Lifelong Learning Sector</t>
  </si>
  <si>
    <t>244937</t>
  </si>
  <si>
    <t>H00244937</t>
  </si>
  <si>
    <t>Certificate of Higher Education for Literacy Teachers in the Lifelong Learning Sector</t>
  </si>
  <si>
    <t>244938</t>
  </si>
  <si>
    <t>H00244938</t>
  </si>
  <si>
    <t>Certificate of Higher Education for Numeracy Teachers in the Lifelong Learning Sector</t>
  </si>
  <si>
    <t>244939</t>
  </si>
  <si>
    <t>H00244939</t>
  </si>
  <si>
    <t>BA (Hons) English: Communication at Work</t>
  </si>
  <si>
    <t>244940</t>
  </si>
  <si>
    <t>H00244940</t>
  </si>
  <si>
    <t>Professional Certificate in Education (Post Compulsory)</t>
  </si>
  <si>
    <t>244941</t>
  </si>
  <si>
    <t>H00244941</t>
  </si>
  <si>
    <t>244942</t>
  </si>
  <si>
    <t>H00244942</t>
  </si>
  <si>
    <t>244943</t>
  </si>
  <si>
    <t>H00244943</t>
  </si>
  <si>
    <t>Foundation Degree in Planning and Development</t>
  </si>
  <si>
    <t>244944</t>
  </si>
  <si>
    <t>H00244944</t>
  </si>
  <si>
    <t>Certificate in Education (Teaching in the Lifelong Learning Sector)</t>
  </si>
  <si>
    <t>244945</t>
  </si>
  <si>
    <t>H00244945</t>
  </si>
  <si>
    <t>PGCE in Education (Teaching in the Lifelong Learning Sector)</t>
  </si>
  <si>
    <t>244950</t>
  </si>
  <si>
    <t>H00244950</t>
  </si>
  <si>
    <t>HNC in Business (Bridging Modules)</t>
  </si>
  <si>
    <t>244951</t>
  </si>
  <si>
    <t>H00244951</t>
  </si>
  <si>
    <t>HNC in Applied Information Technology</t>
  </si>
  <si>
    <t>244953</t>
  </si>
  <si>
    <t>H00244953</t>
  </si>
  <si>
    <t>Certificate in Education - Lifelong Learning Sector (Mathematics and Numeracy)</t>
  </si>
  <si>
    <t>244954</t>
  </si>
  <si>
    <t>H00244954</t>
  </si>
  <si>
    <t>Certificate in Education - Lifelong Learning Sector (English Literacy)</t>
  </si>
  <si>
    <t>244955</t>
  </si>
  <si>
    <t>H00244955</t>
  </si>
  <si>
    <t>Certificate in Education - Lifelong Learning Sector (English ESOL)</t>
  </si>
  <si>
    <t>244960</t>
  </si>
  <si>
    <t>H00244960</t>
  </si>
  <si>
    <t>Foundation Degree in Popular Music and Production</t>
  </si>
  <si>
    <t>244961</t>
  </si>
  <si>
    <t>H00244961</t>
  </si>
  <si>
    <t>244962</t>
  </si>
  <si>
    <t>H00244962</t>
  </si>
  <si>
    <t>244963</t>
  </si>
  <si>
    <t>H00244963</t>
  </si>
  <si>
    <t>Foundation Degree in Criminal Justice</t>
  </si>
  <si>
    <t>244964</t>
  </si>
  <si>
    <t>H00244964</t>
  </si>
  <si>
    <t>Foundation Degree in Marine Engineering</t>
  </si>
  <si>
    <t>244965</t>
  </si>
  <si>
    <t>H00244965</t>
  </si>
  <si>
    <t>Foundation Degree in Working with Young People</t>
  </si>
  <si>
    <t>244966</t>
  </si>
  <si>
    <t>H00244966</t>
  </si>
  <si>
    <t>244967</t>
  </si>
  <si>
    <t>H00244967</t>
  </si>
  <si>
    <t>Foundation Degree in Service Sector Management</t>
  </si>
  <si>
    <t>244968</t>
  </si>
  <si>
    <t>H00244968</t>
  </si>
  <si>
    <t>Foundation Degree in Applied Music Practice</t>
  </si>
  <si>
    <t>244969</t>
  </si>
  <si>
    <t>H00244969</t>
  </si>
  <si>
    <t>Foundation Degree in Applied Art</t>
  </si>
  <si>
    <t>244970</t>
  </si>
  <si>
    <t>H00244970</t>
  </si>
  <si>
    <t>Foundation Degree in Media Design (Publishing)</t>
  </si>
  <si>
    <t>244971</t>
  </si>
  <si>
    <t>H00244971</t>
  </si>
  <si>
    <t>Foundation Degree in Marine Operations</t>
  </si>
  <si>
    <t>244972</t>
  </si>
  <si>
    <t>H00244972</t>
  </si>
  <si>
    <t>BEng (Hons) in Marine Engineering</t>
  </si>
  <si>
    <t>244974</t>
  </si>
  <si>
    <t>H00244974</t>
  </si>
  <si>
    <t>244975</t>
  </si>
  <si>
    <t>H00244975</t>
  </si>
  <si>
    <t>University Certificate in the Introduction to Counselling</t>
  </si>
  <si>
    <t>244977</t>
  </si>
  <si>
    <t>H00244977</t>
  </si>
  <si>
    <t>Certificate in Preparing to Teach in the Lifelong Learning Sector</t>
  </si>
  <si>
    <t>244978</t>
  </si>
  <si>
    <t>H00244978</t>
  </si>
  <si>
    <t>244980</t>
  </si>
  <si>
    <t>H00244980</t>
  </si>
  <si>
    <t>PGD in Perfusion Science</t>
  </si>
  <si>
    <t>244981</t>
  </si>
  <si>
    <t>H00244981</t>
  </si>
  <si>
    <t>244982</t>
  </si>
  <si>
    <t>H00244982</t>
  </si>
  <si>
    <t>Foundation Degree in Managing Health and Care Services</t>
  </si>
  <si>
    <t>244984</t>
  </si>
  <si>
    <t>H00244984</t>
  </si>
  <si>
    <t>Foundation Degree in E-Communications</t>
  </si>
  <si>
    <t>244985</t>
  </si>
  <si>
    <t>H00244985</t>
  </si>
  <si>
    <t>Professional Certificate in Management Studies</t>
  </si>
  <si>
    <t>244986</t>
  </si>
  <si>
    <t>H00244986</t>
  </si>
  <si>
    <t>Professional Diploma in Management Studies</t>
  </si>
  <si>
    <t>244987</t>
  </si>
  <si>
    <t>H00244987</t>
  </si>
  <si>
    <t>Foundation Degree in Teaching in the Lifelong Learning Sector</t>
  </si>
  <si>
    <t>244989</t>
  </si>
  <si>
    <t>H00244989</t>
  </si>
  <si>
    <t>244990</t>
  </si>
  <si>
    <t>H00244990</t>
  </si>
  <si>
    <t>Foundation Degree in Fire and Rescue Service Management</t>
  </si>
  <si>
    <t>244991</t>
  </si>
  <si>
    <t>H00244991</t>
  </si>
  <si>
    <t>Foundation Degree in Conservation Management</t>
  </si>
  <si>
    <t>244992</t>
  </si>
  <si>
    <t>H00244992</t>
  </si>
  <si>
    <t>244993</t>
  </si>
  <si>
    <t>H00244993</t>
  </si>
  <si>
    <t>Foundation Degree in Creative Industries and Technologies</t>
  </si>
  <si>
    <t>244994</t>
  </si>
  <si>
    <t>H00244994</t>
  </si>
  <si>
    <t>Foundation Degree in Fashion Design</t>
  </si>
  <si>
    <t>244995</t>
  </si>
  <si>
    <t>H00244995</t>
  </si>
  <si>
    <t>Foundation Degree in Creative Digital Communication</t>
  </si>
  <si>
    <t>244996</t>
  </si>
  <si>
    <t>H00244996</t>
  </si>
  <si>
    <t>BA (Hons) in Contemporary 3D Crafts</t>
  </si>
  <si>
    <t>244997</t>
  </si>
  <si>
    <t>H00244997</t>
  </si>
  <si>
    <t>244998</t>
  </si>
  <si>
    <t>H00244998</t>
  </si>
  <si>
    <t>BA in Education and Training</t>
  </si>
  <si>
    <t>244999</t>
  </si>
  <si>
    <t>H00244999</t>
  </si>
  <si>
    <t>Foundation Degree in Mechanical Engineering</t>
  </si>
  <si>
    <t>245000</t>
  </si>
  <si>
    <t>H00245000</t>
  </si>
  <si>
    <t>245001</t>
  </si>
  <si>
    <t>H00245001</t>
  </si>
  <si>
    <t>245007</t>
  </si>
  <si>
    <t>H00245007</t>
  </si>
  <si>
    <t>Foundation Degree in Animal Collection Management</t>
  </si>
  <si>
    <t>245008</t>
  </si>
  <si>
    <t>H00245008</t>
  </si>
  <si>
    <t>Foundation Degree in Wildlife Management and Conservation</t>
  </si>
  <si>
    <t>245009</t>
  </si>
  <si>
    <t>H00245009</t>
  </si>
  <si>
    <t>CertHE in Animal Collection Management</t>
  </si>
  <si>
    <t>245010</t>
  </si>
  <si>
    <t>H00245010</t>
  </si>
  <si>
    <t>CertHE in Wildlife Management and Conservation</t>
  </si>
  <si>
    <t>245011</t>
  </si>
  <si>
    <t>H00245011</t>
  </si>
  <si>
    <t>245012</t>
  </si>
  <si>
    <t>H00245012</t>
  </si>
  <si>
    <t>245013</t>
  </si>
  <si>
    <t>H00245013</t>
  </si>
  <si>
    <t>Foundation Degree in Literacies for Life</t>
  </si>
  <si>
    <t>245014</t>
  </si>
  <si>
    <t>H00245014</t>
  </si>
  <si>
    <t>FdSc Interactive Media Development</t>
  </si>
  <si>
    <t>245015</t>
  </si>
  <si>
    <t>H00245015</t>
  </si>
  <si>
    <t>BA (Hons) Management</t>
  </si>
  <si>
    <t>245016</t>
  </si>
  <si>
    <t>H00245016</t>
  </si>
  <si>
    <t>CertHE in Agricultural Management</t>
  </si>
  <si>
    <t>245017</t>
  </si>
  <si>
    <t>H00245017</t>
  </si>
  <si>
    <t>CertHE in Food Technology</t>
  </si>
  <si>
    <t>245018</t>
  </si>
  <si>
    <t>H00245018</t>
  </si>
  <si>
    <t>Foundation Degree in Promoting Healthy Communities</t>
  </si>
  <si>
    <t>245019</t>
  </si>
  <si>
    <t>H00245019</t>
  </si>
  <si>
    <t>Foundation Degree in Criminological Studies</t>
  </si>
  <si>
    <t>245020</t>
  </si>
  <si>
    <t>H00245020</t>
  </si>
  <si>
    <t>Foundation Degree in Sustainable Communities</t>
  </si>
  <si>
    <t>245021</t>
  </si>
  <si>
    <t>H00245021</t>
  </si>
  <si>
    <t>MA in Children's Literature</t>
  </si>
  <si>
    <t>245022</t>
  </si>
  <si>
    <t>H00245022</t>
  </si>
  <si>
    <t>245023</t>
  </si>
  <si>
    <t>H00245023</t>
  </si>
  <si>
    <t>Foundation Degree in Computer Networks and Communications</t>
  </si>
  <si>
    <t>245024</t>
  </si>
  <si>
    <t>H00245024</t>
  </si>
  <si>
    <t>Foundation Degree in Information Technology for Business</t>
  </si>
  <si>
    <t>245025</t>
  </si>
  <si>
    <t>H00245025</t>
  </si>
  <si>
    <t>Foundation Degree in Telecoms and Management</t>
  </si>
  <si>
    <t>245026</t>
  </si>
  <si>
    <t>H00245026</t>
  </si>
  <si>
    <t>BSc (Hons) in Wildlife and Countryside</t>
  </si>
  <si>
    <t>245027</t>
  </si>
  <si>
    <t>H00245027</t>
  </si>
  <si>
    <t>HND in Media Technology (Music)</t>
  </si>
  <si>
    <t>245028</t>
  </si>
  <si>
    <t>H00245028</t>
  </si>
  <si>
    <t>Foundation Degree in Design (Media Make-Up)</t>
  </si>
  <si>
    <t>245029</t>
  </si>
  <si>
    <t>H00245029</t>
  </si>
  <si>
    <t>245030</t>
  </si>
  <si>
    <t>H00245030</t>
  </si>
  <si>
    <t>BA (Hons) in Business Management with Finance</t>
  </si>
  <si>
    <t>245031</t>
  </si>
  <si>
    <t>H00245031</t>
  </si>
  <si>
    <t>245032</t>
  </si>
  <si>
    <t>H00245032</t>
  </si>
  <si>
    <t>BA (Hons) Acting</t>
  </si>
  <si>
    <t>245033</t>
  </si>
  <si>
    <t>H00245033</t>
  </si>
  <si>
    <t>BA (Hons) Musical Theatre</t>
  </si>
  <si>
    <t>245034</t>
  </si>
  <si>
    <t>H00245034</t>
  </si>
  <si>
    <t>245035</t>
  </si>
  <si>
    <t>H00245035</t>
  </si>
  <si>
    <t>BA (Hons) in Garden Design</t>
  </si>
  <si>
    <t>245036</t>
  </si>
  <si>
    <t>H00245036</t>
  </si>
  <si>
    <t>BA (Hons) in Floristry Design</t>
  </si>
  <si>
    <t>245037</t>
  </si>
  <si>
    <t>H00245037</t>
  </si>
  <si>
    <t>BA (Hons) in Police and Community Studies</t>
  </si>
  <si>
    <t>245038</t>
  </si>
  <si>
    <t>H00245038</t>
  </si>
  <si>
    <t>BA (Hons) in Sport and Adventure Management</t>
  </si>
  <si>
    <t>245039</t>
  </si>
  <si>
    <t>H00245039</t>
  </si>
  <si>
    <t>BSc (Hons) in Agricultural Resource Management</t>
  </si>
  <si>
    <t>245040</t>
  </si>
  <si>
    <t>H00245040</t>
  </si>
  <si>
    <t>Foundation Degree in Design</t>
  </si>
  <si>
    <t>245041</t>
  </si>
  <si>
    <t>H00245041</t>
  </si>
  <si>
    <t>Foundation Degree in Floristry Design</t>
  </si>
  <si>
    <t>245042</t>
  </si>
  <si>
    <t>H00245042</t>
  </si>
  <si>
    <t>245043</t>
  </si>
  <si>
    <t>H00245043</t>
  </si>
  <si>
    <t>245044</t>
  </si>
  <si>
    <t>H00245044</t>
  </si>
  <si>
    <t>245045</t>
  </si>
  <si>
    <t>H00245045</t>
  </si>
  <si>
    <t>245046</t>
  </si>
  <si>
    <t>H00245046</t>
  </si>
  <si>
    <t>Foundation Degree in Police and Forensic Studies</t>
  </si>
  <si>
    <t>245047</t>
  </si>
  <si>
    <t>H00245047</t>
  </si>
  <si>
    <t>Foundation Degree in Sustainable Environmental Management and Technologies</t>
  </si>
  <si>
    <t>245048</t>
  </si>
  <si>
    <t>H00245048</t>
  </si>
  <si>
    <t>MA in Agricultural Resource Management</t>
  </si>
  <si>
    <t>245049</t>
  </si>
  <si>
    <t>H00245049</t>
  </si>
  <si>
    <t>MA in Equine Business Management</t>
  </si>
  <si>
    <t>245050</t>
  </si>
  <si>
    <t>H00245050</t>
  </si>
  <si>
    <t>Foundation Degree in Project Management</t>
  </si>
  <si>
    <t>245051</t>
  </si>
  <si>
    <t>H00245051</t>
  </si>
  <si>
    <t>245052</t>
  </si>
  <si>
    <t>H00245052</t>
  </si>
  <si>
    <t>245053</t>
  </si>
  <si>
    <t>H00245053</t>
  </si>
  <si>
    <t>245056</t>
  </si>
  <si>
    <t>H00245056</t>
  </si>
  <si>
    <t>Foundation Degree in Sport Coaching</t>
  </si>
  <si>
    <t>245057</t>
  </si>
  <si>
    <t>H00245057</t>
  </si>
  <si>
    <t>245058</t>
  </si>
  <si>
    <t>H00245058</t>
  </si>
  <si>
    <t>Foundation Degree in Music Composition for Film and Media</t>
  </si>
  <si>
    <t>245059</t>
  </si>
  <si>
    <t>H00245059</t>
  </si>
  <si>
    <t>Foundation Degree in Early Years Care and Education</t>
  </si>
  <si>
    <t>245060</t>
  </si>
  <si>
    <t>H00245060</t>
  </si>
  <si>
    <t>245061</t>
  </si>
  <si>
    <t>H00245061</t>
  </si>
  <si>
    <t>Foundation Degree in Automotive Engineering</t>
  </si>
  <si>
    <t>245062</t>
  </si>
  <si>
    <t>H00245062</t>
  </si>
  <si>
    <t>Foundation Degree in Motorsport Engineering</t>
  </si>
  <si>
    <t>245063</t>
  </si>
  <si>
    <t>H00245063</t>
  </si>
  <si>
    <t>BA (Hons) n Contemporary Media Arts Practice</t>
  </si>
  <si>
    <t>245064</t>
  </si>
  <si>
    <t>H00245064</t>
  </si>
  <si>
    <t>CertEd in Further Education and Training (Advanced Practice)</t>
  </si>
  <si>
    <t>245065</t>
  </si>
  <si>
    <t>H00245065</t>
  </si>
  <si>
    <t>245066</t>
  </si>
  <si>
    <t>H00245066</t>
  </si>
  <si>
    <t>245067</t>
  </si>
  <si>
    <t>H00245067</t>
  </si>
  <si>
    <t>Foundation Degree in Creative Art Practice</t>
  </si>
  <si>
    <t>245068</t>
  </si>
  <si>
    <t>H00245068</t>
  </si>
  <si>
    <t>245069</t>
  </si>
  <si>
    <t>H00245069</t>
  </si>
  <si>
    <t>Foundation Degree in Community Health and Social Care</t>
  </si>
  <si>
    <t>245070</t>
  </si>
  <si>
    <t>H00245070</t>
  </si>
  <si>
    <t>245071</t>
  </si>
  <si>
    <t>H00245071</t>
  </si>
  <si>
    <t>Foundation Degree in Business and Human Resource Management</t>
  </si>
  <si>
    <t>245072</t>
  </si>
  <si>
    <t>H00245072</t>
  </si>
  <si>
    <t>Foundation Degree in Financial Services</t>
  </si>
  <si>
    <t>245073</t>
  </si>
  <si>
    <t>H00245073</t>
  </si>
  <si>
    <t>Foundation Degree in Health Trainers</t>
  </si>
  <si>
    <t>245074</t>
  </si>
  <si>
    <t>H00245074</t>
  </si>
  <si>
    <t>BA (Hons) in Housing Studies</t>
  </si>
  <si>
    <t>245075</t>
  </si>
  <si>
    <t>H00245075</t>
  </si>
  <si>
    <t>Foundation Degree in Health and Safety Management</t>
  </si>
  <si>
    <t>245076</t>
  </si>
  <si>
    <t>H00245076</t>
  </si>
  <si>
    <t>Foundation Degree in Packaging, Design and Branding</t>
  </si>
  <si>
    <t>245077</t>
  </si>
  <si>
    <t>H00245077</t>
  </si>
  <si>
    <t>Foundation Degree in Fashion, Textiles and Promotion</t>
  </si>
  <si>
    <t>245080</t>
  </si>
  <si>
    <t>H00245080</t>
  </si>
  <si>
    <t>245081</t>
  </si>
  <si>
    <t>H00245081</t>
  </si>
  <si>
    <t>BA (Hons) in Design for Digital Media</t>
  </si>
  <si>
    <t>245082</t>
  </si>
  <si>
    <t>H00245082</t>
  </si>
  <si>
    <t>245084</t>
  </si>
  <si>
    <t>H00245084</t>
  </si>
  <si>
    <t>Foundation Degree in Architectural Technology</t>
  </si>
  <si>
    <t>245085</t>
  </si>
  <si>
    <t>H00245085</t>
  </si>
  <si>
    <t>Foundation Degree in Automotive Technology</t>
  </si>
  <si>
    <t>245086</t>
  </si>
  <si>
    <t>H00245086</t>
  </si>
  <si>
    <t>Foundation Degree in Business and Financial Management</t>
  </si>
  <si>
    <t>245087</t>
  </si>
  <si>
    <t>H00245087</t>
  </si>
  <si>
    <t>Foundation Degree in Construction Project Management</t>
  </si>
  <si>
    <t>245088</t>
  </si>
  <si>
    <t>H00245088</t>
  </si>
  <si>
    <t>Foundation Degree in Ports and Logistics</t>
  </si>
  <si>
    <t>245089</t>
  </si>
  <si>
    <t>H00245089</t>
  </si>
  <si>
    <t>BA (Hons) in Community Performance Practice</t>
  </si>
  <si>
    <t>245090</t>
  </si>
  <si>
    <t>H00245090</t>
  </si>
  <si>
    <t>BEng (Hons) in Engineering Technology</t>
  </si>
  <si>
    <t>245091</t>
  </si>
  <si>
    <t>H00245091</t>
  </si>
  <si>
    <t>245092</t>
  </si>
  <si>
    <t>H00245092</t>
  </si>
  <si>
    <t>CertHE in Plant Use and Design</t>
  </si>
  <si>
    <t>245093</t>
  </si>
  <si>
    <t>H00245093</t>
  </si>
  <si>
    <t>245094</t>
  </si>
  <si>
    <t>H00245094</t>
  </si>
  <si>
    <t>245095</t>
  </si>
  <si>
    <t>H00245095</t>
  </si>
  <si>
    <t>CertHE in Performing Arts</t>
  </si>
  <si>
    <t>245096</t>
  </si>
  <si>
    <t>H00245096</t>
  </si>
  <si>
    <t>245099</t>
  </si>
  <si>
    <t>H00245099</t>
  </si>
  <si>
    <t>BEng (Hons) in Electrical and Electronic Engineering</t>
  </si>
  <si>
    <t>245100</t>
  </si>
  <si>
    <t>H00245100</t>
  </si>
  <si>
    <t>BSc (Hons) in Wildlife Management and Conservation</t>
  </si>
  <si>
    <t>245101</t>
  </si>
  <si>
    <t>H00245101</t>
  </si>
  <si>
    <t>Foundation Degree in Information, Advice and Guidance</t>
  </si>
  <si>
    <t>245102</t>
  </si>
  <si>
    <t>H00245102</t>
  </si>
  <si>
    <t>Foundation Degree in Forensic Science</t>
  </si>
  <si>
    <t>245103</t>
  </si>
  <si>
    <t>H00245103</t>
  </si>
  <si>
    <t>BA (Hons) History and Heritage</t>
  </si>
  <si>
    <t>245104</t>
  </si>
  <si>
    <t>H00245104</t>
  </si>
  <si>
    <t>245105</t>
  </si>
  <si>
    <t>H00245105</t>
  </si>
  <si>
    <t>Foundation Degree in Islamic Studies</t>
  </si>
  <si>
    <t>245106</t>
  </si>
  <si>
    <t>H00245106</t>
  </si>
  <si>
    <t>Foundation Degree in Theatre and Performance</t>
  </si>
  <si>
    <t>245107</t>
  </si>
  <si>
    <t>H00245107</t>
  </si>
  <si>
    <t>Foundation Degree in Education (Teaching Assistants)</t>
  </si>
  <si>
    <t>245108</t>
  </si>
  <si>
    <t>H00245108</t>
  </si>
  <si>
    <t>Foundation Degree in Creative and Cultural Industries: Digital Media Production</t>
  </si>
  <si>
    <t>245109</t>
  </si>
  <si>
    <t>H00245109</t>
  </si>
  <si>
    <t>Foundation Degree in Digital Production: Photography</t>
  </si>
  <si>
    <t>245110</t>
  </si>
  <si>
    <t>H00245110</t>
  </si>
  <si>
    <t>245111</t>
  </si>
  <si>
    <t>H00245111</t>
  </si>
  <si>
    <t>Foundation Degree in Film and TV Production Technology and Management</t>
  </si>
  <si>
    <t>245112</t>
  </si>
  <si>
    <t>H00245112</t>
  </si>
  <si>
    <t>245113</t>
  </si>
  <si>
    <t>H00245113</t>
  </si>
  <si>
    <t>Foundation Degree in Manufacturing Technology</t>
  </si>
  <si>
    <t>245116</t>
  </si>
  <si>
    <t>H00245116</t>
  </si>
  <si>
    <t>CertHE in International Travel and Tourism Operations Management</t>
  </si>
  <si>
    <t>245117</t>
  </si>
  <si>
    <t>H00245117</t>
  </si>
  <si>
    <t>Foundation Degree in Digital Radio Production</t>
  </si>
  <si>
    <t>245118</t>
  </si>
  <si>
    <t>H00245118</t>
  </si>
  <si>
    <t>Foundation Degree in Motor Engineering</t>
  </si>
  <si>
    <t>245119</t>
  </si>
  <si>
    <t>H00245119</t>
  </si>
  <si>
    <t>Foundation Degree in Software Engineering</t>
  </si>
  <si>
    <t>245120</t>
  </si>
  <si>
    <t>H00245120</t>
  </si>
  <si>
    <t>245121</t>
  </si>
  <si>
    <t>H00245121</t>
  </si>
  <si>
    <t>Foundation Degree in Legal Studies</t>
  </si>
  <si>
    <t>245124</t>
  </si>
  <si>
    <t>H00245124</t>
  </si>
  <si>
    <t>BSc (Hons) in Environmental Conservation</t>
  </si>
  <si>
    <t>245125</t>
  </si>
  <si>
    <t>H00245125</t>
  </si>
  <si>
    <t>Foundation Degree in Environmental Conservation</t>
  </si>
  <si>
    <t>245126</t>
  </si>
  <si>
    <t>H00245126</t>
  </si>
  <si>
    <t>Foundation Degree in Young Children's Learning and Development</t>
  </si>
  <si>
    <t>245128</t>
  </si>
  <si>
    <t>H00245128</t>
  </si>
  <si>
    <t>Foundation Degree in Media Writing and Production</t>
  </si>
  <si>
    <t>245130</t>
  </si>
  <si>
    <t>H00245130</t>
  </si>
  <si>
    <t>245131</t>
  </si>
  <si>
    <t>H00245131</t>
  </si>
  <si>
    <t>Foundation Degree in Web Development and Management</t>
  </si>
  <si>
    <t>245132</t>
  </si>
  <si>
    <t>H00245132</t>
  </si>
  <si>
    <t>Foundation Degree in Live Music and Theatre Production</t>
  </si>
  <si>
    <t>245133</t>
  </si>
  <si>
    <t>H00245133</t>
  </si>
  <si>
    <t>Foundation Degree in Beauty Therapy and Spa Management</t>
  </si>
  <si>
    <t>245134</t>
  </si>
  <si>
    <t>H00245134</t>
  </si>
  <si>
    <t>Foundation Degree in Management of Construction Technologies</t>
  </si>
  <si>
    <t>245135</t>
  </si>
  <si>
    <t>H00245135</t>
  </si>
  <si>
    <t>Foundation Degree in Applied Laboratory Techniques</t>
  </si>
  <si>
    <t>245136</t>
  </si>
  <si>
    <t>H00245136</t>
  </si>
  <si>
    <t>Foundation Degree in Network and Security Technologies</t>
  </si>
  <si>
    <t>245137</t>
  </si>
  <si>
    <t>H00245137</t>
  </si>
  <si>
    <t>BA (Hons) in Design Management</t>
  </si>
  <si>
    <t>245138</t>
  </si>
  <si>
    <t>H00245138</t>
  </si>
  <si>
    <t>BA (Hons) in Events Management</t>
  </si>
  <si>
    <t>245139</t>
  </si>
  <si>
    <t>H00245139</t>
  </si>
  <si>
    <t>BA (Hons) in Sport Management and Development</t>
  </si>
  <si>
    <t>245140</t>
  </si>
  <si>
    <t>H00245140</t>
  </si>
  <si>
    <t>BA (Hons) in Hospitality and Culinary Management</t>
  </si>
  <si>
    <t>245141</t>
  </si>
  <si>
    <t>H00245141</t>
  </si>
  <si>
    <t>BA (Hons) in Travel and Tourism Management</t>
  </si>
  <si>
    <t>245142</t>
  </si>
  <si>
    <t>H00245142</t>
  </si>
  <si>
    <t>BA (Hons) in Professional Practice in Complementary Therapies</t>
  </si>
  <si>
    <t>245143</t>
  </si>
  <si>
    <t>H00245143</t>
  </si>
  <si>
    <t>BA (Hons) in Social Care</t>
  </si>
  <si>
    <t>245144</t>
  </si>
  <si>
    <t>H00245144</t>
  </si>
  <si>
    <t>BSc (Hons) in Applied Technology</t>
  </si>
  <si>
    <t>245145</t>
  </si>
  <si>
    <t>H00245145</t>
  </si>
  <si>
    <t>BA (Hons) in Textiles and Surface Design</t>
  </si>
  <si>
    <t>245146</t>
  </si>
  <si>
    <t>H00245146</t>
  </si>
  <si>
    <t>BA (Hons) in Applied Arts for Enterprise</t>
  </si>
  <si>
    <t>245147</t>
  </si>
  <si>
    <t>H00245147</t>
  </si>
  <si>
    <t>BA (Hons) in Fashion Enterprise</t>
  </si>
  <si>
    <t>245148</t>
  </si>
  <si>
    <t>H00245148</t>
  </si>
  <si>
    <t>Foundation Degree in Creative Audio Technologies</t>
  </si>
  <si>
    <t>245149</t>
  </si>
  <si>
    <t>H00245149</t>
  </si>
  <si>
    <t>245150</t>
  </si>
  <si>
    <t>H00245150</t>
  </si>
  <si>
    <t>245151</t>
  </si>
  <si>
    <t>H00245151</t>
  </si>
  <si>
    <t>FdA Professional Practice in Early Years</t>
  </si>
  <si>
    <t>245152</t>
  </si>
  <si>
    <t>H00245152</t>
  </si>
  <si>
    <t>FdA Management</t>
  </si>
  <si>
    <t>245153</t>
  </si>
  <si>
    <t>H00245153</t>
  </si>
  <si>
    <t>BA (Hons) Early Childhood Studies</t>
  </si>
  <si>
    <t>245154</t>
  </si>
  <si>
    <t>H00245154</t>
  </si>
  <si>
    <t>Foundation Degree in Physical Activity and Sport</t>
  </si>
  <si>
    <t>245155</t>
  </si>
  <si>
    <t>H00245155</t>
  </si>
  <si>
    <t>245156</t>
  </si>
  <si>
    <t>H00245156</t>
  </si>
  <si>
    <t>245157</t>
  </si>
  <si>
    <t>H00245157</t>
  </si>
  <si>
    <t>Foundation Degree in Veterinary Nursing Science</t>
  </si>
  <si>
    <t>245158</t>
  </si>
  <si>
    <t>H00245158</t>
  </si>
  <si>
    <t>Foundation Degree in Security Management and Consultancy</t>
  </si>
  <si>
    <t>245159</t>
  </si>
  <si>
    <t>H00245159</t>
  </si>
  <si>
    <t>Foundation Degree in Communication and Networking Technologies</t>
  </si>
  <si>
    <t>245160</t>
  </si>
  <si>
    <t>H00245160</t>
  </si>
  <si>
    <t>Foundation Degree in Corporate Administration</t>
  </si>
  <si>
    <t>245161</t>
  </si>
  <si>
    <t>H00245161</t>
  </si>
  <si>
    <t>Foundation Degree in Corporate Administration with Human Resources</t>
  </si>
  <si>
    <t>245162</t>
  </si>
  <si>
    <t>H00245162</t>
  </si>
  <si>
    <t>Foundation Degree in Corporate Administration with Law</t>
  </si>
  <si>
    <t>245163</t>
  </si>
  <si>
    <t>H00245163</t>
  </si>
  <si>
    <t>Foundation Degree in Corporate Administration with Management</t>
  </si>
  <si>
    <t>245164</t>
  </si>
  <si>
    <t>H00245164</t>
  </si>
  <si>
    <t>Foundation Degree in Management Information Systems with Computing</t>
  </si>
  <si>
    <t>245165</t>
  </si>
  <si>
    <t>H00245165</t>
  </si>
  <si>
    <t>Foundation Degree in Organisational Leadership</t>
  </si>
  <si>
    <t>245166</t>
  </si>
  <si>
    <t>H00245166</t>
  </si>
  <si>
    <t>Foundation Degree in Outdoor Activities and Coaching</t>
  </si>
  <si>
    <t>245167</t>
  </si>
  <si>
    <t>H00245167</t>
  </si>
  <si>
    <t>Foundation Degree in Outdoor Activities and Management</t>
  </si>
  <si>
    <t>245168</t>
  </si>
  <si>
    <t>H00245168</t>
  </si>
  <si>
    <t>Foundation Degree in Outdoor Activities and Public Services</t>
  </si>
  <si>
    <t>245169</t>
  </si>
  <si>
    <t>H00245169</t>
  </si>
  <si>
    <t>Foundation Degree in Public Sector Administration</t>
  </si>
  <si>
    <t>245170</t>
  </si>
  <si>
    <t>H00245170</t>
  </si>
  <si>
    <t>Foundation Degree in Public Sector Administration with Human Resources</t>
  </si>
  <si>
    <t>245171</t>
  </si>
  <si>
    <t>H00245171</t>
  </si>
  <si>
    <t>Foundation Degree in Public Sector Administration with Law</t>
  </si>
  <si>
    <t>245172</t>
  </si>
  <si>
    <t>H00245172</t>
  </si>
  <si>
    <t>Foundation Degree in Public Sector Administration with Management</t>
  </si>
  <si>
    <t>245173</t>
  </si>
  <si>
    <t>H00245173</t>
  </si>
  <si>
    <t>Foundation Degree in Public Services with Law</t>
  </si>
  <si>
    <t>245174</t>
  </si>
  <si>
    <t>H00245174</t>
  </si>
  <si>
    <t>Foundation Degree in Software Development with Multimedia</t>
  </si>
  <si>
    <t>245175</t>
  </si>
  <si>
    <t>H00245175</t>
  </si>
  <si>
    <t>Foundation Degree in Sport and Coaching</t>
  </si>
  <si>
    <t>245176</t>
  </si>
  <si>
    <t>H00245176</t>
  </si>
  <si>
    <t>Foundation Degree in Sport and Management</t>
  </si>
  <si>
    <t>245177</t>
  </si>
  <si>
    <t>H00245177</t>
  </si>
  <si>
    <t>Foundation Degree in Sport and Science</t>
  </si>
  <si>
    <t>245180</t>
  </si>
  <si>
    <t>H00245180</t>
  </si>
  <si>
    <t>245181</t>
  </si>
  <si>
    <t>H00245181</t>
  </si>
  <si>
    <t>Certificate in Teaching Competence (CTLLS)</t>
  </si>
  <si>
    <t>245182</t>
  </si>
  <si>
    <t>H00245182</t>
  </si>
  <si>
    <t>Professional Certificate in Education (DTLLS)</t>
  </si>
  <si>
    <t>245183</t>
  </si>
  <si>
    <t>H00245183</t>
  </si>
  <si>
    <t>Professional Graduate Certificate in Education (DTLLS)</t>
  </si>
  <si>
    <t>245184</t>
  </si>
  <si>
    <t>H00245184</t>
  </si>
  <si>
    <t>Foundation Degree in Customer Care and Contact Centre Management</t>
  </si>
  <si>
    <t>245185</t>
  </si>
  <si>
    <t>H00245185</t>
  </si>
  <si>
    <t>Foundation Degree in Payroll Management</t>
  </si>
  <si>
    <t>245186</t>
  </si>
  <si>
    <t>H00245186</t>
  </si>
  <si>
    <t>HND in Theatrical Makeup and Costume</t>
  </si>
  <si>
    <t>245187</t>
  </si>
  <si>
    <t>H00245187</t>
  </si>
  <si>
    <t>Foundation Degree in Animal Therapy and Rehabilitation</t>
  </si>
  <si>
    <t>245188</t>
  </si>
  <si>
    <t>H00245188</t>
  </si>
  <si>
    <t>Foundation Degree in Animal Assisted Therapy</t>
  </si>
  <si>
    <t>245189</t>
  </si>
  <si>
    <t>H00245189</t>
  </si>
  <si>
    <t>BSc (Hons) in Canine Behaviour and Training</t>
  </si>
  <si>
    <t>245190</t>
  </si>
  <si>
    <t>H00245190</t>
  </si>
  <si>
    <t>University Advanced Certificate in Counselling Skills</t>
  </si>
  <si>
    <t>245191</t>
  </si>
  <si>
    <t>H00245191</t>
  </si>
  <si>
    <t>MSc in Osteopathy</t>
  </si>
  <si>
    <t>245192</t>
  </si>
  <si>
    <t>H00245192</t>
  </si>
  <si>
    <t>245193</t>
  </si>
  <si>
    <t>H00245193</t>
  </si>
  <si>
    <t>Foundation Degree in Post Compulsory Education and Training</t>
  </si>
  <si>
    <t>245194</t>
  </si>
  <si>
    <t>H00245194</t>
  </si>
  <si>
    <t>Foundation Degree in Advanced Practices in Beauty Therapy</t>
  </si>
  <si>
    <t>245195</t>
  </si>
  <si>
    <t>H00245195</t>
  </si>
  <si>
    <t>Foundation Degree in Creative Practice in Community Settings</t>
  </si>
  <si>
    <t>245196</t>
  </si>
  <si>
    <t>H00245196</t>
  </si>
  <si>
    <t>Foundation Degree in Community Development Work</t>
  </si>
  <si>
    <t>245197</t>
  </si>
  <si>
    <t>H00245197</t>
  </si>
  <si>
    <t>BEng in Metallurgy and Materials</t>
  </si>
  <si>
    <t>245198</t>
  </si>
  <si>
    <t>H00245198</t>
  </si>
  <si>
    <t>BSc (Hons) in Business Computing Solutions</t>
  </si>
  <si>
    <t>245199</t>
  </si>
  <si>
    <t>H00245199</t>
  </si>
  <si>
    <t>BSc (Hons) in Business Computing Solutions (with Networking)</t>
  </si>
  <si>
    <t>245200</t>
  </si>
  <si>
    <t>H00245200</t>
  </si>
  <si>
    <t>BSc (Hons) in Business Computing Solutions (with Internet Applications)</t>
  </si>
  <si>
    <t>245201</t>
  </si>
  <si>
    <t>H00245201</t>
  </si>
  <si>
    <t>BSc (Hons) in Business Computing Solutions (with Technical Support)</t>
  </si>
  <si>
    <t>245202</t>
  </si>
  <si>
    <t>H00245202</t>
  </si>
  <si>
    <t>BA (Hons) in Contemporary Surface Design and Textiles</t>
  </si>
  <si>
    <t>245203</t>
  </si>
  <si>
    <t>H00245203</t>
  </si>
  <si>
    <t>BA (Hons) in Beauty Therapy Management</t>
  </si>
  <si>
    <t>245204</t>
  </si>
  <si>
    <t>H00245204</t>
  </si>
  <si>
    <t>BA (Hons) in Advertising and Campaign Management</t>
  </si>
  <si>
    <t>245205</t>
  </si>
  <si>
    <t>H00245205</t>
  </si>
  <si>
    <t>BA (Hons) in Graphic Design, Illustration and Digital Media</t>
  </si>
  <si>
    <t>245209</t>
  </si>
  <si>
    <t>H00245209</t>
  </si>
  <si>
    <t>Foundation Degree in Music Business and Management</t>
  </si>
  <si>
    <t>245210</t>
  </si>
  <si>
    <t>H00245210</t>
  </si>
  <si>
    <t>BA (Hons) in Music Business and Management</t>
  </si>
  <si>
    <t>245211</t>
  </si>
  <si>
    <t>H00245211</t>
  </si>
  <si>
    <t>BA (Hons) in Contemporary Photographic Arts Practice</t>
  </si>
  <si>
    <t>245212</t>
  </si>
  <si>
    <t>H00245212</t>
  </si>
  <si>
    <t>245213</t>
  </si>
  <si>
    <t>H00245213</t>
  </si>
  <si>
    <t>Foundation Degree in Computing (Information Systems)</t>
  </si>
  <si>
    <t>245214</t>
  </si>
  <si>
    <t>H00245214</t>
  </si>
  <si>
    <t>245216</t>
  </si>
  <si>
    <t>H00245216</t>
  </si>
  <si>
    <t>HE Bridging Programme: Business Administration</t>
  </si>
  <si>
    <t>245217</t>
  </si>
  <si>
    <t>H00245217</t>
  </si>
  <si>
    <t>HE Bridging Programme: Computing (Information Systems)</t>
  </si>
  <si>
    <t>245218</t>
  </si>
  <si>
    <t>H00245218</t>
  </si>
  <si>
    <t>BSc (Ord/Hons) in Animal Behaviour and Welfare</t>
  </si>
  <si>
    <t>245219</t>
  </si>
  <si>
    <t>H00245219</t>
  </si>
  <si>
    <t>BSc (Ord/Hons) in Conservation Management</t>
  </si>
  <si>
    <t>245220</t>
  </si>
  <si>
    <t>H00245220</t>
  </si>
  <si>
    <t>BEng (Hons) Mechatronics</t>
  </si>
  <si>
    <t>245221</t>
  </si>
  <si>
    <t>H00245221</t>
  </si>
  <si>
    <t>BEng Mechanical and Production Engineering</t>
  </si>
  <si>
    <t>245222</t>
  </si>
  <si>
    <t>H00245222</t>
  </si>
  <si>
    <t>BEng (Hons) Mechanical and Production Engineering</t>
  </si>
  <si>
    <t>245223</t>
  </si>
  <si>
    <t>H00245223</t>
  </si>
  <si>
    <t>245224</t>
  </si>
  <si>
    <t>H00245224</t>
  </si>
  <si>
    <t>HE Bridging Programme: Network Engineering and System Administration</t>
  </si>
  <si>
    <t>245225</t>
  </si>
  <si>
    <t>H00245225</t>
  </si>
  <si>
    <t>245226</t>
  </si>
  <si>
    <t>H00245226</t>
  </si>
  <si>
    <t>Foundation Degree in Creative Writing Enterprise</t>
  </si>
  <si>
    <t>245229</t>
  </si>
  <si>
    <t>H00245229</t>
  </si>
  <si>
    <t>Foundation Degree in Teaching and Learning</t>
  </si>
  <si>
    <t>245231</t>
  </si>
  <si>
    <t>H00245231</t>
  </si>
  <si>
    <t>Enhanced First Degree in Osteopathic Medicine (Integrated)</t>
  </si>
  <si>
    <t>245232</t>
  </si>
  <si>
    <t>H00245232</t>
  </si>
  <si>
    <t>Foundation Degree in Education and Learning Support</t>
  </si>
  <si>
    <t>245233</t>
  </si>
  <si>
    <t>H00245233</t>
  </si>
  <si>
    <t>Foundation Degree in Process Engineering</t>
  </si>
  <si>
    <t>245235</t>
  </si>
  <si>
    <t>H00245235</t>
  </si>
  <si>
    <t>BSc (Hons) in Media Production (Film and Television)</t>
  </si>
  <si>
    <t>245236</t>
  </si>
  <si>
    <t>H00245236</t>
  </si>
  <si>
    <t>BSc (Hons) in Media Production (Radio)</t>
  </si>
  <si>
    <t>245237</t>
  </si>
  <si>
    <t>H00245237</t>
  </si>
  <si>
    <t>BSc (Hons) in Media Production (Photography)</t>
  </si>
  <si>
    <t>245238</t>
  </si>
  <si>
    <t>H00245238</t>
  </si>
  <si>
    <t>BSc (Hons) in Media Production (Music)</t>
  </si>
  <si>
    <t>245239</t>
  </si>
  <si>
    <t>H00245239</t>
  </si>
  <si>
    <t>BSc (Hons) in Media Production (Multimedia)</t>
  </si>
  <si>
    <t>245240</t>
  </si>
  <si>
    <t>H00245240</t>
  </si>
  <si>
    <t>DipHE in Counselling (Humanistic/Gestalt)</t>
  </si>
  <si>
    <t>245241</t>
  </si>
  <si>
    <t>H00245241</t>
  </si>
  <si>
    <t>Foundation Degree in Working with Children</t>
  </si>
  <si>
    <t>245242</t>
  </si>
  <si>
    <t>H00245242</t>
  </si>
  <si>
    <t>HNC in Legal Studies</t>
  </si>
  <si>
    <t>245243</t>
  </si>
  <si>
    <t>H00245243</t>
  </si>
  <si>
    <t>HNC in Contracting Management</t>
  </si>
  <si>
    <t>245244</t>
  </si>
  <si>
    <t>H00245244</t>
  </si>
  <si>
    <t>Foundation Degree in Science (First Year)</t>
  </si>
  <si>
    <t>245245</t>
  </si>
  <si>
    <t>H00245245</t>
  </si>
  <si>
    <t>Foundation Degree in Human Resources Management</t>
  </si>
  <si>
    <t>245246</t>
  </si>
  <si>
    <t>H00245246</t>
  </si>
  <si>
    <t>BEng in Engineering</t>
  </si>
  <si>
    <t>245247</t>
  </si>
  <si>
    <t>H00245247</t>
  </si>
  <si>
    <t>Foundation Degree in Health and Personal Training</t>
  </si>
  <si>
    <t>245248</t>
  </si>
  <si>
    <t>H00245248</t>
  </si>
  <si>
    <t>Certificate of Professional Development in Graduate Development</t>
  </si>
  <si>
    <t>245253</t>
  </si>
  <si>
    <t>H00245253</t>
  </si>
  <si>
    <t>Foundation Degree in Professional Practice: Art and Design</t>
  </si>
  <si>
    <t>245254</t>
  </si>
  <si>
    <t>H00245254</t>
  </si>
  <si>
    <t>Foundation Degree in Spa (Management)</t>
  </si>
  <si>
    <t>245255</t>
  </si>
  <si>
    <t>H00245255</t>
  </si>
  <si>
    <t>Foundation Degree in Spa (Therapies)</t>
  </si>
  <si>
    <t>245256</t>
  </si>
  <si>
    <t>H00245256</t>
  </si>
  <si>
    <t>Foundation Degree in Hairdressing and Salon Management</t>
  </si>
  <si>
    <t>245257</t>
  </si>
  <si>
    <t>H00245257</t>
  </si>
  <si>
    <t>Foundation Degree in Teaching in the Lifelong Learning Sector (ESOL)</t>
  </si>
  <si>
    <t>245258</t>
  </si>
  <si>
    <t>H00245258</t>
  </si>
  <si>
    <t>Foundation Degree in Teaching in the Lifelong Learning Sector (Skills For Life : Literacy)</t>
  </si>
  <si>
    <t>245259</t>
  </si>
  <si>
    <t>H00245259</t>
  </si>
  <si>
    <t>Foundation Degree in Teaching in the Lifelong Learning Sector (Production Design)</t>
  </si>
  <si>
    <t>245260</t>
  </si>
  <si>
    <t>H00245260</t>
  </si>
  <si>
    <t>Foundation Degree in Teaching in the Lifelong Learning Sector (Public Services)</t>
  </si>
  <si>
    <t>245261</t>
  </si>
  <si>
    <t>H00245261</t>
  </si>
  <si>
    <t>Foundation Degree in Teaching in the Lifelong Learning Sector (Mechanical and Manufacturing Engineering)</t>
  </si>
  <si>
    <t>245262</t>
  </si>
  <si>
    <t>H00245262</t>
  </si>
  <si>
    <t>Foundation Degree in Sport and Fitness</t>
  </si>
  <si>
    <t>245265</t>
  </si>
  <si>
    <t>H00245265</t>
  </si>
  <si>
    <t>Professional Diploma in Teaching in the Lifelong Learning Sector</t>
  </si>
  <si>
    <t>245266</t>
  </si>
  <si>
    <t>H00245266</t>
  </si>
  <si>
    <t>Professional Graduate Diploma in Teaching in the Lifelong Learning Sector</t>
  </si>
  <si>
    <t>245267</t>
  </si>
  <si>
    <t>H00245267</t>
  </si>
  <si>
    <t>Foundation Degree in Supply Chain Management</t>
  </si>
  <si>
    <t>245268</t>
  </si>
  <si>
    <t>H00245268</t>
  </si>
  <si>
    <t>Foundation Degree in Integrated Children's Services</t>
  </si>
  <si>
    <t>245269</t>
  </si>
  <si>
    <t>H00245269</t>
  </si>
  <si>
    <t>BSc (Hons) in Biomedical Science</t>
  </si>
  <si>
    <t>245270</t>
  </si>
  <si>
    <t>H00245270</t>
  </si>
  <si>
    <t>BSc (Hons) in Applied Biomedical Science</t>
  </si>
  <si>
    <t>245271</t>
  </si>
  <si>
    <t>H00245271</t>
  </si>
  <si>
    <t>Foundation Degree in Tourism Management (Aviation Management and Operations)</t>
  </si>
  <si>
    <t>245272</t>
  </si>
  <si>
    <t>H00245272</t>
  </si>
  <si>
    <t>Foundation Degree in Tourism Management (Adventure Tourism)</t>
  </si>
  <si>
    <t>245273</t>
  </si>
  <si>
    <t>H00245273</t>
  </si>
  <si>
    <t>Foundation Degree in Tourism Management (International Tourism)</t>
  </si>
  <si>
    <t>245274</t>
  </si>
  <si>
    <t>H00245274</t>
  </si>
  <si>
    <t>Foundation Degree in Tourism Management (Visitor Attractions)</t>
  </si>
  <si>
    <t>245275</t>
  </si>
  <si>
    <t>H00245275</t>
  </si>
  <si>
    <t>Foundation Degree in Hospitality Management (Culinary Arts)</t>
  </si>
  <si>
    <t>245276</t>
  </si>
  <si>
    <t>H00245276</t>
  </si>
  <si>
    <t>Foundation Degree in Hospitality Management (Events)</t>
  </si>
  <si>
    <t>245277</t>
  </si>
  <si>
    <t>H00245277</t>
  </si>
  <si>
    <t>Foundation Degree in Hospitality Management (Hotel, Resorts and Restaurants)</t>
  </si>
  <si>
    <t>245278</t>
  </si>
  <si>
    <t>H00245278</t>
  </si>
  <si>
    <t>Foundation Degree in Hospitality Management (Pubs, Clubs and Nightclubs)</t>
  </si>
  <si>
    <t>245279</t>
  </si>
  <si>
    <t>H00245279</t>
  </si>
  <si>
    <t>245280</t>
  </si>
  <si>
    <t>H00245280</t>
  </si>
  <si>
    <t>245281</t>
  </si>
  <si>
    <t>H00245281</t>
  </si>
  <si>
    <t>245282</t>
  </si>
  <si>
    <t>H00245282</t>
  </si>
  <si>
    <t>CertHE in Tourism and Events Management</t>
  </si>
  <si>
    <t>245283</t>
  </si>
  <si>
    <t>H00245283</t>
  </si>
  <si>
    <t>245284</t>
  </si>
  <si>
    <t>H00245284</t>
  </si>
  <si>
    <t>CertHE in Engineering</t>
  </si>
  <si>
    <t>245285</t>
  </si>
  <si>
    <t>H00245285</t>
  </si>
  <si>
    <t>BA (Hons) in Early Years Practice</t>
  </si>
  <si>
    <t>245286</t>
  </si>
  <si>
    <t>H00245286</t>
  </si>
  <si>
    <t>BSc (Hons) in Complementary Therapies</t>
  </si>
  <si>
    <t>245287</t>
  </si>
  <si>
    <t>H00245287</t>
  </si>
  <si>
    <t>PGD in Human Resource Management</t>
  </si>
  <si>
    <t>245288</t>
  </si>
  <si>
    <t>H00245288</t>
  </si>
  <si>
    <t>PGC in Human Resource Management</t>
  </si>
  <si>
    <t>245289</t>
  </si>
  <si>
    <t>H00245289</t>
  </si>
  <si>
    <t>245290</t>
  </si>
  <si>
    <t>H00245290</t>
  </si>
  <si>
    <t>CertHE in Business Management</t>
  </si>
  <si>
    <t>245291</t>
  </si>
  <si>
    <t>H00245291</t>
  </si>
  <si>
    <t>245292</t>
  </si>
  <si>
    <t>H00245292</t>
  </si>
  <si>
    <t>245293</t>
  </si>
  <si>
    <t>H00245293</t>
  </si>
  <si>
    <t>Professional Graduate Certificate in Teaching in the Lifelong Learning Sector</t>
  </si>
  <si>
    <t>245294</t>
  </si>
  <si>
    <t>H00245294</t>
  </si>
  <si>
    <t>BA in Fine Art</t>
  </si>
  <si>
    <t>245295</t>
  </si>
  <si>
    <t>H00245295</t>
  </si>
  <si>
    <t>DipHE in Web Technology</t>
  </si>
  <si>
    <t>245296</t>
  </si>
  <si>
    <t>H00245296</t>
  </si>
  <si>
    <t>DipHE in Multimedia Technology</t>
  </si>
  <si>
    <t>245297</t>
  </si>
  <si>
    <t>H00245297</t>
  </si>
  <si>
    <t>245298</t>
  </si>
  <si>
    <t>H00245298</t>
  </si>
  <si>
    <t>Diploma in Teaching in the Lifelong Learning Sector</t>
  </si>
  <si>
    <t>245299</t>
  </si>
  <si>
    <t>H00245299</t>
  </si>
  <si>
    <t>Foundation Degree in Early Childhood Services</t>
  </si>
  <si>
    <t>245304</t>
  </si>
  <si>
    <t>H00245304</t>
  </si>
  <si>
    <t>DipHE in Business Studies</t>
  </si>
  <si>
    <t>245306</t>
  </si>
  <si>
    <t>H00245306</t>
  </si>
  <si>
    <t>BSc (Hons) in Applied Science</t>
  </si>
  <si>
    <t>245307</t>
  </si>
  <si>
    <t>H00245307</t>
  </si>
  <si>
    <t>BSc (Hons) in Mechanical and Manufacturing Engineering</t>
  </si>
  <si>
    <t>245308</t>
  </si>
  <si>
    <t>H00245308</t>
  </si>
  <si>
    <t>Foundation Degree in Computing for Games and Interactive Media</t>
  </si>
  <si>
    <t>245309</t>
  </si>
  <si>
    <t>H00245309</t>
  </si>
  <si>
    <t>Foundation Degree in Games Development</t>
  </si>
  <si>
    <t>245310</t>
  </si>
  <si>
    <t>H00245310</t>
  </si>
  <si>
    <t>Foundation Degree in Renewable Energy Technologies</t>
  </si>
  <si>
    <t>245311</t>
  </si>
  <si>
    <t>H00245311</t>
  </si>
  <si>
    <t>Foundation Degree in Subsea Engineering</t>
  </si>
  <si>
    <t>245312</t>
  </si>
  <si>
    <t>H00245312</t>
  </si>
  <si>
    <t>MSc in Applied Computing</t>
  </si>
  <si>
    <t>245313</t>
  </si>
  <si>
    <t>H00245313</t>
  </si>
  <si>
    <t>Foundation Degree in Fitness Training and Healthy Lifestyles</t>
  </si>
  <si>
    <t>245314</t>
  </si>
  <si>
    <t>H00245314</t>
  </si>
  <si>
    <t>Foundation Degree in Sports Tourism, Coaching and Development</t>
  </si>
  <si>
    <t>245315</t>
  </si>
  <si>
    <t>H00245315</t>
  </si>
  <si>
    <t>BSc (Hons) in Engineering Systems</t>
  </si>
  <si>
    <t>245316</t>
  </si>
  <si>
    <t>H00245316</t>
  </si>
  <si>
    <t>Foundation Degree in Process Plant Engineering</t>
  </si>
  <si>
    <t>245317</t>
  </si>
  <si>
    <t>H00245317</t>
  </si>
  <si>
    <t>Foundation Degree in Managing Drug and Alcohol Misuse</t>
  </si>
  <si>
    <t>245318</t>
  </si>
  <si>
    <t>H00245318</t>
  </si>
  <si>
    <t>Foundation Degree in Healthcare Leadership</t>
  </si>
  <si>
    <t>245319</t>
  </si>
  <si>
    <t>H00245319</t>
  </si>
  <si>
    <t>Foundation Degree in Spatial Disciplines</t>
  </si>
  <si>
    <t>245320</t>
  </si>
  <si>
    <t>H00245320</t>
  </si>
  <si>
    <t>BA (Hons) Health and Social Care (Adult)</t>
  </si>
  <si>
    <t>245321</t>
  </si>
  <si>
    <t>H00245321</t>
  </si>
  <si>
    <t>BA (Hons) Health and Social Care (Child)</t>
  </si>
  <si>
    <t>245322</t>
  </si>
  <si>
    <t>H00245322</t>
  </si>
  <si>
    <t>BSc (Hons) in Interactive Design</t>
  </si>
  <si>
    <t>245323</t>
  </si>
  <si>
    <t>H00245323</t>
  </si>
  <si>
    <t>BSc (Ord/Hons) in Computer Science</t>
  </si>
  <si>
    <t>245324</t>
  </si>
  <si>
    <t>H00245324</t>
  </si>
  <si>
    <t>245325</t>
  </si>
  <si>
    <t>H00245325</t>
  </si>
  <si>
    <t>BA (Hons) in Wildlife and Environmental Photography</t>
  </si>
  <si>
    <t>245326</t>
  </si>
  <si>
    <t>H00245326</t>
  </si>
  <si>
    <t>HE Bridging Programme: Autosport Technology</t>
  </si>
  <si>
    <t>245327</t>
  </si>
  <si>
    <t>H00245327</t>
  </si>
  <si>
    <t>Foundation Degree in Supporting Teaching and Learning in Schools</t>
  </si>
  <si>
    <t>245328</t>
  </si>
  <si>
    <t>H00245328</t>
  </si>
  <si>
    <t>HNC in Electrical/Electronic Engineering</t>
  </si>
  <si>
    <t>245329</t>
  </si>
  <si>
    <t>H00245329</t>
  </si>
  <si>
    <t>HND in Electrical/Electronic Engineering</t>
  </si>
  <si>
    <t>245330</t>
  </si>
  <si>
    <t>H00245330</t>
  </si>
  <si>
    <t>245331</t>
  </si>
  <si>
    <t>H00245331</t>
  </si>
  <si>
    <t>245332</t>
  </si>
  <si>
    <t>H00245332</t>
  </si>
  <si>
    <t>Foundation Degree in Alcohol and Substance Misuse at Work</t>
  </si>
  <si>
    <t>245333</t>
  </si>
  <si>
    <t>H00245333</t>
  </si>
  <si>
    <t>245334</t>
  </si>
  <si>
    <t>H00245334</t>
  </si>
  <si>
    <t>Foundation Degree in Sports Science</t>
  </si>
  <si>
    <t>245335</t>
  </si>
  <si>
    <t>H00245335</t>
  </si>
  <si>
    <t>Foundation Degree in Sports Science with Sports Management</t>
  </si>
  <si>
    <t>245336</t>
  </si>
  <si>
    <t>H00245336</t>
  </si>
  <si>
    <t>Foundation Degree in Exercise, Health and Fitness with Management</t>
  </si>
  <si>
    <t>245337</t>
  </si>
  <si>
    <t>H00245337</t>
  </si>
  <si>
    <t>245338</t>
  </si>
  <si>
    <t>H00245338</t>
  </si>
  <si>
    <t>Foundation Degree in Sports Performance (Motorsport)</t>
  </si>
  <si>
    <t>245339</t>
  </si>
  <si>
    <t>H00245339</t>
  </si>
  <si>
    <t>BSc (Hons) in Applied Sports Science</t>
  </si>
  <si>
    <t>245340</t>
  </si>
  <si>
    <t>H00245340</t>
  </si>
  <si>
    <t>BSc (Hons) in Applied Sports Science (Management)</t>
  </si>
  <si>
    <t>245341</t>
  </si>
  <si>
    <t>H00245341</t>
  </si>
  <si>
    <t>Foundation Degree in Human Biology and Health Sciences</t>
  </si>
  <si>
    <t>245342</t>
  </si>
  <si>
    <t>H00245342</t>
  </si>
  <si>
    <t>Foundation Degree in Human Biology and Medical Sciences</t>
  </si>
  <si>
    <t>245343</t>
  </si>
  <si>
    <t>H00245343</t>
  </si>
  <si>
    <t>BA (Hons) in Leadership and Management (Late Night Entertainment)</t>
  </si>
  <si>
    <t>245344</t>
  </si>
  <si>
    <t>H00245344</t>
  </si>
  <si>
    <t>245345</t>
  </si>
  <si>
    <t>H00245345</t>
  </si>
  <si>
    <t>BA (Hons) in Food Manufacturing and Management</t>
  </si>
  <si>
    <t>245346</t>
  </si>
  <si>
    <t>H00245346</t>
  </si>
  <si>
    <t>245347</t>
  </si>
  <si>
    <t>H00245347</t>
  </si>
  <si>
    <t>BA (Hons) in Tourism Management and Event Operations</t>
  </si>
  <si>
    <t>245348</t>
  </si>
  <si>
    <t>H00245348</t>
  </si>
  <si>
    <t>BA (Hons) in Tourism Management and Airline Studies</t>
  </si>
  <si>
    <t>245349</t>
  </si>
  <si>
    <t>H00245349</t>
  </si>
  <si>
    <t>245350</t>
  </si>
  <si>
    <t>H00245350</t>
  </si>
  <si>
    <t>BA (Hons) in Leisure Management with Sports Development</t>
  </si>
  <si>
    <t>245351</t>
  </si>
  <si>
    <t>H00245351</t>
  </si>
  <si>
    <t>BA (Hons) in Leisure Management and Event Operations</t>
  </si>
  <si>
    <t>245352</t>
  </si>
  <si>
    <t>H00245352</t>
  </si>
  <si>
    <t>245353</t>
  </si>
  <si>
    <t>H00245353</t>
  </si>
  <si>
    <t>245354</t>
  </si>
  <si>
    <t>H00245354</t>
  </si>
  <si>
    <t>BA (Hons) in Event Management</t>
  </si>
  <si>
    <t>245355</t>
  </si>
  <si>
    <t>H00245355</t>
  </si>
  <si>
    <t>245356</t>
  </si>
  <si>
    <t>H00245356</t>
  </si>
  <si>
    <t>Foundation Degree in Leadership and Management (Late Night Entertainment)</t>
  </si>
  <si>
    <t>245357</t>
  </si>
  <si>
    <t>H00245357</t>
  </si>
  <si>
    <t>245358</t>
  </si>
  <si>
    <t>H00245358</t>
  </si>
  <si>
    <t>245359</t>
  </si>
  <si>
    <t>H00245359</t>
  </si>
  <si>
    <t>Foundation Degree in Applied Sciences (Investigative and Diagnostic Techniques)</t>
  </si>
  <si>
    <t>245360</t>
  </si>
  <si>
    <t>H00245360</t>
  </si>
  <si>
    <t>Foundation Degree in Sport Coaching Development and Fitness</t>
  </si>
  <si>
    <t>245361</t>
  </si>
  <si>
    <t>H00245361</t>
  </si>
  <si>
    <t>Foundation Degree in Tourism and Hospitality Management</t>
  </si>
  <si>
    <t>245362</t>
  </si>
  <si>
    <t>H00245362</t>
  </si>
  <si>
    <t>Foundation Degree in Sustainable Wastes and Environmental Management</t>
  </si>
  <si>
    <t>245363</t>
  </si>
  <si>
    <t>H00245363</t>
  </si>
  <si>
    <t>BA (Hons) in Planning and Development</t>
  </si>
  <si>
    <t>245364</t>
  </si>
  <si>
    <t>H00245364</t>
  </si>
  <si>
    <t>BSc (Hons) in Animal Behaviour and Welfare</t>
  </si>
  <si>
    <t>245365</t>
  </si>
  <si>
    <t>H00245365</t>
  </si>
  <si>
    <t>BSc (Hons) in Sport Coaching Development and Fitness</t>
  </si>
  <si>
    <t>245368</t>
  </si>
  <si>
    <t>H00245368</t>
  </si>
  <si>
    <t>Foundation Degree in Digital Marketing</t>
  </si>
  <si>
    <t>245369</t>
  </si>
  <si>
    <t>H00245369</t>
  </si>
  <si>
    <t>Foundation Degree in Managing for Social Care</t>
  </si>
  <si>
    <t>245370</t>
  </si>
  <si>
    <t>H00245370</t>
  </si>
  <si>
    <t>Foundation Degree in Software Applications Development</t>
  </si>
  <si>
    <t>245371</t>
  </si>
  <si>
    <t>H00245371</t>
  </si>
  <si>
    <t>Foundation Degree in Computer Forensics</t>
  </si>
  <si>
    <t>245372</t>
  </si>
  <si>
    <t>H00245372</t>
  </si>
  <si>
    <t>BA (Hons) in Photography and Digital Design</t>
  </si>
  <si>
    <t>245373</t>
  </si>
  <si>
    <t>H00245373</t>
  </si>
  <si>
    <t>Foundation Degree in Design Engineering</t>
  </si>
  <si>
    <t>245374</t>
  </si>
  <si>
    <t>H00245374</t>
  </si>
  <si>
    <t>Foundation Degree in Eco Technology</t>
  </si>
  <si>
    <t>245375</t>
  </si>
  <si>
    <t>H00245375</t>
  </si>
  <si>
    <t>Foundation Degree in Technical Illustration</t>
  </si>
  <si>
    <t>245376</t>
  </si>
  <si>
    <t>H00245376</t>
  </si>
  <si>
    <t>BSc (Hons) Project Management</t>
  </si>
  <si>
    <t>245377</t>
  </si>
  <si>
    <t>H00245377</t>
  </si>
  <si>
    <t>BSc (Hons) in Youth Work</t>
  </si>
  <si>
    <t>245378</t>
  </si>
  <si>
    <t>H00245378</t>
  </si>
  <si>
    <t>BA (Hons) in Television Production</t>
  </si>
  <si>
    <t>245379</t>
  </si>
  <si>
    <t>H00245379</t>
  </si>
  <si>
    <t>BA (Hons) in Commercial Photography Studies</t>
  </si>
  <si>
    <t>245380</t>
  </si>
  <si>
    <t>H00245380</t>
  </si>
  <si>
    <t>DipHE in Youth and Community Studies</t>
  </si>
  <si>
    <t>245381</t>
  </si>
  <si>
    <t>H00245381</t>
  </si>
  <si>
    <t>Foundation Degree in Business and Events Management</t>
  </si>
  <si>
    <t>245382</t>
  </si>
  <si>
    <t>H00245382</t>
  </si>
  <si>
    <t>BA (Hons) in Psychological Studies (with Counselling)</t>
  </si>
  <si>
    <t>245383</t>
  </si>
  <si>
    <t>H00245383</t>
  </si>
  <si>
    <t>BA (Hons) in Journalism</t>
  </si>
  <si>
    <t>245384</t>
  </si>
  <si>
    <t>H00245384</t>
  </si>
  <si>
    <t>BA (Hons) in Multimedia Design and Animation</t>
  </si>
  <si>
    <t>245385</t>
  </si>
  <si>
    <t>H00245385</t>
  </si>
  <si>
    <t>Foundation Degree in Web Design</t>
  </si>
  <si>
    <t>245386</t>
  </si>
  <si>
    <t>H00245386</t>
  </si>
  <si>
    <t>245387</t>
  </si>
  <si>
    <t>H00245387</t>
  </si>
  <si>
    <t>Foundation Degree in Management for Children's Care</t>
  </si>
  <si>
    <t>245388</t>
  </si>
  <si>
    <t>H00245388</t>
  </si>
  <si>
    <t>BSc (Hons) in Health Related Exercise and Fitness</t>
  </si>
  <si>
    <t>245389</t>
  </si>
  <si>
    <t>H00245389</t>
  </si>
  <si>
    <t>Foundation Degree in Equine Business Management (Horseracing Industry)</t>
  </si>
  <si>
    <t>245390</t>
  </si>
  <si>
    <t>H00245390</t>
  </si>
  <si>
    <t>Foundation Degree in Hairdressing Management</t>
  </si>
  <si>
    <t>245391</t>
  </si>
  <si>
    <t>H00245391</t>
  </si>
  <si>
    <t>Foundation Degree in Beauty Therapies Management</t>
  </si>
  <si>
    <t>245392</t>
  </si>
  <si>
    <t>H00245392</t>
  </si>
  <si>
    <t>245393</t>
  </si>
  <si>
    <t>H00245393</t>
  </si>
  <si>
    <t>245394</t>
  </si>
  <si>
    <t>H00245394</t>
  </si>
  <si>
    <t>Foundation Degree in Communications Engineering</t>
  </si>
  <si>
    <t>245395</t>
  </si>
  <si>
    <t>H00245395</t>
  </si>
  <si>
    <t>245396</t>
  </si>
  <si>
    <t>H00245396</t>
  </si>
  <si>
    <t>HND in Digital Film and Video</t>
  </si>
  <si>
    <t>245397</t>
  </si>
  <si>
    <t>H00245397</t>
  </si>
  <si>
    <t>245398</t>
  </si>
  <si>
    <t>H00245398</t>
  </si>
  <si>
    <t>Foundation Degree in Spatial and Interior Design</t>
  </si>
  <si>
    <t>245399</t>
  </si>
  <si>
    <t>H00245399</t>
  </si>
  <si>
    <t>Foundation Degree in 3D Design</t>
  </si>
  <si>
    <t>245400</t>
  </si>
  <si>
    <t>H00245400</t>
  </si>
  <si>
    <t>Foundation Degree in Fashion Accessories</t>
  </si>
  <si>
    <t>245401</t>
  </si>
  <si>
    <t>H00245401</t>
  </si>
  <si>
    <t>245402</t>
  </si>
  <si>
    <t>H00245402</t>
  </si>
  <si>
    <t>Foundation Degree in Illustration</t>
  </si>
  <si>
    <t>245403</t>
  </si>
  <si>
    <t>H00245403</t>
  </si>
  <si>
    <t>Foundation Degree in Animation</t>
  </si>
  <si>
    <t>245404</t>
  </si>
  <si>
    <t>H00245404</t>
  </si>
  <si>
    <t>Foundation Degree in Journalism</t>
  </si>
  <si>
    <t>245405</t>
  </si>
  <si>
    <t>H00245405</t>
  </si>
  <si>
    <t>245406</t>
  </si>
  <si>
    <t>H00245406</t>
  </si>
  <si>
    <t>Foundation Degree in Moving Image</t>
  </si>
  <si>
    <t>245407</t>
  </si>
  <si>
    <t>H00245407</t>
  </si>
  <si>
    <t>Foundation Degree in Children, Parenting and Communities</t>
  </si>
  <si>
    <t>245408</t>
  </si>
  <si>
    <t>H00245408</t>
  </si>
  <si>
    <t>Foundation Degree in Film Production and Management</t>
  </si>
  <si>
    <t>245410</t>
  </si>
  <si>
    <t>H00245410</t>
  </si>
  <si>
    <t>245411</t>
  </si>
  <si>
    <t>H00245411</t>
  </si>
  <si>
    <t>Foundation Degree in Stitched Textiles</t>
  </si>
  <si>
    <t>245412</t>
  </si>
  <si>
    <t>H00245412</t>
  </si>
  <si>
    <t>Foundation Degree in Therapeutic Counselling</t>
  </si>
  <si>
    <t>245413</t>
  </si>
  <si>
    <t>H00245413</t>
  </si>
  <si>
    <t>Foundation Degree in Creative Industries (Popular Music Technology)</t>
  </si>
  <si>
    <t>245414</t>
  </si>
  <si>
    <t>H00245414</t>
  </si>
  <si>
    <t>CertHE in Lifelong Learning and Professional Development</t>
  </si>
  <si>
    <t>245415</t>
  </si>
  <si>
    <t>H00245415</t>
  </si>
  <si>
    <t>DipHE in Lifelong Learning and Professional Development</t>
  </si>
  <si>
    <t>245416</t>
  </si>
  <si>
    <t>H00245416</t>
  </si>
  <si>
    <t>BA (Hons) in Lifelong Learning and Professional Development</t>
  </si>
  <si>
    <t>245417</t>
  </si>
  <si>
    <t>H00245417</t>
  </si>
  <si>
    <t>MA in Lifelong Learning and Professional Development</t>
  </si>
  <si>
    <t>245418</t>
  </si>
  <si>
    <t>H00245418</t>
  </si>
  <si>
    <t>245419</t>
  </si>
  <si>
    <t>H00245419</t>
  </si>
  <si>
    <t>245420</t>
  </si>
  <si>
    <t>H00245420</t>
  </si>
  <si>
    <t>MA in Entrepreneurship for Creative Practice</t>
  </si>
  <si>
    <t>245421</t>
  </si>
  <si>
    <t>H00245421</t>
  </si>
  <si>
    <t>Foundation Degree in Digital Film, Games and Animation</t>
  </si>
  <si>
    <t>245422</t>
  </si>
  <si>
    <t>H00245422</t>
  </si>
  <si>
    <t>BA (Hons) in Digital Film, Games and Animation</t>
  </si>
  <si>
    <t>245423</t>
  </si>
  <si>
    <t>H00245423</t>
  </si>
  <si>
    <t>245424</t>
  </si>
  <si>
    <t>H00245424</t>
  </si>
  <si>
    <t>245425</t>
  </si>
  <si>
    <t>H00245425</t>
  </si>
  <si>
    <t>245426</t>
  </si>
  <si>
    <t>H00245426</t>
  </si>
  <si>
    <t>BA (Hons) in Neighbourhood Management</t>
  </si>
  <si>
    <t>245427</t>
  </si>
  <si>
    <t>H00245427</t>
  </si>
  <si>
    <t>BA (Hons) in Fire and Rescue Service Management</t>
  </si>
  <si>
    <t>245428</t>
  </si>
  <si>
    <t>H00245428</t>
  </si>
  <si>
    <t>245429</t>
  </si>
  <si>
    <t>H00245429</t>
  </si>
  <si>
    <t>245430</t>
  </si>
  <si>
    <t>H00245430</t>
  </si>
  <si>
    <t>Foundation Degree in Accounting</t>
  </si>
  <si>
    <t>245431</t>
  </si>
  <si>
    <t>H00245431</t>
  </si>
  <si>
    <t>245432</t>
  </si>
  <si>
    <t>H00245432</t>
  </si>
  <si>
    <t>Foundation Degree in Working with Special Needs</t>
  </si>
  <si>
    <t>245433</t>
  </si>
  <si>
    <t>H00245433</t>
  </si>
  <si>
    <t>BA (Hons) in Leadership and Management</t>
  </si>
  <si>
    <t>245434</t>
  </si>
  <si>
    <t>H00245434</t>
  </si>
  <si>
    <t>Foundation Degree in Automotive Management and Technologies</t>
  </si>
  <si>
    <t>245435</t>
  </si>
  <si>
    <t>H00245435</t>
  </si>
  <si>
    <t>245436</t>
  </si>
  <si>
    <t>H00245436</t>
  </si>
  <si>
    <t>245437</t>
  </si>
  <si>
    <t>H00245437</t>
  </si>
  <si>
    <t>Foundation Degree in Applied Sports Coaching Science</t>
  </si>
  <si>
    <t>245438</t>
  </si>
  <si>
    <t>H00245438</t>
  </si>
  <si>
    <t>245439</t>
  </si>
  <si>
    <t>H00245439</t>
  </si>
  <si>
    <t>Foundation Degree in Creative and Cultural Industries</t>
  </si>
  <si>
    <t>245440</t>
  </si>
  <si>
    <t>H00245440</t>
  </si>
  <si>
    <t>Foundation Degree in Refrigeration and Air Conditioning Engineering</t>
  </si>
  <si>
    <t>245441</t>
  </si>
  <si>
    <t>H00245441</t>
  </si>
  <si>
    <t>Foundation Degree in Tourism and Hospitality Business Management</t>
  </si>
  <si>
    <t>245442</t>
  </si>
  <si>
    <t>H00245442</t>
  </si>
  <si>
    <t>Foundation Degree in Management for Hairdressing Industries</t>
  </si>
  <si>
    <t>245443</t>
  </si>
  <si>
    <t>H00245443</t>
  </si>
  <si>
    <t>Foundation Degree in Applied Scientific and Investigative Methods</t>
  </si>
  <si>
    <t>245444</t>
  </si>
  <si>
    <t>H00245444</t>
  </si>
  <si>
    <t>BA (Hons) in Young Children's Learning and Development</t>
  </si>
  <si>
    <t>245445</t>
  </si>
  <si>
    <t>H00245445</t>
  </si>
  <si>
    <t>Foundation Degree in 3 Dimensional Design Crafts</t>
  </si>
  <si>
    <t>245446</t>
  </si>
  <si>
    <t>H00245446</t>
  </si>
  <si>
    <t>Foundation Degree in Web and Mobile Games Design</t>
  </si>
  <si>
    <t>245447</t>
  </si>
  <si>
    <t>H00245447</t>
  </si>
  <si>
    <t>BA (Hons) in Animation</t>
  </si>
  <si>
    <t>245448</t>
  </si>
  <si>
    <t>H00245448</t>
  </si>
  <si>
    <t>BA (Hons) in Architectural Design</t>
  </si>
  <si>
    <t>245449</t>
  </si>
  <si>
    <t>H00245449</t>
  </si>
  <si>
    <t>Foundation Degree in Art and Design in the Public Realm</t>
  </si>
  <si>
    <t>245450</t>
  </si>
  <si>
    <t>H00245450</t>
  </si>
  <si>
    <t>245451</t>
  </si>
  <si>
    <t>H00245451</t>
  </si>
  <si>
    <t>245452</t>
  </si>
  <si>
    <t>H00245452</t>
  </si>
  <si>
    <t>Foundation Degree in Crime and Community Safety</t>
  </si>
  <si>
    <t>245453</t>
  </si>
  <si>
    <t>H00245453</t>
  </si>
  <si>
    <t>Foundation Degree in Digital Media</t>
  </si>
  <si>
    <t>245454</t>
  </si>
  <si>
    <t>H00245454</t>
  </si>
  <si>
    <t>Foundation Degree in Professional Development in Education</t>
  </si>
  <si>
    <t>245455</t>
  </si>
  <si>
    <t>H00245455</t>
  </si>
  <si>
    <t>Foundation Degree in Accountancy and Management</t>
  </si>
  <si>
    <t>245456</t>
  </si>
  <si>
    <t>H00245456</t>
  </si>
  <si>
    <t>CertHE in Accountancy and Management</t>
  </si>
  <si>
    <t>245457</t>
  </si>
  <si>
    <t>H00245457</t>
  </si>
  <si>
    <t>Foundation Degree in Electrical/Electronic Marine Engineering</t>
  </si>
  <si>
    <t>245458</t>
  </si>
  <si>
    <t>H00245458</t>
  </si>
  <si>
    <t>BA in Illustration with Animation</t>
  </si>
  <si>
    <t>245459</t>
  </si>
  <si>
    <t>H00245459</t>
  </si>
  <si>
    <t>245460</t>
  </si>
  <si>
    <t>H00245460</t>
  </si>
  <si>
    <t>BA (Hons) Stage Management and Technical Theatre</t>
  </si>
  <si>
    <t>245461</t>
  </si>
  <si>
    <t>H00245461</t>
  </si>
  <si>
    <t>Professional Graduate Certificate in Education (Post Compulsory Education and Training)</t>
  </si>
  <si>
    <t>245462</t>
  </si>
  <si>
    <t>H00245462</t>
  </si>
  <si>
    <t>245463</t>
  </si>
  <si>
    <t>H00245463</t>
  </si>
  <si>
    <t>Foundation Degree in Children's Services</t>
  </si>
  <si>
    <t>245464</t>
  </si>
  <si>
    <t>H00245464</t>
  </si>
  <si>
    <t>Foundation Degree in Physical Activity and Health</t>
  </si>
  <si>
    <t>245465</t>
  </si>
  <si>
    <t>H00245465</t>
  </si>
  <si>
    <t>Foundation Degree in Health &amp; Social Care</t>
  </si>
  <si>
    <t>245466</t>
  </si>
  <si>
    <t>H00245466</t>
  </si>
  <si>
    <t>245467</t>
  </si>
  <si>
    <t>H00245467</t>
  </si>
  <si>
    <t>Foundation Degree in Applied Chemistry</t>
  </si>
  <si>
    <t>245468</t>
  </si>
  <si>
    <t>H00245468</t>
  </si>
  <si>
    <t>Foundation Degree in Performance (Acting)</t>
  </si>
  <si>
    <t>245469</t>
  </si>
  <si>
    <t>H00245469</t>
  </si>
  <si>
    <t>Foundation Degree in Performance (Dance)</t>
  </si>
  <si>
    <t>245470</t>
  </si>
  <si>
    <t>H00245470</t>
  </si>
  <si>
    <t>Foundation Degree in Artistic Make-up and Special Effects</t>
  </si>
  <si>
    <t>245471</t>
  </si>
  <si>
    <t>H00245471</t>
  </si>
  <si>
    <t>Foundation Degree in Graphic Design and eMedia</t>
  </si>
  <si>
    <t>245472</t>
  </si>
  <si>
    <t>H00245472</t>
  </si>
  <si>
    <t>Foundation Degree in Retailing</t>
  </si>
  <si>
    <t>245473</t>
  </si>
  <si>
    <t>H00245473</t>
  </si>
  <si>
    <t>Foundation Degree in Print and Digital Media Production and Management</t>
  </si>
  <si>
    <t>245474</t>
  </si>
  <si>
    <t>H00245474</t>
  </si>
  <si>
    <t>245475</t>
  </si>
  <si>
    <t>H00245475</t>
  </si>
  <si>
    <t>Foundation Degree in Teaching and Learning Support</t>
  </si>
  <si>
    <t>245476</t>
  </si>
  <si>
    <t>H00245476</t>
  </si>
  <si>
    <t>245477</t>
  </si>
  <si>
    <t>H00245477</t>
  </si>
  <si>
    <t>245478</t>
  </si>
  <si>
    <t>H00245478</t>
  </si>
  <si>
    <t>Foundation Degree in Public Health and Social Care</t>
  </si>
  <si>
    <t>245479</t>
  </si>
  <si>
    <t>H00245479</t>
  </si>
  <si>
    <t>Foundation Degree in Art and Design</t>
  </si>
  <si>
    <t>245480</t>
  </si>
  <si>
    <t>H00245480</t>
  </si>
  <si>
    <t>245481</t>
  </si>
  <si>
    <t>H00245481</t>
  </si>
  <si>
    <t>Foundation Degree in Administration and Business Support</t>
  </si>
  <si>
    <t>245482</t>
  </si>
  <si>
    <t>H00245482</t>
  </si>
  <si>
    <t>Foundation Degree in Trade Union Studies</t>
  </si>
  <si>
    <t>245483</t>
  </si>
  <si>
    <t>H00245483</t>
  </si>
  <si>
    <t>BA (Ord/Hons) in Creative Music Production</t>
  </si>
  <si>
    <t>245484</t>
  </si>
  <si>
    <t>H00245484</t>
  </si>
  <si>
    <t>BA (Hons) in Education and Professional Studies</t>
  </si>
  <si>
    <t>245485</t>
  </si>
  <si>
    <t>H00245485</t>
  </si>
  <si>
    <t>245486</t>
  </si>
  <si>
    <t>H00245486</t>
  </si>
  <si>
    <t>HNC in Nautical Science</t>
  </si>
  <si>
    <t>245487</t>
  </si>
  <si>
    <t>H00245487</t>
  </si>
  <si>
    <t>245488</t>
  </si>
  <si>
    <t>H00245488</t>
  </si>
  <si>
    <t>245489</t>
  </si>
  <si>
    <t>H00245489</t>
  </si>
  <si>
    <t>245490</t>
  </si>
  <si>
    <t>H00245490</t>
  </si>
  <si>
    <t>Foundation Degree in Administration and Business Technology</t>
  </si>
  <si>
    <t>245491</t>
  </si>
  <si>
    <t>H00245491</t>
  </si>
  <si>
    <t>Foundation Degree in Automotive Business Management and Technology</t>
  </si>
  <si>
    <t>245492</t>
  </si>
  <si>
    <t>H00245492</t>
  </si>
  <si>
    <t>Foundation Degree in Communication and Computer Networks</t>
  </si>
  <si>
    <t>245493</t>
  </si>
  <si>
    <t>H00245493</t>
  </si>
  <si>
    <t>Foundation Degree in Complementary Health Therapies</t>
  </si>
  <si>
    <t>245494</t>
  </si>
  <si>
    <t>H00245494</t>
  </si>
  <si>
    <t>Foundation Degree in Computer Aided Design</t>
  </si>
  <si>
    <t>245495</t>
  </si>
  <si>
    <t>H00245495</t>
  </si>
  <si>
    <t>Foundation Degree in Computing and Information Technology</t>
  </si>
  <si>
    <t>245496</t>
  </si>
  <si>
    <t>H00245496</t>
  </si>
  <si>
    <t>Foundation Degree in Contact Centre Management</t>
  </si>
  <si>
    <t>245497</t>
  </si>
  <si>
    <t>H00245497</t>
  </si>
  <si>
    <t>Foundation Degree in Creative Arts Therapies</t>
  </si>
  <si>
    <t>245498</t>
  </si>
  <si>
    <t>H00245498</t>
  </si>
  <si>
    <t>Foundation Degree in Dance Theatre Performance</t>
  </si>
  <si>
    <t>245499</t>
  </si>
  <si>
    <t>H00245499</t>
  </si>
  <si>
    <t>245500</t>
  </si>
  <si>
    <t>H00245500</t>
  </si>
  <si>
    <t>Foundation Degree in Childhood Studies</t>
  </si>
  <si>
    <t>245501</t>
  </si>
  <si>
    <t>H00245501</t>
  </si>
  <si>
    <t>Foundation Degree in Food and Beverage Management</t>
  </si>
  <si>
    <t>245502</t>
  </si>
  <si>
    <t>H00245502</t>
  </si>
  <si>
    <t>Foundation Degree in Graphic Design and Interactive Multimedia</t>
  </si>
  <si>
    <t>245503</t>
  </si>
  <si>
    <t>H00245503</t>
  </si>
  <si>
    <t>Foundation Degree in Interactive Multimedia and Graphic Design</t>
  </si>
  <si>
    <t>245504</t>
  </si>
  <si>
    <t>H00245504</t>
  </si>
  <si>
    <t>Foundation Degree in Internet Technologies</t>
  </si>
  <si>
    <t>245505</t>
  </si>
  <si>
    <t>H00245505</t>
  </si>
  <si>
    <t>Foundation Degree in Management of Security Services</t>
  </si>
  <si>
    <t>245506</t>
  </si>
  <si>
    <t>H00245506</t>
  </si>
  <si>
    <t>245507</t>
  </si>
  <si>
    <t>H00245507</t>
  </si>
  <si>
    <t>245508</t>
  </si>
  <si>
    <t>H00245508</t>
  </si>
  <si>
    <t>Foundation Degree in Theatre Media Performance</t>
  </si>
  <si>
    <t>245509</t>
  </si>
  <si>
    <t>H00245509</t>
  </si>
  <si>
    <t>Post Graduate Certificate of Education</t>
  </si>
  <si>
    <t>245510</t>
  </si>
  <si>
    <t>H00245510</t>
  </si>
  <si>
    <t>245511</t>
  </si>
  <si>
    <t>H00245511</t>
  </si>
  <si>
    <t>Foundation Degree in Health and Social Care Practice</t>
  </si>
  <si>
    <t>245512</t>
  </si>
  <si>
    <t>H00245512</t>
  </si>
  <si>
    <t>Foundation Degree in Aerospace Engineering Manufacturing</t>
  </si>
  <si>
    <t>245513</t>
  </si>
  <si>
    <t>H00245513</t>
  </si>
  <si>
    <t>HND in Amenity  Horticulture</t>
  </si>
  <si>
    <t>245514</t>
  </si>
  <si>
    <t>H00245514</t>
  </si>
  <si>
    <t>HNC in Amenity Horticulture</t>
  </si>
  <si>
    <t>245515</t>
  </si>
  <si>
    <t>H00245515</t>
  </si>
  <si>
    <t>HND in Arboriculture</t>
  </si>
  <si>
    <t>245516</t>
  </si>
  <si>
    <t>H00245516</t>
  </si>
  <si>
    <t>HNC in Arboriculture</t>
  </si>
  <si>
    <t>245517</t>
  </si>
  <si>
    <t>H00245517</t>
  </si>
  <si>
    <t>HND in Garden and Landscape Design</t>
  </si>
  <si>
    <t>245518</t>
  </si>
  <si>
    <t>H00245518</t>
  </si>
  <si>
    <t>HNC in Garden and Landscape Design</t>
  </si>
  <si>
    <t>245519</t>
  </si>
  <si>
    <t>H00245519</t>
  </si>
  <si>
    <t>HND in Sports Turf Management</t>
  </si>
  <si>
    <t>245520</t>
  </si>
  <si>
    <t>H00245520</t>
  </si>
  <si>
    <t>HNC in Sports Turf Management</t>
  </si>
  <si>
    <t>245521</t>
  </si>
  <si>
    <t>H00245521</t>
  </si>
  <si>
    <t>Foundation Degree in Housing</t>
  </si>
  <si>
    <t>245522</t>
  </si>
  <si>
    <t>H00245522</t>
  </si>
  <si>
    <t>245523</t>
  </si>
  <si>
    <t>H00245523</t>
  </si>
  <si>
    <t>Foundation Degree in Assistant Practitioner in Podiatry</t>
  </si>
  <si>
    <t>245524</t>
  </si>
  <si>
    <t>H00245524</t>
  </si>
  <si>
    <t>245525</t>
  </si>
  <si>
    <t>H00245525</t>
  </si>
  <si>
    <t>245526</t>
  </si>
  <si>
    <t>H00245526</t>
  </si>
  <si>
    <t>245527</t>
  </si>
  <si>
    <t>H00245527</t>
  </si>
  <si>
    <t>BSc (Hons) in Health and Wellbeing</t>
  </si>
  <si>
    <t>245528</t>
  </si>
  <si>
    <t>H00245528</t>
  </si>
  <si>
    <t>245529</t>
  </si>
  <si>
    <t>H00245529</t>
  </si>
  <si>
    <t>BSc (Hons) in Specialist Community Public Health Practice</t>
  </si>
  <si>
    <t>245530</t>
  </si>
  <si>
    <t>H00245530</t>
  </si>
  <si>
    <t>BSc (Hons) in Podiatric Medicine</t>
  </si>
  <si>
    <t>245531</t>
  </si>
  <si>
    <t>H00245531</t>
  </si>
  <si>
    <t>Foundation Degree in Television Production</t>
  </si>
  <si>
    <t>245532</t>
  </si>
  <si>
    <t>H00245532</t>
  </si>
  <si>
    <t>Foundation Degree in Radio Production</t>
  </si>
  <si>
    <t>245533</t>
  </si>
  <si>
    <t>H00245533</t>
  </si>
  <si>
    <t>245534</t>
  </si>
  <si>
    <t>H00245534</t>
  </si>
  <si>
    <t>BA in Interactive Media</t>
  </si>
  <si>
    <t>245535</t>
  </si>
  <si>
    <t>H00245535</t>
  </si>
  <si>
    <t>Foundation Degree in 3D Visualisation</t>
  </si>
  <si>
    <t>245536</t>
  </si>
  <si>
    <t>H00245536</t>
  </si>
  <si>
    <t>Foundation Degree in 3D Character Animation</t>
  </si>
  <si>
    <t>245537</t>
  </si>
  <si>
    <t>H00245537</t>
  </si>
  <si>
    <t>Foundation Degree in Video (Production and Post Production)</t>
  </si>
  <si>
    <t>245538</t>
  </si>
  <si>
    <t>H00245538</t>
  </si>
  <si>
    <t>Foundation Degree in International Fashion Marketing</t>
  </si>
  <si>
    <t>245539</t>
  </si>
  <si>
    <t>H00245539</t>
  </si>
  <si>
    <t>245540</t>
  </si>
  <si>
    <t>H00245540</t>
  </si>
  <si>
    <t>BSc in Psychology</t>
  </si>
  <si>
    <t>245541</t>
  </si>
  <si>
    <t>H00245541</t>
  </si>
  <si>
    <t>Certificate of Post Compulsory Education and Training (PCET)</t>
  </si>
  <si>
    <t>245542</t>
  </si>
  <si>
    <t>H00245542</t>
  </si>
  <si>
    <t>Certificate of Post Compulsory Education and Training (PGCE)</t>
  </si>
  <si>
    <t>245543</t>
  </si>
  <si>
    <t>H00245543</t>
  </si>
  <si>
    <t>Foundation Degree in Digital Graphic Design</t>
  </si>
  <si>
    <t>245544</t>
  </si>
  <si>
    <t>H00245544</t>
  </si>
  <si>
    <t>BSc in Media and Creative Industries Business</t>
  </si>
  <si>
    <t>245545</t>
  </si>
  <si>
    <t>H00245545</t>
  </si>
  <si>
    <t>Award in Preparing to Teach in the Lifelong Learning Sector (PTTLS)</t>
  </si>
  <si>
    <t>245546</t>
  </si>
  <si>
    <t>H00245546</t>
  </si>
  <si>
    <t>Certificate in Teaching in the Lifelong Learning Sector (CTTLS)</t>
  </si>
  <si>
    <t>245547</t>
  </si>
  <si>
    <t>H00245547</t>
  </si>
  <si>
    <t>BSc (Hons) in Games Development</t>
  </si>
  <si>
    <t>245548</t>
  </si>
  <si>
    <t>H00245548</t>
  </si>
  <si>
    <t>BSc (Hons) in Diet, Nutrition and Health</t>
  </si>
  <si>
    <t>245549</t>
  </si>
  <si>
    <t>H00245549</t>
  </si>
  <si>
    <t>BA (Hons) in Special Make-Up Effects and Artistry</t>
  </si>
  <si>
    <t>245550</t>
  </si>
  <si>
    <t>H00245550</t>
  </si>
  <si>
    <t>Foundation Degree in Law and Legal Practice</t>
  </si>
  <si>
    <t>245551</t>
  </si>
  <si>
    <t>H00245551</t>
  </si>
  <si>
    <t>BA (Hons) in Law and Social Welfare</t>
  </si>
  <si>
    <t>245552</t>
  </si>
  <si>
    <t>H00245552</t>
  </si>
  <si>
    <t>BA (Hons) in Law (Individual Programme of Study)</t>
  </si>
  <si>
    <t>245553</t>
  </si>
  <si>
    <t>H00245553</t>
  </si>
  <si>
    <t>BA (Hons) in Accountancy</t>
  </si>
  <si>
    <t>245554</t>
  </si>
  <si>
    <t>H00245554</t>
  </si>
  <si>
    <t>Foundation Degree in Network Infrastructure Technologies</t>
  </si>
  <si>
    <t>245555</t>
  </si>
  <si>
    <t>H00245555</t>
  </si>
  <si>
    <t>Foundation Degree in Make-Up Artistry and Special Make-Up Effects</t>
  </si>
  <si>
    <t>245556</t>
  </si>
  <si>
    <t>H00245556</t>
  </si>
  <si>
    <t>245557</t>
  </si>
  <si>
    <t>H00245557</t>
  </si>
  <si>
    <t>Foundation Degree in Ophthalmic Dispensing</t>
  </si>
  <si>
    <t>245558</t>
  </si>
  <si>
    <t>H00245558</t>
  </si>
  <si>
    <t>Foundation Degree in Construction Design and Management</t>
  </si>
  <si>
    <t>245559</t>
  </si>
  <si>
    <t>H00245559</t>
  </si>
  <si>
    <t>Foundation Degree in Engineering with Management</t>
  </si>
  <si>
    <t>245560</t>
  </si>
  <si>
    <t>H00245560</t>
  </si>
  <si>
    <t>Foundation Degree in Multimedia and Design</t>
  </si>
  <si>
    <t>245561</t>
  </si>
  <si>
    <t>H00245561</t>
  </si>
  <si>
    <t>BA in Illustration Narrative and Sequential</t>
  </si>
  <si>
    <t>245562</t>
  </si>
  <si>
    <t>H00245562</t>
  </si>
  <si>
    <t>BA in Fine Art Drawing for Fine Art Practice</t>
  </si>
  <si>
    <t>245563</t>
  </si>
  <si>
    <t>H00245563</t>
  </si>
  <si>
    <t>245564</t>
  </si>
  <si>
    <t>H00245564</t>
  </si>
  <si>
    <t>245565</t>
  </si>
  <si>
    <t>H00245565</t>
  </si>
  <si>
    <t>Post Compulsory Education Initial Teacher Education Awards</t>
  </si>
  <si>
    <t>245566</t>
  </si>
  <si>
    <t>H00245566</t>
  </si>
  <si>
    <t>MA in Professional Writing</t>
  </si>
  <si>
    <t>245567</t>
  </si>
  <si>
    <t>H00245567</t>
  </si>
  <si>
    <t>MA in Critical Approaches to International Media</t>
  </si>
  <si>
    <t>245568</t>
  </si>
  <si>
    <t>H00245568</t>
  </si>
  <si>
    <t>BA in Community Studies</t>
  </si>
  <si>
    <t>245569</t>
  </si>
  <si>
    <t>H00245569</t>
  </si>
  <si>
    <t>Foundation Degree in Operational Management (Service Industries)</t>
  </si>
  <si>
    <t>245570</t>
  </si>
  <si>
    <t>H00245570</t>
  </si>
  <si>
    <t>Foundation Degree in Manufacturing and Mechatronic Engineering</t>
  </si>
  <si>
    <t>245571</t>
  </si>
  <si>
    <t>H00245571</t>
  </si>
  <si>
    <t>Foundation Degree in Engineering (Mechatronics)</t>
  </si>
  <si>
    <t>245572</t>
  </si>
  <si>
    <t>H00245572</t>
  </si>
  <si>
    <t>HNC in Instrumentation and Control Engineering</t>
  </si>
  <si>
    <t>245573</t>
  </si>
  <si>
    <t>H00245573</t>
  </si>
  <si>
    <t>HND in Instrumentation and Control Engineering</t>
  </si>
  <si>
    <t>245574</t>
  </si>
  <si>
    <t>H00245574</t>
  </si>
  <si>
    <t>HNC in Operations Engineering</t>
  </si>
  <si>
    <t>245575</t>
  </si>
  <si>
    <t>H00245575</t>
  </si>
  <si>
    <t>HND in Operations Engineering</t>
  </si>
  <si>
    <t>245576</t>
  </si>
  <si>
    <t>H00245576</t>
  </si>
  <si>
    <t>245577</t>
  </si>
  <si>
    <t>H00245577</t>
  </si>
  <si>
    <t>HND in Telecommunications</t>
  </si>
  <si>
    <t>245578</t>
  </si>
  <si>
    <t>H00245578</t>
  </si>
  <si>
    <t>245579</t>
  </si>
  <si>
    <t>H00245579</t>
  </si>
  <si>
    <t>HND in Manufacturing Engineering</t>
  </si>
  <si>
    <t>245580</t>
  </si>
  <si>
    <t>H00245580</t>
  </si>
  <si>
    <t>Foundation Degree in Contemporary Theatre Practice</t>
  </si>
  <si>
    <t>245581</t>
  </si>
  <si>
    <t>H00245581</t>
  </si>
  <si>
    <t>Foundation Degree in Health and Physical Activity</t>
  </si>
  <si>
    <t>245582</t>
  </si>
  <si>
    <t>H00245582</t>
  </si>
  <si>
    <t>245583</t>
  </si>
  <si>
    <t>H00245583</t>
  </si>
  <si>
    <t>245584</t>
  </si>
  <si>
    <t>H00245584</t>
  </si>
  <si>
    <t>Foundation Degree in Community Governance</t>
  </si>
  <si>
    <t>245585</t>
  </si>
  <si>
    <t>H00245585</t>
  </si>
  <si>
    <t>245586</t>
  </si>
  <si>
    <t>H00245586</t>
  </si>
  <si>
    <t>Foundation Degree in Fashion and Costume</t>
  </si>
  <si>
    <t>245587</t>
  </si>
  <si>
    <t>H00245587</t>
  </si>
  <si>
    <t>Certificate of Higher Education (Learning and Skills)</t>
  </si>
  <si>
    <t>245588</t>
  </si>
  <si>
    <t>H00245588</t>
  </si>
  <si>
    <t>Post Graduate Certificate (Learning and Skills)</t>
  </si>
  <si>
    <t>245589</t>
  </si>
  <si>
    <t>H00245589</t>
  </si>
  <si>
    <t>245590</t>
  </si>
  <si>
    <t>H00245590</t>
  </si>
  <si>
    <t>BSc (Hons) in Applied Computing</t>
  </si>
  <si>
    <t>245591</t>
  </si>
  <si>
    <t>H00245591</t>
  </si>
  <si>
    <t>Foundation Degree in Applied Sports Management and Development</t>
  </si>
  <si>
    <t>245592</t>
  </si>
  <si>
    <t>H00245592</t>
  </si>
  <si>
    <t>Foundation Degree in Applied Health and Exercise Science</t>
  </si>
  <si>
    <t>245593</t>
  </si>
  <si>
    <t>H00245593</t>
  </si>
  <si>
    <t>Foundation Degree in Technical Theatre</t>
  </si>
  <si>
    <t>245594</t>
  </si>
  <si>
    <t>H00245594</t>
  </si>
  <si>
    <t>Foundation Degree in Business, Management and Communications</t>
  </si>
  <si>
    <t>245595</t>
  </si>
  <si>
    <t>H00245595</t>
  </si>
  <si>
    <t>Foundation Degree in Jewellery and Applied Art</t>
  </si>
  <si>
    <t>245596</t>
  </si>
  <si>
    <t>H00245596</t>
  </si>
  <si>
    <t>245597</t>
  </si>
  <si>
    <t>H00245597</t>
  </si>
  <si>
    <t>245598</t>
  </si>
  <si>
    <t>H00245598</t>
  </si>
  <si>
    <t>245599</t>
  </si>
  <si>
    <t>H00245599</t>
  </si>
  <si>
    <t>Professional Graduate Certificate in Education</t>
  </si>
  <si>
    <t>245600</t>
  </si>
  <si>
    <t>H00245600</t>
  </si>
  <si>
    <t>Foundation Degree in Fashion Design and Manufacture</t>
  </si>
  <si>
    <t>245601</t>
  </si>
  <si>
    <t>H00245601</t>
  </si>
  <si>
    <t>Foundation Degree in Public Services and Policing Studies</t>
  </si>
  <si>
    <t>245602</t>
  </si>
  <si>
    <t>H00245602</t>
  </si>
  <si>
    <t>245603</t>
  </si>
  <si>
    <t>H00245603</t>
  </si>
  <si>
    <t>BA (Hons) in Person-Centred Counselling and Psychotherapy</t>
  </si>
  <si>
    <t>245604</t>
  </si>
  <si>
    <t>H00245604</t>
  </si>
  <si>
    <t>245605</t>
  </si>
  <si>
    <t>H00245605</t>
  </si>
  <si>
    <t>245606</t>
  </si>
  <si>
    <t>H00245606</t>
  </si>
  <si>
    <t>Foundation Degree in Professional Practices in Spa and Salon Management</t>
  </si>
  <si>
    <t>245607</t>
  </si>
  <si>
    <t>H00245607</t>
  </si>
  <si>
    <t>Foundation Degree in Public and Community Services</t>
  </si>
  <si>
    <t>245608</t>
  </si>
  <si>
    <t>H00245608</t>
  </si>
  <si>
    <t>Foundation Degree in Supported Learning</t>
  </si>
  <si>
    <t>245609</t>
  </si>
  <si>
    <t>H00245609</t>
  </si>
  <si>
    <t>245610</t>
  </si>
  <si>
    <t>H00245610</t>
  </si>
  <si>
    <t>Foundation Degree in Applied Health and Social Care</t>
  </si>
  <si>
    <t>245611</t>
  </si>
  <si>
    <t>H00245611</t>
  </si>
  <si>
    <t>Foundation Degree in Complementary Health Care</t>
  </si>
  <si>
    <t>245612</t>
  </si>
  <si>
    <t>H00245612</t>
  </si>
  <si>
    <t>245613</t>
  </si>
  <si>
    <t>H00245613</t>
  </si>
  <si>
    <t>245614</t>
  </si>
  <si>
    <t>H00245614</t>
  </si>
  <si>
    <t>BA (Hons) in Business Management in Housing</t>
  </si>
  <si>
    <t>245615</t>
  </si>
  <si>
    <t>H00245615</t>
  </si>
  <si>
    <t>245616</t>
  </si>
  <si>
    <t>H00245616</t>
  </si>
  <si>
    <t>BA (Hons) in Management, Business and Administration</t>
  </si>
  <si>
    <t>245617</t>
  </si>
  <si>
    <t>H00245617</t>
  </si>
  <si>
    <t>BA(Hons) in Supported Learning in Education</t>
  </si>
  <si>
    <t>245618</t>
  </si>
  <si>
    <t>H00245618</t>
  </si>
  <si>
    <t>BSC (Hons) in Podiatric Medicine</t>
  </si>
  <si>
    <t>245619</t>
  </si>
  <si>
    <t>H00245619</t>
  </si>
  <si>
    <t>245620</t>
  </si>
  <si>
    <t>H00245620</t>
  </si>
  <si>
    <t>Postgraduate Certificate in Education (PGCE)</t>
  </si>
  <si>
    <t>245621</t>
  </si>
  <si>
    <t>H00245621</t>
  </si>
  <si>
    <t>Foundation Degree in Early Years Leadership, Education and Practice</t>
  </si>
  <si>
    <t>245622</t>
  </si>
  <si>
    <t>H00245622</t>
  </si>
  <si>
    <t>BA (Hons) in Illustration and print</t>
  </si>
  <si>
    <t>245623</t>
  </si>
  <si>
    <t>H00245623</t>
  </si>
  <si>
    <t>245624</t>
  </si>
  <si>
    <t>H00245624</t>
  </si>
  <si>
    <t>245625</t>
  </si>
  <si>
    <t>H00245625</t>
  </si>
  <si>
    <t>BA in Early Childhood Studies</t>
  </si>
  <si>
    <t>245626</t>
  </si>
  <si>
    <t>H00245626</t>
  </si>
  <si>
    <t>BA (Hons) in Educational Leadership and Children's Workforce</t>
  </si>
  <si>
    <t>245627</t>
  </si>
  <si>
    <t>H00245627</t>
  </si>
  <si>
    <t>Foundation Degree in Media Make-up and Hair Design for Television Film and Theatre</t>
  </si>
  <si>
    <t>245628</t>
  </si>
  <si>
    <t>H00245628</t>
  </si>
  <si>
    <t>MA in Fine Art</t>
  </si>
  <si>
    <t>245629</t>
  </si>
  <si>
    <t>H00245629</t>
  </si>
  <si>
    <t>BA (Hons) Fashion and Costume for Performance</t>
  </si>
  <si>
    <t>245630</t>
  </si>
  <si>
    <t>H00245630</t>
  </si>
  <si>
    <t>BSC (Hons) in Sports Coaching</t>
  </si>
  <si>
    <t>245631</t>
  </si>
  <si>
    <t>H00245631</t>
  </si>
  <si>
    <t>245632</t>
  </si>
  <si>
    <t>H00245632</t>
  </si>
  <si>
    <t>BA (Hons) in Business with Finance</t>
  </si>
  <si>
    <t>245633</t>
  </si>
  <si>
    <t>H00245633</t>
  </si>
  <si>
    <t>BA (Hons) in Business with Marketing</t>
  </si>
  <si>
    <t>245634</t>
  </si>
  <si>
    <t>H00245634</t>
  </si>
  <si>
    <t>Postgraduate Diploma in Human Resource Management</t>
  </si>
  <si>
    <t>245635</t>
  </si>
  <si>
    <t>H00245635</t>
  </si>
  <si>
    <t>Postgraduate Certificate in Human Resource Management</t>
  </si>
  <si>
    <t>245636</t>
  </si>
  <si>
    <t>H00245636</t>
  </si>
  <si>
    <t>Foundation Degree in Photography and Video</t>
  </si>
  <si>
    <t>245637</t>
  </si>
  <si>
    <t>H00245637</t>
  </si>
  <si>
    <t>Foundation Degree in Learning Practitioners</t>
  </si>
  <si>
    <t>245638</t>
  </si>
  <si>
    <t>H00245638</t>
  </si>
  <si>
    <t>Foundation Degree in Sport with Coaching</t>
  </si>
  <si>
    <t>245639</t>
  </si>
  <si>
    <t>H00245639</t>
  </si>
  <si>
    <t>Foundation Degree in Sport with Management</t>
  </si>
  <si>
    <t>245640</t>
  </si>
  <si>
    <t>H00245640</t>
  </si>
  <si>
    <t>Foundation Degree in Sport with Science</t>
  </si>
  <si>
    <t>245641</t>
  </si>
  <si>
    <t>H00245641</t>
  </si>
  <si>
    <t>245642</t>
  </si>
  <si>
    <t>H00245642</t>
  </si>
  <si>
    <t>BA (Hons) in Person-Centred Counselling and Human Relations</t>
  </si>
  <si>
    <t>245643</t>
  </si>
  <si>
    <t>H00245643</t>
  </si>
  <si>
    <t>Foundation Degree in Outdoor Adventurous Activities</t>
  </si>
  <si>
    <t>245644</t>
  </si>
  <si>
    <t>H00245644</t>
  </si>
  <si>
    <t>Foundation Degree in Arts for the Creative Industries</t>
  </si>
  <si>
    <t>245645</t>
  </si>
  <si>
    <t>H00245645</t>
  </si>
  <si>
    <t>Foundation Degree in Creative Hairdressing</t>
  </si>
  <si>
    <t>245646</t>
  </si>
  <si>
    <t>H00245646</t>
  </si>
  <si>
    <t>MA in Early Years Practice</t>
  </si>
  <si>
    <t>245647</t>
  </si>
  <si>
    <t>H00245647</t>
  </si>
  <si>
    <t>Foundation Degree in Accountancy</t>
  </si>
  <si>
    <t>245648</t>
  </si>
  <si>
    <t>H00245648</t>
  </si>
  <si>
    <t>Foundation Degree in Casting Technology</t>
  </si>
  <si>
    <t>245649</t>
  </si>
  <si>
    <t>H00245649</t>
  </si>
  <si>
    <t>MSc in Computing</t>
  </si>
  <si>
    <t>245650</t>
  </si>
  <si>
    <t>H00245650</t>
  </si>
  <si>
    <t>245651</t>
  </si>
  <si>
    <t>H00245651</t>
  </si>
  <si>
    <t>BA (Hons) in Culture, Identity and Learning</t>
  </si>
  <si>
    <t>245652</t>
  </si>
  <si>
    <t>H00245652</t>
  </si>
  <si>
    <t>245653</t>
  </si>
  <si>
    <t>H00245653</t>
  </si>
  <si>
    <t>Foundation Degree in Computer Technology</t>
  </si>
  <si>
    <t>245654</t>
  </si>
  <si>
    <t>H00245654</t>
  </si>
  <si>
    <t>245655</t>
  </si>
  <si>
    <t>H00245655</t>
  </si>
  <si>
    <t>FdEng Automotive Engineering and Technology</t>
  </si>
  <si>
    <t>245656</t>
  </si>
  <si>
    <t>H00245656</t>
  </si>
  <si>
    <t>FEng Autosport Engineering and Technology</t>
  </si>
  <si>
    <t>245657</t>
  </si>
  <si>
    <t>H00245657</t>
  </si>
  <si>
    <t>BEng (Hons) in Automotive Engineering and Technology</t>
  </si>
  <si>
    <t>245658</t>
  </si>
  <si>
    <t>H00245658</t>
  </si>
  <si>
    <t>HE Bridging Programme: Automotive Engineering</t>
  </si>
  <si>
    <t>245659</t>
  </si>
  <si>
    <t>H00245659</t>
  </si>
  <si>
    <t>MA in Visual Arts</t>
  </si>
  <si>
    <t>245660</t>
  </si>
  <si>
    <t>H00245660</t>
  </si>
  <si>
    <t>Foundation Degree in Managerial and Organisational Development</t>
  </si>
  <si>
    <t>245661</t>
  </si>
  <si>
    <t>H00245661</t>
  </si>
  <si>
    <t>BSC (Hons) in Software Applications Development</t>
  </si>
  <si>
    <t>245662</t>
  </si>
  <si>
    <t>H00245662</t>
  </si>
  <si>
    <t>DipHE in Person-Centred Counselling and Human Relations</t>
  </si>
  <si>
    <t>245663</t>
  </si>
  <si>
    <t>H00245663</t>
  </si>
  <si>
    <t>Foundation Degree in Social and Community Care</t>
  </si>
  <si>
    <t>245664</t>
  </si>
  <si>
    <t>H00245664</t>
  </si>
  <si>
    <t>Foundation Degree in Hospitality and Travel Management</t>
  </si>
  <si>
    <t>245665</t>
  </si>
  <si>
    <t>H00245665</t>
  </si>
  <si>
    <t>245666</t>
  </si>
  <si>
    <t>H00245666</t>
  </si>
  <si>
    <t>Foundation Degree in Computer Aided Engineering</t>
  </si>
  <si>
    <t>245667</t>
  </si>
  <si>
    <t>H00245667</t>
  </si>
  <si>
    <t>BSC (Hons) in Construction Engineering Management</t>
  </si>
  <si>
    <t>245668</t>
  </si>
  <si>
    <t>H00245668</t>
  </si>
  <si>
    <t>MA in Inclusive Education</t>
  </si>
  <si>
    <t>245669</t>
  </si>
  <si>
    <t>H00245669</t>
  </si>
  <si>
    <t>BA (Hons) in Business Management and Communication</t>
  </si>
  <si>
    <t>245670</t>
  </si>
  <si>
    <t>H00245670</t>
  </si>
  <si>
    <t>BA (Hons) Underwater and Surface-Based Imaging</t>
  </si>
  <si>
    <t>245671</t>
  </si>
  <si>
    <t>H00245671</t>
  </si>
  <si>
    <t>245672</t>
  </si>
  <si>
    <t>H00245672</t>
  </si>
  <si>
    <t>BA (Hons) Music Business</t>
  </si>
  <si>
    <t>245673</t>
  </si>
  <si>
    <t>H00245673</t>
  </si>
  <si>
    <t>MA Image and Time-Based Media</t>
  </si>
  <si>
    <t>245674</t>
  </si>
  <si>
    <t>H00245674</t>
  </si>
  <si>
    <t>BA (Hons) Counselling Practice</t>
  </si>
  <si>
    <t>245675</t>
  </si>
  <si>
    <t>H00245675</t>
  </si>
  <si>
    <t>Foundation Degree Sport Studies</t>
  </si>
  <si>
    <t>245676</t>
  </si>
  <si>
    <t>H00245676</t>
  </si>
  <si>
    <t>BA (Hons) Broadcast Media</t>
  </si>
  <si>
    <t>245677</t>
  </si>
  <si>
    <t>H00245677</t>
  </si>
  <si>
    <t>BA (Hons) 3 Dimensional Design Crafts</t>
  </si>
  <si>
    <t>245678</t>
  </si>
  <si>
    <t>H00245678</t>
  </si>
  <si>
    <t>Foundation Degree Leadership &amp; Management in the Air Traffic Industry</t>
  </si>
  <si>
    <t>245679</t>
  </si>
  <si>
    <t>H00245679</t>
  </si>
  <si>
    <t>Foundation Degree Coaching &amp; Fitness</t>
  </si>
  <si>
    <t>245680</t>
  </si>
  <si>
    <t>H00245680</t>
  </si>
  <si>
    <t>BSC (Hons) Equine Business Management</t>
  </si>
  <si>
    <t>245681</t>
  </si>
  <si>
    <t>H00245681</t>
  </si>
  <si>
    <t>BSC (Hons) Equine Science</t>
  </si>
  <si>
    <t>245682</t>
  </si>
  <si>
    <t>H00245682</t>
  </si>
  <si>
    <t>BSC (Hons) Equine Therapy and Rehabilitation</t>
  </si>
  <si>
    <t>245683</t>
  </si>
  <si>
    <t>H00245683</t>
  </si>
  <si>
    <t>Foundation Degree in Equine Therapy and Rehabilitation</t>
  </si>
  <si>
    <t>245684</t>
  </si>
  <si>
    <t>H00245684</t>
  </si>
  <si>
    <t>245685</t>
  </si>
  <si>
    <t>H00245685</t>
  </si>
  <si>
    <t>BA Community Development</t>
  </si>
  <si>
    <t>245686</t>
  </si>
  <si>
    <t>H00245686</t>
  </si>
  <si>
    <t>Foundation Degree in Rehabilitation</t>
  </si>
  <si>
    <t>245687</t>
  </si>
  <si>
    <t>H00245687</t>
  </si>
  <si>
    <t>245688</t>
  </si>
  <si>
    <t>H00245688</t>
  </si>
  <si>
    <t>Foundation Degree in Logistics Management</t>
  </si>
  <si>
    <t>245689</t>
  </si>
  <si>
    <t>H00245689</t>
  </si>
  <si>
    <t>Foundation Degree Complementary Therapies Management</t>
  </si>
  <si>
    <t>245690</t>
  </si>
  <si>
    <t>H00245690</t>
  </si>
  <si>
    <t>BA (Hons) Furniture Making Top Up</t>
  </si>
  <si>
    <t>245691</t>
  </si>
  <si>
    <t>H00245691</t>
  </si>
  <si>
    <t>Foundation Degree Airside Operations Management</t>
  </si>
  <si>
    <t>245692</t>
  </si>
  <si>
    <t>H00245692</t>
  </si>
  <si>
    <t>Foundation Degree Public Services (Uniformed)</t>
  </si>
  <si>
    <t>245693</t>
  </si>
  <si>
    <t>H00245693</t>
  </si>
  <si>
    <t>Foundation Degree Education (Lifelong Learning)</t>
  </si>
  <si>
    <t>245694</t>
  </si>
  <si>
    <t>H00245694</t>
  </si>
  <si>
    <t>Foundation Degree in Sport Coaching and Fitness Therapy</t>
  </si>
  <si>
    <t>245695</t>
  </si>
  <si>
    <t>H00245695</t>
  </si>
  <si>
    <t>MA Design</t>
  </si>
  <si>
    <t>245696</t>
  </si>
  <si>
    <t>H00245696</t>
  </si>
  <si>
    <t>MA Media and Communications</t>
  </si>
  <si>
    <t>245697</t>
  </si>
  <si>
    <t>H00245697</t>
  </si>
  <si>
    <t>BA (Hons) Early Years Care and Education</t>
  </si>
  <si>
    <t>245698</t>
  </si>
  <si>
    <t>H00245698</t>
  </si>
  <si>
    <t>Diploma in Higher Education in Business</t>
  </si>
  <si>
    <t>245699</t>
  </si>
  <si>
    <t>H00245699</t>
  </si>
  <si>
    <t>Certificate in Higher Education in Business</t>
  </si>
  <si>
    <t>245700</t>
  </si>
  <si>
    <t>H00245700</t>
  </si>
  <si>
    <t>BA (Hons) Interior Design</t>
  </si>
  <si>
    <t>245701</t>
  </si>
  <si>
    <t>H00245701</t>
  </si>
  <si>
    <t>BA (Hons) Sport and Recreation Management</t>
  </si>
  <si>
    <t>245702</t>
  </si>
  <si>
    <t>H00245702</t>
  </si>
  <si>
    <t>BSc (Hons) Applied Animal Studies</t>
  </si>
  <si>
    <t>245703</t>
  </si>
  <si>
    <t>H00245703</t>
  </si>
  <si>
    <t>BSc (Hons) Applied Conservation Biology</t>
  </si>
  <si>
    <t>245704</t>
  </si>
  <si>
    <t>H00245704</t>
  </si>
  <si>
    <t>BSc (Hons) Arboriculture</t>
  </si>
  <si>
    <t>245705</t>
  </si>
  <si>
    <t>H00245705</t>
  </si>
  <si>
    <t>BSc (Hons) Civil Engineering</t>
  </si>
  <si>
    <t>245706</t>
  </si>
  <si>
    <t>H00245706</t>
  </si>
  <si>
    <t>BSc (Hons) Equine Management</t>
  </si>
  <si>
    <t>245707</t>
  </si>
  <si>
    <t>H00245707</t>
  </si>
  <si>
    <t>BSc (Hons) Horticulture and Garden Design</t>
  </si>
  <si>
    <t>245708</t>
  </si>
  <si>
    <t>H00245708</t>
  </si>
  <si>
    <t>BSc (Hons) Sports Therapy</t>
  </si>
  <si>
    <t>245709</t>
  </si>
  <si>
    <t>H00245709</t>
  </si>
  <si>
    <t>Foundation Degree Outdoor Adventure</t>
  </si>
  <si>
    <t>245710</t>
  </si>
  <si>
    <t>H00245710</t>
  </si>
  <si>
    <t>Foundation Degree Sports Management and Coaching</t>
  </si>
  <si>
    <t>245711</t>
  </si>
  <si>
    <t>H00245711</t>
  </si>
  <si>
    <t>Foundation Degree Agriculture</t>
  </si>
  <si>
    <t>245712</t>
  </si>
  <si>
    <t>H00245712</t>
  </si>
  <si>
    <t>Foundation Degree Applied Animal Studies</t>
  </si>
  <si>
    <t>245713</t>
  </si>
  <si>
    <t>H00245713</t>
  </si>
  <si>
    <t>Foundation Degree Building Services</t>
  </si>
  <si>
    <t>245714</t>
  </si>
  <si>
    <t>H00245714</t>
  </si>
  <si>
    <t>Foundation Degree Building Services Engineering</t>
  </si>
  <si>
    <t>245715</t>
  </si>
  <si>
    <t>H00245715</t>
  </si>
  <si>
    <t>Foundation Degree Countryside and Wildlife Management</t>
  </si>
  <si>
    <t>245716</t>
  </si>
  <si>
    <t>H00245716</t>
  </si>
  <si>
    <t>Foundation Degree Sports Performance and Coaching</t>
  </si>
  <si>
    <t>245717</t>
  </si>
  <si>
    <t>H00245717</t>
  </si>
  <si>
    <t>Foundation Degree Sports Therapy</t>
  </si>
  <si>
    <t>245718</t>
  </si>
  <si>
    <t>H00245718</t>
  </si>
  <si>
    <t>HNC in Applied Animal Studies</t>
  </si>
  <si>
    <t>245719</t>
  </si>
  <si>
    <t>H00245719</t>
  </si>
  <si>
    <t>245720</t>
  </si>
  <si>
    <t>H00245720</t>
  </si>
  <si>
    <t>245721</t>
  </si>
  <si>
    <t>H00245721</t>
  </si>
  <si>
    <t>HNC in Construction Management</t>
  </si>
  <si>
    <t>245722</t>
  </si>
  <si>
    <t>H00245722</t>
  </si>
  <si>
    <t>HNC in Outdoor Recreation Management</t>
  </si>
  <si>
    <t>245723</t>
  </si>
  <si>
    <t>H00245723</t>
  </si>
  <si>
    <t>HND in Animal Welfare and Management</t>
  </si>
  <si>
    <t>245724</t>
  </si>
  <si>
    <t>H00245724</t>
  </si>
  <si>
    <t>HND in Applied Animal Studies</t>
  </si>
  <si>
    <t>245725</t>
  </si>
  <si>
    <t>H00245725</t>
  </si>
  <si>
    <t>HND in Interior Design</t>
  </si>
  <si>
    <t>245726</t>
  </si>
  <si>
    <t>H00245726</t>
  </si>
  <si>
    <t>HND in Outdoor Recreation Management</t>
  </si>
  <si>
    <t>245727</t>
  </si>
  <si>
    <t>H00245727</t>
  </si>
  <si>
    <t>MSc Sports Therapy</t>
  </si>
  <si>
    <t>245728</t>
  </si>
  <si>
    <t>H00245728</t>
  </si>
  <si>
    <t>MSc Animal Welfare</t>
  </si>
  <si>
    <t>245729</t>
  </si>
  <si>
    <t>H00245729</t>
  </si>
  <si>
    <t>Foundation Degree in Construction and Surveying</t>
  </si>
  <si>
    <t>245730</t>
  </si>
  <si>
    <t>H00245730</t>
  </si>
  <si>
    <t>BSc (Hons) Sports Performance and Coaching</t>
  </si>
  <si>
    <t>245731</t>
  </si>
  <si>
    <t>H00245731</t>
  </si>
  <si>
    <t>BA (Hons) Creative Practice Design</t>
  </si>
  <si>
    <t>245732</t>
  </si>
  <si>
    <t>H00245732</t>
  </si>
  <si>
    <t>BA (Hons) Creative Practice Digital</t>
  </si>
  <si>
    <t>245733</t>
  </si>
  <si>
    <t>H00245733</t>
  </si>
  <si>
    <t>BA (Hons) Creative Practice Retail</t>
  </si>
  <si>
    <t>245734</t>
  </si>
  <si>
    <t>H00245734</t>
  </si>
  <si>
    <t>HND in Sports Management</t>
  </si>
  <si>
    <t>245735</t>
  </si>
  <si>
    <t>H00245735</t>
  </si>
  <si>
    <t>HND in Horticulture and Garden Design</t>
  </si>
  <si>
    <t>245736</t>
  </si>
  <si>
    <t>H00245736</t>
  </si>
  <si>
    <t>Foundation Degree Conservation and Land Management</t>
  </si>
  <si>
    <t>245737</t>
  </si>
  <si>
    <t>H00245737</t>
  </si>
  <si>
    <t>Foundation Degree Agriculture and Land Management</t>
  </si>
  <si>
    <t>245738</t>
  </si>
  <si>
    <t>H00245738</t>
  </si>
  <si>
    <t>BA (Hons) Sports Management</t>
  </si>
  <si>
    <t>245739</t>
  </si>
  <si>
    <t>H00245739</t>
  </si>
  <si>
    <t>Foundation Degree in Graphics &amp; Digital Media</t>
  </si>
  <si>
    <t>245740</t>
  </si>
  <si>
    <t>H00245740</t>
  </si>
  <si>
    <t>Foundation Degree in Film Production &amp; Management</t>
  </si>
  <si>
    <t>245741</t>
  </si>
  <si>
    <t>H00245741</t>
  </si>
  <si>
    <t>245742</t>
  </si>
  <si>
    <t>H00245742</t>
  </si>
  <si>
    <t>245743</t>
  </si>
  <si>
    <t>H00245743</t>
  </si>
  <si>
    <t>245744</t>
  </si>
  <si>
    <t>H00245744</t>
  </si>
  <si>
    <t>Foundation Degree in Complimentary Therapeutic Practices for Health &amp; Well Being</t>
  </si>
  <si>
    <t>245745</t>
  </si>
  <si>
    <t>H00245745</t>
  </si>
  <si>
    <t>BA (Hons) Creative Practice Arts</t>
  </si>
  <si>
    <t>245746</t>
  </si>
  <si>
    <t>H00245746</t>
  </si>
  <si>
    <t>BA (Hons) Education</t>
  </si>
  <si>
    <t>245747</t>
  </si>
  <si>
    <t>H00245747</t>
  </si>
  <si>
    <t>245748</t>
  </si>
  <si>
    <t>H00245748</t>
  </si>
  <si>
    <t>Foundation Degree in Young Childrens Learning and Development</t>
  </si>
  <si>
    <t>245749</t>
  </si>
  <si>
    <t>H00245749</t>
  </si>
  <si>
    <t>BEng (Hons) Engineering</t>
  </si>
  <si>
    <t>245750</t>
  </si>
  <si>
    <t>H00245750</t>
  </si>
  <si>
    <t>245751</t>
  </si>
  <si>
    <t>H00245751</t>
  </si>
  <si>
    <t>Foundation Degree in Pensions Administration and Management</t>
  </si>
  <si>
    <t>245752</t>
  </si>
  <si>
    <t>H00245752</t>
  </si>
  <si>
    <t>Foundation Degree in Applied Networking</t>
  </si>
  <si>
    <t>245753</t>
  </si>
  <si>
    <t>H00245753</t>
  </si>
  <si>
    <t>Foundation Degree in Children's Care Learning and Development</t>
  </si>
  <si>
    <t>245754</t>
  </si>
  <si>
    <t>H00245754</t>
  </si>
  <si>
    <t>Foundation Degree in Retail</t>
  </si>
  <si>
    <t>245755</t>
  </si>
  <si>
    <t>H00245755</t>
  </si>
  <si>
    <t>Foundation Degree in Animal Welfare and Management</t>
  </si>
  <si>
    <t>245756</t>
  </si>
  <si>
    <t>H00245756</t>
  </si>
  <si>
    <t>Foundation Degree in Event and Hospitality Management</t>
  </si>
  <si>
    <t>245757</t>
  </si>
  <si>
    <t>H00245757</t>
  </si>
  <si>
    <t>245758</t>
  </si>
  <si>
    <t>H00245758</t>
  </si>
  <si>
    <t>BA (Hons) in Business Management with English</t>
  </si>
  <si>
    <t>245759</t>
  </si>
  <si>
    <t>H00245759</t>
  </si>
  <si>
    <t>DipHE in Law</t>
  </si>
  <si>
    <t>245760</t>
  </si>
  <si>
    <t>H00245760</t>
  </si>
  <si>
    <t>BSc (Hons) in Sport Coaching</t>
  </si>
  <si>
    <t>245761</t>
  </si>
  <si>
    <t>H00245761</t>
  </si>
  <si>
    <t>Foundation Degree in Applied Statistics with Communications</t>
  </si>
  <si>
    <t>245762</t>
  </si>
  <si>
    <t>H00245762</t>
  </si>
  <si>
    <t>BA (Hons) in Media Writing with Production</t>
  </si>
  <si>
    <t>245763</t>
  </si>
  <si>
    <t>H00245763</t>
  </si>
  <si>
    <t>HE Bridging Programme: Literacies for Life</t>
  </si>
  <si>
    <t>245764</t>
  </si>
  <si>
    <t>H00245764</t>
  </si>
  <si>
    <t>BA (Hons) in Integrative Relational Counselling</t>
  </si>
  <si>
    <t>245765</t>
  </si>
  <si>
    <t>H00245765</t>
  </si>
  <si>
    <t>HNC in Marine Engineering</t>
  </si>
  <si>
    <t>245766</t>
  </si>
  <si>
    <t>H00245766</t>
  </si>
  <si>
    <t>245767</t>
  </si>
  <si>
    <t>H00245767</t>
  </si>
  <si>
    <t>Foundation Degree in Community Policing and Justice Management</t>
  </si>
  <si>
    <t>245768</t>
  </si>
  <si>
    <t>H00245768</t>
  </si>
  <si>
    <t>BA (Hons) in Criminology</t>
  </si>
  <si>
    <t>245769</t>
  </si>
  <si>
    <t>H00245769</t>
  </si>
  <si>
    <t>245770</t>
  </si>
  <si>
    <t>H00245770</t>
  </si>
  <si>
    <t>245771</t>
  </si>
  <si>
    <t>H00245771</t>
  </si>
  <si>
    <t>Foundation Degree in Operational Management</t>
  </si>
  <si>
    <t>245772</t>
  </si>
  <si>
    <t>H00245772</t>
  </si>
  <si>
    <t>BA (Hons) in Television and Digital Film Production</t>
  </si>
  <si>
    <t>245773</t>
  </si>
  <si>
    <t>H00245773</t>
  </si>
  <si>
    <t>BA (Hons) in Motion Graphics</t>
  </si>
  <si>
    <t>245774</t>
  </si>
  <si>
    <t>H00245774</t>
  </si>
  <si>
    <t>BA (Hons) in Special Effects Makeup</t>
  </si>
  <si>
    <t>245775</t>
  </si>
  <si>
    <t>H00245775</t>
  </si>
  <si>
    <t>245776</t>
  </si>
  <si>
    <t>H00245776</t>
  </si>
  <si>
    <t>BA (Hons) in Community and Youth Work</t>
  </si>
  <si>
    <t>245777</t>
  </si>
  <si>
    <t>H00245777</t>
  </si>
  <si>
    <t>Foundation Degree in Integrated Care</t>
  </si>
  <si>
    <t>245778</t>
  </si>
  <si>
    <t>H00245778</t>
  </si>
  <si>
    <t>BA (Hons) in Costume</t>
  </si>
  <si>
    <t>245779</t>
  </si>
  <si>
    <t>H00245779</t>
  </si>
  <si>
    <t>Foundation Degree in Community Development</t>
  </si>
  <si>
    <t>245780</t>
  </si>
  <si>
    <t>H00245780</t>
  </si>
  <si>
    <t>245781</t>
  </si>
  <si>
    <t>H00245781</t>
  </si>
  <si>
    <t>Foundation Degree in Residential Surveying</t>
  </si>
  <si>
    <t>245782</t>
  </si>
  <si>
    <t>H00245782</t>
  </si>
  <si>
    <t>HND in Criminological Science</t>
  </si>
  <si>
    <t>245783</t>
  </si>
  <si>
    <t>H00245783</t>
  </si>
  <si>
    <t>HNC in Criminological Science</t>
  </si>
  <si>
    <t>245784</t>
  </si>
  <si>
    <t>H00245784</t>
  </si>
  <si>
    <t>HND in Forensic Science</t>
  </si>
  <si>
    <t>245785</t>
  </si>
  <si>
    <t>H00245785</t>
  </si>
  <si>
    <t>HNC in Forensic Science</t>
  </si>
  <si>
    <t>245786</t>
  </si>
  <si>
    <t>H00245786</t>
  </si>
  <si>
    <t>HND in Sport, Exercise and Health Sciences</t>
  </si>
  <si>
    <t>245787</t>
  </si>
  <si>
    <t>H00245787</t>
  </si>
  <si>
    <t>HND in Sport, Exercise and Therapy Sciences</t>
  </si>
  <si>
    <t>245788</t>
  </si>
  <si>
    <t>H00245788</t>
  </si>
  <si>
    <t>HND in Sport and Exercise Science</t>
  </si>
  <si>
    <t>245789</t>
  </si>
  <si>
    <t>H00245789</t>
  </si>
  <si>
    <t>BA in Refrigeration and Air Conditioning</t>
  </si>
  <si>
    <t>245790</t>
  </si>
  <si>
    <t>H00245790</t>
  </si>
  <si>
    <t>BA in Applied Computing With Multimedia Technologies</t>
  </si>
  <si>
    <t>245791</t>
  </si>
  <si>
    <t>H00245791</t>
  </si>
  <si>
    <t>Foundation Degree in Applied Computing With Multimedia Technologies</t>
  </si>
  <si>
    <t>245792</t>
  </si>
  <si>
    <t>H00245792</t>
  </si>
  <si>
    <t>Foundation Degree in Food Production Management</t>
  </si>
  <si>
    <t>245793</t>
  </si>
  <si>
    <t>H00245793</t>
  </si>
  <si>
    <t>BA in Productivity and Innovation Development</t>
  </si>
  <si>
    <t>245794</t>
  </si>
  <si>
    <t>H00245794</t>
  </si>
  <si>
    <t>245795</t>
  </si>
  <si>
    <t>H00245795</t>
  </si>
  <si>
    <t>BA in Education and Professional Development</t>
  </si>
  <si>
    <t>245796</t>
  </si>
  <si>
    <t>H00245796</t>
  </si>
  <si>
    <t>Foundation Degree in Educational Management and Administration</t>
  </si>
  <si>
    <t>245797</t>
  </si>
  <si>
    <t>H00245797</t>
  </si>
  <si>
    <t>MA in Professional Development</t>
  </si>
  <si>
    <t>245798</t>
  </si>
  <si>
    <t>H00245798</t>
  </si>
  <si>
    <t>HE Bridging Programme: Hospitality and Licensed Retail Management</t>
  </si>
  <si>
    <t>245799</t>
  </si>
  <si>
    <t>H00245799</t>
  </si>
  <si>
    <t>BA in Music Production</t>
  </si>
  <si>
    <t>245800</t>
  </si>
  <si>
    <t>H00245800</t>
  </si>
  <si>
    <t>DipHE in Music Production</t>
  </si>
  <si>
    <t>245801</t>
  </si>
  <si>
    <t>H00245801</t>
  </si>
  <si>
    <t>245802</t>
  </si>
  <si>
    <t>H00245802</t>
  </si>
  <si>
    <t>Foundation Degree in Commercial Music Production and Recording</t>
  </si>
  <si>
    <t>245803</t>
  </si>
  <si>
    <t>H00245803</t>
  </si>
  <si>
    <t>CertHE in Commercial Music Production and Recording</t>
  </si>
  <si>
    <t>245804</t>
  </si>
  <si>
    <t>H00245804</t>
  </si>
  <si>
    <t>245805</t>
  </si>
  <si>
    <t>H00245805</t>
  </si>
  <si>
    <t>BA in Music (Classical)</t>
  </si>
  <si>
    <t>245806</t>
  </si>
  <si>
    <t>H00245806</t>
  </si>
  <si>
    <t>DipHE in Music (Classical)</t>
  </si>
  <si>
    <t>245807</t>
  </si>
  <si>
    <t>H00245807</t>
  </si>
  <si>
    <t>CertHE in Music (Classical)</t>
  </si>
  <si>
    <t>245808</t>
  </si>
  <si>
    <t>H00245808</t>
  </si>
  <si>
    <t>MA in Composition</t>
  </si>
  <si>
    <t>245809</t>
  </si>
  <si>
    <t>H00245809</t>
  </si>
  <si>
    <t>PGD in Composition</t>
  </si>
  <si>
    <t>245810</t>
  </si>
  <si>
    <t>H00245810</t>
  </si>
  <si>
    <t>PGC in Composition</t>
  </si>
  <si>
    <t>245811</t>
  </si>
  <si>
    <t>H00245811</t>
  </si>
  <si>
    <t>MA in Performance</t>
  </si>
  <si>
    <t>245812</t>
  </si>
  <si>
    <t>H00245812</t>
  </si>
  <si>
    <t>PGD in Performance</t>
  </si>
  <si>
    <t>245813</t>
  </si>
  <si>
    <t>H00245813</t>
  </si>
  <si>
    <t>PGC in Performance</t>
  </si>
  <si>
    <t>245814</t>
  </si>
  <si>
    <t>H00245814</t>
  </si>
  <si>
    <t>MA in Music Production</t>
  </si>
  <si>
    <t>245815</t>
  </si>
  <si>
    <t>H00245815</t>
  </si>
  <si>
    <t>PGD in Music Production</t>
  </si>
  <si>
    <t>245816</t>
  </si>
  <si>
    <t>H00245816</t>
  </si>
  <si>
    <t>PGC in Music Production</t>
  </si>
  <si>
    <t>245817</t>
  </si>
  <si>
    <t>H00245817</t>
  </si>
  <si>
    <t>MA in Music (Performance)</t>
  </si>
  <si>
    <t>245818</t>
  </si>
  <si>
    <t>H00245818</t>
  </si>
  <si>
    <t>PGD in Music (Performance)</t>
  </si>
  <si>
    <t>245819</t>
  </si>
  <si>
    <t>H00245819</t>
  </si>
  <si>
    <t>PGC in Music (Performance)</t>
  </si>
  <si>
    <t>245820</t>
  </si>
  <si>
    <t>H00245820</t>
  </si>
  <si>
    <t>MA in Music (Composition)</t>
  </si>
  <si>
    <t>245821</t>
  </si>
  <si>
    <t>H00245821</t>
  </si>
  <si>
    <t>PGD in Music (Composition)</t>
  </si>
  <si>
    <t>245822</t>
  </si>
  <si>
    <t>H00245822</t>
  </si>
  <si>
    <t>PGC in Music (Composition)</t>
  </si>
  <si>
    <t>245823</t>
  </si>
  <si>
    <t>H00245823</t>
  </si>
  <si>
    <t>MMus in Music (Performance)</t>
  </si>
  <si>
    <t>245824</t>
  </si>
  <si>
    <t>H00245824</t>
  </si>
  <si>
    <t>MMus in Music (Composition)</t>
  </si>
  <si>
    <t>245825</t>
  </si>
  <si>
    <t>H00245825</t>
  </si>
  <si>
    <t>BA in Music (Combined)</t>
  </si>
  <si>
    <t>245826</t>
  </si>
  <si>
    <t>H00245826</t>
  </si>
  <si>
    <t>DipHE in Music (Combined)</t>
  </si>
  <si>
    <t>245827</t>
  </si>
  <si>
    <t>H00245827</t>
  </si>
  <si>
    <t>CertHE in Music (Combined)</t>
  </si>
  <si>
    <t>245828</t>
  </si>
  <si>
    <t>H00245828</t>
  </si>
  <si>
    <t>BSc (Hons) in Agriculture with Land Management</t>
  </si>
  <si>
    <t>245829</t>
  </si>
  <si>
    <t>H00245829</t>
  </si>
  <si>
    <t>Foundation Degree in Agriculture with Land Management</t>
  </si>
  <si>
    <t>245830</t>
  </si>
  <si>
    <t>H00245830</t>
  </si>
  <si>
    <t>BSc (Hons) in Animal Management and Science</t>
  </si>
  <si>
    <t>245831</t>
  </si>
  <si>
    <t>H00245831</t>
  </si>
  <si>
    <t>BSc (Hons) in Animal Management (Top-Up)</t>
  </si>
  <si>
    <t>245832</t>
  </si>
  <si>
    <t>H00245832</t>
  </si>
  <si>
    <t>245833</t>
  </si>
  <si>
    <t>H00245833</t>
  </si>
  <si>
    <t>BSc (Hons) in Countryside Management (Top-Up)</t>
  </si>
  <si>
    <t>245834</t>
  </si>
  <si>
    <t>H00245834</t>
  </si>
  <si>
    <t>245835</t>
  </si>
  <si>
    <t>H00245835</t>
  </si>
  <si>
    <t>245836</t>
  </si>
  <si>
    <t>H00245836</t>
  </si>
  <si>
    <t>Foundation Degree in Equine Sports Management</t>
  </si>
  <si>
    <t>245837</t>
  </si>
  <si>
    <t>H00245837</t>
  </si>
  <si>
    <t>Foundation Degree in Equine Leisure and Events Management</t>
  </si>
  <si>
    <t>245838</t>
  </si>
  <si>
    <t>H00245838</t>
  </si>
  <si>
    <t>Foundation Degree in  Sports Surface Management</t>
  </si>
  <si>
    <t>245839</t>
  </si>
  <si>
    <t>H00245839</t>
  </si>
  <si>
    <t>Foundation Degree in Landscape and Garden Management</t>
  </si>
  <si>
    <t>245840</t>
  </si>
  <si>
    <t>H00245840</t>
  </si>
  <si>
    <t>BSc (Hons) in Applied Horticulture (Top-Up)</t>
  </si>
  <si>
    <t>245841</t>
  </si>
  <si>
    <t>H00245841</t>
  </si>
  <si>
    <t>245842</t>
  </si>
  <si>
    <t>H00245842</t>
  </si>
  <si>
    <t>245843</t>
  </si>
  <si>
    <t>H00245843</t>
  </si>
  <si>
    <t>Foundation Degree in Veterinary Nursing</t>
  </si>
  <si>
    <t>245844</t>
  </si>
  <si>
    <t>H00245844</t>
  </si>
  <si>
    <t>PGCE in Teaching in the Lifelong Learning Sector</t>
  </si>
  <si>
    <t>245845</t>
  </si>
  <si>
    <t>H00245845</t>
  </si>
  <si>
    <t>BA in Education And Lifelong Learning</t>
  </si>
  <si>
    <t>245846</t>
  </si>
  <si>
    <t>H00245846</t>
  </si>
  <si>
    <t>BA (Hons) in Engineering Illustration</t>
  </si>
  <si>
    <t>245847</t>
  </si>
  <si>
    <t>H00245847</t>
  </si>
  <si>
    <t>BEng (Hons) in Sustainable Energy Technology</t>
  </si>
  <si>
    <t>245848</t>
  </si>
  <si>
    <t>H00245848</t>
  </si>
  <si>
    <t>Foundation Degree in Engineering Illustration</t>
  </si>
  <si>
    <t>245849</t>
  </si>
  <si>
    <t>H00245849</t>
  </si>
  <si>
    <t>Foundation Degree in Sustainable Energy Technology</t>
  </si>
  <si>
    <t>245850</t>
  </si>
  <si>
    <t>H00245850</t>
  </si>
  <si>
    <t>FdEng Marine Engineering</t>
  </si>
  <si>
    <t>245851</t>
  </si>
  <si>
    <t>H00245851</t>
  </si>
  <si>
    <t>Foundation Degree in Gaming Operations Management</t>
  </si>
  <si>
    <t>245852</t>
  </si>
  <si>
    <t>H00245852</t>
  </si>
  <si>
    <t>Foundation Degree in Sport Studies and Development</t>
  </si>
  <si>
    <t>245853</t>
  </si>
  <si>
    <t>H00245853</t>
  </si>
  <si>
    <t>BA (Hons) in Sports Studies and Development</t>
  </si>
  <si>
    <t>245854</t>
  </si>
  <si>
    <t>H00245854</t>
  </si>
  <si>
    <t>BEng (Hons) in Professional Engineering (Power Systems)</t>
  </si>
  <si>
    <t>245855</t>
  </si>
  <si>
    <t>H00245855</t>
  </si>
  <si>
    <t>HE Bridging Programme: Health and Social Care</t>
  </si>
  <si>
    <t>245856</t>
  </si>
  <si>
    <t>H00245856</t>
  </si>
  <si>
    <t>HE Bridging Programme: Business Management</t>
  </si>
  <si>
    <t>245857</t>
  </si>
  <si>
    <t>H00245857</t>
  </si>
  <si>
    <t>MSc in Productivity and Innovation Development</t>
  </si>
  <si>
    <t>245858</t>
  </si>
  <si>
    <t>H00245858</t>
  </si>
  <si>
    <t>245859</t>
  </si>
  <si>
    <t>H00245859</t>
  </si>
  <si>
    <t>245860</t>
  </si>
  <si>
    <t>H00245860</t>
  </si>
  <si>
    <t>245861</t>
  </si>
  <si>
    <t>H00245861</t>
  </si>
  <si>
    <t>245862</t>
  </si>
  <si>
    <t>H00245862</t>
  </si>
  <si>
    <t>245863</t>
  </si>
  <si>
    <t>H00245863</t>
  </si>
  <si>
    <t>245864</t>
  </si>
  <si>
    <t>H00245864</t>
  </si>
  <si>
    <t>BA (Hons) in Child Development and Education</t>
  </si>
  <si>
    <t>245865</t>
  </si>
  <si>
    <t>H00245865</t>
  </si>
  <si>
    <t>BA (Hons) in Design (Fashion)</t>
  </si>
  <si>
    <t>245866</t>
  </si>
  <si>
    <t>H00245866</t>
  </si>
  <si>
    <t>BA (Hons) in Design (Fashion/ Textiles)</t>
  </si>
  <si>
    <t>245867</t>
  </si>
  <si>
    <t>H00245867</t>
  </si>
  <si>
    <t>245868</t>
  </si>
  <si>
    <t>H00245868</t>
  </si>
  <si>
    <t>Foundation Degree in Health and Social Care Studies</t>
  </si>
  <si>
    <t>245869</t>
  </si>
  <si>
    <t>H00245869</t>
  </si>
  <si>
    <t>Foundation Degree in Interior and Spatial Design</t>
  </si>
  <si>
    <t>245870</t>
  </si>
  <si>
    <t>H00245870</t>
  </si>
  <si>
    <t>Foundation Degree in Media Make Up</t>
  </si>
  <si>
    <t>245871</t>
  </si>
  <si>
    <t>H00245871</t>
  </si>
  <si>
    <t>Foundation Degree in Engineering (Automotive Engineering)</t>
  </si>
  <si>
    <t>245872</t>
  </si>
  <si>
    <t>H00245872</t>
  </si>
  <si>
    <t>Foundation Degree in Engineering (Design and Manufacture)</t>
  </si>
  <si>
    <t>245873</t>
  </si>
  <si>
    <t>H00245873</t>
  </si>
  <si>
    <t>Foundation Degree in Enterprise in Computer Games Technology</t>
  </si>
  <si>
    <t>245874</t>
  </si>
  <si>
    <t>H00245874</t>
  </si>
  <si>
    <t>BA (Hons) in Design (Graphic Design)</t>
  </si>
  <si>
    <t>245875</t>
  </si>
  <si>
    <t>H00245875</t>
  </si>
  <si>
    <t>BA (Hons) in Design (Interior Textiles)</t>
  </si>
  <si>
    <t>245876</t>
  </si>
  <si>
    <t>H00245876</t>
  </si>
  <si>
    <t>BA (Hons) in Design (Textiles and Surface Pattern)</t>
  </si>
  <si>
    <t>245877</t>
  </si>
  <si>
    <t>H00245877</t>
  </si>
  <si>
    <t>BA (Hons) in Design (Surface Design)</t>
  </si>
  <si>
    <t>245878</t>
  </si>
  <si>
    <t>H00245878</t>
  </si>
  <si>
    <t>BSc (Hons) in Health and Social Care Management</t>
  </si>
  <si>
    <t>245879</t>
  </si>
  <si>
    <t>H00245879</t>
  </si>
  <si>
    <t>BA in Jazz</t>
  </si>
  <si>
    <t>245880</t>
  </si>
  <si>
    <t>H00245880</t>
  </si>
  <si>
    <t>DipHE in Jazz</t>
  </si>
  <si>
    <t>245881</t>
  </si>
  <si>
    <t>H00245881</t>
  </si>
  <si>
    <t>CertHE in Jazz</t>
  </si>
  <si>
    <t>245882</t>
  </si>
  <si>
    <t>H00245882</t>
  </si>
  <si>
    <t>BA in Music</t>
  </si>
  <si>
    <t>245883</t>
  </si>
  <si>
    <t>H00245883</t>
  </si>
  <si>
    <t>DipHE in Music</t>
  </si>
  <si>
    <t>245884</t>
  </si>
  <si>
    <t>H00245884</t>
  </si>
  <si>
    <t>CertHE in Music</t>
  </si>
  <si>
    <t>245885</t>
  </si>
  <si>
    <t>H00245885</t>
  </si>
  <si>
    <t>BA in Popular Music Studies</t>
  </si>
  <si>
    <t>245886</t>
  </si>
  <si>
    <t>H00245886</t>
  </si>
  <si>
    <t>DipHE in Popular Music Studies</t>
  </si>
  <si>
    <t>245887</t>
  </si>
  <si>
    <t>H00245887</t>
  </si>
  <si>
    <t>CertHE in Popular Music Studies</t>
  </si>
  <si>
    <t>245888</t>
  </si>
  <si>
    <t>H00245888</t>
  </si>
  <si>
    <t>Foundation Degree in Agriculture with Land Management (Extended - Year 0)</t>
  </si>
  <si>
    <t>245889</t>
  </si>
  <si>
    <t>H00245889</t>
  </si>
  <si>
    <t>Foundation Degree in Animal Management (Extended - Year 0)</t>
  </si>
  <si>
    <t>245890</t>
  </si>
  <si>
    <t>H00245890</t>
  </si>
  <si>
    <t>Foundation Degree in Countryside Management (Extended - Year 0)</t>
  </si>
  <si>
    <t>245891</t>
  </si>
  <si>
    <t>H00245891</t>
  </si>
  <si>
    <t>Foundation Degree in Equine Leisure and Events Management (Extended - Year 0)</t>
  </si>
  <si>
    <t>245892</t>
  </si>
  <si>
    <t>H00245892</t>
  </si>
  <si>
    <t>Foundation Degree in Horticulture (Extended - Year 0)</t>
  </si>
  <si>
    <t>245893</t>
  </si>
  <si>
    <t>H00245893</t>
  </si>
  <si>
    <t>Foundation Degree in Business Management and Enterprise</t>
  </si>
  <si>
    <t>245894</t>
  </si>
  <si>
    <t>H00245894</t>
  </si>
  <si>
    <t>Foundation Degree in Children, Young People and their Services</t>
  </si>
  <si>
    <t>245895</t>
  </si>
  <si>
    <t>H00245895</t>
  </si>
  <si>
    <t>BA in Music (Jazz)</t>
  </si>
  <si>
    <t>245896</t>
  </si>
  <si>
    <t>H00245896</t>
  </si>
  <si>
    <t>DipHE in Music (Jazz)</t>
  </si>
  <si>
    <t>245897</t>
  </si>
  <si>
    <t>H00245897</t>
  </si>
  <si>
    <t>CertHE in Music (Jazz)</t>
  </si>
  <si>
    <t>245898</t>
  </si>
  <si>
    <t>H00245898</t>
  </si>
  <si>
    <t>BA in Music (Popular)</t>
  </si>
  <si>
    <t>245899</t>
  </si>
  <si>
    <t>H00245899</t>
  </si>
  <si>
    <t>DipHE in Music (Popular)</t>
  </si>
  <si>
    <t>245900</t>
  </si>
  <si>
    <t>H00245900</t>
  </si>
  <si>
    <t>CertHE in Music (Popular)</t>
  </si>
  <si>
    <t>245901</t>
  </si>
  <si>
    <t>H00245901</t>
  </si>
  <si>
    <t>BA in Music (Production)</t>
  </si>
  <si>
    <t>245902</t>
  </si>
  <si>
    <t>H00245902</t>
  </si>
  <si>
    <t>DipHE in Music (Production)</t>
  </si>
  <si>
    <t>245903</t>
  </si>
  <si>
    <t>H00245903</t>
  </si>
  <si>
    <t>CertHE in Music (Production)</t>
  </si>
  <si>
    <t>245904</t>
  </si>
  <si>
    <t>H00245904</t>
  </si>
  <si>
    <t>Certificate in Management Studies (Executive Certificate)</t>
  </si>
  <si>
    <t>245905</t>
  </si>
  <si>
    <t>H00245905</t>
  </si>
  <si>
    <t>245906</t>
  </si>
  <si>
    <t>H00245906</t>
  </si>
  <si>
    <t>Foundation Degree in Event and Tourism Management</t>
  </si>
  <si>
    <t>245907</t>
  </si>
  <si>
    <t>H00245907</t>
  </si>
  <si>
    <t>245908</t>
  </si>
  <si>
    <t>H00245908</t>
  </si>
  <si>
    <t>245909</t>
  </si>
  <si>
    <t>H00245909</t>
  </si>
  <si>
    <t>245910</t>
  </si>
  <si>
    <t>H00245910</t>
  </si>
  <si>
    <t>BA (Hons) in Moving Image Production</t>
  </si>
  <si>
    <t>245911</t>
  </si>
  <si>
    <t>H00245911</t>
  </si>
  <si>
    <t>MA in Design Enterprise</t>
  </si>
  <si>
    <t>245912</t>
  </si>
  <si>
    <t>H00245912</t>
  </si>
  <si>
    <t>Foundation Degree in Sport, Exercise and Health Sciences</t>
  </si>
  <si>
    <t>245913</t>
  </si>
  <si>
    <t>H00245913</t>
  </si>
  <si>
    <t>MA in Education, Innovation and Enterprise</t>
  </si>
  <si>
    <t>245914</t>
  </si>
  <si>
    <t>H00245914</t>
  </si>
  <si>
    <t>MSc in Strategic Personnel and Development</t>
  </si>
  <si>
    <t>245915</t>
  </si>
  <si>
    <t>H00245915</t>
  </si>
  <si>
    <t>MSc in Relationship Therapy</t>
  </si>
  <si>
    <t>245916</t>
  </si>
  <si>
    <t>H00245916</t>
  </si>
  <si>
    <t>PGD in Relationship Therapy (Psychosexual Therapy)</t>
  </si>
  <si>
    <t>245917</t>
  </si>
  <si>
    <t>H00245917</t>
  </si>
  <si>
    <t>245918</t>
  </si>
  <si>
    <t>H00245918</t>
  </si>
  <si>
    <t>245919</t>
  </si>
  <si>
    <t>H00245919</t>
  </si>
  <si>
    <t>BA (Hons) in Learning and Development in Post-Compulsory Education and Training</t>
  </si>
  <si>
    <t>245920</t>
  </si>
  <si>
    <t>H00245920</t>
  </si>
  <si>
    <t>245921</t>
  </si>
  <si>
    <t>H00245921</t>
  </si>
  <si>
    <t>Foundation Degree in Early Childhood Policy and Practice</t>
  </si>
  <si>
    <t>245922</t>
  </si>
  <si>
    <t>H00245922</t>
  </si>
  <si>
    <t>BA in Working with Children and Young People (Hons Stage)</t>
  </si>
  <si>
    <t>245923</t>
  </si>
  <si>
    <t>H00245923</t>
  </si>
  <si>
    <t>MA in Relationship Therapy</t>
  </si>
  <si>
    <t>245924</t>
  </si>
  <si>
    <t>H00245924</t>
  </si>
  <si>
    <t>PGD in Creative Pattern Cutting</t>
  </si>
  <si>
    <t>245925</t>
  </si>
  <si>
    <t>H00245925</t>
  </si>
  <si>
    <t>245926</t>
  </si>
  <si>
    <t>H00245926</t>
  </si>
  <si>
    <t>BSc (Hons) in Integrated Technology</t>
  </si>
  <si>
    <t>245927</t>
  </si>
  <si>
    <t>H00245927</t>
  </si>
  <si>
    <t>BA in Performing Arts (Theatre) (Hons Stage)</t>
  </si>
  <si>
    <t>245928</t>
  </si>
  <si>
    <t>H00245928</t>
  </si>
  <si>
    <t>245929</t>
  </si>
  <si>
    <t>H00245929</t>
  </si>
  <si>
    <t>BA (Hons) in Contemporary Performance Practice</t>
  </si>
  <si>
    <t>245930</t>
  </si>
  <si>
    <t>H00245930</t>
  </si>
  <si>
    <t>BA (Hons) in Dance Practice</t>
  </si>
  <si>
    <t>245931</t>
  </si>
  <si>
    <t>H00245931</t>
  </si>
  <si>
    <t>BA (Hons) in Criminal Justice</t>
  </si>
  <si>
    <t>245932</t>
  </si>
  <si>
    <t>H00245932</t>
  </si>
  <si>
    <t>BA (Hons) in Law and Criminology</t>
  </si>
  <si>
    <t>245933</t>
  </si>
  <si>
    <t>H00245933</t>
  </si>
  <si>
    <t>245934</t>
  </si>
  <si>
    <t>H00245934</t>
  </si>
  <si>
    <t>245935</t>
  </si>
  <si>
    <t>H00245935</t>
  </si>
  <si>
    <t>Foundation Degree in Animation and Games Art</t>
  </si>
  <si>
    <t>245936</t>
  </si>
  <si>
    <t>H00245936</t>
  </si>
  <si>
    <t>BA (Hons) in Fashion and Textile Design</t>
  </si>
  <si>
    <t>245937</t>
  </si>
  <si>
    <t>H00245937</t>
  </si>
  <si>
    <t>245938</t>
  </si>
  <si>
    <t>H00245938</t>
  </si>
  <si>
    <t>245939</t>
  </si>
  <si>
    <t>H00245939</t>
  </si>
  <si>
    <t>BA (Hons) in Dance Practice with Digital Performance</t>
  </si>
  <si>
    <t>245940</t>
  </si>
  <si>
    <t>H00245940</t>
  </si>
  <si>
    <t>BA in Illustration and Animation (Hons Stage)</t>
  </si>
  <si>
    <t>245941</t>
  </si>
  <si>
    <t>H00245941</t>
  </si>
  <si>
    <t>BSc (Hons) in Sports, Exercise and Health Sciences</t>
  </si>
  <si>
    <t>245942</t>
  </si>
  <si>
    <t>H00245942</t>
  </si>
  <si>
    <t>Foundation Degree in Integrated Wildlife Conservation</t>
  </si>
  <si>
    <t>245943</t>
  </si>
  <si>
    <t>H00245943</t>
  </si>
  <si>
    <t>245944</t>
  </si>
  <si>
    <t>H00245944</t>
  </si>
  <si>
    <t>MSc in Human Resource Management</t>
  </si>
  <si>
    <t>245945</t>
  </si>
  <si>
    <t>H00245945</t>
  </si>
  <si>
    <t>245946</t>
  </si>
  <si>
    <t>H00245946</t>
  </si>
  <si>
    <t>245947</t>
  </si>
  <si>
    <t>H00245947</t>
  </si>
  <si>
    <t>Diploma in Introduction to Couple Counselling (University Advanced Diploma)</t>
  </si>
  <si>
    <t>245948</t>
  </si>
  <si>
    <t>H00245948</t>
  </si>
  <si>
    <t>CertHE in Education (Early Years)</t>
  </si>
  <si>
    <t>245949</t>
  </si>
  <si>
    <t>H00245949</t>
  </si>
  <si>
    <t>Foundation Certificate in Science and Management of Exercise and Health</t>
  </si>
  <si>
    <t>245950</t>
  </si>
  <si>
    <t>H00245950</t>
  </si>
  <si>
    <t>CertHE in Automotive Engineering with Motorsport</t>
  </si>
  <si>
    <t>245951</t>
  </si>
  <si>
    <t>H00245951</t>
  </si>
  <si>
    <t>Foundation Certificate in TV and Radio Production</t>
  </si>
  <si>
    <t>245952</t>
  </si>
  <si>
    <t>H00245952</t>
  </si>
  <si>
    <t>CertHE in TV and Radio Production</t>
  </si>
  <si>
    <t>245953</t>
  </si>
  <si>
    <t>H00245953</t>
  </si>
  <si>
    <t>CertHE in Design for Interactive New Media</t>
  </si>
  <si>
    <t>245954</t>
  </si>
  <si>
    <t>H00245954</t>
  </si>
  <si>
    <t>Foundation Certificate in Aeronautical Engineering</t>
  </si>
  <si>
    <t>245955</t>
  </si>
  <si>
    <t>H00245955</t>
  </si>
  <si>
    <t>Foundation Certificate in Computing</t>
  </si>
  <si>
    <t>245956</t>
  </si>
  <si>
    <t>H00245956</t>
  </si>
  <si>
    <t>CertHE in Early Years</t>
  </si>
  <si>
    <t>245957</t>
  </si>
  <si>
    <t>H00245957</t>
  </si>
  <si>
    <t>Foundation Certificate in Early Years</t>
  </si>
  <si>
    <t>245958</t>
  </si>
  <si>
    <t>H00245958</t>
  </si>
  <si>
    <t>Foundation Certificate in Business</t>
  </si>
  <si>
    <t>245959</t>
  </si>
  <si>
    <t>H00245959</t>
  </si>
  <si>
    <t>Foundation Degree in Animal Science and Health</t>
  </si>
  <si>
    <t>245960</t>
  </si>
  <si>
    <t>H00245960</t>
  </si>
  <si>
    <t>BSc (Hons) in Animal Science and Health</t>
  </si>
  <si>
    <t>245961</t>
  </si>
  <si>
    <t>H00245961</t>
  </si>
  <si>
    <t>245962</t>
  </si>
  <si>
    <t>H00245962</t>
  </si>
  <si>
    <t>BSc (Hons) in Veterinary Nursing</t>
  </si>
  <si>
    <t>245963</t>
  </si>
  <si>
    <t>H00245963</t>
  </si>
  <si>
    <t>245964</t>
  </si>
  <si>
    <t>H00245964</t>
  </si>
  <si>
    <t>245965</t>
  </si>
  <si>
    <t>H00245965</t>
  </si>
  <si>
    <t>245966</t>
  </si>
  <si>
    <t>H00245966</t>
  </si>
  <si>
    <t>BA (Hons) in Professional Studies (Performing Arts) (L6 Top up)</t>
  </si>
  <si>
    <t>245967</t>
  </si>
  <si>
    <t>H00245967</t>
  </si>
  <si>
    <t>Foundation Degree in Integrated Engineering</t>
  </si>
  <si>
    <t>245968</t>
  </si>
  <si>
    <t>H00245968</t>
  </si>
  <si>
    <t>BA (Hons) in Early Years Care and Education</t>
  </si>
  <si>
    <t>245969</t>
  </si>
  <si>
    <t>H00245969</t>
  </si>
  <si>
    <t>BSc (Hons) in Equine and Human Sports Science</t>
  </si>
  <si>
    <t>245970</t>
  </si>
  <si>
    <t>H00245970</t>
  </si>
  <si>
    <t>BSc (Hons) in Equitation Coaching Sports Science</t>
  </si>
  <si>
    <t>245971</t>
  </si>
  <si>
    <t>H00245971</t>
  </si>
  <si>
    <t>Foundation Degree in Horseracing Industry</t>
  </si>
  <si>
    <t>245972</t>
  </si>
  <si>
    <t>H00245972</t>
  </si>
  <si>
    <t>BSc (Hons) in Horseracing Industry</t>
  </si>
  <si>
    <t>245973</t>
  </si>
  <si>
    <t>H00245973</t>
  </si>
  <si>
    <t>Foundation Degree in Digital Film Production</t>
  </si>
  <si>
    <t>245974</t>
  </si>
  <si>
    <t>H00245974</t>
  </si>
  <si>
    <t>BA (Hons) in Digital Film Production</t>
  </si>
  <si>
    <t>245975</t>
  </si>
  <si>
    <t>H00245975</t>
  </si>
  <si>
    <t>CertHE in Digital Film Production</t>
  </si>
  <si>
    <t>245976</t>
  </si>
  <si>
    <t>H00245976</t>
  </si>
  <si>
    <t>BA in Early Years (with EYPS)</t>
  </si>
  <si>
    <t>245977</t>
  </si>
  <si>
    <t>H00245977</t>
  </si>
  <si>
    <t>245978</t>
  </si>
  <si>
    <t>H00245978</t>
  </si>
  <si>
    <t>245979</t>
  </si>
  <si>
    <t>H00245979</t>
  </si>
  <si>
    <t>BSc (Hons) in Equine Sports Coaching</t>
  </si>
  <si>
    <t>245980</t>
  </si>
  <si>
    <t>H00245980</t>
  </si>
  <si>
    <t>BSc (Hons) in Equine Sports Performance</t>
  </si>
  <si>
    <t>245981</t>
  </si>
  <si>
    <t>H00245981</t>
  </si>
  <si>
    <t>BSc (Hons) in Equine Studies</t>
  </si>
  <si>
    <t>245982</t>
  </si>
  <si>
    <t>H00245982</t>
  </si>
  <si>
    <t>Foundation Degree in Fashion and Clothing Design</t>
  </si>
  <si>
    <t>245983</t>
  </si>
  <si>
    <t>H00245983</t>
  </si>
  <si>
    <t>HE Bridging Programme (Animal Behaviour and Welfare)</t>
  </si>
  <si>
    <t>245984</t>
  </si>
  <si>
    <t>H00245984</t>
  </si>
  <si>
    <t>HE Bridging Programme (Environmental Conservation)</t>
  </si>
  <si>
    <t>245985</t>
  </si>
  <si>
    <t>H00245985</t>
  </si>
  <si>
    <t>245986</t>
  </si>
  <si>
    <t>H00245986</t>
  </si>
  <si>
    <t>Foundation Degree in Creative Film and Moving Image Production</t>
  </si>
  <si>
    <t>245987</t>
  </si>
  <si>
    <t>H00245987</t>
  </si>
  <si>
    <t>Foundation Degree in Creative Fashion Practices</t>
  </si>
  <si>
    <t>245988</t>
  </si>
  <si>
    <t>H00245988</t>
  </si>
  <si>
    <t>Foundation Degree in Computing and Internet Technologies</t>
  </si>
  <si>
    <t>245989</t>
  </si>
  <si>
    <t>H00245989</t>
  </si>
  <si>
    <t>Foundation Degree in Computer Games Technology</t>
  </si>
  <si>
    <t>245990</t>
  </si>
  <si>
    <t>H00245990</t>
  </si>
  <si>
    <t>Foundation Degree in Media Make-up</t>
  </si>
  <si>
    <t>245991</t>
  </si>
  <si>
    <t>H00245991</t>
  </si>
  <si>
    <t>BA (Hons) in Media Make-up</t>
  </si>
  <si>
    <t>245992</t>
  </si>
  <si>
    <t>H00245992</t>
  </si>
  <si>
    <t>Foundation Degree in Digital Film Production Design</t>
  </si>
  <si>
    <t>245993</t>
  </si>
  <si>
    <t>H00245993</t>
  </si>
  <si>
    <t>BA (Hons) in Digital Film Production Design</t>
  </si>
  <si>
    <t>245994</t>
  </si>
  <si>
    <t>H00245994</t>
  </si>
  <si>
    <t>CertHE in Digital Film Production Design</t>
  </si>
  <si>
    <t>245995</t>
  </si>
  <si>
    <t>H00245995</t>
  </si>
  <si>
    <t>Foundation Degree in Early Childhood Studies with Teaching Assistant option</t>
  </si>
  <si>
    <t>245996</t>
  </si>
  <si>
    <t>H00245996</t>
  </si>
  <si>
    <t>BA (Hons) in Early Childhood Studies with Practitioner  option</t>
  </si>
  <si>
    <t>245997</t>
  </si>
  <si>
    <t>H00245997</t>
  </si>
  <si>
    <t>245998</t>
  </si>
  <si>
    <t>H00245998</t>
  </si>
  <si>
    <t>BA (Hons) in Public Health and Social Care</t>
  </si>
  <si>
    <t>245999</t>
  </si>
  <si>
    <t>H00245999</t>
  </si>
  <si>
    <t>BA (Hons) in Criminological Studies</t>
  </si>
  <si>
    <t>246000</t>
  </si>
  <si>
    <t>H00246000</t>
  </si>
  <si>
    <t>Foundation Degree in Rural Environmental Management</t>
  </si>
  <si>
    <t>246001</t>
  </si>
  <si>
    <t>H00246001</t>
  </si>
  <si>
    <t>BA (Hons) in Fashion and Textiles</t>
  </si>
  <si>
    <t>246002</t>
  </si>
  <si>
    <t>H00246002</t>
  </si>
  <si>
    <t>Foundation Degree in Agricultural Management</t>
  </si>
  <si>
    <t>246003</t>
  </si>
  <si>
    <t>H00246003</t>
  </si>
  <si>
    <t>MSc in Applied Animal Behaviour and Training</t>
  </si>
  <si>
    <t>246004</t>
  </si>
  <si>
    <t>H00246004</t>
  </si>
  <si>
    <t>246005</t>
  </si>
  <si>
    <t>H00246005</t>
  </si>
  <si>
    <t>246006</t>
  </si>
  <si>
    <t>H00246006</t>
  </si>
  <si>
    <t>Foundation Degree in Sports and Development</t>
  </si>
  <si>
    <t>246007</t>
  </si>
  <si>
    <t>H00246007</t>
  </si>
  <si>
    <t>Foundation Degree in Travel Operations Management</t>
  </si>
  <si>
    <t>246008</t>
  </si>
  <si>
    <t>H00246008</t>
  </si>
  <si>
    <t>BA (Hons) in Children's Learning and Development</t>
  </si>
  <si>
    <t>246009</t>
  </si>
  <si>
    <t>H00246009</t>
  </si>
  <si>
    <t>Foundation Degree in Fashion and Jewellery</t>
  </si>
  <si>
    <t>246010</t>
  </si>
  <si>
    <t>H00246010</t>
  </si>
  <si>
    <t>246011</t>
  </si>
  <si>
    <t>H00246011</t>
  </si>
  <si>
    <t>Foundation Degree in Teaching Support Assistant</t>
  </si>
  <si>
    <t>246012</t>
  </si>
  <si>
    <t>H00246012</t>
  </si>
  <si>
    <t>246013</t>
  </si>
  <si>
    <t>H00246013</t>
  </si>
  <si>
    <t>246014</t>
  </si>
  <si>
    <t>H00246014</t>
  </si>
  <si>
    <t>BSc (Hons) in Applied Animal Management</t>
  </si>
  <si>
    <t>246015</t>
  </si>
  <si>
    <t>H00246015</t>
  </si>
  <si>
    <t>CertHE in Landscape Design</t>
  </si>
  <si>
    <t>246016</t>
  </si>
  <si>
    <t>H00246016</t>
  </si>
  <si>
    <t>246017</t>
  </si>
  <si>
    <t>H00246017</t>
  </si>
  <si>
    <t>246018</t>
  </si>
  <si>
    <t>H00246018</t>
  </si>
  <si>
    <t>BA (Hons) in Film and Screen Media</t>
  </si>
  <si>
    <t>246019</t>
  </si>
  <si>
    <t>H00246019</t>
  </si>
  <si>
    <t>246020</t>
  </si>
  <si>
    <t>H00246020</t>
  </si>
  <si>
    <t>246021</t>
  </si>
  <si>
    <t>H00246021</t>
  </si>
  <si>
    <t>BA (Hons) in Jewellery Design</t>
  </si>
  <si>
    <t>246022</t>
  </si>
  <si>
    <t>H00246022</t>
  </si>
  <si>
    <t>246023</t>
  </si>
  <si>
    <t>H00246023</t>
  </si>
  <si>
    <t>246024</t>
  </si>
  <si>
    <t>H00246024</t>
  </si>
  <si>
    <t>246025</t>
  </si>
  <si>
    <t>H00246025</t>
  </si>
  <si>
    <t>Foundation Degree in Creative Arts Practice</t>
  </si>
  <si>
    <t>246026</t>
  </si>
  <si>
    <t>H00246026</t>
  </si>
  <si>
    <t>Foundation Degree in Sports and Exercise Sciences</t>
  </si>
  <si>
    <t>246027</t>
  </si>
  <si>
    <t>H00246027</t>
  </si>
  <si>
    <t>246028</t>
  </si>
  <si>
    <t>H00246028</t>
  </si>
  <si>
    <t>246029</t>
  </si>
  <si>
    <t>H00246029</t>
  </si>
  <si>
    <t>Foundation Degree in Graphic design</t>
  </si>
  <si>
    <t>246030</t>
  </si>
  <si>
    <t>H00246030</t>
  </si>
  <si>
    <t>246031</t>
  </si>
  <si>
    <t>H00246031</t>
  </si>
  <si>
    <t>BA (Hons) in Photography (Top-up)</t>
  </si>
  <si>
    <t>246032</t>
  </si>
  <si>
    <t>H00246032</t>
  </si>
  <si>
    <t>BA in Business and Management</t>
  </si>
  <si>
    <t>246033</t>
  </si>
  <si>
    <t>H00246033</t>
  </si>
  <si>
    <t>246034</t>
  </si>
  <si>
    <t>H00246034</t>
  </si>
  <si>
    <t>Foundation Degree in Applied Ecology</t>
  </si>
  <si>
    <t>246035</t>
  </si>
  <si>
    <t>H00246035</t>
  </si>
  <si>
    <t>DipHE in Applied Biological Science</t>
  </si>
  <si>
    <t>246036</t>
  </si>
  <si>
    <t>H00246036</t>
  </si>
  <si>
    <t>BA (Hons) in Psychology and Marketing</t>
  </si>
  <si>
    <t>246037</t>
  </si>
  <si>
    <t>H00246037</t>
  </si>
  <si>
    <t>BA (Hons) in Media Production (Performance) (Top-up)</t>
  </si>
  <si>
    <t>246038</t>
  </si>
  <si>
    <t>H00246038</t>
  </si>
  <si>
    <t>BA (Hons) in Education (Lifelong Learning Sector) (Top-up)</t>
  </si>
  <si>
    <t>246039</t>
  </si>
  <si>
    <t>H00246039</t>
  </si>
  <si>
    <t>BA (Hons) in Acting for Live and Recorded Media</t>
  </si>
  <si>
    <t>246040</t>
  </si>
  <si>
    <t>H00246040</t>
  </si>
  <si>
    <t>246041</t>
  </si>
  <si>
    <t>H00246041</t>
  </si>
  <si>
    <t>246042</t>
  </si>
  <si>
    <t>H00246042</t>
  </si>
  <si>
    <t>Foundation Degree in Exercise Health and Fitness</t>
  </si>
  <si>
    <t>246043</t>
  </si>
  <si>
    <t>H00246043</t>
  </si>
  <si>
    <t>HNC in Engineering (Automotive Management and Technology)</t>
  </si>
  <si>
    <t>246044</t>
  </si>
  <si>
    <t>H00246044</t>
  </si>
  <si>
    <t>BA (Hons) in Ceramics</t>
  </si>
  <si>
    <t>246045</t>
  </si>
  <si>
    <t>H00246045</t>
  </si>
  <si>
    <t>BA (Hons) in Contemporary Crafts</t>
  </si>
  <si>
    <t>246046</t>
  </si>
  <si>
    <t>H00246046</t>
  </si>
  <si>
    <t>BA (Hons) in Glass</t>
  </si>
  <si>
    <t>246047</t>
  </si>
  <si>
    <t>H00246047</t>
  </si>
  <si>
    <t>BA (Hons) in Jewellery and Silversmithing</t>
  </si>
  <si>
    <t>246048</t>
  </si>
  <si>
    <t>H00246048</t>
  </si>
  <si>
    <t>BA (Hons) in Sculptural Metals</t>
  </si>
  <si>
    <t>246049</t>
  </si>
  <si>
    <t>H00246049</t>
  </si>
  <si>
    <t>BA (Hons) in Textiles</t>
  </si>
  <si>
    <t>246050</t>
  </si>
  <si>
    <t>H00246050</t>
  </si>
  <si>
    <t>MA in Creative Practices for Sustainability</t>
  </si>
  <si>
    <t>246051</t>
  </si>
  <si>
    <t>H00246051</t>
  </si>
  <si>
    <t>MA in Critical Curatorial Practices</t>
  </si>
  <si>
    <t>246052</t>
  </si>
  <si>
    <t>H00246052</t>
  </si>
  <si>
    <t>Foundation Degree in Supporting the Mental Health of Children and Young People</t>
  </si>
  <si>
    <t>246053</t>
  </si>
  <si>
    <t>H00246053</t>
  </si>
  <si>
    <t>Foundation Degree in Creative Arts and Design Practice</t>
  </si>
  <si>
    <t>246054</t>
  </si>
  <si>
    <t>H00246054</t>
  </si>
  <si>
    <t>Foundation Degree in Costume in Practice</t>
  </si>
  <si>
    <t>246055</t>
  </si>
  <si>
    <t>H00246055</t>
  </si>
  <si>
    <t>BSc (Hons) in Aircraft Maintenance, Operations and Management</t>
  </si>
  <si>
    <t>246056</t>
  </si>
  <si>
    <t>H00246056</t>
  </si>
  <si>
    <t>LLM in International and Comparative Law</t>
  </si>
  <si>
    <t>246057</t>
  </si>
  <si>
    <t>H00246057</t>
  </si>
  <si>
    <t>BA (Hons) in Youth and Community Studies</t>
  </si>
  <si>
    <t>246058</t>
  </si>
  <si>
    <t>H00246058</t>
  </si>
  <si>
    <t>246059</t>
  </si>
  <si>
    <t>H00246059</t>
  </si>
  <si>
    <t>Foundation Degree in Applied Bioscience Technology</t>
  </si>
  <si>
    <t>246060</t>
  </si>
  <si>
    <t>H00246060</t>
  </si>
  <si>
    <t>BA (Hons) in Health and Social Care (Substance Misuse)</t>
  </si>
  <si>
    <t>246061</t>
  </si>
  <si>
    <t>H00246061</t>
  </si>
  <si>
    <t>246062</t>
  </si>
  <si>
    <t>H00246062</t>
  </si>
  <si>
    <t>Foundation Degree in Fashion Design, Pattern Cutting and Construction</t>
  </si>
  <si>
    <t>246063</t>
  </si>
  <si>
    <t>H00246063</t>
  </si>
  <si>
    <t>BA (Hons) in Fashion Design with Business</t>
  </si>
  <si>
    <t>246064</t>
  </si>
  <si>
    <t>H00246064</t>
  </si>
  <si>
    <t>246065</t>
  </si>
  <si>
    <t>H00246065</t>
  </si>
  <si>
    <t>Foundation Degree in Contemporary Crafts</t>
  </si>
  <si>
    <t>246066</t>
  </si>
  <si>
    <t>H00246066</t>
  </si>
  <si>
    <t>246067</t>
  </si>
  <si>
    <t>H00246067</t>
  </si>
  <si>
    <t>Foundation Degree in Electrical Engineering and Renewable Energy</t>
  </si>
  <si>
    <t>246068</t>
  </si>
  <si>
    <t>H00246068</t>
  </si>
  <si>
    <t>Foundation Degree in Civil and Coastal Engineering</t>
  </si>
  <si>
    <t>246069</t>
  </si>
  <si>
    <t>H00246069</t>
  </si>
  <si>
    <t>Foundation Degree in Electrical Electronic Engineering</t>
  </si>
  <si>
    <t>246070</t>
  </si>
  <si>
    <t>H00246070</t>
  </si>
  <si>
    <t>Foundation Degree in Mechanical Manufacturing Engineering</t>
  </si>
  <si>
    <t>246071</t>
  </si>
  <si>
    <t>H00246071</t>
  </si>
  <si>
    <t>246072</t>
  </si>
  <si>
    <t>H00246072</t>
  </si>
  <si>
    <t>246073</t>
  </si>
  <si>
    <t>H00246073</t>
  </si>
  <si>
    <t>246074</t>
  </si>
  <si>
    <t>H00246074</t>
  </si>
  <si>
    <t>246075</t>
  </si>
  <si>
    <t>H00246075</t>
  </si>
  <si>
    <t>246076</t>
  </si>
  <si>
    <t>H00246076</t>
  </si>
  <si>
    <t>Foundation Degree in Business Management with Enterprise and Marketing</t>
  </si>
  <si>
    <t>246077</t>
  </si>
  <si>
    <t>H00246077</t>
  </si>
  <si>
    <t>Foundation Degree in Business Management with Human Resources</t>
  </si>
  <si>
    <t>246078</t>
  </si>
  <si>
    <t>H00246078</t>
  </si>
  <si>
    <t>Foundation Degree in Business Management with Leadership</t>
  </si>
  <si>
    <t>246079</t>
  </si>
  <si>
    <t>H00246079</t>
  </si>
  <si>
    <t>Foundation Degree in Business Management with Finance</t>
  </si>
  <si>
    <t>246080</t>
  </si>
  <si>
    <t>H00246080</t>
  </si>
  <si>
    <t>Foundation Degree in Children and Young People</t>
  </si>
  <si>
    <t>246081</t>
  </si>
  <si>
    <t>H00246081</t>
  </si>
  <si>
    <t>246082</t>
  </si>
  <si>
    <t>H00246082</t>
  </si>
  <si>
    <t>246083</t>
  </si>
  <si>
    <t>H00246083</t>
  </si>
  <si>
    <t>Foundation Degree in Integrated Youth Services</t>
  </si>
  <si>
    <t>246084</t>
  </si>
  <si>
    <t>H00246084</t>
  </si>
  <si>
    <t>Foundation Degree in Health Care Practice</t>
  </si>
  <si>
    <t>246085</t>
  </si>
  <si>
    <t>H00246085</t>
  </si>
  <si>
    <t>Foundation Degree in Teaching Assistants</t>
  </si>
  <si>
    <t>246086</t>
  </si>
  <si>
    <t>H00246086</t>
  </si>
  <si>
    <t>BEng (Hons) in Engineering</t>
  </si>
  <si>
    <t>246087</t>
  </si>
  <si>
    <t>H00246087</t>
  </si>
  <si>
    <t>BA (Hons) in Combined Studies (OUVA)</t>
  </si>
  <si>
    <t>246088</t>
  </si>
  <si>
    <t>H00246088</t>
  </si>
  <si>
    <t>246089</t>
  </si>
  <si>
    <t>H00246089</t>
  </si>
  <si>
    <t>Foundation Degree in Computing and Systems Development (Software Development)</t>
  </si>
  <si>
    <t>246090</t>
  </si>
  <si>
    <t>H00246090</t>
  </si>
  <si>
    <t>Foundation Degree in Computing and Systems Development (ICT Systems Support)</t>
  </si>
  <si>
    <t>246091</t>
  </si>
  <si>
    <t>H00246091</t>
  </si>
  <si>
    <t>CertHE in Computing and Systems Development</t>
  </si>
  <si>
    <t>246092</t>
  </si>
  <si>
    <t>H00246092</t>
  </si>
  <si>
    <t>Foundation Degree in Motorsports Engineering</t>
  </si>
  <si>
    <t>246093</t>
  </si>
  <si>
    <t>H00246093</t>
  </si>
  <si>
    <t>246094</t>
  </si>
  <si>
    <t>H00246094</t>
  </si>
  <si>
    <t>BA (Hons) in Three Dimensional Design</t>
  </si>
  <si>
    <t>246095</t>
  </si>
  <si>
    <t>H00246095</t>
  </si>
  <si>
    <t>246096</t>
  </si>
  <si>
    <t>H00246096</t>
  </si>
  <si>
    <t>BA (Hons) in Learning Disability Studies</t>
  </si>
  <si>
    <t>246097</t>
  </si>
  <si>
    <t>H00246097</t>
  </si>
  <si>
    <t>BA (Hons) in Pastoral Care with Psychology</t>
  </si>
  <si>
    <t>246099</t>
  </si>
  <si>
    <t>H00246099</t>
  </si>
  <si>
    <t>246100</t>
  </si>
  <si>
    <t>H00246100</t>
  </si>
  <si>
    <t>BA (Hons) in Business Enterprise (Top up)</t>
  </si>
  <si>
    <t>246101</t>
  </si>
  <si>
    <t>H00246101</t>
  </si>
  <si>
    <t>BA (Hons) in Counselling Studies (Top up)</t>
  </si>
  <si>
    <t>246102</t>
  </si>
  <si>
    <t>H00246102</t>
  </si>
  <si>
    <t>BA (Hons) in Education, Development and Society</t>
  </si>
  <si>
    <t>246103</t>
  </si>
  <si>
    <t>H00246103</t>
  </si>
  <si>
    <t>246104</t>
  </si>
  <si>
    <t>H00246104</t>
  </si>
  <si>
    <t>BSc (Hons) in Applied Zoology (Top up)</t>
  </si>
  <si>
    <t>246105</t>
  </si>
  <si>
    <t>H00246105</t>
  </si>
  <si>
    <t>BSc (Hons) in Combined Social Science</t>
  </si>
  <si>
    <t>246106</t>
  </si>
  <si>
    <t>H00246106</t>
  </si>
  <si>
    <t>BSc (Hons) in Combined Social Science (Top up)</t>
  </si>
  <si>
    <t>246107</t>
  </si>
  <si>
    <t>H00246107</t>
  </si>
  <si>
    <t>BSc (Hons) in Environmental Resource Management (Top up)</t>
  </si>
  <si>
    <t>246108</t>
  </si>
  <si>
    <t>H00246108</t>
  </si>
  <si>
    <t>BSc (Hons) in Equitation Science (Top up)</t>
  </si>
  <si>
    <t>246109</t>
  </si>
  <si>
    <t>H00246109</t>
  </si>
  <si>
    <t>BSc (Hons) in Health and Social Care (Top up)</t>
  </si>
  <si>
    <t>246110</t>
  </si>
  <si>
    <t>H00246110</t>
  </si>
  <si>
    <t>BSc (Hons) in Horticulture (Top up)</t>
  </si>
  <si>
    <t>246111</t>
  </si>
  <si>
    <t>H00246111</t>
  </si>
  <si>
    <t>BSc (Hons) in Rural Business Management (Top up)</t>
  </si>
  <si>
    <t>246112</t>
  </si>
  <si>
    <t>H00246112</t>
  </si>
  <si>
    <t>BSc (Hons) in Coaching (Sports Performance and Development)</t>
  </si>
  <si>
    <t>246113</t>
  </si>
  <si>
    <t>H00246113</t>
  </si>
  <si>
    <t>CertHE in Advanced Counselling Studies</t>
  </si>
  <si>
    <t>246114</t>
  </si>
  <si>
    <t>H00246114</t>
  </si>
  <si>
    <t>CertEd in Education (Full time)</t>
  </si>
  <si>
    <t>246115</t>
  </si>
  <si>
    <t>H00246115</t>
  </si>
  <si>
    <t>CertEd in Education (Part time)</t>
  </si>
  <si>
    <t>246116</t>
  </si>
  <si>
    <t>H00246116</t>
  </si>
  <si>
    <t>CertHE in Professional Development</t>
  </si>
  <si>
    <t>246117</t>
  </si>
  <si>
    <t>H00246117</t>
  </si>
  <si>
    <t>CertHE in Professional Development (Counselling Supervision)</t>
  </si>
  <si>
    <t>246118</t>
  </si>
  <si>
    <t>H00246118</t>
  </si>
  <si>
    <t>DipHE in Person-Centred Counselling and Therapy</t>
  </si>
  <si>
    <t>246119</t>
  </si>
  <si>
    <t>H00246119</t>
  </si>
  <si>
    <t>Diploma in Teaching English (Literacy CPD) in the Lifelong Sector</t>
  </si>
  <si>
    <t>246120</t>
  </si>
  <si>
    <t>H00246120</t>
  </si>
  <si>
    <t>Diploma in Teaching Mathematics (Numeracy CPD) in the Lifelong Sector</t>
  </si>
  <si>
    <t>246121</t>
  </si>
  <si>
    <t>H00246121</t>
  </si>
  <si>
    <t>246122</t>
  </si>
  <si>
    <t>H00246122</t>
  </si>
  <si>
    <t>Foundation Degree in Children, Schools and Families</t>
  </si>
  <si>
    <t>246123</t>
  </si>
  <si>
    <t>H00246123</t>
  </si>
  <si>
    <t>FdA in Art and Design Practice - Cornwall College</t>
  </si>
  <si>
    <t>246124</t>
  </si>
  <si>
    <t>H00246124</t>
  </si>
  <si>
    <t>246125</t>
  </si>
  <si>
    <t>H00246125</t>
  </si>
  <si>
    <t>Foundation Degree in E-Business Management</t>
  </si>
  <si>
    <t>246126</t>
  </si>
  <si>
    <t>H00246126</t>
  </si>
  <si>
    <t>Foundation Degree in Education and Training in the Lifelong Learning Sector</t>
  </si>
  <si>
    <t>246127</t>
  </si>
  <si>
    <t>H00246127</t>
  </si>
  <si>
    <t>246128</t>
  </si>
  <si>
    <t>H00246128</t>
  </si>
  <si>
    <t>Foundation Degree in Health and Community Studies</t>
  </si>
  <si>
    <t>246129</t>
  </si>
  <si>
    <t>H00246129</t>
  </si>
  <si>
    <t>246130</t>
  </si>
  <si>
    <t>H00246130</t>
  </si>
  <si>
    <t>Foundation Degree in Housing With Support</t>
  </si>
  <si>
    <t>246131</t>
  </si>
  <si>
    <t>H00246131</t>
  </si>
  <si>
    <t>Foundation Degree in Lean Manufacturing and Processing</t>
  </si>
  <si>
    <t>246132</t>
  </si>
  <si>
    <t>H00246132</t>
  </si>
  <si>
    <t>Foundation Degree in Live Arts Performance</t>
  </si>
  <si>
    <t>246133</t>
  </si>
  <si>
    <t>H00246133</t>
  </si>
  <si>
    <t>Foundation Degree in Multimedia Design</t>
  </si>
  <si>
    <t>246134</t>
  </si>
  <si>
    <t>H00246134</t>
  </si>
  <si>
    <t>Foundation Degree in Newspaper and Magazine Journalism</t>
  </si>
  <si>
    <t>246135</t>
  </si>
  <si>
    <t>H00246135</t>
  </si>
  <si>
    <t>Foundation Degree in Tourism</t>
  </si>
  <si>
    <t>246136</t>
  </si>
  <si>
    <t>H00246136</t>
  </si>
  <si>
    <t>Foundation Degree in Adventure Leadership</t>
  </si>
  <si>
    <t>246137</t>
  </si>
  <si>
    <t>H00246137</t>
  </si>
  <si>
    <t>246138</t>
  </si>
  <si>
    <t>H00246138</t>
  </si>
  <si>
    <t>Foundation Degree in Animal Behaviour and Psychology</t>
  </si>
  <si>
    <t>246139</t>
  </si>
  <si>
    <t>H00246139</t>
  </si>
  <si>
    <t>Foundation Degree in Animal Health</t>
  </si>
  <si>
    <t>246140</t>
  </si>
  <si>
    <t>H00246140</t>
  </si>
  <si>
    <t>Foundation Degree in Animal Husbandry and Welfare</t>
  </si>
  <si>
    <t>246141</t>
  </si>
  <si>
    <t>H00246141</t>
  </si>
  <si>
    <t>Foundation Degree in Conservation and Ecology</t>
  </si>
  <si>
    <t>246142</t>
  </si>
  <si>
    <t>H00246142</t>
  </si>
  <si>
    <t>Foundation Degree in Carbon Management</t>
  </si>
  <si>
    <t>246143</t>
  </si>
  <si>
    <t>H00246143</t>
  </si>
  <si>
    <t>Foundation Degree in Computer Networking</t>
  </si>
  <si>
    <t>246144</t>
  </si>
  <si>
    <t>H00246144</t>
  </si>
  <si>
    <t>Foundation Degree in Computing, Networking and Software Development</t>
  </si>
  <si>
    <t>246145</t>
  </si>
  <si>
    <t>H00246145</t>
  </si>
  <si>
    <t>Foundation Degree in Conservation and Countryside Management</t>
  </si>
  <si>
    <t>246146</t>
  </si>
  <si>
    <t>H00246146</t>
  </si>
  <si>
    <t>246147</t>
  </si>
  <si>
    <t>H00246147</t>
  </si>
  <si>
    <t>Foundation Degree in Equine Behaviour and Training</t>
  </si>
  <si>
    <t>246148</t>
  </si>
  <si>
    <t>H00246148</t>
  </si>
  <si>
    <t>Foundation Degree in Equine Sports Performance and Coaching</t>
  </si>
  <si>
    <t>246149</t>
  </si>
  <si>
    <t>H00246149</t>
  </si>
  <si>
    <t>Foundation Degree in Food Studies</t>
  </si>
  <si>
    <t>246150</t>
  </si>
  <si>
    <t>H00246150</t>
  </si>
  <si>
    <t>246151</t>
  </si>
  <si>
    <t>H00246151</t>
  </si>
  <si>
    <t>Foundation Degree in Golf Operations Management</t>
  </si>
  <si>
    <t>246152</t>
  </si>
  <si>
    <t>H00246152</t>
  </si>
  <si>
    <t>Foundation Degree in Healthcare Practice</t>
  </si>
  <si>
    <t>246153</t>
  </si>
  <si>
    <t>H00246153</t>
  </si>
  <si>
    <t>246154</t>
  </si>
  <si>
    <t>H00246154</t>
  </si>
  <si>
    <t>Foundation Degree in Information Technology</t>
  </si>
  <si>
    <t>246155</t>
  </si>
  <si>
    <t>H00246155</t>
  </si>
  <si>
    <t>Foundation Degree in Marine Aquaculture</t>
  </si>
  <si>
    <t>246156</t>
  </si>
  <si>
    <t>H00246156</t>
  </si>
  <si>
    <t>Foundation Degree in Marine Conservation</t>
  </si>
  <si>
    <t>246157</t>
  </si>
  <si>
    <t>H00246157</t>
  </si>
  <si>
    <t>Foundation Degree in Marine Science</t>
  </si>
  <si>
    <t>246158</t>
  </si>
  <si>
    <t>H00246158</t>
  </si>
  <si>
    <t>Foundation Degree in Marine Sports Science</t>
  </si>
  <si>
    <t>246159</t>
  </si>
  <si>
    <t>H00246159</t>
  </si>
  <si>
    <t>Foundation Degree in Operational Yacht Science</t>
  </si>
  <si>
    <t>246160</t>
  </si>
  <si>
    <t>H00246160</t>
  </si>
  <si>
    <t>Foundation Degree in Police Studies</t>
  </si>
  <si>
    <t>246161</t>
  </si>
  <si>
    <t>H00246161</t>
  </si>
  <si>
    <t>Foundation Degree in Public Services With Outdoor Education</t>
  </si>
  <si>
    <t>246162</t>
  </si>
  <si>
    <t>H00246162</t>
  </si>
  <si>
    <t>246163</t>
  </si>
  <si>
    <t>H00246163</t>
  </si>
  <si>
    <t>Foundation Degree in Rescue and Emergency Management</t>
  </si>
  <si>
    <t>246164</t>
  </si>
  <si>
    <t>H00246164</t>
  </si>
  <si>
    <t>Foundation Degree in River Conservation Management</t>
  </si>
  <si>
    <t>246165</t>
  </si>
  <si>
    <t>H00246165</t>
  </si>
  <si>
    <t>Foundation Degree in Rural Business Management</t>
  </si>
  <si>
    <t>246166</t>
  </si>
  <si>
    <t>H00246166</t>
  </si>
  <si>
    <t>246167</t>
  </si>
  <si>
    <t>H00246167</t>
  </si>
  <si>
    <t>Foundation Degree in Sport, Health and Fitness</t>
  </si>
  <si>
    <t>246168</t>
  </si>
  <si>
    <t>H00246168</t>
  </si>
  <si>
    <t>Foundation Degree in Sports Development and Coaching</t>
  </si>
  <si>
    <t>246169</t>
  </si>
  <si>
    <t>H00246169</t>
  </si>
  <si>
    <t>Foundation Degree in Surf Science and Technology</t>
  </si>
  <si>
    <t>246170</t>
  </si>
  <si>
    <t>H00246170</t>
  </si>
  <si>
    <t>246171</t>
  </si>
  <si>
    <t>H00246171</t>
  </si>
  <si>
    <t>Foundation Degree in Tournament Golf</t>
  </si>
  <si>
    <t>246172</t>
  </si>
  <si>
    <t>H00246172</t>
  </si>
  <si>
    <t>246173</t>
  </si>
  <si>
    <t>H00246173</t>
  </si>
  <si>
    <t>Foundation Degree in Wildlife Education and Media</t>
  </si>
  <si>
    <t>246174</t>
  </si>
  <si>
    <t>H00246174</t>
  </si>
  <si>
    <t>Foundation Degree in Zoological Conservation</t>
  </si>
  <si>
    <t>246175</t>
  </si>
  <si>
    <t>H00246175</t>
  </si>
  <si>
    <t>HNC in Complementary Health Therapies</t>
  </si>
  <si>
    <t>246176</t>
  </si>
  <si>
    <t>H00246176</t>
  </si>
  <si>
    <t>246177</t>
  </si>
  <si>
    <t>H00246177</t>
  </si>
  <si>
    <t>HNC in Health and Community Studies</t>
  </si>
  <si>
    <t>246178</t>
  </si>
  <si>
    <t>H00246178</t>
  </si>
  <si>
    <t>PGCE in Education (Part time)</t>
  </si>
  <si>
    <t>246179</t>
  </si>
  <si>
    <t>H00246179</t>
  </si>
  <si>
    <t>246180</t>
  </si>
  <si>
    <t>H00246180</t>
  </si>
  <si>
    <t>Foundation Degree in Mental Health Work</t>
  </si>
  <si>
    <t>246181</t>
  </si>
  <si>
    <t>H00246181</t>
  </si>
  <si>
    <t>Foundation Degree in Alcohol and Substance Misuse Work</t>
  </si>
  <si>
    <t>246182</t>
  </si>
  <si>
    <t>H00246182</t>
  </si>
  <si>
    <t>BA (Hons) in  Design (Interior Textiles and Surface Design</t>
  </si>
  <si>
    <t>246183</t>
  </si>
  <si>
    <t>H00246183</t>
  </si>
  <si>
    <t>PGCE in Practice Education</t>
  </si>
  <si>
    <t>246184</t>
  </si>
  <si>
    <t>H00246184</t>
  </si>
  <si>
    <t>PGDIP in Practice Education</t>
  </si>
  <si>
    <t>246185</t>
  </si>
  <si>
    <t>H00246185</t>
  </si>
  <si>
    <t>BA (Hons) in Integrative Counselling</t>
  </si>
  <si>
    <t>246186</t>
  </si>
  <si>
    <t>H00246186</t>
  </si>
  <si>
    <t>BSc (Hons) in Computing and Systems Development</t>
  </si>
  <si>
    <t>246187</t>
  </si>
  <si>
    <t>H00246187</t>
  </si>
  <si>
    <t>246188</t>
  </si>
  <si>
    <t>H00246188</t>
  </si>
  <si>
    <t>HND in Marine Engineering</t>
  </si>
  <si>
    <t>246189</t>
  </si>
  <si>
    <t>H00246189</t>
  </si>
  <si>
    <t>Foundation Degree in Print</t>
  </si>
  <si>
    <t>246190</t>
  </si>
  <si>
    <t>H00246190</t>
  </si>
  <si>
    <t>BA (Hons) in English with History</t>
  </si>
  <si>
    <t>246191</t>
  </si>
  <si>
    <t>H00246191</t>
  </si>
  <si>
    <t>BA (Hons) in History with English</t>
  </si>
  <si>
    <t>246192</t>
  </si>
  <si>
    <t>H00246192</t>
  </si>
  <si>
    <t>Foundation Degree in Counselling (Coaching and Mentoring)</t>
  </si>
  <si>
    <t>246193</t>
  </si>
  <si>
    <t>H00246193</t>
  </si>
  <si>
    <t>Foundation Degree in Counselling (Brief Interventions)</t>
  </si>
  <si>
    <t>246194</t>
  </si>
  <si>
    <t>H00246194</t>
  </si>
  <si>
    <t>246195</t>
  </si>
  <si>
    <t>H00246195</t>
  </si>
  <si>
    <t>Foundation Degree in Fashion Retail and Enterprise</t>
  </si>
  <si>
    <t>246196</t>
  </si>
  <si>
    <t>H00246196</t>
  </si>
  <si>
    <t>Foundation Degree in Printed and Constructed Textiles</t>
  </si>
  <si>
    <t>246197</t>
  </si>
  <si>
    <t>H00246197</t>
  </si>
  <si>
    <t>Foundation Degree in Contemporary Applied Art and Design</t>
  </si>
  <si>
    <t>246198</t>
  </si>
  <si>
    <t>H00246198</t>
  </si>
  <si>
    <t>246199</t>
  </si>
  <si>
    <t>H00246199</t>
  </si>
  <si>
    <t>Foundation Degree in Furniture and Fine Product</t>
  </si>
  <si>
    <t>246200</t>
  </si>
  <si>
    <t>H00246200</t>
  </si>
  <si>
    <t>246201</t>
  </si>
  <si>
    <t>H00246201</t>
  </si>
  <si>
    <t>Foundation Degree in Digital Audio Technology</t>
  </si>
  <si>
    <t>246202</t>
  </si>
  <si>
    <t>H00246202</t>
  </si>
  <si>
    <t>246203</t>
  </si>
  <si>
    <t>H00246203</t>
  </si>
  <si>
    <t>246204</t>
  </si>
  <si>
    <t>H00246204</t>
  </si>
  <si>
    <t>246205</t>
  </si>
  <si>
    <t>H00246205</t>
  </si>
  <si>
    <t>246206</t>
  </si>
  <si>
    <t>H00246206</t>
  </si>
  <si>
    <t>246207</t>
  </si>
  <si>
    <t>H00246207</t>
  </si>
  <si>
    <t>Foundation Degree in Games Design</t>
  </si>
  <si>
    <t>246208</t>
  </si>
  <si>
    <t>H00246208</t>
  </si>
  <si>
    <t>246209</t>
  </si>
  <si>
    <t>H00246209</t>
  </si>
  <si>
    <t>Foundation Degree in Acting and Performance Practice</t>
  </si>
  <si>
    <t>246210</t>
  </si>
  <si>
    <t>H00246210</t>
  </si>
  <si>
    <t>246211</t>
  </si>
  <si>
    <t>H00246211</t>
  </si>
  <si>
    <t>246212</t>
  </si>
  <si>
    <t>H00246212</t>
  </si>
  <si>
    <t>246213</t>
  </si>
  <si>
    <t>H00246213</t>
  </si>
  <si>
    <t>Foundation Degree in Sound Engineering</t>
  </si>
  <si>
    <t>246214</t>
  </si>
  <si>
    <t>H00246214</t>
  </si>
  <si>
    <t>Foundation Degree in Stage Management and Technical Theatre</t>
  </si>
  <si>
    <t>246215</t>
  </si>
  <si>
    <t>H00246215</t>
  </si>
  <si>
    <t>246216</t>
  </si>
  <si>
    <t>H00246216</t>
  </si>
  <si>
    <t>246217</t>
  </si>
  <si>
    <t>H00246217</t>
  </si>
  <si>
    <t>Foundation Degree in Industrial Applications of Biological and Chemical Science</t>
  </si>
  <si>
    <t>246218</t>
  </si>
  <si>
    <t>H00246218</t>
  </si>
  <si>
    <t>Foundation Degree in Laboratory Operations</t>
  </si>
  <si>
    <t>246219</t>
  </si>
  <si>
    <t>H00246219</t>
  </si>
  <si>
    <t>246220</t>
  </si>
  <si>
    <t>H00246220</t>
  </si>
  <si>
    <t>246221</t>
  </si>
  <si>
    <t>H00246221</t>
  </si>
  <si>
    <t>Foundation Degree in Education and Training</t>
  </si>
  <si>
    <t>246222</t>
  </si>
  <si>
    <t>H00246222</t>
  </si>
  <si>
    <t>Foundation Degree in Education and Training for 14-19</t>
  </si>
  <si>
    <t>246223</t>
  </si>
  <si>
    <t>H00246223</t>
  </si>
  <si>
    <t>Foundation Degree in Education and Training for English Literacy and Language Specialists</t>
  </si>
  <si>
    <t>246224</t>
  </si>
  <si>
    <t>H00246224</t>
  </si>
  <si>
    <t>Foundation Degree in Education and Training for Mathematics and Numeracy Specialists</t>
  </si>
  <si>
    <t>246225</t>
  </si>
  <si>
    <t>H00246225</t>
  </si>
  <si>
    <t>246226</t>
  </si>
  <si>
    <t>H00246226</t>
  </si>
  <si>
    <t>Foundation Degree in Sport and Exercise Therapies</t>
  </si>
  <si>
    <t>246227</t>
  </si>
  <si>
    <t>H00246227</t>
  </si>
  <si>
    <t>246228</t>
  </si>
  <si>
    <t>H00246228</t>
  </si>
  <si>
    <t>246229</t>
  </si>
  <si>
    <t>H00246229</t>
  </si>
  <si>
    <t>Foundation Degree in Early Years, Care and Education - South Devon College</t>
  </si>
  <si>
    <t>246230</t>
  </si>
  <si>
    <t>H00246230</t>
  </si>
  <si>
    <t>246231</t>
  </si>
  <si>
    <t>H00246231</t>
  </si>
  <si>
    <t>Foundation Degree in Illustration Arts</t>
  </si>
  <si>
    <t>246232</t>
  </si>
  <si>
    <t>H00246232</t>
  </si>
  <si>
    <t>Foundation Degree in Sports Coaching and Fitness</t>
  </si>
  <si>
    <t>246233</t>
  </si>
  <si>
    <t>H00246233</t>
  </si>
  <si>
    <t>246234</t>
  </si>
  <si>
    <t>H00246234</t>
  </si>
  <si>
    <t>Foundation Degree in Outdoor Education</t>
  </si>
  <si>
    <t>246235</t>
  </si>
  <si>
    <t>H00246235</t>
  </si>
  <si>
    <t>246236</t>
  </si>
  <si>
    <t>H00246236</t>
  </si>
  <si>
    <t>246237</t>
  </si>
  <si>
    <t>H00246237</t>
  </si>
  <si>
    <t>Foundation Degree in Animal Science - South Devon College</t>
  </si>
  <si>
    <t>246238</t>
  </si>
  <si>
    <t>H00246238</t>
  </si>
  <si>
    <t>Foundation Degree in Events and Conference Management</t>
  </si>
  <si>
    <t>246239</t>
  </si>
  <si>
    <t>H00246239</t>
  </si>
  <si>
    <t>246240</t>
  </si>
  <si>
    <t>H00246240</t>
  </si>
  <si>
    <t>Foundation Degree in Three Dimensional Design</t>
  </si>
  <si>
    <t>246241</t>
  </si>
  <si>
    <t>H00246241</t>
  </si>
  <si>
    <t>Foundation Degree in Yacht Operations</t>
  </si>
  <si>
    <t>246242</t>
  </si>
  <si>
    <t>H00246242</t>
  </si>
  <si>
    <t>Foundation Degree in Three Dimensional Design (Interior and Spatial Design)</t>
  </si>
  <si>
    <t>246243</t>
  </si>
  <si>
    <t>H00246243</t>
  </si>
  <si>
    <t>Foundation Degree in Three Dimensional Design (Contemporary Crafts)</t>
  </si>
  <si>
    <t>246244</t>
  </si>
  <si>
    <t>H00246244</t>
  </si>
  <si>
    <t>Foundation Degree in Biosciences</t>
  </si>
  <si>
    <t>246245</t>
  </si>
  <si>
    <t>H00246245</t>
  </si>
  <si>
    <t>Foundation Degree in Modern Music Practice (Performance and Technology)</t>
  </si>
  <si>
    <t>246246</t>
  </si>
  <si>
    <t>H00246246</t>
  </si>
  <si>
    <t>Foundation Degree in Drama, Performance and Arts Management</t>
  </si>
  <si>
    <t>246247</t>
  </si>
  <si>
    <t>H00246247</t>
  </si>
  <si>
    <t>Foundation Degree in Uniformed Services</t>
  </si>
  <si>
    <t>246248</t>
  </si>
  <si>
    <t>H00246248</t>
  </si>
  <si>
    <t>Foundation Degree in Engineering Technologies</t>
  </si>
  <si>
    <t>246249</t>
  </si>
  <si>
    <t>H00246249</t>
  </si>
  <si>
    <t>Foundation Degree in Sustainable Construction and the Built Environment - South Devon College</t>
  </si>
  <si>
    <t>246250</t>
  </si>
  <si>
    <t>H00246250</t>
  </si>
  <si>
    <t>PGCE in Education (Incorporating the Diploma in Teaching in the Lifelong Learning Sector)</t>
  </si>
  <si>
    <t>246251</t>
  </si>
  <si>
    <t>H00246251</t>
  </si>
  <si>
    <t>246252</t>
  </si>
  <si>
    <t>H00246252</t>
  </si>
  <si>
    <t>Foundation Degree in Computing and Internet Technology</t>
  </si>
  <si>
    <t>246253</t>
  </si>
  <si>
    <t>H00246253</t>
  </si>
  <si>
    <t>Foundation Degree in Managing in the Public Sector Service</t>
  </si>
  <si>
    <t>246254</t>
  </si>
  <si>
    <t>H00246254</t>
  </si>
  <si>
    <t>Foundation Degree in E-Business Technologies</t>
  </si>
  <si>
    <t>246255</t>
  </si>
  <si>
    <t>H00246255</t>
  </si>
  <si>
    <t>Foundation Degree in History, Heritage and Archaeology</t>
  </si>
  <si>
    <t>246256</t>
  </si>
  <si>
    <t>H00246256</t>
  </si>
  <si>
    <t>FdSc Network Engineering, Security and Systems Administration</t>
  </si>
  <si>
    <t>246257</t>
  </si>
  <si>
    <t>H00246257</t>
  </si>
  <si>
    <t>BSc (Hons) Network Engineering, Security and Systems Administration</t>
  </si>
  <si>
    <t>246258</t>
  </si>
  <si>
    <t>H00246258</t>
  </si>
  <si>
    <t>FdSc Software Engineering and Game Development</t>
  </si>
  <si>
    <t>246259</t>
  </si>
  <si>
    <t>H00246259</t>
  </si>
  <si>
    <t>BSc (Hons) Software Engineering and Game Development</t>
  </si>
  <si>
    <t>246260</t>
  </si>
  <si>
    <t>H00246260</t>
  </si>
  <si>
    <t>Foundation Degree in Creative and Editorial Photography</t>
  </si>
  <si>
    <t>246261</t>
  </si>
  <si>
    <t>H00246261</t>
  </si>
  <si>
    <t>246262</t>
  </si>
  <si>
    <t>H00246262</t>
  </si>
  <si>
    <t>Foundation Degree in Music Practitioners</t>
  </si>
  <si>
    <t>246263</t>
  </si>
  <si>
    <t>H00246263</t>
  </si>
  <si>
    <t>Foundation Degree in Applied Studies (Early Childhood and Learning Support Pathways)</t>
  </si>
  <si>
    <t>246264</t>
  </si>
  <si>
    <t>H00246264</t>
  </si>
  <si>
    <t>246265</t>
  </si>
  <si>
    <t>H00246265</t>
  </si>
  <si>
    <t>BSc (Hons) in Equine Science (Full time)</t>
  </si>
  <si>
    <t>246266</t>
  </si>
  <si>
    <t>H00246266</t>
  </si>
  <si>
    <t>BSc (Hons) in Equine Science (Top up)</t>
  </si>
  <si>
    <t>246267</t>
  </si>
  <si>
    <t>H00246267</t>
  </si>
  <si>
    <t>246268</t>
  </si>
  <si>
    <t>H00246268</t>
  </si>
  <si>
    <t>Foundation Degree in Equine Science and Management (Full time)</t>
  </si>
  <si>
    <t>246269</t>
  </si>
  <si>
    <t>H00246269</t>
  </si>
  <si>
    <t>Foundation Degree in Equine Science and Management (Part time)</t>
  </si>
  <si>
    <t>246270</t>
  </si>
  <si>
    <t>H00246270</t>
  </si>
  <si>
    <t>Foundation Degree in Equine Science, Complementary Therapy and N.H (Full time)</t>
  </si>
  <si>
    <t>246271</t>
  </si>
  <si>
    <t>H00246271</t>
  </si>
  <si>
    <t>Foundation Degree in Equine Science, Complementary Therapy and N.H (Part time)</t>
  </si>
  <si>
    <t>246272</t>
  </si>
  <si>
    <t>H00246272</t>
  </si>
  <si>
    <t>Foundation Certificate in Equine Science and Management (Part time)</t>
  </si>
  <si>
    <t>246273</t>
  </si>
  <si>
    <t>H00246273</t>
  </si>
  <si>
    <t>Foundation Certificate in Holistic Management and Natural Horsemanship (Part time)</t>
  </si>
  <si>
    <t>246274</t>
  </si>
  <si>
    <t>H00246274</t>
  </si>
  <si>
    <t>BSc (Hons) in Landscape Design and Management (Top up)</t>
  </si>
  <si>
    <t>246275</t>
  </si>
  <si>
    <t>H00246275</t>
  </si>
  <si>
    <t>246276</t>
  </si>
  <si>
    <t>H00246276</t>
  </si>
  <si>
    <t>Diploma in Garden Design (Full time)</t>
  </si>
  <si>
    <t>246277</t>
  </si>
  <si>
    <t>H00246277</t>
  </si>
  <si>
    <t>Diploma in Garden Design (Part time)</t>
  </si>
  <si>
    <t>246278</t>
  </si>
  <si>
    <t>H00246278</t>
  </si>
  <si>
    <t>Diploma in Landscape Design Technology (Full time)</t>
  </si>
  <si>
    <t>246279</t>
  </si>
  <si>
    <t>H00246279</t>
  </si>
  <si>
    <t>Diploma in Landscape Design Technology (Part time)</t>
  </si>
  <si>
    <t>246280</t>
  </si>
  <si>
    <t>H00246280</t>
  </si>
  <si>
    <t>Foundation Degree in Garden and Landscape Design (Full time)</t>
  </si>
  <si>
    <t>246281</t>
  </si>
  <si>
    <t>H00246281</t>
  </si>
  <si>
    <t>Foundation Degree in Garden and Landscape Design (Part time)</t>
  </si>
  <si>
    <t>246282</t>
  </si>
  <si>
    <t>H00246282</t>
  </si>
  <si>
    <t>Foundation Degree in Horticulture Business and Innovation (Full time)</t>
  </si>
  <si>
    <t>246283</t>
  </si>
  <si>
    <t>H00246283</t>
  </si>
  <si>
    <t>Foundation Degree in Agriculture (Part time)</t>
  </si>
  <si>
    <t>246284</t>
  </si>
  <si>
    <t>H00246284</t>
  </si>
  <si>
    <t>Foundation Degree in Agriculture (Full time)</t>
  </si>
  <si>
    <t>246285</t>
  </si>
  <si>
    <t>H00246285</t>
  </si>
  <si>
    <t>Foundation Degree in  Agriculture with Dairy Herd Management (Full time)</t>
  </si>
  <si>
    <t>246286</t>
  </si>
  <si>
    <t>H00246286</t>
  </si>
  <si>
    <t>Foundation Degree in  Agriculture with Dairy Herd Management (Part time)</t>
  </si>
  <si>
    <t>246287</t>
  </si>
  <si>
    <t>H00246287</t>
  </si>
  <si>
    <t>Foundation Degree in Countryside Conservation and Recreation Management (Part time)</t>
  </si>
  <si>
    <t>246288</t>
  </si>
  <si>
    <t>H00246288</t>
  </si>
  <si>
    <t>Foundation Degree in Machinery Dealership Management (Part time)</t>
  </si>
  <si>
    <t>246289</t>
  </si>
  <si>
    <t>H00246289</t>
  </si>
  <si>
    <t>Foundation Degree in Agricultural Engineering and Mechanism (Part time)</t>
  </si>
  <si>
    <t>246290</t>
  </si>
  <si>
    <t>H00246290</t>
  </si>
  <si>
    <t>Foundation Degree in Construction Plant Engineering (Part time)</t>
  </si>
  <si>
    <t>246291</t>
  </si>
  <si>
    <t>H00246291</t>
  </si>
  <si>
    <t>Foundation Degree in Food Industry with Management (Full time)</t>
  </si>
  <si>
    <t>246292</t>
  </si>
  <si>
    <t>H00246292</t>
  </si>
  <si>
    <t>Foundation Degree in Food Industry with Management (Part time)</t>
  </si>
  <si>
    <t>246293</t>
  </si>
  <si>
    <t>H00246293</t>
  </si>
  <si>
    <t>Foundation Degree in Food Industry with Management</t>
  </si>
  <si>
    <t>246294</t>
  </si>
  <si>
    <t>H00246294</t>
  </si>
  <si>
    <t>BSc in Food Technology (Top up)</t>
  </si>
  <si>
    <t>246295</t>
  </si>
  <si>
    <t>H00246295</t>
  </si>
  <si>
    <t>BSc (Hons) in Food Technology (Top up)</t>
  </si>
  <si>
    <t>246296</t>
  </si>
  <si>
    <t>H00246296</t>
  </si>
  <si>
    <t>BSc in Food Technology (Full time)</t>
  </si>
  <si>
    <t>246297</t>
  </si>
  <si>
    <t>H00246297</t>
  </si>
  <si>
    <t>BSc (Hons) in Food Technology (Full time)</t>
  </si>
  <si>
    <t>246298</t>
  </si>
  <si>
    <t>H00246298</t>
  </si>
  <si>
    <t>Foundation Degree in Dairy Technology (Part time)</t>
  </si>
  <si>
    <t>246299</t>
  </si>
  <si>
    <t>H00246299</t>
  </si>
  <si>
    <t>Foundation Degree in Adventure Sports and Management (Full time)</t>
  </si>
  <si>
    <t>246300</t>
  </si>
  <si>
    <t>H00246300</t>
  </si>
  <si>
    <t>Foundation Degree in Rural Events Management</t>
  </si>
  <si>
    <t>246301</t>
  </si>
  <si>
    <t>H00246301</t>
  </si>
  <si>
    <t>CertHE in Food Industry with Management</t>
  </si>
  <si>
    <t>246302</t>
  </si>
  <si>
    <t>H00246302</t>
  </si>
  <si>
    <t>246303</t>
  </si>
  <si>
    <t>H00246303</t>
  </si>
  <si>
    <t>246304</t>
  </si>
  <si>
    <t>H00246304</t>
  </si>
  <si>
    <t>Foundation Degree in Aviations Management and Operations</t>
  </si>
  <si>
    <t>246305</t>
  </si>
  <si>
    <t>H00246305</t>
  </si>
  <si>
    <t>BSc (Hons) in Air Transport Management</t>
  </si>
  <si>
    <t>246306</t>
  </si>
  <si>
    <t>H00246306</t>
  </si>
  <si>
    <t>Foundation Degree in Theatrical and Media Make-Up</t>
  </si>
  <si>
    <t>246307</t>
  </si>
  <si>
    <t>H00246307</t>
  </si>
  <si>
    <t>Foundation Degree in Venue and Events Management</t>
  </si>
  <si>
    <t>246308</t>
  </si>
  <si>
    <t>H00246308</t>
  </si>
  <si>
    <t>BA (Hons) in Managing in the Service Sector: Travel and Tourism</t>
  </si>
  <si>
    <t>246309</t>
  </si>
  <si>
    <t>H00246309</t>
  </si>
  <si>
    <t>BA (Hons) in Managing in the Service Sector</t>
  </si>
  <si>
    <t>246310</t>
  </si>
  <si>
    <t>H00246310</t>
  </si>
  <si>
    <t>246311</t>
  </si>
  <si>
    <t>H00246311</t>
  </si>
  <si>
    <t>246312</t>
  </si>
  <si>
    <t>H00246312</t>
  </si>
  <si>
    <t>Foundation Degree in Media - (Moving Image and Audio)</t>
  </si>
  <si>
    <t>246313</t>
  </si>
  <si>
    <t>H00246313</t>
  </si>
  <si>
    <t>Foundation Degree in Performance - Physical Theatre</t>
  </si>
  <si>
    <t>246314</t>
  </si>
  <si>
    <t>H00246314</t>
  </si>
  <si>
    <t>246315</t>
  </si>
  <si>
    <t>H00246315</t>
  </si>
  <si>
    <t>246316</t>
  </si>
  <si>
    <t>H00246316</t>
  </si>
  <si>
    <t>BA (Hons) in Sports Coaching</t>
  </si>
  <si>
    <t>246317</t>
  </si>
  <si>
    <t>H00246317</t>
  </si>
  <si>
    <t>246318</t>
  </si>
  <si>
    <t>H00246318</t>
  </si>
  <si>
    <t>CertHE in Graphic Design</t>
  </si>
  <si>
    <t>246319</t>
  </si>
  <si>
    <t>H00246319</t>
  </si>
  <si>
    <t>DipHE in Graphic Design</t>
  </si>
  <si>
    <t>246320</t>
  </si>
  <si>
    <t>H00246320</t>
  </si>
  <si>
    <t>246321</t>
  </si>
  <si>
    <t>H00246321</t>
  </si>
  <si>
    <t>CertHE in Fashion Design</t>
  </si>
  <si>
    <t>246322</t>
  </si>
  <si>
    <t>H00246322</t>
  </si>
  <si>
    <t>DipHE in Fashion Design</t>
  </si>
  <si>
    <t>246323</t>
  </si>
  <si>
    <t>H00246323</t>
  </si>
  <si>
    <t>246324</t>
  </si>
  <si>
    <t>H00246324</t>
  </si>
  <si>
    <t>CertHE in Interior Design</t>
  </si>
  <si>
    <t>246325</t>
  </si>
  <si>
    <t>H00246325</t>
  </si>
  <si>
    <t>DipHE in Interior Design</t>
  </si>
  <si>
    <t>246326</t>
  </si>
  <si>
    <t>H00246326</t>
  </si>
  <si>
    <t>246327</t>
  </si>
  <si>
    <t>H00246327</t>
  </si>
  <si>
    <t>CertHE in Fine Art</t>
  </si>
  <si>
    <t>246328</t>
  </si>
  <si>
    <t>H00246328</t>
  </si>
  <si>
    <t>246329</t>
  </si>
  <si>
    <t>H00246329</t>
  </si>
  <si>
    <t>Foundation Degree in Fashion Communication and Marketing</t>
  </si>
  <si>
    <t>246330</t>
  </si>
  <si>
    <t>H00246330</t>
  </si>
  <si>
    <t>BA (Hons) in Fashion Communication and Marketing</t>
  </si>
  <si>
    <t>246331</t>
  </si>
  <si>
    <t>H00246331</t>
  </si>
  <si>
    <t>246332</t>
  </si>
  <si>
    <t>H00246332</t>
  </si>
  <si>
    <t>CertHE in Photography</t>
  </si>
  <si>
    <t>246333</t>
  </si>
  <si>
    <t>H00246333</t>
  </si>
  <si>
    <t>DipHE in Photography</t>
  </si>
  <si>
    <t>246334</t>
  </si>
  <si>
    <t>H00246334</t>
  </si>
  <si>
    <t>246335</t>
  </si>
  <si>
    <t>H00246335</t>
  </si>
  <si>
    <t>CertHE in Journalism</t>
  </si>
  <si>
    <t>246336</t>
  </si>
  <si>
    <t>H00246336</t>
  </si>
  <si>
    <t>DipHE in Journalism</t>
  </si>
  <si>
    <t>246337</t>
  </si>
  <si>
    <t>H00246337</t>
  </si>
  <si>
    <t>BA (Hons) in Creative Writing for Media</t>
  </si>
  <si>
    <t>246338</t>
  </si>
  <si>
    <t>H00246338</t>
  </si>
  <si>
    <t>CertHE in Creative Writing for Media</t>
  </si>
  <si>
    <t>246339</t>
  </si>
  <si>
    <t>H00246339</t>
  </si>
  <si>
    <t>DipHE in Creative Writing for Media</t>
  </si>
  <si>
    <t>246340</t>
  </si>
  <si>
    <t>H00246340</t>
  </si>
  <si>
    <t>BA (Hons) in Digital Animation</t>
  </si>
  <si>
    <t>246341</t>
  </si>
  <si>
    <t>H00246341</t>
  </si>
  <si>
    <t>BA (Hons) in Television and Screen Media</t>
  </si>
  <si>
    <t>246342</t>
  </si>
  <si>
    <t>H00246342</t>
  </si>
  <si>
    <t>CertHE in Television and Screen Media</t>
  </si>
  <si>
    <t>246343</t>
  </si>
  <si>
    <t>H00246343</t>
  </si>
  <si>
    <t>DipHE in Television and Screen Media</t>
  </si>
  <si>
    <t>246344</t>
  </si>
  <si>
    <t>H00246344</t>
  </si>
  <si>
    <t>Foundation Degree in Production for Live Performance and Events</t>
  </si>
  <si>
    <t>246345</t>
  </si>
  <si>
    <t>H00246345</t>
  </si>
  <si>
    <t>CertHE in Production for Live Performance and Events</t>
  </si>
  <si>
    <t>246346</t>
  </si>
  <si>
    <t>H00246346</t>
  </si>
  <si>
    <t>246347</t>
  </si>
  <si>
    <t>H00246347</t>
  </si>
  <si>
    <t>246348</t>
  </si>
  <si>
    <t>H00246348</t>
  </si>
  <si>
    <t>246349</t>
  </si>
  <si>
    <t>H00246349</t>
  </si>
  <si>
    <t>BA (Hons) in Music Production, Performance and Composition</t>
  </si>
  <si>
    <t>246350</t>
  </si>
  <si>
    <t>H00246350</t>
  </si>
  <si>
    <t>CertHE in Music Production, Performance and Composition</t>
  </si>
  <si>
    <t>246351</t>
  </si>
  <si>
    <t>H00246351</t>
  </si>
  <si>
    <t>DipHE in Music Production, Performance and Composition</t>
  </si>
  <si>
    <t>246352</t>
  </si>
  <si>
    <t>H00246352</t>
  </si>
  <si>
    <t>Foundation Degree in Engineering (Mechanical/Electrical)</t>
  </si>
  <si>
    <t>246353</t>
  </si>
  <si>
    <t>H00246353</t>
  </si>
  <si>
    <t>CertHE in Engineering (Mechanical/Electrical)</t>
  </si>
  <si>
    <t>246354</t>
  </si>
  <si>
    <t>H00246354</t>
  </si>
  <si>
    <t>246355</t>
  </si>
  <si>
    <t>H00246355</t>
  </si>
  <si>
    <t>Foundation Degree in Network Technology</t>
  </si>
  <si>
    <t>246356</t>
  </si>
  <si>
    <t>H00246356</t>
  </si>
  <si>
    <t>BSc (Hons) in Network Technology</t>
  </si>
  <si>
    <t>246357</t>
  </si>
  <si>
    <t>H00246357</t>
  </si>
  <si>
    <t>BSc (Hons) in Creative Writing for Media</t>
  </si>
  <si>
    <t>246358</t>
  </si>
  <si>
    <t>H00246358</t>
  </si>
  <si>
    <t>246359</t>
  </si>
  <si>
    <t>H00246359</t>
  </si>
  <si>
    <t>CertHE in Business Studies</t>
  </si>
  <si>
    <t>246360</t>
  </si>
  <si>
    <t>H00246360</t>
  </si>
  <si>
    <t>246361</t>
  </si>
  <si>
    <t>H00246361</t>
  </si>
  <si>
    <t>246362</t>
  </si>
  <si>
    <t>H00246362</t>
  </si>
  <si>
    <t>Foundation Degree in Personal Fitness Training</t>
  </si>
  <si>
    <t>246363</t>
  </si>
  <si>
    <t>H00246363</t>
  </si>
  <si>
    <t>BSc (Hons) in Sport Studies</t>
  </si>
  <si>
    <t>246364</t>
  </si>
  <si>
    <t>H00246364</t>
  </si>
  <si>
    <t>CertHE in Sport Studies</t>
  </si>
  <si>
    <t>246365</t>
  </si>
  <si>
    <t>H00246365</t>
  </si>
  <si>
    <t>DipHE in Sport Studies</t>
  </si>
  <si>
    <t>246366</t>
  </si>
  <si>
    <t>H00246366</t>
  </si>
  <si>
    <t>246367</t>
  </si>
  <si>
    <t>H00246367</t>
  </si>
  <si>
    <t>246368</t>
  </si>
  <si>
    <t>H00246368</t>
  </si>
  <si>
    <t>246369</t>
  </si>
  <si>
    <t>H00246369</t>
  </si>
  <si>
    <t>BSc (Hons) in Social Studies</t>
  </si>
  <si>
    <t>246370</t>
  </si>
  <si>
    <t>H00246370</t>
  </si>
  <si>
    <t>CertHE in Social Studies</t>
  </si>
  <si>
    <t>246371</t>
  </si>
  <si>
    <t>H00246371</t>
  </si>
  <si>
    <t>DipHE in Social Studies</t>
  </si>
  <si>
    <t>246372</t>
  </si>
  <si>
    <t>H00246372</t>
  </si>
  <si>
    <t>BA (Hons) in Special Education Studies</t>
  </si>
  <si>
    <t>246373</t>
  </si>
  <si>
    <t>H00246373</t>
  </si>
  <si>
    <t>BA (Hons) in Early Years Education</t>
  </si>
  <si>
    <t>246374</t>
  </si>
  <si>
    <t>H00246374</t>
  </si>
  <si>
    <t>Certificate in Education (Teaching in Lifelong Learning Sector)</t>
  </si>
  <si>
    <t>246375</t>
  </si>
  <si>
    <t>H00246375</t>
  </si>
  <si>
    <t>246376</t>
  </si>
  <si>
    <t>H00246376</t>
  </si>
  <si>
    <t>BSc (Hons) in Criminology and Forensic Investigation</t>
  </si>
  <si>
    <t>246377</t>
  </si>
  <si>
    <t>H00246377</t>
  </si>
  <si>
    <t>CertHE in Criminology and Forensic Investigation</t>
  </si>
  <si>
    <t>246378</t>
  </si>
  <si>
    <t>H00246378</t>
  </si>
  <si>
    <t>DipHE in Criminology and Forensic Investigation</t>
  </si>
  <si>
    <t>246379</t>
  </si>
  <si>
    <t>H00246379</t>
  </si>
  <si>
    <t>246380</t>
  </si>
  <si>
    <t>H00246380</t>
  </si>
  <si>
    <t>BSc (Hons) in Counselling Studies</t>
  </si>
  <si>
    <t>246381</t>
  </si>
  <si>
    <t>H00246381</t>
  </si>
  <si>
    <t>BSc (Hons) in Psychology</t>
  </si>
  <si>
    <t>246382</t>
  </si>
  <si>
    <t>H00246382</t>
  </si>
  <si>
    <t>BSc (Hons) in Child and Adolescent Psychology</t>
  </si>
  <si>
    <t>246383</t>
  </si>
  <si>
    <t>H00246383</t>
  </si>
  <si>
    <t>246384</t>
  </si>
  <si>
    <t>H00246384</t>
  </si>
  <si>
    <t>BA (Hons) in Business, Organisational Behaviour and Coaching</t>
  </si>
  <si>
    <t>246385</t>
  </si>
  <si>
    <t>H00246385</t>
  </si>
  <si>
    <t>BA (Hons) in Leadership and Management (Top up)</t>
  </si>
  <si>
    <t>246386</t>
  </si>
  <si>
    <t>H00246386</t>
  </si>
  <si>
    <t>BA (Hons) in Contemporary Fine Art Practice</t>
  </si>
  <si>
    <t>246387</t>
  </si>
  <si>
    <t>H00246387</t>
  </si>
  <si>
    <t>246388</t>
  </si>
  <si>
    <t>H00246388</t>
  </si>
  <si>
    <t>Foundation Degree in Express Logistics</t>
  </si>
  <si>
    <t>246389</t>
  </si>
  <si>
    <t>H00246389</t>
  </si>
  <si>
    <t>246390</t>
  </si>
  <si>
    <t>H00246390</t>
  </si>
  <si>
    <t>Foundation Degree in Fashion Marketing and Retail</t>
  </si>
  <si>
    <t>246391</t>
  </si>
  <si>
    <t>H00246391</t>
  </si>
  <si>
    <t>246392</t>
  </si>
  <si>
    <t>H00246392</t>
  </si>
  <si>
    <t>246393</t>
  </si>
  <si>
    <t>H00246393</t>
  </si>
  <si>
    <t>BSc in Counselling (1 year Top up)</t>
  </si>
  <si>
    <t>246394</t>
  </si>
  <si>
    <t>H00246394</t>
  </si>
  <si>
    <t>Foundation Degree in Photography Practice</t>
  </si>
  <si>
    <t>246395</t>
  </si>
  <si>
    <t>H00246395</t>
  </si>
  <si>
    <t>246396</t>
  </si>
  <si>
    <t>H00246396</t>
  </si>
  <si>
    <t>Foundation Degree in Humanistic Counselling based on Transactional Analysis</t>
  </si>
  <si>
    <t>246397</t>
  </si>
  <si>
    <t>H00246397</t>
  </si>
  <si>
    <t>BA (Hons) in Humanistic and Integrative Counselling  (Top up)</t>
  </si>
  <si>
    <t>246398</t>
  </si>
  <si>
    <t>H00246398</t>
  </si>
  <si>
    <t>BA (Hons) in Humanistic Transactional Analysis Counselling (Top up)</t>
  </si>
  <si>
    <t>246399</t>
  </si>
  <si>
    <t>H00246399</t>
  </si>
  <si>
    <t>246400</t>
  </si>
  <si>
    <t>H00246400</t>
  </si>
  <si>
    <t>246401</t>
  </si>
  <si>
    <t>H00246401</t>
  </si>
  <si>
    <t>Foundation Degree in Sport Injury and Treatment</t>
  </si>
  <si>
    <t>246402</t>
  </si>
  <si>
    <t>H00246402</t>
  </si>
  <si>
    <t>Foundation Degree in Sport and Performance</t>
  </si>
  <si>
    <t>246403</t>
  </si>
  <si>
    <t>H00246403</t>
  </si>
  <si>
    <t>246404</t>
  </si>
  <si>
    <t>H00246404</t>
  </si>
  <si>
    <t>Foundation Degree in Biochemistry</t>
  </si>
  <si>
    <t>246405</t>
  </si>
  <si>
    <t>H00246405</t>
  </si>
  <si>
    <t>Foundation Degree in Art and Design in the Creative Industries (Fine Art)</t>
  </si>
  <si>
    <t>246406</t>
  </si>
  <si>
    <t>H00246406</t>
  </si>
  <si>
    <t>246407</t>
  </si>
  <si>
    <t>H00246407</t>
  </si>
  <si>
    <t>Foundation Degree in Media Production (Moving Image)</t>
  </si>
  <si>
    <t>246408</t>
  </si>
  <si>
    <t>H00246408</t>
  </si>
  <si>
    <t>Foundation Degree in Interactive Media and Games Development</t>
  </si>
  <si>
    <t>246409</t>
  </si>
  <si>
    <t>H00246409</t>
  </si>
  <si>
    <t>Foundation Degree in Arts Paralegal Skills</t>
  </si>
  <si>
    <t>246410</t>
  </si>
  <si>
    <t>H00246410</t>
  </si>
  <si>
    <t>246411</t>
  </si>
  <si>
    <t>H00246411</t>
  </si>
  <si>
    <t>246412</t>
  </si>
  <si>
    <t>H00246412</t>
  </si>
  <si>
    <t>Foundation Degree in Fisheries Management</t>
  </si>
  <si>
    <t>246413</t>
  </si>
  <si>
    <t>H00246413</t>
  </si>
  <si>
    <t>246414</t>
  </si>
  <si>
    <t>H00246414</t>
  </si>
  <si>
    <t>Foundation Degree in Computing (Games Design)</t>
  </si>
  <si>
    <t>246415</t>
  </si>
  <si>
    <t>H00246415</t>
  </si>
  <si>
    <t>BSc (Hons) in Motorsport Technology</t>
  </si>
  <si>
    <t>246416</t>
  </si>
  <si>
    <t>H00246416</t>
  </si>
  <si>
    <t>BSc (Hons) in Acupuncture</t>
  </si>
  <si>
    <t>246417</t>
  </si>
  <si>
    <t>H00246417</t>
  </si>
  <si>
    <t>BSc (Hons) in Herbal Medicine</t>
  </si>
  <si>
    <t>246418</t>
  </si>
  <si>
    <t>H00246418</t>
  </si>
  <si>
    <t>BSc (Hons) in Golf Science and Development</t>
  </si>
  <si>
    <t>246419</t>
  </si>
  <si>
    <t>H00246419</t>
  </si>
  <si>
    <t>BA (Hons) in Sports Business Management</t>
  </si>
  <si>
    <t>246420</t>
  </si>
  <si>
    <t>H00246420</t>
  </si>
  <si>
    <t>Foundation Degree in Animation for Industry</t>
  </si>
  <si>
    <t>246421</t>
  </si>
  <si>
    <t>H00246421</t>
  </si>
  <si>
    <t>246422</t>
  </si>
  <si>
    <t>H00246422</t>
  </si>
  <si>
    <t>Foundation Degree in Building Services and Sustainability</t>
  </si>
  <si>
    <t>246423</t>
  </si>
  <si>
    <t>H00246423</t>
  </si>
  <si>
    <t>Foundation Degree in Business IT and Networking</t>
  </si>
  <si>
    <t>246424</t>
  </si>
  <si>
    <t>H00246424</t>
  </si>
  <si>
    <t>Foundation Degree in IT and Networking Security</t>
  </si>
  <si>
    <t>246425</t>
  </si>
  <si>
    <t>H00246425</t>
  </si>
  <si>
    <t>Foundation Degree in Child and Family Studies</t>
  </si>
  <si>
    <t>246426</t>
  </si>
  <si>
    <t>H00246426</t>
  </si>
  <si>
    <t>246427</t>
  </si>
  <si>
    <t>H00246427</t>
  </si>
  <si>
    <t>246428</t>
  </si>
  <si>
    <t>H00246428</t>
  </si>
  <si>
    <t>Foundation Degree in Psychology and Crime</t>
  </si>
  <si>
    <t>246429</t>
  </si>
  <si>
    <t>H00246429</t>
  </si>
  <si>
    <t>246430</t>
  </si>
  <si>
    <t>H00246430</t>
  </si>
  <si>
    <t>246431</t>
  </si>
  <si>
    <t>H00246431</t>
  </si>
  <si>
    <t>Foundation Degree in Sport Fitness and Personal Training</t>
  </si>
  <si>
    <t>246432</t>
  </si>
  <si>
    <t>H00246432</t>
  </si>
  <si>
    <t>Foundation Degree in Professional Culinary Arts</t>
  </si>
  <si>
    <t>246433</t>
  </si>
  <si>
    <t>H00246433</t>
  </si>
  <si>
    <t>246434</t>
  </si>
  <si>
    <t>H00246434</t>
  </si>
  <si>
    <t>246435</t>
  </si>
  <si>
    <t>H00246435</t>
  </si>
  <si>
    <t>246436</t>
  </si>
  <si>
    <t>H00246436</t>
  </si>
  <si>
    <t>246437</t>
  </si>
  <si>
    <t>H00246437</t>
  </si>
  <si>
    <t>Foundation Degree in CGI 3D CM and Animation</t>
  </si>
  <si>
    <t>246438</t>
  </si>
  <si>
    <t>H00246438</t>
  </si>
  <si>
    <t>Foundation Degree in Music and Sound Technology</t>
  </si>
  <si>
    <t>246439</t>
  </si>
  <si>
    <t>H00246439</t>
  </si>
  <si>
    <t>246440</t>
  </si>
  <si>
    <t>H00246440</t>
  </si>
  <si>
    <t>246441</t>
  </si>
  <si>
    <t>H00246441</t>
  </si>
  <si>
    <t>246442</t>
  </si>
  <si>
    <t>H00246442</t>
  </si>
  <si>
    <t>Foundation Degree in Sports Studies</t>
  </si>
  <si>
    <t>246443</t>
  </si>
  <si>
    <t>H00246443</t>
  </si>
  <si>
    <t>BA (Hons) in Contempory Fine Art Practice</t>
  </si>
  <si>
    <t>246444</t>
  </si>
  <si>
    <t>H00246444</t>
  </si>
  <si>
    <t>Foundation Degree in Fashion Marketing and Retailing</t>
  </si>
  <si>
    <t>246445</t>
  </si>
  <si>
    <t>H00246445</t>
  </si>
  <si>
    <t>246447</t>
  </si>
  <si>
    <t>H00246447</t>
  </si>
  <si>
    <t>246448</t>
  </si>
  <si>
    <t>H00246448</t>
  </si>
  <si>
    <t>246449</t>
  </si>
  <si>
    <t>H00246449</t>
  </si>
  <si>
    <t>Foundation Degree in Digital Media Design</t>
  </si>
  <si>
    <t>246450</t>
  </si>
  <si>
    <t>H00246450</t>
  </si>
  <si>
    <t>Foundation Degree in Person Centred Counselling</t>
  </si>
  <si>
    <t>246451</t>
  </si>
  <si>
    <t>H00246451</t>
  </si>
  <si>
    <t>Foundation Degree in Music Production and Creative Recording</t>
  </si>
  <si>
    <t>246452</t>
  </si>
  <si>
    <t>H00246452</t>
  </si>
  <si>
    <t>246453</t>
  </si>
  <si>
    <t>H00246453</t>
  </si>
  <si>
    <t>Foundation Degree in Sport Coaching and Development</t>
  </si>
  <si>
    <t>246454</t>
  </si>
  <si>
    <t>H00246454</t>
  </si>
  <si>
    <t>BSc (Hons) in Computer Games Technology</t>
  </si>
  <si>
    <t>246455</t>
  </si>
  <si>
    <t>H00246455</t>
  </si>
  <si>
    <t>HND Computer Aided Design</t>
  </si>
  <si>
    <t>246456</t>
  </si>
  <si>
    <t>H00246456</t>
  </si>
  <si>
    <t>HNC Computer Aided Design</t>
  </si>
  <si>
    <t>246457</t>
  </si>
  <si>
    <t>H00246457</t>
  </si>
  <si>
    <t>246458</t>
  </si>
  <si>
    <t>H00246458</t>
  </si>
  <si>
    <t>Foundation Degree in Heath and Social Care Practice - (Weston College</t>
  </si>
  <si>
    <t>246460</t>
  </si>
  <si>
    <t>H00246460</t>
  </si>
  <si>
    <t>246461</t>
  </si>
  <si>
    <t>H00246461</t>
  </si>
  <si>
    <t>Foundation Degree in Food Science and Technology</t>
  </si>
  <si>
    <t>246462</t>
  </si>
  <si>
    <t>H00246462</t>
  </si>
  <si>
    <t>246463</t>
  </si>
  <si>
    <t>H00246463</t>
  </si>
  <si>
    <t>MA Post Compulsory in Education and Teaching</t>
  </si>
  <si>
    <t>246464</t>
  </si>
  <si>
    <t>H00246464</t>
  </si>
  <si>
    <t>Postgraduate Diploma in Youth and Community Development</t>
  </si>
  <si>
    <t>246465</t>
  </si>
  <si>
    <t>H00246465</t>
  </si>
  <si>
    <t>MA in Practitioner Research</t>
  </si>
  <si>
    <t>246466</t>
  </si>
  <si>
    <t>H00246466</t>
  </si>
  <si>
    <t>MA in Teaching</t>
  </si>
  <si>
    <t>246467</t>
  </si>
  <si>
    <t>H00246467</t>
  </si>
  <si>
    <t>MA in Youth and Community Studies</t>
  </si>
  <si>
    <t>246468</t>
  </si>
  <si>
    <t>H00246468</t>
  </si>
  <si>
    <t>BA (Hons) in Hospitality and Travel Management (Top up)</t>
  </si>
  <si>
    <t>246469</t>
  </si>
  <si>
    <t>H00246469</t>
  </si>
  <si>
    <t>BA (Hons) Teaching and Learning Support</t>
  </si>
  <si>
    <t>246470</t>
  </si>
  <si>
    <t>H00246470</t>
  </si>
  <si>
    <t>Foundation Degree in Health and Social Care (Full Time) (Care)</t>
  </si>
  <si>
    <t>246471</t>
  </si>
  <si>
    <t>H00246471</t>
  </si>
  <si>
    <t>Foundation Degree in Health and Social Care (Full Time) (Early Years)</t>
  </si>
  <si>
    <t>246472</t>
  </si>
  <si>
    <t>H00246472</t>
  </si>
  <si>
    <t>Foundation Degree in Health and Social Care (Part Time) (Care)</t>
  </si>
  <si>
    <t>246473</t>
  </si>
  <si>
    <t>H00246473</t>
  </si>
  <si>
    <t>HND in Building Studies (Full Time)</t>
  </si>
  <si>
    <t>246474</t>
  </si>
  <si>
    <t>H00246474</t>
  </si>
  <si>
    <t>HND in Building Surveying (Full Time)</t>
  </si>
  <si>
    <t>246475</t>
  </si>
  <si>
    <t>H00246475</t>
  </si>
  <si>
    <t>HND in Quantity Surveying (Full Time)</t>
  </si>
  <si>
    <t>246476</t>
  </si>
  <si>
    <t>H00246476</t>
  </si>
  <si>
    <t>HND in Construction Management (Full Time)</t>
  </si>
  <si>
    <t>246477</t>
  </si>
  <si>
    <t>H00246477</t>
  </si>
  <si>
    <t>HND in Architectural Design (Full Time)</t>
  </si>
  <si>
    <t>246478</t>
  </si>
  <si>
    <t>H00246478</t>
  </si>
  <si>
    <t>HNC in Building Studies (Part Time)</t>
  </si>
  <si>
    <t>246479</t>
  </si>
  <si>
    <t>H00246479</t>
  </si>
  <si>
    <t>HNC in Building Surveying (Part Time)</t>
  </si>
  <si>
    <t>246480</t>
  </si>
  <si>
    <t>H00246480</t>
  </si>
  <si>
    <t>HNC in Quantity Surveying (Part Time)</t>
  </si>
  <si>
    <t>246481</t>
  </si>
  <si>
    <t>H00246481</t>
  </si>
  <si>
    <t>HNC Construction Management (Part Time)</t>
  </si>
  <si>
    <t>246482</t>
  </si>
  <si>
    <t>H00246482</t>
  </si>
  <si>
    <t>HNC Architectural Design (Part Time)</t>
  </si>
  <si>
    <t>246483</t>
  </si>
  <si>
    <t>H00246483</t>
  </si>
  <si>
    <t>246484</t>
  </si>
  <si>
    <t>H00246484</t>
  </si>
  <si>
    <t>246485</t>
  </si>
  <si>
    <t>H00246485</t>
  </si>
  <si>
    <t>246486</t>
  </si>
  <si>
    <t>H00246486</t>
  </si>
  <si>
    <t>246487</t>
  </si>
  <si>
    <t>H00246487</t>
  </si>
  <si>
    <t>246488</t>
  </si>
  <si>
    <t>H00246488</t>
  </si>
  <si>
    <t>Foundation Degree in Computer Games Development</t>
  </si>
  <si>
    <t>246489</t>
  </si>
  <si>
    <t>H00246489</t>
  </si>
  <si>
    <t>BA (Hons) in Criminology and Criminology Justice</t>
  </si>
  <si>
    <t>246490</t>
  </si>
  <si>
    <t>H00246490</t>
  </si>
  <si>
    <t>246491</t>
  </si>
  <si>
    <t>H00246491</t>
  </si>
  <si>
    <t>BSc (Hons) in Science (Foundation Entry)</t>
  </si>
  <si>
    <t>246492</t>
  </si>
  <si>
    <t>H00246492</t>
  </si>
  <si>
    <t>BSc (Hons) in Psychology (Year One)</t>
  </si>
  <si>
    <t>246493</t>
  </si>
  <si>
    <t>H00246493</t>
  </si>
  <si>
    <t>246494</t>
  </si>
  <si>
    <t>H00246494</t>
  </si>
  <si>
    <t>BSc (Hons) in Mathematics (Year One)</t>
  </si>
  <si>
    <t>246495</t>
  </si>
  <si>
    <t>H00246495</t>
  </si>
  <si>
    <t>246496</t>
  </si>
  <si>
    <t>H00246496</t>
  </si>
  <si>
    <t>LLB (Hons) Bachelor of Law with Criminology (Year One)</t>
  </si>
  <si>
    <t>246497</t>
  </si>
  <si>
    <t>H00246497</t>
  </si>
  <si>
    <t>Foundation Degree in Prisons and Law Enforcement</t>
  </si>
  <si>
    <t>246498</t>
  </si>
  <si>
    <t>H00246498</t>
  </si>
  <si>
    <t>Foundation Degree in Early Years Education and Care</t>
  </si>
  <si>
    <t>246499</t>
  </si>
  <si>
    <t>H00246499</t>
  </si>
  <si>
    <t>246500</t>
  </si>
  <si>
    <t>H00246500</t>
  </si>
  <si>
    <t>BSc (Hons) in Viticulture and Oenology</t>
  </si>
  <si>
    <t>246501</t>
  </si>
  <si>
    <t>H00246501</t>
  </si>
  <si>
    <t>246502</t>
  </si>
  <si>
    <t>H00246502</t>
  </si>
  <si>
    <t>Foundation Degree in Wine Business</t>
  </si>
  <si>
    <t>246503</t>
  </si>
  <si>
    <t>H00246503</t>
  </si>
  <si>
    <t>246504</t>
  </si>
  <si>
    <t>H00246504</t>
  </si>
  <si>
    <t>246505</t>
  </si>
  <si>
    <t>H00246505</t>
  </si>
  <si>
    <t>246506</t>
  </si>
  <si>
    <t>H00246506</t>
  </si>
  <si>
    <t>Foundation Degree in Forestry and Woodland Management</t>
  </si>
  <si>
    <t>246507</t>
  </si>
  <si>
    <t>H00246507</t>
  </si>
  <si>
    <t>246508</t>
  </si>
  <si>
    <t>H00246508</t>
  </si>
  <si>
    <t>Foundation Degree in Wine Production</t>
  </si>
  <si>
    <t>246509</t>
  </si>
  <si>
    <t>H00246509</t>
  </si>
  <si>
    <t>246510</t>
  </si>
  <si>
    <t>H00246510</t>
  </si>
  <si>
    <t>246511</t>
  </si>
  <si>
    <t>H00246511</t>
  </si>
  <si>
    <t>Foundation Degree in Health and Active Lifestyles</t>
  </si>
  <si>
    <t>246512</t>
  </si>
  <si>
    <t>H00246512</t>
  </si>
  <si>
    <t>Foundation Degree in Music and Production</t>
  </si>
  <si>
    <t>246513</t>
  </si>
  <si>
    <t>H00246513</t>
  </si>
  <si>
    <t>BSc (Hons) in Social Sciences</t>
  </si>
  <si>
    <t>246514</t>
  </si>
  <si>
    <t>H00246514</t>
  </si>
  <si>
    <t>246515</t>
  </si>
  <si>
    <t>H00246515</t>
  </si>
  <si>
    <t>BA (Hons) in Digital Arts Practice</t>
  </si>
  <si>
    <t>246516</t>
  </si>
  <si>
    <t>H00246516</t>
  </si>
  <si>
    <t>BSc (Hons) in Construction and Project Management</t>
  </si>
  <si>
    <t>246517</t>
  </si>
  <si>
    <t>H00246517</t>
  </si>
  <si>
    <t>246518</t>
  </si>
  <si>
    <t>H00246518</t>
  </si>
  <si>
    <t>LLB (Hons) in Law</t>
  </si>
  <si>
    <t>246519</t>
  </si>
  <si>
    <t>H00246519</t>
  </si>
  <si>
    <t>BA (Hons) in Early Years</t>
  </si>
  <si>
    <t>246520</t>
  </si>
  <si>
    <t>H00246520</t>
  </si>
  <si>
    <t>Foundation Degree in Performing Arts (Technical Theatre)</t>
  </si>
  <si>
    <t>246521</t>
  </si>
  <si>
    <t>H00246521</t>
  </si>
  <si>
    <t>Foundation Degree in Performing Arts (Performance)</t>
  </si>
  <si>
    <t>246522</t>
  </si>
  <si>
    <t>H00246522</t>
  </si>
  <si>
    <t>BA (Hons) in History And English Literature</t>
  </si>
  <si>
    <t>246523</t>
  </si>
  <si>
    <t>H00246523</t>
  </si>
  <si>
    <t>BA (Hons) in Humanities</t>
  </si>
  <si>
    <t>246524</t>
  </si>
  <si>
    <t>H00246524</t>
  </si>
  <si>
    <t>BA (Hons) in Digital Journalism</t>
  </si>
  <si>
    <t>246525</t>
  </si>
  <si>
    <t>H00246525</t>
  </si>
  <si>
    <t>246526</t>
  </si>
  <si>
    <t>H00246526</t>
  </si>
  <si>
    <t>BSc (Hons) in Health and Community Studies</t>
  </si>
  <si>
    <t>246527</t>
  </si>
  <si>
    <t>H00246527</t>
  </si>
  <si>
    <t>BSc (Hons) in Psychological Studies</t>
  </si>
  <si>
    <t>246528</t>
  </si>
  <si>
    <t>H00246528</t>
  </si>
  <si>
    <t>246529</t>
  </si>
  <si>
    <t>H00246529</t>
  </si>
  <si>
    <t>BA (Hons) in Creative Media Practice</t>
  </si>
  <si>
    <t>246530</t>
  </si>
  <si>
    <t>H00246530</t>
  </si>
  <si>
    <t>BSc (Hons) in Ophthalmic Dispensing</t>
  </si>
  <si>
    <t>246531</t>
  </si>
  <si>
    <t>H00246531</t>
  </si>
  <si>
    <t>Foundation Degree in Networking and Security Technologies</t>
  </si>
  <si>
    <t>246532</t>
  </si>
  <si>
    <t>H00246532</t>
  </si>
  <si>
    <t>246533</t>
  </si>
  <si>
    <t>H00246533</t>
  </si>
  <si>
    <t>246534</t>
  </si>
  <si>
    <t>H00246534</t>
  </si>
  <si>
    <t>246535</t>
  </si>
  <si>
    <t>H00246535</t>
  </si>
  <si>
    <t>246536</t>
  </si>
  <si>
    <t>H00246536</t>
  </si>
  <si>
    <t>CertHE in Coaching (Football)</t>
  </si>
  <si>
    <t>246537</t>
  </si>
  <si>
    <t>H00246537</t>
  </si>
  <si>
    <t>246538</t>
  </si>
  <si>
    <t>H00246538</t>
  </si>
  <si>
    <t>Foundation Degree in Care Management in the Community</t>
  </si>
  <si>
    <t>246539</t>
  </si>
  <si>
    <t>H00246539</t>
  </si>
  <si>
    <t>Foundation Degree in Leadership in Voluntary and Community Organisations</t>
  </si>
  <si>
    <t>246540</t>
  </si>
  <si>
    <t>H00246540</t>
  </si>
  <si>
    <t>246541</t>
  </si>
  <si>
    <t>H00246541</t>
  </si>
  <si>
    <t>Foundation Degree in Applied Sport and Exercise Science</t>
  </si>
  <si>
    <t>246542</t>
  </si>
  <si>
    <t>H00246542</t>
  </si>
  <si>
    <t>246543</t>
  </si>
  <si>
    <t>H00246543</t>
  </si>
  <si>
    <t>Foundation Degree in Business and Management - New College Durham</t>
  </si>
  <si>
    <t>246544</t>
  </si>
  <si>
    <t>H00246544</t>
  </si>
  <si>
    <t>Foundation Degree in Management and Administration for the Public Sector</t>
  </si>
  <si>
    <t>246545</t>
  </si>
  <si>
    <t>H00246545</t>
  </si>
  <si>
    <t>Foundation Degree in Supporting Learning and Teaching</t>
  </si>
  <si>
    <t>246546</t>
  </si>
  <si>
    <t>H00246546</t>
  </si>
  <si>
    <t>246547</t>
  </si>
  <si>
    <t>H00246547</t>
  </si>
  <si>
    <t>246548</t>
  </si>
  <si>
    <t>H00246548</t>
  </si>
  <si>
    <t>246549</t>
  </si>
  <si>
    <t>H00246549</t>
  </si>
  <si>
    <t>246550</t>
  </si>
  <si>
    <t>H00246550</t>
  </si>
  <si>
    <t>246551</t>
  </si>
  <si>
    <t>H00246551</t>
  </si>
  <si>
    <t>Foundation Degree in Housing and Communities</t>
  </si>
  <si>
    <t>246552</t>
  </si>
  <si>
    <t>H00246552</t>
  </si>
  <si>
    <t>Foundation Degree in Assistant Practitioner (Podiatry)</t>
  </si>
  <si>
    <t>246553</t>
  </si>
  <si>
    <t>H00246553</t>
  </si>
  <si>
    <t>Foundation Degree in Computing with Networking</t>
  </si>
  <si>
    <t>246554</t>
  </si>
  <si>
    <t>H00246554</t>
  </si>
  <si>
    <t>Foundation Degree in Applied Business Computing</t>
  </si>
  <si>
    <t>246555</t>
  </si>
  <si>
    <t>H00246555</t>
  </si>
  <si>
    <t>246556</t>
  </si>
  <si>
    <t>H00246556</t>
  </si>
  <si>
    <t>Foundation Degree in Public Health and Health Promotion</t>
  </si>
  <si>
    <t>246557</t>
  </si>
  <si>
    <t>H00246557</t>
  </si>
  <si>
    <t>BA (Hons) in Art and Design 3D Design and Craft Foundation Year (Level 0)</t>
  </si>
  <si>
    <t>246558</t>
  </si>
  <si>
    <t>H00246558</t>
  </si>
  <si>
    <t>BA (Hons) in Art and Design 3D Design and Craft</t>
  </si>
  <si>
    <t>246559</t>
  </si>
  <si>
    <t>H00246559</t>
  </si>
  <si>
    <t>BA (Hons) in Art and Design Fashion and Textiles Foundation Year (Level 0)</t>
  </si>
  <si>
    <t>246560</t>
  </si>
  <si>
    <t>H00246560</t>
  </si>
  <si>
    <t>BA (Hons) in Art and Design Fashion and Textiles</t>
  </si>
  <si>
    <t>246561</t>
  </si>
  <si>
    <t>H00246561</t>
  </si>
  <si>
    <t>BA (Hons) in Art and Design Fine Art Foundation Year (Level 0)</t>
  </si>
  <si>
    <t>246562</t>
  </si>
  <si>
    <t>H00246562</t>
  </si>
  <si>
    <t>246563</t>
  </si>
  <si>
    <t>H00246563</t>
  </si>
  <si>
    <t>BA (Hons) in Art and Design Graphic Design Foundation Year (Level 0)</t>
  </si>
  <si>
    <t>246564</t>
  </si>
  <si>
    <t>H00246564</t>
  </si>
  <si>
    <t>BA (Hons) in Art and Design Graphic Design</t>
  </si>
  <si>
    <t>246565</t>
  </si>
  <si>
    <t>H00246565</t>
  </si>
  <si>
    <t>246566</t>
  </si>
  <si>
    <t>H00246566</t>
  </si>
  <si>
    <t>246567</t>
  </si>
  <si>
    <t>H00246567</t>
  </si>
  <si>
    <t>Foundation Degree in Art and Design: Professional Practice</t>
  </si>
  <si>
    <t>246568</t>
  </si>
  <si>
    <t>H00246568</t>
  </si>
  <si>
    <t>BA (Hons) in Management</t>
  </si>
  <si>
    <t>246569</t>
  </si>
  <si>
    <t>H00246569</t>
  </si>
  <si>
    <t>Foundation Degree in Management</t>
  </si>
  <si>
    <t>246570</t>
  </si>
  <si>
    <t>H00246570</t>
  </si>
  <si>
    <t>BA (Hons) in Management Hospitality</t>
  </si>
  <si>
    <t>246571</t>
  </si>
  <si>
    <t>H00246571</t>
  </si>
  <si>
    <t>Foundation Degree in Management Hospitality</t>
  </si>
  <si>
    <t>246572</t>
  </si>
  <si>
    <t>H00246572</t>
  </si>
  <si>
    <t>BA (Hons) in Management Sport</t>
  </si>
  <si>
    <t>246573</t>
  </si>
  <si>
    <t>H00246573</t>
  </si>
  <si>
    <t>Foundation Degree in Management Sport</t>
  </si>
  <si>
    <t>246574</t>
  </si>
  <si>
    <t>H00246574</t>
  </si>
  <si>
    <t>CertHE in Computing Solutions</t>
  </si>
  <si>
    <t>246575</t>
  </si>
  <si>
    <t>H00246575</t>
  </si>
  <si>
    <t>246576</t>
  </si>
  <si>
    <t>H00246576</t>
  </si>
  <si>
    <t>CertHE in Business Administration</t>
  </si>
  <si>
    <t>246577</t>
  </si>
  <si>
    <t>H00246577</t>
  </si>
  <si>
    <t>BSc (Hons) in Computing Solutions (Internet)</t>
  </si>
  <si>
    <t>246578</t>
  </si>
  <si>
    <t>H00246578</t>
  </si>
  <si>
    <t>Foundation Degree in Computing Solutions (Internet)</t>
  </si>
  <si>
    <t>246579</t>
  </si>
  <si>
    <t>H00246579</t>
  </si>
  <si>
    <t>BSc (Hons) in Computing Solutions (Networks)</t>
  </si>
  <si>
    <t>246580</t>
  </si>
  <si>
    <t>H00246580</t>
  </si>
  <si>
    <t>Foundation Degree in Computing Solutions (Networks)</t>
  </si>
  <si>
    <t>246581</t>
  </si>
  <si>
    <t>H00246581</t>
  </si>
  <si>
    <t>CertHE in Construction</t>
  </si>
  <si>
    <t>246582</t>
  </si>
  <si>
    <t>H00246582</t>
  </si>
  <si>
    <t>246583</t>
  </si>
  <si>
    <t>H00246583</t>
  </si>
  <si>
    <t>BSc (Hons) in Construction Management (Commercial Management)</t>
  </si>
  <si>
    <t>246584</t>
  </si>
  <si>
    <t>H00246584</t>
  </si>
  <si>
    <t>BSc (Hons) in Construction Management (Site Management)</t>
  </si>
  <si>
    <t>246585</t>
  </si>
  <si>
    <t>H00246585</t>
  </si>
  <si>
    <t>BA in Early Years</t>
  </si>
  <si>
    <t>246586</t>
  </si>
  <si>
    <t>H00246586</t>
  </si>
  <si>
    <t>246587</t>
  </si>
  <si>
    <t>H00246587</t>
  </si>
  <si>
    <t>Certificate of Continuing Education Teaching (Literacy and ESOL)</t>
  </si>
  <si>
    <t>246588</t>
  </si>
  <si>
    <t>H00246588</t>
  </si>
  <si>
    <t>Certificate of Continuing Education (Teaching Numeracy)</t>
  </si>
  <si>
    <t>246589</t>
  </si>
  <si>
    <t>H00246589</t>
  </si>
  <si>
    <t>PGCE in Education</t>
  </si>
  <si>
    <t>246590</t>
  </si>
  <si>
    <t>H00246590</t>
  </si>
  <si>
    <t>BA (Hons) in Creative Performance (Acting)</t>
  </si>
  <si>
    <t>246591</t>
  </si>
  <si>
    <t>H00246591</t>
  </si>
  <si>
    <t>Foundation Degree in Creative Performance (Acting)</t>
  </si>
  <si>
    <t>246592</t>
  </si>
  <si>
    <t>H00246592</t>
  </si>
  <si>
    <t>BA (Hons) in Technical Theatre</t>
  </si>
  <si>
    <t>246593</t>
  </si>
  <si>
    <t>H00246593</t>
  </si>
  <si>
    <t>246594</t>
  </si>
  <si>
    <t>H00246594</t>
  </si>
  <si>
    <t>BA (Hons) in Musical Theatre</t>
  </si>
  <si>
    <t>246595</t>
  </si>
  <si>
    <t>H00246595</t>
  </si>
  <si>
    <t>246596</t>
  </si>
  <si>
    <t>H00246596</t>
  </si>
  <si>
    <t>BA (Hons) in Music</t>
  </si>
  <si>
    <t>246597</t>
  </si>
  <si>
    <t>H00246597</t>
  </si>
  <si>
    <t>246598</t>
  </si>
  <si>
    <t>H00246598</t>
  </si>
  <si>
    <t>BA (Hons) in Popular Music</t>
  </si>
  <si>
    <t>246599</t>
  </si>
  <si>
    <t>H00246599</t>
  </si>
  <si>
    <t>BA (Hons) in Film Music and Soundtrack Production</t>
  </si>
  <si>
    <t>246600</t>
  </si>
  <si>
    <t>H00246600</t>
  </si>
  <si>
    <t>CertHE in Film Music and Soundtrack Production</t>
  </si>
  <si>
    <t>246601</t>
  </si>
  <si>
    <t>H00246601</t>
  </si>
  <si>
    <t>DipHE in Film Music and Soundtrack Production</t>
  </si>
  <si>
    <t>246602</t>
  </si>
  <si>
    <t>H00246602</t>
  </si>
  <si>
    <t>CertHE in Person Centred Skills</t>
  </si>
  <si>
    <t>246603</t>
  </si>
  <si>
    <t>H00246603</t>
  </si>
  <si>
    <t>DipHE in Person Centred Counselling</t>
  </si>
  <si>
    <t>246604</t>
  </si>
  <si>
    <t>H00246604</t>
  </si>
  <si>
    <t>246605</t>
  </si>
  <si>
    <t>H00246605</t>
  </si>
  <si>
    <t>246606</t>
  </si>
  <si>
    <t>H00246606</t>
  </si>
  <si>
    <t>246607</t>
  </si>
  <si>
    <t>H00246607</t>
  </si>
  <si>
    <t>Foundation Degree in Make-up Artistry (Fashion and Media) (Full time)</t>
  </si>
  <si>
    <t>246608</t>
  </si>
  <si>
    <t>H00246608</t>
  </si>
  <si>
    <t>Foundation Degree in Make-up Artistry (Special Effects) (Full time)</t>
  </si>
  <si>
    <t>246609</t>
  </si>
  <si>
    <t>H00246609</t>
  </si>
  <si>
    <t>BA (Hons) in Make-up Artistry (Fashion and Media) (Full time)</t>
  </si>
  <si>
    <t>246610</t>
  </si>
  <si>
    <t>H00246610</t>
  </si>
  <si>
    <t>BA (Hons) in Make-up Artistry (Special Effects) (Full time)</t>
  </si>
  <si>
    <t>246611</t>
  </si>
  <si>
    <t>H00246611</t>
  </si>
  <si>
    <t>Foundation Degree in Design for Interiors (Full time)</t>
  </si>
  <si>
    <t>246612</t>
  </si>
  <si>
    <t>H00246612</t>
  </si>
  <si>
    <t>Foundation Degree in Contemporary Art Practice (Full time)</t>
  </si>
  <si>
    <t>246613</t>
  </si>
  <si>
    <t>H00246613</t>
  </si>
  <si>
    <t>Foundation Degree in Costume Design (Full time)</t>
  </si>
  <si>
    <t>246614</t>
  </si>
  <si>
    <t>H00246614</t>
  </si>
  <si>
    <t>Foundation Degree in Fashion Design (Full time)</t>
  </si>
  <si>
    <t>246615</t>
  </si>
  <si>
    <t>H00246615</t>
  </si>
  <si>
    <t>Foundation Degree in Theatre and Performance (Full time)</t>
  </si>
  <si>
    <t>246616</t>
  </si>
  <si>
    <t>H00246616</t>
  </si>
  <si>
    <t>BA (Hons) in Acting for Live and Recorded Media (Full time)</t>
  </si>
  <si>
    <t>246617</t>
  </si>
  <si>
    <t>H00246617</t>
  </si>
  <si>
    <t>BA (Hons) in Musical Theatre (Full time)</t>
  </si>
  <si>
    <t>246618</t>
  </si>
  <si>
    <t>H00246618</t>
  </si>
  <si>
    <t>BA (Hons) in Creative Media and Visual Communication (Full time, Part time)</t>
  </si>
  <si>
    <t>246619</t>
  </si>
  <si>
    <t>H00246619</t>
  </si>
  <si>
    <t>Foundation Degree in Broadcast Television (Full time)</t>
  </si>
  <si>
    <t>246620</t>
  </si>
  <si>
    <t>H00246620</t>
  </si>
  <si>
    <t>Foundation Degree in 3D Modelling and Animation for Games and Media (Full time, Part time)</t>
  </si>
  <si>
    <t>246621</t>
  </si>
  <si>
    <t>H00246621</t>
  </si>
  <si>
    <t>Foundation Degree in Technical Events Management (Full time)</t>
  </si>
  <si>
    <t>246622</t>
  </si>
  <si>
    <t>H00246622</t>
  </si>
  <si>
    <t>Foundation Degree in Dance Theatre (Full time)</t>
  </si>
  <si>
    <t>246623</t>
  </si>
  <si>
    <t>H00246623</t>
  </si>
  <si>
    <t>Foundation Degree in Popular Music Performance (Full time)</t>
  </si>
  <si>
    <t>246624</t>
  </si>
  <si>
    <t>H00246624</t>
  </si>
  <si>
    <t>Foundation Degree in Popular Music Production (Full time)</t>
  </si>
  <si>
    <t>246625</t>
  </si>
  <si>
    <t>H00246625</t>
  </si>
  <si>
    <t>Foundation Degree in Computer Network Management (Full time, Part time)</t>
  </si>
  <si>
    <t>246626</t>
  </si>
  <si>
    <t>H00246626</t>
  </si>
  <si>
    <t>Foundation Degree in Computer Systems Support (Full time, Part time)</t>
  </si>
  <si>
    <t>246627</t>
  </si>
  <si>
    <t>H00246627</t>
  </si>
  <si>
    <t>Foundation Degree in Computer Network Security (Full time, Part time)</t>
  </si>
  <si>
    <t>246628</t>
  </si>
  <si>
    <t>H00246628</t>
  </si>
  <si>
    <t>BSc (Hons) in Business Computing with IT (Full time, Part time)</t>
  </si>
  <si>
    <t>246629</t>
  </si>
  <si>
    <t>H00246629</t>
  </si>
  <si>
    <t>Foundation Degree in Mobile Applications Development (Full time, Part time)</t>
  </si>
  <si>
    <t>246630</t>
  </si>
  <si>
    <t>H00246630</t>
  </si>
  <si>
    <t>Foundation Degree in Computing with Database Development (Full time, Part time)</t>
  </si>
  <si>
    <t>246631</t>
  </si>
  <si>
    <t>H00246631</t>
  </si>
  <si>
    <t>Foundation Degree in Sports Science (Full time, Part time)</t>
  </si>
  <si>
    <t>246632</t>
  </si>
  <si>
    <t>H00246632</t>
  </si>
  <si>
    <t>BA (Hons) in Public Services and Social Justice (Full time)</t>
  </si>
  <si>
    <t>246633</t>
  </si>
  <si>
    <t>H00246633</t>
  </si>
  <si>
    <t>Foundation Degree in Venue Operations Management (Full time)</t>
  </si>
  <si>
    <t>246634</t>
  </si>
  <si>
    <t>H00246634</t>
  </si>
  <si>
    <t>BSc (Hons) in International Fashion Marketing (Full time)</t>
  </si>
  <si>
    <t>246635</t>
  </si>
  <si>
    <t>H00246635</t>
  </si>
  <si>
    <t>MA in Strategic Human Resource Management and Development (Part time)</t>
  </si>
  <si>
    <t>246636</t>
  </si>
  <si>
    <t>H00246636</t>
  </si>
  <si>
    <t>BSc (Hons) in Human Resource Management with Development (Full time)</t>
  </si>
  <si>
    <t>246637</t>
  </si>
  <si>
    <t>H00246637</t>
  </si>
  <si>
    <t>BSc (Hons) in Financial Management (Full time)</t>
  </si>
  <si>
    <t>246638</t>
  </si>
  <si>
    <t>H00246638</t>
  </si>
  <si>
    <t>BSc (Hons) in Creative Media Management (Full time)</t>
  </si>
  <si>
    <t>246639</t>
  </si>
  <si>
    <t>H00246639</t>
  </si>
  <si>
    <t>BSc (Hons) in Marketing Management (Full time)</t>
  </si>
  <si>
    <t>246640</t>
  </si>
  <si>
    <t>H00246640</t>
  </si>
  <si>
    <t>BSc (Hons) in Finance and Accounting (Full time)</t>
  </si>
  <si>
    <t>246641</t>
  </si>
  <si>
    <t>H00246641</t>
  </si>
  <si>
    <t>Foundation Degree in Sports Coaching (Full time, Part time)</t>
  </si>
  <si>
    <t>246642</t>
  </si>
  <si>
    <t>H00246642</t>
  </si>
  <si>
    <t>Foundation Degree in Sport and Fitness Management (Full time, Part time)</t>
  </si>
  <si>
    <t>246643</t>
  </si>
  <si>
    <t>H00246643</t>
  </si>
  <si>
    <t>CertHE in Housing with Support</t>
  </si>
  <si>
    <t>246644</t>
  </si>
  <si>
    <t>H00246644</t>
  </si>
  <si>
    <t>CertHE in Zoological Expeditions</t>
  </si>
  <si>
    <t>246645</t>
  </si>
  <si>
    <t>H00246645</t>
  </si>
  <si>
    <t>Foundation Degree in Boat Design and Production</t>
  </si>
  <si>
    <t>246646</t>
  </si>
  <si>
    <t>H00246646</t>
  </si>
  <si>
    <t>HNC in Games Design for Industry</t>
  </si>
  <si>
    <t>246647</t>
  </si>
  <si>
    <t>H00246647</t>
  </si>
  <si>
    <t>HNC in Media Production</t>
  </si>
  <si>
    <t>246648</t>
  </si>
  <si>
    <t>H00246648</t>
  </si>
  <si>
    <t>246649</t>
  </si>
  <si>
    <t>H00246649</t>
  </si>
  <si>
    <t>246650</t>
  </si>
  <si>
    <t>H00246650</t>
  </si>
  <si>
    <t>HNC in Music Performance and Technology</t>
  </si>
  <si>
    <t>246651</t>
  </si>
  <si>
    <t>H00246651</t>
  </si>
  <si>
    <t>HNC in DJ and Electronic Music Production</t>
  </si>
  <si>
    <t>246652</t>
  </si>
  <si>
    <t>H00246652</t>
  </si>
  <si>
    <t>HNC in Music for Film and Television</t>
  </si>
  <si>
    <t>246653</t>
  </si>
  <si>
    <t>H00246653</t>
  </si>
  <si>
    <t>HND in Games Design for Industry</t>
  </si>
  <si>
    <t>246654</t>
  </si>
  <si>
    <t>H00246654</t>
  </si>
  <si>
    <t>246655</t>
  </si>
  <si>
    <t>H00246655</t>
  </si>
  <si>
    <t>HND in Media Production</t>
  </si>
  <si>
    <t>246656</t>
  </si>
  <si>
    <t>H00246656</t>
  </si>
  <si>
    <t>HND in Music Performance and Technology</t>
  </si>
  <si>
    <t>246657</t>
  </si>
  <si>
    <t>H00246657</t>
  </si>
  <si>
    <t>HND in DJ and Electronic Music Production</t>
  </si>
  <si>
    <t>246658</t>
  </si>
  <si>
    <t>H00246658</t>
  </si>
  <si>
    <t>HND in Music for Film and Television</t>
  </si>
  <si>
    <t>246659</t>
  </si>
  <si>
    <t>H00246659</t>
  </si>
  <si>
    <t>HND in Small Scale Theatre</t>
  </si>
  <si>
    <t>246660</t>
  </si>
  <si>
    <t>H00246660</t>
  </si>
  <si>
    <t>HND in Sport Recreation and Facility Management</t>
  </si>
  <si>
    <t>246661</t>
  </si>
  <si>
    <t>H00246661</t>
  </si>
  <si>
    <t>CertHE in Biological Recording</t>
  </si>
  <si>
    <t>246662</t>
  </si>
  <si>
    <t>H00246662</t>
  </si>
  <si>
    <t>HNC in Chemistry</t>
  </si>
  <si>
    <t>246663</t>
  </si>
  <si>
    <t>H00246663</t>
  </si>
  <si>
    <t>HNC in Children, Schools and Families</t>
  </si>
  <si>
    <t>246664</t>
  </si>
  <si>
    <t>H00246664</t>
  </si>
  <si>
    <t>Foundation Degree in Construction, Management and Sustainable Practice</t>
  </si>
  <si>
    <t>246665</t>
  </si>
  <si>
    <t>H00246665</t>
  </si>
  <si>
    <t>FdSc Project Management</t>
  </si>
  <si>
    <t>246666</t>
  </si>
  <si>
    <t>H00246666</t>
  </si>
  <si>
    <t>Foundation Degree in Professional Practice Health and Social Care (Gerontology)</t>
  </si>
  <si>
    <t>246667</t>
  </si>
  <si>
    <t>H00246667</t>
  </si>
  <si>
    <t>Foundation Degree in Professional Practice Health and Social Care (Substance Misuse)</t>
  </si>
  <si>
    <t>246668</t>
  </si>
  <si>
    <t>H00246668</t>
  </si>
  <si>
    <t>Foundation Degree in Professional Practice Health and Social Care (Learning Disability)</t>
  </si>
  <si>
    <t>246669</t>
  </si>
  <si>
    <t>H00246669</t>
  </si>
  <si>
    <t>FdA Professional Practice in Health and Social Care (Children and Families)</t>
  </si>
  <si>
    <t>246670</t>
  </si>
  <si>
    <t>H00246670</t>
  </si>
  <si>
    <t>FdA Professional Practice in Health and Social Care (Combined)</t>
  </si>
  <si>
    <t>246671</t>
  </si>
  <si>
    <t>H00246671</t>
  </si>
  <si>
    <t>FdA Professional Practice in Health and Social Care (Mental Health)</t>
  </si>
  <si>
    <t>246672</t>
  </si>
  <si>
    <t>H00246672</t>
  </si>
  <si>
    <t>246673</t>
  </si>
  <si>
    <t>H00246673</t>
  </si>
  <si>
    <t>BA (Hons) in Community and Social Care: Policy and Practice</t>
  </si>
  <si>
    <t>246674</t>
  </si>
  <si>
    <t>H00246674</t>
  </si>
  <si>
    <t>Foundation Degree in Welfare of Animals (Animal Collections)</t>
  </si>
  <si>
    <t>246675</t>
  </si>
  <si>
    <t>H00246675</t>
  </si>
  <si>
    <t>246676</t>
  </si>
  <si>
    <t>H00246676</t>
  </si>
  <si>
    <t>246677</t>
  </si>
  <si>
    <t>H00246677</t>
  </si>
  <si>
    <t>246678</t>
  </si>
  <si>
    <t>H00246678</t>
  </si>
  <si>
    <t>Foundation Degree in Welfare of Animals (Management)</t>
  </si>
  <si>
    <t>246679</t>
  </si>
  <si>
    <t>H00246679</t>
  </si>
  <si>
    <t>Foundation Degree in Welfare of Animals (Nursing)</t>
  </si>
  <si>
    <t>246680</t>
  </si>
  <si>
    <t>H00246680</t>
  </si>
  <si>
    <t>246681</t>
  </si>
  <si>
    <t>H00246681</t>
  </si>
  <si>
    <t>Foundation Degree in Commercial Floral Design</t>
  </si>
  <si>
    <t>246682</t>
  </si>
  <si>
    <t>H00246682</t>
  </si>
  <si>
    <t>246683</t>
  </si>
  <si>
    <t>H00246683</t>
  </si>
  <si>
    <t>MA in Contemporary Crafts</t>
  </si>
  <si>
    <t>246684</t>
  </si>
  <si>
    <t>H00246684</t>
  </si>
  <si>
    <t>Foundation Degree in Film and Media Production</t>
  </si>
  <si>
    <t>246685</t>
  </si>
  <si>
    <t>H00246685</t>
  </si>
  <si>
    <t>246686</t>
  </si>
  <si>
    <t>H00246686</t>
  </si>
  <si>
    <t>Foundation Degree in Chemistry</t>
  </si>
  <si>
    <t>246687</t>
  </si>
  <si>
    <t>H00246687</t>
  </si>
  <si>
    <t>BSc (Hons) in Psychology and Criminology</t>
  </si>
  <si>
    <t>246688</t>
  </si>
  <si>
    <t>H00246688</t>
  </si>
  <si>
    <t>246689</t>
  </si>
  <si>
    <t>H00246689</t>
  </si>
  <si>
    <t>246690</t>
  </si>
  <si>
    <t>H00246690</t>
  </si>
  <si>
    <t>Foundation Degree in Human Biosciences</t>
  </si>
  <si>
    <t>246691</t>
  </si>
  <si>
    <t>H00246691</t>
  </si>
  <si>
    <t>246692</t>
  </si>
  <si>
    <t>H00246692</t>
  </si>
  <si>
    <t>BA (Hons) English: Language, Literature and Writing</t>
  </si>
  <si>
    <t>246693</t>
  </si>
  <si>
    <t>H00246693</t>
  </si>
  <si>
    <t>Foundation Degree in Arts in Creative Digital Media</t>
  </si>
  <si>
    <t>246694</t>
  </si>
  <si>
    <t>H00246694</t>
  </si>
  <si>
    <t>246695</t>
  </si>
  <si>
    <t>H00246695</t>
  </si>
  <si>
    <t>246696</t>
  </si>
  <si>
    <t>H00246696</t>
  </si>
  <si>
    <t>Foundation Degree in Early Years and Childhood Studies</t>
  </si>
  <si>
    <t>246697</t>
  </si>
  <si>
    <t>H00246697</t>
  </si>
  <si>
    <t>Post Graduate Certificate in Education in Secondary Physics and Maths (PGCE)</t>
  </si>
  <si>
    <t>246698</t>
  </si>
  <si>
    <t>H00246698</t>
  </si>
  <si>
    <t>BA (Hons) in Music Production and Technology</t>
  </si>
  <si>
    <t>246699</t>
  </si>
  <si>
    <t>H00246699</t>
  </si>
  <si>
    <t>BA (Hons) in Music Production and Technology (Performance)</t>
  </si>
  <si>
    <t>246700</t>
  </si>
  <si>
    <t>H00246700</t>
  </si>
  <si>
    <t>246701</t>
  </si>
  <si>
    <t>H00246701</t>
  </si>
  <si>
    <t>246702</t>
  </si>
  <si>
    <t>H00246702</t>
  </si>
  <si>
    <t>BSc (Hons) in Animal Science</t>
  </si>
  <si>
    <t>246703</t>
  </si>
  <si>
    <t>H00246703</t>
  </si>
  <si>
    <t>BSc (Hons) in Bio-Veterinary Science</t>
  </si>
  <si>
    <t>246704</t>
  </si>
  <si>
    <t>H00246704</t>
  </si>
  <si>
    <t>BSc (Hons) in Equestrian Sports Science</t>
  </si>
  <si>
    <t>246705</t>
  </si>
  <si>
    <t>H00246705</t>
  </si>
  <si>
    <t>246706</t>
  </si>
  <si>
    <t>H00246706</t>
  </si>
  <si>
    <t>BSc (Hons) in Sports Coaching</t>
  </si>
  <si>
    <t>246707</t>
  </si>
  <si>
    <t>H00246707</t>
  </si>
  <si>
    <t>246708</t>
  </si>
  <si>
    <t>H00246708</t>
  </si>
  <si>
    <t>246709</t>
  </si>
  <si>
    <t>H00246709</t>
  </si>
  <si>
    <t>Foundation Degree in Equine Performance</t>
  </si>
  <si>
    <t>246710</t>
  </si>
  <si>
    <t>H00246710</t>
  </si>
  <si>
    <t>Foundation Degree in Equine Veterinary Nursing Science</t>
  </si>
  <si>
    <t>246711</t>
  </si>
  <si>
    <t>H00246711</t>
  </si>
  <si>
    <t>246712</t>
  </si>
  <si>
    <t>H00246712</t>
  </si>
  <si>
    <t>246713</t>
  </si>
  <si>
    <t>H00246713</t>
  </si>
  <si>
    <t>Professional Graduate Certificate in Education (PGCE)</t>
  </si>
  <si>
    <t>246714</t>
  </si>
  <si>
    <t>H00246714</t>
  </si>
  <si>
    <t>CertED in Education</t>
  </si>
  <si>
    <t>246715</t>
  </si>
  <si>
    <t>H00246715</t>
  </si>
  <si>
    <t>246716</t>
  </si>
  <si>
    <t>H00246716</t>
  </si>
  <si>
    <t>Foundation Degree in Business and Management Studies</t>
  </si>
  <si>
    <t>246717</t>
  </si>
  <si>
    <t>H00246717</t>
  </si>
  <si>
    <t>Foundation Degree in Business and Logistics Management</t>
  </si>
  <si>
    <t>246718</t>
  </si>
  <si>
    <t>H00246718</t>
  </si>
  <si>
    <t>246719</t>
  </si>
  <si>
    <t>H00246719</t>
  </si>
  <si>
    <t>246720</t>
  </si>
  <si>
    <t>H00246720</t>
  </si>
  <si>
    <t>246721</t>
  </si>
  <si>
    <t>H00246721</t>
  </si>
  <si>
    <t>246722</t>
  </si>
  <si>
    <t>H00246722</t>
  </si>
  <si>
    <t>246723</t>
  </si>
  <si>
    <t>H00246723</t>
  </si>
  <si>
    <t>246724</t>
  </si>
  <si>
    <t>H00246724</t>
  </si>
  <si>
    <t>Foundation Degree in Electronic Engineering</t>
  </si>
  <si>
    <t>246725</t>
  </si>
  <si>
    <t>H00246725</t>
  </si>
  <si>
    <t>246726</t>
  </si>
  <si>
    <t>H00246726</t>
  </si>
  <si>
    <t>Foundation Degree in Life Science Laboratory Technology and Bio-Manufacturing</t>
  </si>
  <si>
    <t>246727</t>
  </si>
  <si>
    <t>H00246727</t>
  </si>
  <si>
    <t>246728</t>
  </si>
  <si>
    <t>H00246728</t>
  </si>
  <si>
    <t>HND in Applied Chemistry</t>
  </si>
  <si>
    <t>246729</t>
  </si>
  <si>
    <t>H00246729</t>
  </si>
  <si>
    <t>HNC in Applied Chemistry</t>
  </si>
  <si>
    <t>246730</t>
  </si>
  <si>
    <t>H00246730</t>
  </si>
  <si>
    <t>246731</t>
  </si>
  <si>
    <t>H00246731</t>
  </si>
  <si>
    <t>246732</t>
  </si>
  <si>
    <t>H00246732</t>
  </si>
  <si>
    <t>246733</t>
  </si>
  <si>
    <t>H00246733</t>
  </si>
  <si>
    <t>246734</t>
  </si>
  <si>
    <t>H00246734</t>
  </si>
  <si>
    <t>HND in Building Services Engineering</t>
  </si>
  <si>
    <t>246735</t>
  </si>
  <si>
    <t>H00246735</t>
  </si>
  <si>
    <t>246736</t>
  </si>
  <si>
    <t>H00246736</t>
  </si>
  <si>
    <t>246737</t>
  </si>
  <si>
    <t>H00246737</t>
  </si>
  <si>
    <t>HNC in Engineering (Electrical)</t>
  </si>
  <si>
    <t>246738</t>
  </si>
  <si>
    <t>H00246738</t>
  </si>
  <si>
    <t>HNC in Engineering (Electronic)</t>
  </si>
  <si>
    <t>246739</t>
  </si>
  <si>
    <t>H00246739</t>
  </si>
  <si>
    <t>HNC in Engineering (Mechanical)</t>
  </si>
  <si>
    <t>246740</t>
  </si>
  <si>
    <t>H00246740</t>
  </si>
  <si>
    <t>HNC in Engineering (Renewable Energy)</t>
  </si>
  <si>
    <t>246741</t>
  </si>
  <si>
    <t>H00246741</t>
  </si>
  <si>
    <t>HNC in Information Technology</t>
  </si>
  <si>
    <t>246742</t>
  </si>
  <si>
    <t>H00246742</t>
  </si>
  <si>
    <t>246743</t>
  </si>
  <si>
    <t>H00246743</t>
  </si>
  <si>
    <t>HND in Information Technology</t>
  </si>
  <si>
    <t>246744</t>
  </si>
  <si>
    <t>H00246744</t>
  </si>
  <si>
    <t>Foundation Degree in Design and Fashion Technology</t>
  </si>
  <si>
    <t>246745</t>
  </si>
  <si>
    <t>H00246745</t>
  </si>
  <si>
    <t>246746</t>
  </si>
  <si>
    <t>H00246746</t>
  </si>
  <si>
    <t>Foundation Degree in Computing Software Engineering</t>
  </si>
  <si>
    <t>246747</t>
  </si>
  <si>
    <t>H00246747</t>
  </si>
  <si>
    <t>246748</t>
  </si>
  <si>
    <t>H00246748</t>
  </si>
  <si>
    <t>246749</t>
  </si>
  <si>
    <t>H00246749</t>
  </si>
  <si>
    <t>HNC in Sustainable Construction and the Built Environment</t>
  </si>
  <si>
    <t>246750</t>
  </si>
  <si>
    <t>H00246750</t>
  </si>
  <si>
    <t>246751</t>
  </si>
  <si>
    <t>H00246751</t>
  </si>
  <si>
    <t>HNC in Engineering (Electrical and Electronic)</t>
  </si>
  <si>
    <t>246752</t>
  </si>
  <si>
    <t>H00246752</t>
  </si>
  <si>
    <t>HNC in Engineering (Mechatronics)</t>
  </si>
  <si>
    <t>246753</t>
  </si>
  <si>
    <t>H00246753</t>
  </si>
  <si>
    <t>HNC in Engineering (Manufacturing)</t>
  </si>
  <si>
    <t>246754</t>
  </si>
  <si>
    <t>H00246754</t>
  </si>
  <si>
    <t>Foundation Degree in Substance Misuse</t>
  </si>
  <si>
    <t>246755</t>
  </si>
  <si>
    <t>H00246755</t>
  </si>
  <si>
    <t>BSc (Hons) in Computing (Foundation Year)</t>
  </si>
  <si>
    <t>246756</t>
  </si>
  <si>
    <t>H00246756</t>
  </si>
  <si>
    <t>BSc (Hons) in Health Professions (Foundation Year)</t>
  </si>
  <si>
    <t>246757</t>
  </si>
  <si>
    <t>H00246757</t>
  </si>
  <si>
    <t>BA (Hons) in Visual Arts</t>
  </si>
  <si>
    <t>246758</t>
  </si>
  <si>
    <t>H00246758</t>
  </si>
  <si>
    <t>BA in Early Childhood (Top up)</t>
  </si>
  <si>
    <t>246759</t>
  </si>
  <si>
    <t>H00246759</t>
  </si>
  <si>
    <t>BA in Education Studies</t>
  </si>
  <si>
    <t>246760</t>
  </si>
  <si>
    <t>H00246760</t>
  </si>
  <si>
    <t>HNC in Engineering (Electronic Systems)</t>
  </si>
  <si>
    <t>246761</t>
  </si>
  <si>
    <t>H00246761</t>
  </si>
  <si>
    <t>HNC in Engineering (Design and Manufacture)</t>
  </si>
  <si>
    <t>246762</t>
  </si>
  <si>
    <t>H00246762</t>
  </si>
  <si>
    <t>BEng (Hons) in Aeronautical Engineering</t>
  </si>
  <si>
    <t>246763</t>
  </si>
  <si>
    <t>H00246763</t>
  </si>
  <si>
    <t>BA (Hons) in Visual Merchandising</t>
  </si>
  <si>
    <t>246764</t>
  </si>
  <si>
    <t>H00246764</t>
  </si>
  <si>
    <t>Foundation Degree in Visual Merchandising</t>
  </si>
  <si>
    <t>246765</t>
  </si>
  <si>
    <t>H00246765</t>
  </si>
  <si>
    <t>246766</t>
  </si>
  <si>
    <t>H00246766</t>
  </si>
  <si>
    <t>246767</t>
  </si>
  <si>
    <t>H00246767</t>
  </si>
  <si>
    <t>Foundation Degree in Electrical Systems and Installation</t>
  </si>
  <si>
    <t>246768</t>
  </si>
  <si>
    <t>H00246768</t>
  </si>
  <si>
    <t>Foundation Degree in Electrical Systems and Control</t>
  </si>
  <si>
    <t>246769</t>
  </si>
  <si>
    <t>H00246769</t>
  </si>
  <si>
    <t>246770</t>
  </si>
  <si>
    <t>H00246770</t>
  </si>
  <si>
    <t>Foundation Degree in Salon Management</t>
  </si>
  <si>
    <t>246771</t>
  </si>
  <si>
    <t>H00246771</t>
  </si>
  <si>
    <t>CertEd in Post Compulsory Education and Training Level 5</t>
  </si>
  <si>
    <t>246772</t>
  </si>
  <si>
    <t>H00246772</t>
  </si>
  <si>
    <t>PGCE in Post Compulsory Education and Training Level 6</t>
  </si>
  <si>
    <t>246773</t>
  </si>
  <si>
    <t>H00246773</t>
  </si>
  <si>
    <t>246774</t>
  </si>
  <si>
    <t>H00246774</t>
  </si>
  <si>
    <t>Foundation Degree in Internet and Business Technology</t>
  </si>
  <si>
    <t>246775</t>
  </si>
  <si>
    <t>H00246775</t>
  </si>
  <si>
    <t>Foundation Degree in Early Years Education</t>
  </si>
  <si>
    <t>246776</t>
  </si>
  <si>
    <t>H00246776</t>
  </si>
  <si>
    <t>246777</t>
  </si>
  <si>
    <t>H00246777</t>
  </si>
  <si>
    <t>BA (Hons) in Fine Art (Top-Up)</t>
  </si>
  <si>
    <t>246778</t>
  </si>
  <si>
    <t>H00246778</t>
  </si>
  <si>
    <t>246779</t>
  </si>
  <si>
    <t>H00246779</t>
  </si>
  <si>
    <t>246780</t>
  </si>
  <si>
    <t>H00246780</t>
  </si>
  <si>
    <t>Foundation Degree in Children, Families and Community Health</t>
  </si>
  <si>
    <t>246781</t>
  </si>
  <si>
    <t>H00246781</t>
  </si>
  <si>
    <t>246782</t>
  </si>
  <si>
    <t>H00246782</t>
  </si>
  <si>
    <t>Foundation Degree in Footwear</t>
  </si>
  <si>
    <t>246783</t>
  </si>
  <si>
    <t>H00246783</t>
  </si>
  <si>
    <t>246784</t>
  </si>
  <si>
    <t>H00246784</t>
  </si>
  <si>
    <t>246785</t>
  </si>
  <si>
    <t>H00246785</t>
  </si>
  <si>
    <t>BA (Hons) in Early Childhood and Education</t>
  </si>
  <si>
    <t>246786</t>
  </si>
  <si>
    <t>H00246786</t>
  </si>
  <si>
    <t>BA (Hons) in Education and Special Educational Needs</t>
  </si>
  <si>
    <t>246787</t>
  </si>
  <si>
    <t>H00246787</t>
  </si>
  <si>
    <t>BA (Hons) in English Literature</t>
  </si>
  <si>
    <t>246788</t>
  </si>
  <si>
    <t>H00246788</t>
  </si>
  <si>
    <t>246789</t>
  </si>
  <si>
    <t>H00246789</t>
  </si>
  <si>
    <t>Foundation Degree in Plant and Process Engineering</t>
  </si>
  <si>
    <t>246790</t>
  </si>
  <si>
    <t>H00246790</t>
  </si>
  <si>
    <t>Foundation Degree in Sport (Sports Therapy)</t>
  </si>
  <si>
    <t>246791</t>
  </si>
  <si>
    <t>H00246791</t>
  </si>
  <si>
    <t>BSc (Hons) in Combined Studies</t>
  </si>
  <si>
    <t>246792</t>
  </si>
  <si>
    <t>H00246792</t>
  </si>
  <si>
    <t>246793</t>
  </si>
  <si>
    <t>H00246793</t>
  </si>
  <si>
    <t>Foundation Degree in Professional Practice in Construction Operations Management</t>
  </si>
  <si>
    <t>246794</t>
  </si>
  <si>
    <t>H00246794</t>
  </si>
  <si>
    <t>Foundation Degree in Marine Ecology and Conservation</t>
  </si>
  <si>
    <t>246795</t>
  </si>
  <si>
    <t>H00246795</t>
  </si>
  <si>
    <t>Foundation Degree in Sports Coaching and Performance</t>
  </si>
  <si>
    <t>246796</t>
  </si>
  <si>
    <t>H00246796</t>
  </si>
  <si>
    <t>Foundation Degree in Dental Technology</t>
  </si>
  <si>
    <t>246797</t>
  </si>
  <si>
    <t>H00246797</t>
  </si>
  <si>
    <t>Foundation Degree in Teaching Assistance</t>
  </si>
  <si>
    <t>246798</t>
  </si>
  <si>
    <t>H00246798</t>
  </si>
  <si>
    <t>PGCE in Teaching in the Learning and Skills Sector</t>
  </si>
  <si>
    <t>246799</t>
  </si>
  <si>
    <t>H00246799</t>
  </si>
  <si>
    <t>CertEd in Teaching in the Learning and Skills Sector</t>
  </si>
  <si>
    <t>246800</t>
  </si>
  <si>
    <t>H00246800</t>
  </si>
  <si>
    <t>246801</t>
  </si>
  <si>
    <t>H00246801</t>
  </si>
  <si>
    <t>DipHE in Teaching English: Literacy and ESOL</t>
  </si>
  <si>
    <t>246802</t>
  </si>
  <si>
    <t>H00246802</t>
  </si>
  <si>
    <t>DipHE in Teaching English: Literacy</t>
  </si>
  <si>
    <t>246803</t>
  </si>
  <si>
    <t>H00246803</t>
  </si>
  <si>
    <t>DipHE in Teaching English: ESOL</t>
  </si>
  <si>
    <t>246804</t>
  </si>
  <si>
    <t>H00246804</t>
  </si>
  <si>
    <t>DipHE in Teaching Mathematics: Numeracy</t>
  </si>
  <si>
    <t>246809</t>
  </si>
  <si>
    <t>H00246809</t>
  </si>
  <si>
    <t>246810</t>
  </si>
  <si>
    <t>H00246810</t>
  </si>
  <si>
    <t>BA (Hons) in Creative Writing</t>
  </si>
  <si>
    <t>246811</t>
  </si>
  <si>
    <t>H00246811</t>
  </si>
  <si>
    <t>Foundation Degree in Sports Rehabilitation</t>
  </si>
  <si>
    <t>246812</t>
  </si>
  <si>
    <t>H00246812</t>
  </si>
  <si>
    <t>246813</t>
  </si>
  <si>
    <t>H00246813</t>
  </si>
  <si>
    <t>Foundation Degree in Interior Design Practice</t>
  </si>
  <si>
    <t>246814</t>
  </si>
  <si>
    <t>H00246814</t>
  </si>
  <si>
    <t>Foundation Degree in Health and Nutrition</t>
  </si>
  <si>
    <t>246815</t>
  </si>
  <si>
    <t>H00246815</t>
  </si>
  <si>
    <t>Foundation Degree in Exercise, Health &amp; Fitness</t>
  </si>
  <si>
    <t>246816</t>
  </si>
  <si>
    <t>H00246816</t>
  </si>
  <si>
    <t>Foundation Degree in Environmental &amp; Public Health</t>
  </si>
  <si>
    <t>246817</t>
  </si>
  <si>
    <t>H00246817</t>
  </si>
  <si>
    <t>Foundation Degree in English Studies</t>
  </si>
  <si>
    <t>246818</t>
  </si>
  <si>
    <t>H00246818</t>
  </si>
  <si>
    <t>Foundation Degree in Digital Visualisation (Art &amp; Design)</t>
  </si>
  <si>
    <t>246819</t>
  </si>
  <si>
    <t>H00246819</t>
  </si>
  <si>
    <t>246820</t>
  </si>
  <si>
    <t>H00246820</t>
  </si>
  <si>
    <t>Foundation Degree in Children &amp; Young Peoples Workforce</t>
  </si>
  <si>
    <t>246821</t>
  </si>
  <si>
    <t>H00246821</t>
  </si>
  <si>
    <t>Foundation Degree in Commercial Music Performance &amp; Production</t>
  </si>
  <si>
    <t>246822</t>
  </si>
  <si>
    <t>H00246822</t>
  </si>
  <si>
    <t>Foundation Degree in Performance</t>
  </si>
  <si>
    <t>246823</t>
  </si>
  <si>
    <t>H00246823</t>
  </si>
  <si>
    <t>Foundation Degree in Biomedical Studies</t>
  </si>
  <si>
    <t>246824</t>
  </si>
  <si>
    <t>H00246824</t>
  </si>
  <si>
    <t>Foundation Degree in Film and Photography</t>
  </si>
  <si>
    <t>246825</t>
  </si>
  <si>
    <t>H00246825</t>
  </si>
  <si>
    <t>BSc (Hons) in Archaeology</t>
  </si>
  <si>
    <t>246826</t>
  </si>
  <si>
    <t>H00246826</t>
  </si>
  <si>
    <t>Foundation Degree in Archaeology</t>
  </si>
  <si>
    <t>246827</t>
  </si>
  <si>
    <t>H00246827</t>
  </si>
  <si>
    <t>Foundation Degree in Media Advertising</t>
  </si>
  <si>
    <t>246828</t>
  </si>
  <si>
    <t>H00246828</t>
  </si>
  <si>
    <t>Foundation Degree in Complementary Body Therapies</t>
  </si>
  <si>
    <t>246829</t>
  </si>
  <si>
    <t>H00246829</t>
  </si>
  <si>
    <t>Foundation Degree in Action Photography</t>
  </si>
  <si>
    <t>246830</t>
  </si>
  <si>
    <t>H00246830</t>
  </si>
  <si>
    <t>HND in Applied Psychology</t>
  </si>
  <si>
    <t>246831</t>
  </si>
  <si>
    <t>H00246831</t>
  </si>
  <si>
    <t>246832</t>
  </si>
  <si>
    <t>H00246832</t>
  </si>
  <si>
    <t>Foundation Degree in History, Heritage &amp; Archaeology</t>
  </si>
  <si>
    <t>246833</t>
  </si>
  <si>
    <t>H00246833</t>
  </si>
  <si>
    <t>Foundation Degree in Early Childhood Education</t>
  </si>
  <si>
    <t>246834</t>
  </si>
  <si>
    <t>H00246834</t>
  </si>
  <si>
    <t>246835</t>
  </si>
  <si>
    <t>H00246835</t>
  </si>
  <si>
    <t>Foundation Degree in Community Studies (Development &amp; Youth Work)</t>
  </si>
  <si>
    <t>246836</t>
  </si>
  <si>
    <t>H00246836</t>
  </si>
  <si>
    <t>Foundation Degree in Counselling Studies</t>
  </si>
  <si>
    <t>246837</t>
  </si>
  <si>
    <t>H00246837</t>
  </si>
  <si>
    <t>Foundation Degree in Web Technology</t>
  </si>
  <si>
    <t>246838</t>
  </si>
  <si>
    <t>H00246838</t>
  </si>
  <si>
    <t>BA (Hons) in Silversmithing &amp; Jewellery</t>
  </si>
  <si>
    <t>246839</t>
  </si>
  <si>
    <t>H00246839</t>
  </si>
  <si>
    <t>Foundation Degree in Silversmithing &amp; Jewellery</t>
  </si>
  <si>
    <t>246840</t>
  </si>
  <si>
    <t>H00246840</t>
  </si>
  <si>
    <t>HND in Sound Engineering &amp; Multimedia Integration</t>
  </si>
  <si>
    <t>246841</t>
  </si>
  <si>
    <t>H00246841</t>
  </si>
  <si>
    <t>246842</t>
  </si>
  <si>
    <t>H00246842</t>
  </si>
  <si>
    <t>BA (Hons) in Contemporary World Jazz</t>
  </si>
  <si>
    <t>246843</t>
  </si>
  <si>
    <t>H00246843</t>
  </si>
  <si>
    <t>BSc (Hons) in Digital Film Technology (Top up)</t>
  </si>
  <si>
    <t>246844</t>
  </si>
  <si>
    <t>H00246844</t>
  </si>
  <si>
    <t>246845</t>
  </si>
  <si>
    <t>H00246845</t>
  </si>
  <si>
    <t>Foundation Degree in Digital Media Technologies</t>
  </si>
  <si>
    <t>246846</t>
  </si>
  <si>
    <t>H00246846</t>
  </si>
  <si>
    <t>246847</t>
  </si>
  <si>
    <t>H00246847</t>
  </si>
  <si>
    <t>246848</t>
  </si>
  <si>
    <t>H00246848</t>
  </si>
  <si>
    <t>Foundation Degree in Pharmaceutical Science</t>
  </si>
  <si>
    <t>246849</t>
  </si>
  <si>
    <t>H00246849</t>
  </si>
  <si>
    <t>246850</t>
  </si>
  <si>
    <t>H00246850</t>
  </si>
  <si>
    <t>HNC in Sustainable Building</t>
  </si>
  <si>
    <t>246851</t>
  </si>
  <si>
    <t>H00246851</t>
  </si>
  <si>
    <t>Foundation Degree in Education and Training for Specialists in Learning Difficulties and Disabilities</t>
  </si>
  <si>
    <t>246852</t>
  </si>
  <si>
    <t>H00246852</t>
  </si>
  <si>
    <t>Foundation Degree in Strength Conditioning &amp; Sports Coaching</t>
  </si>
  <si>
    <t>246853</t>
  </si>
  <si>
    <t>H00246853</t>
  </si>
  <si>
    <t>Foundation Degree in Business Practice Management</t>
  </si>
  <si>
    <t>246854</t>
  </si>
  <si>
    <t>H00246854</t>
  </si>
  <si>
    <t>DipHE in Social Sciences</t>
  </si>
  <si>
    <t>246855</t>
  </si>
  <si>
    <t>H00246855</t>
  </si>
  <si>
    <t>DipHE in English &amp; Creative Writing</t>
  </si>
  <si>
    <t>246856</t>
  </si>
  <si>
    <t>H00246856</t>
  </si>
  <si>
    <t>DipHE in Cultural and Environmental Studies</t>
  </si>
  <si>
    <t>246857</t>
  </si>
  <si>
    <t>H00246857</t>
  </si>
  <si>
    <t>Foundation Degree in Acting and Theatre</t>
  </si>
  <si>
    <t>246858</t>
  </si>
  <si>
    <t>H00246858</t>
  </si>
  <si>
    <t>Postgraduate Diploma in Osteopathy</t>
  </si>
  <si>
    <t>246859</t>
  </si>
  <si>
    <t>H00246859</t>
  </si>
  <si>
    <t>Postgraduate Diploma in Post Compulsory Education and Training</t>
  </si>
  <si>
    <t>246860</t>
  </si>
  <si>
    <t>H00246860</t>
  </si>
  <si>
    <t>BA (Hons) in Sport Studies (top-up)</t>
  </si>
  <si>
    <t>246861</t>
  </si>
  <si>
    <t>H00246861</t>
  </si>
  <si>
    <t>Foundation Degree in Business &amp; Professional Administration</t>
  </si>
  <si>
    <t>246862</t>
  </si>
  <si>
    <t>H00246862</t>
  </si>
  <si>
    <t>Foundation Degree in Sport Coaching and Development (top-up)</t>
  </si>
  <si>
    <t>246863</t>
  </si>
  <si>
    <t>H00246863</t>
  </si>
  <si>
    <t>Foundation Degree in Sport and Exercise Science</t>
  </si>
  <si>
    <t>246864</t>
  </si>
  <si>
    <t>H00246864</t>
  </si>
  <si>
    <t>Foundation Degree in Criminal Justice (Human Rights)</t>
  </si>
  <si>
    <t>246865</t>
  </si>
  <si>
    <t>H00246865</t>
  </si>
  <si>
    <t>BSc (Hons) in Sport, Development and Coaching</t>
  </si>
  <si>
    <t>246866</t>
  </si>
  <si>
    <t>H00246866</t>
  </si>
  <si>
    <t>HND in Criminal Justice</t>
  </si>
  <si>
    <t>246867</t>
  </si>
  <si>
    <t>H00246867</t>
  </si>
  <si>
    <t>HNC in Mechanical Engineering and Computer Aided Engineering</t>
  </si>
  <si>
    <t>246868</t>
  </si>
  <si>
    <t>H00246868</t>
  </si>
  <si>
    <t>HNC in Electrical &amp; Electronic Engineering</t>
  </si>
  <si>
    <t>246869</t>
  </si>
  <si>
    <t>H00246869</t>
  </si>
  <si>
    <t>246870</t>
  </si>
  <si>
    <t>H00246870</t>
  </si>
  <si>
    <t>246871</t>
  </si>
  <si>
    <t>H00246871</t>
  </si>
  <si>
    <t>BA (Hons) in Applied Social Work</t>
  </si>
  <si>
    <t>246872</t>
  </si>
  <si>
    <t>H00246872</t>
  </si>
  <si>
    <t>246873</t>
  </si>
  <si>
    <t>H00246873</t>
  </si>
  <si>
    <t>BA (Hons) in Creative Practices and Enterprise</t>
  </si>
  <si>
    <t>246874</t>
  </si>
  <si>
    <t>H00246874</t>
  </si>
  <si>
    <t>BA (Hons) in Childhood Studies</t>
  </si>
  <si>
    <t>246875</t>
  </si>
  <si>
    <t>H00246875</t>
  </si>
  <si>
    <t>BA (Hons) in English and Psychology in Society</t>
  </si>
  <si>
    <t>246876</t>
  </si>
  <si>
    <t>H00246876</t>
  </si>
  <si>
    <t>BA (Hons) in English with Cultural Studies</t>
  </si>
  <si>
    <t>246877</t>
  </si>
  <si>
    <t>H00246877</t>
  </si>
  <si>
    <t>BA (Hons) in Hospitality Tourism and Leisure Management</t>
  </si>
  <si>
    <t>246878</t>
  </si>
  <si>
    <t>H00246878</t>
  </si>
  <si>
    <t>246879</t>
  </si>
  <si>
    <t>H00246879</t>
  </si>
  <si>
    <t>BSc (Hons) in Applied Sport Health and Exercise</t>
  </si>
  <si>
    <t>246880</t>
  </si>
  <si>
    <t>H00246880</t>
  </si>
  <si>
    <t>BSc (Hons) in Business Computing</t>
  </si>
  <si>
    <t>246881</t>
  </si>
  <si>
    <t>H00246881</t>
  </si>
  <si>
    <t>BSc (Hons) in Psychology with Sociology</t>
  </si>
  <si>
    <t>246882</t>
  </si>
  <si>
    <t>H00246882</t>
  </si>
  <si>
    <t>Foundation Degree in Arts and Well Being</t>
  </si>
  <si>
    <t>246883</t>
  </si>
  <si>
    <t>H00246883</t>
  </si>
  <si>
    <t>246884</t>
  </si>
  <si>
    <t>H00246884</t>
  </si>
  <si>
    <t>246885</t>
  </si>
  <si>
    <t>H00246885</t>
  </si>
  <si>
    <t>Foundation Degree in Health Studies</t>
  </si>
  <si>
    <t>246886</t>
  </si>
  <si>
    <t>H00246886</t>
  </si>
  <si>
    <t>BSc (Hons) in Electrical Electronic Engineering</t>
  </si>
  <si>
    <t>246887</t>
  </si>
  <si>
    <t>H00246887</t>
  </si>
  <si>
    <t>BSc (Hons) in Mechanical Manufacturing Engineering</t>
  </si>
  <si>
    <t>246888</t>
  </si>
  <si>
    <t>H00246888</t>
  </si>
  <si>
    <t>246889</t>
  </si>
  <si>
    <t>H00246889</t>
  </si>
  <si>
    <t>Foundation Degree in Management of Culinary Arts</t>
  </si>
  <si>
    <t>246890</t>
  </si>
  <si>
    <t>H00246890</t>
  </si>
  <si>
    <t>246891</t>
  </si>
  <si>
    <t>H00246891</t>
  </si>
  <si>
    <t>Foundation Degree in Popular Music Performance and Production</t>
  </si>
  <si>
    <t>246892</t>
  </si>
  <si>
    <t>H00246892</t>
  </si>
  <si>
    <t>246893</t>
  </si>
  <si>
    <t>H00246893</t>
  </si>
  <si>
    <t>Foundation Degree in Sport Health and Exercise</t>
  </si>
  <si>
    <t>246894</t>
  </si>
  <si>
    <t>H00246894</t>
  </si>
  <si>
    <t>246895</t>
  </si>
  <si>
    <t>H00246895</t>
  </si>
  <si>
    <t>Foundation Degree in Dementia Care</t>
  </si>
  <si>
    <t>246896</t>
  </si>
  <si>
    <t>H00246896</t>
  </si>
  <si>
    <t>Foundation Degree in Mental Health Practise</t>
  </si>
  <si>
    <t>246897</t>
  </si>
  <si>
    <t>H00246897</t>
  </si>
  <si>
    <t>BA (Hons) in Leadership in Public Services</t>
  </si>
  <si>
    <t>246898</t>
  </si>
  <si>
    <t>H00246898</t>
  </si>
  <si>
    <t>BSc (Hons) in Information Communication Technology</t>
  </si>
  <si>
    <t>246899</t>
  </si>
  <si>
    <t>H00246899</t>
  </si>
  <si>
    <t>BA (Hons) in Early Childhood Policy and Practice (top up)</t>
  </si>
  <si>
    <t>246900</t>
  </si>
  <si>
    <t>H00246900</t>
  </si>
  <si>
    <t>BA (Hons) in Counselling with Brief Interventions</t>
  </si>
  <si>
    <t>246901</t>
  </si>
  <si>
    <t>H00246901</t>
  </si>
  <si>
    <t>BA (Hons) in Business with Retail Management</t>
  </si>
  <si>
    <t>246902</t>
  </si>
  <si>
    <t>H00246902</t>
  </si>
  <si>
    <t>246903</t>
  </si>
  <si>
    <t>H00246903</t>
  </si>
  <si>
    <t>BEng (Hons) in Robotics and Mechatronics</t>
  </si>
  <si>
    <t>246904</t>
  </si>
  <si>
    <t>H00246904</t>
  </si>
  <si>
    <t>BEng (Hons) in Electrical and Electronics Engineering</t>
  </si>
  <si>
    <t>246905</t>
  </si>
  <si>
    <t>H00246905</t>
  </si>
  <si>
    <t>BSc (Hons) in Developing Practice in Complementary Therapies</t>
  </si>
  <si>
    <t>246906</t>
  </si>
  <si>
    <t>H00246906</t>
  </si>
  <si>
    <t>Foundation Degree in Purchasing and Supply</t>
  </si>
  <si>
    <t>246907</t>
  </si>
  <si>
    <t>H00246907</t>
  </si>
  <si>
    <t>246908</t>
  </si>
  <si>
    <t>H00246908</t>
  </si>
  <si>
    <t>246909</t>
  </si>
  <si>
    <t>H00246909</t>
  </si>
  <si>
    <t>HNC in Civil and Coastal Engineering</t>
  </si>
  <si>
    <t>246910</t>
  </si>
  <si>
    <t>H00246910</t>
  </si>
  <si>
    <t>246911</t>
  </si>
  <si>
    <t>H00246911</t>
  </si>
  <si>
    <t>HNC in Mechanical Design and Manufacture</t>
  </si>
  <si>
    <t>246912</t>
  </si>
  <si>
    <t>H00246912</t>
  </si>
  <si>
    <t>Foundation Degree in Journalism and Practical Media</t>
  </si>
  <si>
    <t>246913</t>
  </si>
  <si>
    <t>H00246913</t>
  </si>
  <si>
    <t>246914</t>
  </si>
  <si>
    <t>H00246914</t>
  </si>
  <si>
    <t>BA (Hons) in Business and Marketing</t>
  </si>
  <si>
    <t>246915</t>
  </si>
  <si>
    <t>H00246915</t>
  </si>
  <si>
    <t>BSc (Hons) in Sports (Sports Therapy)</t>
  </si>
  <si>
    <t>246916</t>
  </si>
  <si>
    <t>H00246916</t>
  </si>
  <si>
    <t>PGCert in Post Compulsory Education and Training</t>
  </si>
  <si>
    <t>246917</t>
  </si>
  <si>
    <t>H00246917</t>
  </si>
  <si>
    <t>Diploma in Post Compulsory Education and Training</t>
  </si>
  <si>
    <t>246918</t>
  </si>
  <si>
    <t>H00246918</t>
  </si>
  <si>
    <t>246919</t>
  </si>
  <si>
    <t>H00246919</t>
  </si>
  <si>
    <t>Diploma in Teaching for the Lifelong Learning Sector (DTLLS)</t>
  </si>
  <si>
    <t>246920</t>
  </si>
  <si>
    <t>H00246920</t>
  </si>
  <si>
    <t>Foundation Degree in Public services</t>
  </si>
  <si>
    <t>246921</t>
  </si>
  <si>
    <t>H00246921</t>
  </si>
  <si>
    <t>Preparing to Teach in the Lifelong Learning sector (PTLLS)</t>
  </si>
  <si>
    <t>246922</t>
  </si>
  <si>
    <t>H00246922</t>
  </si>
  <si>
    <t>246923</t>
  </si>
  <si>
    <t>H00246923</t>
  </si>
  <si>
    <t>Foundation Degree in Art and Design in the Creative Industries (Fashion and Textiles)</t>
  </si>
  <si>
    <t>246924</t>
  </si>
  <si>
    <t>H00246924</t>
  </si>
  <si>
    <t>Foundation Degree in Art and Design in the Creative Industries (Graphic Design)</t>
  </si>
  <si>
    <t>246925</t>
  </si>
  <si>
    <t>H00246925</t>
  </si>
  <si>
    <t>Foundation Degree in Creative Music Production</t>
  </si>
  <si>
    <t>246926</t>
  </si>
  <si>
    <t>H00246926</t>
  </si>
  <si>
    <t>Foundation Degree in Biological Sciences</t>
  </si>
  <si>
    <t>246927</t>
  </si>
  <si>
    <t>H00246927</t>
  </si>
  <si>
    <t>Foundation Degree in Computing (Network Systems)</t>
  </si>
  <si>
    <t>246928</t>
  </si>
  <si>
    <t>H00246928</t>
  </si>
  <si>
    <t>246929</t>
  </si>
  <si>
    <t>H00246929</t>
  </si>
  <si>
    <t>Foundation Degree in Food and Culinary Arts</t>
  </si>
  <si>
    <t>246930</t>
  </si>
  <si>
    <t>H00246930</t>
  </si>
  <si>
    <t>246931</t>
  </si>
  <si>
    <t>H00246931</t>
  </si>
  <si>
    <t>BA (Hons) in Creative Music Production</t>
  </si>
  <si>
    <t>246932</t>
  </si>
  <si>
    <t>H00246932</t>
  </si>
  <si>
    <t>BA (Hons) in Accounting</t>
  </si>
  <si>
    <t>246933</t>
  </si>
  <si>
    <t>H00246933</t>
  </si>
  <si>
    <t>Foundation Degree in Business Marketing</t>
  </si>
  <si>
    <t>246934</t>
  </si>
  <si>
    <t>H00246934</t>
  </si>
  <si>
    <t>246935</t>
  </si>
  <si>
    <t>H00246935</t>
  </si>
  <si>
    <t>Foundation Degree in Legal Studies (Full Time)</t>
  </si>
  <si>
    <t>246936</t>
  </si>
  <si>
    <t>H00246936</t>
  </si>
  <si>
    <t>246937</t>
  </si>
  <si>
    <t>H00246937</t>
  </si>
  <si>
    <t>Foundation Degree in International Business with Mandarin</t>
  </si>
  <si>
    <t>246938</t>
  </si>
  <si>
    <t>H00246938</t>
  </si>
  <si>
    <t>246939</t>
  </si>
  <si>
    <t>H00246939</t>
  </si>
  <si>
    <t>Foundation Degree in Administrative Management</t>
  </si>
  <si>
    <t>246940</t>
  </si>
  <si>
    <t>H00246940</t>
  </si>
  <si>
    <t>Foundation Degree in Mechanical Design and Manufacturing</t>
  </si>
  <si>
    <t>246941</t>
  </si>
  <si>
    <t>H00246941</t>
  </si>
  <si>
    <t>246942</t>
  </si>
  <si>
    <t>H00246942</t>
  </si>
  <si>
    <t>Foundation Degree in Early Years Sector Endorsed</t>
  </si>
  <si>
    <t>246943</t>
  </si>
  <si>
    <t>H00246943</t>
  </si>
  <si>
    <t>246944</t>
  </si>
  <si>
    <t>H00246944</t>
  </si>
  <si>
    <t>HNC in Business and Management</t>
  </si>
  <si>
    <t>246945</t>
  </si>
  <si>
    <t>H00246945</t>
  </si>
  <si>
    <t>HND in Business and Management</t>
  </si>
  <si>
    <t>246946</t>
  </si>
  <si>
    <t>H00246946</t>
  </si>
  <si>
    <t>246947</t>
  </si>
  <si>
    <t>H00246947</t>
  </si>
  <si>
    <t>BSc (Hons) in Equine Performance Management</t>
  </si>
  <si>
    <t>246948</t>
  </si>
  <si>
    <t>H00246948</t>
  </si>
  <si>
    <t>246949</t>
  </si>
  <si>
    <t>H00246949</t>
  </si>
  <si>
    <t>246950</t>
  </si>
  <si>
    <t>H00246950</t>
  </si>
  <si>
    <t>246951</t>
  </si>
  <si>
    <t>H00246951</t>
  </si>
  <si>
    <t>Foundation Degree in Business Systems Management</t>
  </si>
  <si>
    <t>246952</t>
  </si>
  <si>
    <t>H00246952</t>
  </si>
  <si>
    <t>246953</t>
  </si>
  <si>
    <t>H00246953</t>
  </si>
  <si>
    <t>BA (Hons) in Art and Design (Foundation year entry)</t>
  </si>
  <si>
    <t>246954</t>
  </si>
  <si>
    <t>H00246954</t>
  </si>
  <si>
    <t>Cert HE in Community Arts: Theatre Practitioner</t>
  </si>
  <si>
    <t>246955</t>
  </si>
  <si>
    <t>H00246955</t>
  </si>
  <si>
    <t>Foundation Degree in Administration Management</t>
  </si>
  <si>
    <t>246956</t>
  </si>
  <si>
    <t>H00246956</t>
  </si>
  <si>
    <t>Foundation Degree in Building Services and Sustainable Engineering</t>
  </si>
  <si>
    <t>246957</t>
  </si>
  <si>
    <t>H00246957</t>
  </si>
  <si>
    <t>246958</t>
  </si>
  <si>
    <t>H00246958</t>
  </si>
  <si>
    <t>246959</t>
  </si>
  <si>
    <t>H00246959</t>
  </si>
  <si>
    <t>246960</t>
  </si>
  <si>
    <t>H00246960</t>
  </si>
  <si>
    <t>DipHE in Humanistic Gestalt Counselling</t>
  </si>
  <si>
    <t>246961</t>
  </si>
  <si>
    <t>H00246961</t>
  </si>
  <si>
    <t>246962</t>
  </si>
  <si>
    <t>H00246962</t>
  </si>
  <si>
    <t>246963</t>
  </si>
  <si>
    <t>H00246963</t>
  </si>
  <si>
    <t>Foundation Degree in Applied Computing with Business Technologies</t>
  </si>
  <si>
    <t>246964</t>
  </si>
  <si>
    <t>H00246964</t>
  </si>
  <si>
    <t>246965</t>
  </si>
  <si>
    <t>H00246965</t>
  </si>
  <si>
    <t>246966</t>
  </si>
  <si>
    <t>H00246966</t>
  </si>
  <si>
    <t>246967</t>
  </si>
  <si>
    <t>H00246967</t>
  </si>
  <si>
    <t>246968</t>
  </si>
  <si>
    <t>H00246968</t>
  </si>
  <si>
    <t>246969</t>
  </si>
  <si>
    <t>H00246969</t>
  </si>
  <si>
    <t>246970</t>
  </si>
  <si>
    <t>H00246970</t>
  </si>
  <si>
    <t>246971</t>
  </si>
  <si>
    <t>H00246971</t>
  </si>
  <si>
    <t>BA (Hons) in Performing Arts (Top-Up)</t>
  </si>
  <si>
    <t>246972</t>
  </si>
  <si>
    <t>H00246972</t>
  </si>
  <si>
    <t>Professional Diploma in Education (PDE) in (DTLLS)</t>
  </si>
  <si>
    <t>246973</t>
  </si>
  <si>
    <t>H00246973</t>
  </si>
  <si>
    <t>Professional Graduate Diploma in Education (PGDE)</t>
  </si>
  <si>
    <t>246974</t>
  </si>
  <si>
    <t>H00246974</t>
  </si>
  <si>
    <t>Preparing to Teach in the Lifelong Learning Sector (PTLLS)</t>
  </si>
  <si>
    <t>246975</t>
  </si>
  <si>
    <t>H00246975</t>
  </si>
  <si>
    <t>Certificate in Teaching in the Lifelong Learning Sector (CTLLS)</t>
  </si>
  <si>
    <t>246976</t>
  </si>
  <si>
    <t>H00246976</t>
  </si>
  <si>
    <t>MA in Art, Designs and The Book</t>
  </si>
  <si>
    <t>246977</t>
  </si>
  <si>
    <t>H00246977</t>
  </si>
  <si>
    <t>MA in Contemporary Art and Professional Practice</t>
  </si>
  <si>
    <t>246978</t>
  </si>
  <si>
    <t>H00246978</t>
  </si>
  <si>
    <t>MA in Sculptural Practice</t>
  </si>
  <si>
    <t>246979</t>
  </si>
  <si>
    <t>H00246979</t>
  </si>
  <si>
    <t>Post Graduate Certificate in Management Studies</t>
  </si>
  <si>
    <t>246980</t>
  </si>
  <si>
    <t>H00246980</t>
  </si>
  <si>
    <t>246981</t>
  </si>
  <si>
    <t>H00246981</t>
  </si>
  <si>
    <t>BA (Hons) in Community Policing and Justice Management</t>
  </si>
  <si>
    <t>246982</t>
  </si>
  <si>
    <t>H00246982</t>
  </si>
  <si>
    <t>BA (Hons) in Positive Practice with Children and Young People</t>
  </si>
  <si>
    <t>246983</t>
  </si>
  <si>
    <t>H00246983</t>
  </si>
  <si>
    <t>246984</t>
  </si>
  <si>
    <t>H00246984</t>
  </si>
  <si>
    <t>246985</t>
  </si>
  <si>
    <t>H00246985</t>
  </si>
  <si>
    <t>Foundation Degree in Psychology and Criminal Behaviour</t>
  </si>
  <si>
    <t>247006</t>
  </si>
  <si>
    <t>H00247006</t>
  </si>
  <si>
    <t>247007</t>
  </si>
  <si>
    <t>H00247007</t>
  </si>
  <si>
    <t>Foundation Degree in Community Coaching and Sports Development</t>
  </si>
  <si>
    <t>247008</t>
  </si>
  <si>
    <t>H00247008</t>
  </si>
  <si>
    <t>BSc (Hons) in Community Coaching and Sports Development (top-up)</t>
  </si>
  <si>
    <t>247009</t>
  </si>
  <si>
    <t>H00247009</t>
  </si>
  <si>
    <t>BSc (Hons) in Sports Coaching and Performance (top-up)</t>
  </si>
  <si>
    <t>247010</t>
  </si>
  <si>
    <t>H00247010</t>
  </si>
  <si>
    <t>BA (Hons) in Performance Arts (top-up)</t>
  </si>
  <si>
    <t>247011</t>
  </si>
  <si>
    <t>H00247011</t>
  </si>
  <si>
    <t>Post Graduate Certificate in Education</t>
  </si>
  <si>
    <t>247012</t>
  </si>
  <si>
    <t>H00247012</t>
  </si>
  <si>
    <t>247013</t>
  </si>
  <si>
    <t>H00247013</t>
  </si>
  <si>
    <t>247014</t>
  </si>
  <si>
    <t>H00247014</t>
  </si>
  <si>
    <t>BA (Hons) in Historical and Performance Costume for Stage and Screen</t>
  </si>
  <si>
    <t>247015</t>
  </si>
  <si>
    <t>H00247015</t>
  </si>
  <si>
    <t>247016</t>
  </si>
  <si>
    <t>H00247016</t>
  </si>
  <si>
    <t>247017</t>
  </si>
  <si>
    <t>H00247017</t>
  </si>
  <si>
    <t>247018</t>
  </si>
  <si>
    <t>H00247018</t>
  </si>
  <si>
    <t>BA (Hons) in English Studies</t>
  </si>
  <si>
    <t>247019</t>
  </si>
  <si>
    <t>H00247019</t>
  </si>
  <si>
    <t>BA (Hons) in Multi-Platform Journalism</t>
  </si>
  <si>
    <t>247020</t>
  </si>
  <si>
    <t>H00247020</t>
  </si>
  <si>
    <t>BA (Hons) in Professional Writing</t>
  </si>
  <si>
    <t>247021</t>
  </si>
  <si>
    <t>H00247021</t>
  </si>
  <si>
    <t>BA (Hons) in Commercial Photography</t>
  </si>
  <si>
    <t>247022</t>
  </si>
  <si>
    <t>H00247022</t>
  </si>
  <si>
    <t>BA (Hons) in Digital Film and Television Production</t>
  </si>
  <si>
    <t>247023</t>
  </si>
  <si>
    <t>H00247023</t>
  </si>
  <si>
    <t>BA (Hons) in Special Effects Make-up Design for TV, Film and Theatre</t>
  </si>
  <si>
    <t>247024</t>
  </si>
  <si>
    <t>H00247024</t>
  </si>
  <si>
    <t>BA (Hons) in Disability Studies (Inclusive Practice)</t>
  </si>
  <si>
    <t>247025</t>
  </si>
  <si>
    <t>H00247025</t>
  </si>
  <si>
    <t>Foundation Degree in Security Management</t>
  </si>
  <si>
    <t>247026</t>
  </si>
  <si>
    <t>H00247026</t>
  </si>
  <si>
    <t>BSc (Hons) in Computer Games Design</t>
  </si>
  <si>
    <t>247027</t>
  </si>
  <si>
    <t>H00247027</t>
  </si>
  <si>
    <t>CertHE in Computer Games Design</t>
  </si>
  <si>
    <t>247028</t>
  </si>
  <si>
    <t>H00247028</t>
  </si>
  <si>
    <t>DipHE in Computer Games Design</t>
  </si>
  <si>
    <t>247029</t>
  </si>
  <si>
    <t>H00247029</t>
  </si>
  <si>
    <t>247030</t>
  </si>
  <si>
    <t>H00247030</t>
  </si>
  <si>
    <t>250715</t>
  </si>
  <si>
    <t>H00250715</t>
  </si>
  <si>
    <t>Diploma in Case Work Supervision</t>
  </si>
  <si>
    <t>259659</t>
  </si>
  <si>
    <t>H00259659</t>
  </si>
  <si>
    <t>High Performance Coach - Trampoline</t>
  </si>
  <si>
    <t>259903</t>
  </si>
  <si>
    <t>H00259903</t>
  </si>
  <si>
    <t>Diploma in Financial Management</t>
  </si>
  <si>
    <t>260945</t>
  </si>
  <si>
    <t>H00260945</t>
  </si>
  <si>
    <t>Design E-Learning</t>
  </si>
  <si>
    <t>267042</t>
  </si>
  <si>
    <t>H00267042</t>
  </si>
  <si>
    <t>CIMA Advanced Diploma in Management Accounting</t>
  </si>
  <si>
    <t>268577</t>
  </si>
  <si>
    <t>H00268577</t>
  </si>
  <si>
    <t>Certificate in Basic Skills Development in the Workplace</t>
  </si>
  <si>
    <t>268800</t>
  </si>
  <si>
    <t>H00268800</t>
  </si>
  <si>
    <t>Introductory Level 4 Diploma in Management</t>
  </si>
  <si>
    <t>268838</t>
  </si>
  <si>
    <t>H00268838</t>
  </si>
  <si>
    <t>Montessori International Diploma AMI</t>
  </si>
  <si>
    <t>270034</t>
  </si>
  <si>
    <t>H00270034</t>
  </si>
  <si>
    <t>ECB Level IV Elite Coach Development Programme</t>
  </si>
  <si>
    <t>270074</t>
  </si>
  <si>
    <t>H00270074</t>
  </si>
  <si>
    <t>Mountain Instructor Award (Summer)</t>
  </si>
  <si>
    <t>270110</t>
  </si>
  <si>
    <t>H00270110</t>
  </si>
  <si>
    <t>Level 4 Diploma in Programme and Project Management</t>
  </si>
  <si>
    <t>270112</t>
  </si>
  <si>
    <t>H00270112</t>
  </si>
  <si>
    <t>Level 4 Diploma in Quality Management</t>
  </si>
  <si>
    <t>270180</t>
  </si>
  <si>
    <t>H00270180</t>
  </si>
  <si>
    <t>Certificate in Special Care Dental Nursing</t>
  </si>
  <si>
    <t>270181</t>
  </si>
  <si>
    <t>H00270181</t>
  </si>
  <si>
    <t>Certificate in Orthodontic Nursing</t>
  </si>
  <si>
    <t>270748</t>
  </si>
  <si>
    <t>H00270748</t>
  </si>
  <si>
    <t>Diploma in Insurance</t>
  </si>
  <si>
    <t>270814</t>
  </si>
  <si>
    <t>H00270814</t>
  </si>
  <si>
    <t>Nurse Prescribing Programme Part 1 2 and 3</t>
  </si>
  <si>
    <t>270827</t>
  </si>
  <si>
    <t>H00270827</t>
  </si>
  <si>
    <t>CIMA Managerial Level (2)</t>
  </si>
  <si>
    <t>270941</t>
  </si>
  <si>
    <t>H00270941</t>
  </si>
  <si>
    <t>Strategic Marketing Decisions</t>
  </si>
  <si>
    <t>271144</t>
  </si>
  <si>
    <t>H00271144</t>
  </si>
  <si>
    <t>Intermediate Teaching Test</t>
  </si>
  <si>
    <t>271219</t>
  </si>
  <si>
    <t>H00271219</t>
  </si>
  <si>
    <t>Post Graduate Blend Epilation Diploma</t>
  </si>
  <si>
    <t>271222</t>
  </si>
  <si>
    <t>H00271222</t>
  </si>
  <si>
    <t>Spa Therapy Diploma</t>
  </si>
  <si>
    <t>271262</t>
  </si>
  <si>
    <t>H00271262</t>
  </si>
  <si>
    <t>National Award in Holistic Gas Turbines</t>
  </si>
  <si>
    <t>271675</t>
  </si>
  <si>
    <t>H00271675</t>
  </si>
  <si>
    <t>HNC in Business and Accounting</t>
  </si>
  <si>
    <t>271688</t>
  </si>
  <si>
    <t>H00271688</t>
  </si>
  <si>
    <t>HNC in Business Management</t>
  </si>
  <si>
    <t>271719</t>
  </si>
  <si>
    <t>H00271719</t>
  </si>
  <si>
    <t>271735</t>
  </si>
  <si>
    <t>H00271735</t>
  </si>
  <si>
    <t>HNC in Electrical and Electronic Engineering</t>
  </si>
  <si>
    <t>271736</t>
  </si>
  <si>
    <t>H00271736</t>
  </si>
  <si>
    <t>HNC in Electrical Engineering</t>
  </si>
  <si>
    <t>271740</t>
  </si>
  <si>
    <t>H00271740</t>
  </si>
  <si>
    <t>HNC in Electronic Systems Engineering</t>
  </si>
  <si>
    <t>271748</t>
  </si>
  <si>
    <t>H00271748</t>
  </si>
  <si>
    <t>271750</t>
  </si>
  <si>
    <t>H00271750</t>
  </si>
  <si>
    <t>HNC in Engineering Design and Manufacture (Mechanical Engineering)</t>
  </si>
  <si>
    <t>271766</t>
  </si>
  <si>
    <t>H00271766</t>
  </si>
  <si>
    <t>HNC in Fine Art</t>
  </si>
  <si>
    <t>271778</t>
  </si>
  <si>
    <t>H00271778</t>
  </si>
  <si>
    <t>HNC in Garden Design with Plantsmanship</t>
  </si>
  <si>
    <t>271791</t>
  </si>
  <si>
    <t>H00271791</t>
  </si>
  <si>
    <t>HNC in Horticulture (Garden Design)</t>
  </si>
  <si>
    <t>271794</t>
  </si>
  <si>
    <t>H00271794</t>
  </si>
  <si>
    <t>HNC in Hospitality Management Studies</t>
  </si>
  <si>
    <t>271803</t>
  </si>
  <si>
    <t>H00271803</t>
  </si>
  <si>
    <t>271818</t>
  </si>
  <si>
    <t>H00271818</t>
  </si>
  <si>
    <t>HNC in Manufacturing Engineering (Mechatronics)</t>
  </si>
  <si>
    <t>271825</t>
  </si>
  <si>
    <t>H00271825</t>
  </si>
  <si>
    <t>HNC in Mechanical and Manufacturing Engineering</t>
  </si>
  <si>
    <t>271843</t>
  </si>
  <si>
    <t>H00271843</t>
  </si>
  <si>
    <t>HNC in Pharmaceutical Sciences</t>
  </si>
  <si>
    <t>271844</t>
  </si>
  <si>
    <t>H00271844</t>
  </si>
  <si>
    <t>HNC in Photography</t>
  </si>
  <si>
    <t>271847</t>
  </si>
  <si>
    <t>H00271847</t>
  </si>
  <si>
    <t>HNC in Plant and Process Engineering (Mechatronics)</t>
  </si>
  <si>
    <t>271849</t>
  </si>
  <si>
    <t>H00271849</t>
  </si>
  <si>
    <t>HNC in Polymer Technology</t>
  </si>
  <si>
    <t>272237</t>
  </si>
  <si>
    <t>H00272237</t>
  </si>
  <si>
    <t>HND in Computing and Software Development</t>
  </si>
  <si>
    <t>272246</t>
  </si>
  <si>
    <t>H00272246</t>
  </si>
  <si>
    <t>HND in Computing (Software Development)</t>
  </si>
  <si>
    <t>272312</t>
  </si>
  <si>
    <t>H00272312</t>
  </si>
  <si>
    <t>HND in Engineering (Mechanical)</t>
  </si>
  <si>
    <t>272335</t>
  </si>
  <si>
    <t>H00272335</t>
  </si>
  <si>
    <t>HND in Fashion and Textiles</t>
  </si>
  <si>
    <t>272343</t>
  </si>
  <si>
    <t>H00272343</t>
  </si>
  <si>
    <t>HND in Fine Art</t>
  </si>
  <si>
    <t>272345</t>
  </si>
  <si>
    <t>H00272345</t>
  </si>
  <si>
    <t>HND in Fine Arts</t>
  </si>
  <si>
    <t>272363</t>
  </si>
  <si>
    <t>H00272363</t>
  </si>
  <si>
    <t>272388</t>
  </si>
  <si>
    <t>H00272388</t>
  </si>
  <si>
    <t>HND in Health and Social Care</t>
  </si>
  <si>
    <t>272411</t>
  </si>
  <si>
    <t>H00272411</t>
  </si>
  <si>
    <t>HND in Hospitality, Travel and Tourism Management</t>
  </si>
  <si>
    <t>272426</t>
  </si>
  <si>
    <t>H00272426</t>
  </si>
  <si>
    <t>272486</t>
  </si>
  <si>
    <t>H00272486</t>
  </si>
  <si>
    <t>HND in Media and Communications</t>
  </si>
  <si>
    <t>272489</t>
  </si>
  <si>
    <t>H00272489</t>
  </si>
  <si>
    <t>HND in Media Moving Image</t>
  </si>
  <si>
    <t>272706</t>
  </si>
  <si>
    <t>H00272706</t>
  </si>
  <si>
    <t>HND in Performing Arts (Theatre)</t>
  </si>
  <si>
    <t>272712</t>
  </si>
  <si>
    <t>H00272712</t>
  </si>
  <si>
    <t>HND in Photography</t>
  </si>
  <si>
    <t>272713</t>
  </si>
  <si>
    <t>H00272713</t>
  </si>
  <si>
    <t>HND in Photography and Digital Imaging</t>
  </si>
  <si>
    <t>272724</t>
  </si>
  <si>
    <t>H00272724</t>
  </si>
  <si>
    <t>HND in Plant and Process Engineering (Mechatronics)</t>
  </si>
  <si>
    <t>272753</t>
  </si>
  <si>
    <t>H00272753</t>
  </si>
  <si>
    <t>HND in Specialist Make Up</t>
  </si>
  <si>
    <t>272760</t>
  </si>
  <si>
    <t>H00272760</t>
  </si>
  <si>
    <t>HND in Sport and Exercise</t>
  </si>
  <si>
    <t>272805</t>
  </si>
  <si>
    <t>H00272805</t>
  </si>
  <si>
    <t>272808</t>
  </si>
  <si>
    <t>H00272808</t>
  </si>
  <si>
    <t>HND in Textile Design</t>
  </si>
  <si>
    <t>272814</t>
  </si>
  <si>
    <t>H00272814</t>
  </si>
  <si>
    <t>HND in Tourism and Business Management</t>
  </si>
  <si>
    <t>272835</t>
  </si>
  <si>
    <t>H00272835</t>
  </si>
  <si>
    <t>272911</t>
  </si>
  <si>
    <t>H00272911</t>
  </si>
  <si>
    <t>Professional Award in Teaching Key Stage 4 Pupils In Post 16 Centres</t>
  </si>
  <si>
    <t>275095</t>
  </si>
  <si>
    <t>H00275095</t>
  </si>
  <si>
    <t>Diploma in Recruitment Practice</t>
  </si>
  <si>
    <t>283001</t>
  </si>
  <si>
    <t>H00283001</t>
  </si>
  <si>
    <t>HNC to HND Conversion Code - 3D Design</t>
  </si>
  <si>
    <t>283003</t>
  </si>
  <si>
    <t>H00283003</t>
  </si>
  <si>
    <t>HNC to HND Conversion Code - Aeronautical Engineering</t>
  </si>
  <si>
    <t>283005</t>
  </si>
  <si>
    <t>H00283005</t>
  </si>
  <si>
    <t>HNC to HND Conversion Code - Animal Management</t>
  </si>
  <si>
    <t>283006</t>
  </si>
  <si>
    <t>H00283006</t>
  </si>
  <si>
    <t>HNC to HND Conversion Code - Applied Biology</t>
  </si>
  <si>
    <t>283007</t>
  </si>
  <si>
    <t>H00283007</t>
  </si>
  <si>
    <t>HNC to HND Conversion Code - Applied Chemistry</t>
  </si>
  <si>
    <t>283008</t>
  </si>
  <si>
    <t>H00283008</t>
  </si>
  <si>
    <t>HNC to HND Conversion Code - Art and Design</t>
  </si>
  <si>
    <t>283009</t>
  </si>
  <si>
    <t>H00283009</t>
  </si>
  <si>
    <t>HNC to HND Conversion Code - Automotive Engineering</t>
  </si>
  <si>
    <t>283013</t>
  </si>
  <si>
    <t>H00283013</t>
  </si>
  <si>
    <t>HNC to HND Conversion Code - Business</t>
  </si>
  <si>
    <t>283018</t>
  </si>
  <si>
    <t>H00283018</t>
  </si>
  <si>
    <t>HNC to HND Conversion Code - Computing and Systems Development</t>
  </si>
  <si>
    <t>283020</t>
  </si>
  <si>
    <t>H00283020</t>
  </si>
  <si>
    <t>HNC to HND Conversion Code - Construction and the Built Environment</t>
  </si>
  <si>
    <t>283021</t>
  </si>
  <si>
    <t>H00283021</t>
  </si>
  <si>
    <t>HNC to HND Conversion Code - Electrical and Electronic Engineering</t>
  </si>
  <si>
    <t>283022</t>
  </si>
  <si>
    <t>H00283022</t>
  </si>
  <si>
    <t>HNC to HND Conversion Code - Electrical Engineering</t>
  </si>
  <si>
    <t>283024</t>
  </si>
  <si>
    <t>H00283024</t>
  </si>
  <si>
    <t>HNC to HND Conversion Code - Electronic Engineering</t>
  </si>
  <si>
    <t>283025</t>
  </si>
  <si>
    <t>H00283025</t>
  </si>
  <si>
    <t>HNC to HND Conversion Code - Environmental Conservation</t>
  </si>
  <si>
    <t>283026</t>
  </si>
  <si>
    <t>H00283026</t>
  </si>
  <si>
    <t>HNC to HND Conversion Code - Equine Management</t>
  </si>
  <si>
    <t>283027</t>
  </si>
  <si>
    <t>H00283027</t>
  </si>
  <si>
    <t>HNC to HND Conversion Code - Fashion and Textiles</t>
  </si>
  <si>
    <t>283028</t>
  </si>
  <si>
    <t>H00283028</t>
  </si>
  <si>
    <t>HNC to HND Conversion Code - Fine Art</t>
  </si>
  <si>
    <t>283030</t>
  </si>
  <si>
    <t>H00283030</t>
  </si>
  <si>
    <t>HNC to HND Conversion Code - General Engineering</t>
  </si>
  <si>
    <t>283031</t>
  </si>
  <si>
    <t>H00283031</t>
  </si>
  <si>
    <t>HNC to HND Conversion Code - Graphic Design</t>
  </si>
  <si>
    <t>283032</t>
  </si>
  <si>
    <t>H00283032</t>
  </si>
  <si>
    <t>HNC to HND Conversion Code - Hair and Beauty Management</t>
  </si>
  <si>
    <t>283033</t>
  </si>
  <si>
    <t>H00283033</t>
  </si>
  <si>
    <t>HNC to HND Conversion Code - Health and Social Care</t>
  </si>
  <si>
    <t>283034</t>
  </si>
  <si>
    <t>H00283034</t>
  </si>
  <si>
    <t>HNC to HND Conversion Code - Horticulture</t>
  </si>
  <si>
    <t>283035</t>
  </si>
  <si>
    <t>H00283035</t>
  </si>
  <si>
    <t>HNC to HND Conversion Code - Hospitality Management</t>
  </si>
  <si>
    <t>283036</t>
  </si>
  <si>
    <t>H00283036</t>
  </si>
  <si>
    <t>HNC to HND Conversion Code - Interactive Media</t>
  </si>
  <si>
    <t>283037</t>
  </si>
  <si>
    <t>H00283037</t>
  </si>
  <si>
    <t>HNC to HND Conversion Code - Manufacturing Engineering</t>
  </si>
  <si>
    <t>283038</t>
  </si>
  <si>
    <t>H00283038</t>
  </si>
  <si>
    <t>HNC to HND Conversion Code - Marine Engineering</t>
  </si>
  <si>
    <t>283039</t>
  </si>
  <si>
    <t>H00283039</t>
  </si>
  <si>
    <t>HNC to HND Conversion Code - Mechanical Engineering</t>
  </si>
  <si>
    <t>283041</t>
  </si>
  <si>
    <t>H00283041</t>
  </si>
  <si>
    <t>HNC to HND Conversion Code - Music</t>
  </si>
  <si>
    <t>283044</t>
  </si>
  <si>
    <t>H00283044</t>
  </si>
  <si>
    <t>HNC to HND Conversion Code - Operations Engineering</t>
  </si>
  <si>
    <t>283045</t>
  </si>
  <si>
    <t>H00283045</t>
  </si>
  <si>
    <t>HNC to HND Conversion Code - Performing Arts</t>
  </si>
  <si>
    <t>283046</t>
  </si>
  <si>
    <t>H00283046</t>
  </si>
  <si>
    <t>HNC to HND Conversion Code - Photography</t>
  </si>
  <si>
    <t>283047</t>
  </si>
  <si>
    <t>H00283047</t>
  </si>
  <si>
    <t>HNC to HND Conversion Code - Public Services</t>
  </si>
  <si>
    <t>283048</t>
  </si>
  <si>
    <t>H00283048</t>
  </si>
  <si>
    <t>HNC to HND Conversion Code - Sport</t>
  </si>
  <si>
    <t>283049</t>
  </si>
  <si>
    <t>H00283049</t>
  </si>
  <si>
    <t>HNC to HND Conversion Code - Sport and Exercise Sciences</t>
  </si>
  <si>
    <t>283051</t>
  </si>
  <si>
    <t>H00283051</t>
  </si>
  <si>
    <t>HNC to HND Conversion Code - Travel and Tourism Management</t>
  </si>
  <si>
    <t>283052</t>
  </si>
  <si>
    <t>H00283052</t>
  </si>
  <si>
    <t>HNC to HND Conversion Code - Vehicle Operations Management</t>
  </si>
  <si>
    <t>284924</t>
  </si>
  <si>
    <t>H00284924</t>
  </si>
  <si>
    <t>Skillsactive Endorsed Provision - Playwork - Level 4</t>
  </si>
  <si>
    <t>285474</t>
  </si>
  <si>
    <t>H00285474</t>
  </si>
  <si>
    <t>International Diploma in Travel and Tourism Level 4</t>
  </si>
  <si>
    <t>285483</t>
  </si>
  <si>
    <t>H00285483</t>
  </si>
  <si>
    <t>National Award in Transport of Dangerous Goods by Road Prohibition Powers</t>
  </si>
  <si>
    <t>285600</t>
  </si>
  <si>
    <t>H00285600</t>
  </si>
  <si>
    <t>Higher Level Module for 16 to 18 year olds - 15 Credits, SSA 09, PWF C</t>
  </si>
  <si>
    <t>285601</t>
  </si>
  <si>
    <t>H00285601</t>
  </si>
  <si>
    <t>Higher Level Module for 16 to 18 year olds - 15 Credits, SSA 05, PWF B</t>
  </si>
  <si>
    <t>285602</t>
  </si>
  <si>
    <t>H00285602</t>
  </si>
  <si>
    <t>Higher Level Module for 16 to 18 year olds - 15 Credits, SSA 15, PWF A</t>
  </si>
  <si>
    <t>285603</t>
  </si>
  <si>
    <t>H00285603</t>
  </si>
  <si>
    <t>Higher Level Module for 16 to 18 year olds - 15 Credits, SSA 12, PWF A</t>
  </si>
  <si>
    <t>285604</t>
  </si>
  <si>
    <t>H00285604</t>
  </si>
  <si>
    <t>Higher Level Module for 16 to 18 year olds - 15 Credits, SSA 06, PWF B</t>
  </si>
  <si>
    <t>285605</t>
  </si>
  <si>
    <t>H00285605</t>
  </si>
  <si>
    <t>Higher Level Module for 16 to 18 year olds - 15 Credits, SSA 06, PWF C</t>
  </si>
  <si>
    <t>285606</t>
  </si>
  <si>
    <t>H00285606</t>
  </si>
  <si>
    <t>Higher Level Module for 16 to 18 year olds - 15 Credits, SSA 05, PWF C</t>
  </si>
  <si>
    <t>285607</t>
  </si>
  <si>
    <t>H00285607</t>
  </si>
  <si>
    <t>Higher Level Module for 16 to 18 year olds - 15 Credits, SSA 01, PWF B</t>
  </si>
  <si>
    <t>285608</t>
  </si>
  <si>
    <t>H00285608</t>
  </si>
  <si>
    <t>Higher Level Module for 16 to 18 year olds - 15 Credits, SSA 02, PWF B</t>
  </si>
  <si>
    <t>285610</t>
  </si>
  <si>
    <t>H00285610</t>
  </si>
  <si>
    <t>Higher Level Module for 16 to 18 year olds - 15 Credits, SSA 14, PWF A</t>
  </si>
  <si>
    <t>285645</t>
  </si>
  <si>
    <t>H00285645</t>
  </si>
  <si>
    <t>Higher Level Module for 16 to 18 year olds - 20 Credits, SSA 04, PWF A</t>
  </si>
  <si>
    <t>285648</t>
  </si>
  <si>
    <t>H00285648</t>
  </si>
  <si>
    <t>Higher level module for 16 to 18 year olds - 20 credits, SSA 01, PWF B</t>
  </si>
  <si>
    <t>285649</t>
  </si>
  <si>
    <t>H00285649</t>
  </si>
  <si>
    <t>Higher level module for 16 to 18 year olds - 20 credits, SSA 05, PWF B</t>
  </si>
  <si>
    <t>285650</t>
  </si>
  <si>
    <t>H00285650</t>
  </si>
  <si>
    <t>Higher level module for 16 to 18 year olds - 20 credits, SSA 06, PWF B</t>
  </si>
  <si>
    <t>285651</t>
  </si>
  <si>
    <t>H00285651</t>
  </si>
  <si>
    <t>Higher level module for 16 to 18 year olds - 20 credits, SSA 09, PWF C</t>
  </si>
  <si>
    <t>285652</t>
  </si>
  <si>
    <t>H00285652</t>
  </si>
  <si>
    <t>Higher level module for 16 to 18 year olds - 20 credits, SSA 12, PWF A</t>
  </si>
  <si>
    <t>285653</t>
  </si>
  <si>
    <t>H00285653</t>
  </si>
  <si>
    <t>Higher level module for 16 to 18 year olds - 20 credits, SSA 13, PWF A</t>
  </si>
  <si>
    <t>285654</t>
  </si>
  <si>
    <t>H00285654</t>
  </si>
  <si>
    <t>Higher level module for 16 to 18 year olds - 20 credits, SSA 14, PWF A</t>
  </si>
  <si>
    <t>285655</t>
  </si>
  <si>
    <t>H00285655</t>
  </si>
  <si>
    <t>Higher level module for 16 to 18 year olds - 20 credits, SSA 15, PWF A</t>
  </si>
  <si>
    <t>285656</t>
  </si>
  <si>
    <t>H00285656</t>
  </si>
  <si>
    <t>Higher level module for 16 to 18 year olds - 15 credits, SSA 15, PWF A</t>
  </si>
  <si>
    <t>285657</t>
  </si>
  <si>
    <t>H00285657</t>
  </si>
  <si>
    <t>Higher level module for 16 to 18 year olds - 15 credits, SSA 08, PWF A</t>
  </si>
  <si>
    <t>285658</t>
  </si>
  <si>
    <t>H00285658</t>
  </si>
  <si>
    <t>Higher level module for 16 to 18 year olds - 15 credits, SSA 11, PWF A</t>
  </si>
  <si>
    <t>285659</t>
  </si>
  <si>
    <t>H00285659</t>
  </si>
  <si>
    <t>Higher level module for 16 to 18 year olds - 30 credits, SSA 14, PWF A</t>
  </si>
  <si>
    <t>285660</t>
  </si>
  <si>
    <t>H00285660</t>
  </si>
  <si>
    <t>Higher level module for 16 to 18 year olds - SSA 09, 22 GLH, PWF A</t>
  </si>
  <si>
    <t>285661</t>
  </si>
  <si>
    <t>H00285661</t>
  </si>
  <si>
    <t>Higher level module for 16 to 18 year olds - 33 GLH, SSA 02, PWF B</t>
  </si>
  <si>
    <t>285662</t>
  </si>
  <si>
    <t>H00285662</t>
  </si>
  <si>
    <t>Higher level module for 16 to 18 year olds - 36 GLH, SSA 02, PWF A</t>
  </si>
  <si>
    <t>285663</t>
  </si>
  <si>
    <t>H00285663</t>
  </si>
  <si>
    <t>Higher level module for 16 to 18 year olds - 24 GLH, SSA 15, PWF A</t>
  </si>
  <si>
    <t>285683</t>
  </si>
  <si>
    <t>H00285683</t>
  </si>
  <si>
    <t>Certificate in Human Resource Development (Intermediate Level)</t>
  </si>
  <si>
    <t>285684</t>
  </si>
  <si>
    <t>H00285684</t>
  </si>
  <si>
    <t>Certificate in Human Resource Management (Intermediate Level)</t>
  </si>
  <si>
    <t>285686</t>
  </si>
  <si>
    <t>H00285686</t>
  </si>
  <si>
    <t>Diploma in Company Direction</t>
  </si>
  <si>
    <t>285700</t>
  </si>
  <si>
    <t>H00285700</t>
  </si>
  <si>
    <t>Professional Scheme (for 2007 onwards)</t>
  </si>
  <si>
    <t>285721</t>
  </si>
  <si>
    <t>H00285721</t>
  </si>
  <si>
    <t>Advanced Certificate in Training and Occupational Learning</t>
  </si>
  <si>
    <t>285736</t>
  </si>
  <si>
    <t>H00285736</t>
  </si>
  <si>
    <t>Higher level module for post 16 students (Progression Module) - 30 credits, SSA 14.1, PWF A</t>
  </si>
  <si>
    <t>285737</t>
  </si>
  <si>
    <t>H00285737</t>
  </si>
  <si>
    <t>Intermediate Diploma in Human Resource Management</t>
  </si>
  <si>
    <t>289563</t>
  </si>
  <si>
    <t>H00289563</t>
  </si>
  <si>
    <t>Advanced Diploma in Legal Studies</t>
  </si>
  <si>
    <t>289564</t>
  </si>
  <si>
    <t>H00289564</t>
  </si>
  <si>
    <t>Advanced Diploma in Marketing</t>
  </si>
  <si>
    <t>289565</t>
  </si>
  <si>
    <t>H00289565</t>
  </si>
  <si>
    <t>Advanced Diploma in Project Management</t>
  </si>
  <si>
    <t>289619</t>
  </si>
  <si>
    <t>H00289619</t>
  </si>
  <si>
    <t>Greek Conversation - Level 4</t>
  </si>
  <si>
    <t>289620</t>
  </si>
  <si>
    <t>H00289620</t>
  </si>
  <si>
    <t>Greek Conversation - Level 5</t>
  </si>
  <si>
    <t>289621</t>
  </si>
  <si>
    <t>H00289621</t>
  </si>
  <si>
    <t>Greek Conversation - Level 6</t>
  </si>
  <si>
    <t>289699</t>
  </si>
  <si>
    <t>H00289699</t>
  </si>
  <si>
    <t>Diploma in Risk Management</t>
  </si>
  <si>
    <t>289703</t>
  </si>
  <si>
    <t>H00289703</t>
  </si>
  <si>
    <t>Diploma in Forensic Medical Sciences</t>
  </si>
  <si>
    <t>289730</t>
  </si>
  <si>
    <t>H00289730</t>
  </si>
  <si>
    <t>Youth Coaches (17-21)</t>
  </si>
  <si>
    <t>289731</t>
  </si>
  <si>
    <t>H00289731</t>
  </si>
  <si>
    <t>Youth Coaches (11-16)</t>
  </si>
  <si>
    <t>289732</t>
  </si>
  <si>
    <t>H00289732</t>
  </si>
  <si>
    <t>Academy Managers Course</t>
  </si>
  <si>
    <t>289733</t>
  </si>
  <si>
    <t>H00289733</t>
  </si>
  <si>
    <t>Union of European Football Association (UEFA) 'A' Award</t>
  </si>
  <si>
    <t>289736</t>
  </si>
  <si>
    <t>H00289736</t>
  </si>
  <si>
    <t>Goalkeeping Coaching 'A' Licence</t>
  </si>
  <si>
    <t>289737</t>
  </si>
  <si>
    <t>H00289737</t>
  </si>
  <si>
    <t>Union of European Football Association (UEFA) Pro Licence</t>
  </si>
  <si>
    <t>289776</t>
  </si>
  <si>
    <t>H00289776</t>
  </si>
  <si>
    <t>Certificate in Further Education Governance</t>
  </si>
  <si>
    <t>289852</t>
  </si>
  <si>
    <t>H00289852</t>
  </si>
  <si>
    <t>Diploma in Supervisory Skills - Service Industries</t>
  </si>
  <si>
    <t>289853</t>
  </si>
  <si>
    <t>H00289853</t>
  </si>
  <si>
    <t>Certificate in Marketing Strategy</t>
  </si>
  <si>
    <t>289854</t>
  </si>
  <si>
    <t>H00289854</t>
  </si>
  <si>
    <t>Advanced Diploma in Management - Service Industries</t>
  </si>
  <si>
    <t>289871</t>
  </si>
  <si>
    <t>H00289871</t>
  </si>
  <si>
    <t>BA (Hons) in Architecture</t>
  </si>
  <si>
    <t>289878</t>
  </si>
  <si>
    <t>H00289878</t>
  </si>
  <si>
    <t>290862</t>
  </si>
  <si>
    <t>H00290862</t>
  </si>
  <si>
    <t>Diploma in Wines and Spirits</t>
  </si>
  <si>
    <t>290933</t>
  </si>
  <si>
    <t>H00290933</t>
  </si>
  <si>
    <t>Diploma in Public Sector Leadership</t>
  </si>
  <si>
    <t>290945</t>
  </si>
  <si>
    <t>H00290945</t>
  </si>
  <si>
    <t>Fellowship Award in Paralegal Studies in the Voluntary and Community Sector</t>
  </si>
  <si>
    <t>290949</t>
  </si>
  <si>
    <t>H00290949</t>
  </si>
  <si>
    <t>Lifesaving National Trainer Assessor</t>
  </si>
  <si>
    <t>290950</t>
  </si>
  <si>
    <t>H00290950</t>
  </si>
  <si>
    <t>Lifeguard National Trainer Assessor</t>
  </si>
  <si>
    <t>291116</t>
  </si>
  <si>
    <t>H00291116</t>
  </si>
  <si>
    <t>Certificate in Company Direction</t>
  </si>
  <si>
    <t>291159</t>
  </si>
  <si>
    <t>H00291159</t>
  </si>
  <si>
    <t>Certificate in Signed Communication Skills</t>
  </si>
  <si>
    <t>291259</t>
  </si>
  <si>
    <t>H00291259</t>
  </si>
  <si>
    <t>Foundation Certificate in Consumer Affairs and Trading Standards</t>
  </si>
  <si>
    <t>291260</t>
  </si>
  <si>
    <t>H00291260</t>
  </si>
  <si>
    <t>Diploma in Consumer Affairs and Trading Standards</t>
  </si>
  <si>
    <t>292129</t>
  </si>
  <si>
    <t>H00292129</t>
  </si>
  <si>
    <t>Certificate in Management Consulting Essentials</t>
  </si>
  <si>
    <t>292130</t>
  </si>
  <si>
    <t>H00292130</t>
  </si>
  <si>
    <t>Diploma in Management Consultancy</t>
  </si>
  <si>
    <t>292303</t>
  </si>
  <si>
    <t>H00292303</t>
  </si>
  <si>
    <t>STCW 95 2nd Engineer (Unlimited)</t>
  </si>
  <si>
    <t>292304</t>
  </si>
  <si>
    <t>H00292304</t>
  </si>
  <si>
    <t>STCW 95 2nd Engineer (&lt;3000kW)</t>
  </si>
  <si>
    <t>292305</t>
  </si>
  <si>
    <t>H00292305</t>
  </si>
  <si>
    <t>STCW 95 Chief Engineer (Unlimited)</t>
  </si>
  <si>
    <t>292306</t>
  </si>
  <si>
    <t>H00292306</t>
  </si>
  <si>
    <t>STCW 95 Chief Engineer (&lt;3000kW)</t>
  </si>
  <si>
    <t>293265</t>
  </si>
  <si>
    <t>H00293265</t>
  </si>
  <si>
    <t>Diploma in Brewing</t>
  </si>
  <si>
    <t>293266</t>
  </si>
  <si>
    <t>H00293266</t>
  </si>
  <si>
    <t>Diploma in Distilling</t>
  </si>
  <si>
    <t>293267</t>
  </si>
  <si>
    <t>H00293267</t>
  </si>
  <si>
    <t>Diploma in Packaging</t>
  </si>
  <si>
    <t>293268</t>
  </si>
  <si>
    <t>H00293268</t>
  </si>
  <si>
    <t>Master Brewer (M.Brew)</t>
  </si>
  <si>
    <t>293273</t>
  </si>
  <si>
    <t>H00293273</t>
  </si>
  <si>
    <t>Musical Instrument Playing Diploma</t>
  </si>
  <si>
    <t>293274</t>
  </si>
  <si>
    <t>H00293274</t>
  </si>
  <si>
    <t>Theory of Music Diploma</t>
  </si>
  <si>
    <t>293282</t>
  </si>
  <si>
    <t>H00293282</t>
  </si>
  <si>
    <t>Diploma in Colour Therapy (Intuitive Counselling - Colour Therapy)</t>
  </si>
  <si>
    <t>293283</t>
  </si>
  <si>
    <t>H00293283</t>
  </si>
  <si>
    <t>Diploma in Life Coaching</t>
  </si>
  <si>
    <t>293391</t>
  </si>
  <si>
    <t>H00293391</t>
  </si>
  <si>
    <t>Diploma in Local Taxation and Benefits</t>
  </si>
  <si>
    <t>293429</t>
  </si>
  <si>
    <t>H00293429</t>
  </si>
  <si>
    <t>Advanced Certificate of Educational Studies</t>
  </si>
  <si>
    <t>293430</t>
  </si>
  <si>
    <t>H00293430</t>
  </si>
  <si>
    <t>Advanced Diploma of Educational Studies</t>
  </si>
  <si>
    <t>293432</t>
  </si>
  <si>
    <t>H00293432</t>
  </si>
  <si>
    <t>Certificate (TESOL)</t>
  </si>
  <si>
    <t>293433</t>
  </si>
  <si>
    <t>H00293433</t>
  </si>
  <si>
    <t>Diploma (TESOL)</t>
  </si>
  <si>
    <t>293434</t>
  </si>
  <si>
    <t>H00293434</t>
  </si>
  <si>
    <t>Advanced Diploma (TESOL)</t>
  </si>
  <si>
    <t>293451</t>
  </si>
  <si>
    <t>H00293451</t>
  </si>
  <si>
    <t>Diploma in Nutrition and Health</t>
  </si>
  <si>
    <t>293452</t>
  </si>
  <si>
    <t>H00293452</t>
  </si>
  <si>
    <t>Advanced Diploma in Nutrition</t>
  </si>
  <si>
    <t>293454</t>
  </si>
  <si>
    <t>H00293454</t>
  </si>
  <si>
    <t>Diploma in Anatomical Pathology Technology</t>
  </si>
  <si>
    <t>293704</t>
  </si>
  <si>
    <t>H00293704</t>
  </si>
  <si>
    <t>Advanced Diploma in Accounting</t>
  </si>
  <si>
    <t>293705</t>
  </si>
  <si>
    <t>H00293705</t>
  </si>
  <si>
    <t>Graduate Diploma in Business Management</t>
  </si>
  <si>
    <t>293755</t>
  </si>
  <si>
    <t>H00293755</t>
  </si>
  <si>
    <t>Certificate in Leading Service Improvement</t>
  </si>
  <si>
    <t>293756</t>
  </si>
  <si>
    <t>H00293756</t>
  </si>
  <si>
    <t>Certificate in Public Policy Development</t>
  </si>
  <si>
    <t>293765</t>
  </si>
  <si>
    <t>H00293765</t>
  </si>
  <si>
    <t>Diploma in Stress Management Coaching</t>
  </si>
  <si>
    <t>293767</t>
  </si>
  <si>
    <t>H00293767</t>
  </si>
  <si>
    <t>Intermediate Diploma in Counselling Supervision</t>
  </si>
  <si>
    <t>293769</t>
  </si>
  <si>
    <t>H00293769</t>
  </si>
  <si>
    <t>Diploma in Online Counselling</t>
  </si>
  <si>
    <t>293770</t>
  </si>
  <si>
    <t>H00293770</t>
  </si>
  <si>
    <t>Certificate in Disability Psychotherapy</t>
  </si>
  <si>
    <t>293771</t>
  </si>
  <si>
    <t>H00293771</t>
  </si>
  <si>
    <t>293772</t>
  </si>
  <si>
    <t>H00293772</t>
  </si>
  <si>
    <t>Advanced Certificate in Disability Psychotherapy</t>
  </si>
  <si>
    <t>294145</t>
  </si>
  <si>
    <t>H00294145</t>
  </si>
  <si>
    <t>Post Graduate Diploma in Paralegal Practice</t>
  </si>
  <si>
    <t>294355</t>
  </si>
  <si>
    <t>H00294355</t>
  </si>
  <si>
    <t>Diploma in International Financial Reporting</t>
  </si>
  <si>
    <t>294386</t>
  </si>
  <si>
    <t>H00294386</t>
  </si>
  <si>
    <t>Alpine International Ski Teacher Diploma</t>
  </si>
  <si>
    <t>294402</t>
  </si>
  <si>
    <t>H00294402</t>
  </si>
  <si>
    <t>Alpine Elite Coach - Level 4</t>
  </si>
  <si>
    <t>294491</t>
  </si>
  <si>
    <t>H00294491</t>
  </si>
  <si>
    <t>Certificate in Counselling Supervision (Provider Specific)</t>
  </si>
  <si>
    <t>294492</t>
  </si>
  <si>
    <t>H00294492</t>
  </si>
  <si>
    <t>Diploma in Psychotherapeutic Play (Provider Specific)</t>
  </si>
  <si>
    <t>294493</t>
  </si>
  <si>
    <t>H00294493</t>
  </si>
  <si>
    <t>Diploma in Stress Management (Provider Specific)</t>
  </si>
  <si>
    <t>294496</t>
  </si>
  <si>
    <t>H00294496</t>
  </si>
  <si>
    <t>Diploma in Counselling Supervision (Provider Specific)</t>
  </si>
  <si>
    <t>294498</t>
  </si>
  <si>
    <t>H00294498</t>
  </si>
  <si>
    <t>Advanced Diploma in Disability Psychotherapy (Provider Specific)</t>
  </si>
  <si>
    <t>295208</t>
  </si>
  <si>
    <t>H00295208</t>
  </si>
  <si>
    <t>International Diploma in Occupational Health and Safety</t>
  </si>
  <si>
    <t>295214</t>
  </si>
  <si>
    <t>H00295214</t>
  </si>
  <si>
    <t>295287</t>
  </si>
  <si>
    <t>H00295287</t>
  </si>
  <si>
    <t>Professional Diploma in Marketing</t>
  </si>
  <si>
    <t>295288</t>
  </si>
  <si>
    <t>H00295288</t>
  </si>
  <si>
    <t>Chartered Postgraduate Diploma in Marketing</t>
  </si>
  <si>
    <t>295351</t>
  </si>
  <si>
    <t>H00295351</t>
  </si>
  <si>
    <t>National Diploma in Occupational Health and Safety</t>
  </si>
  <si>
    <t>295352</t>
  </si>
  <si>
    <t>H00295352</t>
  </si>
  <si>
    <t>National Diploma in Environmental Management</t>
  </si>
  <si>
    <t>295410</t>
  </si>
  <si>
    <t>H00295410</t>
  </si>
  <si>
    <t>Diploma in Environmental Protection</t>
  </si>
  <si>
    <t>295414</t>
  </si>
  <si>
    <t>H00295414</t>
  </si>
  <si>
    <t>Certificate in Managing Ethical Dilemmas in Ministry (Provider Specific)</t>
  </si>
  <si>
    <t>295992</t>
  </si>
  <si>
    <t>H00295992</t>
  </si>
  <si>
    <t>Diploma in Introduction to Relationship Counselling</t>
  </si>
  <si>
    <t>295993</t>
  </si>
  <si>
    <t>H00295993</t>
  </si>
  <si>
    <t>Diploma in Relationship Counselling</t>
  </si>
  <si>
    <t>300000</t>
  </si>
  <si>
    <t>H00300000</t>
  </si>
  <si>
    <t>300001</t>
  </si>
  <si>
    <t>H00300001</t>
  </si>
  <si>
    <t>Foundation Degree in in Nuclear Engineering (Decommissioning)</t>
  </si>
  <si>
    <t>300002</t>
  </si>
  <si>
    <t>H00300002</t>
  </si>
  <si>
    <t>Foundation Degree in in Nuclear Engineering (Power Generation)</t>
  </si>
  <si>
    <t>300003</t>
  </si>
  <si>
    <t>H00300003</t>
  </si>
  <si>
    <t>BA (Hons) in Professional Studies (Creative Industries)</t>
  </si>
  <si>
    <t>300004</t>
  </si>
  <si>
    <t>H00300004</t>
  </si>
  <si>
    <t>Foundation Degree in Business and Administration (Bexley)</t>
  </si>
  <si>
    <t>300005</t>
  </si>
  <si>
    <t>H00300005</t>
  </si>
  <si>
    <t>Foundation Degree in Applied Professional Studies (Bexley)</t>
  </si>
  <si>
    <t>300006</t>
  </si>
  <si>
    <t>H00300006</t>
  </si>
  <si>
    <t>300007</t>
  </si>
  <si>
    <t>H00300007</t>
  </si>
  <si>
    <t>BA (Hons) in Communication Design (Graphic Design)</t>
  </si>
  <si>
    <t>300008</t>
  </si>
  <si>
    <t>H00300008</t>
  </si>
  <si>
    <t>BA (Hons) in Communication Design (Illustration)</t>
  </si>
  <si>
    <t>300009</t>
  </si>
  <si>
    <t>H00300009</t>
  </si>
  <si>
    <t>Foundation Degree in Engineering (Electrical/Electronic)</t>
  </si>
  <si>
    <t>300010</t>
  </si>
  <si>
    <t>H00300010</t>
  </si>
  <si>
    <t>Foundation Degree in Engineering (Manufacturing)</t>
  </si>
  <si>
    <t>300011</t>
  </si>
  <si>
    <t>H00300011</t>
  </si>
  <si>
    <t>BSc (Hons) in Sports Science and Coaching Studies</t>
  </si>
  <si>
    <t>300012</t>
  </si>
  <si>
    <t>H00300012</t>
  </si>
  <si>
    <t>Foundation Degree in Equine Business and Event Management</t>
  </si>
  <si>
    <t>300013</t>
  </si>
  <si>
    <t>H00300013</t>
  </si>
  <si>
    <t>Extended Foundation Degree in Equine Business and Event Management</t>
  </si>
  <si>
    <t>300014</t>
  </si>
  <si>
    <t>H00300014</t>
  </si>
  <si>
    <t>Foundation Degree in Drama Practioners</t>
  </si>
  <si>
    <t>300015</t>
  </si>
  <si>
    <t>H00300015</t>
  </si>
  <si>
    <t>Foundation Degree in Contemporary Fine Art Practice</t>
  </si>
  <si>
    <t>300016</t>
  </si>
  <si>
    <t>H00300016</t>
  </si>
  <si>
    <t>Foundation Degree in Sport, Fitness and Personal Training</t>
  </si>
  <si>
    <t>300017</t>
  </si>
  <si>
    <t>H00300017</t>
  </si>
  <si>
    <t>300018</t>
  </si>
  <si>
    <t>H00300018</t>
  </si>
  <si>
    <t>300019</t>
  </si>
  <si>
    <t>H00300019</t>
  </si>
  <si>
    <t>300020</t>
  </si>
  <si>
    <t>H00300020</t>
  </si>
  <si>
    <t>300021</t>
  </si>
  <si>
    <t>H00300021</t>
  </si>
  <si>
    <t>300022</t>
  </si>
  <si>
    <t>H00300022</t>
  </si>
  <si>
    <t>BSc (Hons) in Computing Strategy and Management</t>
  </si>
  <si>
    <t>300023</t>
  </si>
  <si>
    <t>H00300023</t>
  </si>
  <si>
    <t>Foundation Degree in Computing Management</t>
  </si>
  <si>
    <t>300024</t>
  </si>
  <si>
    <t>H00300024</t>
  </si>
  <si>
    <t>Foundation Degree in Games Art</t>
  </si>
  <si>
    <t>300025</t>
  </si>
  <si>
    <t>H00300025</t>
  </si>
  <si>
    <t>DipHE in Games Art</t>
  </si>
  <si>
    <t>300026</t>
  </si>
  <si>
    <t>H00300026</t>
  </si>
  <si>
    <t>300027</t>
  </si>
  <si>
    <t>H00300027</t>
  </si>
  <si>
    <t>Foundation Degree in Enterprise</t>
  </si>
  <si>
    <t>300028</t>
  </si>
  <si>
    <t>H00300028</t>
  </si>
  <si>
    <t>300029</t>
  </si>
  <si>
    <t>H00300029</t>
  </si>
  <si>
    <t>300030</t>
  </si>
  <si>
    <t>H00300030</t>
  </si>
  <si>
    <t>Foundation Degree in Management with Health Sector</t>
  </si>
  <si>
    <t>300031</t>
  </si>
  <si>
    <t>H00300031</t>
  </si>
  <si>
    <t>300032</t>
  </si>
  <si>
    <t>H00300032</t>
  </si>
  <si>
    <t>BA (Hons in Management</t>
  </si>
  <si>
    <t>300033</t>
  </si>
  <si>
    <t>H00300033</t>
  </si>
  <si>
    <t>BA (Hons) in Public Sector Management</t>
  </si>
  <si>
    <t>300034</t>
  </si>
  <si>
    <t>H00300034</t>
  </si>
  <si>
    <t>300035</t>
  </si>
  <si>
    <t>H00300035</t>
  </si>
  <si>
    <t>Foundation Degree in Holistic Health Therapies and Spa Management</t>
  </si>
  <si>
    <t>300036</t>
  </si>
  <si>
    <t>H00300036</t>
  </si>
  <si>
    <t>Foundation Degree in Media Make-up, Special Effects Make-up and Hair Design</t>
  </si>
  <si>
    <t>300037</t>
  </si>
  <si>
    <t>H00300037</t>
  </si>
  <si>
    <t>300038</t>
  </si>
  <si>
    <t>H00300038</t>
  </si>
  <si>
    <t>BA (Hons) in Educational Leadership - Children's Workforce</t>
  </si>
  <si>
    <t>300039</t>
  </si>
  <si>
    <t>H00300039</t>
  </si>
  <si>
    <t>300040</t>
  </si>
  <si>
    <t>H00300040</t>
  </si>
  <si>
    <t>300041</t>
  </si>
  <si>
    <t>H00300041</t>
  </si>
  <si>
    <t>BSc (Hons) in Games and Digital Media</t>
  </si>
  <si>
    <t>300042</t>
  </si>
  <si>
    <t>H00300042</t>
  </si>
  <si>
    <t>300043</t>
  </si>
  <si>
    <t>H00300043</t>
  </si>
  <si>
    <t>BA (Hons) in Hospitality and Travel Management</t>
  </si>
  <si>
    <t>300044</t>
  </si>
  <si>
    <t>H00300044</t>
  </si>
  <si>
    <t>BA (Hons) in Graphic Media Design</t>
  </si>
  <si>
    <t>300045</t>
  </si>
  <si>
    <t>H00300045</t>
  </si>
  <si>
    <t>BA (Hons) in Media Make Up with Special Effects</t>
  </si>
  <si>
    <t>300046</t>
  </si>
  <si>
    <t>H00300046</t>
  </si>
  <si>
    <t>300047</t>
  </si>
  <si>
    <t>H00300047</t>
  </si>
  <si>
    <t>BA (Hons) in Surface Design and Textile Innovation</t>
  </si>
  <si>
    <t>300048</t>
  </si>
  <si>
    <t>H00300048</t>
  </si>
  <si>
    <t>300049</t>
  </si>
  <si>
    <t>H00300049</t>
  </si>
  <si>
    <t>300050</t>
  </si>
  <si>
    <t>H00300050</t>
  </si>
  <si>
    <t>BSc (Hons) in Computer Networks and Systems Support</t>
  </si>
  <si>
    <t>300051</t>
  </si>
  <si>
    <t>H00300051</t>
  </si>
  <si>
    <t>BSc (Hons) in Internet Applications</t>
  </si>
  <si>
    <t>300052</t>
  </si>
  <si>
    <t>H00300052</t>
  </si>
  <si>
    <t>300053</t>
  </si>
  <si>
    <t>H00300053</t>
  </si>
  <si>
    <t>300054</t>
  </si>
  <si>
    <t>H00300054</t>
  </si>
  <si>
    <t>Foundation Degree in Physical Activity, Health and Wellbeing</t>
  </si>
  <si>
    <t>300055</t>
  </si>
  <si>
    <t>H00300055</t>
  </si>
  <si>
    <t>BSc (Hons) in Sport and Physical Activity</t>
  </si>
  <si>
    <t>300056</t>
  </si>
  <si>
    <t>H00300056</t>
  </si>
  <si>
    <t>300057</t>
  </si>
  <si>
    <t>H00300057</t>
  </si>
  <si>
    <t>BA (Hons) in Business Management (Human Resource Management)</t>
  </si>
  <si>
    <t>300058</t>
  </si>
  <si>
    <t>H00300058</t>
  </si>
  <si>
    <t>BA (Hons) in Business Management (Finance)</t>
  </si>
  <si>
    <t>300059</t>
  </si>
  <si>
    <t>H00300059</t>
  </si>
  <si>
    <t>BA (Hons) in Business Management (Marketing)</t>
  </si>
  <si>
    <t>300060</t>
  </si>
  <si>
    <t>H00300060</t>
  </si>
  <si>
    <t>300061</t>
  </si>
  <si>
    <t>H00300061</t>
  </si>
  <si>
    <t>300062</t>
  </si>
  <si>
    <t>H00300062</t>
  </si>
  <si>
    <t>MEd in Information and Communication Technology</t>
  </si>
  <si>
    <t>300063</t>
  </si>
  <si>
    <t>H00300063</t>
  </si>
  <si>
    <t>BA (Hons) in Childhood and Youth Studies</t>
  </si>
  <si>
    <t>300064</t>
  </si>
  <si>
    <t>H00300064</t>
  </si>
  <si>
    <t>MA in Childhood and Youth Studies</t>
  </si>
  <si>
    <t>300065</t>
  </si>
  <si>
    <t>H00300065</t>
  </si>
  <si>
    <t>300066</t>
  </si>
  <si>
    <t>H00300066</t>
  </si>
  <si>
    <t>300067</t>
  </si>
  <si>
    <t>H00300067</t>
  </si>
  <si>
    <t>300068</t>
  </si>
  <si>
    <t>H00300068</t>
  </si>
  <si>
    <t>MEd in Early Childhood</t>
  </si>
  <si>
    <t>300069</t>
  </si>
  <si>
    <t>H00300069</t>
  </si>
  <si>
    <t>300070</t>
  </si>
  <si>
    <t>H00300070</t>
  </si>
  <si>
    <t>MEd in Inclusive Practice</t>
  </si>
  <si>
    <t>300071</t>
  </si>
  <si>
    <t>H00300071</t>
  </si>
  <si>
    <t>MEd in Leadership and Management</t>
  </si>
  <si>
    <t>300072</t>
  </si>
  <si>
    <t>H00300072</t>
  </si>
  <si>
    <t>300073</t>
  </si>
  <si>
    <t>H00300073</t>
  </si>
  <si>
    <t>300074</t>
  </si>
  <si>
    <t>H00300074</t>
  </si>
  <si>
    <t>BA (Hons) in Supporting and Managing Learning in Education</t>
  </si>
  <si>
    <t>300075</t>
  </si>
  <si>
    <t>H00300075</t>
  </si>
  <si>
    <t>300076</t>
  </si>
  <si>
    <t>H00300076</t>
  </si>
  <si>
    <t>Postgraduate Diploma in Youth and Community Development (NYA/JNC recognition)</t>
  </si>
  <si>
    <t>300077</t>
  </si>
  <si>
    <t>H00300077</t>
  </si>
  <si>
    <t>BA (Hons) in Youth and Community Development (NYA/JNA recognition)</t>
  </si>
  <si>
    <t>300078</t>
  </si>
  <si>
    <t>H00300078</t>
  </si>
  <si>
    <t>MA Youth and Community Development</t>
  </si>
  <si>
    <t>300079</t>
  </si>
  <si>
    <t>H00300079</t>
  </si>
  <si>
    <t>BA (Hons) in Business and Management Studies</t>
  </si>
  <si>
    <t>300080</t>
  </si>
  <si>
    <t>H00300080</t>
  </si>
  <si>
    <t>Foundation Degree in Sport Studies</t>
  </si>
  <si>
    <t>300081</t>
  </si>
  <si>
    <t>H00300081</t>
  </si>
  <si>
    <t>BSc (Hons) in Sports, Coaching and Health Studies Sciences (top up)</t>
  </si>
  <si>
    <t>300082</t>
  </si>
  <si>
    <t>H00300082</t>
  </si>
  <si>
    <t>Foundation Degree in Arts in Equestrian Practice and Technology</t>
  </si>
  <si>
    <t>300083</t>
  </si>
  <si>
    <t>H00300083</t>
  </si>
  <si>
    <t>Foundation Degree in Science in Welfare of Animals (Health Care Management)</t>
  </si>
  <si>
    <t>300084</t>
  </si>
  <si>
    <t>H00300084</t>
  </si>
  <si>
    <t>Foundation Degree in Science in Welfare of Animals (Wildlife Care Management)</t>
  </si>
  <si>
    <t>300085</t>
  </si>
  <si>
    <t>H00300085</t>
  </si>
  <si>
    <t>Foundation Degree in Arts in Professional Floristry and Floral Design</t>
  </si>
  <si>
    <t>300086</t>
  </si>
  <si>
    <t>H00300086</t>
  </si>
  <si>
    <t>Foundation Degree in Science in Equine Science in Industry</t>
  </si>
  <si>
    <t>300087</t>
  </si>
  <si>
    <t>H00300087</t>
  </si>
  <si>
    <t>300088</t>
  </si>
  <si>
    <t>H00300088</t>
  </si>
  <si>
    <t>BA (Hons) in Film and Digital Media</t>
  </si>
  <si>
    <t>300089</t>
  </si>
  <si>
    <t>H00300089</t>
  </si>
  <si>
    <t>BSc (Hons) in Software Engineering</t>
  </si>
  <si>
    <t>300090</t>
  </si>
  <si>
    <t>H00300090</t>
  </si>
  <si>
    <t>300091</t>
  </si>
  <si>
    <t>H00300091</t>
  </si>
  <si>
    <t>300092</t>
  </si>
  <si>
    <t>H00300092</t>
  </si>
  <si>
    <t>300093</t>
  </si>
  <si>
    <t>H00300093</t>
  </si>
  <si>
    <t>LLM Masters in Legal Integration</t>
  </si>
  <si>
    <t>300094</t>
  </si>
  <si>
    <t>H00300094</t>
  </si>
  <si>
    <t>300095</t>
  </si>
  <si>
    <t>H00300095</t>
  </si>
  <si>
    <t>LLB (Hons) in Law (Accountancy)</t>
  </si>
  <si>
    <t>300096</t>
  </si>
  <si>
    <t>H00300096</t>
  </si>
  <si>
    <t>LLB (Hons) in Law (Marketing)</t>
  </si>
  <si>
    <t>300097</t>
  </si>
  <si>
    <t>H00300097</t>
  </si>
  <si>
    <t>PgDip in Law</t>
  </si>
  <si>
    <t>300098</t>
  </si>
  <si>
    <t>H00300098</t>
  </si>
  <si>
    <t>300099</t>
  </si>
  <si>
    <t>H00300099</t>
  </si>
  <si>
    <t>LLB (Hons) in Law (Social Welfare)</t>
  </si>
  <si>
    <t>300100</t>
  </si>
  <si>
    <t>H00300100</t>
  </si>
  <si>
    <t>300101</t>
  </si>
  <si>
    <t>H00300101</t>
  </si>
  <si>
    <t>300102</t>
  </si>
  <si>
    <t>H00300102</t>
  </si>
  <si>
    <t>BA (Hons) in Social Nutrition and Health</t>
  </si>
  <si>
    <t>300103</t>
  </si>
  <si>
    <t>H00300103</t>
  </si>
  <si>
    <t>DipHE in Computing Management</t>
  </si>
  <si>
    <t>300104</t>
  </si>
  <si>
    <t>H00300104</t>
  </si>
  <si>
    <t>Foundation Degree in Professional Business Management</t>
  </si>
  <si>
    <t>300105</t>
  </si>
  <si>
    <t>H00300105</t>
  </si>
  <si>
    <t>Foundation Degree in Professional Leadership and Management</t>
  </si>
  <si>
    <t>300106</t>
  </si>
  <si>
    <t>H00300106</t>
  </si>
  <si>
    <t>Foundation Degree in DJ and Electronic Music</t>
  </si>
  <si>
    <t>300107</t>
  </si>
  <si>
    <t>H00300107</t>
  </si>
  <si>
    <t>Foundation Degree in Songwriting</t>
  </si>
  <si>
    <t>300108</t>
  </si>
  <si>
    <t>H00300108</t>
  </si>
  <si>
    <t>Foundation Degree in Paralegal Practice</t>
  </si>
  <si>
    <t>300109</t>
  </si>
  <si>
    <t>H00300109</t>
  </si>
  <si>
    <t>FdSc Sports Coaching and Exercise Instruction</t>
  </si>
  <si>
    <t>300110</t>
  </si>
  <si>
    <t>H00300110</t>
  </si>
  <si>
    <t>BSc (Hons) Sports Coaching and Exercise Instruction</t>
  </si>
  <si>
    <t>300111</t>
  </si>
  <si>
    <t>H00300111</t>
  </si>
  <si>
    <t>FdA Sports Studies and Development</t>
  </si>
  <si>
    <t>300112</t>
  </si>
  <si>
    <t>H00300112</t>
  </si>
  <si>
    <t>BA (Hons) Sports Studies and Development</t>
  </si>
  <si>
    <t>300113</t>
  </si>
  <si>
    <t>H00300113</t>
  </si>
  <si>
    <t>300114</t>
  </si>
  <si>
    <t>H00300114</t>
  </si>
  <si>
    <t>300115</t>
  </si>
  <si>
    <t>H00300115</t>
  </si>
  <si>
    <t>300116</t>
  </si>
  <si>
    <t>H00300116</t>
  </si>
  <si>
    <t>Foundation Degree in Graphic Media and Communication</t>
  </si>
  <si>
    <t>300117</t>
  </si>
  <si>
    <t>H00300117</t>
  </si>
  <si>
    <t>300118</t>
  </si>
  <si>
    <t>H00300118</t>
  </si>
  <si>
    <t>BA (Hons) in Visual Arts (Art and Design)</t>
  </si>
  <si>
    <t>300119</t>
  </si>
  <si>
    <t>H00300119</t>
  </si>
  <si>
    <t>BA (Hons) in Visual Arts (Fine Art)</t>
  </si>
  <si>
    <t>300120</t>
  </si>
  <si>
    <t>H00300120</t>
  </si>
  <si>
    <t>300121</t>
  </si>
  <si>
    <t>H00300121</t>
  </si>
  <si>
    <t>BSc (Hons) in Games Assets Development</t>
  </si>
  <si>
    <t>300122</t>
  </si>
  <si>
    <t>H00300122</t>
  </si>
  <si>
    <t>In-Service Certificate in Education (Lifelong Learning)</t>
  </si>
  <si>
    <t>300123</t>
  </si>
  <si>
    <t>H00300123</t>
  </si>
  <si>
    <t>In-Service Professional Graduate Certificate in Education (Lifelong Learning)</t>
  </si>
  <si>
    <t>300124</t>
  </si>
  <si>
    <t>H00300124</t>
  </si>
  <si>
    <t>BA (Hons) in Education and Professional Development</t>
  </si>
  <si>
    <t>300125</t>
  </si>
  <si>
    <t>H00300125</t>
  </si>
  <si>
    <t>BSc (Hons) in Applied Computing (Forensics)</t>
  </si>
  <si>
    <t>300126</t>
  </si>
  <si>
    <t>H00300126</t>
  </si>
  <si>
    <t>BSc (Hons) in Applied Computing (Software Applications)</t>
  </si>
  <si>
    <t>300127</t>
  </si>
  <si>
    <t>H00300127</t>
  </si>
  <si>
    <t>BSc (Hons) in Applied Computing (Networking )</t>
  </si>
  <si>
    <t>300128</t>
  </si>
  <si>
    <t>H00300128</t>
  </si>
  <si>
    <t>300129</t>
  </si>
  <si>
    <t>H00300129</t>
  </si>
  <si>
    <t>BSc (Hons) in Applied Computing (Games and Digital Media)</t>
  </si>
  <si>
    <t>300130</t>
  </si>
  <si>
    <t>H00300130</t>
  </si>
  <si>
    <t>300131</t>
  </si>
  <si>
    <t>H00300131</t>
  </si>
  <si>
    <t>BSc (Hons) (Top-Up) in Applied Computing - University Centre Weston</t>
  </si>
  <si>
    <t>300132</t>
  </si>
  <si>
    <t>H00300132</t>
  </si>
  <si>
    <t>Foundation Degree in Animation and Moving Image</t>
  </si>
  <si>
    <t>300133</t>
  </si>
  <si>
    <t>H00300133</t>
  </si>
  <si>
    <t>Foundation Degree in Contemporary Photographic Practice</t>
  </si>
  <si>
    <t>300134</t>
  </si>
  <si>
    <t>H00300134</t>
  </si>
  <si>
    <t>Foundation Degree in Graphic Design and Advertising</t>
  </si>
  <si>
    <t>300135</t>
  </si>
  <si>
    <t>H00300135</t>
  </si>
  <si>
    <t>Foundation Degree in Film and TV Production</t>
  </si>
  <si>
    <t>300136</t>
  </si>
  <si>
    <t>H00300136</t>
  </si>
  <si>
    <t>300137</t>
  </si>
  <si>
    <t>H00300137</t>
  </si>
  <si>
    <t>300138</t>
  </si>
  <si>
    <t>H00300138</t>
  </si>
  <si>
    <t>Foundation Degree in IT Management for Business</t>
  </si>
  <si>
    <t>300139</t>
  </si>
  <si>
    <t>H00300139</t>
  </si>
  <si>
    <t>Foundation Degree in Applied Computing with Education</t>
  </si>
  <si>
    <t>300140</t>
  </si>
  <si>
    <t>H00300140</t>
  </si>
  <si>
    <t>Foundation Degree with Games Technology</t>
  </si>
  <si>
    <t>300141</t>
  </si>
  <si>
    <t>H00300141</t>
  </si>
  <si>
    <t>300142</t>
  </si>
  <si>
    <t>H00300142</t>
  </si>
  <si>
    <t>300143</t>
  </si>
  <si>
    <t>H00300143</t>
  </si>
  <si>
    <t>BSc (Hons) in Sports Coaching (Performance and Participation)</t>
  </si>
  <si>
    <t>300144</t>
  </si>
  <si>
    <t>H00300144</t>
  </si>
  <si>
    <t>Foundation Degree in Sports Coaching (Performance and Participation)</t>
  </si>
  <si>
    <t>300145</t>
  </si>
  <si>
    <t>H00300145</t>
  </si>
  <si>
    <t>BA (Hons) in Education Studies (Top-Up)</t>
  </si>
  <si>
    <t>300146</t>
  </si>
  <si>
    <t>H00300146</t>
  </si>
  <si>
    <t>BA (Hons) in Child and Youth Studies (Top-Up)</t>
  </si>
  <si>
    <t>300147</t>
  </si>
  <si>
    <t>H00300147</t>
  </si>
  <si>
    <t>BSc (Hons) in Games Enterprise</t>
  </si>
  <si>
    <t>300148</t>
  </si>
  <si>
    <t>H00300148</t>
  </si>
  <si>
    <t>300149</t>
  </si>
  <si>
    <t>H00300149</t>
  </si>
  <si>
    <t>BA (Hons) in Education and Psychology</t>
  </si>
  <si>
    <t>300150</t>
  </si>
  <si>
    <t>H00300150</t>
  </si>
  <si>
    <t>BA (Hons) in Education and Sociology</t>
  </si>
  <si>
    <t>300151</t>
  </si>
  <si>
    <t>H00300151</t>
  </si>
  <si>
    <t>300152</t>
  </si>
  <si>
    <t>H00300152</t>
  </si>
  <si>
    <t>BA (Hons) in Criminology and Sociology</t>
  </si>
  <si>
    <t>300153</t>
  </si>
  <si>
    <t>H00300153</t>
  </si>
  <si>
    <t>300154</t>
  </si>
  <si>
    <t>H00300154</t>
  </si>
  <si>
    <t>Foundation Degree in Computing (Forensics and Security)</t>
  </si>
  <si>
    <t>300155</t>
  </si>
  <si>
    <t>H00300155</t>
  </si>
  <si>
    <t>300156</t>
  </si>
  <si>
    <t>H00300156</t>
  </si>
  <si>
    <t>BA (Hons) in Contemporary Photographic Arts</t>
  </si>
  <si>
    <t>300157</t>
  </si>
  <si>
    <t>H00300157</t>
  </si>
  <si>
    <t>300158</t>
  </si>
  <si>
    <t>H00300158</t>
  </si>
  <si>
    <t>BA (Hons) in Fashion (Design, Production and Promotion)</t>
  </si>
  <si>
    <t>300159</t>
  </si>
  <si>
    <t>H00300159</t>
  </si>
  <si>
    <t>BA (Hons) in Fine Art for Design</t>
  </si>
  <si>
    <t>300160</t>
  </si>
  <si>
    <t>H00300160</t>
  </si>
  <si>
    <t>300161</t>
  </si>
  <si>
    <t>H00300161</t>
  </si>
  <si>
    <t>300162</t>
  </si>
  <si>
    <t>H00300162</t>
  </si>
  <si>
    <t>Foundation Degree in Creative Sound Technology</t>
  </si>
  <si>
    <t>300163</t>
  </si>
  <si>
    <t>H00300163</t>
  </si>
  <si>
    <t>Foundation Degree in Complementary Healthcare</t>
  </si>
  <si>
    <t>300164</t>
  </si>
  <si>
    <t>H00300164</t>
  </si>
  <si>
    <t>300165</t>
  </si>
  <si>
    <t>H00300165</t>
  </si>
  <si>
    <t>Foundation Degree in Public and Emergency Services Management</t>
  </si>
  <si>
    <t>300166</t>
  </si>
  <si>
    <t>H00300166</t>
  </si>
  <si>
    <t>BSc (Hons) in Sports Studies (Health and Fitness)</t>
  </si>
  <si>
    <t>300167</t>
  </si>
  <si>
    <t>H00300167</t>
  </si>
  <si>
    <t>BSc (Hons) in Sports Studies (Teaching and Coaching)</t>
  </si>
  <si>
    <t>300168</t>
  </si>
  <si>
    <t>H00300168</t>
  </si>
  <si>
    <t>DipHE in Sports Studies (Health and Fitness)</t>
  </si>
  <si>
    <t>300169</t>
  </si>
  <si>
    <t>H00300169</t>
  </si>
  <si>
    <t>DipHE in Sports Studies (Teaching and Coaching)</t>
  </si>
  <si>
    <t>300170</t>
  </si>
  <si>
    <t>H00300170</t>
  </si>
  <si>
    <t>300171</t>
  </si>
  <si>
    <t>H00300171</t>
  </si>
  <si>
    <t>BA (Hons) in Business and Management (Top - Up)</t>
  </si>
  <si>
    <t>300172</t>
  </si>
  <si>
    <t>H00300172</t>
  </si>
  <si>
    <t>300173</t>
  </si>
  <si>
    <t>H00300173</t>
  </si>
  <si>
    <t>BSC (Hons) in Computing (Top - Up)</t>
  </si>
  <si>
    <t>300174</t>
  </si>
  <si>
    <t>H00300174</t>
  </si>
  <si>
    <t>Foundation Degree in Criminology</t>
  </si>
  <si>
    <t>300175</t>
  </si>
  <si>
    <t>H00300175</t>
  </si>
  <si>
    <t>BA (Hons) in Criminology (Top - Up)</t>
  </si>
  <si>
    <t>300176</t>
  </si>
  <si>
    <t>H00300176</t>
  </si>
  <si>
    <t>300177</t>
  </si>
  <si>
    <t>H00300177</t>
  </si>
  <si>
    <t>300178</t>
  </si>
  <si>
    <t>H00300178</t>
  </si>
  <si>
    <t>BA (Hons) in Film-Making and Creative Media Production</t>
  </si>
  <si>
    <t>300179</t>
  </si>
  <si>
    <t>H00300179</t>
  </si>
  <si>
    <t>300180</t>
  </si>
  <si>
    <t>H00300180</t>
  </si>
  <si>
    <t>300181</t>
  </si>
  <si>
    <t>H00300181</t>
  </si>
  <si>
    <t>BA (Hons) in Broadcast Media</t>
  </si>
  <si>
    <t>300182</t>
  </si>
  <si>
    <t>H00300182</t>
  </si>
  <si>
    <t>BA (Hons) Music Performance</t>
  </si>
  <si>
    <t>300183</t>
  </si>
  <si>
    <t>H00300183</t>
  </si>
  <si>
    <t>MA in Creative Practice</t>
  </si>
  <si>
    <t>300184</t>
  </si>
  <si>
    <t>H00300184</t>
  </si>
  <si>
    <t>Foundation Degree in Digital Imaging and Photography</t>
  </si>
  <si>
    <t>300185</t>
  </si>
  <si>
    <t>H00300185</t>
  </si>
  <si>
    <t>Foundation Degree in Creating Performance</t>
  </si>
  <si>
    <t>300186</t>
  </si>
  <si>
    <t>H00300186</t>
  </si>
  <si>
    <t>Foundation Degree in Graphic Arts</t>
  </si>
  <si>
    <t>300187</t>
  </si>
  <si>
    <t>H00300187</t>
  </si>
  <si>
    <t>Foundation Degree in Contemporary Media Practice</t>
  </si>
  <si>
    <t>300188</t>
  </si>
  <si>
    <t>H00300188</t>
  </si>
  <si>
    <t>BA (Hons) in Digital Imaging and Photography</t>
  </si>
  <si>
    <t>300189</t>
  </si>
  <si>
    <t>H00300189</t>
  </si>
  <si>
    <t>BA (Hons) in Creating Performance</t>
  </si>
  <si>
    <t>300190</t>
  </si>
  <si>
    <t>H00300190</t>
  </si>
  <si>
    <t>BA (Hons) in Graphic Arts</t>
  </si>
  <si>
    <t>300191</t>
  </si>
  <si>
    <t>H00300191</t>
  </si>
  <si>
    <t>BA (Hons) in Contemporary Media Practice</t>
  </si>
  <si>
    <t>300192</t>
  </si>
  <si>
    <t>H00300192</t>
  </si>
  <si>
    <t>BSc (Hons) in Health and Social Care</t>
  </si>
  <si>
    <t>300193</t>
  </si>
  <si>
    <t>H00300193</t>
  </si>
  <si>
    <t>300194</t>
  </si>
  <si>
    <t>H00300194</t>
  </si>
  <si>
    <t>Foundation Degree in Sports Therapy, Health and Fitness</t>
  </si>
  <si>
    <t>300195</t>
  </si>
  <si>
    <t>H00300195</t>
  </si>
  <si>
    <t>300196</t>
  </si>
  <si>
    <t>H00300196</t>
  </si>
  <si>
    <t>300197</t>
  </si>
  <si>
    <t>H00300197</t>
  </si>
  <si>
    <t>In-Service Postgraduate Certificate in Education (Lifelong Learning)</t>
  </si>
  <si>
    <t>300198</t>
  </si>
  <si>
    <t>H00300198</t>
  </si>
  <si>
    <t>Pre-Service Certificate in Education (Lifelong Learning)</t>
  </si>
  <si>
    <t>300199</t>
  </si>
  <si>
    <t>H00300199</t>
  </si>
  <si>
    <t>Pre-Service Professional Graduate Certificate in Education (Lifelong Learning)</t>
  </si>
  <si>
    <t>300200</t>
  </si>
  <si>
    <t>H00300200</t>
  </si>
  <si>
    <t>300201</t>
  </si>
  <si>
    <t>H00300201</t>
  </si>
  <si>
    <t>BSc (Hons) in Construction Management (top-up)</t>
  </si>
  <si>
    <t>300202</t>
  </si>
  <si>
    <t>H00300202</t>
  </si>
  <si>
    <t>300203</t>
  </si>
  <si>
    <t>H00300203</t>
  </si>
  <si>
    <t>BEng in Engineering Technology (top -up)</t>
  </si>
  <si>
    <t>300204</t>
  </si>
  <si>
    <t>H00300204</t>
  </si>
  <si>
    <t>300205</t>
  </si>
  <si>
    <t>H00300205</t>
  </si>
  <si>
    <t>BSc (Hons) in Sport and Health Sciences</t>
  </si>
  <si>
    <t>300206</t>
  </si>
  <si>
    <t>H00300206</t>
  </si>
  <si>
    <t>300207</t>
  </si>
  <si>
    <t>H00300207</t>
  </si>
  <si>
    <t>300208</t>
  </si>
  <si>
    <t>H00300208</t>
  </si>
  <si>
    <t>300209</t>
  </si>
  <si>
    <t>H00300209</t>
  </si>
  <si>
    <t>BA (Hons) in Journalism and Digital Media</t>
  </si>
  <si>
    <t>300210</t>
  </si>
  <si>
    <t>H00300210</t>
  </si>
  <si>
    <t>300211</t>
  </si>
  <si>
    <t>H00300211</t>
  </si>
  <si>
    <t>300212</t>
  </si>
  <si>
    <t>H00300212</t>
  </si>
  <si>
    <t>300213</t>
  </si>
  <si>
    <t>H00300213</t>
  </si>
  <si>
    <t>300214</t>
  </si>
  <si>
    <t>H00300214</t>
  </si>
  <si>
    <t>300215</t>
  </si>
  <si>
    <t>H00300215</t>
  </si>
  <si>
    <t>300216</t>
  </si>
  <si>
    <t>H00300216</t>
  </si>
  <si>
    <t>300217</t>
  </si>
  <si>
    <t>H00300217</t>
  </si>
  <si>
    <t>300218</t>
  </si>
  <si>
    <t>H00300218</t>
  </si>
  <si>
    <t>300219</t>
  </si>
  <si>
    <t>H00300219</t>
  </si>
  <si>
    <t>BA (Hons) in Acting and Theatre Practice</t>
  </si>
  <si>
    <t>300220</t>
  </si>
  <si>
    <t>H00300220</t>
  </si>
  <si>
    <t>BA (Hons) in Technical and Theatre Production</t>
  </si>
  <si>
    <t>300221</t>
  </si>
  <si>
    <t>H00300221</t>
  </si>
  <si>
    <t>300222</t>
  </si>
  <si>
    <t>H00300222</t>
  </si>
  <si>
    <t>Foundation Degree in Express Logistics Management</t>
  </si>
  <si>
    <t>300223</t>
  </si>
  <si>
    <t>H00300223</t>
  </si>
  <si>
    <t>300224</t>
  </si>
  <si>
    <t>H00300224</t>
  </si>
  <si>
    <t>BA (Hons) in Professional Practice in Construction Site Management</t>
  </si>
  <si>
    <t>300225</t>
  </si>
  <si>
    <t>H00300225</t>
  </si>
  <si>
    <t>BA (Hons) in Professional Practice in Quantity Surveying and Commercial  Management</t>
  </si>
  <si>
    <t>300226</t>
  </si>
  <si>
    <t>H00300226</t>
  </si>
  <si>
    <t>300227</t>
  </si>
  <si>
    <t>H00300227</t>
  </si>
  <si>
    <t>Foundation Degree in Science in Web Design and Development</t>
  </si>
  <si>
    <t>300228</t>
  </si>
  <si>
    <t>H00300228</t>
  </si>
  <si>
    <t>Foundation Degree in Science in Media Production</t>
  </si>
  <si>
    <t>300229</t>
  </si>
  <si>
    <t>H00300229</t>
  </si>
  <si>
    <t>BA (Hons) in Film, Animation , Music and Enterprise</t>
  </si>
  <si>
    <t>300230</t>
  </si>
  <si>
    <t>H00300230</t>
  </si>
  <si>
    <t>300231</t>
  </si>
  <si>
    <t>H00300231</t>
  </si>
  <si>
    <t>BA (Hons) in Music and Promotion</t>
  </si>
  <si>
    <t>300232</t>
  </si>
  <si>
    <t>H00300232</t>
  </si>
  <si>
    <t>BA (Hons) in Digital Film and Visual Film Effects Production</t>
  </si>
  <si>
    <t>300233</t>
  </si>
  <si>
    <t>H00300233</t>
  </si>
  <si>
    <t>BA (Hons) in Music Production and Sound Recording</t>
  </si>
  <si>
    <t>300234</t>
  </si>
  <si>
    <t>H00300234</t>
  </si>
  <si>
    <t>300235</t>
  </si>
  <si>
    <t>H00300235</t>
  </si>
  <si>
    <t>300236</t>
  </si>
  <si>
    <t>H00300236</t>
  </si>
  <si>
    <t>BSc (Hons) in Equine Therapies</t>
  </si>
  <si>
    <t>300237</t>
  </si>
  <si>
    <t>H00300237</t>
  </si>
  <si>
    <t>BSc (Hons) in Equine Therapies (Top-Up)</t>
  </si>
  <si>
    <t>300238</t>
  </si>
  <si>
    <t>H00300238</t>
  </si>
  <si>
    <t>Foundation Degree in Equine Therapies</t>
  </si>
  <si>
    <t>300239</t>
  </si>
  <si>
    <t>H00300239</t>
  </si>
  <si>
    <t>MSc in Equine Behaviour and Welfare</t>
  </si>
  <si>
    <t>300240</t>
  </si>
  <si>
    <t>H00300240</t>
  </si>
  <si>
    <t>BA (Hons) in Fine Art (Full-Time)</t>
  </si>
  <si>
    <t>300241</t>
  </si>
  <si>
    <t>H00300241</t>
  </si>
  <si>
    <t>300242</t>
  </si>
  <si>
    <t>H00300242</t>
  </si>
  <si>
    <t>300243</t>
  </si>
  <si>
    <t>H00300243</t>
  </si>
  <si>
    <t>Foundation Degree in Public Service Management</t>
  </si>
  <si>
    <t>300244</t>
  </si>
  <si>
    <t>H00300244</t>
  </si>
  <si>
    <t>Foundation Degree in Equitation Training and Behaviour</t>
  </si>
  <si>
    <t>300245</t>
  </si>
  <si>
    <t>H00300245</t>
  </si>
  <si>
    <t>BSc (Hons) in Renewable Energy and Carbon Management</t>
  </si>
  <si>
    <t>300246</t>
  </si>
  <si>
    <t>H00300246</t>
  </si>
  <si>
    <t>BA (Hons) in Business Enterprise Management</t>
  </si>
  <si>
    <t>300247</t>
  </si>
  <si>
    <t>H00300247</t>
  </si>
  <si>
    <t>Foundation Degree in Hospitality and Tourism Management</t>
  </si>
  <si>
    <t>300248</t>
  </si>
  <si>
    <t>H00300248</t>
  </si>
  <si>
    <t>BSc (Hons) in Health, Community and Social Sciences</t>
  </si>
  <si>
    <t>300249</t>
  </si>
  <si>
    <t>H00300249</t>
  </si>
  <si>
    <t>BSc (Hons) in Agriculture and Food</t>
  </si>
  <si>
    <t>300250</t>
  </si>
  <si>
    <t>H00300250</t>
  </si>
  <si>
    <t>BA (Hons) in Art and Design Practice - Cornwall College</t>
  </si>
  <si>
    <t>300251</t>
  </si>
  <si>
    <t>H00300251</t>
  </si>
  <si>
    <t>BA (Hons) in Film</t>
  </si>
  <si>
    <t>300252</t>
  </si>
  <si>
    <t>H00300252</t>
  </si>
  <si>
    <t>300253</t>
  </si>
  <si>
    <t>H00300253</t>
  </si>
  <si>
    <t>300254</t>
  </si>
  <si>
    <t>H00300254</t>
  </si>
  <si>
    <t>PGCE in Vocational Subjects (14-19) Health and Social Care</t>
  </si>
  <si>
    <t>300255</t>
  </si>
  <si>
    <t>H00300255</t>
  </si>
  <si>
    <t>PGCE in Vocational Subjects (14-19) Applied Business</t>
  </si>
  <si>
    <t>300256</t>
  </si>
  <si>
    <t>H00300256</t>
  </si>
  <si>
    <t>PGCE in Secondary Computer Science</t>
  </si>
  <si>
    <t>300257</t>
  </si>
  <si>
    <t>H00300257</t>
  </si>
  <si>
    <t>PGCE in Secondary Mathematics</t>
  </si>
  <si>
    <t>300258</t>
  </si>
  <si>
    <t>H00300258</t>
  </si>
  <si>
    <t>PGCE in Secondary Education</t>
  </si>
  <si>
    <t>300259</t>
  </si>
  <si>
    <t>H00300259</t>
  </si>
  <si>
    <t>PGCE in Secondary Citizenship</t>
  </si>
  <si>
    <t>300260</t>
  </si>
  <si>
    <t>H00300260</t>
  </si>
  <si>
    <t>PGCE in Secondary Science</t>
  </si>
  <si>
    <t>300261</t>
  </si>
  <si>
    <t>H00300261</t>
  </si>
  <si>
    <t>PGCE in Secondary Physics</t>
  </si>
  <si>
    <t>300262</t>
  </si>
  <si>
    <t>H00300262</t>
  </si>
  <si>
    <t>PGCE in Secondary Chemistry</t>
  </si>
  <si>
    <t>300263</t>
  </si>
  <si>
    <t>H00300263</t>
  </si>
  <si>
    <t>PGCE in Primary French</t>
  </si>
  <si>
    <t>300264</t>
  </si>
  <si>
    <t>H00300264</t>
  </si>
  <si>
    <t>PGCE in Primary</t>
  </si>
  <si>
    <t>300265</t>
  </si>
  <si>
    <t>H00300265</t>
  </si>
  <si>
    <t>PGCE in Secondary Design Technology</t>
  </si>
  <si>
    <t>300266</t>
  </si>
  <si>
    <t>H00300266</t>
  </si>
  <si>
    <t>PGCE in Vocational Subjects (14-19) Leisure and Tourism</t>
  </si>
  <si>
    <t>300267</t>
  </si>
  <si>
    <t>H00300267</t>
  </si>
  <si>
    <t>PGCE in Key Stage 2/3 Science</t>
  </si>
  <si>
    <t>300268</t>
  </si>
  <si>
    <t>H00300268</t>
  </si>
  <si>
    <t>BEng (Hons) in Electronic and Electrical Engineering (Top-Up)</t>
  </si>
  <si>
    <t>300269</t>
  </si>
  <si>
    <t>H00300269</t>
  </si>
  <si>
    <t>BEng (Hons) in Mechanical Engineering (Top-Up)</t>
  </si>
  <si>
    <t>300270</t>
  </si>
  <si>
    <t>H00300270</t>
  </si>
  <si>
    <t>BA (Hons) in Primary Education</t>
  </si>
  <si>
    <t>300271</t>
  </si>
  <si>
    <t>H00300271</t>
  </si>
  <si>
    <t>BA (Hons) in Primary Education (Mathematics)</t>
  </si>
  <si>
    <t>300272</t>
  </si>
  <si>
    <t>H00300272</t>
  </si>
  <si>
    <t>BA (Hons) in Primary Education (English)</t>
  </si>
  <si>
    <t>300273</t>
  </si>
  <si>
    <t>H00300273</t>
  </si>
  <si>
    <t>BA (Hons) in Primary Education (Science)</t>
  </si>
  <si>
    <t>300274</t>
  </si>
  <si>
    <t>H00300274</t>
  </si>
  <si>
    <t>BA (Hons) in Teaching and Learning in the Primary Phase</t>
  </si>
  <si>
    <t>300275</t>
  </si>
  <si>
    <t>H00300275</t>
  </si>
  <si>
    <t>MEd in Education</t>
  </si>
  <si>
    <t>300276</t>
  </si>
  <si>
    <t>H00300276</t>
  </si>
  <si>
    <t>Post Graduate Diploma in Education and Training</t>
  </si>
  <si>
    <t>300277</t>
  </si>
  <si>
    <t>H00300277</t>
  </si>
  <si>
    <t>Post Graduate Diploma in Education and Training (with Teaching Disabled Learners)</t>
  </si>
  <si>
    <t>300278</t>
  </si>
  <si>
    <t>H00300278</t>
  </si>
  <si>
    <t>Post Graduate Diploma in Education and Training (with Teaching ESOL)</t>
  </si>
  <si>
    <t>300279</t>
  </si>
  <si>
    <t>H00300279</t>
  </si>
  <si>
    <t>Post Graduate Diploma in Education and Training (with Teaching Literacy)</t>
  </si>
  <si>
    <t>300280</t>
  </si>
  <si>
    <t>H00300280</t>
  </si>
  <si>
    <t>Post Graduate Diploma in Education and Training (with Teaching Numeracy)</t>
  </si>
  <si>
    <t>300281</t>
  </si>
  <si>
    <t>H00300281</t>
  </si>
  <si>
    <t>MA in Photography</t>
  </si>
  <si>
    <t>300282</t>
  </si>
  <si>
    <t>H00300282</t>
  </si>
  <si>
    <t>300283</t>
  </si>
  <si>
    <t>H00300283</t>
  </si>
  <si>
    <t>300284</t>
  </si>
  <si>
    <t>H00300284</t>
  </si>
  <si>
    <t>Professional Graduate Certificate in Education Young People and Adult Learning Specialists</t>
  </si>
  <si>
    <t>300285</t>
  </si>
  <si>
    <t>H00300285</t>
  </si>
  <si>
    <t>BA (Hons) in Business Management (Enterprise and Marketing)</t>
  </si>
  <si>
    <t>300286</t>
  </si>
  <si>
    <t>H00300286</t>
  </si>
  <si>
    <t>BA (Hons) in Business Management (Leadership)</t>
  </si>
  <si>
    <t>300287</t>
  </si>
  <si>
    <t>H00300287</t>
  </si>
  <si>
    <t>MA in Management (Healthcare)</t>
  </si>
  <si>
    <t>300288</t>
  </si>
  <si>
    <t>H00300288</t>
  </si>
  <si>
    <t>MA in Management (Hospitality)</t>
  </si>
  <si>
    <t>300289</t>
  </si>
  <si>
    <t>H00300289</t>
  </si>
  <si>
    <t>300290</t>
  </si>
  <si>
    <t>H00300290</t>
  </si>
  <si>
    <t>MSc in International Business</t>
  </si>
  <si>
    <t>300291</t>
  </si>
  <si>
    <t>H00300291</t>
  </si>
  <si>
    <t>300292</t>
  </si>
  <si>
    <t>H00300292</t>
  </si>
  <si>
    <t>CertHE in Coaching (Outdoor Activities)</t>
  </si>
  <si>
    <t>300293</t>
  </si>
  <si>
    <t>H00300293</t>
  </si>
  <si>
    <t>MEd in Education and Professional Development</t>
  </si>
  <si>
    <t>300294</t>
  </si>
  <si>
    <t>H00300294</t>
  </si>
  <si>
    <t>PGCE in English, Literacy and Language Specialists</t>
  </si>
  <si>
    <t>300295</t>
  </si>
  <si>
    <t>H00300295</t>
  </si>
  <si>
    <t>PGCE in Mathematics and Numeracy Specialists</t>
  </si>
  <si>
    <t>300296</t>
  </si>
  <si>
    <t>H00300296</t>
  </si>
  <si>
    <t>PGCE Specialists in Learning Disabilities and Difficulties</t>
  </si>
  <si>
    <t>300297</t>
  </si>
  <si>
    <t>H00300297</t>
  </si>
  <si>
    <t>PGCE in Young People and Adult Learning Specialists</t>
  </si>
  <si>
    <t>300298</t>
  </si>
  <si>
    <t>H00300298</t>
  </si>
  <si>
    <t>300299</t>
  </si>
  <si>
    <t>H00300299</t>
  </si>
  <si>
    <t>Foundation Degree in Actor Training for Theatre and Media Performance</t>
  </si>
  <si>
    <t>300300</t>
  </si>
  <si>
    <t>H00300300</t>
  </si>
  <si>
    <t>Foundation Degree in Applied Architectural Stonework and Conservation</t>
  </si>
  <si>
    <t>300301</t>
  </si>
  <si>
    <t>H00300301</t>
  </si>
  <si>
    <t>300302</t>
  </si>
  <si>
    <t>H00300302</t>
  </si>
  <si>
    <t>BA (Hons) in Teaching and Learning</t>
  </si>
  <si>
    <t>300303</t>
  </si>
  <si>
    <t>H00300303</t>
  </si>
  <si>
    <t>BA (Hons) in Applied Sports Management and Development</t>
  </si>
  <si>
    <t>300304</t>
  </si>
  <si>
    <t>H00300304</t>
  </si>
  <si>
    <t>BA (Hons) in Children and Young People</t>
  </si>
  <si>
    <t>300305</t>
  </si>
  <si>
    <t>H00300305</t>
  </si>
  <si>
    <t>BA (Hons) in Creative Enterprise (Acting)</t>
  </si>
  <si>
    <t>300306</t>
  </si>
  <si>
    <t>H00300306</t>
  </si>
  <si>
    <t>BA (Hons) in Creative Enterprise (Applied Arts)</t>
  </si>
  <si>
    <t>300307</t>
  </si>
  <si>
    <t>H00300307</t>
  </si>
  <si>
    <t>BA (Hons) in Creative Enterprise (Contemporary Dance)</t>
  </si>
  <si>
    <t>300308</t>
  </si>
  <si>
    <t>H00300308</t>
  </si>
  <si>
    <t>BA (Hons) in Creative Enterprise (Digital Media)</t>
  </si>
  <si>
    <t>300309</t>
  </si>
  <si>
    <t>H00300309</t>
  </si>
  <si>
    <t>BA (Hons) in Creative Enterprise (Directing)</t>
  </si>
  <si>
    <t>300310</t>
  </si>
  <si>
    <t>H00300310</t>
  </si>
  <si>
    <t>BA (Hons) in Creative Enterprise (Events and Production Management)</t>
  </si>
  <si>
    <t>300311</t>
  </si>
  <si>
    <t>H00300311</t>
  </si>
  <si>
    <t>BA (Hons) in Creative Enterprise (Fashion and Textiles</t>
  </si>
  <si>
    <t>300312</t>
  </si>
  <si>
    <t>H00300312</t>
  </si>
  <si>
    <t>BA (Hons) in Creative Enterprise (Music)</t>
  </si>
  <si>
    <t>300313</t>
  </si>
  <si>
    <t>H00300313</t>
  </si>
  <si>
    <t>BA (Hons) in Creative Enterprise (Musical Theatre)</t>
  </si>
  <si>
    <t>300314</t>
  </si>
  <si>
    <t>H00300314</t>
  </si>
  <si>
    <t>BA (Hons) in Creative Enterprise (TV and Media)</t>
  </si>
  <si>
    <t>300315</t>
  </si>
  <si>
    <t>H00300315</t>
  </si>
  <si>
    <t>BSc (Hons) in Air Transport Management (Top-Up)</t>
  </si>
  <si>
    <t>300316</t>
  </si>
  <si>
    <t>H00300316</t>
  </si>
  <si>
    <t>Foundation Degree in Aviation Management and Operations</t>
  </si>
  <si>
    <t>300317</t>
  </si>
  <si>
    <t>H00300317</t>
  </si>
  <si>
    <t>Foundation Degree in Aviation Management and Operations - Pilot Studies</t>
  </si>
  <si>
    <t>300318</t>
  </si>
  <si>
    <t>H00300318</t>
  </si>
  <si>
    <t>300319</t>
  </si>
  <si>
    <t>H00300319</t>
  </si>
  <si>
    <t>Foundation Degree in 3D Design for Fashion and Jewellery</t>
  </si>
  <si>
    <t>300320</t>
  </si>
  <si>
    <t>H00300320</t>
  </si>
  <si>
    <t>300321</t>
  </si>
  <si>
    <t>H00300321</t>
  </si>
  <si>
    <t>300322</t>
  </si>
  <si>
    <t>H00300322</t>
  </si>
  <si>
    <t>300323</t>
  </si>
  <si>
    <t>H00300323</t>
  </si>
  <si>
    <t>Foundation Degree in Football Coaching and Development</t>
  </si>
  <si>
    <t>300324</t>
  </si>
  <si>
    <t>H00300324</t>
  </si>
  <si>
    <t>BA (Hons) in Music Business</t>
  </si>
  <si>
    <t>300325</t>
  </si>
  <si>
    <t>H00300325</t>
  </si>
  <si>
    <t>BMus in Popular Music Performance</t>
  </si>
  <si>
    <t>300326</t>
  </si>
  <si>
    <t>H00300326</t>
  </si>
  <si>
    <t>300327</t>
  </si>
  <si>
    <t>H00300327</t>
  </si>
  <si>
    <t>BA (Hons) in Business and Computing</t>
  </si>
  <si>
    <t>300328</t>
  </si>
  <si>
    <t>H00300328</t>
  </si>
  <si>
    <t>300329</t>
  </si>
  <si>
    <t>H00300329</t>
  </si>
  <si>
    <t>300330</t>
  </si>
  <si>
    <t>H00300330</t>
  </si>
  <si>
    <t>300331</t>
  </si>
  <si>
    <t>H00300331</t>
  </si>
  <si>
    <t>Foundation Degree in Animal Behaviour (Zoo)</t>
  </si>
  <si>
    <t>300332</t>
  </si>
  <si>
    <t>H00300332</t>
  </si>
  <si>
    <t>FdA Working with Young People</t>
  </si>
  <si>
    <t>300333</t>
  </si>
  <si>
    <t>H00300333</t>
  </si>
  <si>
    <t>Foundation Degree in English Communication at Work</t>
  </si>
  <si>
    <t>300334</t>
  </si>
  <si>
    <t>H00300334</t>
  </si>
  <si>
    <t>Foundation Degree in Interaction Media Development</t>
  </si>
  <si>
    <t>300335</t>
  </si>
  <si>
    <t>H00300335</t>
  </si>
  <si>
    <t>BSC (Hons) Interactive Media Development</t>
  </si>
  <si>
    <t>300336</t>
  </si>
  <si>
    <t>H00300336</t>
  </si>
  <si>
    <t>BA (Hons) Digital Production and Filmmaking</t>
  </si>
  <si>
    <t>300337</t>
  </si>
  <si>
    <t>H00300337</t>
  </si>
  <si>
    <t>BA (Hons) in Creative Music</t>
  </si>
  <si>
    <t>300338</t>
  </si>
  <si>
    <t>H00300338</t>
  </si>
  <si>
    <t>Foundation Degree in Computing Technologies (with Foundation Year)</t>
  </si>
  <si>
    <t>300339</t>
  </si>
  <si>
    <t>H00300339</t>
  </si>
  <si>
    <t>Foundation Degree in Computing Technologies</t>
  </si>
  <si>
    <t>300340</t>
  </si>
  <si>
    <t>H00300340</t>
  </si>
  <si>
    <t>BSc (Hons) in Computing Technologies</t>
  </si>
  <si>
    <t>300341</t>
  </si>
  <si>
    <t>H00300341</t>
  </si>
  <si>
    <t>BA (Hons) in Creative and Interactive Design</t>
  </si>
  <si>
    <t>300342</t>
  </si>
  <si>
    <t>H00300342</t>
  </si>
  <si>
    <t>BA (Hons) in Fine Art Practice</t>
  </si>
  <si>
    <t>300343</t>
  </si>
  <si>
    <t>H00300343</t>
  </si>
  <si>
    <t>BA (Hons) in Games Design and Development</t>
  </si>
  <si>
    <t>300344</t>
  </si>
  <si>
    <t>H00300344</t>
  </si>
  <si>
    <t>BA (Hons) in Performance</t>
  </si>
  <si>
    <t>300345</t>
  </si>
  <si>
    <t>H00300345</t>
  </si>
  <si>
    <t>300346</t>
  </si>
  <si>
    <t>H00300346</t>
  </si>
  <si>
    <t>BSc (Hons) in Refrigeration and Air Conditioning Engineering</t>
  </si>
  <si>
    <t>300347</t>
  </si>
  <si>
    <t>H00300347</t>
  </si>
  <si>
    <t>BSc (Hons) in Laboratory Management</t>
  </si>
  <si>
    <t>300348</t>
  </si>
  <si>
    <t>H00300348</t>
  </si>
  <si>
    <t>300349</t>
  </si>
  <si>
    <t>H00300349</t>
  </si>
  <si>
    <t>BSc (Hons) in Construction Management (Top-Up)</t>
  </si>
  <si>
    <t>300350</t>
  </si>
  <si>
    <t>H00300350</t>
  </si>
  <si>
    <t>BSc (Hons) in Computer Systems Development (Top-Up)</t>
  </si>
  <si>
    <t>300351</t>
  </si>
  <si>
    <t>H00300351</t>
  </si>
  <si>
    <t>300352</t>
  </si>
  <si>
    <t>H00300352</t>
  </si>
  <si>
    <t>300353</t>
  </si>
  <si>
    <t>H00300353</t>
  </si>
  <si>
    <t>HNC in Housing Studies</t>
  </si>
  <si>
    <t>300354</t>
  </si>
  <si>
    <t>H00300354</t>
  </si>
  <si>
    <t>300355</t>
  </si>
  <si>
    <t>H00300355</t>
  </si>
  <si>
    <t>BSc (Hons) in Professional Aviation Pilot Practice</t>
  </si>
  <si>
    <t>300356</t>
  </si>
  <si>
    <t>H00300356</t>
  </si>
  <si>
    <t>BA(Hons) in Professional Practice in Construction Site Management</t>
  </si>
  <si>
    <t>300357</t>
  </si>
  <si>
    <t>H00300357</t>
  </si>
  <si>
    <t>300358</t>
  </si>
  <si>
    <t>H00300358</t>
  </si>
  <si>
    <t>300359</t>
  </si>
  <si>
    <t>H00300359</t>
  </si>
  <si>
    <t>BA (Hons) in Work Based and Integrated Studies (WBIS)</t>
  </si>
  <si>
    <t>300360</t>
  </si>
  <si>
    <t>H00300360</t>
  </si>
  <si>
    <t>BSc (Hons) in Work Based and Integrated Studies (WBIS)</t>
  </si>
  <si>
    <t>300361</t>
  </si>
  <si>
    <t>H00300361</t>
  </si>
  <si>
    <t>PGDIP in Work Based and Integrated Studies (WBIS)</t>
  </si>
  <si>
    <t>300362</t>
  </si>
  <si>
    <t>H00300362</t>
  </si>
  <si>
    <t>PG Cert in Work Based and Integrated Studies (WBIS)</t>
  </si>
  <si>
    <t>300363</t>
  </si>
  <si>
    <t>H00300363</t>
  </si>
  <si>
    <t>DipHE in Work Based and Integrated Studies (WBIS)</t>
  </si>
  <si>
    <t>300364</t>
  </si>
  <si>
    <t>H00300364</t>
  </si>
  <si>
    <t>CertEd in Work Based and Integrated Studies (WBIS)</t>
  </si>
  <si>
    <t>300365</t>
  </si>
  <si>
    <t>H00300365</t>
  </si>
  <si>
    <t>Foundation Degree in Arts in Work Based and Integrated Studies (WBIS)</t>
  </si>
  <si>
    <t>300366</t>
  </si>
  <si>
    <t>H00300366</t>
  </si>
  <si>
    <t>Foundation Degree in Science in Work Based and Integrated Studies (WBIS)</t>
  </si>
  <si>
    <t>300367</t>
  </si>
  <si>
    <t>H00300367</t>
  </si>
  <si>
    <t>PGCE in Work Based and Integrated Studies (WBIS)</t>
  </si>
  <si>
    <t>300368</t>
  </si>
  <si>
    <t>H00300368</t>
  </si>
  <si>
    <t>BA (Hons) in Criminology, Psychology and Social Justice</t>
  </si>
  <si>
    <t>300369</t>
  </si>
  <si>
    <t>H00300369</t>
  </si>
  <si>
    <t>300370</t>
  </si>
  <si>
    <t>H00300370</t>
  </si>
  <si>
    <t>300371</t>
  </si>
  <si>
    <t>H00300371</t>
  </si>
  <si>
    <t>Additional Diploma in Teaching Mathematics (Numeracy) in the Lifelong Learning Sector</t>
  </si>
  <si>
    <t>300372</t>
  </si>
  <si>
    <t>H00300372</t>
  </si>
  <si>
    <t>Additional Diploma in Teaching English (Literacy and ESOL) in the Lifelong Learning Sector</t>
  </si>
  <si>
    <t>300373</t>
  </si>
  <si>
    <t>H00300373</t>
  </si>
  <si>
    <t>Professional Graduate Certificate in Education (Diploma in Lifelong Learning Sector) in Literacy and ESOL</t>
  </si>
  <si>
    <t>300374</t>
  </si>
  <si>
    <t>H00300374</t>
  </si>
  <si>
    <t>CertEd in (Diploma in Teaching in the Lifelong Learning Sector)</t>
  </si>
  <si>
    <t>300375</t>
  </si>
  <si>
    <t>H00300375</t>
  </si>
  <si>
    <t>BA (Hons) in Youth and Community Work</t>
  </si>
  <si>
    <t>300376</t>
  </si>
  <si>
    <t>H00300376</t>
  </si>
  <si>
    <t>Professional Graduate Certificate in Education in Post Compulsory Education</t>
  </si>
  <si>
    <t>300377</t>
  </si>
  <si>
    <t>H00300377</t>
  </si>
  <si>
    <t>Foundation Degree in Education and Learning</t>
  </si>
  <si>
    <t>300378</t>
  </si>
  <si>
    <t>H00300378</t>
  </si>
  <si>
    <t>300379</t>
  </si>
  <si>
    <t>H00300379</t>
  </si>
  <si>
    <t>Foundation Degree in Theatre and Contemporary Performance</t>
  </si>
  <si>
    <t>300380</t>
  </si>
  <si>
    <t>H00300380</t>
  </si>
  <si>
    <t>300381</t>
  </si>
  <si>
    <t>H00300381</t>
  </si>
  <si>
    <t>Post Graduate Certificate in Education in Post Compulsory Education</t>
  </si>
  <si>
    <t>300382</t>
  </si>
  <si>
    <t>H00300382</t>
  </si>
  <si>
    <t>Foundation Degree in Childhood Studies and Professional Practice</t>
  </si>
  <si>
    <t>300383</t>
  </si>
  <si>
    <t>H00300383</t>
  </si>
  <si>
    <t>Foundation Degree in Community Studies and Young People</t>
  </si>
  <si>
    <t>300384</t>
  </si>
  <si>
    <t>H00300384</t>
  </si>
  <si>
    <t>300385</t>
  </si>
  <si>
    <t>H00300385</t>
  </si>
  <si>
    <t>300386</t>
  </si>
  <si>
    <t>H00300386</t>
  </si>
  <si>
    <t>300387</t>
  </si>
  <si>
    <t>H00300387</t>
  </si>
  <si>
    <t>HNC in Graphic Design (Illustration)</t>
  </si>
  <si>
    <t>300388</t>
  </si>
  <si>
    <t>H00300388</t>
  </si>
  <si>
    <t>MBA in Hospitality Management</t>
  </si>
  <si>
    <t>300389</t>
  </si>
  <si>
    <t>H00300389</t>
  </si>
  <si>
    <t>300390</t>
  </si>
  <si>
    <t>H00300390</t>
  </si>
  <si>
    <t>Diploma in Education and Training (120 Credits)</t>
  </si>
  <si>
    <t>300391</t>
  </si>
  <si>
    <t>H00300391</t>
  </si>
  <si>
    <t>Diploma in Education and Training - English Literacy (120 Credits)</t>
  </si>
  <si>
    <t>300392</t>
  </si>
  <si>
    <t>H00300392</t>
  </si>
  <si>
    <t>Diploma in Education and Training - Mathematics (120 Credits)</t>
  </si>
  <si>
    <t>300393</t>
  </si>
  <si>
    <t>H00300393</t>
  </si>
  <si>
    <t>Diploma in Education and Training - Teaching Disabled Learners  (120 Credits)</t>
  </si>
  <si>
    <t>300394</t>
  </si>
  <si>
    <t>H00300394</t>
  </si>
  <si>
    <t>Diploma in Teaching English: Literacy (45 Credits)</t>
  </si>
  <si>
    <t>300395</t>
  </si>
  <si>
    <t>H00300395</t>
  </si>
  <si>
    <t>Diploma in Teaching Mathematics : Numeracy (45 Credits)</t>
  </si>
  <si>
    <t>300396</t>
  </si>
  <si>
    <t>H00300396</t>
  </si>
  <si>
    <t>Diploma in Teaching Disabled Learners (45 Credits)</t>
  </si>
  <si>
    <t>300397</t>
  </si>
  <si>
    <t>H00300397</t>
  </si>
  <si>
    <t>Certificate in Education and Training</t>
  </si>
  <si>
    <t>300399</t>
  </si>
  <si>
    <t>H00300399</t>
  </si>
  <si>
    <t>Certificate in Education and Training (120 Credits)</t>
  </si>
  <si>
    <t>300400</t>
  </si>
  <si>
    <t>H00300400</t>
  </si>
  <si>
    <t>Certificate in Education and Training (with Teaching Disabled Learners) (120 Credits)</t>
  </si>
  <si>
    <t>300401</t>
  </si>
  <si>
    <t>H00300401</t>
  </si>
  <si>
    <t>Certificate in Education and Training (with Teaching ESOL) (120 Credits)</t>
  </si>
  <si>
    <t>300402</t>
  </si>
  <si>
    <t>H00300402</t>
  </si>
  <si>
    <t>Certificate in Education and Training (with Teaching Literacy) (120 Credits)</t>
  </si>
  <si>
    <t>300403</t>
  </si>
  <si>
    <t>H00300403</t>
  </si>
  <si>
    <t>Certificate in Education and Training (with Teaching Numeracy) (120 Credits)</t>
  </si>
  <si>
    <t>300404</t>
  </si>
  <si>
    <t>H00300404</t>
  </si>
  <si>
    <t>Foundation Degree in Aviation Operations Management</t>
  </si>
  <si>
    <t>300405</t>
  </si>
  <si>
    <t>H00300405</t>
  </si>
  <si>
    <t>300406</t>
  </si>
  <si>
    <t>H00300406</t>
  </si>
  <si>
    <t>BA (Hons) in Business Management (Top Up)</t>
  </si>
  <si>
    <t>300407</t>
  </si>
  <si>
    <t>H00300407</t>
  </si>
  <si>
    <t>BSc (Hons) in Wildlife Ecology and Conservation</t>
  </si>
  <si>
    <t>300408</t>
  </si>
  <si>
    <t>H00300408</t>
  </si>
  <si>
    <t>300409</t>
  </si>
  <si>
    <t>H00300409</t>
  </si>
  <si>
    <t>300410</t>
  </si>
  <si>
    <t>H00300410</t>
  </si>
  <si>
    <t>Foundation Degree in Paralegal Practice (Distance Learning)</t>
  </si>
  <si>
    <t>300411</t>
  </si>
  <si>
    <t>H00300411</t>
  </si>
  <si>
    <t>Foundation Degree in ICT Systems for Business Administration</t>
  </si>
  <si>
    <t>300412</t>
  </si>
  <si>
    <t>H00300412</t>
  </si>
  <si>
    <t>Foundation Degree in Animal Conservation</t>
  </si>
  <si>
    <t>300413</t>
  </si>
  <si>
    <t>H00300413</t>
  </si>
  <si>
    <t>Foundation Degree in Applied Animal Management</t>
  </si>
  <si>
    <t>300414</t>
  </si>
  <si>
    <t>H00300414</t>
  </si>
  <si>
    <t>BSc (Hons) Applied Animal Management</t>
  </si>
  <si>
    <t>300415</t>
  </si>
  <si>
    <t>H00300415</t>
  </si>
  <si>
    <t>300416</t>
  </si>
  <si>
    <t>H00300416</t>
  </si>
  <si>
    <t>300417</t>
  </si>
  <si>
    <t>H00300417</t>
  </si>
  <si>
    <t>BA (Hons) in Costume Production and Associated Crafts</t>
  </si>
  <si>
    <t>300418</t>
  </si>
  <si>
    <t>H00300418</t>
  </si>
  <si>
    <t>BA (Hons) in Painting, Drawing and Printmaking</t>
  </si>
  <si>
    <t>300419</t>
  </si>
  <si>
    <t>H00300419</t>
  </si>
  <si>
    <t>300420</t>
  </si>
  <si>
    <t>H00300420</t>
  </si>
  <si>
    <t>Foundation Degree in Health and Complementary Therapies</t>
  </si>
  <si>
    <t>300421</t>
  </si>
  <si>
    <t>H00300421</t>
  </si>
  <si>
    <t>300422</t>
  </si>
  <si>
    <t>H00300422</t>
  </si>
  <si>
    <t>Foundation Degree in Music Performance (Heavy Metal)</t>
  </si>
  <si>
    <t>300423</t>
  </si>
  <si>
    <t>H00300423</t>
  </si>
  <si>
    <t>Foundation Degree in Music Performance (Popular Music)</t>
  </si>
  <si>
    <t>300424</t>
  </si>
  <si>
    <t>H00300424</t>
  </si>
  <si>
    <t>300425</t>
  </si>
  <si>
    <t>H00300425</t>
  </si>
  <si>
    <t>MBA (Global)</t>
  </si>
  <si>
    <t>300426</t>
  </si>
  <si>
    <t>H00300426</t>
  </si>
  <si>
    <t>300427</t>
  </si>
  <si>
    <t>H00300427</t>
  </si>
  <si>
    <t>300428</t>
  </si>
  <si>
    <t>H00300428</t>
  </si>
  <si>
    <t>300429</t>
  </si>
  <si>
    <t>H00300429</t>
  </si>
  <si>
    <t>Foundation Degree in Sports Coaching and Physical Education</t>
  </si>
  <si>
    <t>300430</t>
  </si>
  <si>
    <t>H00300430</t>
  </si>
  <si>
    <t>MA in Early Childhood Studies</t>
  </si>
  <si>
    <t>300431</t>
  </si>
  <si>
    <t>H00300431</t>
  </si>
  <si>
    <t>PG Dip in Early Childhood Studies</t>
  </si>
  <si>
    <t>300432</t>
  </si>
  <si>
    <t>H00300432</t>
  </si>
  <si>
    <t>PG Cert in Early Childhood Studies</t>
  </si>
  <si>
    <t>300433</t>
  </si>
  <si>
    <t>H00300433</t>
  </si>
  <si>
    <t>300434</t>
  </si>
  <si>
    <t>H00300434</t>
  </si>
  <si>
    <t>HND in Furniture Design and Make</t>
  </si>
  <si>
    <t>300435</t>
  </si>
  <si>
    <t>H00300435</t>
  </si>
  <si>
    <t>300436</t>
  </si>
  <si>
    <t>H00300436</t>
  </si>
  <si>
    <t>300437</t>
  </si>
  <si>
    <t>H00300437</t>
  </si>
  <si>
    <t>BA (Hons) in Personal Professional Development</t>
  </si>
  <si>
    <t>300438</t>
  </si>
  <si>
    <t>H00300438</t>
  </si>
  <si>
    <t>MA in Personal Professional Development</t>
  </si>
  <si>
    <t>300439</t>
  </si>
  <si>
    <t>H00300439</t>
  </si>
  <si>
    <t>PCET</t>
  </si>
  <si>
    <t>300440</t>
  </si>
  <si>
    <t>H00300440</t>
  </si>
  <si>
    <t>300441</t>
  </si>
  <si>
    <t>H00300441</t>
  </si>
  <si>
    <t>Foundation Degree in Early Year and Education</t>
  </si>
  <si>
    <t>300442</t>
  </si>
  <si>
    <t>H00300442</t>
  </si>
  <si>
    <t>BA (Hons) in Early Years and Education</t>
  </si>
  <si>
    <t>300443</t>
  </si>
  <si>
    <t>H00300443</t>
  </si>
  <si>
    <t>300444</t>
  </si>
  <si>
    <t>H00300444</t>
  </si>
  <si>
    <t>300445</t>
  </si>
  <si>
    <t>H00300445</t>
  </si>
  <si>
    <t>300446</t>
  </si>
  <si>
    <t>H00300446</t>
  </si>
  <si>
    <t>Foundation Degree in Audio Music and Production</t>
  </si>
  <si>
    <t>300447</t>
  </si>
  <si>
    <t>H00300447</t>
  </si>
  <si>
    <t>300448</t>
  </si>
  <si>
    <t>H00300448</t>
  </si>
  <si>
    <t>Foundation Degree in Live Sound</t>
  </si>
  <si>
    <t>300449</t>
  </si>
  <si>
    <t>H00300449</t>
  </si>
  <si>
    <t>300450</t>
  </si>
  <si>
    <t>H00300450</t>
  </si>
  <si>
    <t>Foundation Degree in Mechanical and Manufacture</t>
  </si>
  <si>
    <t>300451</t>
  </si>
  <si>
    <t>H00300451</t>
  </si>
  <si>
    <t>300452</t>
  </si>
  <si>
    <t>H00300452</t>
  </si>
  <si>
    <t>300453</t>
  </si>
  <si>
    <t>H00300453</t>
  </si>
  <si>
    <t>300454</t>
  </si>
  <si>
    <t>H00300454</t>
  </si>
  <si>
    <t>BSc (Hons) in Woodland Conservation Management</t>
  </si>
  <si>
    <t>300455</t>
  </si>
  <si>
    <t>H00300455</t>
  </si>
  <si>
    <t>Foundation Degree in Woodland Conservation Management</t>
  </si>
  <si>
    <t>300456</t>
  </si>
  <si>
    <t>H00300456</t>
  </si>
  <si>
    <t>HNC in General Engineering</t>
  </si>
  <si>
    <t>300457</t>
  </si>
  <si>
    <t>H00300457</t>
  </si>
  <si>
    <t>Foundation Degree in Animal Health and Management</t>
  </si>
  <si>
    <t>300458</t>
  </si>
  <si>
    <t>H00300458</t>
  </si>
  <si>
    <t>Foundation Degree in Applied Outdoor Adventure</t>
  </si>
  <si>
    <t>300459</t>
  </si>
  <si>
    <t>H00300459</t>
  </si>
  <si>
    <t>Foundation Degree in Wildlife  Ecology and Conservation</t>
  </si>
  <si>
    <t>300460</t>
  </si>
  <si>
    <t>H00300460</t>
  </si>
  <si>
    <t>300461</t>
  </si>
  <si>
    <t>H00300461</t>
  </si>
  <si>
    <t>300462</t>
  </si>
  <si>
    <t>H00300462</t>
  </si>
  <si>
    <t>300463</t>
  </si>
  <si>
    <t>H00300463</t>
  </si>
  <si>
    <t>300464</t>
  </si>
  <si>
    <t>H00300464</t>
  </si>
  <si>
    <t>300465</t>
  </si>
  <si>
    <t>H00300465</t>
  </si>
  <si>
    <t>300466</t>
  </si>
  <si>
    <t>H00300466</t>
  </si>
  <si>
    <t>BA (Hons) in Chrildren's Care, Learning and Development</t>
  </si>
  <si>
    <t>300467</t>
  </si>
  <si>
    <t>H00300467</t>
  </si>
  <si>
    <t>Foundation Degree in Children's Care, Learning and Development</t>
  </si>
  <si>
    <t>300468</t>
  </si>
  <si>
    <t>H00300468</t>
  </si>
  <si>
    <t>300469</t>
  </si>
  <si>
    <t>H00300469</t>
  </si>
  <si>
    <t>Foundation Degree in Performance Practice</t>
  </si>
  <si>
    <t>300470</t>
  </si>
  <si>
    <t>H00300470</t>
  </si>
  <si>
    <t>Foundation Degree in Arts in Retail Management Innovation</t>
  </si>
  <si>
    <t>300471</t>
  </si>
  <si>
    <t>H00300471</t>
  </si>
  <si>
    <t>BA (Hons) in Music (Classical)</t>
  </si>
  <si>
    <t>300472</t>
  </si>
  <si>
    <t>H00300472</t>
  </si>
  <si>
    <t>BA (Hons) in Music (Jazz)</t>
  </si>
  <si>
    <t>300473</t>
  </si>
  <si>
    <t>H00300473</t>
  </si>
  <si>
    <t>BA (Hons) in Music (Popular)</t>
  </si>
  <si>
    <t>300474</t>
  </si>
  <si>
    <t>H00300474</t>
  </si>
  <si>
    <t>BA (Hons) in Music  (Production)</t>
  </si>
  <si>
    <t>300475</t>
  </si>
  <si>
    <t>H00300475</t>
  </si>
  <si>
    <t>BA (Hons) in Music (Combined)</t>
  </si>
  <si>
    <t>300476</t>
  </si>
  <si>
    <t>H00300476</t>
  </si>
  <si>
    <t>300477</t>
  </si>
  <si>
    <t>H00300477</t>
  </si>
  <si>
    <t>300478</t>
  </si>
  <si>
    <t>H00300478</t>
  </si>
  <si>
    <t>300479</t>
  </si>
  <si>
    <t>H00300479</t>
  </si>
  <si>
    <t>MA in Music (Production)</t>
  </si>
  <si>
    <t>300480</t>
  </si>
  <si>
    <t>H00300480</t>
  </si>
  <si>
    <t>MA in Music (Combined)</t>
  </si>
  <si>
    <t>300481</t>
  </si>
  <si>
    <t>H00300481</t>
  </si>
  <si>
    <t>300482</t>
  </si>
  <si>
    <t>H00300482</t>
  </si>
  <si>
    <t>300483</t>
  </si>
  <si>
    <t>H00300483</t>
  </si>
  <si>
    <t>MMus in Music (Production)</t>
  </si>
  <si>
    <t>300484</t>
  </si>
  <si>
    <t>H00300484</t>
  </si>
  <si>
    <t>MMus in Music (Combined)</t>
  </si>
  <si>
    <t>300485</t>
  </si>
  <si>
    <t>H00300485</t>
  </si>
  <si>
    <t>Postgraduate Diploma in Music (Performance)</t>
  </si>
  <si>
    <t>300486</t>
  </si>
  <si>
    <t>H00300486</t>
  </si>
  <si>
    <t>Postgraduate Diploma in Music (Production)</t>
  </si>
  <si>
    <t>300487</t>
  </si>
  <si>
    <t>H00300487</t>
  </si>
  <si>
    <t>Postgraduate Diploma in Music (Composition)</t>
  </si>
  <si>
    <t>300488</t>
  </si>
  <si>
    <t>H00300488</t>
  </si>
  <si>
    <t>Postgraduate Diploma in Music (Combined)</t>
  </si>
  <si>
    <t>300489</t>
  </si>
  <si>
    <t>H00300489</t>
  </si>
  <si>
    <t>Foundation Degree in Photography and Digital Arts</t>
  </si>
  <si>
    <t>300490</t>
  </si>
  <si>
    <t>H00300490</t>
  </si>
  <si>
    <t>Foundation Degree in Aircraft Engineering</t>
  </si>
  <si>
    <t>300491</t>
  </si>
  <si>
    <t>H00300491</t>
  </si>
  <si>
    <t>300492</t>
  </si>
  <si>
    <t>H00300492</t>
  </si>
  <si>
    <t>300493</t>
  </si>
  <si>
    <t>H00300493</t>
  </si>
  <si>
    <t>300494</t>
  </si>
  <si>
    <t>H00300494</t>
  </si>
  <si>
    <t>BSc (Hons) in Animal and Wildlife Management</t>
  </si>
  <si>
    <t>300495</t>
  </si>
  <si>
    <t>H00300495</t>
  </si>
  <si>
    <t>300496</t>
  </si>
  <si>
    <t>H00300496</t>
  </si>
  <si>
    <t>Foundation Degree in Digital Media and Engineering</t>
  </si>
  <si>
    <t>300497</t>
  </si>
  <si>
    <t>H00300497</t>
  </si>
  <si>
    <t>Foundation Degree in Electronic and Electrical Engineering</t>
  </si>
  <si>
    <t>300498</t>
  </si>
  <si>
    <t>H00300498</t>
  </si>
  <si>
    <t>Foundation Degree in Leadership and Management (Beauty)</t>
  </si>
  <si>
    <t>300499</t>
  </si>
  <si>
    <t>H00300499</t>
  </si>
  <si>
    <t>Foundation Degree in Leadership and Management (Engineering)</t>
  </si>
  <si>
    <t>300500</t>
  </si>
  <si>
    <t>H00300500</t>
  </si>
  <si>
    <t>Foundation Degree in Leadership and Management (Hair)</t>
  </si>
  <si>
    <t>300501</t>
  </si>
  <si>
    <t>H00300501</t>
  </si>
  <si>
    <t>Foundation Degree in Leadership and Management (Hospilality)</t>
  </si>
  <si>
    <t>300502</t>
  </si>
  <si>
    <t>H00300502</t>
  </si>
  <si>
    <t>Foundation Degree in Leadership and Management (Sport)</t>
  </si>
  <si>
    <t>300503</t>
  </si>
  <si>
    <t>H00300503</t>
  </si>
  <si>
    <t>300504</t>
  </si>
  <si>
    <t>H00300504</t>
  </si>
  <si>
    <t>300505</t>
  </si>
  <si>
    <t>H00300505</t>
  </si>
  <si>
    <t>300506</t>
  </si>
  <si>
    <t>H00300506</t>
  </si>
  <si>
    <t>Foundation Degree in Networking and Security</t>
  </si>
  <si>
    <t>300507</t>
  </si>
  <si>
    <t>H00300507</t>
  </si>
  <si>
    <t>300508</t>
  </si>
  <si>
    <t>H00300508</t>
  </si>
  <si>
    <t>300509</t>
  </si>
  <si>
    <t>H00300509</t>
  </si>
  <si>
    <t>Foundation Degree in Social Care (Adult and Community)</t>
  </si>
  <si>
    <t>300510</t>
  </si>
  <si>
    <t>H00300510</t>
  </si>
  <si>
    <t>300511</t>
  </si>
  <si>
    <t>H00300511</t>
  </si>
  <si>
    <t>Foundation Degree in Wildlife Conservation and Habitat Management</t>
  </si>
  <si>
    <t>300512</t>
  </si>
  <si>
    <t>H00300512</t>
  </si>
  <si>
    <t>300513</t>
  </si>
  <si>
    <t>H00300513</t>
  </si>
  <si>
    <t>BEng Tech (Hons) in Electronic and Electrical Engineering</t>
  </si>
  <si>
    <t>300514</t>
  </si>
  <si>
    <t>H00300514</t>
  </si>
  <si>
    <t>300515</t>
  </si>
  <si>
    <t>H00300515</t>
  </si>
  <si>
    <t>BA (Hons) in Performance Practice</t>
  </si>
  <si>
    <t>300516</t>
  </si>
  <si>
    <t>H00300516</t>
  </si>
  <si>
    <t>300517</t>
  </si>
  <si>
    <t>H00300517</t>
  </si>
  <si>
    <t>300518</t>
  </si>
  <si>
    <t>H00300518</t>
  </si>
  <si>
    <t>BA (Hons) in Social Care (top-up)</t>
  </si>
  <si>
    <t>300519</t>
  </si>
  <si>
    <t>H00300519</t>
  </si>
  <si>
    <t>Certificate of Education (DET)</t>
  </si>
  <si>
    <t>300520</t>
  </si>
  <si>
    <t>H00300520</t>
  </si>
  <si>
    <t>PGCE (DET)</t>
  </si>
  <si>
    <t>300521</t>
  </si>
  <si>
    <t>H00300521</t>
  </si>
  <si>
    <t>300522</t>
  </si>
  <si>
    <t>H00300522</t>
  </si>
  <si>
    <t>300523</t>
  </si>
  <si>
    <t>H00300523</t>
  </si>
  <si>
    <t>Certificate in Education (Inc-Service)</t>
  </si>
  <si>
    <t>300524</t>
  </si>
  <si>
    <t>H00300524</t>
  </si>
  <si>
    <t>Post Graduate Cert in Education (Inc-Service)</t>
  </si>
  <si>
    <t>300525</t>
  </si>
  <si>
    <t>H00300525</t>
  </si>
  <si>
    <t>Professional Graduate Cert in Education (Inc-Service)</t>
  </si>
  <si>
    <t>300526</t>
  </si>
  <si>
    <t>H00300526</t>
  </si>
  <si>
    <t>300527</t>
  </si>
  <si>
    <t>H00300527</t>
  </si>
  <si>
    <t>Foundation Degree in Equine Science and Management</t>
  </si>
  <si>
    <t>300528</t>
  </si>
  <si>
    <t>H00300528</t>
  </si>
  <si>
    <t>300529</t>
  </si>
  <si>
    <t>H00300529</t>
  </si>
  <si>
    <t>Foundation Degree in Food Technology and Development</t>
  </si>
  <si>
    <t>300530</t>
  </si>
  <si>
    <t>H00300530</t>
  </si>
  <si>
    <t>BSc (Hons) in Applied Computing (Top-Up)</t>
  </si>
  <si>
    <t>300531</t>
  </si>
  <si>
    <t>H00300531</t>
  </si>
  <si>
    <t>300532</t>
  </si>
  <si>
    <t>H00300532</t>
  </si>
  <si>
    <t>Certificate in Teaching, Learning and Assessment, Intermediate</t>
  </si>
  <si>
    <t>300533</t>
  </si>
  <si>
    <t>H00300533</t>
  </si>
  <si>
    <t>Foundation Degree in Creativity for the Interactive Industries</t>
  </si>
  <si>
    <t>300534</t>
  </si>
  <si>
    <t>H00300534</t>
  </si>
  <si>
    <t>Foundation Degree in Development for the Interactive Industries</t>
  </si>
  <si>
    <t>300535</t>
  </si>
  <si>
    <t>H00300535</t>
  </si>
  <si>
    <t>BSc (Hons) in Civil Engineering</t>
  </si>
  <si>
    <t>300536</t>
  </si>
  <si>
    <t>H00300536</t>
  </si>
  <si>
    <t>300537</t>
  </si>
  <si>
    <t>H00300537</t>
  </si>
  <si>
    <t>BA (Hons) in Leadership, Management and Organisation</t>
  </si>
  <si>
    <t>300538</t>
  </si>
  <si>
    <t>H00300538</t>
  </si>
  <si>
    <t>300539</t>
  </si>
  <si>
    <t>H00300539</t>
  </si>
  <si>
    <t>300540</t>
  </si>
  <si>
    <t>H00300540</t>
  </si>
  <si>
    <t>300541</t>
  </si>
  <si>
    <t>H00300541</t>
  </si>
  <si>
    <t>BA (Hons) in Contemporary Music</t>
  </si>
  <si>
    <t>300542</t>
  </si>
  <si>
    <t>H00300542</t>
  </si>
  <si>
    <t>300543</t>
  </si>
  <si>
    <t>H00300543</t>
  </si>
  <si>
    <t>BA (Hons) in Dance Professional Practice</t>
  </si>
  <si>
    <t>300544</t>
  </si>
  <si>
    <t>H00300544</t>
  </si>
  <si>
    <t>300545</t>
  </si>
  <si>
    <t>H00300545</t>
  </si>
  <si>
    <t>HNC in Extractives, Mining and Related Manufacturing</t>
  </si>
  <si>
    <t>300546</t>
  </si>
  <si>
    <t>H00300546</t>
  </si>
  <si>
    <t>HND in Mineral Products Technology</t>
  </si>
  <si>
    <t>300547</t>
  </si>
  <si>
    <t>H00300547</t>
  </si>
  <si>
    <t>300548</t>
  </si>
  <si>
    <t>H00300548</t>
  </si>
  <si>
    <t>BA (Hons) in Applied Studies Music (Top-Up)</t>
  </si>
  <si>
    <t>300549</t>
  </si>
  <si>
    <t>H00300549</t>
  </si>
  <si>
    <t>BA (Hons) in Applied Studies Theatre (Top-Up)</t>
  </si>
  <si>
    <t>300550</t>
  </si>
  <si>
    <t>H00300550</t>
  </si>
  <si>
    <t>Foundation Degree in Film and Television Production (Television)</t>
  </si>
  <si>
    <t>300551</t>
  </si>
  <si>
    <t>H00300551</t>
  </si>
  <si>
    <t>300552</t>
  </si>
  <si>
    <t>H00300552</t>
  </si>
  <si>
    <t>Foundation Degree in Business with Marketing Management</t>
  </si>
  <si>
    <t>300553</t>
  </si>
  <si>
    <t>H00300553</t>
  </si>
  <si>
    <t>BA (Hons) in Business (Top-Up)</t>
  </si>
  <si>
    <t>300554</t>
  </si>
  <si>
    <t>H00300554</t>
  </si>
  <si>
    <t>300555</t>
  </si>
  <si>
    <t>H00300555</t>
  </si>
  <si>
    <t>Foundation Degree in Software Networking</t>
  </si>
  <si>
    <t>300556</t>
  </si>
  <si>
    <t>H00300556</t>
  </si>
  <si>
    <t>BSc (Hons) in Computer Networking (Top-Up)</t>
  </si>
  <si>
    <t>300557</t>
  </si>
  <si>
    <t>H00300557</t>
  </si>
  <si>
    <t>BEng in Electronic and Electrical Engineering</t>
  </si>
  <si>
    <t>300558</t>
  </si>
  <si>
    <t>H00300558</t>
  </si>
  <si>
    <t>Foundation Degree in Exercise, Health and Wellbeing</t>
  </si>
  <si>
    <t>300559</t>
  </si>
  <si>
    <t>H00300559</t>
  </si>
  <si>
    <t>LLB (Hons) in Bachelor of Laws</t>
  </si>
  <si>
    <t>300560</t>
  </si>
  <si>
    <t>H00300560</t>
  </si>
  <si>
    <t>Foundation Degree in Law and Criminal Studies</t>
  </si>
  <si>
    <t>300561</t>
  </si>
  <si>
    <t>H00300561</t>
  </si>
  <si>
    <t>BA (Hons) in Marketing Management</t>
  </si>
  <si>
    <t>300562</t>
  </si>
  <si>
    <t>H00300562</t>
  </si>
  <si>
    <t>BSc (Hons) in Networking and Security</t>
  </si>
  <si>
    <t>300563</t>
  </si>
  <si>
    <t>H00300563</t>
  </si>
  <si>
    <t>BA (Hons) in Retail Management</t>
  </si>
  <si>
    <t>300564</t>
  </si>
  <si>
    <t>H00300564</t>
  </si>
  <si>
    <t>300565</t>
  </si>
  <si>
    <t>H00300565</t>
  </si>
  <si>
    <t>Foundation Degree in Science in Sports Performance</t>
  </si>
  <si>
    <t>300566</t>
  </si>
  <si>
    <t>H00300566</t>
  </si>
  <si>
    <t>Foundation Degree in Arts in Sports Coaching</t>
  </si>
  <si>
    <t>300567</t>
  </si>
  <si>
    <t>H00300567</t>
  </si>
  <si>
    <t>Foundation Degree in Arts in Tourism and Aviation</t>
  </si>
  <si>
    <t>300568</t>
  </si>
  <si>
    <t>H00300568</t>
  </si>
  <si>
    <t>MSc in Applied Aquaculture and Sports Fisheries</t>
  </si>
  <si>
    <t>300569</t>
  </si>
  <si>
    <t>H00300569</t>
  </si>
  <si>
    <t>MSc in Equine Behaviour, Performance and Training</t>
  </si>
  <si>
    <t>300570</t>
  </si>
  <si>
    <t>H00300570</t>
  </si>
  <si>
    <t>Foundation Degree in Applied Photography</t>
  </si>
  <si>
    <t>300571</t>
  </si>
  <si>
    <t>H00300571</t>
  </si>
  <si>
    <t>Diploma in Teaching in the Lifelong Learner Sector (DTLLS)</t>
  </si>
  <si>
    <t>300572</t>
  </si>
  <si>
    <t>H00300572</t>
  </si>
  <si>
    <t>Foundation Degree in Music and Sound Production</t>
  </si>
  <si>
    <t>300573</t>
  </si>
  <si>
    <t>H00300573</t>
  </si>
  <si>
    <t>300574</t>
  </si>
  <si>
    <t>H00300574</t>
  </si>
  <si>
    <t>BA (Hons) in Health and Social Care Management</t>
  </si>
  <si>
    <t>300575</t>
  </si>
  <si>
    <t>H00300575</t>
  </si>
  <si>
    <t>300576</t>
  </si>
  <si>
    <t>H00300576</t>
  </si>
  <si>
    <t>300577</t>
  </si>
  <si>
    <t>H00300577</t>
  </si>
  <si>
    <t>Foundation Degree in Fashion and Textile Design</t>
  </si>
  <si>
    <t>300578</t>
  </si>
  <si>
    <t>H00300578</t>
  </si>
  <si>
    <t>Foundation Degree in Web Design and Software Development</t>
  </si>
  <si>
    <t>300579</t>
  </si>
  <si>
    <t>H00300579</t>
  </si>
  <si>
    <t>Foundation Degree in Network Management</t>
  </si>
  <si>
    <t>300580</t>
  </si>
  <si>
    <t>H00300580</t>
  </si>
  <si>
    <t>Foundation Degree in Sports Fitness and Personal Training</t>
  </si>
  <si>
    <t>300582</t>
  </si>
  <si>
    <t>H00300582</t>
  </si>
  <si>
    <t>300583</t>
  </si>
  <si>
    <t>H00300583</t>
  </si>
  <si>
    <t>300584</t>
  </si>
  <si>
    <t>H00300584</t>
  </si>
  <si>
    <t>BSc (Hons) in Sports Performance</t>
  </si>
  <si>
    <t>300585</t>
  </si>
  <si>
    <t>H00300585</t>
  </si>
  <si>
    <t>BSc (Hons) in Sports Conditioning and Injury Management</t>
  </si>
  <si>
    <t>300586</t>
  </si>
  <si>
    <t>H00300586</t>
  </si>
  <si>
    <t>300587</t>
  </si>
  <si>
    <t>H00300587</t>
  </si>
  <si>
    <t>BSc (Hons) in Agriculture, Conservation and Sustainable Management</t>
  </si>
  <si>
    <t>300588</t>
  </si>
  <si>
    <t>H00300588</t>
  </si>
  <si>
    <t>300589</t>
  </si>
  <si>
    <t>H00300589</t>
  </si>
  <si>
    <t>300590</t>
  </si>
  <si>
    <t>H00300590</t>
  </si>
  <si>
    <t>300591</t>
  </si>
  <si>
    <t>H00300591</t>
  </si>
  <si>
    <t>300592</t>
  </si>
  <si>
    <t>H00300592</t>
  </si>
  <si>
    <t>Foundation Degree in Agricultural Business Management</t>
  </si>
  <si>
    <t>300593</t>
  </si>
  <si>
    <t>H00300593</t>
  </si>
  <si>
    <t>BA  (Hons) in Graphic Design</t>
  </si>
  <si>
    <t>300594</t>
  </si>
  <si>
    <t>H00300594</t>
  </si>
  <si>
    <t>BA (Hons) in History, Heritage and Archaeology</t>
  </si>
  <si>
    <t>300595</t>
  </si>
  <si>
    <t>H00300595</t>
  </si>
  <si>
    <t>Diploma in Education and Training</t>
  </si>
  <si>
    <t>300596</t>
  </si>
  <si>
    <t>H00300596</t>
  </si>
  <si>
    <t>BA (Hons) in Contemporary Media Design and Production (top up)</t>
  </si>
  <si>
    <t>300597</t>
  </si>
  <si>
    <t>H00300597</t>
  </si>
  <si>
    <t>BSc (Hons) in Health and Well Being</t>
  </si>
  <si>
    <t>300598</t>
  </si>
  <si>
    <t>H00300598</t>
  </si>
  <si>
    <t>300599</t>
  </si>
  <si>
    <t>H00300599</t>
  </si>
  <si>
    <t>300600</t>
  </si>
  <si>
    <t>H00300600</t>
  </si>
  <si>
    <t>300601</t>
  </si>
  <si>
    <t>H00300601</t>
  </si>
  <si>
    <t>BA (Hons) in Coaching and Mentoring (top-up)</t>
  </si>
  <si>
    <t>300602</t>
  </si>
  <si>
    <t>H00300602</t>
  </si>
  <si>
    <t>Foundation Degree in Coaching and Mentoring</t>
  </si>
  <si>
    <t>300603</t>
  </si>
  <si>
    <t>H00300603</t>
  </si>
  <si>
    <t>BSc (Ord) in Construction</t>
  </si>
  <si>
    <t>300604</t>
  </si>
  <si>
    <t>H00300604</t>
  </si>
  <si>
    <t>BSc (Hons) in Construction</t>
  </si>
  <si>
    <t>300605</t>
  </si>
  <si>
    <t>H00300605</t>
  </si>
  <si>
    <t>300606</t>
  </si>
  <si>
    <t>H00300606</t>
  </si>
  <si>
    <t>Foundation Degree in Health Care Play Specialise</t>
  </si>
  <si>
    <t>300607</t>
  </si>
  <si>
    <t>H00300607</t>
  </si>
  <si>
    <t>300608</t>
  </si>
  <si>
    <t>H00300608</t>
  </si>
  <si>
    <t>Foundation Degree in Paralegal Studies</t>
  </si>
  <si>
    <t>300609</t>
  </si>
  <si>
    <t>H00300609</t>
  </si>
  <si>
    <t>Certificate in Education and Training, Preparatory</t>
  </si>
  <si>
    <t>300610</t>
  </si>
  <si>
    <t>H00300610</t>
  </si>
  <si>
    <t>Certificate in Education and Training, Introductory</t>
  </si>
  <si>
    <t>300612</t>
  </si>
  <si>
    <t>H00300612</t>
  </si>
  <si>
    <t>300613</t>
  </si>
  <si>
    <t>H00300613</t>
  </si>
  <si>
    <t>CertED in Education and Training</t>
  </si>
  <si>
    <t>300614</t>
  </si>
  <si>
    <t>H00300614</t>
  </si>
  <si>
    <t>PGCE in Education and Training</t>
  </si>
  <si>
    <t>300616</t>
  </si>
  <si>
    <t>H00300616</t>
  </si>
  <si>
    <t>Foundation Degree in Arts in Marketing Management</t>
  </si>
  <si>
    <t>300617</t>
  </si>
  <si>
    <t>H00300617</t>
  </si>
  <si>
    <t>Foundation Degree in Arts in Management and Business Enterprise</t>
  </si>
  <si>
    <t>300618</t>
  </si>
  <si>
    <t>H00300618</t>
  </si>
  <si>
    <t>300619</t>
  </si>
  <si>
    <t>H00300619</t>
  </si>
  <si>
    <t>300620</t>
  </si>
  <si>
    <t>H00300620</t>
  </si>
  <si>
    <t>DIPHE in Social Care Practice</t>
  </si>
  <si>
    <t>300621</t>
  </si>
  <si>
    <t>H00300621</t>
  </si>
  <si>
    <t>300622</t>
  </si>
  <si>
    <t>H00300622</t>
  </si>
  <si>
    <t>BA (Hons) in Contemporary Design Crafts</t>
  </si>
  <si>
    <t>300623</t>
  </si>
  <si>
    <t>H00300623</t>
  </si>
  <si>
    <t>Ba (Hons) in Fine Art</t>
  </si>
  <si>
    <t>300624</t>
  </si>
  <si>
    <t>H00300624</t>
  </si>
  <si>
    <t>300625</t>
  </si>
  <si>
    <t>H00300625</t>
  </si>
  <si>
    <t>300626</t>
  </si>
  <si>
    <t>H00300626</t>
  </si>
  <si>
    <t>BA (Hons) in Illustration and Animation</t>
  </si>
  <si>
    <t>300627</t>
  </si>
  <si>
    <t>H00300627</t>
  </si>
  <si>
    <t>300628</t>
  </si>
  <si>
    <t>H00300628</t>
  </si>
  <si>
    <t>300629</t>
  </si>
  <si>
    <t>H00300629</t>
  </si>
  <si>
    <t>300630</t>
  </si>
  <si>
    <t>H00300630</t>
  </si>
  <si>
    <t>300631</t>
  </si>
  <si>
    <t>H00300631</t>
  </si>
  <si>
    <t>300632</t>
  </si>
  <si>
    <t>H00300632</t>
  </si>
  <si>
    <t>300633</t>
  </si>
  <si>
    <t>H00300633</t>
  </si>
  <si>
    <t>300634</t>
  </si>
  <si>
    <t>H00300634</t>
  </si>
  <si>
    <t>BSc (Hons) in Technology</t>
  </si>
  <si>
    <t>300635</t>
  </si>
  <si>
    <t>H00300635</t>
  </si>
  <si>
    <t>HND in Engineering (Mechanical and Manufacturing)</t>
  </si>
  <si>
    <t>300636</t>
  </si>
  <si>
    <t>H00300636</t>
  </si>
  <si>
    <t>HND in Engineering (Electrical and Electronic)</t>
  </si>
  <si>
    <t>300637</t>
  </si>
  <si>
    <t>H00300637</t>
  </si>
  <si>
    <t>PGCE in Maths (Numeracy)</t>
  </si>
  <si>
    <t>300638</t>
  </si>
  <si>
    <t>H00300638</t>
  </si>
  <si>
    <t>CertED in Mathematics (Numeracy)</t>
  </si>
  <si>
    <t>300639</t>
  </si>
  <si>
    <t>H00300639</t>
  </si>
  <si>
    <t>PGCE in Advanced Certificate in Teaching Mathematics (Numeracy)</t>
  </si>
  <si>
    <t>300640</t>
  </si>
  <si>
    <t>H00300640</t>
  </si>
  <si>
    <t>BA (Hons) in Social Science and Humanities (Foundation Entry)</t>
  </si>
  <si>
    <t>300641</t>
  </si>
  <si>
    <t>H00300641</t>
  </si>
  <si>
    <t>Foundation Degree in Health, Exercise and Lifestyle</t>
  </si>
  <si>
    <t>300642</t>
  </si>
  <si>
    <t>H00300642</t>
  </si>
  <si>
    <t>MA in Architecture</t>
  </si>
  <si>
    <t>300643</t>
  </si>
  <si>
    <t>H00300643</t>
  </si>
  <si>
    <t>BA (Hons) in Visual Culture: Theory and Practice</t>
  </si>
  <si>
    <t>300644</t>
  </si>
  <si>
    <t>H00300644</t>
  </si>
  <si>
    <t>BA (Hons) in Early Years, Childcare and Education</t>
  </si>
  <si>
    <t>300645</t>
  </si>
  <si>
    <t>H00300645</t>
  </si>
  <si>
    <t>BA (Hons) in Social Welfare and Policy</t>
  </si>
  <si>
    <t>300646</t>
  </si>
  <si>
    <t>H00300646</t>
  </si>
  <si>
    <t>BA (Hons) in Business and Management (Top Up)</t>
  </si>
  <si>
    <t>300647</t>
  </si>
  <si>
    <t>H00300647</t>
  </si>
  <si>
    <t>BA (Hons) in Health and Social Care (Top Up)</t>
  </si>
  <si>
    <t>300648</t>
  </si>
  <si>
    <t>H00300648</t>
  </si>
  <si>
    <t>Foundation Degree in Healthcare Services</t>
  </si>
  <si>
    <t>300649</t>
  </si>
  <si>
    <t>H00300649</t>
  </si>
  <si>
    <t>BA (Hons) in Sport (Coaching Development)</t>
  </si>
  <si>
    <t>300650</t>
  </si>
  <si>
    <t>H00300650</t>
  </si>
  <si>
    <t>300651</t>
  </si>
  <si>
    <t>H00300651</t>
  </si>
  <si>
    <t>Foundation Degree in Visual Arts</t>
  </si>
  <si>
    <t>300652</t>
  </si>
  <si>
    <t>H00300652</t>
  </si>
  <si>
    <t>300653</t>
  </si>
  <si>
    <t>H00300653</t>
  </si>
  <si>
    <t>Foundation Degree in Roots and Popular Music</t>
  </si>
  <si>
    <t>300654</t>
  </si>
  <si>
    <t>H00300654</t>
  </si>
  <si>
    <t>Foundation Degree in Film  and Television Production (Film)</t>
  </si>
  <si>
    <t>300655</t>
  </si>
  <si>
    <t>H00300655</t>
  </si>
  <si>
    <t>BA (Hons) in Contemporary Media Design and Production</t>
  </si>
  <si>
    <t>300656</t>
  </si>
  <si>
    <t>H00300656</t>
  </si>
  <si>
    <t>BA (Hons) in Business Studies (Top Up)</t>
  </si>
  <si>
    <t>300657</t>
  </si>
  <si>
    <t>H00300657</t>
  </si>
  <si>
    <t>BA (Hons) in Contemporary Textiles Products</t>
  </si>
  <si>
    <t>300658</t>
  </si>
  <si>
    <t>H00300658</t>
  </si>
  <si>
    <t>BA (Hons) in Costume Interpretation with Design</t>
  </si>
  <si>
    <t>300659</t>
  </si>
  <si>
    <t>H00300659</t>
  </si>
  <si>
    <t>300660</t>
  </si>
  <si>
    <t>H00300660</t>
  </si>
  <si>
    <t>BA (Hons) in Illustration for Commercial Application</t>
  </si>
  <si>
    <t>300661</t>
  </si>
  <si>
    <t>H00300661</t>
  </si>
  <si>
    <t>300662</t>
  </si>
  <si>
    <t>H00300662</t>
  </si>
  <si>
    <t>BA (Hons) in Production Design for Stage and Screen</t>
  </si>
  <si>
    <t>300663</t>
  </si>
  <si>
    <t>H00300663</t>
  </si>
  <si>
    <t>BA (Hons) in Creative Film and Moving image Production (Top Up)</t>
  </si>
  <si>
    <t>300664</t>
  </si>
  <si>
    <t>H00300664</t>
  </si>
  <si>
    <t>300665</t>
  </si>
  <si>
    <t>H00300665</t>
  </si>
  <si>
    <t>300666</t>
  </si>
  <si>
    <t>H00300666</t>
  </si>
  <si>
    <t>BA (Hons) in Fine Arts</t>
  </si>
  <si>
    <t>300667</t>
  </si>
  <si>
    <t>H00300667</t>
  </si>
  <si>
    <t>HNC in Furniture: Design and Make</t>
  </si>
  <si>
    <t>300668</t>
  </si>
  <si>
    <t>H00300668</t>
  </si>
  <si>
    <t>CertHE in Writing for Performance</t>
  </si>
  <si>
    <t>300669</t>
  </si>
  <si>
    <t>H00300669</t>
  </si>
  <si>
    <t>Foundation Degree in Writing for Performance</t>
  </si>
  <si>
    <t>300670</t>
  </si>
  <si>
    <t>H00300670</t>
  </si>
  <si>
    <t>CertHe in English Studies: Creative Writing and Critical Practise</t>
  </si>
  <si>
    <t>300671</t>
  </si>
  <si>
    <t>H00300671</t>
  </si>
  <si>
    <t>BA (Hons) in English Studies: Creative Writing and Critical Practise</t>
  </si>
  <si>
    <t>300672</t>
  </si>
  <si>
    <t>H00300672</t>
  </si>
  <si>
    <t>CertHE in History</t>
  </si>
  <si>
    <t>300673</t>
  </si>
  <si>
    <t>H00300673</t>
  </si>
  <si>
    <t>BA (Hons) in History with Social Science</t>
  </si>
  <si>
    <t>300674</t>
  </si>
  <si>
    <t>H00300674</t>
  </si>
  <si>
    <t>CertHE in Social and Political Studies</t>
  </si>
  <si>
    <t>300675</t>
  </si>
  <si>
    <t>H00300675</t>
  </si>
  <si>
    <t>BA (Hons) in Social and Political Studies</t>
  </si>
  <si>
    <t>300676</t>
  </si>
  <si>
    <t>H00300676</t>
  </si>
  <si>
    <t>CertHE in Law</t>
  </si>
  <si>
    <t>300677</t>
  </si>
  <si>
    <t>H00300677</t>
  </si>
  <si>
    <t>Foundation Degree in Business and Social Enterprise</t>
  </si>
  <si>
    <t>300678</t>
  </si>
  <si>
    <t>H00300678</t>
  </si>
  <si>
    <t>BA (Hons) in Youth Work</t>
  </si>
  <si>
    <t>300679</t>
  </si>
  <si>
    <t>H00300679</t>
  </si>
  <si>
    <t>300680</t>
  </si>
  <si>
    <t>H00300680</t>
  </si>
  <si>
    <t>BA (Hons) in International Labour and Trade Union Studies</t>
  </si>
  <si>
    <t>300681</t>
  </si>
  <si>
    <t>H00300681</t>
  </si>
  <si>
    <t>MA in International Labour and Trade Union Studies</t>
  </si>
  <si>
    <t>300682</t>
  </si>
  <si>
    <t>H00300682</t>
  </si>
  <si>
    <t>BA (Hons) in Sports Coaching and School Sports</t>
  </si>
  <si>
    <t>300683</t>
  </si>
  <si>
    <t>H00300683</t>
  </si>
  <si>
    <t>Foundation Degree in Public Services and Social Justice</t>
  </si>
  <si>
    <t>300684</t>
  </si>
  <si>
    <t>H00300684</t>
  </si>
  <si>
    <t>Foundation Degree in International Tourism Management</t>
  </si>
  <si>
    <t>300685</t>
  </si>
  <si>
    <t>H00300685</t>
  </si>
  <si>
    <t>300686</t>
  </si>
  <si>
    <t>H00300686</t>
  </si>
  <si>
    <t>Foundation Degree in Finance and Accounting</t>
  </si>
  <si>
    <t>300687</t>
  </si>
  <si>
    <t>H00300687</t>
  </si>
  <si>
    <t>Foundation Degree in The Independent Musician - Production, Performance and Management</t>
  </si>
  <si>
    <t>300688</t>
  </si>
  <si>
    <t>H00300688</t>
  </si>
  <si>
    <t>Certificate of Higher Education: Mineral Products Technology</t>
  </si>
  <si>
    <t>300689</t>
  </si>
  <si>
    <t>H00300689</t>
  </si>
  <si>
    <t>Foundation Degree in Science: Mineral Products Technology</t>
  </si>
  <si>
    <t>300690</t>
  </si>
  <si>
    <t>H00300690</t>
  </si>
  <si>
    <t>300691</t>
  </si>
  <si>
    <t>H00300691</t>
  </si>
  <si>
    <t>Foundation Degree in Psychology and Health Studies</t>
  </si>
  <si>
    <t>300692</t>
  </si>
  <si>
    <t>H00300692</t>
  </si>
  <si>
    <t>Foundation Degree in Criminal Justice (Policing)</t>
  </si>
  <si>
    <t>300693</t>
  </si>
  <si>
    <t>H00300693</t>
  </si>
  <si>
    <t>HNC in Marine Leisure Management</t>
  </si>
  <si>
    <t>300694</t>
  </si>
  <si>
    <t>H00300694</t>
  </si>
  <si>
    <t>300695</t>
  </si>
  <si>
    <t>H00300695</t>
  </si>
  <si>
    <t>BSc (Hons) in Horticulture (Plant Science)</t>
  </si>
  <si>
    <t>300696</t>
  </si>
  <si>
    <t>H00300696</t>
  </si>
  <si>
    <t>300697</t>
  </si>
  <si>
    <t>H00300697</t>
  </si>
  <si>
    <t>BSc (Hons) in Tournament Golf</t>
  </si>
  <si>
    <t>300698</t>
  </si>
  <si>
    <t>H00300698</t>
  </si>
  <si>
    <t>BSc (Hons) in Tournament Golf (Top Up)</t>
  </si>
  <si>
    <t>300699</t>
  </si>
  <si>
    <t>H00300699</t>
  </si>
  <si>
    <t>BA (Hons) in Business Management with Sustainability</t>
  </si>
  <si>
    <t>300700</t>
  </si>
  <si>
    <t>H00300700</t>
  </si>
  <si>
    <t>300701</t>
  </si>
  <si>
    <t>H00300701</t>
  </si>
  <si>
    <t>300702</t>
  </si>
  <si>
    <t>H00300702</t>
  </si>
  <si>
    <t>Foundation Degree in Digital Design</t>
  </si>
  <si>
    <t>300703</t>
  </si>
  <si>
    <t>H00300703</t>
  </si>
  <si>
    <t>Foundation Degree in Film and Television Production</t>
  </si>
  <si>
    <t>300704</t>
  </si>
  <si>
    <t>H00300704</t>
  </si>
  <si>
    <t>300705</t>
  </si>
  <si>
    <t>H00300705</t>
  </si>
  <si>
    <t>Foundation Degree in Performing Arts (Contemporary Theatre Performance)</t>
  </si>
  <si>
    <t>300706</t>
  </si>
  <si>
    <t>H00300706</t>
  </si>
  <si>
    <t>Foundation Degree in Performing Arts (Dance)</t>
  </si>
  <si>
    <t>300707</t>
  </si>
  <si>
    <t>H00300707</t>
  </si>
  <si>
    <t>Foundation Degree in Performing Arts (Music Theatre)</t>
  </si>
  <si>
    <t>300708</t>
  </si>
  <si>
    <t>H00300708</t>
  </si>
  <si>
    <t>BSc in Computer Generated Imagery (3D Computer Modelling and Animation)</t>
  </si>
  <si>
    <t>300709</t>
  </si>
  <si>
    <t>H00300709</t>
  </si>
  <si>
    <t>BSc in Computer Generated Imagery (3D Architectural Visualisation))</t>
  </si>
  <si>
    <t>300710</t>
  </si>
  <si>
    <t>H00300710</t>
  </si>
  <si>
    <t>Foundation Degree in Computer Generated Imagery (3D Computer Modelling and Animation)</t>
  </si>
  <si>
    <t>300711</t>
  </si>
  <si>
    <t>H00300711</t>
  </si>
  <si>
    <t>Foundation Degree in Computer Generated Imagery (3D Architectural Visualisation))</t>
  </si>
  <si>
    <t>300712</t>
  </si>
  <si>
    <t>H00300712</t>
  </si>
  <si>
    <t>Foundation Degree in Computing with networking</t>
  </si>
  <si>
    <t>300713</t>
  </si>
  <si>
    <t>H00300713</t>
  </si>
  <si>
    <t>Foundation Degree in Business Computing</t>
  </si>
  <si>
    <t>300714</t>
  </si>
  <si>
    <t>H00300714</t>
  </si>
  <si>
    <t>Foundation Degree in Engineering (Mechanical Design)</t>
  </si>
  <si>
    <t>300715</t>
  </si>
  <si>
    <t>H00300715</t>
  </si>
  <si>
    <t>Foundation Degree in Engineering (Manufacturing Management)</t>
  </si>
  <si>
    <t>300716</t>
  </si>
  <si>
    <t>H00300716</t>
  </si>
  <si>
    <t>Foundation Degree in Health and Well-Being</t>
  </si>
  <si>
    <t>300717</t>
  </si>
  <si>
    <t>H00300717</t>
  </si>
  <si>
    <t>300718</t>
  </si>
  <si>
    <t>H00300718</t>
  </si>
  <si>
    <t>Foundation Degree in Arts in Accounting</t>
  </si>
  <si>
    <t>300719</t>
  </si>
  <si>
    <t>H00300719</t>
  </si>
  <si>
    <t>Foundation Degree in Arts in Art Enterprise</t>
  </si>
  <si>
    <t>300720</t>
  </si>
  <si>
    <t>H00300720</t>
  </si>
  <si>
    <t>Foundation Degree in Science in Biomedical Sciences (Chemical and Pharmaceutical Science)</t>
  </si>
  <si>
    <t>300721</t>
  </si>
  <si>
    <t>H00300721</t>
  </si>
  <si>
    <t>Foundation Degree in Science in Biomedical Sciences (Biotechnical Sciences)</t>
  </si>
  <si>
    <t>300722</t>
  </si>
  <si>
    <t>H00300722</t>
  </si>
  <si>
    <t>HND Animal Biology and Wildlife Conservation</t>
  </si>
  <si>
    <t>300723</t>
  </si>
  <si>
    <t>H00300723</t>
  </si>
  <si>
    <t>HNC Animal Biology and Wildlife Conservation</t>
  </si>
  <si>
    <t>300724</t>
  </si>
  <si>
    <t>H00300724</t>
  </si>
  <si>
    <t>Foundation Degree in Professional Accounting Practice</t>
  </si>
  <si>
    <t>300725</t>
  </si>
  <si>
    <t>H00300725</t>
  </si>
  <si>
    <t>Foundation Degree in Professional IT Practice</t>
  </si>
  <si>
    <t>300726</t>
  </si>
  <si>
    <t>H00300726</t>
  </si>
  <si>
    <t>DIPHE in Professional Practice in Leading and Managing Care Services (Dementia Care)</t>
  </si>
  <si>
    <t>300727</t>
  </si>
  <si>
    <t>H00300727</t>
  </si>
  <si>
    <t>DIPHE in Professional Practice in Leading and Managing Care Services (End of life care)</t>
  </si>
  <si>
    <t>300728</t>
  </si>
  <si>
    <t>H00300728</t>
  </si>
  <si>
    <t>DIPHE in Professional Practice in Leading and Managing Care Services (Business, Quality and Service Improvement)</t>
  </si>
  <si>
    <t>300729</t>
  </si>
  <si>
    <t>H00300729</t>
  </si>
  <si>
    <t>Professional Diploma in Care Leadership and Management (Business Development and Enterprise)</t>
  </si>
  <si>
    <t>300730</t>
  </si>
  <si>
    <t>H00300730</t>
  </si>
  <si>
    <t>Professional Diploma in Care Leadership and Management (Learning Disabilities)</t>
  </si>
  <si>
    <t>300731</t>
  </si>
  <si>
    <t>H00300731</t>
  </si>
  <si>
    <t>Diploma in Professional Practice in Social Care (Business &amp; Enterprise)</t>
  </si>
  <si>
    <t>300732</t>
  </si>
  <si>
    <t>H00300732</t>
  </si>
  <si>
    <t>Diploma in Professional Practice in Social Care (Dementia)</t>
  </si>
  <si>
    <t>300733</t>
  </si>
  <si>
    <t>H00300733</t>
  </si>
  <si>
    <t>Foundation Degree in Marine Ecology</t>
  </si>
  <si>
    <t>300734</t>
  </si>
  <si>
    <t>H00300734</t>
  </si>
  <si>
    <t>300735</t>
  </si>
  <si>
    <t>H00300735</t>
  </si>
  <si>
    <t>Foundation Degree in Professional Practice in International Trade</t>
  </si>
  <si>
    <t>300736</t>
  </si>
  <si>
    <t>H00300736</t>
  </si>
  <si>
    <t>Foundation Degree in Cyber Security</t>
  </si>
  <si>
    <t>300737</t>
  </si>
  <si>
    <t>H00300737</t>
  </si>
  <si>
    <t>Foundation Degree in Cyber Security - (Worcester College of Technology)</t>
  </si>
  <si>
    <t>300738</t>
  </si>
  <si>
    <t>H00300738</t>
  </si>
  <si>
    <t>Foundation Degree in Psychology and Sociology</t>
  </si>
  <si>
    <t>300739</t>
  </si>
  <si>
    <t>H00300739</t>
  </si>
  <si>
    <t>BSc (Hons) in Veterinary Physiotherapy</t>
  </si>
  <si>
    <t>300740</t>
  </si>
  <si>
    <t>H00300740</t>
  </si>
  <si>
    <t>300741</t>
  </si>
  <si>
    <t>H00300741</t>
  </si>
  <si>
    <t>300742</t>
  </si>
  <si>
    <t>H00300742</t>
  </si>
  <si>
    <t>300743</t>
  </si>
  <si>
    <t>H00300743</t>
  </si>
  <si>
    <t>300744</t>
  </si>
  <si>
    <t>H00300744</t>
  </si>
  <si>
    <t>BSc (Hons) in Animal Behaviour and Training</t>
  </si>
  <si>
    <t>300745</t>
  </si>
  <si>
    <t>H00300745</t>
  </si>
  <si>
    <t>300746</t>
  </si>
  <si>
    <t>H00300746</t>
  </si>
  <si>
    <t>Foundation Degree in Equitation Coaching</t>
  </si>
  <si>
    <t>300747</t>
  </si>
  <si>
    <t>H00300747</t>
  </si>
  <si>
    <t>300748</t>
  </si>
  <si>
    <t>H00300748</t>
  </si>
  <si>
    <t>BSc (Hons) in Equine Performance Coaching</t>
  </si>
  <si>
    <t>300749</t>
  </si>
  <si>
    <t>H00300749</t>
  </si>
  <si>
    <t>BSc (Hons) in Equine Therapy and Rehabilitation</t>
  </si>
  <si>
    <t>300750</t>
  </si>
  <si>
    <t>H00300750</t>
  </si>
  <si>
    <t>HND in Digital Film Production</t>
  </si>
  <si>
    <t>300751</t>
  </si>
  <si>
    <t>H00300751</t>
  </si>
  <si>
    <t>300752</t>
  </si>
  <si>
    <t>H00300752</t>
  </si>
  <si>
    <t>300753</t>
  </si>
  <si>
    <t>H00300753</t>
  </si>
  <si>
    <t>Foundation Degree in Professional Development (Health and Social Care)</t>
  </si>
  <si>
    <t>300754</t>
  </si>
  <si>
    <t>H00300754</t>
  </si>
  <si>
    <t>300755</t>
  </si>
  <si>
    <t>H00300755</t>
  </si>
  <si>
    <t>Foundation Degree in Health and Social Care Practice - Health (Assistant Practitioner) Higher Apprenticeship</t>
  </si>
  <si>
    <t>300756</t>
  </si>
  <si>
    <t>H00300756</t>
  </si>
  <si>
    <t>Foundation Degree in (Science) Health Studies</t>
  </si>
  <si>
    <t>300757</t>
  </si>
  <si>
    <t>H00300757</t>
  </si>
  <si>
    <t>HNC in Building Services</t>
  </si>
  <si>
    <t>300758</t>
  </si>
  <si>
    <t>H00300758</t>
  </si>
  <si>
    <t>300759</t>
  </si>
  <si>
    <t>H00300759</t>
  </si>
  <si>
    <t>300760</t>
  </si>
  <si>
    <t>H00300760</t>
  </si>
  <si>
    <t>300761</t>
  </si>
  <si>
    <t>H00300761</t>
  </si>
  <si>
    <t>HNC in Electromechanical Engineering (Renewable Energy Systems)</t>
  </si>
  <si>
    <t>300762</t>
  </si>
  <si>
    <t>H00300762</t>
  </si>
  <si>
    <t>Foundation Degree in Aerospace Computer Systems</t>
  </si>
  <si>
    <t>300763</t>
  </si>
  <si>
    <t>H00300763</t>
  </si>
  <si>
    <t>Foundation Degree in Nuclear Related Technology (Design Engineering)</t>
  </si>
  <si>
    <t>300764</t>
  </si>
  <si>
    <t>H00300764</t>
  </si>
  <si>
    <t>Foundation Degree in Aeronautical Engineering (Manufacture)</t>
  </si>
  <si>
    <t>300765</t>
  </si>
  <si>
    <t>H00300765</t>
  </si>
  <si>
    <t>HNC in Manufacturing Technology</t>
  </si>
  <si>
    <t>300766</t>
  </si>
  <si>
    <t>H00300766</t>
  </si>
  <si>
    <t>HNC in Electrical and Electronic Technology</t>
  </si>
  <si>
    <t>300767</t>
  </si>
  <si>
    <t>H00300767</t>
  </si>
  <si>
    <t>HNC in Mechanical Technology</t>
  </si>
  <si>
    <t>300768</t>
  </si>
  <si>
    <t>H00300768</t>
  </si>
  <si>
    <t>300769</t>
  </si>
  <si>
    <t>H00300769</t>
  </si>
  <si>
    <t>Foundation Degree in Process Engineering Management</t>
  </si>
  <si>
    <t>300770</t>
  </si>
  <si>
    <t>H00300770</t>
  </si>
  <si>
    <t>300771</t>
  </si>
  <si>
    <t>H00300771</t>
  </si>
  <si>
    <t>300772</t>
  </si>
  <si>
    <t>H00300772</t>
  </si>
  <si>
    <t>300773</t>
  </si>
  <si>
    <t>H00300773</t>
  </si>
  <si>
    <t>300774</t>
  </si>
  <si>
    <t>H00300774</t>
  </si>
  <si>
    <t>300775</t>
  </si>
  <si>
    <t>H00300775</t>
  </si>
  <si>
    <t>300776</t>
  </si>
  <si>
    <t>H00300776</t>
  </si>
  <si>
    <t>300777</t>
  </si>
  <si>
    <t>H00300777</t>
  </si>
  <si>
    <t>300778</t>
  </si>
  <si>
    <t>H00300778</t>
  </si>
  <si>
    <t>HND in Electrical and Electronic Technology</t>
  </si>
  <si>
    <t>300779</t>
  </si>
  <si>
    <t>H00300779</t>
  </si>
  <si>
    <t>HNC in Mechatronics Engineering</t>
  </si>
  <si>
    <t>300780</t>
  </si>
  <si>
    <t>H00300780</t>
  </si>
  <si>
    <t>300781</t>
  </si>
  <si>
    <t>H00300781</t>
  </si>
  <si>
    <t>300782</t>
  </si>
  <si>
    <t>H00300782</t>
  </si>
  <si>
    <t>Foundation Degree in Aircraft Maintenance</t>
  </si>
  <si>
    <t>300783</t>
  </si>
  <si>
    <t>H00300783</t>
  </si>
  <si>
    <t>300784</t>
  </si>
  <si>
    <t>H00300784</t>
  </si>
  <si>
    <t>300785</t>
  </si>
  <si>
    <t>H00300785</t>
  </si>
  <si>
    <t>Foundation Degree in Industrial Engineering</t>
  </si>
  <si>
    <t>300786</t>
  </si>
  <si>
    <t>H00300786</t>
  </si>
  <si>
    <t>300787</t>
  </si>
  <si>
    <t>H00300787</t>
  </si>
  <si>
    <t>Foundation Degree in Space Technology</t>
  </si>
  <si>
    <t>300788</t>
  </si>
  <si>
    <t>H00300788</t>
  </si>
  <si>
    <t>Foundation Degree in Railway Engineering</t>
  </si>
  <si>
    <t>300789</t>
  </si>
  <si>
    <t>H00300789</t>
  </si>
  <si>
    <t>HNC in Railway Engineering</t>
  </si>
  <si>
    <t>300790</t>
  </si>
  <si>
    <t>H00300790</t>
  </si>
  <si>
    <t>HNC in Aeronautical Engineering</t>
  </si>
  <si>
    <t>300791</t>
  </si>
  <si>
    <t>H00300791</t>
  </si>
  <si>
    <t>300792</t>
  </si>
  <si>
    <t>H00300792</t>
  </si>
  <si>
    <t>HNC in Mechatronics</t>
  </si>
  <si>
    <t>300793</t>
  </si>
  <si>
    <t>H00300793</t>
  </si>
  <si>
    <t>Foundation Degree in Mechanical Manufacture</t>
  </si>
  <si>
    <t>300794</t>
  </si>
  <si>
    <t>H00300794</t>
  </si>
  <si>
    <t>HNC in Fabrication and Welding</t>
  </si>
  <si>
    <t>300795</t>
  </si>
  <si>
    <t>H00300795</t>
  </si>
  <si>
    <t>HNC in Plant and Process Engineering</t>
  </si>
  <si>
    <t>300796</t>
  </si>
  <si>
    <t>H00300796</t>
  </si>
  <si>
    <t>300797</t>
  </si>
  <si>
    <t>H00300797</t>
  </si>
  <si>
    <t>300798</t>
  </si>
  <si>
    <t>H00300798</t>
  </si>
  <si>
    <t>300799</t>
  </si>
  <si>
    <t>H00300799</t>
  </si>
  <si>
    <t>300800</t>
  </si>
  <si>
    <t>H00300800</t>
  </si>
  <si>
    <t>HNC in Mechanical and Computer Aided Engineering</t>
  </si>
  <si>
    <t>300801</t>
  </si>
  <si>
    <t>H00300801</t>
  </si>
  <si>
    <t>300802</t>
  </si>
  <si>
    <t>H00300802</t>
  </si>
  <si>
    <t>HNC in Engineering Technologies - Mechanical</t>
  </si>
  <si>
    <t>300803</t>
  </si>
  <si>
    <t>H00300803</t>
  </si>
  <si>
    <t>HNC in  Technologies - Electrical and Electronics</t>
  </si>
  <si>
    <t>300804</t>
  </si>
  <si>
    <t>H00300804</t>
  </si>
  <si>
    <t>300805</t>
  </si>
  <si>
    <t>H00300805</t>
  </si>
  <si>
    <t>300806</t>
  </si>
  <si>
    <t>H00300806</t>
  </si>
  <si>
    <t>HNC in Electronics</t>
  </si>
  <si>
    <t>300807</t>
  </si>
  <si>
    <t>H00300807</t>
  </si>
  <si>
    <t>Foundation Degree in Electronics and Communications</t>
  </si>
  <si>
    <t>300808</t>
  </si>
  <si>
    <t>H00300808</t>
  </si>
  <si>
    <t>300809</t>
  </si>
  <si>
    <t>H00300809</t>
  </si>
  <si>
    <t>HNC in Engineering (Electrical and Electronics)</t>
  </si>
  <si>
    <t>300810</t>
  </si>
  <si>
    <t>H00300810</t>
  </si>
  <si>
    <t>300811</t>
  </si>
  <si>
    <t>H00300811</t>
  </si>
  <si>
    <t>HNC in Electrical and Electronic Engineering by Flexible Open learning</t>
  </si>
  <si>
    <t>300812</t>
  </si>
  <si>
    <t>H00300812</t>
  </si>
  <si>
    <t>HND in Mechatronics</t>
  </si>
  <si>
    <t>300813</t>
  </si>
  <si>
    <t>H00300813</t>
  </si>
  <si>
    <t>300814</t>
  </si>
  <si>
    <t>H00300814</t>
  </si>
  <si>
    <t>HND Mechanical Engineering by Flexible Open Learning</t>
  </si>
  <si>
    <t>300815</t>
  </si>
  <si>
    <t>H00300815</t>
  </si>
  <si>
    <t>DipHE in Manufacturing Engineering</t>
  </si>
  <si>
    <t>300816</t>
  </si>
  <si>
    <t>H00300816</t>
  </si>
  <si>
    <t>300817</t>
  </si>
  <si>
    <t>H00300817</t>
  </si>
  <si>
    <t>Foundation Degree in Supporting Children with Special Educational Needs and Disabilities</t>
  </si>
  <si>
    <t>300818</t>
  </si>
  <si>
    <t>H00300818</t>
  </si>
  <si>
    <t>BA (Hons) in Physical Education and Sports Coaching</t>
  </si>
  <si>
    <t>300819</t>
  </si>
  <si>
    <t>H00300819</t>
  </si>
  <si>
    <t>MA in Literature and Digital Culture</t>
  </si>
  <si>
    <t>300820</t>
  </si>
  <si>
    <t>H00300820</t>
  </si>
  <si>
    <t>MA in Creative Industries: Practice, Business and Innovations</t>
  </si>
  <si>
    <t>300821</t>
  </si>
  <si>
    <t>H00300821</t>
  </si>
  <si>
    <t>MMus in Creative Music: Technology</t>
  </si>
  <si>
    <t>300822</t>
  </si>
  <si>
    <t>H00300822</t>
  </si>
  <si>
    <t>MEd in Advancing Professional Practice</t>
  </si>
  <si>
    <t>300823</t>
  </si>
  <si>
    <t>H00300823</t>
  </si>
  <si>
    <t>BA (Hons) in International Football Business Management</t>
  </si>
  <si>
    <t>300824</t>
  </si>
  <si>
    <t>H00300824</t>
  </si>
  <si>
    <t>MA in Creative Pattern Cutting</t>
  </si>
  <si>
    <t>300825</t>
  </si>
  <si>
    <t>H00300825</t>
  </si>
  <si>
    <t>BA (Hons) in Applied Arts for Enterprise (top up)</t>
  </si>
  <si>
    <t>300826</t>
  </si>
  <si>
    <t>H00300826</t>
  </si>
  <si>
    <t>300827</t>
  </si>
  <si>
    <t>H00300827</t>
  </si>
  <si>
    <t>300828</t>
  </si>
  <si>
    <t>H00300828</t>
  </si>
  <si>
    <t>300829</t>
  </si>
  <si>
    <t>H00300829</t>
  </si>
  <si>
    <t>Foundation Degree in Film and Moving Image Production</t>
  </si>
  <si>
    <t>300830</t>
  </si>
  <si>
    <t>H00300830</t>
  </si>
  <si>
    <t>300831</t>
  </si>
  <si>
    <t>H00300831</t>
  </si>
  <si>
    <t>300832</t>
  </si>
  <si>
    <t>H00300832</t>
  </si>
  <si>
    <t>BA (Hons) in Applied Studies (Music) (Top-up)</t>
  </si>
  <si>
    <t>300833</t>
  </si>
  <si>
    <t>H00300833</t>
  </si>
  <si>
    <t>BSc (Hons) in Engineering (Mechanical) (Top-up)</t>
  </si>
  <si>
    <t>300834</t>
  </si>
  <si>
    <t>H00300834</t>
  </si>
  <si>
    <t>BSc (Hons) in Engineering (Electrical and Electronic) (Top-up)</t>
  </si>
  <si>
    <t>300835</t>
  </si>
  <si>
    <t>H00300835</t>
  </si>
  <si>
    <t>300836</t>
  </si>
  <si>
    <t>H00300836</t>
  </si>
  <si>
    <t>300837</t>
  </si>
  <si>
    <t>H00300837</t>
  </si>
  <si>
    <t>Foundation Degree Arts in Independent Game Development</t>
  </si>
  <si>
    <t>300838</t>
  </si>
  <si>
    <t>H00300838</t>
  </si>
  <si>
    <t>Foundation Degree in Applied Sports Performance</t>
  </si>
  <si>
    <t>300839</t>
  </si>
  <si>
    <t>H00300839</t>
  </si>
  <si>
    <t>BSc (Hons) Applied Sports Performance</t>
  </si>
  <si>
    <t>300840</t>
  </si>
  <si>
    <t>H00300840</t>
  </si>
  <si>
    <t>FdA Business and Financial Management</t>
  </si>
  <si>
    <t>300841</t>
  </si>
  <si>
    <t>H00300841</t>
  </si>
  <si>
    <t>BA (Hons) Business and Financial Management</t>
  </si>
  <si>
    <t>300842</t>
  </si>
  <si>
    <t>H00300842</t>
  </si>
  <si>
    <t>BA (Hons) Graphic Design and Visual Communication</t>
  </si>
  <si>
    <t>300843</t>
  </si>
  <si>
    <t>H00300843</t>
  </si>
  <si>
    <t>PGCE in Secondary English</t>
  </si>
  <si>
    <t>300844</t>
  </si>
  <si>
    <t>H00300844</t>
  </si>
  <si>
    <t>HNC in Operational Yacht Science</t>
  </si>
  <si>
    <t>300845</t>
  </si>
  <si>
    <t>H00300845</t>
  </si>
  <si>
    <t>BSc (Hons) in Horticulture (Garden and Landscape Design)</t>
  </si>
  <si>
    <t>300846</t>
  </si>
  <si>
    <t>H00300846</t>
  </si>
  <si>
    <t>300847</t>
  </si>
  <si>
    <t>H00300847</t>
  </si>
  <si>
    <t>300848</t>
  </si>
  <si>
    <t>H00300848</t>
  </si>
  <si>
    <t>BSc (Hons) Human Biosciences</t>
  </si>
  <si>
    <t>300849</t>
  </si>
  <si>
    <t>H00300849</t>
  </si>
  <si>
    <t>FdSc Human Biosciences</t>
  </si>
  <si>
    <t>300850</t>
  </si>
  <si>
    <t>H00300850</t>
  </si>
  <si>
    <t>300851</t>
  </si>
  <si>
    <t>H00300851</t>
  </si>
  <si>
    <t>300852</t>
  </si>
  <si>
    <t>H00300852</t>
  </si>
  <si>
    <t>300853</t>
  </si>
  <si>
    <t>H00300853</t>
  </si>
  <si>
    <t>300854</t>
  </si>
  <si>
    <t>H00300854</t>
  </si>
  <si>
    <t>Foundation Degree in Creative Media Production</t>
  </si>
  <si>
    <t>300855</t>
  </si>
  <si>
    <t>H00300855</t>
  </si>
  <si>
    <t>BA (Hons) in Social Policy, Health and Housing</t>
  </si>
  <si>
    <t>300856</t>
  </si>
  <si>
    <t>H00300856</t>
  </si>
  <si>
    <t>Foundation Degree in Social Policy, Health and Housing</t>
  </si>
  <si>
    <t>300857</t>
  </si>
  <si>
    <t>H00300857</t>
  </si>
  <si>
    <t>BA (Hons) Creative Illustration</t>
  </si>
  <si>
    <t>300858</t>
  </si>
  <si>
    <t>H00300858</t>
  </si>
  <si>
    <t>300859</t>
  </si>
  <si>
    <t>H00300859</t>
  </si>
  <si>
    <t>300860</t>
  </si>
  <si>
    <t>H00300860</t>
  </si>
  <si>
    <t>Foundation Degree in Fashion and Textiles</t>
  </si>
  <si>
    <t>300861</t>
  </si>
  <si>
    <t>H00300861</t>
  </si>
  <si>
    <t>300862</t>
  </si>
  <si>
    <t>H00300862</t>
  </si>
  <si>
    <t>300863</t>
  </si>
  <si>
    <t>H00300863</t>
  </si>
  <si>
    <t>300864</t>
  </si>
  <si>
    <t>H00300864</t>
  </si>
  <si>
    <t>FdSc Events Management</t>
  </si>
  <si>
    <t>300865</t>
  </si>
  <si>
    <t>H00300865</t>
  </si>
  <si>
    <t>BSc (Hons) in Events Management</t>
  </si>
  <si>
    <t>300866</t>
  </si>
  <si>
    <t>H00300866</t>
  </si>
  <si>
    <t>FdA Family Support and Wellbeing</t>
  </si>
  <si>
    <t>300867</t>
  </si>
  <si>
    <t>H00300867</t>
  </si>
  <si>
    <t>FdSc Hospitality and Licensed Retail Management</t>
  </si>
  <si>
    <t>300868</t>
  </si>
  <si>
    <t>H00300868</t>
  </si>
  <si>
    <t>BSc (Hons) in Hospitality Management</t>
  </si>
  <si>
    <t>300869</t>
  </si>
  <si>
    <t>H00300869</t>
  </si>
  <si>
    <t>FdSc Tourism Enterprise Management</t>
  </si>
  <si>
    <t>300870</t>
  </si>
  <si>
    <t>H00300870</t>
  </si>
  <si>
    <t>BSc (Hons) in Tourism Enterprise Management</t>
  </si>
  <si>
    <t>300871</t>
  </si>
  <si>
    <t>H00300871</t>
  </si>
  <si>
    <t>HNC in Criminal Justice</t>
  </si>
  <si>
    <t>300872</t>
  </si>
  <si>
    <t>H00300872</t>
  </si>
  <si>
    <t>BA (Hons) in Audio and Music (Top-Up)</t>
  </si>
  <si>
    <t>300873</t>
  </si>
  <si>
    <t>H00300873</t>
  </si>
  <si>
    <t>BA (Hons) in Early Years Care and Childhood Studies</t>
  </si>
  <si>
    <t>300874</t>
  </si>
  <si>
    <t>H00300874</t>
  </si>
  <si>
    <t>300875</t>
  </si>
  <si>
    <t>H00300875</t>
  </si>
  <si>
    <t>300876</t>
  </si>
  <si>
    <t>H00300876</t>
  </si>
  <si>
    <t>Foundation Degree in Early Childhood Studies - TEC Partnership</t>
  </si>
  <si>
    <t>300877</t>
  </si>
  <si>
    <t>H00300877</t>
  </si>
  <si>
    <t>Foundation Degree in Children, Young People and Families - TEC Partnership</t>
  </si>
  <si>
    <t>300878</t>
  </si>
  <si>
    <t>H00300878</t>
  </si>
  <si>
    <t>300879</t>
  </si>
  <si>
    <t>H00300879</t>
  </si>
  <si>
    <t>300880</t>
  </si>
  <si>
    <t>H00300880</t>
  </si>
  <si>
    <t>300881</t>
  </si>
  <si>
    <t>H00300881</t>
  </si>
  <si>
    <t>300882</t>
  </si>
  <si>
    <t>H00300882</t>
  </si>
  <si>
    <t>BA (Hons) in Service Sector Management (top-Up)</t>
  </si>
  <si>
    <t>300883</t>
  </si>
  <si>
    <t>H00300883</t>
  </si>
  <si>
    <t>300884</t>
  </si>
  <si>
    <t>H00300884</t>
  </si>
  <si>
    <t>300885</t>
  </si>
  <si>
    <t>H00300885</t>
  </si>
  <si>
    <t>BA (Hons) in Music (Business</t>
  </si>
  <si>
    <t>300886</t>
  </si>
  <si>
    <t>H00300886</t>
  </si>
  <si>
    <t>BA (Hons) in Music (Classical with Jazz)</t>
  </si>
  <si>
    <t>300887</t>
  </si>
  <si>
    <t>H00300887</t>
  </si>
  <si>
    <t>BA (Hons) in Music (Classical with Popular)</t>
  </si>
  <si>
    <t>300888</t>
  </si>
  <si>
    <t>H00300888</t>
  </si>
  <si>
    <t>BA (Hons) in Music (Classical with Production)</t>
  </si>
  <si>
    <t>300889</t>
  </si>
  <si>
    <t>H00300889</t>
  </si>
  <si>
    <t>BA (Hons) in Music (Jazz with Classical)</t>
  </si>
  <si>
    <t>300890</t>
  </si>
  <si>
    <t>H00300890</t>
  </si>
  <si>
    <t>BA (Hons) in Music (Jazz with Popular)</t>
  </si>
  <si>
    <t>300891</t>
  </si>
  <si>
    <t>H00300891</t>
  </si>
  <si>
    <t>BA (Hons) in Music (Jazz with Production)</t>
  </si>
  <si>
    <t>300892</t>
  </si>
  <si>
    <t>H00300892</t>
  </si>
  <si>
    <t>BA (Hons) in Music (Popular with Classical)</t>
  </si>
  <si>
    <t>300893</t>
  </si>
  <si>
    <t>H00300893</t>
  </si>
  <si>
    <t>BA (Hons) in Music (Popular with Jazz)</t>
  </si>
  <si>
    <t>300894</t>
  </si>
  <si>
    <t>H00300894</t>
  </si>
  <si>
    <t>BA (Hons) in Music (Popular with Production)</t>
  </si>
  <si>
    <t>300895</t>
  </si>
  <si>
    <t>H00300895</t>
  </si>
  <si>
    <t>BA (Hons) in Music (Production with Classical)</t>
  </si>
  <si>
    <t>300896</t>
  </si>
  <si>
    <t>H00300896</t>
  </si>
  <si>
    <t>BA (Hons) in Music (Production with Jazz)</t>
  </si>
  <si>
    <t>300897</t>
  </si>
  <si>
    <t>H00300897</t>
  </si>
  <si>
    <t>BA (Hons) in Music (Production with Popular)</t>
  </si>
  <si>
    <t>300898</t>
  </si>
  <si>
    <t>H00300898</t>
  </si>
  <si>
    <t>Foundation Degree in Music Technology and Production</t>
  </si>
  <si>
    <t>300899</t>
  </si>
  <si>
    <t>H00300899</t>
  </si>
  <si>
    <t>FdSc in Animal Health and Management - Askham Bryan College</t>
  </si>
  <si>
    <t>300900</t>
  </si>
  <si>
    <t>H00300900</t>
  </si>
  <si>
    <t>Foundation Degree in Disability Studies (Inclusive Practice)</t>
  </si>
  <si>
    <t>300901</t>
  </si>
  <si>
    <t>H00300901</t>
  </si>
  <si>
    <t>BA (Hons) in Retail Management (top-up)</t>
  </si>
  <si>
    <t>300902</t>
  </si>
  <si>
    <t>H00300902</t>
  </si>
  <si>
    <t>300903</t>
  </si>
  <si>
    <t>H00300903</t>
  </si>
  <si>
    <t>BA (Hons) in Education and Curriculum Studies</t>
  </si>
  <si>
    <t>300904</t>
  </si>
  <si>
    <t>H00300904</t>
  </si>
  <si>
    <t>BSc (Hons) in Applied Marine Zoology</t>
  </si>
  <si>
    <t>300905</t>
  </si>
  <si>
    <t>H00300905</t>
  </si>
  <si>
    <t>BSc (Hons) in Applied Zoology and Conservation</t>
  </si>
  <si>
    <t>300906</t>
  </si>
  <si>
    <t>H00300906</t>
  </si>
  <si>
    <t>Foundation Degree in Coastal Safety Management</t>
  </si>
  <si>
    <t>300907</t>
  </si>
  <si>
    <t>H00300907</t>
  </si>
  <si>
    <t>Foundation Degree in Estate and Farm Enterprise Management</t>
  </si>
  <si>
    <t>300908</t>
  </si>
  <si>
    <t>H00300908</t>
  </si>
  <si>
    <t>HNC in Analytical Chemistry</t>
  </si>
  <si>
    <t>300909</t>
  </si>
  <si>
    <t>H00300909</t>
  </si>
  <si>
    <t>300910</t>
  </si>
  <si>
    <t>H00300910</t>
  </si>
  <si>
    <t>300911</t>
  </si>
  <si>
    <t>H00300911</t>
  </si>
  <si>
    <t>BA (Hons) in Business Management with Accounting</t>
  </si>
  <si>
    <t>300912</t>
  </si>
  <si>
    <t>H00300912</t>
  </si>
  <si>
    <t>300913</t>
  </si>
  <si>
    <t>H00300913</t>
  </si>
  <si>
    <t>300914</t>
  </si>
  <si>
    <t>H00300914</t>
  </si>
  <si>
    <t>300915</t>
  </si>
  <si>
    <t>H00300915</t>
  </si>
  <si>
    <t>BA (Hons) in Criminological Studies with Social Science</t>
  </si>
  <si>
    <t>300916</t>
  </si>
  <si>
    <t>H00300916</t>
  </si>
  <si>
    <t>Enhanced First Degree in Strategic Business Environment</t>
  </si>
  <si>
    <t>300917</t>
  </si>
  <si>
    <t>H00300917</t>
  </si>
  <si>
    <t>BA (Hons) in Fashion Design and Production</t>
  </si>
  <si>
    <t>300918</t>
  </si>
  <si>
    <t>H00300918</t>
  </si>
  <si>
    <t>BA (Hons) in Design for Visual Communication</t>
  </si>
  <si>
    <t>300919</t>
  </si>
  <si>
    <t>H00300919</t>
  </si>
  <si>
    <t>BA (Hons) in Filmmaking</t>
  </si>
  <si>
    <t>300920</t>
  </si>
  <si>
    <t>H00300920</t>
  </si>
  <si>
    <t>Foundation Degree in Film Production</t>
  </si>
  <si>
    <t>300921</t>
  </si>
  <si>
    <t>H00300921</t>
  </si>
  <si>
    <t>300922</t>
  </si>
  <si>
    <t>H00300922</t>
  </si>
  <si>
    <t>300923</t>
  </si>
  <si>
    <t>H00300923</t>
  </si>
  <si>
    <t>BA (Hons) in Media Production</t>
  </si>
  <si>
    <t>300924</t>
  </si>
  <si>
    <t>H00300924</t>
  </si>
  <si>
    <t>BA (Hons) in Media Production (Film)</t>
  </si>
  <si>
    <t>300925</t>
  </si>
  <si>
    <t>H00300925</t>
  </si>
  <si>
    <t>BA (Hons) in Media Production (Television)</t>
  </si>
  <si>
    <t>300926</t>
  </si>
  <si>
    <t>H00300926</t>
  </si>
  <si>
    <t>BA (Hons) in Media Production (Radio)</t>
  </si>
  <si>
    <t>300927</t>
  </si>
  <si>
    <t>H00300927</t>
  </si>
  <si>
    <t>BA (Hons) in Media Production (Journalism)</t>
  </si>
  <si>
    <t>300928</t>
  </si>
  <si>
    <t>H00300928</t>
  </si>
  <si>
    <t>BA (Hons) in Media Production (Documentary)</t>
  </si>
  <si>
    <t>300929</t>
  </si>
  <si>
    <t>H00300929</t>
  </si>
  <si>
    <t>300930</t>
  </si>
  <si>
    <t>H00300930</t>
  </si>
  <si>
    <t>BA (Hons) in English Literature with Sociology</t>
  </si>
  <si>
    <t>300931</t>
  </si>
  <si>
    <t>H00300931</t>
  </si>
  <si>
    <t>BA (Hons) in English Literature with Psychology</t>
  </si>
  <si>
    <t>300932</t>
  </si>
  <si>
    <t>H00300932</t>
  </si>
  <si>
    <t>BA (Hons) in Early Years: Education and Practice</t>
  </si>
  <si>
    <t>300933</t>
  </si>
  <si>
    <t>H00300933</t>
  </si>
  <si>
    <t>Foundation Degree in Early Years: Education and Practice</t>
  </si>
  <si>
    <t>300934</t>
  </si>
  <si>
    <t>H00300934</t>
  </si>
  <si>
    <t>300935</t>
  </si>
  <si>
    <t>H00300935</t>
  </si>
  <si>
    <t>BEng (Hons) in Motorsport Technology</t>
  </si>
  <si>
    <t>300936</t>
  </si>
  <si>
    <t>H00300936</t>
  </si>
  <si>
    <t>BSc (Hons) in Health and Social Care Studies</t>
  </si>
  <si>
    <t>300937</t>
  </si>
  <si>
    <t>H00300937</t>
  </si>
  <si>
    <t>Foundation Degree in Communications systems, security and computing</t>
  </si>
  <si>
    <t>300938</t>
  </si>
  <si>
    <t>H00300938</t>
  </si>
  <si>
    <t>Foundation Degree in Information Systems Management</t>
  </si>
  <si>
    <t>300939</t>
  </si>
  <si>
    <t>H00300939</t>
  </si>
  <si>
    <t>Foundation Degree in Business Management for IT</t>
  </si>
  <si>
    <t>300940</t>
  </si>
  <si>
    <t>H00300940</t>
  </si>
  <si>
    <t>300941</t>
  </si>
  <si>
    <t>H00300941</t>
  </si>
  <si>
    <t>HND in Applied Animal Science</t>
  </si>
  <si>
    <t>300942</t>
  </si>
  <si>
    <t>H00300942</t>
  </si>
  <si>
    <t>HNC in Applied Animal Science</t>
  </si>
  <si>
    <t>300943</t>
  </si>
  <si>
    <t>H00300943</t>
  </si>
  <si>
    <t>PGCE for Higher Education Teachers</t>
  </si>
  <si>
    <t>300944</t>
  </si>
  <si>
    <t>H00300944</t>
  </si>
  <si>
    <t>300946</t>
  </si>
  <si>
    <t>H00300946</t>
  </si>
  <si>
    <t>300947</t>
  </si>
  <si>
    <t>H00300947</t>
  </si>
  <si>
    <t>HND in Architectural Design</t>
  </si>
  <si>
    <t>300948</t>
  </si>
  <si>
    <t>H00300948</t>
  </si>
  <si>
    <t>300949</t>
  </si>
  <si>
    <t>H00300949</t>
  </si>
  <si>
    <t>HND in Building Surveying</t>
  </si>
  <si>
    <t>300950</t>
  </si>
  <si>
    <t>H00300950</t>
  </si>
  <si>
    <t>HND in Construction Management</t>
  </si>
  <si>
    <t>300951</t>
  </si>
  <si>
    <t>H00300951</t>
  </si>
  <si>
    <t>HND in Quantity Surveying</t>
  </si>
  <si>
    <t>300952</t>
  </si>
  <si>
    <t>H00300952</t>
  </si>
  <si>
    <t>Foundation Degree in Health and Social Care (Care)</t>
  </si>
  <si>
    <t>300953</t>
  </si>
  <si>
    <t>H00300953</t>
  </si>
  <si>
    <t>Foundation Degree in Health and Social Care (Early Years)</t>
  </si>
  <si>
    <t>300954</t>
  </si>
  <si>
    <t>H00300954</t>
  </si>
  <si>
    <t>300955</t>
  </si>
  <si>
    <t>H00300955</t>
  </si>
  <si>
    <t>HNC in Architectural Design</t>
  </si>
  <si>
    <t>300956</t>
  </si>
  <si>
    <t>H00300956</t>
  </si>
  <si>
    <t>HNC in Building Surveying</t>
  </si>
  <si>
    <t>300957</t>
  </si>
  <si>
    <t>H00300957</t>
  </si>
  <si>
    <t>HNC in Quantity Surveying</t>
  </si>
  <si>
    <t>300958</t>
  </si>
  <si>
    <t>H00300958</t>
  </si>
  <si>
    <t>300959</t>
  </si>
  <si>
    <t>H00300959</t>
  </si>
  <si>
    <t>300960</t>
  </si>
  <si>
    <t>H00300960</t>
  </si>
  <si>
    <t>Foundation Degree in Applied Professional Studies</t>
  </si>
  <si>
    <t>300961</t>
  </si>
  <si>
    <t>H00300961</t>
  </si>
  <si>
    <t>Foundation Degree in Communications Systems Engineering (Framework 418)</t>
  </si>
  <si>
    <t>300962</t>
  </si>
  <si>
    <t>H00300962</t>
  </si>
  <si>
    <t>Foundation Degree in Information and Communications Technology (Framework 418)</t>
  </si>
  <si>
    <t>300963</t>
  </si>
  <si>
    <t>H00300963</t>
  </si>
  <si>
    <t>HND in Health Management (2 year programme) - Yeovil College</t>
  </si>
  <si>
    <t>300964</t>
  </si>
  <si>
    <t>H00300964</t>
  </si>
  <si>
    <t>Foundation Degree in Sports Development and Coaching - Yeovil College</t>
  </si>
  <si>
    <t>300965</t>
  </si>
  <si>
    <t>H00300965</t>
  </si>
  <si>
    <t>300966</t>
  </si>
  <si>
    <t>H00300966</t>
  </si>
  <si>
    <t>300967</t>
  </si>
  <si>
    <t>H00300967</t>
  </si>
  <si>
    <t>Foundation Degree in Graphic Design - Yeovil College</t>
  </si>
  <si>
    <t>300968</t>
  </si>
  <si>
    <t>H00300968</t>
  </si>
  <si>
    <t>Foundation Degree in Sports Coaching and Fitness - Yeovil College</t>
  </si>
  <si>
    <t>300969</t>
  </si>
  <si>
    <t>H00300969</t>
  </si>
  <si>
    <t>Foundation Degree in Fine Arts - Yeovil College</t>
  </si>
  <si>
    <t>300970</t>
  </si>
  <si>
    <t>H00300970</t>
  </si>
  <si>
    <t>Foundation Degree in Media - Yeovil College</t>
  </si>
  <si>
    <t>300971</t>
  </si>
  <si>
    <t>H00300971</t>
  </si>
  <si>
    <t>Foundation Degree in Photography - Yeovil College</t>
  </si>
  <si>
    <t>300972</t>
  </si>
  <si>
    <t>H00300972</t>
  </si>
  <si>
    <t>Foundation Degree in Teaching and Learning - (New College Nottingham)</t>
  </si>
  <si>
    <t>300973</t>
  </si>
  <si>
    <t>H00300973</t>
  </si>
  <si>
    <t>BA (Hons) in Cultural Studies - (Wirral Metropolitan College)</t>
  </si>
  <si>
    <t>300974</t>
  </si>
  <si>
    <t>H00300974</t>
  </si>
  <si>
    <t>CertHE in Food Technology and Development - (Bridgwater College)</t>
  </si>
  <si>
    <t>300975</t>
  </si>
  <si>
    <t>H00300975</t>
  </si>
  <si>
    <t>Foundation Degree in Early Years Childcare and Education - (Havering College of Further and Higher Education)</t>
  </si>
  <si>
    <t>300976</t>
  </si>
  <si>
    <t>H00300976</t>
  </si>
  <si>
    <t>BA (Hons) in Security and Offender Management (Top Up) - (Derby College)</t>
  </si>
  <si>
    <t>300977</t>
  </si>
  <si>
    <t>H00300977</t>
  </si>
  <si>
    <t>BSc (Hons) in Construction Management for Sustainability and Regeneration of the Built Environment - (Havering College of Further and Higher Education)</t>
  </si>
  <si>
    <t>300978</t>
  </si>
  <si>
    <t>H00300978</t>
  </si>
  <si>
    <t>BA (Hons) in Music and Creative Music Technology - (New College Nottingham (NCN)</t>
  </si>
  <si>
    <t>300979</t>
  </si>
  <si>
    <t>H00300979</t>
  </si>
  <si>
    <t>Foundation Degree in Healthcare Practice - (Framework 602)</t>
  </si>
  <si>
    <t>300980</t>
  </si>
  <si>
    <t>H00300980</t>
  </si>
  <si>
    <t>300981</t>
  </si>
  <si>
    <t>H00300981</t>
  </si>
  <si>
    <t>Foundation Degree in Integrated Care Practice - (Framework 602)</t>
  </si>
  <si>
    <t>300982</t>
  </si>
  <si>
    <t>H00300982</t>
  </si>
  <si>
    <t>Foundation Degree in Mental Health - (Framework 602)</t>
  </si>
  <si>
    <t>300983</t>
  </si>
  <si>
    <t>H00300983</t>
  </si>
  <si>
    <t>BSc (Hons) in Personal Training with Strength and Conditioning (Top) - (City and Islington College)</t>
  </si>
  <si>
    <t>300984</t>
  </si>
  <si>
    <t>H00300984</t>
  </si>
  <si>
    <t>BSc (Hons) in Physical Education and Coaching (Top-Up) - (City and Islington College)</t>
  </si>
  <si>
    <t>300985</t>
  </si>
  <si>
    <t>H00300985</t>
  </si>
  <si>
    <t>Foundation Degree in Education: Primary Pathway - (City and Islington College )</t>
  </si>
  <si>
    <t>300986</t>
  </si>
  <si>
    <t>H00300986</t>
  </si>
  <si>
    <t>Foundation Degree in Public Service Management - (City and Islington College)</t>
  </si>
  <si>
    <t>300987</t>
  </si>
  <si>
    <t>H00300987</t>
  </si>
  <si>
    <t>CertEd in Post Compulsory Education and Training - (Riverside College Halton)</t>
  </si>
  <si>
    <t>300988</t>
  </si>
  <si>
    <t>H00300988</t>
  </si>
  <si>
    <t>PGCE in Post Compulsory Education and Training - (Riverside College Halton)</t>
  </si>
  <si>
    <t>300989</t>
  </si>
  <si>
    <t>H00300989</t>
  </si>
  <si>
    <t>Foundation Degree in Working with Children and young People - (City and Islington College)</t>
  </si>
  <si>
    <t>300990</t>
  </si>
  <si>
    <t>H00300990</t>
  </si>
  <si>
    <t>BA (Hons) in English Literature with Criminology - (Farnborough College of Technology)</t>
  </si>
  <si>
    <t>300991</t>
  </si>
  <si>
    <t>H00300991</t>
  </si>
  <si>
    <t>BSc (Hons) in Psychology with Sociology - (Farnborough College of Technology)</t>
  </si>
  <si>
    <t>300992</t>
  </si>
  <si>
    <t>H00300992</t>
  </si>
  <si>
    <t>Diploma in Education in Education and Training: Teaching Disabled Learners - (West Thames College)</t>
  </si>
  <si>
    <t>300993</t>
  </si>
  <si>
    <t>H00300993</t>
  </si>
  <si>
    <t>BA (Hons) in applied Studies (Creative Digital Media)(Top-Up) - (West Nottinghamshire College)</t>
  </si>
  <si>
    <t>300995</t>
  </si>
  <si>
    <t>H00300995</t>
  </si>
  <si>
    <t>Diploma in Education and Training - (Lincoln College)</t>
  </si>
  <si>
    <t>300996</t>
  </si>
  <si>
    <t>H00300996</t>
  </si>
  <si>
    <t>Foundation Degree in Information and Communication Technology (Framework 418)</t>
  </si>
  <si>
    <t>300997</t>
  </si>
  <si>
    <t>H00300997</t>
  </si>
  <si>
    <t>Foundation Degree in Chemical Science (Framework 563)</t>
  </si>
  <si>
    <t>300998</t>
  </si>
  <si>
    <t>H00300998</t>
  </si>
  <si>
    <t>Foundation Degree in Food Manufacture (Framework 563)</t>
  </si>
  <si>
    <t>300999</t>
  </si>
  <si>
    <t>H00300999</t>
  </si>
  <si>
    <t>DIPHE in Professional Practice in Leading and Managing Care Services (Mental Health) - (Framework 584)</t>
  </si>
  <si>
    <t>301000</t>
  </si>
  <si>
    <t>H00301000</t>
  </si>
  <si>
    <t>BA Hons in Contemporary Photography - (Stockport College)</t>
  </si>
  <si>
    <t>301001</t>
  </si>
  <si>
    <t>H00301001</t>
  </si>
  <si>
    <t>BA Hons in Graphic Arts and Design - (Stockport College)</t>
  </si>
  <si>
    <t>301002</t>
  </si>
  <si>
    <t>H00301002</t>
  </si>
  <si>
    <t>BA Hons in Motion Design - (Stockport College)</t>
  </si>
  <si>
    <t>301003</t>
  </si>
  <si>
    <t>H00301003</t>
  </si>
  <si>
    <t>BA Hons in Illustration - (Stockport College)</t>
  </si>
  <si>
    <t>301004</t>
  </si>
  <si>
    <t>H00301004</t>
  </si>
  <si>
    <t>BA Hons in Childhood Studies - (Stockport College)</t>
  </si>
  <si>
    <t>301005</t>
  </si>
  <si>
    <t>H00301005</t>
  </si>
  <si>
    <t>BA Hons in Health and Social Care - (Stockport College)</t>
  </si>
  <si>
    <t>301006</t>
  </si>
  <si>
    <t>H00301006</t>
  </si>
  <si>
    <t>Foundation Degree in TV Production - (Stockport College)</t>
  </si>
  <si>
    <t>301007</t>
  </si>
  <si>
    <t>H00301007</t>
  </si>
  <si>
    <t>Foundation Degree in Early Years Practice - (Stockport College)</t>
  </si>
  <si>
    <t>301008</t>
  </si>
  <si>
    <t>H00301008</t>
  </si>
  <si>
    <t>Foundation Degree in Working with Children and Young People - (Stockport College)</t>
  </si>
  <si>
    <t>301009</t>
  </si>
  <si>
    <t>H00301009</t>
  </si>
  <si>
    <t>Foundation Degree in Interior Design with Sustainability - (Stockport College)</t>
  </si>
  <si>
    <t>301010</t>
  </si>
  <si>
    <t>H00301010</t>
  </si>
  <si>
    <t>Foundation Degree in Health and Social Care (Acute Hospital Care) - (Framework 602)</t>
  </si>
  <si>
    <t>301011</t>
  </si>
  <si>
    <t>H00301011</t>
  </si>
  <si>
    <t>Foundation Degree in Health and Social Care (Primary Care) - (Framework 602)</t>
  </si>
  <si>
    <t>301012</t>
  </si>
  <si>
    <t>H00301012</t>
  </si>
  <si>
    <t>Foundation Degree in Health and Social Care (Mental Health Care) - Framework 602)</t>
  </si>
  <si>
    <t>301013</t>
  </si>
  <si>
    <t>H00301013</t>
  </si>
  <si>
    <t>Foundation Degree in Health and Social Care (Maternity Support) - (Framework 602)</t>
  </si>
  <si>
    <t>301014</t>
  </si>
  <si>
    <t>H00301014</t>
  </si>
  <si>
    <t>Foundation Degree in Health and Social Care (Rehabilitation Therapy) - (Framework 602)</t>
  </si>
  <si>
    <t>301015</t>
  </si>
  <si>
    <t>H00301015</t>
  </si>
  <si>
    <t>BA (Hons) in Business Management Practice - (Yeovil College)</t>
  </si>
  <si>
    <t>301016</t>
  </si>
  <si>
    <t>H00301016</t>
  </si>
  <si>
    <t>Foundation Degree in Forensic Science - (Yeovil College)</t>
  </si>
  <si>
    <t>301017</t>
  </si>
  <si>
    <t>H00301017</t>
  </si>
  <si>
    <t>Foundation Degree in Educational Support - (Yeovil College)</t>
  </si>
  <si>
    <t>301018</t>
  </si>
  <si>
    <t>H00301018</t>
  </si>
  <si>
    <t>Foundation Degree in Mental Health Practice - (City College Norwich)</t>
  </si>
  <si>
    <t>301019</t>
  </si>
  <si>
    <t>H00301019</t>
  </si>
  <si>
    <t>Cert HE in Photography and Video - (Leicester College)</t>
  </si>
  <si>
    <t>301020</t>
  </si>
  <si>
    <t>H00301020</t>
  </si>
  <si>
    <t>Cert HE in Graphic Design and eMedia - (Leicester College)</t>
  </si>
  <si>
    <t>301021</t>
  </si>
  <si>
    <t>H00301021</t>
  </si>
  <si>
    <t>Cert HE in Fashion and Costume - (Leicester College)</t>
  </si>
  <si>
    <t>301022</t>
  </si>
  <si>
    <t>H00301022</t>
  </si>
  <si>
    <t>Cert HE in Footwear - (Leicester College)</t>
  </si>
  <si>
    <t>301023</t>
  </si>
  <si>
    <t>H00301023</t>
  </si>
  <si>
    <t>301024</t>
  </si>
  <si>
    <t>H00301024</t>
  </si>
  <si>
    <t>Foundation Degree in Health Studies - (City College Norwich)</t>
  </si>
  <si>
    <t>301025</t>
  </si>
  <si>
    <t>H00301025</t>
  </si>
  <si>
    <t>HND in Enterprise Information Systems - (Solihull College)</t>
  </si>
  <si>
    <t>301026</t>
  </si>
  <si>
    <t>H00301026</t>
  </si>
  <si>
    <t>Foundation Degree in Computing - (Aylesbury College)</t>
  </si>
  <si>
    <t>301027</t>
  </si>
  <si>
    <t>H00301027</t>
  </si>
  <si>
    <t>BA Hons in Fine Art (Painting) - (St Helens College)</t>
  </si>
  <si>
    <t>301028</t>
  </si>
  <si>
    <t>H00301028</t>
  </si>
  <si>
    <t>BA Hons in Game Art - (St Helens College)</t>
  </si>
  <si>
    <t>301029</t>
  </si>
  <si>
    <t>H00301029</t>
  </si>
  <si>
    <t>BA Hons in Graphic Design - (St Helens College)</t>
  </si>
  <si>
    <t>301030</t>
  </si>
  <si>
    <t>H00301030</t>
  </si>
  <si>
    <t>BA Hons in Photography - (St Helens College)</t>
  </si>
  <si>
    <t>301031</t>
  </si>
  <si>
    <t>H00301031</t>
  </si>
  <si>
    <t>Foundation Degree in Applied Microbiology - (St Helens College)</t>
  </si>
  <si>
    <t>301032</t>
  </si>
  <si>
    <t>H00301032</t>
  </si>
  <si>
    <t>Foundation Degree in Criminal Justice - (St Helens College)</t>
  </si>
  <si>
    <t>301033</t>
  </si>
  <si>
    <t>H00301033</t>
  </si>
  <si>
    <t>Foundation Degree in Fashion with Textiles - (South Devon College)</t>
  </si>
  <si>
    <t>301034</t>
  </si>
  <si>
    <t>H00301034</t>
  </si>
  <si>
    <t>Foundation Degree in Games and Interactive Design - (South Devon College)</t>
  </si>
  <si>
    <t>301035</t>
  </si>
  <si>
    <t>H00301035</t>
  </si>
  <si>
    <t>BSc (Hons) in Horticulture with Plantmanship and Design - (Sparsholt College)</t>
  </si>
  <si>
    <t>301036</t>
  </si>
  <si>
    <t>H00301036</t>
  </si>
  <si>
    <t>Foundation Degree in Horticulture with Plantmanship and Design - (Sparsholt College)</t>
  </si>
  <si>
    <t>301037</t>
  </si>
  <si>
    <t>H00301037</t>
  </si>
  <si>
    <t>BA (Hons) in Music (New Music)</t>
  </si>
  <si>
    <t>301038</t>
  </si>
  <si>
    <t>H00301038</t>
  </si>
  <si>
    <t>BA (Hons) in Music (Film Music)</t>
  </si>
  <si>
    <t>301039</t>
  </si>
  <si>
    <t>H00301039</t>
  </si>
  <si>
    <t>Foundation Degree in Clinical Dental Technology - (Mid Kent College)</t>
  </si>
  <si>
    <t>301040</t>
  </si>
  <si>
    <t>H00301040</t>
  </si>
  <si>
    <t>Foundation Degree in Advanced Dental Nursing - (Mid Kent College)</t>
  </si>
  <si>
    <t>301041</t>
  </si>
  <si>
    <t>H00301041</t>
  </si>
  <si>
    <t>BA (Hons) in Business Management - (Holy Cross College)</t>
  </si>
  <si>
    <t>301042</t>
  </si>
  <si>
    <t>H00301042</t>
  </si>
  <si>
    <t>BA (Hons) in History - (Holy Cross College)</t>
  </si>
  <si>
    <t>301043</t>
  </si>
  <si>
    <t>H00301043</t>
  </si>
  <si>
    <t>BSc (Hons) in Health Management - (Yeovil College)</t>
  </si>
  <si>
    <t>301044</t>
  </si>
  <si>
    <t>H00301044</t>
  </si>
  <si>
    <t>BSc (Hons) in Health and Social Care - (Yeovil College)</t>
  </si>
  <si>
    <t>301045</t>
  </si>
  <si>
    <t>H00301045</t>
  </si>
  <si>
    <t>Additional Diploma in Teaching Disabled Learners - (Ealing, Hammersmith and West London College)</t>
  </si>
  <si>
    <t>301046</t>
  </si>
  <si>
    <t>H00301046</t>
  </si>
  <si>
    <t>Certificate in Education (DET) - (Ealing, Hammersmith and West London College)</t>
  </si>
  <si>
    <t>301047</t>
  </si>
  <si>
    <t>H00301047</t>
  </si>
  <si>
    <t>Professional Graduate Certificate in Education (DET) - (Ealing, Hammersmith and West London College)</t>
  </si>
  <si>
    <t>301048</t>
  </si>
  <si>
    <t>H00301048</t>
  </si>
  <si>
    <t>CERT HE in Mineral Products Technology - (University of Derby)</t>
  </si>
  <si>
    <t>301049</t>
  </si>
  <si>
    <t>H00301049</t>
  </si>
  <si>
    <t>University Diploma in Post-Compulsory Education and Training - (Yeovil College)</t>
  </si>
  <si>
    <t>301050</t>
  </si>
  <si>
    <t>H00301050</t>
  </si>
  <si>
    <t>BSc (Hons) Public Services and the Community</t>
  </si>
  <si>
    <t>301051</t>
  </si>
  <si>
    <t>H00301051</t>
  </si>
  <si>
    <t>BSc (Hons) in Equestrian Sports Coaching - (Hartpury College)</t>
  </si>
  <si>
    <t>301052</t>
  </si>
  <si>
    <t>H00301052</t>
  </si>
  <si>
    <t>BSc (Hons) in Sport and Exercise Nutrition  - (Hartpury College)</t>
  </si>
  <si>
    <t>301053</t>
  </si>
  <si>
    <t>H00301053</t>
  </si>
  <si>
    <t>BSc (Hons) in Sports Therapy - (Hartpury College)</t>
  </si>
  <si>
    <t>301054</t>
  </si>
  <si>
    <t>H00301054</t>
  </si>
  <si>
    <t>BSc (Hons) in Physical Education and School Sport - (Hartpury College)</t>
  </si>
  <si>
    <t>301055</t>
  </si>
  <si>
    <t>H00301055</t>
  </si>
  <si>
    <t>Foundation Degree in Agriculture - (Hartpury College)</t>
  </si>
  <si>
    <t>301056</t>
  </si>
  <si>
    <t>H00301056</t>
  </si>
  <si>
    <t>Foundation Degree in Sport Performance - (Hartpury College)</t>
  </si>
  <si>
    <t>301057</t>
  </si>
  <si>
    <t>H00301057</t>
  </si>
  <si>
    <t>Foundation Degree in Sports Business Management - (Hartpury College)</t>
  </si>
  <si>
    <t>301058</t>
  </si>
  <si>
    <t>H00301058</t>
  </si>
  <si>
    <t>PGD in Human Resource Management - (Doncaster College)</t>
  </si>
  <si>
    <t>301059</t>
  </si>
  <si>
    <t>H00301059</t>
  </si>
  <si>
    <t>Foundation Degree in Management - (University of Chichester)</t>
  </si>
  <si>
    <t>301060</t>
  </si>
  <si>
    <t>H00301060</t>
  </si>
  <si>
    <t>BA (Hons) in Business Studies (Top up) - (University of Chichester)</t>
  </si>
  <si>
    <t>301061</t>
  </si>
  <si>
    <t>H00301061</t>
  </si>
  <si>
    <t>Foundation Degree in Mechanical and Manufacturing Engineering - (Framework 550)</t>
  </si>
  <si>
    <t>301062</t>
  </si>
  <si>
    <t>H00301062</t>
  </si>
  <si>
    <t>Foundation Degree in Materials Engineering - (Framework 550)</t>
  </si>
  <si>
    <t>301063</t>
  </si>
  <si>
    <t>H00301063</t>
  </si>
  <si>
    <t>Foundation Degree in Mechanical Engineering - (Framework 550)</t>
  </si>
  <si>
    <t>301064</t>
  </si>
  <si>
    <t>H00301064</t>
  </si>
  <si>
    <t>Foundation Degree in Engineering (Electronic Design) - (Framework 550)</t>
  </si>
  <si>
    <t>301065</t>
  </si>
  <si>
    <t>H00301065</t>
  </si>
  <si>
    <t>HNC in Mechanical and Manufacturing Engineering - (Framework 550)</t>
  </si>
  <si>
    <t>301066</t>
  </si>
  <si>
    <t>H00301066</t>
  </si>
  <si>
    <t>Foundation Degree in Production Engineering - (Framework 550)</t>
  </si>
  <si>
    <t>301067</t>
  </si>
  <si>
    <t>H00301067</t>
  </si>
  <si>
    <t>HNC in Engineering (Mechanical Design) - (Framework 550)</t>
  </si>
  <si>
    <t>301068</t>
  </si>
  <si>
    <t>H00301068</t>
  </si>
  <si>
    <t>HNC in  Engineering (Manufacturing Management) - (Framework 550)</t>
  </si>
  <si>
    <t>301069</t>
  </si>
  <si>
    <t>H00301069</t>
  </si>
  <si>
    <t>HNC in Engineering (Electronic Design) - (Framework 550)</t>
  </si>
  <si>
    <t>301070</t>
  </si>
  <si>
    <t>H00301070</t>
  </si>
  <si>
    <t>Foundation Degree in Computing and Information Systems - (Framework 418)</t>
  </si>
  <si>
    <t>301071</t>
  </si>
  <si>
    <t>H00301071</t>
  </si>
  <si>
    <t>Foundation Degree in Computing - (Framework 418)</t>
  </si>
  <si>
    <t>301072</t>
  </si>
  <si>
    <t>H00301072</t>
  </si>
  <si>
    <t>Foundation Degree in Information Technology - (Framework 418)</t>
  </si>
  <si>
    <t>301073</t>
  </si>
  <si>
    <t>H00301073</t>
  </si>
  <si>
    <t>BOst in Osteopathic Medicine - (NESCOT)</t>
  </si>
  <si>
    <t>301074</t>
  </si>
  <si>
    <t>H00301074</t>
  </si>
  <si>
    <t>MOst in Osteopathic Medicine - (NESCOT)</t>
  </si>
  <si>
    <t>301075</t>
  </si>
  <si>
    <t>H00301075</t>
  </si>
  <si>
    <t>MSc in Perfusion Sciences - (NESCOT)</t>
  </si>
  <si>
    <t>301076</t>
  </si>
  <si>
    <t>H00301076</t>
  </si>
  <si>
    <t>Postgraduate Diploma in Perfusion Sciences - (NESCOT)</t>
  </si>
  <si>
    <t>301077</t>
  </si>
  <si>
    <t>H00301077</t>
  </si>
  <si>
    <t>Postgraduate Diploma in Osteopathic Medicine - (NESCOT)</t>
  </si>
  <si>
    <t>301078</t>
  </si>
  <si>
    <t>H00301078</t>
  </si>
  <si>
    <t>Enhanced First Degree in Osteopathic Medicine - (NESCOT)</t>
  </si>
  <si>
    <t>301079</t>
  </si>
  <si>
    <t>H00301079</t>
  </si>
  <si>
    <t>Foundation Degree in Sports Therapy - (NESCOT)</t>
  </si>
  <si>
    <t>301080</t>
  </si>
  <si>
    <t>H00301080</t>
  </si>
  <si>
    <t>Foundation Degree in Healthcare Degrees - (NESCOT)</t>
  </si>
  <si>
    <t>301081</t>
  </si>
  <si>
    <t>H00301081</t>
  </si>
  <si>
    <t>Foundation Degree in Applied Biological Degrees - (NESCOT)</t>
  </si>
  <si>
    <t>301082</t>
  </si>
  <si>
    <t>H00301082</t>
  </si>
  <si>
    <t>Foundation Degree in Business Accounting and Technology Management- (NESCOT)</t>
  </si>
  <si>
    <t>301083</t>
  </si>
  <si>
    <t>H00301083</t>
  </si>
  <si>
    <t>BSc (Hons) in Computing - (Top up) - (NESCOT)</t>
  </si>
  <si>
    <t>301084</t>
  </si>
  <si>
    <t>H00301084</t>
  </si>
  <si>
    <t>BSc (Hons) in Osteopathy - (Top up) - (NESCOT)</t>
  </si>
  <si>
    <t>301085</t>
  </si>
  <si>
    <t>H00301085</t>
  </si>
  <si>
    <t>BSc (Hons) in Science (Foundation Year) - (NESCOT)</t>
  </si>
  <si>
    <t>301086</t>
  </si>
  <si>
    <t>H00301086</t>
  </si>
  <si>
    <t>BA (Hons) Business and Management (Top up) - (West Nottinghamshire College)</t>
  </si>
  <si>
    <t>301087</t>
  </si>
  <si>
    <t>H00301087</t>
  </si>
  <si>
    <t>Foundation Degree in Business Management - (West Nottinghamshire College)</t>
  </si>
  <si>
    <t>301088</t>
  </si>
  <si>
    <t>H00301088</t>
  </si>
  <si>
    <t>Foundation Degree in Tourism and Event Management - (West Nottinghamshire College)</t>
  </si>
  <si>
    <t>301089</t>
  </si>
  <si>
    <t>H00301089</t>
  </si>
  <si>
    <t>BA (Hons) in Criminal Justice (Top up)  - (West Nottinghamshire College)</t>
  </si>
  <si>
    <t>301090</t>
  </si>
  <si>
    <t>H00301090</t>
  </si>
  <si>
    <t>BA (Hons) in Digital Media Design - (Sussex Downs College)</t>
  </si>
  <si>
    <t>301091</t>
  </si>
  <si>
    <t>H00301091</t>
  </si>
  <si>
    <t>BA (Hons) in Music Production and Creative Recording - (Sussex Downs College)</t>
  </si>
  <si>
    <t>301092</t>
  </si>
  <si>
    <t>H00301092</t>
  </si>
  <si>
    <t>Bsc (Hons) in Person Centred Counselling - (Sussex Downs College)</t>
  </si>
  <si>
    <t>301093</t>
  </si>
  <si>
    <t>H00301093</t>
  </si>
  <si>
    <t>Foundation Degree in Clinical Life Sciences - (City College Brighton and Hove)</t>
  </si>
  <si>
    <t>301094</t>
  </si>
  <si>
    <t>H00301094</t>
  </si>
  <si>
    <t>Foundation Degree in Science Healthcare Practice (Adult Care) - Framework 602)</t>
  </si>
  <si>
    <t>301095</t>
  </si>
  <si>
    <t>H00301095</t>
  </si>
  <si>
    <t>Foundation Degree in Healthcare Practice (Children and Young People's Care) - (Framework 602)</t>
  </si>
  <si>
    <t>301096</t>
  </si>
  <si>
    <t>H00301096</t>
  </si>
  <si>
    <t>Foundation Degree in Healthcare Practice (Maternity Care) - (Framework 602)</t>
  </si>
  <si>
    <t>301097</t>
  </si>
  <si>
    <t>H00301097</t>
  </si>
  <si>
    <t>Foundation Degree in Healthcare Practice (Perioperative Care) - (Framework 602)</t>
  </si>
  <si>
    <t>301098</t>
  </si>
  <si>
    <t>H00301098</t>
  </si>
  <si>
    <t>Foundation Degree in Health Sciences (Care of the Adult) - (Framework 602)</t>
  </si>
  <si>
    <t>301099</t>
  </si>
  <si>
    <t>H00301099</t>
  </si>
  <si>
    <t>Foundation Degree in Health Sciences (Mental Health) - (Framework 602)</t>
  </si>
  <si>
    <t>301100</t>
  </si>
  <si>
    <t>H00301100</t>
  </si>
  <si>
    <t>Foundation Degree in Person Centred Healthcare Practice - (Framework 602)</t>
  </si>
  <si>
    <t>301101</t>
  </si>
  <si>
    <t>H00301101</t>
  </si>
  <si>
    <t>Foundation Degree in Sports Therapy - (Henley College Coventry)</t>
  </si>
  <si>
    <t>301102</t>
  </si>
  <si>
    <t>H00301102</t>
  </si>
  <si>
    <t>Foundation Degree in Sports Science for Coaching and Performance - (Henley College Coventry)</t>
  </si>
  <si>
    <t>301103</t>
  </si>
  <si>
    <t>H00301103</t>
  </si>
  <si>
    <t>BSc Sports Therapy (Top up) - (Henley College Coventry)</t>
  </si>
  <si>
    <t>301104</t>
  </si>
  <si>
    <t>H00301104</t>
  </si>
  <si>
    <t>BSc Applied Sport Science and Coaching - (Henley College Coventry)</t>
  </si>
  <si>
    <t>301105</t>
  </si>
  <si>
    <t>H00301105</t>
  </si>
  <si>
    <t>Foundation Degree in Forensic Science - (Henley College Coventry)</t>
  </si>
  <si>
    <t>301106</t>
  </si>
  <si>
    <t>H00301106</t>
  </si>
  <si>
    <t>Foundation Degree in Criminology and Criminal Justice - (Henley College Coventry)</t>
  </si>
  <si>
    <t>301107</t>
  </si>
  <si>
    <t>H00301107</t>
  </si>
  <si>
    <t>HND in Business - (Henley College Coventry)</t>
  </si>
  <si>
    <t>301108</t>
  </si>
  <si>
    <t>H00301108</t>
  </si>
  <si>
    <t>Foundation Degree in Electrical and Electronic Engineering - (Framework 550)</t>
  </si>
  <si>
    <t>301109</t>
  </si>
  <si>
    <t>H00301109</t>
  </si>
  <si>
    <t>BSc (Hons) in Business Systems Technology - (Solihull College)</t>
  </si>
  <si>
    <t>301110</t>
  </si>
  <si>
    <t>H00301110</t>
  </si>
  <si>
    <t>BSc (Hons) in Business Systems Technology (Top up) - (Solihull College)</t>
  </si>
  <si>
    <t>301111</t>
  </si>
  <si>
    <t>H00301111</t>
  </si>
  <si>
    <t>Foundation Degree in Special Educational Needs, Disability and Inclusive Practice - (Solihull College)</t>
  </si>
  <si>
    <t>301112</t>
  </si>
  <si>
    <t>H00301112</t>
  </si>
  <si>
    <t>HND in Childhood Practice - (Brooksby Melton College)</t>
  </si>
  <si>
    <t>301113</t>
  </si>
  <si>
    <t>H00301113</t>
  </si>
  <si>
    <t>HNC in Higher Education and Childcare - (Brooksby Melton College)</t>
  </si>
  <si>
    <t>301114</t>
  </si>
  <si>
    <t>H00301114</t>
  </si>
  <si>
    <t>BSc (Hons) Applied Computing Technologies - (Truro and Penwith College)</t>
  </si>
  <si>
    <t>301115</t>
  </si>
  <si>
    <t>H00301115</t>
  </si>
  <si>
    <t>BA (Hons) Applied Media - (Truro and Penwith College)</t>
  </si>
  <si>
    <t>301116</t>
  </si>
  <si>
    <t>H00301116</t>
  </si>
  <si>
    <t>BSc (Hons) Applied Social Science - (Truro and Penwith College)</t>
  </si>
  <si>
    <t>301117</t>
  </si>
  <si>
    <t>H00301117</t>
  </si>
  <si>
    <t>BA (Hons) Human Behavioural Studies - (Truro and Penwith College)</t>
  </si>
  <si>
    <t>301118</t>
  </si>
  <si>
    <t>H00301118</t>
  </si>
  <si>
    <t>Foundation Degree in Childhood Education (3 to 8 Years) - (Truro and Penwith College)</t>
  </si>
  <si>
    <t>301119</t>
  </si>
  <si>
    <t>H00301119</t>
  </si>
  <si>
    <t>Foundation Degree in Computer Games Design and Production - (Truro and Penwith College)</t>
  </si>
  <si>
    <t>301120</t>
  </si>
  <si>
    <t>H00301120</t>
  </si>
  <si>
    <t>Foundation Degree in Illustration (Digital) - (Truro and Penwith College)</t>
  </si>
  <si>
    <t>301121</t>
  </si>
  <si>
    <t>H00301121</t>
  </si>
  <si>
    <t>Foundation Degree in Geography and Society - (Truro and Penwith College)</t>
  </si>
  <si>
    <t>301122</t>
  </si>
  <si>
    <t>H00301122</t>
  </si>
  <si>
    <t>Foundation Degree in Geography and the Environment - (Truro and Penwith College)</t>
  </si>
  <si>
    <t>301123</t>
  </si>
  <si>
    <t>H00301123</t>
  </si>
  <si>
    <t>Foundation Degree in Multimedia (Games Art Design) - (New College Nottingham)</t>
  </si>
  <si>
    <t>301124</t>
  </si>
  <si>
    <t>H00301124</t>
  </si>
  <si>
    <t>Foundation Degree in Games and Animation Production - (Weston College)</t>
  </si>
  <si>
    <t>301125</t>
  </si>
  <si>
    <t>H00301125</t>
  </si>
  <si>
    <t>Foundation Degree in Clinical Life Sciences - (City College Brighton)</t>
  </si>
  <si>
    <t>301126</t>
  </si>
  <si>
    <t>H00301126</t>
  </si>
  <si>
    <t>BA (Hons) in Visual Arts Practice - (City College Brighton)</t>
  </si>
  <si>
    <t>301127</t>
  </si>
  <si>
    <t>H00301127</t>
  </si>
  <si>
    <t>BSc (Hons) in Construction Management and Surveying (Top-Up) - (South Cheshire College)</t>
  </si>
  <si>
    <t>301128</t>
  </si>
  <si>
    <t>H00301128</t>
  </si>
  <si>
    <t>CertHe in Counselling - (South Cheshire College)</t>
  </si>
  <si>
    <t>301129</t>
  </si>
  <si>
    <t>H00301129</t>
  </si>
  <si>
    <t>LLB (Hons) in Law - (South Cheshire College)</t>
  </si>
  <si>
    <t>301130</t>
  </si>
  <si>
    <t>H00301130</t>
  </si>
  <si>
    <t>CertEd in Post Compulsory Education - (South Cheshire College)</t>
  </si>
  <si>
    <t>301131</t>
  </si>
  <si>
    <t>H00301131</t>
  </si>
  <si>
    <t>PGCE in Education - (South Cheshire College)</t>
  </si>
  <si>
    <t>301132</t>
  </si>
  <si>
    <t>H00301132</t>
  </si>
  <si>
    <t>BSc (Hons) in Sports Studies - (Hartpury College)</t>
  </si>
  <si>
    <t>301133</t>
  </si>
  <si>
    <t>H00301133</t>
  </si>
  <si>
    <t>BSc (Hons) in  Equine Management  - (Hartpury College)</t>
  </si>
  <si>
    <t>301134</t>
  </si>
  <si>
    <t>H00301134</t>
  </si>
  <si>
    <t>BSc (Hons) in Animal Management  - (Hartpury College)</t>
  </si>
  <si>
    <t>301135</t>
  </si>
  <si>
    <t>H00301135</t>
  </si>
  <si>
    <t>Foundation Degree in Sport Health and Exercises - (City College Norwich)</t>
  </si>
  <si>
    <t>301136</t>
  </si>
  <si>
    <t>H00301136</t>
  </si>
  <si>
    <t>BSc (Hons) in Psychology with Sociology - (City College Norwich)</t>
  </si>
  <si>
    <t>301137</t>
  </si>
  <si>
    <t>H00301137</t>
  </si>
  <si>
    <t>BSc (Hons) in Applied Sport Health and Exercise - (City College Norwich)</t>
  </si>
  <si>
    <t>301138</t>
  </si>
  <si>
    <t>H00301138</t>
  </si>
  <si>
    <t>DipHE in Social Care Practice - (City College Norwich)</t>
  </si>
  <si>
    <t>301139</t>
  </si>
  <si>
    <t>H00301139</t>
  </si>
  <si>
    <t>BA (Hons) in Childhood Studies - (City College Norwich)</t>
  </si>
  <si>
    <t>301140</t>
  </si>
  <si>
    <t>H00301140</t>
  </si>
  <si>
    <t>BA (Hons) in Applied Social Work - (City College Norwich)</t>
  </si>
  <si>
    <t>301141</t>
  </si>
  <si>
    <t>H00301141</t>
  </si>
  <si>
    <t>Foundation Degree in Management of Culinary Arts - (City College Norwich)</t>
  </si>
  <si>
    <t>301142</t>
  </si>
  <si>
    <t>H00301142</t>
  </si>
  <si>
    <t>Foundation Degree in Travel and Tourism Management - (City College Norwich)</t>
  </si>
  <si>
    <t>301143</t>
  </si>
  <si>
    <t>H00301143</t>
  </si>
  <si>
    <t>Foundation Degree in Event Management - (City College Norwich)</t>
  </si>
  <si>
    <t>301144</t>
  </si>
  <si>
    <t>H00301144</t>
  </si>
  <si>
    <t>BA (Hons) in Hospitality Tourism and Leisure Management - (City College Norwich)</t>
  </si>
  <si>
    <t>301145</t>
  </si>
  <si>
    <t>H00301145</t>
  </si>
  <si>
    <t>Foundation Degree in Public Services - (City College Norwich)</t>
  </si>
  <si>
    <t>301146</t>
  </si>
  <si>
    <t>H00301146</t>
  </si>
  <si>
    <t>BA (Hons) in English and Psychology in Society - (City College Norwich)</t>
  </si>
  <si>
    <t>301147</t>
  </si>
  <si>
    <t>H00301147</t>
  </si>
  <si>
    <t>Foundation Degree in Business Management - (City College Norwich)</t>
  </si>
  <si>
    <t>301148</t>
  </si>
  <si>
    <t>H00301148</t>
  </si>
  <si>
    <t>BA (Hons) in English with Cultural Studies - (City College Norwich)</t>
  </si>
  <si>
    <t>301149</t>
  </si>
  <si>
    <t>H00301149</t>
  </si>
  <si>
    <t>301150</t>
  </si>
  <si>
    <t>H00301150</t>
  </si>
  <si>
    <t>BA (Hons) in Business Management - (City College Norwich)</t>
  </si>
  <si>
    <t>301151</t>
  </si>
  <si>
    <t>H00301151</t>
  </si>
  <si>
    <t>Foundation Degree in Arts and Well Being - (City College Norwich)</t>
  </si>
  <si>
    <t>301152</t>
  </si>
  <si>
    <t>H00301152</t>
  </si>
  <si>
    <t>Foundation Degree in Early Years - (City College Norwich)</t>
  </si>
  <si>
    <t>301153</t>
  </si>
  <si>
    <t>H00301153</t>
  </si>
  <si>
    <t>DipHE in Counselling - (South Cheshire College)</t>
  </si>
  <si>
    <t>301154</t>
  </si>
  <si>
    <t>H00301154</t>
  </si>
  <si>
    <t>BSc (Hons) in International Business Management - (Bury College)</t>
  </si>
  <si>
    <t>301155</t>
  </si>
  <si>
    <t>H00301155</t>
  </si>
  <si>
    <t>Foundation Degree in Business and Enterprise - (Bury College)</t>
  </si>
  <si>
    <t>301156</t>
  </si>
  <si>
    <t>H00301156</t>
  </si>
  <si>
    <t>BA (Hons) in Education and Learning - (Bury College)</t>
  </si>
  <si>
    <t>301157</t>
  </si>
  <si>
    <t>H00301157</t>
  </si>
  <si>
    <t>BSc (Hons) in Events Management - (Bury College)</t>
  </si>
  <si>
    <t>301158</t>
  </si>
  <si>
    <t>H00301158</t>
  </si>
  <si>
    <t>Foundation Degree in Teaching Assistants - (Bury College)</t>
  </si>
  <si>
    <t>301159</t>
  </si>
  <si>
    <t>H00301159</t>
  </si>
  <si>
    <t>Foundation Degree in International Business Management - (Bury College)</t>
  </si>
  <si>
    <t>301160</t>
  </si>
  <si>
    <t>H00301160</t>
  </si>
  <si>
    <t>HNC in Business Studies - (Bury College)</t>
  </si>
  <si>
    <t>301161</t>
  </si>
  <si>
    <t>H00301161</t>
  </si>
  <si>
    <t>BSc (Hons) in International Tourism Management - (Bury College)</t>
  </si>
  <si>
    <t>301162</t>
  </si>
  <si>
    <t>H00301162</t>
  </si>
  <si>
    <t>BA (Hons) in Performance - (Bury College)</t>
  </si>
  <si>
    <t>301163</t>
  </si>
  <si>
    <t>H00301163</t>
  </si>
  <si>
    <t>PGCE in Education 14+ - (Bury College)</t>
  </si>
  <si>
    <t>301164</t>
  </si>
  <si>
    <t>H00301164</t>
  </si>
  <si>
    <t>BA (Hons) in Professional Development in Teaching Assistants (Top up) - (Bury College)</t>
  </si>
  <si>
    <t>301165</t>
  </si>
  <si>
    <t>H00301165</t>
  </si>
  <si>
    <t>BA (Hons) in Business and Event Management - (Warwickshire College)</t>
  </si>
  <si>
    <t>301166</t>
  </si>
  <si>
    <t>H00301166</t>
  </si>
  <si>
    <t>BA (Hons) in Business and Management - (Warwickshire College)</t>
  </si>
  <si>
    <t>301167</t>
  </si>
  <si>
    <t>H00301167</t>
  </si>
  <si>
    <t>Foundation Degree in Business and Enterprise - (Warwickshire College)</t>
  </si>
  <si>
    <t>301168</t>
  </si>
  <si>
    <t>H00301168</t>
  </si>
  <si>
    <t>BSc (Hons) in Sports Performance and Coaching - (Warwickshire College)</t>
  </si>
  <si>
    <t>301169</t>
  </si>
  <si>
    <t>H00301169</t>
  </si>
  <si>
    <t>Foundation Degree in Applied Sports Coaching - (Warwickshire College)</t>
  </si>
  <si>
    <t>301170</t>
  </si>
  <si>
    <t>H00301170</t>
  </si>
  <si>
    <t>Foundation Degree in Sports Development and Coaching - (Warwickshire College)</t>
  </si>
  <si>
    <t>301171</t>
  </si>
  <si>
    <t>H00301171</t>
  </si>
  <si>
    <t>Foundation Degree in Creative Metalwork - (Plumpton College)</t>
  </si>
  <si>
    <t>301172</t>
  </si>
  <si>
    <t>H00301172</t>
  </si>
  <si>
    <t>Foundation Degree in Cyber Security - (Aylesbury College)</t>
  </si>
  <si>
    <t>301173</t>
  </si>
  <si>
    <t>H00301173</t>
  </si>
  <si>
    <t>Foundation Degree in Criminology and Criminal Justice - (Runshaw College)</t>
  </si>
  <si>
    <t>301174</t>
  </si>
  <si>
    <t>H00301174</t>
  </si>
  <si>
    <t>Foundation Degree in Applied Chemistry - (Runshaw College)</t>
  </si>
  <si>
    <t>301175</t>
  </si>
  <si>
    <t>H00301175</t>
  </si>
  <si>
    <t>Foundation Degree in Public Services, Prisons and Law Enforcement - (Runshaw College)</t>
  </si>
  <si>
    <t>301176</t>
  </si>
  <si>
    <t>H00301176</t>
  </si>
  <si>
    <t>HNC in Mechanical Engineering - (Runshaw College)</t>
  </si>
  <si>
    <t>301177</t>
  </si>
  <si>
    <t>H00301177</t>
  </si>
  <si>
    <t>HND in Mechanical Engineering - (Runshaw College)</t>
  </si>
  <si>
    <t>301178</t>
  </si>
  <si>
    <t>H00301178</t>
  </si>
  <si>
    <t>Foundation Degree in Health Care Practice (Adult Care)</t>
  </si>
  <si>
    <t>301179</t>
  </si>
  <si>
    <t>H00301179</t>
  </si>
  <si>
    <t>Foundation Degree in Health Care Practice (Dementia Care)</t>
  </si>
  <si>
    <t>301180</t>
  </si>
  <si>
    <t>H00301180</t>
  </si>
  <si>
    <t>Foundation Degree in  Health Care Practice (End of Life)</t>
  </si>
  <si>
    <t>301181</t>
  </si>
  <si>
    <t>H00301181</t>
  </si>
  <si>
    <t>Foundation Degree in Health Care Practice (Long Term Care)</t>
  </si>
  <si>
    <t>301182</t>
  </si>
  <si>
    <t>H00301182</t>
  </si>
  <si>
    <t>Foundation Degree in Health Care Practice (Mental Health)</t>
  </si>
  <si>
    <t>301183</t>
  </si>
  <si>
    <t>H00301183</t>
  </si>
  <si>
    <t>Foundation Degree in Health and Social Care (Assistant Practitioner)</t>
  </si>
  <si>
    <t>301184</t>
  </si>
  <si>
    <t>H00301184</t>
  </si>
  <si>
    <t>BA (Hons) in Fashion - (Rotherham College)</t>
  </si>
  <si>
    <t>301185</t>
  </si>
  <si>
    <t>H00301185</t>
  </si>
  <si>
    <t>BA (Hons) in Popular Music Performance and Production - (Rotherham College)</t>
  </si>
  <si>
    <t>301186</t>
  </si>
  <si>
    <t>H00301186</t>
  </si>
  <si>
    <t>Foundation Degree in Games Development - (Rotherham College)</t>
  </si>
  <si>
    <t>301187</t>
  </si>
  <si>
    <t>H00301187</t>
  </si>
  <si>
    <t>BA (Hons) in Media, Moving Image and Photography - (Rotherham College)</t>
  </si>
  <si>
    <t>301188</t>
  </si>
  <si>
    <t>H00301188</t>
  </si>
  <si>
    <t>BA (Hons) in Theatre, Acting and Performance - (Rotherham College)</t>
  </si>
  <si>
    <t>301189</t>
  </si>
  <si>
    <t>H00301189</t>
  </si>
  <si>
    <t>Foundation Degree in Computing and System Development - (Rotherham College)</t>
  </si>
  <si>
    <t>301190</t>
  </si>
  <si>
    <t>H00301190</t>
  </si>
  <si>
    <t>BA (Hons) in Graphic Communication Design - (Rotherham College)</t>
  </si>
  <si>
    <t>301191</t>
  </si>
  <si>
    <t>H00301191</t>
  </si>
  <si>
    <t>BA (Hons) in Education and Professional Development - (Rotherham College)</t>
  </si>
  <si>
    <t>301192</t>
  </si>
  <si>
    <t>H00301192</t>
  </si>
  <si>
    <t>CertHE in Sports and Exercise Science - (Leicester College)</t>
  </si>
  <si>
    <t>301193</t>
  </si>
  <si>
    <t>H00301193</t>
  </si>
  <si>
    <t>Foundation Degree in Sports and Exercise Science - (Leicester College)</t>
  </si>
  <si>
    <t>301194</t>
  </si>
  <si>
    <t>H00301194</t>
  </si>
  <si>
    <t>Diploma in Higher Education in dementia Care - (City College Norwich)</t>
  </si>
  <si>
    <t>301195</t>
  </si>
  <si>
    <t>H00301195</t>
  </si>
  <si>
    <t>BA (Hons) in Leadership in Public Services - (City College Norwich)</t>
  </si>
  <si>
    <t>301196</t>
  </si>
  <si>
    <t>H00301196</t>
  </si>
  <si>
    <t>BSc (Hons) in Health Studies - (City College Norwich)</t>
  </si>
  <si>
    <t>301197</t>
  </si>
  <si>
    <t>H00301197</t>
  </si>
  <si>
    <t>BA (Hons) in Hospitality, Tourism and Event Management - (City College Norwich)</t>
  </si>
  <si>
    <t>301198</t>
  </si>
  <si>
    <t>H00301198</t>
  </si>
  <si>
    <t>BA (Hons) in Leadership and Management - (City College Norwich)</t>
  </si>
  <si>
    <t>301199</t>
  </si>
  <si>
    <t>H00301199</t>
  </si>
  <si>
    <t>Foundation Degree in Culinary Arts - (City College Norwich)</t>
  </si>
  <si>
    <t>301200</t>
  </si>
  <si>
    <t>H00301200</t>
  </si>
  <si>
    <t>Foundation Degree in Retailing (Online) - (City College Norwich)</t>
  </si>
  <si>
    <t>301201</t>
  </si>
  <si>
    <t>H00301201</t>
  </si>
  <si>
    <t>University Certificate in Intoduction to University Study - (Burnley College)</t>
  </si>
  <si>
    <t>301202</t>
  </si>
  <si>
    <t>H00301202</t>
  </si>
  <si>
    <t>Foundation Degree in Games Development - (Northbrook College Sussex)</t>
  </si>
  <si>
    <t>301203</t>
  </si>
  <si>
    <t>H00301203</t>
  </si>
  <si>
    <t>BSc (Hons) in Business (Top Up) - (Barnet and Southgate College)</t>
  </si>
  <si>
    <t>301204</t>
  </si>
  <si>
    <t>H00301204</t>
  </si>
  <si>
    <t>BSc (Hons) in Computing (Top Up) - (Barnet and Southgate College)</t>
  </si>
  <si>
    <t>301205</t>
  </si>
  <si>
    <t>H00301205</t>
  </si>
  <si>
    <t>Foundation Degree in Business - (Barnet and Southgate College)</t>
  </si>
  <si>
    <t>301206</t>
  </si>
  <si>
    <t>H00301206</t>
  </si>
  <si>
    <t>Foundation Degree in Computing - (Barnet and Southgate College)</t>
  </si>
  <si>
    <t>301207</t>
  </si>
  <si>
    <t>H00301207</t>
  </si>
  <si>
    <t>Foundation Degree in Motorsport Technology - (Barnet and Southgate College)</t>
  </si>
  <si>
    <t>301208</t>
  </si>
  <si>
    <t>H00301208</t>
  </si>
  <si>
    <t>Foundation Degree in International Tourism Management - (Barnet and Southgate College)</t>
  </si>
  <si>
    <t>301209</t>
  </si>
  <si>
    <t>H00301209</t>
  </si>
  <si>
    <t>Foundation Degree in Sports Development and Coaching - (Barnet and Southgate College)</t>
  </si>
  <si>
    <t>301210</t>
  </si>
  <si>
    <t>H00301210</t>
  </si>
  <si>
    <t>BA (Hons) in Leadership and Management - (Leeds City College)</t>
  </si>
  <si>
    <t>301211</t>
  </si>
  <si>
    <t>H00301211</t>
  </si>
  <si>
    <t>BA (Hons) in Leadership and Management (Hospitality) - (Leeds City College)</t>
  </si>
  <si>
    <t>301212</t>
  </si>
  <si>
    <t>H00301212</t>
  </si>
  <si>
    <t>BA (Hons) in Leadership and Management (Sports) - (Leeds City College)</t>
  </si>
  <si>
    <t>301213</t>
  </si>
  <si>
    <t>H00301213</t>
  </si>
  <si>
    <t>BSc (Hons) Public Health - (Newcastle College)</t>
  </si>
  <si>
    <t>301214</t>
  </si>
  <si>
    <t>H00301214</t>
  </si>
  <si>
    <t>Foundation Degree in Public Services Management - (Wakefield College)</t>
  </si>
  <si>
    <t>301215</t>
  </si>
  <si>
    <t>H00301215</t>
  </si>
  <si>
    <t>BA (Hons) in Performance Industries - (Wakefield College)</t>
  </si>
  <si>
    <t>301216</t>
  </si>
  <si>
    <t>H00301216</t>
  </si>
  <si>
    <t>Foundation Degree in Sports Therapy - (Newcastle College)</t>
  </si>
  <si>
    <t>301217</t>
  </si>
  <si>
    <t>H00301217</t>
  </si>
  <si>
    <t>BA (Hons) in Sport and Education - (Newcastle College)</t>
  </si>
  <si>
    <t>301218</t>
  </si>
  <si>
    <t>H00301218</t>
  </si>
  <si>
    <t>In-Service Postgraduate Diploma in Education (Advanced PGCE in Lifelong Learning) - (Kirklees College)</t>
  </si>
  <si>
    <t>301219</t>
  </si>
  <si>
    <t>H00301219</t>
  </si>
  <si>
    <t>BA (Hons) in Sport Development and Business - (Peter Symonds College)</t>
  </si>
  <si>
    <t>301220</t>
  </si>
  <si>
    <t>H00301220</t>
  </si>
  <si>
    <t>BSc (Hons) in Sport Injury and Treatment - (Peter Symonds College)</t>
  </si>
  <si>
    <t>301221</t>
  </si>
  <si>
    <t>H00301221</t>
  </si>
  <si>
    <t>BA (Hons) in Creative Film and Moving image Production - (Cleveland College of Art &amp; Design)</t>
  </si>
  <si>
    <t>301222</t>
  </si>
  <si>
    <t>H00301222</t>
  </si>
  <si>
    <t>Foundation Degree in Game and Wildlife Management - (Wiltshire College)</t>
  </si>
  <si>
    <t>301223</t>
  </si>
  <si>
    <t>H00301223</t>
  </si>
  <si>
    <t>BSc (Hons) in Construction (Top up) - (Mid-Kent College)</t>
  </si>
  <si>
    <t>301224</t>
  </si>
  <si>
    <t>H00301224</t>
  </si>
  <si>
    <t>BSc (Hons) in Civil Engineering (Top up) - (Mid-Kent College)</t>
  </si>
  <si>
    <t>301225</t>
  </si>
  <si>
    <t>H00301225</t>
  </si>
  <si>
    <t>BSc (Hons) in Building Services Engineering (Top up) - (Mid-Kent College)</t>
  </si>
  <si>
    <t>301226</t>
  </si>
  <si>
    <t>H00301226</t>
  </si>
  <si>
    <t>Foundation Degree in Management of Animal Collections with Conservation</t>
  </si>
  <si>
    <t>301227</t>
  </si>
  <si>
    <t>H00301227</t>
  </si>
  <si>
    <t>Foundation Degree in Canine and Feline Training and Behaviour</t>
  </si>
  <si>
    <t>301228</t>
  </si>
  <si>
    <t>H00301228</t>
  </si>
  <si>
    <t>BSc (Hons) in Marine Sports Science (Full Time, Part Time) - (Cornwall College)</t>
  </si>
  <si>
    <t>301229</t>
  </si>
  <si>
    <t>H00301229</t>
  </si>
  <si>
    <t>Post Graduate Diploma in Critical Studies and Education -  (Havering College of Further and Higher Education)</t>
  </si>
  <si>
    <t>301230</t>
  </si>
  <si>
    <t>H00301230</t>
  </si>
  <si>
    <t>MA in Critical Studies and Education -  (Havering College of Further and Higher Education)</t>
  </si>
  <si>
    <t>301231</t>
  </si>
  <si>
    <t>H00301231</t>
  </si>
  <si>
    <t>BSc (Hons) Sport, Health and Exercise Science (Top Up) - (Cornwall College)</t>
  </si>
  <si>
    <t>301232</t>
  </si>
  <si>
    <t>H00301232</t>
  </si>
  <si>
    <t>BA (Hons) in English - (City College Norwich)</t>
  </si>
  <si>
    <t>301233</t>
  </si>
  <si>
    <t>H00301233</t>
  </si>
  <si>
    <t>BA (Hons) in English and Social Sciences - (City College Norwich)</t>
  </si>
  <si>
    <t>301234</t>
  </si>
  <si>
    <t>H00301234</t>
  </si>
  <si>
    <t>BA (Hons) in Psychology with Sociology - (City College Norwich)</t>
  </si>
  <si>
    <t>301235</t>
  </si>
  <si>
    <t>H00301235</t>
  </si>
  <si>
    <t>BA (Hons) in Hospitality and Event Management - (City College Norwich)</t>
  </si>
  <si>
    <t>301236</t>
  </si>
  <si>
    <t>H00301236</t>
  </si>
  <si>
    <t>BA (Hons) in Tourism Management - (City College Norwich)</t>
  </si>
  <si>
    <t>301237</t>
  </si>
  <si>
    <t>H00301237</t>
  </si>
  <si>
    <t>Foundation Degree in Mechanical Engineering - (City College Plymouth)</t>
  </si>
  <si>
    <t>301238</t>
  </si>
  <si>
    <t>H00301238</t>
  </si>
  <si>
    <t>Foundation Degree in Game Design and Production - (City College Plymouth)</t>
  </si>
  <si>
    <t>301239</t>
  </si>
  <si>
    <t>H00301239</t>
  </si>
  <si>
    <t>BSc (Hons) in Equine Veterinary Nursing Science - (Hartpury College)</t>
  </si>
  <si>
    <t>301240</t>
  </si>
  <si>
    <t>H00301240</t>
  </si>
  <si>
    <t>Professional Graduate Certificate in Education and Training - (Leicester College)</t>
  </si>
  <si>
    <t>301241</t>
  </si>
  <si>
    <t>H00301241</t>
  </si>
  <si>
    <t>Diploma in Education and Training - (Leicester College)</t>
  </si>
  <si>
    <t>301242</t>
  </si>
  <si>
    <t>H00301242</t>
  </si>
  <si>
    <t>Diploma in English (Literacy or ESOL) Subject Specialist - (Leicester College)</t>
  </si>
  <si>
    <t>301244</t>
  </si>
  <si>
    <t>H00301244</t>
  </si>
  <si>
    <t>BA (Hons) Children Schools and Families (Top up) - (Kendal College)</t>
  </si>
  <si>
    <t>301245</t>
  </si>
  <si>
    <t>H00301245</t>
  </si>
  <si>
    <t>Foundation Degree in Cyber Security (Framework 611)</t>
  </si>
  <si>
    <t>301246</t>
  </si>
  <si>
    <t>H00301246</t>
  </si>
  <si>
    <t>Foundation Degree in Agriculture - (Northumberland College)</t>
  </si>
  <si>
    <t>301247</t>
  </si>
  <si>
    <t>H00301247</t>
  </si>
  <si>
    <t>Foundation Degree in Animal Management and Applied Science - (Northumberland College)</t>
  </si>
  <si>
    <t>301248</t>
  </si>
  <si>
    <t>H00301248</t>
  </si>
  <si>
    <t>Foundation Degree in Arboriculture - (Northumberland College)</t>
  </si>
  <si>
    <t>301249</t>
  </si>
  <si>
    <t>H00301249</t>
  </si>
  <si>
    <t>Foundation Degree in Equestrian Performance and Coaching - (Northumberland College)</t>
  </si>
  <si>
    <t>301250</t>
  </si>
  <si>
    <t>H00301250</t>
  </si>
  <si>
    <t>Foundation Degree in Environmental Conservation - (Northumberland College)</t>
  </si>
  <si>
    <t>301251</t>
  </si>
  <si>
    <t>H00301251</t>
  </si>
  <si>
    <t>Foundation Degree in Horticulture - (Northumberland College)</t>
  </si>
  <si>
    <t>301252</t>
  </si>
  <si>
    <t>H00301252</t>
  </si>
  <si>
    <t>Foundation Degree in Rural Tourism and Enterprise Management - (Northumberland College)</t>
  </si>
  <si>
    <t>301253</t>
  </si>
  <si>
    <t>H00301253</t>
  </si>
  <si>
    <t>CertEd in Education- East Riding College</t>
  </si>
  <si>
    <t>301254</t>
  </si>
  <si>
    <t>H00301254</t>
  </si>
  <si>
    <t>Foundation Degree in Music - (Newcastle College)</t>
  </si>
  <si>
    <t>301255</t>
  </si>
  <si>
    <t>H00301255</t>
  </si>
  <si>
    <t>Foundation Degree in Applied Sports and Coaching  - (Newcastle College)</t>
  </si>
  <si>
    <t>301256</t>
  </si>
  <si>
    <t>H00301256</t>
  </si>
  <si>
    <t>Foundation Degree in Travel and Tourism Management - (Newcastle College)</t>
  </si>
  <si>
    <t>301257</t>
  </si>
  <si>
    <t>H00301257</t>
  </si>
  <si>
    <t>BSc (Hons) Construction Management and Sustainable Practice</t>
  </si>
  <si>
    <t>301258</t>
  </si>
  <si>
    <t>H00301258</t>
  </si>
  <si>
    <t>BSc (Hons) in Public Services and the Community</t>
  </si>
  <si>
    <t>301259</t>
  </si>
  <si>
    <t>H00301259</t>
  </si>
  <si>
    <t>PGCE in Certificate in Education - East Riding College</t>
  </si>
  <si>
    <t>301260</t>
  </si>
  <si>
    <t>H00301260</t>
  </si>
  <si>
    <t>Certificate in Education - (Wiltshire College)</t>
  </si>
  <si>
    <t>301261</t>
  </si>
  <si>
    <t>H00301261</t>
  </si>
  <si>
    <t>BA (Hons) in Working with Children and Families (Top up) - (Southport College)</t>
  </si>
  <si>
    <t>301262</t>
  </si>
  <si>
    <t>H00301262</t>
  </si>
  <si>
    <t>BA (Hons) Social Work - (Heart of Worcestershire College)</t>
  </si>
  <si>
    <t>301263</t>
  </si>
  <si>
    <t>H00301263</t>
  </si>
  <si>
    <t>BSc (Hons) Crime Scene and Forensic Investigation (Top Up) - (City and Islington College)</t>
  </si>
  <si>
    <t>301264</t>
  </si>
  <si>
    <t>H00301264</t>
  </si>
  <si>
    <t>BA (Hons) Business Studies (Top Up) - (Walsall College)</t>
  </si>
  <si>
    <t>301265</t>
  </si>
  <si>
    <t>H00301265</t>
  </si>
  <si>
    <t>BSc (Hons) Computing (Top Up) - (Walsall College)</t>
  </si>
  <si>
    <t>301266</t>
  </si>
  <si>
    <t>H00301266</t>
  </si>
  <si>
    <t>BA (Hons) Visual Communication - Photography (Top Up) - (Walsall College)</t>
  </si>
  <si>
    <t>301267</t>
  </si>
  <si>
    <t>H00301267</t>
  </si>
  <si>
    <t>BA (Hons) Fashion Design (Top Up) - (Walsall College)</t>
  </si>
  <si>
    <t>301268</t>
  </si>
  <si>
    <t>H00301268</t>
  </si>
  <si>
    <t>BA (Hons) Visual Communication - Graphic Communication (Top Up) - (Walsall College)</t>
  </si>
  <si>
    <t>301269</t>
  </si>
  <si>
    <t>H00301269</t>
  </si>
  <si>
    <t>Post Graduate Certificate in Education (PGCE) - (Southport College)</t>
  </si>
  <si>
    <t>301270</t>
  </si>
  <si>
    <t>H00301270</t>
  </si>
  <si>
    <t>Certificate in Education (Post Compulsory) - (Southport College)</t>
  </si>
  <si>
    <t>301271</t>
  </si>
  <si>
    <t>H00301271</t>
  </si>
  <si>
    <t>Foundation Degree in Computer Network Security with Ethical Hacking - (The Manchester College)</t>
  </si>
  <si>
    <t>301272</t>
  </si>
  <si>
    <t>H00301272</t>
  </si>
  <si>
    <t>BSc (Hons) in Network Security with Penetration Testing (Top up) - (The Manchester College)</t>
  </si>
  <si>
    <t>301273</t>
  </si>
  <si>
    <t>H00301273</t>
  </si>
  <si>
    <t>Foundation Degree in Computer Network Engineering with Administration - (The Manchester College)</t>
  </si>
  <si>
    <t>301274</t>
  </si>
  <si>
    <t>H00301274</t>
  </si>
  <si>
    <t>BSc (Hons) in Network Administration with Cloud Computing (Top up) - (The Manchester College)</t>
  </si>
  <si>
    <t>301275</t>
  </si>
  <si>
    <t>H00301275</t>
  </si>
  <si>
    <t>Foundation Degree in Software Development - (The Manchester College)</t>
  </si>
  <si>
    <t>301276</t>
  </si>
  <si>
    <t>H00301276</t>
  </si>
  <si>
    <t>BSc (Hons) in Software Development (Top up) - (The Manchester College)</t>
  </si>
  <si>
    <t>301277</t>
  </si>
  <si>
    <t>H00301277</t>
  </si>
  <si>
    <t>Foundation Degree in Computer Systems Engineering - (The Manchester College)</t>
  </si>
  <si>
    <t>301278</t>
  </si>
  <si>
    <t>H00301278</t>
  </si>
  <si>
    <t>BSc (Hons) in Business Computing with IT (Top up) - (The Manchester College)</t>
  </si>
  <si>
    <t>301279</t>
  </si>
  <si>
    <t>H00301279</t>
  </si>
  <si>
    <t>Foundation Degree in Broadcast Production - (The Manchester College)</t>
  </si>
  <si>
    <t>301280</t>
  </si>
  <si>
    <t>H00301280</t>
  </si>
  <si>
    <t>Foundation Degree in Film and TV Production - (The Manchester College)</t>
  </si>
  <si>
    <t>301281</t>
  </si>
  <si>
    <t>H00301281</t>
  </si>
  <si>
    <t>Foundation Degree in Contemporary Photographic Practices - (The Manchester College)</t>
  </si>
  <si>
    <t>301282</t>
  </si>
  <si>
    <t>H00301282</t>
  </si>
  <si>
    <t>Foundation Degree in 3D Modelling and Animation for Games and Media - (The Manchester College)</t>
  </si>
  <si>
    <t>301283</t>
  </si>
  <si>
    <t>H00301283</t>
  </si>
  <si>
    <t>Foundation Degree in Graphic Design and Advertising - (The Manchester College)</t>
  </si>
  <si>
    <t>301284</t>
  </si>
  <si>
    <t>H00301284</t>
  </si>
  <si>
    <t>BA (Hons) in Creative Media and Visual Communication (Top up) - (The Manchester College)</t>
  </si>
  <si>
    <t>301285</t>
  </si>
  <si>
    <t>H00301285</t>
  </si>
  <si>
    <t>Foundation Degree in Music Industry Studies - (The Manchester College)</t>
  </si>
  <si>
    <t>301286</t>
  </si>
  <si>
    <t>H00301286</t>
  </si>
  <si>
    <t>Foundation Degree in Professional Music Production/Performance - (The Manchester College)</t>
  </si>
  <si>
    <t>301287</t>
  </si>
  <si>
    <t>H00301287</t>
  </si>
  <si>
    <t>Foundation Degree in Dance and Performance - (The Manchester College)</t>
  </si>
  <si>
    <t>301288</t>
  </si>
  <si>
    <t>H00301288</t>
  </si>
  <si>
    <t>Foundation Degree in Theatre and Performance - (The Manchester College)</t>
  </si>
  <si>
    <t>301289</t>
  </si>
  <si>
    <t>H00301289</t>
  </si>
  <si>
    <t>Foundation Degree in Public Services and Social Justice - (The Manchester College)</t>
  </si>
  <si>
    <t>301290</t>
  </si>
  <si>
    <t>H00301290</t>
  </si>
  <si>
    <t>BA (Hons) in Public Services and Social Justice (Top up) - (The Manchester College)</t>
  </si>
  <si>
    <t>301291</t>
  </si>
  <si>
    <t>H00301291</t>
  </si>
  <si>
    <t>Foundation Degree in Sports Coaching - (The Manchester College)</t>
  </si>
  <si>
    <t>301292</t>
  </si>
  <si>
    <t>H00301292</t>
  </si>
  <si>
    <t>Foundation Degree in Sports Science and Human Performance - (The Manchester College)</t>
  </si>
  <si>
    <t>301293</t>
  </si>
  <si>
    <t>H00301293</t>
  </si>
  <si>
    <t>Foundation Degree in Exercise, Health and Fitness - (The Manchester College)</t>
  </si>
  <si>
    <t>301294</t>
  </si>
  <si>
    <t>H00301294</t>
  </si>
  <si>
    <t>BSc (Hons) in Sport Coaching and School Sport (Top up) - (The Manchester College)</t>
  </si>
  <si>
    <t>301295</t>
  </si>
  <si>
    <t>H00301295</t>
  </si>
  <si>
    <t>Foundation Degree in Science in Sport (Coaching and Fitness)</t>
  </si>
  <si>
    <t>301296</t>
  </si>
  <si>
    <t>H00301296</t>
  </si>
  <si>
    <t>BA (Hons) in Business Management (Top up) - (Heart of Worcestershire College)</t>
  </si>
  <si>
    <t>301297</t>
  </si>
  <si>
    <t>H00301297</t>
  </si>
  <si>
    <t>BA (Hons) in Law - (Heart of Worcestershire College)</t>
  </si>
  <si>
    <t>301298</t>
  </si>
  <si>
    <t>H00301298</t>
  </si>
  <si>
    <t>FdEng Aerospace Engineering</t>
  </si>
  <si>
    <t>301299</t>
  </si>
  <si>
    <t>H00301299</t>
  </si>
  <si>
    <t>FdEng Automotive Engineering and Technology (Automotive)</t>
  </si>
  <si>
    <t>301300</t>
  </si>
  <si>
    <t>H00301300</t>
  </si>
  <si>
    <t>FdEng Automotive Engineering and Technology (Motorsport)</t>
  </si>
  <si>
    <t>301301</t>
  </si>
  <si>
    <t>H00301301</t>
  </si>
  <si>
    <t>BEng (Hons) Automotive Engineering and Technology (Automotive)</t>
  </si>
  <si>
    <t>301302</t>
  </si>
  <si>
    <t>H00301302</t>
  </si>
  <si>
    <t>BEng (Hons) Automotive Engineering and Technology (Motorsport)</t>
  </si>
  <si>
    <t>301303</t>
  </si>
  <si>
    <t>H00301303</t>
  </si>
  <si>
    <t>FdSc Environmental Science (Wastes, Resources and Technology)</t>
  </si>
  <si>
    <t>301304</t>
  </si>
  <si>
    <t>H00301304</t>
  </si>
  <si>
    <t>BSc (Hons) Environmental Science (Wastes, Resources and Technology)</t>
  </si>
  <si>
    <t>301305</t>
  </si>
  <si>
    <t>H00301305</t>
  </si>
  <si>
    <t>BA (Hons) Leadership and Business Management - (Newcastle College)</t>
  </si>
  <si>
    <t>301306</t>
  </si>
  <si>
    <t>H00301306</t>
  </si>
  <si>
    <t>Foundation Degree in Marine Ecology and Conservation - (Kingston Maurward College)</t>
  </si>
  <si>
    <t>301307</t>
  </si>
  <si>
    <t>H00301307</t>
  </si>
  <si>
    <t>Foundation Degree in Criminal Justice (Security and Offender Management) - (Derby College)</t>
  </si>
  <si>
    <t>301308</t>
  </si>
  <si>
    <t>H00301308</t>
  </si>
  <si>
    <t>Foundation Degree in International Hospitality Management  - (Derby College)</t>
  </si>
  <si>
    <t>301309</t>
  </si>
  <si>
    <t>H00301309</t>
  </si>
  <si>
    <t>Foundation Degree in Special Educational Needs and Disability  - (Derby College)</t>
  </si>
  <si>
    <t>301310</t>
  </si>
  <si>
    <t>H00301310</t>
  </si>
  <si>
    <t>Foundation Degree in Paralegal Studies  - (Derby College)</t>
  </si>
  <si>
    <t>301311</t>
  </si>
  <si>
    <t>H00301311</t>
  </si>
  <si>
    <t>BSc (Hons) in Cyber Security (Framework 418)</t>
  </si>
  <si>
    <t>301312</t>
  </si>
  <si>
    <t>H00301312</t>
  </si>
  <si>
    <t>BSc (Hons) in Apprenticeship Degree in Digital and Technology Solutions (Framework 418)</t>
  </si>
  <si>
    <t>301313</t>
  </si>
  <si>
    <t>H00301313</t>
  </si>
  <si>
    <t>Foundation Degree in Sport (Coaching and Fitness)</t>
  </si>
  <si>
    <t>301314</t>
  </si>
  <si>
    <t>H00301314</t>
  </si>
  <si>
    <t>BEng (Hons) in Building Services Engineering (Top Up) - (Mid-Kent College)</t>
  </si>
  <si>
    <t>301315</t>
  </si>
  <si>
    <t>H00301315</t>
  </si>
  <si>
    <t>HNC in Building Services Engineering - (Mid-Kent College)</t>
  </si>
  <si>
    <t>301316</t>
  </si>
  <si>
    <t>H00301316</t>
  </si>
  <si>
    <t>Foundation Degree in Early Years - (Calderdale College)</t>
  </si>
  <si>
    <t>301317</t>
  </si>
  <si>
    <t>H00301317</t>
  </si>
  <si>
    <t>BA (Hons) in Early Years - (Calderdale College)</t>
  </si>
  <si>
    <t>301318</t>
  </si>
  <si>
    <t>H00301318</t>
  </si>
  <si>
    <t>Foundation Degree in Sound and Music Technology - (Calderdale College)</t>
  </si>
  <si>
    <t>301319</t>
  </si>
  <si>
    <t>H00301319</t>
  </si>
  <si>
    <t>BA (Hons) in Sound and Music Technology - (Calderdale College)</t>
  </si>
  <si>
    <t>301320</t>
  </si>
  <si>
    <t>H00301320</t>
  </si>
  <si>
    <t>Foundation Degree in Acting Performance - (Calderdale College)</t>
  </si>
  <si>
    <t>301321</t>
  </si>
  <si>
    <t>H00301321</t>
  </si>
  <si>
    <t>BA (Hons) in Performance Arts - (Calderdale College)</t>
  </si>
  <si>
    <t>301322</t>
  </si>
  <si>
    <t>H00301322</t>
  </si>
  <si>
    <t>Foundation Degree in Exercise, Health and Fitness - (St. Helens College)</t>
  </si>
  <si>
    <t>301323</t>
  </si>
  <si>
    <t>H00301323</t>
  </si>
  <si>
    <t>BA (Hons) in Criminology with English Literature - (Farnborough College of Technology)</t>
  </si>
  <si>
    <t>301324</t>
  </si>
  <si>
    <t>H00301324</t>
  </si>
  <si>
    <t>BSc (Hons) in Sociology with Psychology - (Farnborough College of Technology)</t>
  </si>
  <si>
    <t>301325</t>
  </si>
  <si>
    <t>H00301325</t>
  </si>
  <si>
    <t>BA (Hons) in Sociology with English Literature - (Farnborough College of Technology)</t>
  </si>
  <si>
    <t>301326</t>
  </si>
  <si>
    <t>H00301326</t>
  </si>
  <si>
    <t>BA (Hons) in Psychology with English Literature - (Farnborough College of Technology)</t>
  </si>
  <si>
    <t>301327</t>
  </si>
  <si>
    <t>H00301327</t>
  </si>
  <si>
    <t>BA (Hons) in Modern History with English Literature - (Farnborough College of Technology)</t>
  </si>
  <si>
    <t>301328</t>
  </si>
  <si>
    <t>H00301328</t>
  </si>
  <si>
    <t>BA (Hons) in English Literature with Modern History - (Farnborough College of Technology)</t>
  </si>
  <si>
    <t>301329</t>
  </si>
  <si>
    <t>H00301329</t>
  </si>
  <si>
    <t>BA (Hons) in Modern History with Sociology - (Farnborough College of Technology)</t>
  </si>
  <si>
    <t>301330</t>
  </si>
  <si>
    <t>H00301330</t>
  </si>
  <si>
    <t>BA (Hons) in Sociology with Modern History - (Farnborough College of Technology)</t>
  </si>
  <si>
    <t>301331</t>
  </si>
  <si>
    <t>H00301331</t>
  </si>
  <si>
    <t>BA (Hons) in Modern History with Psychology - (Farnborough College of Technology)</t>
  </si>
  <si>
    <t>301332</t>
  </si>
  <si>
    <t>H00301332</t>
  </si>
  <si>
    <t>BA (Hons) in Psychology with Modern History - (Farnborough College of Technology)</t>
  </si>
  <si>
    <t>301333</t>
  </si>
  <si>
    <t>H00301333</t>
  </si>
  <si>
    <t>Cert HE in Health &amp; Social Care - (Furness College)</t>
  </si>
  <si>
    <t>301334</t>
  </si>
  <si>
    <t>H00301334</t>
  </si>
  <si>
    <t>BA in Psychology in the Community - (Doncaster College)</t>
  </si>
  <si>
    <t>301335</t>
  </si>
  <si>
    <t>H00301335</t>
  </si>
  <si>
    <t>Foundation Degree in Working with Young People and the Community - (Doncaster College)</t>
  </si>
  <si>
    <t>301336</t>
  </si>
  <si>
    <t>H00301336</t>
  </si>
  <si>
    <t>BA in Independent Film Making - (Doncaster College)</t>
  </si>
  <si>
    <t>301337</t>
  </si>
  <si>
    <t>H00301337</t>
  </si>
  <si>
    <t>BA in Education and Advancing Professional Practice - (Doncaster College)</t>
  </si>
  <si>
    <t>301338</t>
  </si>
  <si>
    <t>H00301338</t>
  </si>
  <si>
    <t>BA (Hons) in Musical Theatre - (The Manchester College)</t>
  </si>
  <si>
    <t>301339</t>
  </si>
  <si>
    <t>H00301339</t>
  </si>
  <si>
    <t>301340</t>
  </si>
  <si>
    <t>H00301340</t>
  </si>
  <si>
    <t>Foundation Degree in Games Art - (Warwickshire College)</t>
  </si>
  <si>
    <t>301341</t>
  </si>
  <si>
    <t>H00301341</t>
  </si>
  <si>
    <t>Foundation Degree in Business and Management - (Warwickshire College)</t>
  </si>
  <si>
    <t>301342</t>
  </si>
  <si>
    <t>H00301342</t>
  </si>
  <si>
    <t>Foundation Degree in Entrepreneurship and Business Management - (Warwickshire College)</t>
  </si>
  <si>
    <t>301343</t>
  </si>
  <si>
    <t>H00301343</t>
  </si>
  <si>
    <t>Foundation Degree in Events and Business Management - (Warwickshire College)</t>
  </si>
  <si>
    <t>301344</t>
  </si>
  <si>
    <t>H00301344</t>
  </si>
  <si>
    <t>Foundation Degree in Computing and Web Management - (Warwickshire College)</t>
  </si>
  <si>
    <t>301345</t>
  </si>
  <si>
    <t>H00301345</t>
  </si>
  <si>
    <t>Foundation Degree in Computing Coding and Application Development - (Warwickshire College)</t>
  </si>
  <si>
    <t>301346</t>
  </si>
  <si>
    <t>H00301346</t>
  </si>
  <si>
    <t>Foundation Degree in Interactive Computing and E-Learning Systems - (Warwickshire College)</t>
  </si>
  <si>
    <t>301347</t>
  </si>
  <si>
    <t>H00301347</t>
  </si>
  <si>
    <t>Foundation Degree in Computing - (Warwickshire College)</t>
  </si>
  <si>
    <t>301348</t>
  </si>
  <si>
    <t>H00301348</t>
  </si>
  <si>
    <t>Foundation Degree in Engineering - (Warwickshire College)</t>
  </si>
  <si>
    <t>301349</t>
  </si>
  <si>
    <t>H00301349</t>
  </si>
  <si>
    <t>Foundation Degree in Early Years Educator - (Warwickshire College)</t>
  </si>
  <si>
    <t>301350</t>
  </si>
  <si>
    <t>H00301350</t>
  </si>
  <si>
    <t>Foundation Degree in Health and Social Care - (Warwickshire College)</t>
  </si>
  <si>
    <t>301351</t>
  </si>
  <si>
    <t>H00301351</t>
  </si>
  <si>
    <t>Foundation Degree in Beauty Therapies Management - (Warwickshire College)</t>
  </si>
  <si>
    <t>301352</t>
  </si>
  <si>
    <t>H00301352</t>
  </si>
  <si>
    <t>Foundation Degree in Hairdressing management - (Warwickshire College)</t>
  </si>
  <si>
    <t>301353</t>
  </si>
  <si>
    <t>H00301353</t>
  </si>
  <si>
    <t>Foundation Degree in Spa Management - (Warwickshire College)</t>
  </si>
  <si>
    <t>301354</t>
  </si>
  <si>
    <t>H00301354</t>
  </si>
  <si>
    <t>BA (Hons) in Social Studies - (Warwickshire College)</t>
  </si>
  <si>
    <t>301355</t>
  </si>
  <si>
    <t>H00301355</t>
  </si>
  <si>
    <t>Foundation Degree in Computing and IT Practice - (Framework 418)</t>
  </si>
  <si>
    <t>301356</t>
  </si>
  <si>
    <t>H00301356</t>
  </si>
  <si>
    <t>Foundation Degree in Fashion - (New College Nottingham)</t>
  </si>
  <si>
    <t>301357</t>
  </si>
  <si>
    <t>H00301357</t>
  </si>
  <si>
    <t>Foundation Degree in Computer Networks and IT Management - (Warwickshire College)</t>
  </si>
  <si>
    <t>301358</t>
  </si>
  <si>
    <t>H00301358</t>
  </si>
  <si>
    <t>BA (Hons) in Popular Music - (Hereford College of Arts)</t>
  </si>
  <si>
    <t>301359</t>
  </si>
  <si>
    <t>H00301359</t>
  </si>
  <si>
    <t>BA (Hons) in Working with Children and Families - (Bury College)</t>
  </si>
  <si>
    <t>301360</t>
  </si>
  <si>
    <t>H00301360</t>
  </si>
  <si>
    <t>HNC in Business - (City and Islington College)</t>
  </si>
  <si>
    <t>301361</t>
  </si>
  <si>
    <t>H00301361</t>
  </si>
  <si>
    <t>HNC in Creative Industries: Radio - (City and Islington College)</t>
  </si>
  <si>
    <t>301362</t>
  </si>
  <si>
    <t>H00301362</t>
  </si>
  <si>
    <t>HNC in Computing - (City and Islington College)</t>
  </si>
  <si>
    <t>301363</t>
  </si>
  <si>
    <t>H00301363</t>
  </si>
  <si>
    <t>Foundation Degree in Psychology with Sociology - South Devon College</t>
  </si>
  <si>
    <t>301364</t>
  </si>
  <si>
    <t>H00301364</t>
  </si>
  <si>
    <t>BSc (Hons) in Applied Animal Science - South Devon College</t>
  </si>
  <si>
    <t>301365</t>
  </si>
  <si>
    <t>H00301365</t>
  </si>
  <si>
    <t>BSc (Hons) in Coaching (Outdoor Leadership)</t>
  </si>
  <si>
    <t>301366</t>
  </si>
  <si>
    <t>H00301366</t>
  </si>
  <si>
    <t>BSc (Hons) in Healthcare Practice - (South Devon College)</t>
  </si>
  <si>
    <t>301367</t>
  </si>
  <si>
    <t>H00301367</t>
  </si>
  <si>
    <t>Foundation Degree in History with English - (South Devon College)</t>
  </si>
  <si>
    <t>301368</t>
  </si>
  <si>
    <t>H00301368</t>
  </si>
  <si>
    <t>Professional Graduate Certificate in Education - (Northbrook College Sussex)</t>
  </si>
  <si>
    <t>301369</t>
  </si>
  <si>
    <t>H00301369</t>
  </si>
  <si>
    <t>BSc (Hons) in Chemistry</t>
  </si>
  <si>
    <t>301370</t>
  </si>
  <si>
    <t>H00301370</t>
  </si>
  <si>
    <t>Foundation Degree in Creative Music Production - (Loughborough College)</t>
  </si>
  <si>
    <t>301371</t>
  </si>
  <si>
    <t>H00301371</t>
  </si>
  <si>
    <t>Certificate in Education 14+ (Bury college)</t>
  </si>
  <si>
    <t>301372</t>
  </si>
  <si>
    <t>H00301372</t>
  </si>
  <si>
    <t>BA (Hons) in Professional Development in Early Years (Top up) - (Bury college)</t>
  </si>
  <si>
    <t>301373</t>
  </si>
  <si>
    <t>H00301373</t>
  </si>
  <si>
    <t>Foundation Degree in Agriculture - (Reaseheath College)</t>
  </si>
  <si>
    <t>301374</t>
  </si>
  <si>
    <t>H00301374</t>
  </si>
  <si>
    <t>Foundation Degree in Agriculture with Dairy Herd Management - (Reaseheath College)</t>
  </si>
  <si>
    <t>301375</t>
  </si>
  <si>
    <t>H00301375</t>
  </si>
  <si>
    <t>Foundation Degree in Countryside, Conservation and Recreational Management - (Reaseheath College)</t>
  </si>
  <si>
    <t>301376</t>
  </si>
  <si>
    <t>H00301376</t>
  </si>
  <si>
    <t>Foundation Degree in Business and Events Management - (Reaseheath College)</t>
  </si>
  <si>
    <t>301377</t>
  </si>
  <si>
    <t>H00301377</t>
  </si>
  <si>
    <t>BSc in Business and Events Management - (Reaseheath College)</t>
  </si>
  <si>
    <t>301378</t>
  </si>
  <si>
    <t>H00301378</t>
  </si>
  <si>
    <t>Foundation Degree in Garden and Landscape Design - (Reaseheath College)</t>
  </si>
  <si>
    <t>301379</t>
  </si>
  <si>
    <t>H00301379</t>
  </si>
  <si>
    <t>BSc in Landscape Management - (Reaseheath College)</t>
  </si>
  <si>
    <t>301380</t>
  </si>
  <si>
    <t>H00301380</t>
  </si>
  <si>
    <t>BSc in Horticultural Science and Production Technology - (Reaseheath College)</t>
  </si>
  <si>
    <t>301381</t>
  </si>
  <si>
    <t>H00301381</t>
  </si>
  <si>
    <t>BSc in Agricultural Business, Development and Leadership (Top up) - (Reaseheath College)</t>
  </si>
  <si>
    <t>301382</t>
  </si>
  <si>
    <t>H00301382</t>
  </si>
  <si>
    <t>BA (Hons) in Business and Events Management - (Warwickshire College)</t>
  </si>
  <si>
    <t>301383</t>
  </si>
  <si>
    <t>H00301383</t>
  </si>
  <si>
    <t>Foundation Degree in Business and Accounting - (Warwickshire College)</t>
  </si>
  <si>
    <t>301384</t>
  </si>
  <si>
    <t>H00301384</t>
  </si>
  <si>
    <t>301385</t>
  </si>
  <si>
    <t>H00301385</t>
  </si>
  <si>
    <t>301386</t>
  </si>
  <si>
    <t>H00301386</t>
  </si>
  <si>
    <t>BSc in Sports Performance Coaching - (Warwickshire College)</t>
  </si>
  <si>
    <t>301387</t>
  </si>
  <si>
    <t>H00301387</t>
  </si>
  <si>
    <t>BSc in Sports Performance Coaching (Top up) - (Warwickshire College)</t>
  </si>
  <si>
    <t>301388</t>
  </si>
  <si>
    <t>H00301388</t>
  </si>
  <si>
    <t>BSc in Farriery - (Myerscough College)</t>
  </si>
  <si>
    <t>301389</t>
  </si>
  <si>
    <t>H00301389</t>
  </si>
  <si>
    <t>DipHE in Farriery - (Myerscough College)</t>
  </si>
  <si>
    <t>301390</t>
  </si>
  <si>
    <t>H00301390</t>
  </si>
  <si>
    <t>BSc in Motorsport Competition Car Technology - (Myerscough College)</t>
  </si>
  <si>
    <t>301391</t>
  </si>
  <si>
    <t>H00301391</t>
  </si>
  <si>
    <t>BSc in Motorsport Management and Logistics - (Myerscough College)</t>
  </si>
  <si>
    <t>301392</t>
  </si>
  <si>
    <t>H00301392</t>
  </si>
  <si>
    <t>Foundation Degree in Motorsport Competition Car Technology - (Myerscough College)</t>
  </si>
  <si>
    <t>301393</t>
  </si>
  <si>
    <t>H00301393</t>
  </si>
  <si>
    <t>Foundation Degree in Motorsport Management and Logistics - (Myerscough College)</t>
  </si>
  <si>
    <t>301394</t>
  </si>
  <si>
    <t>H00301394</t>
  </si>
  <si>
    <t>BSc in Clinical Veterinary Nursing - (Myerscough College)</t>
  </si>
  <si>
    <t>301395</t>
  </si>
  <si>
    <t>H00301395</t>
  </si>
  <si>
    <t>BSc in Veterinary Nursing - (Myerscough College)</t>
  </si>
  <si>
    <t>301396</t>
  </si>
  <si>
    <t>H00301396</t>
  </si>
  <si>
    <t>DipHE in Clinical Veterinary Nursing - (Myerscough College)</t>
  </si>
  <si>
    <t>301397</t>
  </si>
  <si>
    <t>H00301397</t>
  </si>
  <si>
    <t>BA in Professional Floristry and Floral Design - (Myerscough College)</t>
  </si>
  <si>
    <t>301398</t>
  </si>
  <si>
    <t>H00301398</t>
  </si>
  <si>
    <t>Foundation Degree in Location Photography - (Myerscough College)</t>
  </si>
  <si>
    <t>301399</t>
  </si>
  <si>
    <t>H00301399</t>
  </si>
  <si>
    <t>Foundation Degree in Professional Floristry and Floral Design - (Myerscough College)</t>
  </si>
  <si>
    <t>301400</t>
  </si>
  <si>
    <t>H00301400</t>
  </si>
  <si>
    <t>Foundation Certifcate in Professional Floristry and Floral Design - (Myerscough College)</t>
  </si>
  <si>
    <t>301401</t>
  </si>
  <si>
    <t>H00301401</t>
  </si>
  <si>
    <t>BSc in Sportsturf Science and Management - (Myerscough College)</t>
  </si>
  <si>
    <t>301402</t>
  </si>
  <si>
    <t>H00301402</t>
  </si>
  <si>
    <t>Foundation Degree in Sportsturf - (Myerscough College)</t>
  </si>
  <si>
    <t>301403</t>
  </si>
  <si>
    <t>H00301403</t>
  </si>
  <si>
    <t>Foundation Certificate in Sportsturf - (Myerscough College)</t>
  </si>
  <si>
    <t>301404</t>
  </si>
  <si>
    <t>H00301404</t>
  </si>
  <si>
    <t>BSc in Horticultural Science and Management - (Myerscough College)</t>
  </si>
  <si>
    <t>301405</t>
  </si>
  <si>
    <t>H00301405</t>
  </si>
  <si>
    <t>Foundation Degree in Horticulture - (Myerscough College)</t>
  </si>
  <si>
    <t>301406</t>
  </si>
  <si>
    <t>H00301406</t>
  </si>
  <si>
    <t>Foundation Certificate in Horticulture - (Myerscough College)</t>
  </si>
  <si>
    <t>301407</t>
  </si>
  <si>
    <t>H00301407</t>
  </si>
  <si>
    <t>BA in Golf Management - (Myerscough College)</t>
  </si>
  <si>
    <t>301408</t>
  </si>
  <si>
    <t>H00301408</t>
  </si>
  <si>
    <t>BSc in Golf Coaching and Performance - (Myerscough College)</t>
  </si>
  <si>
    <t>301409</t>
  </si>
  <si>
    <t>H00301409</t>
  </si>
  <si>
    <t>Foundation Degree in Cricket Coaching - (Myerscough College)</t>
  </si>
  <si>
    <t>301410</t>
  </si>
  <si>
    <t>H00301410</t>
  </si>
  <si>
    <t>Foundation Degree in Golf Coaching - (Myerscough College)</t>
  </si>
  <si>
    <t>301411</t>
  </si>
  <si>
    <t>H00301411</t>
  </si>
  <si>
    <t>Foundation Degree in Golf Management - (Myerscough College)</t>
  </si>
  <si>
    <t>301412</t>
  </si>
  <si>
    <t>H00301412</t>
  </si>
  <si>
    <t>Foundation Degree in Health and Personal Training - (Myerscough College)</t>
  </si>
  <si>
    <t>301413</t>
  </si>
  <si>
    <t>H00301413</t>
  </si>
  <si>
    <t>Foundation Degree in Rugby Coaching - (Myerscough College)</t>
  </si>
  <si>
    <t>301414</t>
  </si>
  <si>
    <t>H00301414</t>
  </si>
  <si>
    <t>Foundation Degree in Sports Coaching - (Myerscough College)</t>
  </si>
  <si>
    <t>301415</t>
  </si>
  <si>
    <t>H00301415</t>
  </si>
  <si>
    <t>Foundation Degree in Golf Performance - (Myerscough College)</t>
  </si>
  <si>
    <t>301416</t>
  </si>
  <si>
    <t>H00301416</t>
  </si>
  <si>
    <t>Foundation Degree in Sport and Exercise Science - (Myerscough College)</t>
  </si>
  <si>
    <t>301417</t>
  </si>
  <si>
    <t>H00301417</t>
  </si>
  <si>
    <t>Foundation Degree in Football Coaching - (Myerscough College)</t>
  </si>
  <si>
    <t>301418</t>
  </si>
  <si>
    <t>H00301418</t>
  </si>
  <si>
    <t>BSc in Agricultural Machinery Engineering - (Myerscough College)</t>
  </si>
  <si>
    <t>301419</t>
  </si>
  <si>
    <t>H00301419</t>
  </si>
  <si>
    <t>Foundation Degree in Agricultural Machinery Engineering - (Myerscough College)</t>
  </si>
  <si>
    <t>301420</t>
  </si>
  <si>
    <t>H00301420</t>
  </si>
  <si>
    <t>Foundation Certificate in Agricultural Machinery Engineering - (Myerscough College)</t>
  </si>
  <si>
    <t>301421</t>
  </si>
  <si>
    <t>H00301421</t>
  </si>
  <si>
    <t>BSc in Animal Behaviour and Welfare - (Myerscough College)</t>
  </si>
  <si>
    <t>301422</t>
  </si>
  <si>
    <t>H00301422</t>
  </si>
  <si>
    <t>Foundation Degree in Canine Studies - (Myerscough College)</t>
  </si>
  <si>
    <t>301423</t>
  </si>
  <si>
    <t>H00301423</t>
  </si>
  <si>
    <t>Foundation Certificate in Animal Studies - (Myerscough College)</t>
  </si>
  <si>
    <t>301424</t>
  </si>
  <si>
    <t>H00301424</t>
  </si>
  <si>
    <t>BSc in Arboriculture and Urban Forestry - (Myerscough College)</t>
  </si>
  <si>
    <t>301425</t>
  </si>
  <si>
    <t>H00301425</t>
  </si>
  <si>
    <t>Foundation Degree in Arboriculture - (Myerscough College)</t>
  </si>
  <si>
    <t>301426</t>
  </si>
  <si>
    <t>H00301426</t>
  </si>
  <si>
    <t>Foundation Certificate in Arboriculture - (Myerscough College)</t>
  </si>
  <si>
    <t>301427</t>
  </si>
  <si>
    <t>H00301427</t>
  </si>
  <si>
    <t>BA in Equestrian Management and Development - (Myerscough College)</t>
  </si>
  <si>
    <t>301428</t>
  </si>
  <si>
    <t>H00301428</t>
  </si>
  <si>
    <t>BSc in Equine Science - (Myerscough College)</t>
  </si>
  <si>
    <t>301429</t>
  </si>
  <si>
    <t>H00301429</t>
  </si>
  <si>
    <t>BSc in Agricultural Crop Science - (Myerscough College)</t>
  </si>
  <si>
    <t>301430</t>
  </si>
  <si>
    <t>H00301430</t>
  </si>
  <si>
    <t>BSc in Agricultural Livestock Science - (Myerscough College)</t>
  </si>
  <si>
    <t>301431</t>
  </si>
  <si>
    <t>H00301431</t>
  </si>
  <si>
    <t>BSc in Agriculture - (Myerscough College)</t>
  </si>
  <si>
    <t>301432</t>
  </si>
  <si>
    <t>H00301432</t>
  </si>
  <si>
    <t>BSc in Rural Resource Management - (Myerscough College)</t>
  </si>
  <si>
    <t>301433</t>
  </si>
  <si>
    <t>H00301433</t>
  </si>
  <si>
    <t>Foundation Degree in Ecology and Conservation Management - (Myerscough College)</t>
  </si>
  <si>
    <t>301434</t>
  </si>
  <si>
    <t>H00301434</t>
  </si>
  <si>
    <t>Foundation Degree in Waste Management - (Myerscough College)</t>
  </si>
  <si>
    <t>301435</t>
  </si>
  <si>
    <t>H00301435</t>
  </si>
  <si>
    <t>Foundation Certificate in Agriculture - (Myerscough College)</t>
  </si>
  <si>
    <t>301436</t>
  </si>
  <si>
    <t>H00301436</t>
  </si>
  <si>
    <t>Foundation Certificate in Countryside Management - (Myerscough College)</t>
  </si>
  <si>
    <t>301437</t>
  </si>
  <si>
    <t>H00301437</t>
  </si>
  <si>
    <t>BSc (Hons) in Information Technology (Top up) - (Chesterfield College)</t>
  </si>
  <si>
    <t>301438</t>
  </si>
  <si>
    <t>H00301438</t>
  </si>
  <si>
    <t>Foundation Degree in Agriculture (Part-Time) - (Reaseheath College)</t>
  </si>
  <si>
    <t>301439</t>
  </si>
  <si>
    <t>H00301439</t>
  </si>
  <si>
    <t>Foundation Degree in Agriculture with Dairy Herd Management (Part-Time) - (Reaseheath College)</t>
  </si>
  <si>
    <t>301440</t>
  </si>
  <si>
    <t>H00301440</t>
  </si>
  <si>
    <t>Foundation Degree in Garden and Landscape Design  (Part-Time) - (Reaseheath College)</t>
  </si>
  <si>
    <t>301441</t>
  </si>
  <si>
    <t>H00301441</t>
  </si>
  <si>
    <t>BSc in Landscape Management  (Part-Time) - (Reaseheath College)</t>
  </si>
  <si>
    <t>301442</t>
  </si>
  <si>
    <t>H00301442</t>
  </si>
  <si>
    <t>BSc in Horticultural Science and Production Technology  (Part-Time) - (Reaseheath College)</t>
  </si>
  <si>
    <t>301443</t>
  </si>
  <si>
    <t>H00301443</t>
  </si>
  <si>
    <t>Foundation Degree in Early Years and Childhood Studies - (Bury College)</t>
  </si>
  <si>
    <t>301444</t>
  </si>
  <si>
    <t>H00301444</t>
  </si>
  <si>
    <t>Foundation Degree in Graphic Design - (Mid Cheshire College)</t>
  </si>
  <si>
    <t>301445</t>
  </si>
  <si>
    <t>H00301445</t>
  </si>
  <si>
    <t>Foundation Degree in Fashion Design - (Mid Cheshire College)</t>
  </si>
  <si>
    <t>301446</t>
  </si>
  <si>
    <t>H00301446</t>
  </si>
  <si>
    <t>Foundation Degree in Contemporary Photography - (Mid Cheshire College)</t>
  </si>
  <si>
    <t>301447</t>
  </si>
  <si>
    <t>H00301447</t>
  </si>
  <si>
    <t>BA (Hons) in Leadership and Management - (Loughborough College)</t>
  </si>
  <si>
    <t>301448</t>
  </si>
  <si>
    <t>H00301448</t>
  </si>
  <si>
    <t>BA (Hons) in Public Services Management - (Loughborough College)</t>
  </si>
  <si>
    <t>301449</t>
  </si>
  <si>
    <t>H00301449</t>
  </si>
  <si>
    <t>Foundation Degree in Events Management - (Loughborough College)</t>
  </si>
  <si>
    <t>301450</t>
  </si>
  <si>
    <t>H00301450</t>
  </si>
  <si>
    <t>Foundation Degree in Software Engineering - (Newcastle College)</t>
  </si>
  <si>
    <t>301451</t>
  </si>
  <si>
    <t>H00301451</t>
  </si>
  <si>
    <t>MMus Creative Musician</t>
  </si>
  <si>
    <t>301452</t>
  </si>
  <si>
    <t>H00301452</t>
  </si>
  <si>
    <t>Postgraduate Diploma Creative Musician</t>
  </si>
  <si>
    <t>301453</t>
  </si>
  <si>
    <t>H00301453</t>
  </si>
  <si>
    <t>301454</t>
  </si>
  <si>
    <t>H00301454</t>
  </si>
  <si>
    <t>301455</t>
  </si>
  <si>
    <t>H00301455</t>
  </si>
  <si>
    <t>301456</t>
  </si>
  <si>
    <t>H00301456</t>
  </si>
  <si>
    <t>301457</t>
  </si>
  <si>
    <t>H00301457</t>
  </si>
  <si>
    <t>BSc (Hons) in Conservation and Countryside Management - (Craven College)</t>
  </si>
  <si>
    <t>301458</t>
  </si>
  <si>
    <t>H00301458</t>
  </si>
  <si>
    <t>Foundation Degree in Health Care  - (Bury College)</t>
  </si>
  <si>
    <t>301459</t>
  </si>
  <si>
    <t>H00301459</t>
  </si>
  <si>
    <t>Foundation Degree in Sports Science and Coaching - (Bury College)</t>
  </si>
  <si>
    <t>301460</t>
  </si>
  <si>
    <t>H00301460</t>
  </si>
  <si>
    <t>Foundation Degree in Computer Systems, Design and Solutions - (York College)</t>
  </si>
  <si>
    <t>301461</t>
  </si>
  <si>
    <t>H00301461</t>
  </si>
  <si>
    <t>Foundation Degree in Hospitality &amp; Tourism - (Bournville College)</t>
  </si>
  <si>
    <t>301462</t>
  </si>
  <si>
    <t>H00301462</t>
  </si>
  <si>
    <t>Foundation Degree in Sports Coaching - (Bournville College)</t>
  </si>
  <si>
    <t>301463</t>
  </si>
  <si>
    <t>H00301463</t>
  </si>
  <si>
    <t>BA (Hons) Degree in Costume Construction - (South Essex College)</t>
  </si>
  <si>
    <t>301464</t>
  </si>
  <si>
    <t>H00301464</t>
  </si>
  <si>
    <t>Foundation Degree in Media Special Effects and Theatrical Make-up Design - (South Gloucestershire and Stroud College)</t>
  </si>
  <si>
    <t>301465</t>
  </si>
  <si>
    <t>H00301465</t>
  </si>
  <si>
    <t>Foundation Degree in Zoological Management - (South Gloucestershire and Stroud College)</t>
  </si>
  <si>
    <t>301466</t>
  </si>
  <si>
    <t>H00301466</t>
  </si>
  <si>
    <t>BSc in Secondary Education (Physics) - (Bradford College)</t>
  </si>
  <si>
    <t>301467</t>
  </si>
  <si>
    <t>H00301467</t>
  </si>
  <si>
    <t>BSc in Secondary Education (Physics With Mathematics) - (Bradford College)</t>
  </si>
  <si>
    <t>301468</t>
  </si>
  <si>
    <t>H00301468</t>
  </si>
  <si>
    <t>BSc in Computing - (Bradford College)</t>
  </si>
  <si>
    <t>301469</t>
  </si>
  <si>
    <t>H00301469</t>
  </si>
  <si>
    <t>Foundation Degree in Criminology with Psychology - South Devon College</t>
  </si>
  <si>
    <t>301470</t>
  </si>
  <si>
    <t>H00301470</t>
  </si>
  <si>
    <t>Foundation Degree in Person Centred Counselling and Psychotherapy - (Preston College)</t>
  </si>
  <si>
    <t>301471</t>
  </si>
  <si>
    <t>H00301471</t>
  </si>
  <si>
    <t>Foundation Degree in Business and Computing - (Petroc)</t>
  </si>
  <si>
    <t>301472</t>
  </si>
  <si>
    <t>H00301472</t>
  </si>
  <si>
    <t>Foundation Degree in Sustainable Resource Management - (Petroc)</t>
  </si>
  <si>
    <t>301473</t>
  </si>
  <si>
    <t>H00301473</t>
  </si>
  <si>
    <t>Foundation Degree in History with English - (Petroc)</t>
  </si>
  <si>
    <t>301474</t>
  </si>
  <si>
    <t>H00301474</t>
  </si>
  <si>
    <t>Foundation Degree in English with History - (Petroc)</t>
  </si>
  <si>
    <t>301475</t>
  </si>
  <si>
    <t>H00301475</t>
  </si>
  <si>
    <t>Foundation Degree in Psychological Studies - (Petroc)</t>
  </si>
  <si>
    <t>301476</t>
  </si>
  <si>
    <t>H00301476</t>
  </si>
  <si>
    <t>Foundation Degree in Digital Technology - (Petroc)</t>
  </si>
  <si>
    <t>301477</t>
  </si>
  <si>
    <t>H00301477</t>
  </si>
  <si>
    <t>BA (Hons) in Professional Development (Childhood Studies) - (Petroc)</t>
  </si>
  <si>
    <t>301478</t>
  </si>
  <si>
    <t>H00301478</t>
  </si>
  <si>
    <t>BA (Hons) in Professional Development  (Creative Industries) - (Petroc)</t>
  </si>
  <si>
    <t>301479</t>
  </si>
  <si>
    <t>H00301479</t>
  </si>
  <si>
    <t>BA (Hons) in Professional Development (Business and Management) - (Petroc)</t>
  </si>
  <si>
    <t>301480</t>
  </si>
  <si>
    <t>H00301480</t>
  </si>
  <si>
    <t>BA (Hons) in Professional Development (Health and Social Care) - (Petroc)</t>
  </si>
  <si>
    <t>301481</t>
  </si>
  <si>
    <t>H00301481</t>
  </si>
  <si>
    <t>Foundation Degree in Music Performance - (Petroc)</t>
  </si>
  <si>
    <t>301482</t>
  </si>
  <si>
    <t>H00301482</t>
  </si>
  <si>
    <t>Foundation Degree in Financial and Professional Services - (The Oldham College)</t>
  </si>
  <si>
    <t>301483</t>
  </si>
  <si>
    <t>H00301483</t>
  </si>
  <si>
    <t>Foundation Degree in Children and Young People - (The Oldham College)</t>
  </si>
  <si>
    <t>301484</t>
  </si>
  <si>
    <t>H00301484</t>
  </si>
  <si>
    <t>Foundation Degree in Creative Media Production - (The Oldham College)</t>
  </si>
  <si>
    <t>301485</t>
  </si>
  <si>
    <t>H00301485</t>
  </si>
  <si>
    <t>Foundation Degree in Health and Social Care - (The Oldham College)</t>
  </si>
  <si>
    <t>301486</t>
  </si>
  <si>
    <t>H00301486</t>
  </si>
  <si>
    <t>Foundation Degree in Sport and Exercise Science - (The Oldham College)</t>
  </si>
  <si>
    <t>301487</t>
  </si>
  <si>
    <t>H00301487</t>
  </si>
  <si>
    <t>Foundation Degree in Performance - (The Oldham College)</t>
  </si>
  <si>
    <t>301488</t>
  </si>
  <si>
    <t>H00301488</t>
  </si>
  <si>
    <t>BSc (Hons) in Person Centred Counselling and Psychotherapy - (Preston College)</t>
  </si>
  <si>
    <t>301489</t>
  </si>
  <si>
    <t>H00301489</t>
  </si>
  <si>
    <t>BA (Hons) in Graphic Media and Communication - (Somerset College of Arts and Technology)</t>
  </si>
  <si>
    <t>301490</t>
  </si>
  <si>
    <t>H00301490</t>
  </si>
  <si>
    <t>BA (Hons) in Textiles and Surface Design - (Somerset College of Arts and Technology)</t>
  </si>
  <si>
    <t>301491</t>
  </si>
  <si>
    <t>H00301491</t>
  </si>
  <si>
    <t>Foundation Degree in Fashion Design - (Somerset College of Arts and Technology)</t>
  </si>
  <si>
    <t>301492</t>
  </si>
  <si>
    <t>H00301492</t>
  </si>
  <si>
    <t>Foundation Degree in Textiles and Surface Design - (Somerset College of Arts and Technology)</t>
  </si>
  <si>
    <t>301493</t>
  </si>
  <si>
    <t>H00301493</t>
  </si>
  <si>
    <t>MA in Transactional Analysis Psychotherapy - (Peter Symonds College)</t>
  </si>
  <si>
    <t>301494</t>
  </si>
  <si>
    <t>H00301494</t>
  </si>
  <si>
    <t>MA in Integrative and Humanistic Psychotherapy - (Peter Symonds College)</t>
  </si>
  <si>
    <t>301495</t>
  </si>
  <si>
    <t>H00301495</t>
  </si>
  <si>
    <t>BA (Hons) in Business Administration and Management - (St Helens College)</t>
  </si>
  <si>
    <t>301496</t>
  </si>
  <si>
    <t>H00301496</t>
  </si>
  <si>
    <t>Foundation Degree in Contemporary Photography Practice - (Weymouth College)</t>
  </si>
  <si>
    <t>301497</t>
  </si>
  <si>
    <t>H00301497</t>
  </si>
  <si>
    <t>Foundation Degree in Sports Science with Sports Coaching Education - (Bridgwater College)</t>
  </si>
  <si>
    <t>301498</t>
  </si>
  <si>
    <t>H00301498</t>
  </si>
  <si>
    <t>FdA in Content Creation and Videography - (Bridgwater College)</t>
  </si>
  <si>
    <t>301499</t>
  </si>
  <si>
    <t>H00301499</t>
  </si>
  <si>
    <t>BA (Hons) in Fashion Design - (Somerset College of Arts and Technology)</t>
  </si>
  <si>
    <t>301500</t>
  </si>
  <si>
    <t>H00301500</t>
  </si>
  <si>
    <t>Foundation Certificate in Health and Social Care - (Kendal College)</t>
  </si>
  <si>
    <t>301501</t>
  </si>
  <si>
    <t>H00301501</t>
  </si>
  <si>
    <t>DipHE in Counselling - (Northumberland College)</t>
  </si>
  <si>
    <t>301502</t>
  </si>
  <si>
    <t>H00301502</t>
  </si>
  <si>
    <t>Foundation Degree in Children's Workforce Practice - (Northumberland College)</t>
  </si>
  <si>
    <t>301503</t>
  </si>
  <si>
    <t>H00301503</t>
  </si>
  <si>
    <t>Foundation Degree in Aquaculture and Fisheries Science - (Cornwall College)</t>
  </si>
  <si>
    <t>301504</t>
  </si>
  <si>
    <t>H00301504</t>
  </si>
  <si>
    <t>BSc (Hons) in Computing Technologies - (Cornwall College)</t>
  </si>
  <si>
    <t>301505</t>
  </si>
  <si>
    <t>H00301505</t>
  </si>
  <si>
    <t>Foundation Degree in Mechatronics - (Framework 550)</t>
  </si>
  <si>
    <t>301506</t>
  </si>
  <si>
    <t>H00301506</t>
  </si>
  <si>
    <t>Foundation Degree in Aerospace Engineering - (Framework 550)</t>
  </si>
  <si>
    <t>301507</t>
  </si>
  <si>
    <t>H00301507</t>
  </si>
  <si>
    <t>BSc (Hons) Digital and Technology Solutions - The Manchester Metropolitan University - Digital and Technology Solutions Professional Degree Apprenticeship</t>
  </si>
  <si>
    <t>301508</t>
  </si>
  <si>
    <t>H00301508</t>
  </si>
  <si>
    <t>Foundation Degree in Counselling - (Accrington &amp; Rossendale College)</t>
  </si>
  <si>
    <t>301509</t>
  </si>
  <si>
    <t>H00301509</t>
  </si>
  <si>
    <t>Foundation Degree in Science in Sport (Adventure and Outdoor Education)</t>
  </si>
  <si>
    <t>301510</t>
  </si>
  <si>
    <t>H00301510</t>
  </si>
  <si>
    <t>BSc (Hons) in Applied Zoology</t>
  </si>
  <si>
    <t>301511</t>
  </si>
  <si>
    <t>H00301511</t>
  </si>
  <si>
    <t>Foundation Degree in Equine Dentistry - (Plumpton College)</t>
  </si>
  <si>
    <t>301512</t>
  </si>
  <si>
    <t>H00301512</t>
  </si>
  <si>
    <t>BA (Hons) in Wine Business - (Plumpton College)</t>
  </si>
  <si>
    <t>301513</t>
  </si>
  <si>
    <t>H00301513</t>
  </si>
  <si>
    <t>BA (Hons) in Adventure Education Management - (Plumpton College)</t>
  </si>
  <si>
    <t>301514</t>
  </si>
  <si>
    <t>H00301514</t>
  </si>
  <si>
    <t>Foundation Degree in Coaching and Performance in Football - (Berkshire College of Agriculture)</t>
  </si>
  <si>
    <t>301515</t>
  </si>
  <si>
    <t>H00301515</t>
  </si>
  <si>
    <t>BA (Hons) in Education and English Literature - (Holy Cross College)</t>
  </si>
  <si>
    <t>301516</t>
  </si>
  <si>
    <t>H00301516</t>
  </si>
  <si>
    <t>BA (Hons) in Education and History - (Holy Cross College)</t>
  </si>
  <si>
    <t>301517</t>
  </si>
  <si>
    <t>H00301517</t>
  </si>
  <si>
    <t>BA (Hons) in English Literature and History - (Holy Cross College)</t>
  </si>
  <si>
    <t>301518</t>
  </si>
  <si>
    <t>H00301518</t>
  </si>
  <si>
    <t>Foundation Degree in Performing Arts - Musical Theatre - (The Sheffield College)</t>
  </si>
  <si>
    <t>301519</t>
  </si>
  <si>
    <t>H00301519</t>
  </si>
  <si>
    <t>Foundation Degree in Business Leadership and Management - (The Sheffield College)</t>
  </si>
  <si>
    <t>301520</t>
  </si>
  <si>
    <t>H00301520</t>
  </si>
  <si>
    <t>BA Hons Creative Practice - Photography - (The Sheffield College)</t>
  </si>
  <si>
    <t>301521</t>
  </si>
  <si>
    <t>H00301521</t>
  </si>
  <si>
    <t>BA Hons Creative Practice - Media Production - (The Sheffield College)</t>
  </si>
  <si>
    <t>301522</t>
  </si>
  <si>
    <t>H00301522</t>
  </si>
  <si>
    <t>BA Hons Creative Practice - Graphic Design - (The Sheffield College)</t>
  </si>
  <si>
    <t>301523</t>
  </si>
  <si>
    <t>H00301523</t>
  </si>
  <si>
    <t>MRes in Equestrian Performance - (Hartpury College)</t>
  </si>
  <si>
    <t>301524</t>
  </si>
  <si>
    <t>H00301524</t>
  </si>
  <si>
    <t>MRes in Animal Behaviour and Welfare - (Hartpury College)</t>
  </si>
  <si>
    <t>301525</t>
  </si>
  <si>
    <t>H00301525</t>
  </si>
  <si>
    <t>MSc in Coaching Science - (Hartpury College)</t>
  </si>
  <si>
    <t>301526</t>
  </si>
  <si>
    <t>H00301526</t>
  </si>
  <si>
    <t>MSc in Equine Science - (Hartpury College)</t>
  </si>
  <si>
    <t>301527</t>
  </si>
  <si>
    <t>H00301527</t>
  </si>
  <si>
    <t>MSc in Veterinary Physiotherapy - (Hartpury College)</t>
  </si>
  <si>
    <t>301528</t>
  </si>
  <si>
    <t>H00301528</t>
  </si>
  <si>
    <t>PGCert Equestrian Performance and Rehabilitation - (Hartpury College)</t>
  </si>
  <si>
    <t>301529</t>
  </si>
  <si>
    <t>H00301529</t>
  </si>
  <si>
    <t>Foundation Degree in Naval Architecture - (City College Plymouth)</t>
  </si>
  <si>
    <t>301530</t>
  </si>
  <si>
    <t>H00301530</t>
  </si>
  <si>
    <t>BA in Childhood Studies (0-8 Years) - (Kirklees College)</t>
  </si>
  <si>
    <t>301531</t>
  </si>
  <si>
    <t>H00301531</t>
  </si>
  <si>
    <t>BA (Hons) in Accounting and Finance - (Barking and Dagenham College)</t>
  </si>
  <si>
    <t>301532</t>
  </si>
  <si>
    <t>H00301532</t>
  </si>
  <si>
    <t>Foundation Degree in Professional Writing - (North Kent College)</t>
  </si>
  <si>
    <t>301533</t>
  </si>
  <si>
    <t>H00301533</t>
  </si>
  <si>
    <t>BEng (Hons) in Broadcast Technology - (BBC) -(Framework 605)</t>
  </si>
  <si>
    <t>301534</t>
  </si>
  <si>
    <t>H00301534</t>
  </si>
  <si>
    <t>Foundation Degree in Counselling Studies - (Accrington and Rossendale College)</t>
  </si>
  <si>
    <t>301535</t>
  </si>
  <si>
    <t>H00301535</t>
  </si>
  <si>
    <t>Foundation Degree in Health and Social Care Practice - (Framework 602)</t>
  </si>
  <si>
    <t>301536</t>
  </si>
  <si>
    <t>H00301536</t>
  </si>
  <si>
    <t>MBA in Business Administration - (Colchester Institute)</t>
  </si>
  <si>
    <t>301537</t>
  </si>
  <si>
    <t>H00301537</t>
  </si>
  <si>
    <t>Foundation Degree in IT Systems and Applications - (Colchester Institute)</t>
  </si>
  <si>
    <t>301538</t>
  </si>
  <si>
    <t>H00301538</t>
  </si>
  <si>
    <t>BSc (Hons) in IT Systems and Applications - (Colchester Institute)</t>
  </si>
  <si>
    <t>301539</t>
  </si>
  <si>
    <t>H00301539</t>
  </si>
  <si>
    <t>BA (Hons) in Music Education - (Colchester Institute)</t>
  </si>
  <si>
    <t>301540</t>
  </si>
  <si>
    <t>H00301540</t>
  </si>
  <si>
    <t>BSc (Hons) Applied Equitation Science (Top-up)</t>
  </si>
  <si>
    <t>301541</t>
  </si>
  <si>
    <t>H00301541</t>
  </si>
  <si>
    <t>BA (Hons) in Interior Design with Sustainability (Top up) - (Stockport College)</t>
  </si>
  <si>
    <t>301542</t>
  </si>
  <si>
    <t>H00301542</t>
  </si>
  <si>
    <t>Foundation Degree in Electronics and Communications Engineering  (Framework 418)</t>
  </si>
  <si>
    <t>301543</t>
  </si>
  <si>
    <t>H00301543</t>
  </si>
  <si>
    <t>Foundation Degree in Faclities Management  (Framework 501)</t>
  </si>
  <si>
    <t>301544</t>
  </si>
  <si>
    <t>H00301544</t>
  </si>
  <si>
    <t>BA (Hons) Photography and Moving Image</t>
  </si>
  <si>
    <t>301545</t>
  </si>
  <si>
    <t>H00301545</t>
  </si>
  <si>
    <t>Foundation Degree in Architecture - (Framework 612)</t>
  </si>
  <si>
    <t>301546</t>
  </si>
  <si>
    <t>H00301546</t>
  </si>
  <si>
    <t>Foundation Degree in Built Environment - (Framework 612)</t>
  </si>
  <si>
    <t>301547</t>
  </si>
  <si>
    <t>H00301547</t>
  </si>
  <si>
    <t>Foundation Degree in Civil Engineering - (Framework 612)</t>
  </si>
  <si>
    <t>301549</t>
  </si>
  <si>
    <t>H00301549</t>
  </si>
  <si>
    <t>BSc (Hons) in Animal Science - (Plumpton College)</t>
  </si>
  <si>
    <t>301550</t>
  </si>
  <si>
    <t>H00301550</t>
  </si>
  <si>
    <t>Foundation Degree in Sport and Recreation Management - (Grimsby Institute)</t>
  </si>
  <si>
    <t>301551</t>
  </si>
  <si>
    <t>H00301551</t>
  </si>
  <si>
    <t>Foundation Degree in Tourism Management -  TEC Partnership</t>
  </si>
  <si>
    <t>301552</t>
  </si>
  <si>
    <t>H00301552</t>
  </si>
  <si>
    <t>Foundation Degree in Health and Social Care - TEC Partnership</t>
  </si>
  <si>
    <t>301553</t>
  </si>
  <si>
    <t>H00301553</t>
  </si>
  <si>
    <t>Foundation Degree in Community Mental Health - TEC Partnership</t>
  </si>
  <si>
    <t>301554</t>
  </si>
  <si>
    <t>H00301554</t>
  </si>
  <si>
    <t>Foundation Degree in Computing Technologies - TEC Partnership</t>
  </si>
  <si>
    <t>301555</t>
  </si>
  <si>
    <t>H00301555</t>
  </si>
  <si>
    <t>Foundation Degree in Events Management -  TEC Partnership</t>
  </si>
  <si>
    <t>301556</t>
  </si>
  <si>
    <t>H00301556</t>
  </si>
  <si>
    <t>Foundation Degree in Industrial Management in Food Manufacturing - (Grimsby Institute)</t>
  </si>
  <si>
    <t>301557</t>
  </si>
  <si>
    <t>H00301557</t>
  </si>
  <si>
    <t>Foundation Certificate in Dementia Studies - (Burnley College)</t>
  </si>
  <si>
    <t>301558</t>
  </si>
  <si>
    <t>H00301558</t>
  </si>
  <si>
    <t>Foundation Degree in Dementia Studies - (Burnley College)</t>
  </si>
  <si>
    <t>301559</t>
  </si>
  <si>
    <t>H00301559</t>
  </si>
  <si>
    <t>University Certificate in Dementia Studies - (Burnley College)</t>
  </si>
  <si>
    <t>301560</t>
  </si>
  <si>
    <t>H00301560</t>
  </si>
  <si>
    <t>Foundation Degree in Teaching and Learning - (South Devon College)</t>
  </si>
  <si>
    <t>301561</t>
  </si>
  <si>
    <t>H00301561</t>
  </si>
  <si>
    <t>Foundation Degree in Marine Technologies - (South Devon College)</t>
  </si>
  <si>
    <t>301562</t>
  </si>
  <si>
    <t>H00301562</t>
  </si>
  <si>
    <t>Foundation Degree in Digital Marketing - (South Devon College)</t>
  </si>
  <si>
    <t>301563</t>
  </si>
  <si>
    <t>H00301563</t>
  </si>
  <si>
    <t>BA (Hons) in Leadership and Management - (South Devon College)</t>
  </si>
  <si>
    <t>301564</t>
  </si>
  <si>
    <t>H00301564</t>
  </si>
  <si>
    <t>Foundation Degree in Law and Practice</t>
  </si>
  <si>
    <t>301565</t>
  </si>
  <si>
    <t>H00301565</t>
  </si>
  <si>
    <t>MA in Professional Practice in Strategic Human Resource Management and Development (Part Time)</t>
  </si>
  <si>
    <t>301566</t>
  </si>
  <si>
    <t>H00301566</t>
  </si>
  <si>
    <t>Foundation Degree in Make-up Artistry</t>
  </si>
  <si>
    <t>301567</t>
  </si>
  <si>
    <t>H00301567</t>
  </si>
  <si>
    <t>BA (Hons) in Make-up Artistry</t>
  </si>
  <si>
    <t>301568</t>
  </si>
  <si>
    <t>H00301568</t>
  </si>
  <si>
    <t>Foundation Degree in Special Effects Make-up Artistry</t>
  </si>
  <si>
    <t>301569</t>
  </si>
  <si>
    <t>H00301569</t>
  </si>
  <si>
    <t>BA (Hons) in Special Effects Make-up Artistry</t>
  </si>
  <si>
    <t>301570</t>
  </si>
  <si>
    <t>H00301570</t>
  </si>
  <si>
    <t>Certificate of Higher Education in Creative Sound Technology</t>
  </si>
  <si>
    <t>301571</t>
  </si>
  <si>
    <t>H00301571</t>
  </si>
  <si>
    <t>Certificate of Higher Education in Performance (Acting)</t>
  </si>
  <si>
    <t>301572</t>
  </si>
  <si>
    <t>H00301572</t>
  </si>
  <si>
    <t>Certificate of Higher Education in Performance (Dance)</t>
  </si>
  <si>
    <t>301573</t>
  </si>
  <si>
    <t>H00301573</t>
  </si>
  <si>
    <t>BSc Hons in Digital and Technology Solutions</t>
  </si>
  <si>
    <t>301574</t>
  </si>
  <si>
    <t>H00301574</t>
  </si>
  <si>
    <t>Foundation Degree in Assistant Practitioner - Framework 602</t>
  </si>
  <si>
    <t>301575</t>
  </si>
  <si>
    <t>H00301575</t>
  </si>
  <si>
    <t>Foundation Degree in Healthcare Science - (Central College Nottingham)</t>
  </si>
  <si>
    <t>301576</t>
  </si>
  <si>
    <t>H00301576</t>
  </si>
  <si>
    <t>Foundation Degree in Education Support - (NESCOT)</t>
  </si>
  <si>
    <t>301577</t>
  </si>
  <si>
    <t>H00301577</t>
  </si>
  <si>
    <t>BA (Hons) in Education Studies - (NESCOT)</t>
  </si>
  <si>
    <t>301578</t>
  </si>
  <si>
    <t>H00301578</t>
  </si>
  <si>
    <t>DipHE in Psychodynamic Counselling - (NESCOT)</t>
  </si>
  <si>
    <t>301579</t>
  </si>
  <si>
    <t>H00301579</t>
  </si>
  <si>
    <t>Foundation Degree in Education and Training - (NESCOT)</t>
  </si>
  <si>
    <t>301580</t>
  </si>
  <si>
    <t>H00301580</t>
  </si>
  <si>
    <t>PGCE in Education and Training - (NESCOT)</t>
  </si>
  <si>
    <t>301581</t>
  </si>
  <si>
    <t>H00301581</t>
  </si>
  <si>
    <t>CertEd in Education and Training - (NESCOT)</t>
  </si>
  <si>
    <t>301582</t>
  </si>
  <si>
    <t>H00301582</t>
  </si>
  <si>
    <t>BA (Hons) in Family Support and Wellbeing</t>
  </si>
  <si>
    <t>301583</t>
  </si>
  <si>
    <t>H00301583</t>
  </si>
  <si>
    <t>301584</t>
  </si>
  <si>
    <t>H00301584</t>
  </si>
  <si>
    <t>BSc (Hons) in Sport Science (Sport Coaching)</t>
  </si>
  <si>
    <t>301585</t>
  </si>
  <si>
    <t>H00301585</t>
  </si>
  <si>
    <t>BSc Hons in Animal Conservation</t>
  </si>
  <si>
    <t>301586</t>
  </si>
  <si>
    <t>H00301586</t>
  </si>
  <si>
    <t>301587</t>
  </si>
  <si>
    <t>H00301587</t>
  </si>
  <si>
    <t>Foundation Degree in Management and Leadership at Work (Full time, Part time)</t>
  </si>
  <si>
    <t>301588</t>
  </si>
  <si>
    <t>H00301588</t>
  </si>
  <si>
    <t>BA in Management and Leadership (Full time, Part time)</t>
  </si>
  <si>
    <t>301590</t>
  </si>
  <si>
    <t>H00301590</t>
  </si>
  <si>
    <t>Foundation Degree in Manufacturing Technology - Framework 550</t>
  </si>
  <si>
    <t>301591</t>
  </si>
  <si>
    <t>H00301591</t>
  </si>
  <si>
    <t>Cert HE in Mechanical and Maunfacturing Engineeering - Framework 550</t>
  </si>
  <si>
    <t>301592</t>
  </si>
  <si>
    <t>H00301592</t>
  </si>
  <si>
    <t>Foundation Degree in Events Management - (New College Telford)</t>
  </si>
  <si>
    <t>301594</t>
  </si>
  <si>
    <t>H00301594</t>
  </si>
  <si>
    <t>BSc (Hons) in Building Surveying</t>
  </si>
  <si>
    <t>301595</t>
  </si>
  <si>
    <t>H00301595</t>
  </si>
  <si>
    <t>BSc (Hons) in Quantity Surveying</t>
  </si>
  <si>
    <t>301596</t>
  </si>
  <si>
    <t>H00301596</t>
  </si>
  <si>
    <t>BSc (Hons) in Real Estate Management</t>
  </si>
  <si>
    <t>301597</t>
  </si>
  <si>
    <t>H00301597</t>
  </si>
  <si>
    <t>BSc in Sport and Exercise</t>
  </si>
  <si>
    <t>301598</t>
  </si>
  <si>
    <t>H00301598</t>
  </si>
  <si>
    <t>Foundation Degree in Children, Learning and Development (Early Childhood)</t>
  </si>
  <si>
    <t>301599</t>
  </si>
  <si>
    <t>H00301599</t>
  </si>
  <si>
    <t>Foundation Degree in Children, Learning and Development (Learning Support)</t>
  </si>
  <si>
    <t>301600</t>
  </si>
  <si>
    <t>H00301600</t>
  </si>
  <si>
    <t>Advanced Certificate in Teaching English : Literacy</t>
  </si>
  <si>
    <t>301601</t>
  </si>
  <si>
    <t>H00301601</t>
  </si>
  <si>
    <t>Certificate in Education (English:Literacy)</t>
  </si>
  <si>
    <t>301602</t>
  </si>
  <si>
    <t>H00301602</t>
  </si>
  <si>
    <t>PGCE in English : Literacy</t>
  </si>
  <si>
    <t>301603</t>
  </si>
  <si>
    <t>H00301603</t>
  </si>
  <si>
    <t>Foundation Degree in Acute Care - framework 602</t>
  </si>
  <si>
    <t>301604</t>
  </si>
  <si>
    <t>H00301604</t>
  </si>
  <si>
    <t>Foundation Degree in Perioperative Care - framework 602</t>
  </si>
  <si>
    <t>301605</t>
  </si>
  <si>
    <t>H00301605</t>
  </si>
  <si>
    <t>Foundation Degree in Health and Social Care - framework 602</t>
  </si>
  <si>
    <t>301606</t>
  </si>
  <si>
    <t>H00301606</t>
  </si>
  <si>
    <t>BA (Hons) Business Management Professional - The Manchester Metropolitan University - Chartered Manager Degree Apprenticeship</t>
  </si>
  <si>
    <t>301607</t>
  </si>
  <si>
    <t>H00301607</t>
  </si>
  <si>
    <t>HNC in Professional Development for Work Based Learning Practitioners - framework 591</t>
  </si>
  <si>
    <t>301608</t>
  </si>
  <si>
    <t>H00301608</t>
  </si>
  <si>
    <t>Foundation Degree in Professional Development for Work Based Learning Practitioners - framework 591</t>
  </si>
  <si>
    <t>301609</t>
  </si>
  <si>
    <t>H00301609</t>
  </si>
  <si>
    <t>BSc (Hons) in Applied Animal Science with Therapy</t>
  </si>
  <si>
    <t>301610</t>
  </si>
  <si>
    <t>H00301610</t>
  </si>
  <si>
    <t>BSc (Hons) in Applied Animal Science with Therapy (Sandwich)</t>
  </si>
  <si>
    <t>301611</t>
  </si>
  <si>
    <t>H00301611</t>
  </si>
  <si>
    <t>BSc (Hons) in Equine Science with Therapy</t>
  </si>
  <si>
    <t>301612</t>
  </si>
  <si>
    <t>H00301612</t>
  </si>
  <si>
    <t>BSc (Hons) in Equine Science with Therapy (Sandwich)</t>
  </si>
  <si>
    <t>301613</t>
  </si>
  <si>
    <t>H00301613</t>
  </si>
  <si>
    <t>BSc (Hons) in Sport and Exercise Sciences</t>
  </si>
  <si>
    <t>301614</t>
  </si>
  <si>
    <t>H00301614</t>
  </si>
  <si>
    <t>BSc (Hons) in Sport and Exercise Sciences (Sandwich)</t>
  </si>
  <si>
    <t>301615</t>
  </si>
  <si>
    <t>H00301615</t>
  </si>
  <si>
    <t>MRes in Anthrozoology</t>
  </si>
  <si>
    <t>301616</t>
  </si>
  <si>
    <t>H00301616</t>
  </si>
  <si>
    <t>MSc in Applied Strength and Conditioning</t>
  </si>
  <si>
    <t>301617</t>
  </si>
  <si>
    <t>H00301617</t>
  </si>
  <si>
    <t>MSc in Animal Behaviour and Welfare</t>
  </si>
  <si>
    <t>301618</t>
  </si>
  <si>
    <t>H00301618</t>
  </si>
  <si>
    <t>BSc (Hons) in Strength and Conditioning</t>
  </si>
  <si>
    <t>301619</t>
  </si>
  <si>
    <t>H00301619</t>
  </si>
  <si>
    <t>BSc (Hons) in Agricultural Technologies</t>
  </si>
  <si>
    <t>301620</t>
  </si>
  <si>
    <t>H00301620</t>
  </si>
  <si>
    <t>BSc (Hons) in Equine Performance and Coaching</t>
  </si>
  <si>
    <t>301621</t>
  </si>
  <si>
    <t>H00301621</t>
  </si>
  <si>
    <t>Foundation Degree in Equine Performance and Coaching</t>
  </si>
  <si>
    <t>301622</t>
  </si>
  <si>
    <t>H00301622</t>
  </si>
  <si>
    <t>301623</t>
  </si>
  <si>
    <t>H00301623</t>
  </si>
  <si>
    <t>301624</t>
  </si>
  <si>
    <t>H00301624</t>
  </si>
  <si>
    <t>Foundation Degree in Health and Social Care (Associate Practitioner) - Framework 602</t>
  </si>
  <si>
    <t>301625</t>
  </si>
  <si>
    <t>H00301625</t>
  </si>
  <si>
    <t>Foundation Degree in Gerontology with Dementia Studies</t>
  </si>
  <si>
    <t>301626</t>
  </si>
  <si>
    <t>H00301626</t>
  </si>
  <si>
    <t>Foundation Degree in Management (Business)</t>
  </si>
  <si>
    <t>301627</t>
  </si>
  <si>
    <t>H00301627</t>
  </si>
  <si>
    <t>Foundation Degree in Management (Public Sector))</t>
  </si>
  <si>
    <t>301628</t>
  </si>
  <si>
    <t>H00301628</t>
  </si>
  <si>
    <t>Foundation Degree in Psychology</t>
  </si>
  <si>
    <t>301629</t>
  </si>
  <si>
    <t>H00301629</t>
  </si>
  <si>
    <t>301630</t>
  </si>
  <si>
    <t>H00301630</t>
  </si>
  <si>
    <t>301631</t>
  </si>
  <si>
    <t>H00301631</t>
  </si>
  <si>
    <t>301632</t>
  </si>
  <si>
    <t>H00301632</t>
  </si>
  <si>
    <t>301633</t>
  </si>
  <si>
    <t>H00301633</t>
  </si>
  <si>
    <t>301634</t>
  </si>
  <si>
    <t>H00301634</t>
  </si>
  <si>
    <t>BA (Hons) in Music Technology and Production</t>
  </si>
  <si>
    <t>301635</t>
  </si>
  <si>
    <t>H00301635</t>
  </si>
  <si>
    <t>Foundation Degree in Acting for Touring Theatre</t>
  </si>
  <si>
    <t>301636</t>
  </si>
  <si>
    <t>H00301636</t>
  </si>
  <si>
    <t>Foundation Degree in Professional Practice in Health and Social Care (with HA Assistant Practitioner (Health)</t>
  </si>
  <si>
    <t>301637</t>
  </si>
  <si>
    <t>H00301637</t>
  </si>
  <si>
    <t>BA (Hons) Fashion Design</t>
  </si>
  <si>
    <t>301638</t>
  </si>
  <si>
    <t>H00301638</t>
  </si>
  <si>
    <t>BA (Hons) Fashion Design (Contemporary Costume)</t>
  </si>
  <si>
    <t>301639</t>
  </si>
  <si>
    <t>H00301639</t>
  </si>
  <si>
    <t>BA (Hons) Scriptwriting for Stage, Screen and Gaming</t>
  </si>
  <si>
    <t>301640</t>
  </si>
  <si>
    <t>H00301640</t>
  </si>
  <si>
    <t>FdSc Chemical Science - The Manchester Metropolitan University</t>
  </si>
  <si>
    <t>301641</t>
  </si>
  <si>
    <t>H00301641</t>
  </si>
  <si>
    <t>BSc (Hons) in Chemical Science</t>
  </si>
  <si>
    <t>301642</t>
  </si>
  <si>
    <t>H00301642</t>
  </si>
  <si>
    <t>301643</t>
  </si>
  <si>
    <t>H00301643</t>
  </si>
  <si>
    <t>BSc in Agronomy</t>
  </si>
  <si>
    <t>301644</t>
  </si>
  <si>
    <t>H00301644</t>
  </si>
  <si>
    <t>BSc (Hons) in Zoo Biology</t>
  </si>
  <si>
    <t>301645</t>
  </si>
  <si>
    <t>H00301645</t>
  </si>
  <si>
    <t>MSc in Applied Zoo Biology</t>
  </si>
  <si>
    <t>301646</t>
  </si>
  <si>
    <t>H00301646</t>
  </si>
  <si>
    <t>BSc in Animal Conservation Science</t>
  </si>
  <si>
    <t>301647</t>
  </si>
  <si>
    <t>H00301647</t>
  </si>
  <si>
    <t>Foundation Degree in Basketball Coaching</t>
  </si>
  <si>
    <t>301648</t>
  </si>
  <si>
    <t>H00301648</t>
  </si>
  <si>
    <t>301649</t>
  </si>
  <si>
    <t>H00301649</t>
  </si>
  <si>
    <t>BA (Hons) Family Support and Wellbeing</t>
  </si>
  <si>
    <t>301650</t>
  </si>
  <si>
    <t>H00301650</t>
  </si>
  <si>
    <t>301651</t>
  </si>
  <si>
    <t>H00301651</t>
  </si>
  <si>
    <t>FdA Hospitality and Events Management</t>
  </si>
  <si>
    <t>301652</t>
  </si>
  <si>
    <t>H00301652</t>
  </si>
  <si>
    <t>BA (Hons) Hospitality and Events Management</t>
  </si>
  <si>
    <t>301653</t>
  </si>
  <si>
    <t>H00301653</t>
  </si>
  <si>
    <t>BA (Hons) Hospitality Management</t>
  </si>
  <si>
    <t>301654</t>
  </si>
  <si>
    <t>H00301654</t>
  </si>
  <si>
    <t>FdA Tourism Management</t>
  </si>
  <si>
    <t>301655</t>
  </si>
  <si>
    <t>H00301655</t>
  </si>
  <si>
    <t>BA (Hons) Tourism Management</t>
  </si>
  <si>
    <t>301656</t>
  </si>
  <si>
    <t>H00301656</t>
  </si>
  <si>
    <t>BSc (Hons) in Professional Aviation Engineering Practice - City College Norwich</t>
  </si>
  <si>
    <t>301657</t>
  </si>
  <si>
    <t>H00301657</t>
  </si>
  <si>
    <t>BSc (Hons) in Integrated Heath and Social Care (Top-up) - City College Norwich</t>
  </si>
  <si>
    <t>301658</t>
  </si>
  <si>
    <t>H00301658</t>
  </si>
  <si>
    <t>301659</t>
  </si>
  <si>
    <t>H00301659</t>
  </si>
  <si>
    <t>BSc (Hons) in Digital and Technology Solutions</t>
  </si>
  <si>
    <t>301660</t>
  </si>
  <si>
    <t>H00301660</t>
  </si>
  <si>
    <t>Foundation Degree in Science Assistant Practitioner (Health and Social Care) - framework  602</t>
  </si>
  <si>
    <t>301661</t>
  </si>
  <si>
    <t>H00301661</t>
  </si>
  <si>
    <t>Foundation Degree in Science Nursing - framework 602</t>
  </si>
  <si>
    <t>301662</t>
  </si>
  <si>
    <t>H00301662</t>
  </si>
  <si>
    <t>301663</t>
  </si>
  <si>
    <t>H00301663</t>
  </si>
  <si>
    <t>Foundation Degree in Health Care Practice (Acute Care)</t>
  </si>
  <si>
    <t>301664</t>
  </si>
  <si>
    <t>H00301664</t>
  </si>
  <si>
    <t>301665</t>
  </si>
  <si>
    <t>H00301665</t>
  </si>
  <si>
    <t>Foundation Degree in Health Care Practice (End of Life)</t>
  </si>
  <si>
    <t>301666</t>
  </si>
  <si>
    <t>H00301666</t>
  </si>
  <si>
    <t>301667</t>
  </si>
  <si>
    <t>H00301667</t>
  </si>
  <si>
    <t>301668</t>
  </si>
  <si>
    <t>H00301668</t>
  </si>
  <si>
    <t>301669</t>
  </si>
  <si>
    <t>H00301669</t>
  </si>
  <si>
    <t>Foundation Degree in Computing (Networking)</t>
  </si>
  <si>
    <t>301670</t>
  </si>
  <si>
    <t>H00301670</t>
  </si>
  <si>
    <t>Foundation Degree in Computing (Web Design)</t>
  </si>
  <si>
    <t>301671</t>
  </si>
  <si>
    <t>H00301671</t>
  </si>
  <si>
    <t>301672</t>
  </si>
  <si>
    <t>H00301672</t>
  </si>
  <si>
    <t>Foundation Degree in Children's Learning and Development - Basingstoke College of Technology</t>
  </si>
  <si>
    <t>301673</t>
  </si>
  <si>
    <t>H00301673</t>
  </si>
  <si>
    <t>Certificate of Higher Education in Travel, Hospitality and Events Management - Leicester College</t>
  </si>
  <si>
    <t>301674</t>
  </si>
  <si>
    <t>H00301674</t>
  </si>
  <si>
    <t>Foundation Degree in Travel, Hospitality and Events Management - Leicester College</t>
  </si>
  <si>
    <t>301675</t>
  </si>
  <si>
    <t>H00301675</t>
  </si>
  <si>
    <t>BSc In Construction Management - Leicester College</t>
  </si>
  <si>
    <t>301676</t>
  </si>
  <si>
    <t>H00301676</t>
  </si>
  <si>
    <t>Foundation Degree in Fashion and Costume - Leicester College</t>
  </si>
  <si>
    <t>301677</t>
  </si>
  <si>
    <t>H00301677</t>
  </si>
  <si>
    <t>Certificate of Higher Education in Artistic Make-Up and Special Effects - Leicester College</t>
  </si>
  <si>
    <t>301678</t>
  </si>
  <si>
    <t>H00301678</t>
  </si>
  <si>
    <t>Foundation Degree in Sports Science (Personal Training) - Bedford College</t>
  </si>
  <si>
    <t>301679</t>
  </si>
  <si>
    <t>H00301679</t>
  </si>
  <si>
    <t>Foundation Degree in Sports Science (Sports Coaching) - Bedford College</t>
  </si>
  <si>
    <t>301680</t>
  </si>
  <si>
    <t>H00301680</t>
  </si>
  <si>
    <t>BSc (Hons) Health Care Studies - The Manchester College</t>
  </si>
  <si>
    <t>301681</t>
  </si>
  <si>
    <t>H00301681</t>
  </si>
  <si>
    <t>BSc (Hons) Social Care Professions - The Manchester College</t>
  </si>
  <si>
    <t>301682</t>
  </si>
  <si>
    <t>H00301682</t>
  </si>
  <si>
    <t>BA (Hons) Integrated Health and Social Care - The Manchester College</t>
  </si>
  <si>
    <t>301683</t>
  </si>
  <si>
    <t>H00301683</t>
  </si>
  <si>
    <t>BSc (Hons) in Food Chain Management - Bridgewater College</t>
  </si>
  <si>
    <t>301684</t>
  </si>
  <si>
    <t>H00301684</t>
  </si>
  <si>
    <t>BSc (Hons) in Agricultural Management - Bridgewater College</t>
  </si>
  <si>
    <t>301685</t>
  </si>
  <si>
    <t>H00301685</t>
  </si>
  <si>
    <t>Foundation Degree in TV Production -  TEC Partnership</t>
  </si>
  <si>
    <t>301686</t>
  </si>
  <si>
    <t>H00301686</t>
  </si>
  <si>
    <t>Foundation Degree in Performing Arts -  TEC Partnership</t>
  </si>
  <si>
    <t>301687</t>
  </si>
  <si>
    <t>H00301687</t>
  </si>
  <si>
    <t>Foundation Degree in Applied Computing - Bridgewater College</t>
  </si>
  <si>
    <t>301688</t>
  </si>
  <si>
    <t>H00301688</t>
  </si>
  <si>
    <t>Post Graduate Diploma in Management Studies - Colchester Institute</t>
  </si>
  <si>
    <t>301689</t>
  </si>
  <si>
    <t>H00301689</t>
  </si>
  <si>
    <t>Foundation Degree in Hospitality and Event Management - City College Brighton and Hove</t>
  </si>
  <si>
    <t>301690</t>
  </si>
  <si>
    <t>H00301690</t>
  </si>
  <si>
    <t>BA (Hons) in Business Management (Top Up) - Wigan and Leigh College</t>
  </si>
  <si>
    <t>301691</t>
  </si>
  <si>
    <t>H00301691</t>
  </si>
  <si>
    <t>BA (Hons) in Education and History - University of Central Lancaster</t>
  </si>
  <si>
    <t>301692</t>
  </si>
  <si>
    <t>H00301692</t>
  </si>
  <si>
    <t>Foundation Degree in Assistant Health and Social Care Practitioner -Framework 602</t>
  </si>
  <si>
    <t>301693</t>
  </si>
  <si>
    <t>H00301693</t>
  </si>
  <si>
    <t>BA (Hons) in Social Science - East Riding College</t>
  </si>
  <si>
    <t>301694</t>
  </si>
  <si>
    <t>H00301694</t>
  </si>
  <si>
    <t>BSc (Hons) in Leadership and Business Management - Aston University - Chartered Manager Degree Apprenticeship</t>
  </si>
  <si>
    <t>301695</t>
  </si>
  <si>
    <t>H00301695</t>
  </si>
  <si>
    <t>BSc (Hons) in Digital and Technology Solutions - Aston University</t>
  </si>
  <si>
    <t>301696</t>
  </si>
  <si>
    <t>H00301696</t>
  </si>
  <si>
    <t>BA (Hons) in Textiles and Surface Design - Bradford College</t>
  </si>
  <si>
    <t>301697</t>
  </si>
  <si>
    <t>H00301697</t>
  </si>
  <si>
    <t>BA (Hons) in Management and Leadership - chartered Manager Degree Apprenticeship - Nottingham Trent University</t>
  </si>
  <si>
    <t>301698</t>
  </si>
  <si>
    <t>H00301698</t>
  </si>
  <si>
    <t>BSc (Hons) in Construction Management - University College of Estate Management</t>
  </si>
  <si>
    <t>301699</t>
  </si>
  <si>
    <t>H00301699</t>
  </si>
  <si>
    <t>Post Graduate Certificate in Education (PCET) - Havering College of F&amp;HE</t>
  </si>
  <si>
    <t>301700</t>
  </si>
  <si>
    <t>H00301700</t>
  </si>
  <si>
    <t>BA (Hons) in Sociology and Psychology - Burnley College</t>
  </si>
  <si>
    <t>301701</t>
  </si>
  <si>
    <t>H00301701</t>
  </si>
  <si>
    <t>HNC in Mechanical Engineering  - Teesside University</t>
  </si>
  <si>
    <t>301702</t>
  </si>
  <si>
    <t>H00301702</t>
  </si>
  <si>
    <t>HND in Electrical and Electronic Engineering by Flexible Open Learning  - Teesside University</t>
  </si>
  <si>
    <t>301703</t>
  </si>
  <si>
    <t>H00301703</t>
  </si>
  <si>
    <t>301704</t>
  </si>
  <si>
    <t>H00301704</t>
  </si>
  <si>
    <t>HND in Instrumental and Control Engineering - Teesside University</t>
  </si>
  <si>
    <t>301705</t>
  </si>
  <si>
    <t>H00301705</t>
  </si>
  <si>
    <t>HND in Instrumental and Control Engineering By Flexible Open Learning - Teesside University</t>
  </si>
  <si>
    <t>301706</t>
  </si>
  <si>
    <t>H00301706</t>
  </si>
  <si>
    <t>HND in Manufacturing - Teesside University</t>
  </si>
  <si>
    <t>301707</t>
  </si>
  <si>
    <t>H00301707</t>
  </si>
  <si>
    <t>BEng Tech (Hons) in Aeronautical - Teesside University</t>
  </si>
  <si>
    <t>301708</t>
  </si>
  <si>
    <t>H00301708</t>
  </si>
  <si>
    <t>BEng (Hons) in Aerospace Engineering - Teesside University</t>
  </si>
  <si>
    <t>301709</t>
  </si>
  <si>
    <t>H00301709</t>
  </si>
  <si>
    <t>BEng (Hons) in Civil Engineering  - Teesside University</t>
  </si>
  <si>
    <t>301710</t>
  </si>
  <si>
    <t>H00301710</t>
  </si>
  <si>
    <t>BEng Tech (Hons) in Electrical and Electronic Engineering  - Teesside University</t>
  </si>
  <si>
    <t>301711</t>
  </si>
  <si>
    <t>H00301711</t>
  </si>
  <si>
    <t>BEng (Hons) in Electrical and Electronic Engineering  - Teesside University</t>
  </si>
  <si>
    <t>301712</t>
  </si>
  <si>
    <t>H00301712</t>
  </si>
  <si>
    <t>BEng Tech (Hons) in Mechanical Engineering - Teesside University</t>
  </si>
  <si>
    <t>301713</t>
  </si>
  <si>
    <t>H00301713</t>
  </si>
  <si>
    <t>BEng  (Hons) in Mechanical Engineering - Teesside University</t>
  </si>
  <si>
    <t>301714</t>
  </si>
  <si>
    <t>H00301714</t>
  </si>
  <si>
    <t>MSc in Systems Engineering for Defence Capability - Cranfield University</t>
  </si>
  <si>
    <t>301715</t>
  </si>
  <si>
    <t>H00301715</t>
  </si>
  <si>
    <t>PgDip in Systems Engineering for Defence Capability - Cranfield University</t>
  </si>
  <si>
    <t>301716</t>
  </si>
  <si>
    <t>H00301716</t>
  </si>
  <si>
    <t>PgCert in Systems Engineering for Defence Capability - Cranfield University</t>
  </si>
  <si>
    <t>301717</t>
  </si>
  <si>
    <t>H00301717</t>
  </si>
  <si>
    <t>Foundation Degree in Childhood and Youth Studies - The Manchester College</t>
  </si>
  <si>
    <t>301718</t>
  </si>
  <si>
    <t>H00301718</t>
  </si>
  <si>
    <t>BA (Hons) in Childhood and Youth Studies - The Manchester College</t>
  </si>
  <si>
    <t>301719</t>
  </si>
  <si>
    <t>H00301719</t>
  </si>
  <si>
    <t>BSc (Hons) in Applied Psychology - The Manchester College</t>
  </si>
  <si>
    <t>301720</t>
  </si>
  <si>
    <t>H00301720</t>
  </si>
  <si>
    <t>BA (Hons) in Business Management - The Manchester College</t>
  </si>
  <si>
    <t>301721</t>
  </si>
  <si>
    <t>H00301721</t>
  </si>
  <si>
    <t>BA (Hons) in Business and Marketing - The Manchester College</t>
  </si>
  <si>
    <t>301722</t>
  </si>
  <si>
    <t>H00301722</t>
  </si>
  <si>
    <t>BA (Hons) in Business and Human Resource Management - The Manchester College</t>
  </si>
  <si>
    <t>301723</t>
  </si>
  <si>
    <t>H00301723</t>
  </si>
  <si>
    <t>HND in Business and Finance - Leicester College</t>
  </si>
  <si>
    <t>301724</t>
  </si>
  <si>
    <t>H00301724</t>
  </si>
  <si>
    <t>Certificate of Higher Education in Business and Finance - Leicester College</t>
  </si>
  <si>
    <t>301725</t>
  </si>
  <si>
    <t>H00301725</t>
  </si>
  <si>
    <t>BSc (Hons) in Graphic Design and Illustration - Bradford College</t>
  </si>
  <si>
    <t>301726</t>
  </si>
  <si>
    <t>H00301726</t>
  </si>
  <si>
    <t>Foundation Degree in Practice in Health and Social Care - Chesterfield College</t>
  </si>
  <si>
    <t>301727</t>
  </si>
  <si>
    <t>H00301727</t>
  </si>
  <si>
    <t>BSc (Hons) in Building Surveying - London South Bank University</t>
  </si>
  <si>
    <t>301728</t>
  </si>
  <si>
    <t>H00301728</t>
  </si>
  <si>
    <t>BSc (Hons) in Quantity Surveying - London South Bank University</t>
  </si>
  <si>
    <t>301729</t>
  </si>
  <si>
    <t>H00301729</t>
  </si>
  <si>
    <t>Foundation Degree in Professional Practice in Health and Social Care - Chesterfield College</t>
  </si>
  <si>
    <t>301730</t>
  </si>
  <si>
    <t>H00301730</t>
  </si>
  <si>
    <t>BA (Hons) Performing Arts - Hereford College of Arts</t>
  </si>
  <si>
    <t>301731</t>
  </si>
  <si>
    <t>H00301731</t>
  </si>
  <si>
    <t>BA (Hons) Short Film Making - Hereford College of Arts</t>
  </si>
  <si>
    <t>301732</t>
  </si>
  <si>
    <t>H00301732</t>
  </si>
  <si>
    <t>BA (Hons) in Management Practice - Teesside University</t>
  </si>
  <si>
    <t>301733</t>
  </si>
  <si>
    <t>H00301733</t>
  </si>
  <si>
    <t>Chartered Manager Degree Apprenticeship - Teesside University</t>
  </si>
  <si>
    <t>301734</t>
  </si>
  <si>
    <t>H00301734</t>
  </si>
  <si>
    <t>Foundation degree in Early Years Education - The Sheffield College</t>
  </si>
  <si>
    <t>301735</t>
  </si>
  <si>
    <t>H00301735</t>
  </si>
  <si>
    <t>Foundation degree in Fashion Production with Business - The Sheffield College</t>
  </si>
  <si>
    <t>301736</t>
  </si>
  <si>
    <t>H00301736</t>
  </si>
  <si>
    <t>Foundation degree in Performing Arts: Drama - The Sheffield College</t>
  </si>
  <si>
    <t>301737</t>
  </si>
  <si>
    <t>H00301737</t>
  </si>
  <si>
    <t>Foundation degree in Performing Arts: Musical Theatre - The Sheffield College</t>
  </si>
  <si>
    <t>301738</t>
  </si>
  <si>
    <t>H00301738</t>
  </si>
  <si>
    <t>Foundation degree in Professional Practice in Health and Social Care - The Sheffield College</t>
  </si>
  <si>
    <t>301739</t>
  </si>
  <si>
    <t>H00301739</t>
  </si>
  <si>
    <t>Foundation degree in Agriculture - Bedford College</t>
  </si>
  <si>
    <t>301740</t>
  </si>
  <si>
    <t>H00301740</t>
  </si>
  <si>
    <t>301741</t>
  </si>
  <si>
    <t>H00301741</t>
  </si>
  <si>
    <t>Foundation degree in Leisure management - East Riding College</t>
  </si>
  <si>
    <t>301742</t>
  </si>
  <si>
    <t>H00301742</t>
  </si>
  <si>
    <t>Foundation degree in Public Services Management - East Riding College</t>
  </si>
  <si>
    <t>301743</t>
  </si>
  <si>
    <t>H00301743</t>
  </si>
  <si>
    <t>Foundation degree in Working with Older People - City and Islington College</t>
  </si>
  <si>
    <t>301744</t>
  </si>
  <si>
    <t>H00301744</t>
  </si>
  <si>
    <t>BA (Hons) in Working in Intergrated Services for Children and Young People</t>
  </si>
  <si>
    <t>301745</t>
  </si>
  <si>
    <t>H00301745</t>
  </si>
  <si>
    <t>Foundation Degree in Electronic Engineering - Babcock</t>
  </si>
  <si>
    <t>301746</t>
  </si>
  <si>
    <t>H00301746</t>
  </si>
  <si>
    <t>Foundation Degree in Marine Systems Engineering - Babcock</t>
  </si>
  <si>
    <t>301747</t>
  </si>
  <si>
    <t>H00301747</t>
  </si>
  <si>
    <t>Foundation Degree in Engineering - Alton College</t>
  </si>
  <si>
    <t>301748</t>
  </si>
  <si>
    <t>H00301748</t>
  </si>
  <si>
    <t>BA (Hons) in Contemporary Art and Design Practice (Top-Up) - Calderdale College</t>
  </si>
  <si>
    <t>301749</t>
  </si>
  <si>
    <t>H00301749</t>
  </si>
  <si>
    <t>BSc (Hons) in Sports Therapy - Lincoln College</t>
  </si>
  <si>
    <t>301750</t>
  </si>
  <si>
    <t>H00301750</t>
  </si>
  <si>
    <t>BSc (Hons) in Sports Coaching, Development and Pedagogy - Lincoln College</t>
  </si>
  <si>
    <t>301751</t>
  </si>
  <si>
    <t>H00301751</t>
  </si>
  <si>
    <t>Foundation Degree in Football Coaching and Development in the Community - Lincoln College</t>
  </si>
  <si>
    <t>301752</t>
  </si>
  <si>
    <t>H00301752</t>
  </si>
  <si>
    <t>Certificate in Education in Education and Training - New College Durham</t>
  </si>
  <si>
    <t>301753</t>
  </si>
  <si>
    <t>H00301753</t>
  </si>
  <si>
    <t>Professional Graduate Certificate in Education in Education and Training - New College Durham</t>
  </si>
  <si>
    <t>301754</t>
  </si>
  <si>
    <t>H00301754</t>
  </si>
  <si>
    <t>BA (Hons) in Management (Sports) - New College Durham</t>
  </si>
  <si>
    <t>301755</t>
  </si>
  <si>
    <t>H00301755</t>
  </si>
  <si>
    <t>BA (Hons) in Management (International Business) - New College Durham</t>
  </si>
  <si>
    <t>301756</t>
  </si>
  <si>
    <t>H00301756</t>
  </si>
  <si>
    <t>BA (Hons) in Management (Human Resource) - New College Durham</t>
  </si>
  <si>
    <t>301757</t>
  </si>
  <si>
    <t>H00301757</t>
  </si>
  <si>
    <t>BA (Hons) in Management (Events) - New College Durham</t>
  </si>
  <si>
    <t>301758</t>
  </si>
  <si>
    <t>H00301758</t>
  </si>
  <si>
    <t>BA (Hons) in Management (Housing) - New College Durham</t>
  </si>
  <si>
    <t>301759</t>
  </si>
  <si>
    <t>H00301759</t>
  </si>
  <si>
    <t>BA (Hons) in Professional Practice in Management - Sheffield Hallam University</t>
  </si>
  <si>
    <t>301760</t>
  </si>
  <si>
    <t>H00301760</t>
  </si>
  <si>
    <t>301761</t>
  </si>
  <si>
    <t>H00301761</t>
  </si>
  <si>
    <t>301762</t>
  </si>
  <si>
    <t>H00301762</t>
  </si>
  <si>
    <t>301763</t>
  </si>
  <si>
    <t>H00301763</t>
  </si>
  <si>
    <t>BEng (Hons) in Building Services Engineering - London Southbank University</t>
  </si>
  <si>
    <t>301764</t>
  </si>
  <si>
    <t>H00301764</t>
  </si>
  <si>
    <t>BEng (Hons) in Civil Engineering - London Southbank University</t>
  </si>
  <si>
    <t>301765</t>
  </si>
  <si>
    <t>H00301765</t>
  </si>
  <si>
    <t>BSc (Hons) in Construction Management - London Southbank University</t>
  </si>
  <si>
    <t>301766</t>
  </si>
  <si>
    <t>H00301766</t>
  </si>
  <si>
    <t>BSc (Hons) in Architectural Management - London Southbank University - Design and Construction Management Degree Apprenticeship</t>
  </si>
  <si>
    <t>301767</t>
  </si>
  <si>
    <t>H00301767</t>
  </si>
  <si>
    <t>BSc (Hons) in Quantity Surveying - Sheffield Hallam University - Chartered surveying - Degree Apprenticeship Standard</t>
  </si>
  <si>
    <t>301768</t>
  </si>
  <si>
    <t>H00301768</t>
  </si>
  <si>
    <t>BA (Hons) in Dance and Performance - The Manchester College</t>
  </si>
  <si>
    <t>301769</t>
  </si>
  <si>
    <t>H00301769</t>
  </si>
  <si>
    <t>BA (Hons) in Theatre and Performance - The Manchester College</t>
  </si>
  <si>
    <t>301770</t>
  </si>
  <si>
    <t>H00301770</t>
  </si>
  <si>
    <t>BA (Hons) in Business Management and Leadership (WBIS) - University of Chester - Chartered Manager Degree Apprenticeship</t>
  </si>
  <si>
    <t>301771</t>
  </si>
  <si>
    <t>H00301771</t>
  </si>
  <si>
    <t>Masters in Education - East Riding College</t>
  </si>
  <si>
    <t>301772</t>
  </si>
  <si>
    <t>H00301772</t>
  </si>
  <si>
    <t>Foundation Degree in Electronic Engineering - University of Portsmouth</t>
  </si>
  <si>
    <t>301774</t>
  </si>
  <si>
    <t>H00301774</t>
  </si>
  <si>
    <t>Foundation Degree in Engineering- University of Portsmouth</t>
  </si>
  <si>
    <t>301775</t>
  </si>
  <si>
    <t>H00301775</t>
  </si>
  <si>
    <t>Foundation Degree in Lesiure Management - East Riding College</t>
  </si>
  <si>
    <t>301776</t>
  </si>
  <si>
    <t>H00301776</t>
  </si>
  <si>
    <t>Foundation Degree in Public Services Management - East Riding College</t>
  </si>
  <si>
    <t>301777</t>
  </si>
  <si>
    <t>H00301777</t>
  </si>
  <si>
    <t>Foundation Degree in Criminology and Criminal Justice - The Manchester College</t>
  </si>
  <si>
    <t>301778</t>
  </si>
  <si>
    <t>H00301778</t>
  </si>
  <si>
    <t>BA (Hons) in Criminology and Criminal Justice (Top Up) - The Manchester College</t>
  </si>
  <si>
    <t>301779</t>
  </si>
  <si>
    <t>H00301779</t>
  </si>
  <si>
    <t>Foundation Degree in Contemporary Art Practice - The Manchester College</t>
  </si>
  <si>
    <t>301780</t>
  </si>
  <si>
    <t>H00301780</t>
  </si>
  <si>
    <t>BA (Hons) in Creative Media Practice and Enterprise (Top Up) - The Mannchester College</t>
  </si>
  <si>
    <t>301781</t>
  </si>
  <si>
    <t>H00301781</t>
  </si>
  <si>
    <t>FdSc Network Engineering (Cyber Security)</t>
  </si>
  <si>
    <t>301782</t>
  </si>
  <si>
    <t>H00301782</t>
  </si>
  <si>
    <t>BSc (Hons) in Network Engineering (Cyber Security)</t>
  </si>
  <si>
    <t>301783</t>
  </si>
  <si>
    <t>H00301783</t>
  </si>
  <si>
    <t>BA (Hons) in Business and Management - Lincoln College</t>
  </si>
  <si>
    <t>301784</t>
  </si>
  <si>
    <t>H00301784</t>
  </si>
  <si>
    <t>BA (Hons) in Business and Management (Top Up) - Lincoln College</t>
  </si>
  <si>
    <t>301785</t>
  </si>
  <si>
    <t>H00301785</t>
  </si>
  <si>
    <t>FdEng Nuclear Engineering</t>
  </si>
  <si>
    <t>301786</t>
  </si>
  <si>
    <t>H00301786</t>
  </si>
  <si>
    <t>BEng (Hons) in Nuclear Engineering</t>
  </si>
  <si>
    <t>301787</t>
  </si>
  <si>
    <t>H00301787</t>
  </si>
  <si>
    <t>FdSc Network Engineering (Systems Administration)</t>
  </si>
  <si>
    <t>301788</t>
  </si>
  <si>
    <t>H00301788</t>
  </si>
  <si>
    <t>BSc (Hons) Network Engineering (Systems admin)</t>
  </si>
  <si>
    <t>301789</t>
  </si>
  <si>
    <t>H00301789</t>
  </si>
  <si>
    <t>Foundation Degree in Health and Social Care - Newcastle College</t>
  </si>
  <si>
    <t>301790</t>
  </si>
  <si>
    <t>H00301790</t>
  </si>
  <si>
    <t>BSc (Hons) in Sports Science and Coaching in Football - Doncaster College</t>
  </si>
  <si>
    <t>301791</t>
  </si>
  <si>
    <t>H00301791</t>
  </si>
  <si>
    <t>BA in Games Design and Animation Top-up - Doncaster College</t>
  </si>
  <si>
    <t>301792</t>
  </si>
  <si>
    <t>H00301792</t>
  </si>
  <si>
    <t>BA (Hons) in Leadership and Management - University of Portsmouth</t>
  </si>
  <si>
    <t>301793</t>
  </si>
  <si>
    <t>H00301793</t>
  </si>
  <si>
    <t>BA (Hons) in Criminology and Social Sciences (Top Up) - Southport College</t>
  </si>
  <si>
    <t>301794</t>
  </si>
  <si>
    <t>H00301794</t>
  </si>
  <si>
    <t>Foundation Degree in Criminology and Social Sciences - Southport College</t>
  </si>
  <si>
    <t>301795</t>
  </si>
  <si>
    <t>H00301795</t>
  </si>
  <si>
    <t>BSc (Hons) in Computing and IT (Top Up) - Southport College</t>
  </si>
  <si>
    <t>301796</t>
  </si>
  <si>
    <t>H00301796</t>
  </si>
  <si>
    <t>Foundation Degree in Computing and IT - Southport College</t>
  </si>
  <si>
    <t>301797</t>
  </si>
  <si>
    <t>H00301797</t>
  </si>
  <si>
    <t>Foundation Degree in Mechanical Engineering - Staffordshire University</t>
  </si>
  <si>
    <t>301798</t>
  </si>
  <si>
    <t>H00301798</t>
  </si>
  <si>
    <t>Diploma in Education and Training - Gloucestershire College</t>
  </si>
  <si>
    <t>301799</t>
  </si>
  <si>
    <t>H00301799</t>
  </si>
  <si>
    <t>Post Graduate Certificate in Education - Gloucestershire College</t>
  </si>
  <si>
    <t>301800</t>
  </si>
  <si>
    <t>H00301800</t>
  </si>
  <si>
    <t>Foundation Degree in Canine Behavior and Training - Reaseheath College</t>
  </si>
  <si>
    <t>301801</t>
  </si>
  <si>
    <t>H00301801</t>
  </si>
  <si>
    <t>Foundation Degree in Adventure Sports Coaching - Reaseheath College</t>
  </si>
  <si>
    <t>301802</t>
  </si>
  <si>
    <t>H00301802</t>
  </si>
  <si>
    <t>Foundation Degree in Sports Coaching - Reaseheath College</t>
  </si>
  <si>
    <t>301803</t>
  </si>
  <si>
    <t>H00301803</t>
  </si>
  <si>
    <t>Foundation Degree in Equine Physical Therapies - Reaseheath College</t>
  </si>
  <si>
    <t>301804</t>
  </si>
  <si>
    <t>H00301804</t>
  </si>
  <si>
    <t>Foundation Degree in Equine Physical Therapies (Part Time) - Reaseheath College</t>
  </si>
  <si>
    <t>301805</t>
  </si>
  <si>
    <t>H00301805</t>
  </si>
  <si>
    <t>Foundation Degree in Applied Equine Behaviour - Reaseheath College</t>
  </si>
  <si>
    <t>301806</t>
  </si>
  <si>
    <t>H00301806</t>
  </si>
  <si>
    <t>Foundation Degree in Applied Equine Behaviour (Part Time) - Reaseheath College</t>
  </si>
  <si>
    <t>301807</t>
  </si>
  <si>
    <t>H00301807</t>
  </si>
  <si>
    <t>Foundation Degree in Equine Science with Business Management - Reaseheath College</t>
  </si>
  <si>
    <t>301808</t>
  </si>
  <si>
    <t>H00301808</t>
  </si>
  <si>
    <t>Foundation Degree in Equine Science with Business Management (Part Time) - Reaseheath College</t>
  </si>
  <si>
    <t>301809</t>
  </si>
  <si>
    <t>H00301809</t>
  </si>
  <si>
    <t>BSc (Hons) in Applied Equine Behaviour (Top Up) - Reaseheath College</t>
  </si>
  <si>
    <t>301810</t>
  </si>
  <si>
    <t>H00301810</t>
  </si>
  <si>
    <t>BSc (Hons) in Applied Equine Behaviour (Top Up) (Part Time) - Reaseheath College</t>
  </si>
  <si>
    <t>301811</t>
  </si>
  <si>
    <t>H00301811</t>
  </si>
  <si>
    <t>BSc (Hons) in Equine Science with Business Management - Reaseheath College</t>
  </si>
  <si>
    <t>301812</t>
  </si>
  <si>
    <t>H00301812</t>
  </si>
  <si>
    <t>BSc (Hons) in Equine Science with Business Management (Part Time) - Reaseheath College</t>
  </si>
  <si>
    <t>301813</t>
  </si>
  <si>
    <t>H00301813</t>
  </si>
  <si>
    <t>BSc (Hons) in Equine Science with Business Management (Top Up) - Reaseheath College</t>
  </si>
  <si>
    <t>301814</t>
  </si>
  <si>
    <t>H00301814</t>
  </si>
  <si>
    <t>BSc (Hons) in Equine Science with Business Management (Top Up) (Part Time) - Reaseheath College</t>
  </si>
  <si>
    <t>301815</t>
  </si>
  <si>
    <t>H00301815</t>
  </si>
  <si>
    <t>Foundation Degree in Environmental Conservation and Land Management - Reaseheath College</t>
  </si>
  <si>
    <t>301816</t>
  </si>
  <si>
    <t>H00301816</t>
  </si>
  <si>
    <t>BSc (Hons) in Biological Science - Teeside Univeristy</t>
  </si>
  <si>
    <t>301817</t>
  </si>
  <si>
    <t>H00301817</t>
  </si>
  <si>
    <t>BSc (Hons) in Laboratory Scientist Degree Apprenticeship -Teesside University</t>
  </si>
  <si>
    <t>301818</t>
  </si>
  <si>
    <t>H00301818</t>
  </si>
  <si>
    <t>Foundation Degree in Graphics and Digital Media - Grimsby Institute</t>
  </si>
  <si>
    <t>301819</t>
  </si>
  <si>
    <t>H00301819</t>
  </si>
  <si>
    <t>Beng (Hons) in Software Engineering - University of Central Lancashire</t>
  </si>
  <si>
    <t>301820</t>
  </si>
  <si>
    <t>H00301820</t>
  </si>
  <si>
    <t>BSc (Hons) in Veterinary Nursing (Top up) - Askham Bryan College</t>
  </si>
  <si>
    <t>301821</t>
  </si>
  <si>
    <t>H00301821</t>
  </si>
  <si>
    <t>BSc (Hons) in Veterinary Health Studies (Top up) - Askham Bryan College</t>
  </si>
  <si>
    <t>301822</t>
  </si>
  <si>
    <t>H00301822</t>
  </si>
  <si>
    <t>Foundation Degree in Criminology and Criminal Justice (Top Up) - The Manchester College</t>
  </si>
  <si>
    <t>301823</t>
  </si>
  <si>
    <t>H00301823</t>
  </si>
  <si>
    <t>301824</t>
  </si>
  <si>
    <t>H00301824</t>
  </si>
  <si>
    <t>301825</t>
  </si>
  <si>
    <t>H00301825</t>
  </si>
  <si>
    <t>BA (Hons) in Creative Media Practice and Enterprise - The Manchester College</t>
  </si>
  <si>
    <t>301826</t>
  </si>
  <si>
    <t>H00301826</t>
  </si>
  <si>
    <t>HNC in Healthcare Practice - Cornwall College</t>
  </si>
  <si>
    <t>301827</t>
  </si>
  <si>
    <t>H00301827</t>
  </si>
  <si>
    <t>MSc in Equitation Science - Cornwall College</t>
  </si>
  <si>
    <t>301828</t>
  </si>
  <si>
    <t>H00301828</t>
  </si>
  <si>
    <t>Foundation Degree in Contemporary Storytelling and Performance - Cornwall College</t>
  </si>
  <si>
    <t>301829</t>
  </si>
  <si>
    <t>H00301829</t>
  </si>
  <si>
    <t>Foundation Degree in Early Years - East Berkshire College</t>
  </si>
  <si>
    <t>301830</t>
  </si>
  <si>
    <t>H00301830</t>
  </si>
  <si>
    <t>Foundation Degree in Primary Education - East Berkshire College</t>
  </si>
  <si>
    <t>301831</t>
  </si>
  <si>
    <t>H00301831</t>
  </si>
  <si>
    <t>Foundation Degree in Business Management - East Berkshire College</t>
  </si>
  <si>
    <t>301832</t>
  </si>
  <si>
    <t>H00301832</t>
  </si>
  <si>
    <t>Foundation Degree in Working with Children and Young People - East Berkshire College</t>
  </si>
  <si>
    <t>301833</t>
  </si>
  <si>
    <t>H00301833</t>
  </si>
  <si>
    <t>Foundation Degree in Building Services Engineering - East Berkshire College</t>
  </si>
  <si>
    <t>301834</t>
  </si>
  <si>
    <t>H00301834</t>
  </si>
  <si>
    <t>BA (Hons) in Working in Intergrated Services for Children and Young People - East Berkishire College</t>
  </si>
  <si>
    <t>301835</t>
  </si>
  <si>
    <t>H00301835</t>
  </si>
  <si>
    <t>Foundation Degree in Tourism and Hospitality - East Berkshire College</t>
  </si>
  <si>
    <t>301836</t>
  </si>
  <si>
    <t>H00301836</t>
  </si>
  <si>
    <t>Foundation Degree in Computing - Derby College</t>
  </si>
  <si>
    <t>301837</t>
  </si>
  <si>
    <t>H00301837</t>
  </si>
  <si>
    <t>Foundation Degree in Animal Management - Derby College</t>
  </si>
  <si>
    <t>301838</t>
  </si>
  <si>
    <t>H00301838</t>
  </si>
  <si>
    <t>BSc (Hons) in Animal Management - Derby College</t>
  </si>
  <si>
    <t>301839</t>
  </si>
  <si>
    <t>H00301839</t>
  </si>
  <si>
    <t>FdSc in Equine Science, Management and Training - Derby College</t>
  </si>
  <si>
    <t>301840</t>
  </si>
  <si>
    <t>H00301840</t>
  </si>
  <si>
    <t>BSc (Hons) in Equine Science, Management and Training (Top Up) - Derby College</t>
  </si>
  <si>
    <t>301841</t>
  </si>
  <si>
    <t>H00301841</t>
  </si>
  <si>
    <t>Foundation Degree in Applied Exercise, Health and Fitness - Newcastle College</t>
  </si>
  <si>
    <t>301842</t>
  </si>
  <si>
    <t>H00301842</t>
  </si>
  <si>
    <t>Foundation Degree in Hospitality and Management - Newcastle College</t>
  </si>
  <si>
    <t>301843</t>
  </si>
  <si>
    <t>H00301843</t>
  </si>
  <si>
    <t>Foundation Degree in Computing - Newcastle College</t>
  </si>
  <si>
    <t>301844</t>
  </si>
  <si>
    <t>H00301844</t>
  </si>
  <si>
    <t>BSc (Hons) in Person Centred Counselling - South Cheshire College</t>
  </si>
  <si>
    <t>301845</t>
  </si>
  <si>
    <t>H00301845</t>
  </si>
  <si>
    <t>HNC in Aircraft Maintenance</t>
  </si>
  <si>
    <t>301846</t>
  </si>
  <si>
    <t>H00301846</t>
  </si>
  <si>
    <t>HND in Aircraft Maintenance</t>
  </si>
  <si>
    <t>301847</t>
  </si>
  <si>
    <t>H00301847</t>
  </si>
  <si>
    <t>BSc in Aircraft Maintenance</t>
  </si>
  <si>
    <t>301848</t>
  </si>
  <si>
    <t>H00301848</t>
  </si>
  <si>
    <t>BA (Hons) in Lens Based Media - Lincoln College</t>
  </si>
  <si>
    <t>301849</t>
  </si>
  <si>
    <t>H00301849</t>
  </si>
  <si>
    <t>Foundation Degree in Football Coaching and Performance - SGS College</t>
  </si>
  <si>
    <t>301850</t>
  </si>
  <si>
    <t>H00301850</t>
  </si>
  <si>
    <t>FdA in Graphic Communications</t>
  </si>
  <si>
    <t>301851</t>
  </si>
  <si>
    <t>H00301851</t>
  </si>
  <si>
    <t>Foundation Degree in Assistant Practitioner - Buckinghamshire New University</t>
  </si>
  <si>
    <t>301852</t>
  </si>
  <si>
    <t>H00301852</t>
  </si>
  <si>
    <t>Foundation Degree in Dance - SGS College</t>
  </si>
  <si>
    <t>301853</t>
  </si>
  <si>
    <t>H00301853</t>
  </si>
  <si>
    <t>BA (Hons) in Drama and Performance - SGS College</t>
  </si>
  <si>
    <t>301854</t>
  </si>
  <si>
    <t>H00301854</t>
  </si>
  <si>
    <t>BA (Hons) in Musical Theatre - SGS College</t>
  </si>
  <si>
    <t>301855</t>
  </si>
  <si>
    <t>H00301855</t>
  </si>
  <si>
    <t>Foundation Degree in Drama and Performance - SGS College</t>
  </si>
  <si>
    <t>301856</t>
  </si>
  <si>
    <t>H00301856</t>
  </si>
  <si>
    <t>Foundation Degree in Musical Theatre - SGS College</t>
  </si>
  <si>
    <t>301857</t>
  </si>
  <si>
    <t>H00301857</t>
  </si>
  <si>
    <t>Foundation Degree in Digital Media - SGS College</t>
  </si>
  <si>
    <t>301858</t>
  </si>
  <si>
    <t>H00301858</t>
  </si>
  <si>
    <t>BA (Hons) in Art History - SGS College</t>
  </si>
  <si>
    <t>301859</t>
  </si>
  <si>
    <t>H00301859</t>
  </si>
  <si>
    <t>BA (Hons) in Fine Art - SGS College</t>
  </si>
  <si>
    <t>301860</t>
  </si>
  <si>
    <t>H00301860</t>
  </si>
  <si>
    <t>Foundation Degree in Artistic Make-Up and Special Effects</t>
  </si>
  <si>
    <t>301861</t>
  </si>
  <si>
    <t>H00301861</t>
  </si>
  <si>
    <t>Foundation Degree in Sports Coaching and Physical Activity - Craven College</t>
  </si>
  <si>
    <t>301862</t>
  </si>
  <si>
    <t>H00301862</t>
  </si>
  <si>
    <t>BA (Hons) in Business Management in the Service Sector - Craven College</t>
  </si>
  <si>
    <t>301863</t>
  </si>
  <si>
    <t>H00301863</t>
  </si>
  <si>
    <t>Foundation Degree in Fashion and Editorial Make-up - Craven College</t>
  </si>
  <si>
    <t>301864</t>
  </si>
  <si>
    <t>H00301864</t>
  </si>
  <si>
    <t>Foundation Degree in Prosthetic Make-up Effects - Craven College</t>
  </si>
  <si>
    <t>301865</t>
  </si>
  <si>
    <t>H00301865</t>
  </si>
  <si>
    <t>BA (Hons) in Make-up Artistry - Craven College</t>
  </si>
  <si>
    <t>301867</t>
  </si>
  <si>
    <t>H00301867</t>
  </si>
  <si>
    <t>BSc (Hons) in Digital and Technology Solutions Degree Apprenticeship - University of Hertfordshire</t>
  </si>
  <si>
    <t>301868</t>
  </si>
  <si>
    <t>H00301868</t>
  </si>
  <si>
    <t>Foundation Degree in Equine Entrepreneurship and Business Management - Berkshire College of Agriculture</t>
  </si>
  <si>
    <t>301869</t>
  </si>
  <si>
    <t>H00301869</t>
  </si>
  <si>
    <t>Foundation Degree in Animal Behaviour and Welfare - Berkshire College of Agriculture</t>
  </si>
  <si>
    <t>301870</t>
  </si>
  <si>
    <t>H00301870</t>
  </si>
  <si>
    <t>Foundation Degree in Leadership and Management - York College</t>
  </si>
  <si>
    <t>301871</t>
  </si>
  <si>
    <t>H00301871</t>
  </si>
  <si>
    <t>BA (Hons) in Media Make-Up and Hair Design - York College</t>
  </si>
  <si>
    <t>301872</t>
  </si>
  <si>
    <t>H00301872</t>
  </si>
  <si>
    <t>Foundation Degree in Internet Software Development - East Surrey College</t>
  </si>
  <si>
    <t>301873</t>
  </si>
  <si>
    <t>H00301873</t>
  </si>
  <si>
    <t>Foundation Degree in Music Sound Production - East Surrey College</t>
  </si>
  <si>
    <t>301874</t>
  </si>
  <si>
    <t>H00301874</t>
  </si>
  <si>
    <t>BSc (Hons) in Digital and Technology Solutions - University of Exeter</t>
  </si>
  <si>
    <t>301875</t>
  </si>
  <si>
    <t>H00301875</t>
  </si>
  <si>
    <t>Foundation Degree in Working with Older Adults - Northumberland College</t>
  </si>
  <si>
    <t>301876</t>
  </si>
  <si>
    <t>H00301876</t>
  </si>
  <si>
    <t>Foundation Degree in Event Management - Northumberland College</t>
  </si>
  <si>
    <t>301877</t>
  </si>
  <si>
    <t>H00301877</t>
  </si>
  <si>
    <t>BA (Hons) in Sport, Physical Education and Health - Leeds Trinity</t>
  </si>
  <si>
    <t>301878</t>
  </si>
  <si>
    <t>H00301878</t>
  </si>
  <si>
    <t>BSc (Hons) in Quantity Surveying  - Chartered Surveyor Standard</t>
  </si>
  <si>
    <t>301879</t>
  </si>
  <si>
    <t>H00301879</t>
  </si>
  <si>
    <t>HNC in Construction and the Built Environment - Cornwall College</t>
  </si>
  <si>
    <t>301880</t>
  </si>
  <si>
    <t>H00301880</t>
  </si>
  <si>
    <t>BA (Hons) in Children, Schools and Families - Cornwall College</t>
  </si>
  <si>
    <t>301881</t>
  </si>
  <si>
    <t>H00301881</t>
  </si>
  <si>
    <t>PgDip in Business Strategy, Enterprise and Growth - Cornwall College</t>
  </si>
  <si>
    <t>301882</t>
  </si>
  <si>
    <t>H00301882</t>
  </si>
  <si>
    <t>Foundation Degree in Independent Living - Cornwall College</t>
  </si>
  <si>
    <t>301883</t>
  </si>
  <si>
    <t>H00301883</t>
  </si>
  <si>
    <t>Foundation Degree in Housing - Cornwall College</t>
  </si>
  <si>
    <t>301884</t>
  </si>
  <si>
    <t>H00301884</t>
  </si>
  <si>
    <t>Foundation Degree in Business and Event Management -Petroc College</t>
  </si>
  <si>
    <t>301885</t>
  </si>
  <si>
    <t>H00301885</t>
  </si>
  <si>
    <t>Foundation Degree in Project Management - Petroc College</t>
  </si>
  <si>
    <t>301886</t>
  </si>
  <si>
    <t>H00301886</t>
  </si>
  <si>
    <t>Foundation Degree in Public Services - Petroc College</t>
  </si>
  <si>
    <t>301887</t>
  </si>
  <si>
    <t>H00301887</t>
  </si>
  <si>
    <t>Foundation Degree in Teaching and Learning - Petroc College</t>
  </si>
  <si>
    <t>301888</t>
  </si>
  <si>
    <t>H00301888</t>
  </si>
  <si>
    <t>Foundation Degree in Environmental Management - Petroc College</t>
  </si>
  <si>
    <t>301889</t>
  </si>
  <si>
    <t>H00301889</t>
  </si>
  <si>
    <t>BA (Hons) in Event Management - Northumberland College</t>
  </si>
  <si>
    <t>301890</t>
  </si>
  <si>
    <t>H00301890</t>
  </si>
  <si>
    <t>BA (Hons) in Working with Children and Families - Northumberland College</t>
  </si>
  <si>
    <t>301891</t>
  </si>
  <si>
    <t>H00301891</t>
  </si>
  <si>
    <t>BSc (Hons) in Animal Therapy and Rehabilitation - Warwickshire College</t>
  </si>
  <si>
    <t>301892</t>
  </si>
  <si>
    <t>H00301892</t>
  </si>
  <si>
    <t>Foundation Degree in Zoological Science, Education and Media - Warwickshire College</t>
  </si>
  <si>
    <t>301893</t>
  </si>
  <si>
    <t>H00301893</t>
  </si>
  <si>
    <t>BSc (Hons) in Zoological Science, Education and Media- Warwickshire College</t>
  </si>
  <si>
    <t>301894</t>
  </si>
  <si>
    <t>H00301894</t>
  </si>
  <si>
    <t>Foundation Degree in Animal Health and Welfare - Warwickshire College</t>
  </si>
  <si>
    <t>301895</t>
  </si>
  <si>
    <t>H00301895</t>
  </si>
  <si>
    <t>BSc (Hons) in Animal Health and Welfare - Warwickshire College</t>
  </si>
  <si>
    <t>301896</t>
  </si>
  <si>
    <t>H00301896</t>
  </si>
  <si>
    <t>Foundation Degree in Animal Management and Welfare - Warwickshire College</t>
  </si>
  <si>
    <t>301897</t>
  </si>
  <si>
    <t>H00301897</t>
  </si>
  <si>
    <t>BSc (Hons) in Animal Management and Welfare - Warwickshire College</t>
  </si>
  <si>
    <t>301898</t>
  </si>
  <si>
    <t>H00301898</t>
  </si>
  <si>
    <t>Foundation Degree in Digital Film Production - Warwickshire College</t>
  </si>
  <si>
    <t>301899</t>
  </si>
  <si>
    <t>H00301899</t>
  </si>
  <si>
    <t>Foundation Degree in fine Art and Contemporary Cultures  - Warwickshire College</t>
  </si>
  <si>
    <t>301900</t>
  </si>
  <si>
    <t>H00301900</t>
  </si>
  <si>
    <t>Foundation Degree in Production Arts - Warwickshire College</t>
  </si>
  <si>
    <t>301901</t>
  </si>
  <si>
    <t>H00301901</t>
  </si>
  <si>
    <t>Foundation Degree in Performing Arts - Warwickshire College</t>
  </si>
  <si>
    <t>301902</t>
  </si>
  <si>
    <t>H00301902</t>
  </si>
  <si>
    <t>Foundation Degree in Business and Accounting - Warwickshire College</t>
  </si>
  <si>
    <t>301903</t>
  </si>
  <si>
    <t>H00301903</t>
  </si>
  <si>
    <t>Foundation Degree in Counselling and Psychotherapy (Cognitive Behavioural Therapy) - Warwickshire College</t>
  </si>
  <si>
    <t>301904</t>
  </si>
  <si>
    <t>H00301904</t>
  </si>
  <si>
    <t>Foundation Degree in Counselling and Psychotherapy (Person Centred Therapy) - Warwickshire College</t>
  </si>
  <si>
    <t>301905</t>
  </si>
  <si>
    <t>H00301905</t>
  </si>
  <si>
    <t>Foundation Degree in Arboriculture - Warwickshire College</t>
  </si>
  <si>
    <t>301906</t>
  </si>
  <si>
    <t>H00301906</t>
  </si>
  <si>
    <t>Foundation Degree in Sport and Fitness Coaching - Warwickshire College</t>
  </si>
  <si>
    <t>301907</t>
  </si>
  <si>
    <t>H00301907</t>
  </si>
  <si>
    <t>BSc (Hons) in Quantity Surveying - University of Central Lancashire</t>
  </si>
  <si>
    <t>301908</t>
  </si>
  <si>
    <t>H00301908</t>
  </si>
  <si>
    <t>Degree Apprenticeship BSc (Hons) Digital and Technology Solutions Manager (Standard) Level 6 - The University of West London</t>
  </si>
  <si>
    <t>301909</t>
  </si>
  <si>
    <t>H00301909</t>
  </si>
  <si>
    <t>Higher Apprenticeship FdSc Healthcare Assistant Practitioner (Standard) Level 5 - The University of West London</t>
  </si>
  <si>
    <t>301910</t>
  </si>
  <si>
    <t>H00301910</t>
  </si>
  <si>
    <t>Degree Apprenticeship BA (Hons) Business Studies (CMDA) (Standard) Level 6 - The University of West London</t>
  </si>
  <si>
    <t>301911</t>
  </si>
  <si>
    <t>H00301911</t>
  </si>
  <si>
    <t>Foundation Degree in Applied Chemistry - Lakes College West Cumbria</t>
  </si>
  <si>
    <t>301912</t>
  </si>
  <si>
    <t>H00301912</t>
  </si>
  <si>
    <t>Foundation Degree in Advanced Manufacturing - Preston College</t>
  </si>
  <si>
    <t>301913</t>
  </si>
  <si>
    <t>H00301913</t>
  </si>
  <si>
    <t>Foundation Degree in Energy and Power Engineering - Preston College</t>
  </si>
  <si>
    <t>301914</t>
  </si>
  <si>
    <t>H00301914</t>
  </si>
  <si>
    <t>Foundation Degree in Travel and Tourism - Highbury College Portsmouth</t>
  </si>
  <si>
    <t>301915</t>
  </si>
  <si>
    <t>H00301915</t>
  </si>
  <si>
    <t>Foundation Degree in Hospitality Management - Highbury College Portsmouth</t>
  </si>
  <si>
    <t>301916</t>
  </si>
  <si>
    <t>H00301916</t>
  </si>
  <si>
    <t>HND in Computer Science - North Lindsey College</t>
  </si>
  <si>
    <t>301917</t>
  </si>
  <si>
    <t>H00301917</t>
  </si>
  <si>
    <t>Foundation Degree in Materials Engineering - North Lindsey College</t>
  </si>
  <si>
    <t>301918</t>
  </si>
  <si>
    <t>H00301918</t>
  </si>
  <si>
    <t>Foundation Degree in Professional Practice in Health and social Care - North Lindsey College</t>
  </si>
  <si>
    <t>301919</t>
  </si>
  <si>
    <t>H00301919</t>
  </si>
  <si>
    <t>BSc (Hons) in Digital and Technology Solutions - University of Winchester - Digital and Technology Solutions Professional Degree Apprenticeship</t>
  </si>
  <si>
    <t>301920</t>
  </si>
  <si>
    <t>H00301920</t>
  </si>
  <si>
    <t>FdSc Sports Coaching and Exercise Science</t>
  </si>
  <si>
    <t>301921</t>
  </si>
  <si>
    <t>H00301921</t>
  </si>
  <si>
    <t>FdSc Physical Activity, Nutrition and Health</t>
  </si>
  <si>
    <t>301922</t>
  </si>
  <si>
    <t>H00301922</t>
  </si>
  <si>
    <t>BA (Hons) in Hair and Beauty Management - Bradford College</t>
  </si>
  <si>
    <t>301923</t>
  </si>
  <si>
    <t>H00301923</t>
  </si>
  <si>
    <t>BSc (Hons) Applied Sport and Health Science -Truro and Penwith College</t>
  </si>
  <si>
    <t>301924</t>
  </si>
  <si>
    <t>H00301924</t>
  </si>
  <si>
    <t>Foundation Degree in Health and Social - Truro and Penwith College</t>
  </si>
  <si>
    <t>301925</t>
  </si>
  <si>
    <t>H00301925</t>
  </si>
  <si>
    <t>Foundation Degree in  Healthcare Practice - (Framework 602)</t>
  </si>
  <si>
    <t>301926</t>
  </si>
  <si>
    <t>H00301926</t>
  </si>
  <si>
    <t>BSc (Hons) in Chemistry - University of Greenwich</t>
  </si>
  <si>
    <t>301927</t>
  </si>
  <si>
    <t>H00301927</t>
  </si>
  <si>
    <t>Foundation Degree in Chemistry - University of Greenwich</t>
  </si>
  <si>
    <t>301928</t>
  </si>
  <si>
    <t>H00301928</t>
  </si>
  <si>
    <t>BSc (Hons) in Pharmaceutical Science - University of Greenwich</t>
  </si>
  <si>
    <t>301929</t>
  </si>
  <si>
    <t>H00301929</t>
  </si>
  <si>
    <t>Foundation Degree in Pharmaceutical Science - University of Greenwich</t>
  </si>
  <si>
    <t>301930</t>
  </si>
  <si>
    <t>H00301930</t>
  </si>
  <si>
    <t>Foundation Degree in Health and Social Care - Assistant Practitioner (Health) standard</t>
  </si>
  <si>
    <t>301931</t>
  </si>
  <si>
    <t>H00301931</t>
  </si>
  <si>
    <t>Foundation Degree in Bakery and Patisserie Technology - The Sheffield College</t>
  </si>
  <si>
    <t>301932</t>
  </si>
  <si>
    <t>H00301932</t>
  </si>
  <si>
    <t>MSc in Viticulture and Oenology -Plumpton College</t>
  </si>
  <si>
    <t>301933</t>
  </si>
  <si>
    <t>H00301933</t>
  </si>
  <si>
    <t>BA (Hons) in Performing Arts - Brooksby Melton College</t>
  </si>
  <si>
    <t>301934</t>
  </si>
  <si>
    <t>H00301934</t>
  </si>
  <si>
    <t>BA (Hons) in Performing Arts (Top-Up) - Brooksby Melton College</t>
  </si>
  <si>
    <t>301935</t>
  </si>
  <si>
    <t>H00301935</t>
  </si>
  <si>
    <t>BA (Hons) in Digital Film Production - Brooksby Melton College</t>
  </si>
  <si>
    <t>301936</t>
  </si>
  <si>
    <t>H00301936</t>
  </si>
  <si>
    <t>BA (Hons) in Digital Film Production (Top-Up) - Brooksby Melton College</t>
  </si>
  <si>
    <t>301937</t>
  </si>
  <si>
    <t>H00301937</t>
  </si>
  <si>
    <t>Foundation Degree in Animal Management (Science and Welfare) - Brooksby Melton College</t>
  </si>
  <si>
    <t>301938</t>
  </si>
  <si>
    <t>H00301938</t>
  </si>
  <si>
    <t>BSc (Hons) in Animal Management (Science and Welfare)(Top-Up) - Brooksby Melton College</t>
  </si>
  <si>
    <t>301939</t>
  </si>
  <si>
    <t>H00301939</t>
  </si>
  <si>
    <t>Foundation Degree in Equine Performance Science- Brooksby Melton College</t>
  </si>
  <si>
    <t>301940</t>
  </si>
  <si>
    <t>H00301940</t>
  </si>
  <si>
    <t>BSc (Hons) in Equine Performance with Business (Top Up) - SMB Group</t>
  </si>
  <si>
    <t>301941</t>
  </si>
  <si>
    <t>H00301941</t>
  </si>
  <si>
    <t>Foundation Degree in Sports Science - Brooksby Melton College</t>
  </si>
  <si>
    <t>301942</t>
  </si>
  <si>
    <t>H00301942</t>
  </si>
  <si>
    <t>BA (Hons) in Insurance - Peter Symonds College</t>
  </si>
  <si>
    <t>301943</t>
  </si>
  <si>
    <t>H00301943</t>
  </si>
  <si>
    <t>BSc (Hons) in Digital Technology Solutions (Cyber Security Analyst) - PETROC</t>
  </si>
  <si>
    <t>301944</t>
  </si>
  <si>
    <t>H00301944</t>
  </si>
  <si>
    <t>BSc (Hons) in Digital Technology Solutions (IT Consultant) - PETROC</t>
  </si>
  <si>
    <t>301945</t>
  </si>
  <si>
    <t>H00301945</t>
  </si>
  <si>
    <t>BSc (Hons) in Digital Technology Solutions (Network Engineer) - PETROC</t>
  </si>
  <si>
    <t>301946</t>
  </si>
  <si>
    <t>H00301946</t>
  </si>
  <si>
    <t>BSc (Hons) in Digital Technology Solutions (Software Engineer) - PETROC</t>
  </si>
  <si>
    <t>301947</t>
  </si>
  <si>
    <t>H00301947</t>
  </si>
  <si>
    <t>Foundation Degree in Educational Practice - Bedford College</t>
  </si>
  <si>
    <t>301948</t>
  </si>
  <si>
    <t>H00301948</t>
  </si>
  <si>
    <t>BA (Hons) in Fashion Design - South Essex College of Further and Higher Education</t>
  </si>
  <si>
    <t>301949</t>
  </si>
  <si>
    <t>H00301949</t>
  </si>
  <si>
    <t>BA (Hons) in Interior Design - South Essex College of Further and Higher Education</t>
  </si>
  <si>
    <t>301950</t>
  </si>
  <si>
    <t>H00301950</t>
  </si>
  <si>
    <t>BA (Hons) in Graphic Design - South Essex College of Further and Higher Education</t>
  </si>
  <si>
    <t>301951</t>
  </si>
  <si>
    <t>H00301951</t>
  </si>
  <si>
    <t>BA (Hons) in Photography - South Essex College of Further and Higher Education</t>
  </si>
  <si>
    <t>301952</t>
  </si>
  <si>
    <t>H00301952</t>
  </si>
  <si>
    <t>BA (Hons) in Fine Art - South Essex College of Further and Higher Education</t>
  </si>
  <si>
    <t>301953</t>
  </si>
  <si>
    <t>H00301953</t>
  </si>
  <si>
    <t>BA (Hons) in Fashion Communication - South Essex College of Further and Higher Education</t>
  </si>
  <si>
    <t>301954</t>
  </si>
  <si>
    <t>H00301954</t>
  </si>
  <si>
    <t>Foundation Degree in Early Years Practice - Tameside College</t>
  </si>
  <si>
    <t>301955</t>
  </si>
  <si>
    <t>H00301955</t>
  </si>
  <si>
    <t>BSc (Hons) in Film Production and Applied Technology - Gloucestershire College</t>
  </si>
  <si>
    <t>301956</t>
  </si>
  <si>
    <t>H00301956</t>
  </si>
  <si>
    <t>BSc (Hons) in Health Management (Top-Up) - Blackburn College</t>
  </si>
  <si>
    <t>301957</t>
  </si>
  <si>
    <t>H00301957</t>
  </si>
  <si>
    <t>BSc (Hons) in Public Health (Top-Up) - Blackburn College</t>
  </si>
  <si>
    <t>301958</t>
  </si>
  <si>
    <t>H00301958</t>
  </si>
  <si>
    <t>Foundation Degree in Creative Theatre Practice - City College Plymouth</t>
  </si>
  <si>
    <t>301959</t>
  </si>
  <si>
    <t>H00301959</t>
  </si>
  <si>
    <t>BSc (Hons) in Sports Rehabilitation with sports Therapy, Strength and Conditioning - City College Plymouth</t>
  </si>
  <si>
    <t>301960</t>
  </si>
  <si>
    <t>H00301960</t>
  </si>
  <si>
    <t>BA (Hons) in Business Studies (Top-Up) - Blackburn College</t>
  </si>
  <si>
    <t>301961</t>
  </si>
  <si>
    <t>H00301961</t>
  </si>
  <si>
    <t>BA (Hons) in Business with Management - Blackburn College</t>
  </si>
  <si>
    <t>301962</t>
  </si>
  <si>
    <t>H00301962</t>
  </si>
  <si>
    <t>BA (Hons) in Business human Resource Management - Blackburn College</t>
  </si>
  <si>
    <t>301963</t>
  </si>
  <si>
    <t>H00301963</t>
  </si>
  <si>
    <t>Foundation Degree in Contemporary Fine Art Practice - Weymouth College</t>
  </si>
  <si>
    <t>301964</t>
  </si>
  <si>
    <t>H00301964</t>
  </si>
  <si>
    <t>Foundation Degree in Public Services - Weymouth College</t>
  </si>
  <si>
    <t>301965</t>
  </si>
  <si>
    <t>H00301965</t>
  </si>
  <si>
    <t>Foundation Degree in Creative Media Production - Weymouth College</t>
  </si>
  <si>
    <t>301966</t>
  </si>
  <si>
    <t>H00301966</t>
  </si>
  <si>
    <t>BSc (Hons) in Digital and Technology Solutions - University of East London</t>
  </si>
  <si>
    <t>301967</t>
  </si>
  <si>
    <t>H00301967</t>
  </si>
  <si>
    <t>BSc (Hons) in Construction Site Management - University of East London</t>
  </si>
  <si>
    <t>301968</t>
  </si>
  <si>
    <t>H00301968</t>
  </si>
  <si>
    <t>BSc (Hons) in Civil Engineering Site Management - University of East London</t>
  </si>
  <si>
    <t>301969</t>
  </si>
  <si>
    <t>H00301969</t>
  </si>
  <si>
    <t>BSc (Hons) in Construction Design Management - University of East London</t>
  </si>
  <si>
    <t>301970</t>
  </si>
  <si>
    <t>H00301970</t>
  </si>
  <si>
    <t>Foundation Degree in Health and Social Care - Riverside College Halton</t>
  </si>
  <si>
    <t>301971</t>
  </si>
  <si>
    <t>H00301971</t>
  </si>
  <si>
    <t>Foundation Degree in Education - Riverside College Halton</t>
  </si>
  <si>
    <t>301972</t>
  </si>
  <si>
    <t>H00301972</t>
  </si>
  <si>
    <t>Foundation Degree in Sports Coaching and Physical Education - Riverside College Halton</t>
  </si>
  <si>
    <t>301973</t>
  </si>
  <si>
    <t>H00301973</t>
  </si>
  <si>
    <t>BSc (Hons) in Counselling - Riverside College Halton</t>
  </si>
  <si>
    <t>301974</t>
  </si>
  <si>
    <t>H00301974</t>
  </si>
  <si>
    <t>BSc (Hons) in Sports Therapy (Top-Up) - NESCOT</t>
  </si>
  <si>
    <t>301975</t>
  </si>
  <si>
    <t>H00301975</t>
  </si>
  <si>
    <t>BA (Hons) in Games Design for Industry - Cornwall College</t>
  </si>
  <si>
    <t>301976</t>
  </si>
  <si>
    <t>H00301976</t>
  </si>
  <si>
    <t>Foundation Degree in Outdoor Adventure Studies - Hugh Baird College</t>
  </si>
  <si>
    <t>301977</t>
  </si>
  <si>
    <t>H00301977</t>
  </si>
  <si>
    <t>Foundation Degree In Visual Merchandising and Promotional Design - Hugh Baird College</t>
  </si>
  <si>
    <t>301978</t>
  </si>
  <si>
    <t>H00301978</t>
  </si>
  <si>
    <t>BA (Hons) in Creative Audio Technology - Hugh Baird College</t>
  </si>
  <si>
    <t>301979</t>
  </si>
  <si>
    <t>H00301979</t>
  </si>
  <si>
    <t>BA (Hons) in Degree in Design for Commercial Interiors - Hugh Baird College</t>
  </si>
  <si>
    <t>301980</t>
  </si>
  <si>
    <t>H00301980</t>
  </si>
  <si>
    <t>BA (Hons) in Degree In Fashion and Textiles - Hugh Baird College</t>
  </si>
  <si>
    <t>301981</t>
  </si>
  <si>
    <t>H00301981</t>
  </si>
  <si>
    <t>BA (Hons) in Degree In Festival Management - Hugh Baird College</t>
  </si>
  <si>
    <t>301982</t>
  </si>
  <si>
    <t>H00301982</t>
  </si>
  <si>
    <t>BA (Hons) in Degree In Visual Merchandising and Promotional Design - Hugh Baird College</t>
  </si>
  <si>
    <t>301983</t>
  </si>
  <si>
    <t>H00301983</t>
  </si>
  <si>
    <t>BSc (Hons) in Degree In Computing - Hugh Baird College</t>
  </si>
  <si>
    <t>301984</t>
  </si>
  <si>
    <t>H00301984</t>
  </si>
  <si>
    <t>Foundation Degree in Creative Audio Technology - Hugh Baird College</t>
  </si>
  <si>
    <t>301985</t>
  </si>
  <si>
    <t>H00301985</t>
  </si>
  <si>
    <t>Foundation Degree in Engineering (Advanced Manufacturing) -Hugh Baird College</t>
  </si>
  <si>
    <t>301986</t>
  </si>
  <si>
    <t>H00301986</t>
  </si>
  <si>
    <t>Foundation Degree In Computing - Hugh Baird College</t>
  </si>
  <si>
    <t>301987</t>
  </si>
  <si>
    <t>H00301987</t>
  </si>
  <si>
    <t>Foundation Degree In Creative Make Up Design and Practice - Hugh Baird College</t>
  </si>
  <si>
    <t>301988</t>
  </si>
  <si>
    <t>H00301988</t>
  </si>
  <si>
    <t>Foundation Degree in Dementia and Assisted Living in Health and Social Care - Hugh Baird College</t>
  </si>
  <si>
    <t>301989</t>
  </si>
  <si>
    <t>H00301989</t>
  </si>
  <si>
    <t>Foundation Degree in Design for Commercial Interiors - Hugh Baird College</t>
  </si>
  <si>
    <t>301990</t>
  </si>
  <si>
    <t>H00301990</t>
  </si>
  <si>
    <t>Foundation Degree In Fashion and Textiles - Hugh Baird College</t>
  </si>
  <si>
    <t>301991</t>
  </si>
  <si>
    <t>H00301991</t>
  </si>
  <si>
    <t>Foundation Degree In Festival Management - Hugh Baird College</t>
  </si>
  <si>
    <t>301992</t>
  </si>
  <si>
    <t>H00301992</t>
  </si>
  <si>
    <t>Foundation Degree in Hospitality in the Visitor Economy - Hugh Braid College</t>
  </si>
  <si>
    <t>301993</t>
  </si>
  <si>
    <t>H00301993</t>
  </si>
  <si>
    <t>Foundation Degree in Mental Health and Wellbeing - Hugh Braid College</t>
  </si>
  <si>
    <t>301994</t>
  </si>
  <si>
    <t>H00301994</t>
  </si>
  <si>
    <t>BSc (Hons) in Digital and Technology Solutions (Software Engineer) Degree Apprenticeship</t>
  </si>
  <si>
    <t>301995</t>
  </si>
  <si>
    <t>H00301995</t>
  </si>
  <si>
    <t>BA (Hons) in Sport Management - Loughborough College</t>
  </si>
  <si>
    <t>301996</t>
  </si>
  <si>
    <t>H00301996</t>
  </si>
  <si>
    <t>BSc (Hons) in Sport Coaching - Loughborough College</t>
  </si>
  <si>
    <t>301997</t>
  </si>
  <si>
    <t>H00301997</t>
  </si>
  <si>
    <t>BSc (Hons) in Sport Coaching (Futsal) - Loughborough College</t>
  </si>
  <si>
    <t>301998</t>
  </si>
  <si>
    <t>H00301998</t>
  </si>
  <si>
    <t>Foundation Degree in Wellbeing and Social Care Practices - Blackburn college</t>
  </si>
  <si>
    <t>301999</t>
  </si>
  <si>
    <t>H00301999</t>
  </si>
  <si>
    <t>BA (Hons) in Wellbeing and Social Care Practices - Blackburn college</t>
  </si>
  <si>
    <t>302000</t>
  </si>
  <si>
    <t>H00302000</t>
  </si>
  <si>
    <t>BA (Hons) in Early Childhood Progressions to Honours - Fareham College</t>
  </si>
  <si>
    <t>302001</t>
  </si>
  <si>
    <t>H00302001</t>
  </si>
  <si>
    <t>Foundation Degree in Health and Wellbeing - Leeds City college</t>
  </si>
  <si>
    <t>302002</t>
  </si>
  <si>
    <t>H00302002</t>
  </si>
  <si>
    <t>BA (Hons) in International Tourism and Aviation (Top-Up award) - Leeds City College</t>
  </si>
  <si>
    <t>302003</t>
  </si>
  <si>
    <t>H00302003</t>
  </si>
  <si>
    <t>Foundation Degree in Tourism and Aviation - Leeds City college</t>
  </si>
  <si>
    <t>302004</t>
  </si>
  <si>
    <t>H00302004</t>
  </si>
  <si>
    <t>Foundation Degree in Computer Games - Leeds City College</t>
  </si>
  <si>
    <t>302005</t>
  </si>
  <si>
    <t>H00302005</t>
  </si>
  <si>
    <t>BA(Hons) in Art enterprise (Top-Up Award) - Leeds City College</t>
  </si>
  <si>
    <t>302006</t>
  </si>
  <si>
    <t>H00302006</t>
  </si>
  <si>
    <t>Foundation Degree in Accountancy - Leeds City College</t>
  </si>
  <si>
    <t>302007</t>
  </si>
  <si>
    <t>H00302007</t>
  </si>
  <si>
    <t>BA (Hons) in Accountancy (Top-Up award) - Leeds City College</t>
  </si>
  <si>
    <t>302008</t>
  </si>
  <si>
    <t>H00302008</t>
  </si>
  <si>
    <t>Foundation Degree in Biomedical Sciences (Chemical and Pharmaceutical) - Leeds City College</t>
  </si>
  <si>
    <t>302009</t>
  </si>
  <si>
    <t>H00302009</t>
  </si>
  <si>
    <t>Foundation Degree in Biomedical Sciences (Biotechnical) - Leeds City College</t>
  </si>
  <si>
    <t>302010</t>
  </si>
  <si>
    <t>H00302010</t>
  </si>
  <si>
    <t>BSc (Hons) in Biomedical Sciences (Chemical and Pharmaceutical) - Leeds City College</t>
  </si>
  <si>
    <t>302011</t>
  </si>
  <si>
    <t>H00302011</t>
  </si>
  <si>
    <t>BSc (Hons) in Biomedical Sciences (Biotechnical) (Top-Up Award) - Leeds City College</t>
  </si>
  <si>
    <t>302012</t>
  </si>
  <si>
    <t>H00302012</t>
  </si>
  <si>
    <t>Foundation Degree in Sport (Performance) - Leeds City College</t>
  </si>
  <si>
    <t>302013</t>
  </si>
  <si>
    <t>H00302013</t>
  </si>
  <si>
    <t>Foundation Degree in Sport (P.E) - Leeds City College</t>
  </si>
  <si>
    <t>302014</t>
  </si>
  <si>
    <t>H00302014</t>
  </si>
  <si>
    <t>Foundation Degree in Sport (Coaching) - Leeds City College</t>
  </si>
  <si>
    <t>302015</t>
  </si>
  <si>
    <t>H00302015</t>
  </si>
  <si>
    <t>BSc (Hons) in Sports Coaching - Leeds City College</t>
  </si>
  <si>
    <t>302016</t>
  </si>
  <si>
    <t>H00302016</t>
  </si>
  <si>
    <t>BSc (Hons) in Sports Performance - Leeds City College</t>
  </si>
  <si>
    <t>302017</t>
  </si>
  <si>
    <t>H00302017</t>
  </si>
  <si>
    <t>Foundation Degree in Fashion, Theatrical and Media Hair and Make Up - Leeds City College</t>
  </si>
  <si>
    <t>302018</t>
  </si>
  <si>
    <t>H00302018</t>
  </si>
  <si>
    <t>CertEd in Post16 Education and Training - Leeds City College</t>
  </si>
  <si>
    <t>302019</t>
  </si>
  <si>
    <t>H00302019</t>
  </si>
  <si>
    <t>PGCE in Post 16 Education and Training - Leeds City College</t>
  </si>
  <si>
    <t>302020</t>
  </si>
  <si>
    <t>H00302020</t>
  </si>
  <si>
    <t>LLB (Hons) in Law and Criminology - Burnley College</t>
  </si>
  <si>
    <t>302021</t>
  </si>
  <si>
    <t>H00302021</t>
  </si>
  <si>
    <t>LLB (Hons) in Law and Psychology - Burnley College</t>
  </si>
  <si>
    <t>302022</t>
  </si>
  <si>
    <t>H00302022</t>
  </si>
  <si>
    <t>BA (Hons) in Religion Culture and Society - Burnley College</t>
  </si>
  <si>
    <t>302023</t>
  </si>
  <si>
    <t>H00302023</t>
  </si>
  <si>
    <t>BA (Hons) in English and History - Burnley College</t>
  </si>
  <si>
    <t>302024</t>
  </si>
  <si>
    <t>H00302024</t>
  </si>
  <si>
    <t>Foundation Degree in Leadership and Management - Framework 487</t>
  </si>
  <si>
    <t>302025</t>
  </si>
  <si>
    <t>H00302025</t>
  </si>
  <si>
    <t>BA (Hons) in Management - Chartered Management Degree Apprenticeship</t>
  </si>
  <si>
    <t>302026</t>
  </si>
  <si>
    <t>H00302026</t>
  </si>
  <si>
    <t>BSc (Hons) in Digital and Technology Solutions (software Engineer) - Degree Apprenticeship</t>
  </si>
  <si>
    <t>302027</t>
  </si>
  <si>
    <t>H00302027</t>
  </si>
  <si>
    <t>MSci in Sports Coach Development - Hartpury College</t>
  </si>
  <si>
    <t>302028</t>
  </si>
  <si>
    <t>H00302028</t>
  </si>
  <si>
    <t>HNC in Chemistry - University of Greenwich</t>
  </si>
  <si>
    <t>302029</t>
  </si>
  <si>
    <t>H00302029</t>
  </si>
  <si>
    <t>PGCert in Equine Behaviour and Welfare - Hartpury College</t>
  </si>
  <si>
    <t>302030</t>
  </si>
  <si>
    <t>H00302030</t>
  </si>
  <si>
    <t>BSc (Hons) in Applied Sports Science - Loughborough College</t>
  </si>
  <si>
    <t>302031</t>
  </si>
  <si>
    <t>H00302031</t>
  </si>
  <si>
    <t>BSc (Hons) in Applied Sports Science with Management - Loughborough College</t>
  </si>
  <si>
    <t>302032</t>
  </si>
  <si>
    <t>H00302032</t>
  </si>
  <si>
    <t>BSc (Hons) in Sports Coaching - Loughborough College</t>
  </si>
  <si>
    <t>302033</t>
  </si>
  <si>
    <t>H00302033</t>
  </si>
  <si>
    <t>FdSc in Integrated Mental Health and Social Care - University Centre Weston</t>
  </si>
  <si>
    <t>302034</t>
  </si>
  <si>
    <t>H00302034</t>
  </si>
  <si>
    <t>BEng (Hons) in Electronic and Computer Engineering - Gloucestershire College</t>
  </si>
  <si>
    <t>302035</t>
  </si>
  <si>
    <t>H00302035</t>
  </si>
  <si>
    <t>BEng (Hons) in Electronic Engineering - Derby College</t>
  </si>
  <si>
    <t>302036</t>
  </si>
  <si>
    <t>H00302036</t>
  </si>
  <si>
    <t>BEng (Hons) in Manufacturing Engineering - Derby College</t>
  </si>
  <si>
    <t>302037</t>
  </si>
  <si>
    <t>H00302037</t>
  </si>
  <si>
    <t>BEng (Hons) in Mechanical Engineering - Derby College</t>
  </si>
  <si>
    <t>302038</t>
  </si>
  <si>
    <t>H00302038</t>
  </si>
  <si>
    <t>Foundation Degree in Electrical/Electronic Engineering - University of Plymouth - (framework 550)</t>
  </si>
  <si>
    <t>302039</t>
  </si>
  <si>
    <t>H00302039</t>
  </si>
  <si>
    <t>BA (Hons) in Management Practice - Chartered Management Degree Standard</t>
  </si>
  <si>
    <t>302040</t>
  </si>
  <si>
    <t>H00302040</t>
  </si>
  <si>
    <t>Foundation Certificate in Health and Social Care (Mental Health) - Burnley College</t>
  </si>
  <si>
    <t>302041</t>
  </si>
  <si>
    <t>H00302041</t>
  </si>
  <si>
    <t>BSc (Hons) in Horticulture - Warwickshire College</t>
  </si>
  <si>
    <t>302042</t>
  </si>
  <si>
    <t>H00302042</t>
  </si>
  <si>
    <t>BSc (Hons) in Horticulture Production Technology - Warwickshire College</t>
  </si>
  <si>
    <t>302043</t>
  </si>
  <si>
    <t>H00302043</t>
  </si>
  <si>
    <t>BSc (Hons) in Sport Science (Top Up) -Brooksby Melton College</t>
  </si>
  <si>
    <t>302044</t>
  </si>
  <si>
    <t>H00302044</t>
  </si>
  <si>
    <t>BEng (Hons) in Electronic Engineering - University of Portsmouth - Embedded Electronic Systems Design and Development Engineer degree apprenticeship</t>
  </si>
  <si>
    <t>302045</t>
  </si>
  <si>
    <t>H00302045</t>
  </si>
  <si>
    <t>Foundation Degree in Health - London South Bank University - Healthcare Assistant Practitioner</t>
  </si>
  <si>
    <t>302046</t>
  </si>
  <si>
    <t>H00302046</t>
  </si>
  <si>
    <t>BA (Hons) in Business Foundation Entry - UCLAN</t>
  </si>
  <si>
    <t>302047</t>
  </si>
  <si>
    <t>H00302047</t>
  </si>
  <si>
    <t>BA (Hons) in Media Foundation Entry - UCLAN</t>
  </si>
  <si>
    <t>302048</t>
  </si>
  <si>
    <t>H00302048</t>
  </si>
  <si>
    <t>BA (Hons) in Sports Coaching Foundation entry - UCLAN</t>
  </si>
  <si>
    <t>302049</t>
  </si>
  <si>
    <t>H00302049</t>
  </si>
  <si>
    <t>BA (Hons) in Sports Science Foundation entry - UCLAN</t>
  </si>
  <si>
    <t>302050</t>
  </si>
  <si>
    <t>H00302050</t>
  </si>
  <si>
    <t>Foundation Degree in Health Nutrition and Physical Activity - UCLAN</t>
  </si>
  <si>
    <t>302051</t>
  </si>
  <si>
    <t>H00302051</t>
  </si>
  <si>
    <t>BEng (Hons) in Mechanical Engineering - Furness College</t>
  </si>
  <si>
    <t>302052</t>
  </si>
  <si>
    <t>H00302052</t>
  </si>
  <si>
    <t>BEng (Hons) in Electrical and Electronic Engineering - Furness College</t>
  </si>
  <si>
    <t>302053</t>
  </si>
  <si>
    <t>H00302053</t>
  </si>
  <si>
    <t>BSc (Hons) in Professional Management Practice - Chartered Manager Degree Apprenticeship</t>
  </si>
  <si>
    <t>302054</t>
  </si>
  <si>
    <t>H00302054</t>
  </si>
  <si>
    <t>BSc (Hons) in Digital and Technology Solutions - Cyber Security Analyst Degree Apprenticeship</t>
  </si>
  <si>
    <t>302055</t>
  </si>
  <si>
    <t>H00302055</t>
  </si>
  <si>
    <t>BA (Hons) in Business Management in Practice - Newcastle College</t>
  </si>
  <si>
    <t>302056</t>
  </si>
  <si>
    <t>H00302056</t>
  </si>
  <si>
    <t>MBA Master of Business Administration - Newcastle College</t>
  </si>
  <si>
    <t>302057</t>
  </si>
  <si>
    <t>H00302057</t>
  </si>
  <si>
    <t>PGCE for Specialists in Learning Difficulties and Disabilities - Newcastle College</t>
  </si>
  <si>
    <t>302058</t>
  </si>
  <si>
    <t>H00302058</t>
  </si>
  <si>
    <t>PGCE for English Literacy and Language Specialists - Newcastle College</t>
  </si>
  <si>
    <t>302059</t>
  </si>
  <si>
    <t>H00302059</t>
  </si>
  <si>
    <t>PGCE for Mathematics and Numeracy Specialists - Newcastle College</t>
  </si>
  <si>
    <t>302060</t>
  </si>
  <si>
    <t>H00302060</t>
  </si>
  <si>
    <t>PGCE for Young People and Adult Learning Specialists - Newcastle College</t>
  </si>
  <si>
    <t>302061</t>
  </si>
  <si>
    <t>H00302061</t>
  </si>
  <si>
    <t>BA (Hons) in Business Management in Practice - Pearson College Limited</t>
  </si>
  <si>
    <t>302062</t>
  </si>
  <si>
    <t>H00302062</t>
  </si>
  <si>
    <t>302063</t>
  </si>
  <si>
    <t>H00302063</t>
  </si>
  <si>
    <t>BSc (Hons) in Digital and Technology Solutions -IT Consultant Degree Apprenticeship</t>
  </si>
  <si>
    <t>302064</t>
  </si>
  <si>
    <t>H00302064</t>
  </si>
  <si>
    <t>BSc (Hons) in Digital and Technology Solutions - Software Engineer Degree Apprenticeship</t>
  </si>
  <si>
    <t>302065</t>
  </si>
  <si>
    <t>H00302065</t>
  </si>
  <si>
    <t>BSc (Hons) in Digital and Technology Solutions - Network Engineer Degree Apprenticeship</t>
  </si>
  <si>
    <t>302066</t>
  </si>
  <si>
    <t>H00302066</t>
  </si>
  <si>
    <t>LLB (Hons) - The University of Law Limited</t>
  </si>
  <si>
    <t>302067</t>
  </si>
  <si>
    <t>H00302067</t>
  </si>
  <si>
    <t>MA in Education - Colchester Institute</t>
  </si>
  <si>
    <t>302068</t>
  </si>
  <si>
    <t>H00302068</t>
  </si>
  <si>
    <t>BA (Hons) in Business Innovation and Applied Management - Colchester Institute</t>
  </si>
  <si>
    <t>302069</t>
  </si>
  <si>
    <t>H00302069</t>
  </si>
  <si>
    <t>BA (Hons) in Business Management  - University of Hull</t>
  </si>
  <si>
    <t>302070</t>
  </si>
  <si>
    <t>H00302070</t>
  </si>
  <si>
    <t>Certificate in Education (PCET) - Havering College of F and HE</t>
  </si>
  <si>
    <t>302071</t>
  </si>
  <si>
    <t>H00302071</t>
  </si>
  <si>
    <t>BEng (Hons) Aerospace Engineering</t>
  </si>
  <si>
    <t>302072</t>
  </si>
  <si>
    <t>H00302072</t>
  </si>
  <si>
    <t>BSc (Hons) Network Engineering (Cyber Security)</t>
  </si>
  <si>
    <t>302073</t>
  </si>
  <si>
    <t>H00302073</t>
  </si>
  <si>
    <t>BA (Hons) in Children, Schools and Families - Burnley College</t>
  </si>
  <si>
    <t>302074</t>
  </si>
  <si>
    <t>H00302074</t>
  </si>
  <si>
    <t>BA (Hons) in Management and Leadership - University of Sunderland</t>
  </si>
  <si>
    <t>302076</t>
  </si>
  <si>
    <t>H00302076</t>
  </si>
  <si>
    <t>BA (Hons) in Music (Folk Music) - Leeds City College</t>
  </si>
  <si>
    <t>302077</t>
  </si>
  <si>
    <t>H00302077</t>
  </si>
  <si>
    <t>BA (Hons) in Music (Songwriting) - Leeds City College</t>
  </si>
  <si>
    <t>302078</t>
  </si>
  <si>
    <t>H00302078</t>
  </si>
  <si>
    <t>BSc (Hons) in Quantity Surveying - University of Portsmouth</t>
  </si>
  <si>
    <t>302079</t>
  </si>
  <si>
    <t>H00302079</t>
  </si>
  <si>
    <t>BSc (Hons) in Building Surveying - University of Portsmouth</t>
  </si>
  <si>
    <t>302080</t>
  </si>
  <si>
    <t>H00302080</t>
  </si>
  <si>
    <t>Foundation Degree in Healthcare Play Specialism - Nescot</t>
  </si>
  <si>
    <t>302081</t>
  </si>
  <si>
    <t>H00302081</t>
  </si>
  <si>
    <t>Foundation Degree in Creative and Professional Writing - Exeter College</t>
  </si>
  <si>
    <t>302082</t>
  </si>
  <si>
    <t>H00302082</t>
  </si>
  <si>
    <t>Foundation Degree in Sport Coaching - Central college Nottingham</t>
  </si>
  <si>
    <t>302083</t>
  </si>
  <si>
    <t>H00302083</t>
  </si>
  <si>
    <t>Foundation Degree in Marine Engineering - South Tyneside College</t>
  </si>
  <si>
    <t>302084</t>
  </si>
  <si>
    <t>H00302084</t>
  </si>
  <si>
    <t>Foundation Degree in Marine Electrical Engineering - South Tyneside College</t>
  </si>
  <si>
    <t>302085</t>
  </si>
  <si>
    <t>H00302085</t>
  </si>
  <si>
    <t>BEng (Hons) in Marine Engineering (Stage 3 top -up)- South Tyneside College</t>
  </si>
  <si>
    <t>302086</t>
  </si>
  <si>
    <t>H00302086</t>
  </si>
  <si>
    <t>BA (Hons) in Business Management - Newcastle College</t>
  </si>
  <si>
    <t>302087</t>
  </si>
  <si>
    <t>H00302087</t>
  </si>
  <si>
    <t>MSc in Systems Engineering Technical Leadership (Aviation) - The University of Warwick</t>
  </si>
  <si>
    <t>302088</t>
  </si>
  <si>
    <t>H00302088</t>
  </si>
  <si>
    <t>PgD (Hons) in Systems Engineering Technical Leadership (Aviation) - The University of Warwick</t>
  </si>
  <si>
    <t>302089</t>
  </si>
  <si>
    <t>H00302089</t>
  </si>
  <si>
    <t>PGCert (Hons) in Systems Engineering Technical Leadership (Aviation) - The University of Warwick</t>
  </si>
  <si>
    <t>302090</t>
  </si>
  <si>
    <t>H00302090</t>
  </si>
  <si>
    <t>BA (Hons) in Food and Culinary Arts - City College Brighton and Hove</t>
  </si>
  <si>
    <t>302091</t>
  </si>
  <si>
    <t>H00302091</t>
  </si>
  <si>
    <t>Foundation Degree in Children and young People Early Years Educator- Newcastle College</t>
  </si>
  <si>
    <t>302092</t>
  </si>
  <si>
    <t>H00302092</t>
  </si>
  <si>
    <t>BSc (Hons) in Digital and Technology Solutions (Open University)</t>
  </si>
  <si>
    <t>302093</t>
  </si>
  <si>
    <t>H00302093</t>
  </si>
  <si>
    <t>CertHE in Housing Management - London South Bank University</t>
  </si>
  <si>
    <t>302094</t>
  </si>
  <si>
    <t>H00302094</t>
  </si>
  <si>
    <t>BA (Hons) in Performance - Oldham College</t>
  </si>
  <si>
    <t>302095</t>
  </si>
  <si>
    <t>H00302095</t>
  </si>
  <si>
    <t>BA (Hons) in Digital Art for 3D Games and Media - Oldham College</t>
  </si>
  <si>
    <t>302096</t>
  </si>
  <si>
    <t>H00302096</t>
  </si>
  <si>
    <t>Foundation Degree in Performance: Theatre and Drama - Oldham College</t>
  </si>
  <si>
    <t>302097</t>
  </si>
  <si>
    <t>H00302097</t>
  </si>
  <si>
    <t>302098</t>
  </si>
  <si>
    <t>H00302098</t>
  </si>
  <si>
    <t>BA (Hons) in Criminology and Criminal Justice (Top up) - Oldham College</t>
  </si>
  <si>
    <t>302099</t>
  </si>
  <si>
    <t>H00302099</t>
  </si>
  <si>
    <t>Foundation Degree in Criminology and Criminal Justice - Oldham College</t>
  </si>
  <si>
    <t>302100</t>
  </si>
  <si>
    <t>H00302100</t>
  </si>
  <si>
    <t>Foundation Degree in Sports Coaching - Oldham College</t>
  </si>
  <si>
    <t>302101</t>
  </si>
  <si>
    <t>H00302101</t>
  </si>
  <si>
    <t>BA (Hons) in Sports Coaching - Oldham College</t>
  </si>
  <si>
    <t>302102</t>
  </si>
  <si>
    <t>H00302102</t>
  </si>
  <si>
    <t>Foundation Degree in Sport and Exercise Science - Oldham college</t>
  </si>
  <si>
    <t>302103</t>
  </si>
  <si>
    <t>H00302103</t>
  </si>
  <si>
    <t>Foundation Degree in Media Production  Oldham college</t>
  </si>
  <si>
    <t>302104</t>
  </si>
  <si>
    <t>H00302104</t>
  </si>
  <si>
    <t>BA (Hons) in Media Practice - Oldham College</t>
  </si>
  <si>
    <t>302105</t>
  </si>
  <si>
    <t>H00302105</t>
  </si>
  <si>
    <t>BA (Hons) in Graphic Design - Oldham College</t>
  </si>
  <si>
    <t>302106</t>
  </si>
  <si>
    <t>H00302106</t>
  </si>
  <si>
    <t>BSc (Hons) in Health and Social Care (Top up) - Oldham College</t>
  </si>
  <si>
    <t>302107</t>
  </si>
  <si>
    <t>H00302107</t>
  </si>
  <si>
    <t>Foundation Degree in Health and Social Care - Oldham College</t>
  </si>
  <si>
    <t>302108</t>
  </si>
  <si>
    <t>H00302108</t>
  </si>
  <si>
    <t>BA (Hons) in Community Studies with Health - Oldham College</t>
  </si>
  <si>
    <t>302109</t>
  </si>
  <si>
    <t>H00302109</t>
  </si>
  <si>
    <t>Foundation Degree in Photography  Oldham College</t>
  </si>
  <si>
    <t>302110</t>
  </si>
  <si>
    <t>H00302110</t>
  </si>
  <si>
    <t>BA (Hons) in Photography and Digital Imaging - Oldham College</t>
  </si>
  <si>
    <t>302111</t>
  </si>
  <si>
    <t>H00302111</t>
  </si>
  <si>
    <t>BSc (Hons) in Countryside Management (Top up) - Bridgwater College</t>
  </si>
  <si>
    <t>302112</t>
  </si>
  <si>
    <t>H00302112</t>
  </si>
  <si>
    <t>Foundation Degree in Education and Training - Newcastle College</t>
  </si>
  <si>
    <t>302113</t>
  </si>
  <si>
    <t>H00302113</t>
  </si>
  <si>
    <t>Foundation Degree in Education and Training for Specialists in Learning Difficulties and disabilities - Newcastle College</t>
  </si>
  <si>
    <t>302114</t>
  </si>
  <si>
    <t>H00302114</t>
  </si>
  <si>
    <t>Foundation Degree in Education and Training for English, Literacy and Language Specialists  Newcastle College</t>
  </si>
  <si>
    <t>302115</t>
  </si>
  <si>
    <t>H00302115</t>
  </si>
  <si>
    <t>Foundation Degree in Education and Training for Mathematics and Numeracy Specialists -Newcastle College</t>
  </si>
  <si>
    <t>302116</t>
  </si>
  <si>
    <t>H00302116</t>
  </si>
  <si>
    <t>BA (Hons) in Sport and Education - Newcastle College</t>
  </si>
  <si>
    <t>302117</t>
  </si>
  <si>
    <t>H00302117</t>
  </si>
  <si>
    <t>BSc (Hons) in Applied Sports Coaching and Development - Newcastle College</t>
  </si>
  <si>
    <t>302118</t>
  </si>
  <si>
    <t>H00302118</t>
  </si>
  <si>
    <t>BSc (Hons) in Applied Exercise, Health and Fitness - Newcastle College</t>
  </si>
  <si>
    <t>302119</t>
  </si>
  <si>
    <t>H00302119</t>
  </si>
  <si>
    <t>BSc (Hons) in Health and Social - Newcastle College</t>
  </si>
  <si>
    <t>302120</t>
  </si>
  <si>
    <t>H00302120</t>
  </si>
  <si>
    <t>BA (Hons) in Health and Social Care - Bridgwater College</t>
  </si>
  <si>
    <t>302121</t>
  </si>
  <si>
    <t>H00302121</t>
  </si>
  <si>
    <t>Foundation Degree in Health and Social Care - Bridgwater College</t>
  </si>
  <si>
    <t>302122</t>
  </si>
  <si>
    <t>H00302122</t>
  </si>
  <si>
    <t>Cert HE in Health and Social Care - Bridgwater College</t>
  </si>
  <si>
    <t>302123</t>
  </si>
  <si>
    <t>H00302123</t>
  </si>
  <si>
    <t>302124</t>
  </si>
  <si>
    <t>H00302124</t>
  </si>
  <si>
    <t>BSc (Hons) in Games and Animation Design - University Centre Weston</t>
  </si>
  <si>
    <t>302125</t>
  </si>
  <si>
    <t>H00302125</t>
  </si>
  <si>
    <t>BA (Hons) in Community Theatre and Performance (Top-Up) - Burnley College</t>
  </si>
  <si>
    <t>302126</t>
  </si>
  <si>
    <t>H00302126</t>
  </si>
  <si>
    <t>BSc (Hons) in Psychology - Burnley College</t>
  </si>
  <si>
    <t>302127</t>
  </si>
  <si>
    <t>H00302127</t>
  </si>
  <si>
    <t>BA (Hons) in Business Management - University of Wolverhampton</t>
  </si>
  <si>
    <t>302128</t>
  </si>
  <si>
    <t>H00302128</t>
  </si>
  <si>
    <t>BA (Hons) in Business Management - Chartered Management Degree Apprenticeship</t>
  </si>
  <si>
    <t>302129</t>
  </si>
  <si>
    <t>H00302129</t>
  </si>
  <si>
    <t>BA (Hons) in Professional Management -  University Centre Quayside Limited</t>
  </si>
  <si>
    <t>302130</t>
  </si>
  <si>
    <t>H00302130</t>
  </si>
  <si>
    <t>Foundation Degree in Teaching Assistants (Primary) - Trafford college</t>
  </si>
  <si>
    <t>302131</t>
  </si>
  <si>
    <t>H00302131</t>
  </si>
  <si>
    <t>BA (Hons) in Business and Management - (Chartered Manager Degree Apprenticeship)</t>
  </si>
  <si>
    <t>302132</t>
  </si>
  <si>
    <t>H00302132</t>
  </si>
  <si>
    <t>BA (Hons) in Childhood Studies - Stockport College</t>
  </si>
  <si>
    <t>302133</t>
  </si>
  <si>
    <t>H00302133</t>
  </si>
  <si>
    <t>BA (Hons) in Contemporary Photography - Stockport College</t>
  </si>
  <si>
    <t>302134</t>
  </si>
  <si>
    <t>H00302134</t>
  </si>
  <si>
    <t>Foundation Degree in Early Years Practice - Stockport College</t>
  </si>
  <si>
    <t>302135</t>
  </si>
  <si>
    <t>H00302135</t>
  </si>
  <si>
    <t>Foundation Degree in Working with Children and Young People - Trafford College  Group</t>
  </si>
  <si>
    <t>302136</t>
  </si>
  <si>
    <t>H00302136</t>
  </si>
  <si>
    <t>HNC in Manufacturing and Mechatronic Engineering -University 0f Plymouth (via South Devon College)</t>
  </si>
  <si>
    <t>302137</t>
  </si>
  <si>
    <t>H00302137</t>
  </si>
  <si>
    <t>HNC in Mechanical Engineering - University of Chichester)</t>
  </si>
  <si>
    <t>302138</t>
  </si>
  <si>
    <t>H00302138</t>
  </si>
  <si>
    <t>HND in Mechanical Engineering (University of Chichester)</t>
  </si>
  <si>
    <t>302139</t>
  </si>
  <si>
    <t>H00302139</t>
  </si>
  <si>
    <t>HNC in Electronics and Robotic Control Engineering - University of Plymouth (via South Devon College)</t>
  </si>
  <si>
    <t>302140</t>
  </si>
  <si>
    <t>H00302140</t>
  </si>
  <si>
    <t>Foundation Degree in Computer Networks - Chesterfield College</t>
  </si>
  <si>
    <t>302141</t>
  </si>
  <si>
    <t>H00302141</t>
  </si>
  <si>
    <t>Foundation Degree in Computer Software Development - Chesterfield College</t>
  </si>
  <si>
    <t>302142</t>
  </si>
  <si>
    <t>H00302142</t>
  </si>
  <si>
    <t>BSc (Hons) in Computer Networks  (Top-Up) - Chesterfield College</t>
  </si>
  <si>
    <t>302143</t>
  </si>
  <si>
    <t>H00302143</t>
  </si>
  <si>
    <t>BSc (Hons) in Computer Software Development (Top-Up) - Chesterfield College</t>
  </si>
  <si>
    <t>302144</t>
  </si>
  <si>
    <t>H00302144</t>
  </si>
  <si>
    <t>BA (Hons) in Management and Leadership - Coventry University College</t>
  </si>
  <si>
    <t>302145</t>
  </si>
  <si>
    <t>H00302145</t>
  </si>
  <si>
    <t>Foundation Degree in Professional Development (health and Social Care) - University of Derby</t>
  </si>
  <si>
    <t>302146</t>
  </si>
  <si>
    <t>H00302146</t>
  </si>
  <si>
    <t>Foundation Degree in Business - Sussex Downs College</t>
  </si>
  <si>
    <t>302147</t>
  </si>
  <si>
    <t>H00302147</t>
  </si>
  <si>
    <t>Foundation Degree in Healthcare Practice (Nursing Associate ) - South Devon College</t>
  </si>
  <si>
    <t>302148</t>
  </si>
  <si>
    <t>H00302148</t>
  </si>
  <si>
    <t>Foundation Degree in Healthcare Practice Assistant Practitioner - South Devon College</t>
  </si>
  <si>
    <t>302149</t>
  </si>
  <si>
    <t>H00302149</t>
  </si>
  <si>
    <t>HNC in Marine Technologies - South Devon College</t>
  </si>
  <si>
    <t>302150</t>
  </si>
  <si>
    <t>H00302150</t>
  </si>
  <si>
    <t>HNC in Business - South Devon College</t>
  </si>
  <si>
    <t>302151</t>
  </si>
  <si>
    <t>H00302151</t>
  </si>
  <si>
    <t>FdA Early Childhood Studies</t>
  </si>
  <si>
    <t>302152</t>
  </si>
  <si>
    <t>H00302152</t>
  </si>
  <si>
    <t>BEng (Hons) Engineering  (Mechanical Engineering)</t>
  </si>
  <si>
    <t>302153</t>
  </si>
  <si>
    <t>H00302153</t>
  </si>
  <si>
    <t>BEng (Hons) Engineering  (Mechatronics Engineering)</t>
  </si>
  <si>
    <t>302154</t>
  </si>
  <si>
    <t>H00302154</t>
  </si>
  <si>
    <t>FdSc Software Engineering (App Development)</t>
  </si>
  <si>
    <t>302155</t>
  </si>
  <si>
    <t>H00302155</t>
  </si>
  <si>
    <t>BSc (Hons) Software Engineering (App Development)</t>
  </si>
  <si>
    <t>302156</t>
  </si>
  <si>
    <t>H00302156</t>
  </si>
  <si>
    <t>FdSc Software Engineering (Game Development)</t>
  </si>
  <si>
    <t>302157</t>
  </si>
  <si>
    <t>H00302157</t>
  </si>
  <si>
    <t>BSc (Hons) Software Engineering (Game Development)</t>
  </si>
  <si>
    <t>302158</t>
  </si>
  <si>
    <t>H00302158</t>
  </si>
  <si>
    <t>BA (Hons) in Counselling Solutions (Top-up) - Doncaster College</t>
  </si>
  <si>
    <t>302159</t>
  </si>
  <si>
    <t>H00302159</t>
  </si>
  <si>
    <t>MA in Contemporary Relationship Studies - Doncaster College</t>
  </si>
  <si>
    <t>302160</t>
  </si>
  <si>
    <t>H00302160</t>
  </si>
  <si>
    <t>BSc (Hons) in Building Surveying - University of Salford - Chartered Surveyor degree standard</t>
  </si>
  <si>
    <t>302161</t>
  </si>
  <si>
    <t>H00302161</t>
  </si>
  <si>
    <t>BSc (Hons) in Business and Management - University of Salford - Chartered Manager degree standard</t>
  </si>
  <si>
    <t>302162</t>
  </si>
  <si>
    <t>H00302162</t>
  </si>
  <si>
    <t>Cert HE in Housing Policy and Practice - University of Salford - Senior Housing / Property Management standard</t>
  </si>
  <si>
    <t>302163</t>
  </si>
  <si>
    <t>H00302163</t>
  </si>
  <si>
    <t>Cert HE in Project Management Consultancy- University of Salford - Junior Management standard</t>
  </si>
  <si>
    <t>302164</t>
  </si>
  <si>
    <t>H00302164</t>
  </si>
  <si>
    <t>FdSc in Operations Management - University of Salford - Operations - Departmental Manager standard</t>
  </si>
  <si>
    <t>302165</t>
  </si>
  <si>
    <t>H00302165</t>
  </si>
  <si>
    <t>BEng (Hons) in control and automation engineering - University of Salford - Control - Technical Support Engineer standard</t>
  </si>
  <si>
    <t>302166</t>
  </si>
  <si>
    <t>H00302166</t>
  </si>
  <si>
    <t>MSc in Equine Science - Myerscough College</t>
  </si>
  <si>
    <t>302167</t>
  </si>
  <si>
    <t>H00302167</t>
  </si>
  <si>
    <t>FdSc in Strength and Conditioning - Myerscough College</t>
  </si>
  <si>
    <t>302168</t>
  </si>
  <si>
    <t>H00302168</t>
  </si>
  <si>
    <t>Foundation Degree in Early Years - Epping  Forest College</t>
  </si>
  <si>
    <t>302169</t>
  </si>
  <si>
    <t>H00302169</t>
  </si>
  <si>
    <t>FdSc in Golf Coaching and Performance - Myerscough College</t>
  </si>
  <si>
    <t>302170</t>
  </si>
  <si>
    <t>H00302170</t>
  </si>
  <si>
    <t>Cert HE in Project Management Consultancy - University of Salford - Associate Project Manager standard</t>
  </si>
  <si>
    <t>302172</t>
  </si>
  <si>
    <t>H00302172</t>
  </si>
  <si>
    <t>Foundation Degree in Maintenance Engineering - University of Sheffield</t>
  </si>
  <si>
    <t>302173</t>
  </si>
  <si>
    <t>H00302173</t>
  </si>
  <si>
    <t>BEng (Hons) in Mechanical Manufacture - University of Sheffield</t>
  </si>
  <si>
    <t>302174</t>
  </si>
  <si>
    <t>H00302174</t>
  </si>
  <si>
    <t>BEng (Hons) in Maintenance Engineering - University of Sheffield</t>
  </si>
  <si>
    <t>302175</t>
  </si>
  <si>
    <t>H00302175</t>
  </si>
  <si>
    <t>BEng (Hons) in Manufacturing Technology - University of Sheffield</t>
  </si>
  <si>
    <t>302176</t>
  </si>
  <si>
    <t>H00302176</t>
  </si>
  <si>
    <t>BEng (Hons) in Mechanical Manufacture (Top up) - University of Sheffield</t>
  </si>
  <si>
    <t>302177</t>
  </si>
  <si>
    <t>H00302177</t>
  </si>
  <si>
    <t>BEng (Hons) in Maintenance Engineering (Top up)- University of Sheffield</t>
  </si>
  <si>
    <t>302178</t>
  </si>
  <si>
    <t>H00302178</t>
  </si>
  <si>
    <t>BEng (Hons) in Manufacturing Technology (Top up)- University of Sheffield</t>
  </si>
  <si>
    <t>302179</t>
  </si>
  <si>
    <t>H00302179</t>
  </si>
  <si>
    <t>HNC in Mechanical Engineering - University of Portsmouth</t>
  </si>
  <si>
    <t>302180</t>
  </si>
  <si>
    <t>H00302180</t>
  </si>
  <si>
    <t>HNC in Aeronautical Engineering - University of Portsmouth</t>
  </si>
  <si>
    <t>302181</t>
  </si>
  <si>
    <t>H00302181</t>
  </si>
  <si>
    <t>HNC in Electrical and Electronic Engineering - University of Portsmouth</t>
  </si>
  <si>
    <t>302182</t>
  </si>
  <si>
    <t>H00302182</t>
  </si>
  <si>
    <t>HND in General Engineering - University of Portsmouth</t>
  </si>
  <si>
    <t>302183</t>
  </si>
  <si>
    <t>H00302183</t>
  </si>
  <si>
    <t>FdA in Fashion, Theatrical and Media Hair and Make Up -  Leeds City college</t>
  </si>
  <si>
    <t>302184</t>
  </si>
  <si>
    <t>H00302184</t>
  </si>
  <si>
    <t>Foundation Degree in Leadership and Management - Leeds City College</t>
  </si>
  <si>
    <t>302185</t>
  </si>
  <si>
    <t>H00302185</t>
  </si>
  <si>
    <t>BA (Hons) in Leadership and Management - Leeds City College</t>
  </si>
  <si>
    <t>302186</t>
  </si>
  <si>
    <t>H00302186</t>
  </si>
  <si>
    <t>Foundation Degree in Business, Enterprise and Management - Leeds City College</t>
  </si>
  <si>
    <t>302187</t>
  </si>
  <si>
    <t>H00302187</t>
  </si>
  <si>
    <t>BA (Hons) in Business, Enterprise and Management - Leeds City College</t>
  </si>
  <si>
    <t>302188</t>
  </si>
  <si>
    <t>H00302188</t>
  </si>
  <si>
    <t>Postgraduate Certificate in Professional Practice for HE Practitioners - Leeds City college</t>
  </si>
  <si>
    <t>302189</t>
  </si>
  <si>
    <t>H00302189</t>
  </si>
  <si>
    <t>Foundation Degree in Children's Care, Learning and Development - Leeds City college</t>
  </si>
  <si>
    <t>302190</t>
  </si>
  <si>
    <t>H00302190</t>
  </si>
  <si>
    <t>Foundation Degree in Supporting Teaching and Learning - Leeds City College</t>
  </si>
  <si>
    <t>302191</t>
  </si>
  <si>
    <t>H00302191</t>
  </si>
  <si>
    <t>BA (Hons) in Children and Young People's Care and Education - Leeds City College</t>
  </si>
  <si>
    <t>302192</t>
  </si>
  <si>
    <t>H00302192</t>
  </si>
  <si>
    <t>BA (Hons) in Photography - Leeds City College</t>
  </si>
  <si>
    <t>302193</t>
  </si>
  <si>
    <t>H00302193</t>
  </si>
  <si>
    <t>Foundation Degree in Photography - Leeds City College</t>
  </si>
  <si>
    <t>302194</t>
  </si>
  <si>
    <t>H00302194</t>
  </si>
  <si>
    <t>Foundation Degree in Art Enterprise - Leeds City College</t>
  </si>
  <si>
    <t>302195</t>
  </si>
  <si>
    <t>H00302195</t>
  </si>
  <si>
    <t>FdSc in Health And Social Care (Assistant Practitioner) - University of Central Lancashire - Healthcare Assistant Practitioner</t>
  </si>
  <si>
    <t>302196</t>
  </si>
  <si>
    <t>H00302196</t>
  </si>
  <si>
    <t>BA (Hons) in Business Management - University of Central Lancashire - Chartered Manager Degree apprenticeship</t>
  </si>
  <si>
    <t>302197</t>
  </si>
  <si>
    <t>H00302197</t>
  </si>
  <si>
    <t>BSc (Hons) in Professional Management Practice - Chartered Manager Standard - University of Plymouth</t>
  </si>
  <si>
    <t>302198</t>
  </si>
  <si>
    <t>H00302198</t>
  </si>
  <si>
    <t>BSc (Hons) in Digital and Technology Solutions - Cyber Security Analyst - University of Plymouth</t>
  </si>
  <si>
    <t>302199</t>
  </si>
  <si>
    <t>H00302199</t>
  </si>
  <si>
    <t>BSc (Hons) in Digital and Technology Solutions - IT Consultant - University of Plymouth</t>
  </si>
  <si>
    <t>302200</t>
  </si>
  <si>
    <t>H00302200</t>
  </si>
  <si>
    <t>BSc (Hons) in Digital and Technology Solutions - Software Engineer - University of Plymouth</t>
  </si>
  <si>
    <t>302201</t>
  </si>
  <si>
    <t>H00302201</t>
  </si>
  <si>
    <t>BSC (Hons) in Digital and Technology Solutions - Network Engineer - University of Plymouth</t>
  </si>
  <si>
    <t>302202</t>
  </si>
  <si>
    <t>H00302202</t>
  </si>
  <si>
    <t>BA (Hons) in Business and Management Practice - Solihull College</t>
  </si>
  <si>
    <t>302203</t>
  </si>
  <si>
    <t>H00302203</t>
  </si>
  <si>
    <t>BA (Hons) in Business and Management Practice - Leeds Beckett University - Chartered Manager Degree Apprenticeship</t>
  </si>
  <si>
    <t>302204</t>
  </si>
  <si>
    <t>H00302204</t>
  </si>
  <si>
    <t>BSc (Hons) in Veterinary Physiotherapy - Berkshire College of Agriculture</t>
  </si>
  <si>
    <t>302205</t>
  </si>
  <si>
    <t>H00302205</t>
  </si>
  <si>
    <t>BSc (Hons) in Computing Technologies (top up) - University of Hull</t>
  </si>
  <si>
    <t>302206</t>
  </si>
  <si>
    <t>H00302206</t>
  </si>
  <si>
    <t>Foundation Degree in Photography -  TEC Partnership</t>
  </si>
  <si>
    <t>302207</t>
  </si>
  <si>
    <t>H00302207</t>
  </si>
  <si>
    <t>Foundation Degree in Counselling Studies - TEC Partnership</t>
  </si>
  <si>
    <t>302208</t>
  </si>
  <si>
    <t>H00302208</t>
  </si>
  <si>
    <t>FdSc in Companion Animal Behaviour - Guildford College of F and HE</t>
  </si>
  <si>
    <t>302209</t>
  </si>
  <si>
    <t>H00302209</t>
  </si>
  <si>
    <t>FdSc in Animal Behaviour and Welfare - Guildford College of F and HE</t>
  </si>
  <si>
    <t>302210</t>
  </si>
  <si>
    <t>H00302210</t>
  </si>
  <si>
    <t>FdSc in Animal Science - Guildford College of F and HE</t>
  </si>
  <si>
    <t>302211</t>
  </si>
  <si>
    <t>H00302211</t>
  </si>
  <si>
    <t>FdSc in Wildlife and Conservation - Guildford College of F and HE</t>
  </si>
  <si>
    <t>302212</t>
  </si>
  <si>
    <t>H00302212</t>
  </si>
  <si>
    <t>FdSc in Zoo Management - Guildford College of F and HE</t>
  </si>
  <si>
    <t>302213</t>
  </si>
  <si>
    <t>H00302213</t>
  </si>
  <si>
    <t>FdSc in Equine Management - Guildford College of F and HE</t>
  </si>
  <si>
    <t>302214</t>
  </si>
  <si>
    <t>H00302214</t>
  </si>
  <si>
    <t>BA (Hons) in Business Management and Leadership - University of Winchester</t>
  </si>
  <si>
    <t>302215</t>
  </si>
  <si>
    <t>H00302215</t>
  </si>
  <si>
    <t>Foundation Degree in Digital Design and Development - Hull College</t>
  </si>
  <si>
    <t>302216</t>
  </si>
  <si>
    <t>H00302216</t>
  </si>
  <si>
    <t>Foundation Degree in Young Children's Learning and Development - Hull College</t>
  </si>
  <si>
    <t>302217</t>
  </si>
  <si>
    <t>H00302217</t>
  </si>
  <si>
    <t>BA (Hons) in Leadership and Management - City College Norwich</t>
  </si>
  <si>
    <t>302218</t>
  </si>
  <si>
    <t>H00302218</t>
  </si>
  <si>
    <t>BA (Hons) in Leadership in the Public Sector - City College Norwich</t>
  </si>
  <si>
    <t>302219</t>
  </si>
  <si>
    <t>H00302219</t>
  </si>
  <si>
    <t>BA (Hons) in Leadership in the Public Sector  (top-up) - City College Norwich</t>
  </si>
  <si>
    <t>302220</t>
  </si>
  <si>
    <t>H00302220</t>
  </si>
  <si>
    <t>FdSc in Mental Health Practice - City College Norwich</t>
  </si>
  <si>
    <t>302221</t>
  </si>
  <si>
    <t>H00302221</t>
  </si>
  <si>
    <t>HNC in Computing - South Devon College</t>
  </si>
  <si>
    <t>302222</t>
  </si>
  <si>
    <t>H00302222</t>
  </si>
  <si>
    <t>BA (Hons) in Fashion - Bradford College</t>
  </si>
  <si>
    <t>302223</t>
  </si>
  <si>
    <t>H00302223</t>
  </si>
  <si>
    <t>BA (Hons) in Graphic Design and Illustration - Bradford College</t>
  </si>
  <si>
    <t>302224</t>
  </si>
  <si>
    <t>H00302224</t>
  </si>
  <si>
    <t>BA (Hons) in Interior Design - Bradford College</t>
  </si>
  <si>
    <t>302225</t>
  </si>
  <si>
    <t>H00302225</t>
  </si>
  <si>
    <t>BA (Hons in Photography - Bradford College</t>
  </si>
  <si>
    <t>302226</t>
  </si>
  <si>
    <t>H00302226</t>
  </si>
  <si>
    <t>BA (Hons) in Film - Bradford College</t>
  </si>
  <si>
    <t>302227</t>
  </si>
  <si>
    <t>H00302227</t>
  </si>
  <si>
    <t>302228</t>
  </si>
  <si>
    <t>H00302228</t>
  </si>
  <si>
    <t>BA (Hons) in Media Make-Up with Special Effects  Bradford College</t>
  </si>
  <si>
    <t>302229</t>
  </si>
  <si>
    <t>H00302229</t>
  </si>
  <si>
    <t>BA (Hons) in Visual Arts - Bradford College</t>
  </si>
  <si>
    <t>302230</t>
  </si>
  <si>
    <t>H00302230</t>
  </si>
  <si>
    <t>BA (Hons) in Visual Arts (Art and Design) - Bradford College</t>
  </si>
  <si>
    <t>302231</t>
  </si>
  <si>
    <t>H00302231</t>
  </si>
  <si>
    <t>BA (Hons) in Visual Arts (Fine Art) - Bradford College</t>
  </si>
  <si>
    <t>302232</t>
  </si>
  <si>
    <t>H00302232</t>
  </si>
  <si>
    <t>MA in Visual Arts - Bradford College</t>
  </si>
  <si>
    <t>302233</t>
  </si>
  <si>
    <t>H00302233</t>
  </si>
  <si>
    <t>BSC in Computer Networks and Systems Support - Bradford College</t>
  </si>
  <si>
    <t>302234</t>
  </si>
  <si>
    <t>H00302234</t>
  </si>
  <si>
    <t>BSC in Computing (top-up) - Bradford College</t>
  </si>
  <si>
    <t>302235</t>
  </si>
  <si>
    <t>H00302235</t>
  </si>
  <si>
    <t>BSC in Computing and Information Systems - Bradford College</t>
  </si>
  <si>
    <t>302236</t>
  </si>
  <si>
    <t>H00302236</t>
  </si>
  <si>
    <t>BSC in Games and Digital Media - Bradford College</t>
  </si>
  <si>
    <t>302237</t>
  </si>
  <si>
    <t>H00302237</t>
  </si>
  <si>
    <t>BSC in Internet Applications - Bradford College</t>
  </si>
  <si>
    <t>302238</t>
  </si>
  <si>
    <t>H00302238</t>
  </si>
  <si>
    <t>MSC in Computing  - Bradford College</t>
  </si>
  <si>
    <t>302239</t>
  </si>
  <si>
    <t>H00302239</t>
  </si>
  <si>
    <t>BSC in Construction Management (top- up) - Bradford College</t>
  </si>
  <si>
    <t>302240</t>
  </si>
  <si>
    <t>H00302240</t>
  </si>
  <si>
    <t>Foundation Degree in Ophthalmic Dispensing - Bradford College</t>
  </si>
  <si>
    <t>302241</t>
  </si>
  <si>
    <t>H00302241</t>
  </si>
  <si>
    <t>BSC in Ophthalmic Dispensing - Bradford  College</t>
  </si>
  <si>
    <t>302242</t>
  </si>
  <si>
    <t>H00302242</t>
  </si>
  <si>
    <t>BEng (Hons) in Mechanical Engineering (Aerospace) - University of Derby</t>
  </si>
  <si>
    <t>302243</t>
  </si>
  <si>
    <t>H00302243</t>
  </si>
  <si>
    <t>Foundation Degree in Rehabilitation Worker (Visual Impairment) - Birmingham City University - Rehabilitation Worker (Visual Impairment) standard</t>
  </si>
  <si>
    <t>302244</t>
  </si>
  <si>
    <t>H00302244</t>
  </si>
  <si>
    <t>BA (Hons) in Sport, Physical Education and Health (Top Up) - Barnsley College</t>
  </si>
  <si>
    <t>302245</t>
  </si>
  <si>
    <t>H00302245</t>
  </si>
  <si>
    <t>BSc (Hons) in Computer Science - Lincoln College</t>
  </si>
  <si>
    <t>302246</t>
  </si>
  <si>
    <t>H00302246</t>
  </si>
  <si>
    <t>BA (Hons) in Professional Practice: Supporting Young people, Children and Families (Top up)- Barnsley College</t>
  </si>
  <si>
    <t>302247</t>
  </si>
  <si>
    <t>H00302247</t>
  </si>
  <si>
    <t>BA (Hons) in Professional Practice: Education Studies (Top up) - Barnsley College</t>
  </si>
  <si>
    <t>302248</t>
  </si>
  <si>
    <t>H00302248</t>
  </si>
  <si>
    <t>BA (Hons) in Business Management - Bradford College</t>
  </si>
  <si>
    <t>302249</t>
  </si>
  <si>
    <t>H00302249</t>
  </si>
  <si>
    <t>BA (Hons) in Business Management (Finance) - Bradford College</t>
  </si>
  <si>
    <t>302250</t>
  </si>
  <si>
    <t>H00302250</t>
  </si>
  <si>
    <t>BA (Hons) in Business Management (Marketing) - Bradford College</t>
  </si>
  <si>
    <t>302251</t>
  </si>
  <si>
    <t>H00302251</t>
  </si>
  <si>
    <t>BA (Hons) in Business Management (Human Resource Management) - Bradford College</t>
  </si>
  <si>
    <t>302252</t>
  </si>
  <si>
    <t>H00302252</t>
  </si>
  <si>
    <t>BA (Hons) in Accountancy - Bradford College</t>
  </si>
  <si>
    <t>302253</t>
  </si>
  <si>
    <t>H00302253</t>
  </si>
  <si>
    <t>MA in Management - Bradford College</t>
  </si>
  <si>
    <t>302254</t>
  </si>
  <si>
    <t>H00302254</t>
  </si>
  <si>
    <t>MA in International Business Management - Bradford College</t>
  </si>
  <si>
    <t>302255</t>
  </si>
  <si>
    <t>H00302255</t>
  </si>
  <si>
    <t>302256</t>
  </si>
  <si>
    <t>H00302256</t>
  </si>
  <si>
    <t>FDA in Law and Legal Practice - Bradford College</t>
  </si>
  <si>
    <t>302257</t>
  </si>
  <si>
    <t>H00302257</t>
  </si>
  <si>
    <t>LLB (Hons) in Law - Bradford College</t>
  </si>
  <si>
    <t>302258</t>
  </si>
  <si>
    <t>H00302258</t>
  </si>
  <si>
    <t>LLB (Hons) in Law (Accounting) - Bradford College</t>
  </si>
  <si>
    <t>302259</t>
  </si>
  <si>
    <t>H00302259</t>
  </si>
  <si>
    <t>LLB (Hons) in Law (Marketing) - Bradford College</t>
  </si>
  <si>
    <t>302260</t>
  </si>
  <si>
    <t>H00302260</t>
  </si>
  <si>
    <t>LLB (Hons) in Law (Social Welfare) - Bradford College</t>
  </si>
  <si>
    <t>302261</t>
  </si>
  <si>
    <t>H00302261</t>
  </si>
  <si>
    <t>FdSc in Physical Activity, Health and Wellbeing - Bradford College</t>
  </si>
  <si>
    <t>302262</t>
  </si>
  <si>
    <t>H00302262</t>
  </si>
  <si>
    <t>FdSc in Sport Coaching - Bradford college</t>
  </si>
  <si>
    <t>302263</t>
  </si>
  <si>
    <t>H00302263</t>
  </si>
  <si>
    <t>BA (Hons) in Sport and Physical Activity - Bradford College</t>
  </si>
  <si>
    <t>302264</t>
  </si>
  <si>
    <t>H00302264</t>
  </si>
  <si>
    <t>FdA in Public Services Management - Bradford College</t>
  </si>
  <si>
    <t>302265</t>
  </si>
  <si>
    <t>H00302265</t>
  </si>
  <si>
    <t>BA (Hons) in Public Services Management - Bradford College</t>
  </si>
  <si>
    <t>302266</t>
  </si>
  <si>
    <t>H00302266</t>
  </si>
  <si>
    <t>FdA in Hospitality and Travel Management - Bradford College</t>
  </si>
  <si>
    <t>302267</t>
  </si>
  <si>
    <t>H00302267</t>
  </si>
  <si>
    <t>302268</t>
  </si>
  <si>
    <t>H00302268</t>
  </si>
  <si>
    <t>Foundation Degree in Engineering - Hull College</t>
  </si>
  <si>
    <t>302271</t>
  </si>
  <si>
    <t>H00302271</t>
  </si>
  <si>
    <t>BSc (Hons) in Applied Sport, Health and Exercise - City College Norwich</t>
  </si>
  <si>
    <t>302272</t>
  </si>
  <si>
    <t>H00302272</t>
  </si>
  <si>
    <t>BA (Hons) in 3D Character for Games - The City of Liverpool College</t>
  </si>
  <si>
    <t>302273</t>
  </si>
  <si>
    <t>H00302273</t>
  </si>
  <si>
    <t>BA (Hons) in Game Design (top up) - The City of Liverpool College</t>
  </si>
  <si>
    <t>302274</t>
  </si>
  <si>
    <t>H00302274</t>
  </si>
  <si>
    <t>BA (Hons) in Computing (top up) - The City of Liverpool College</t>
  </si>
  <si>
    <t>302275</t>
  </si>
  <si>
    <t>H00302275</t>
  </si>
  <si>
    <t>Foundation Degree in Popular Music - The City of Liverpool College</t>
  </si>
  <si>
    <t>302276</t>
  </si>
  <si>
    <t>H00302276</t>
  </si>
  <si>
    <t>BA (Hons) in Popular Music (top up) - The City of Liverpool College</t>
  </si>
  <si>
    <t>302277</t>
  </si>
  <si>
    <t>H00302277</t>
  </si>
  <si>
    <t>Foundation Degree in Dental Technology - The City of Liverpool College</t>
  </si>
  <si>
    <t>302278</t>
  </si>
  <si>
    <t>H00302278</t>
  </si>
  <si>
    <t>BA (Hons) in Dental Technology (top up) - The City of Liverpool College</t>
  </si>
  <si>
    <t>302279</t>
  </si>
  <si>
    <t>H00302279</t>
  </si>
  <si>
    <t>Post Graduate Certificate in Education - University of Exeter</t>
  </si>
  <si>
    <t>302280</t>
  </si>
  <si>
    <t>H00302280</t>
  </si>
  <si>
    <t>Certificate in Education - Exeter College</t>
  </si>
  <si>
    <t>302281</t>
  </si>
  <si>
    <t>H00302281</t>
  </si>
  <si>
    <t>MA in Educational Leadership and Management - Cornwall College</t>
  </si>
  <si>
    <t>302282</t>
  </si>
  <si>
    <t>H00302282</t>
  </si>
  <si>
    <t>BSc (Hons) in Digital and Technology Solutions (IT Consultant) - University of Portsmouth</t>
  </si>
  <si>
    <t>302283</t>
  </si>
  <si>
    <t>H00302283</t>
  </si>
  <si>
    <t>BSc (Hons) in Digital and Technology Solutions (Software Engineer) - University of Portsmouth</t>
  </si>
  <si>
    <t>302284</t>
  </si>
  <si>
    <t>H00302284</t>
  </si>
  <si>
    <t>BA (Hons) in Sales Leadership (Degree Apprenticeship)- University of Portsmouth</t>
  </si>
  <si>
    <t>302285</t>
  </si>
  <si>
    <t>H00302285</t>
  </si>
  <si>
    <t>BA (Hons) in Applied Management - University of Reading - Chartered Manager Degree Apprenticeship)</t>
  </si>
  <si>
    <t>302286</t>
  </si>
  <si>
    <t>H00302286</t>
  </si>
  <si>
    <t>Foundation Degree in Professional Studies (Education)- New College Stamford</t>
  </si>
  <si>
    <t>302287</t>
  </si>
  <si>
    <t>H00302287</t>
  </si>
  <si>
    <t>Foundation Degree in Professional Studies (Early Childhood)- New College Stamford</t>
  </si>
  <si>
    <t>302288</t>
  </si>
  <si>
    <t>H00302288</t>
  </si>
  <si>
    <t>FdA in Early Years - Bradford College</t>
  </si>
  <si>
    <t>302289</t>
  </si>
  <si>
    <t>H00302289</t>
  </si>
  <si>
    <t>BA (Hons) in Early Years Practice - Bradford College</t>
  </si>
  <si>
    <t>302290</t>
  </si>
  <si>
    <t>H00302290</t>
  </si>
  <si>
    <t>BA (Hons) in Social Nutrition and Health - Bradford College</t>
  </si>
  <si>
    <t>302291</t>
  </si>
  <si>
    <t>H00302291</t>
  </si>
  <si>
    <t>BA (Hons) in Social Work - Bradford College</t>
  </si>
  <si>
    <t>302292</t>
  </si>
  <si>
    <t>H00302292</t>
  </si>
  <si>
    <t>BA (Hons) in Counselling and Psychology in Community Settings - Bradford College</t>
  </si>
  <si>
    <t>302293</t>
  </si>
  <si>
    <t>H00302293</t>
  </si>
  <si>
    <t>BA (Hons) in Health and Social Welfare - Bradford College</t>
  </si>
  <si>
    <t>302294</t>
  </si>
  <si>
    <t>H00302294</t>
  </si>
  <si>
    <t>MA in Youth and Community Development - Bradford College</t>
  </si>
  <si>
    <t>302295</t>
  </si>
  <si>
    <t>H00302295</t>
  </si>
  <si>
    <t>FdA in Supporting and Managing Learning in Education - Bradford College</t>
  </si>
  <si>
    <t>302296</t>
  </si>
  <si>
    <t>H00302296</t>
  </si>
  <si>
    <t>BA (Hons) in Lifelong learning - Bradford College</t>
  </si>
  <si>
    <t>302297</t>
  </si>
  <si>
    <t>H00302297</t>
  </si>
  <si>
    <t>BA (Hons) in Teaching and Learning in the Primary Phase - Bradford College</t>
  </si>
  <si>
    <t>302298</t>
  </si>
  <si>
    <t>H00302298</t>
  </si>
  <si>
    <t>BA (Hons) in Education Studies - Bradford College</t>
  </si>
  <si>
    <t>302299</t>
  </si>
  <si>
    <t>H00302299</t>
  </si>
  <si>
    <t>BA (Hons) in Supporting and Managing Learning in Education - Bradford College</t>
  </si>
  <si>
    <t>302300</t>
  </si>
  <si>
    <t>H00302300</t>
  </si>
  <si>
    <t>PGCE in Primary - Bradford College</t>
  </si>
  <si>
    <t>302301</t>
  </si>
  <si>
    <t>H00302301</t>
  </si>
  <si>
    <t>PGCE in Primary (French) - Bradford College</t>
  </si>
  <si>
    <t>302302</t>
  </si>
  <si>
    <t>H00302302</t>
  </si>
  <si>
    <t>PGCE in Secondary - Bradford College</t>
  </si>
  <si>
    <t>302303</t>
  </si>
  <si>
    <t>H00302303</t>
  </si>
  <si>
    <t>PGCE in Secondary (Biology) - Bradford College</t>
  </si>
  <si>
    <t>302304</t>
  </si>
  <si>
    <t>H00302304</t>
  </si>
  <si>
    <t>PGCE in Secondary (Chemistry)- Bradford College</t>
  </si>
  <si>
    <t>302305</t>
  </si>
  <si>
    <t>H00302305</t>
  </si>
  <si>
    <t>PGCE in Secondary (Citizenship) - Bradford College</t>
  </si>
  <si>
    <t>302306</t>
  </si>
  <si>
    <t>H00302306</t>
  </si>
  <si>
    <t>PGCE in Secondary (Computer Science)- Bradford College</t>
  </si>
  <si>
    <t>302307</t>
  </si>
  <si>
    <t>H00302307</t>
  </si>
  <si>
    <t>PGCE in Secondary (Design Technology) - Bradford College</t>
  </si>
  <si>
    <t>302308</t>
  </si>
  <si>
    <t>H00302308</t>
  </si>
  <si>
    <t>PGCE in Secondary (English) - Bradford College</t>
  </si>
  <si>
    <t>302309</t>
  </si>
  <si>
    <t>H00302309</t>
  </si>
  <si>
    <t>PGCE in Secondary (Mathematics) - Bradford College</t>
  </si>
  <si>
    <t>302310</t>
  </si>
  <si>
    <t>H00302310</t>
  </si>
  <si>
    <t>PGCE in Secondary (Media Studies)- Bradford College</t>
  </si>
  <si>
    <t>302311</t>
  </si>
  <si>
    <t>H00302311</t>
  </si>
  <si>
    <t>PGCE in Secondary (Modern Foreign Languages) - Bradford College</t>
  </si>
  <si>
    <t>302312</t>
  </si>
  <si>
    <t>H00302312</t>
  </si>
  <si>
    <t>PGCE in Secondary (Physics and Mathematics) - Bradford College</t>
  </si>
  <si>
    <t>302313</t>
  </si>
  <si>
    <t>H00302313</t>
  </si>
  <si>
    <t>PGCE in Secondary (Physics) - Bradford College</t>
  </si>
  <si>
    <t>302314</t>
  </si>
  <si>
    <t>H00302314</t>
  </si>
  <si>
    <t>PGCE in Secondary (Psychology) - Bradford College</t>
  </si>
  <si>
    <t>302315</t>
  </si>
  <si>
    <t>H00302315</t>
  </si>
  <si>
    <t>PGCE in Secondary (Religious Education) - Bradford College</t>
  </si>
  <si>
    <t>302316</t>
  </si>
  <si>
    <t>H00302316</t>
  </si>
  <si>
    <t>PGCE in Secondary (Science) - Bradford College</t>
  </si>
  <si>
    <t>302317</t>
  </si>
  <si>
    <t>H00302317</t>
  </si>
  <si>
    <t>PGCE in Secondary (Social Science) - Bradford College</t>
  </si>
  <si>
    <t>302318</t>
  </si>
  <si>
    <t>H00302318</t>
  </si>
  <si>
    <t>Postgraduate Diploma in Education and Training - Bradford College</t>
  </si>
  <si>
    <t>302319</t>
  </si>
  <si>
    <t>H00302319</t>
  </si>
  <si>
    <t>Postgraduate Diploma in Education and Training  (with Teaching Disabled Learners)- Bradford College</t>
  </si>
  <si>
    <t>302320</t>
  </si>
  <si>
    <t>H00302320</t>
  </si>
  <si>
    <t>Postgraduate Diploma in Education and Training  (with Teaching ESOL)- Bradford College</t>
  </si>
  <si>
    <t>302321</t>
  </si>
  <si>
    <t>H00302321</t>
  </si>
  <si>
    <t>Postgraduate Diploma in Education and Training  (with Teaching Literacy)- Bradford College</t>
  </si>
  <si>
    <t>302322</t>
  </si>
  <si>
    <t>H00302322</t>
  </si>
  <si>
    <t>Postgraduate Diploma in Education and Training  (with Teaching Numeracy)- Bradford College</t>
  </si>
  <si>
    <t>302323</t>
  </si>
  <si>
    <t>H00302323</t>
  </si>
  <si>
    <t>Master of Education - Bradford College</t>
  </si>
  <si>
    <t>302324</t>
  </si>
  <si>
    <t>H00302324</t>
  </si>
  <si>
    <t>Master of Education in (Early Childhood)- Bradford College</t>
  </si>
  <si>
    <t>302325</t>
  </si>
  <si>
    <t>H00302325</t>
  </si>
  <si>
    <t>Master of Education in (Inclusive Practice)- Bradford College</t>
  </si>
  <si>
    <t>302326</t>
  </si>
  <si>
    <t>H00302326</t>
  </si>
  <si>
    <t>Master of Education in (Information Communication Technology)- Bradford College</t>
  </si>
  <si>
    <t>302327</t>
  </si>
  <si>
    <t>H00302327</t>
  </si>
  <si>
    <t>Master of Education in (Leadership and Management) - Bradford College</t>
  </si>
  <si>
    <t>302328</t>
  </si>
  <si>
    <t>H00302328</t>
  </si>
  <si>
    <t>BA (Hons) in Early Years, Education and Care - Havering College of F and HE</t>
  </si>
  <si>
    <t>302329</t>
  </si>
  <si>
    <t>H00302329</t>
  </si>
  <si>
    <t>HNC in Construction - Mid-Kent College</t>
  </si>
  <si>
    <t>302330</t>
  </si>
  <si>
    <t>H00302330</t>
  </si>
  <si>
    <t>HNC in Civil Engineering - Mid-Kent College</t>
  </si>
  <si>
    <t>302331</t>
  </si>
  <si>
    <t>H00302331</t>
  </si>
  <si>
    <t>HNC Building Services Engineering - Mid-Kent College</t>
  </si>
  <si>
    <t>302332</t>
  </si>
  <si>
    <t>H00302332</t>
  </si>
  <si>
    <t>HNC in Mechanical Engineering - Mid-Kent College</t>
  </si>
  <si>
    <t>302333</t>
  </si>
  <si>
    <t>H00302333</t>
  </si>
  <si>
    <t>HNC in Electronic Engineering - Mid-Kent College</t>
  </si>
  <si>
    <t>302334</t>
  </si>
  <si>
    <t>H00302334</t>
  </si>
  <si>
    <t>HNC in Electrical Engineering - Mid-Kent College</t>
  </si>
  <si>
    <t>302335</t>
  </si>
  <si>
    <t>H00302335</t>
  </si>
  <si>
    <t>BSc (Hons) in Digital and Technology Solutions - Leeds Beckett University</t>
  </si>
  <si>
    <t>302336</t>
  </si>
  <si>
    <t>H00302336</t>
  </si>
  <si>
    <t>BA (Hons) in Counselling Studies - New College Durham</t>
  </si>
  <si>
    <t>302337</t>
  </si>
  <si>
    <t>H00302337</t>
  </si>
  <si>
    <t>BA (Hons) in Management - New College Durham</t>
  </si>
  <si>
    <t>302338</t>
  </si>
  <si>
    <t>H00302338</t>
  </si>
  <si>
    <t>Certificate in Education - New College Durham</t>
  </si>
  <si>
    <t>302339</t>
  </si>
  <si>
    <t>H00302339</t>
  </si>
  <si>
    <t>Professional Graduate Certificate in Education - New College Durham</t>
  </si>
  <si>
    <t>302340</t>
  </si>
  <si>
    <t>H00302340</t>
  </si>
  <si>
    <t>Foundation Degree in Healthcare for Assistant Practitioners - University of Leeds</t>
  </si>
  <si>
    <t>302341</t>
  </si>
  <si>
    <t>H00302341</t>
  </si>
  <si>
    <t>BSc (Hons) in Computer Science (Digital and Technology Solutions) - University of Leeds</t>
  </si>
  <si>
    <t>302342</t>
  </si>
  <si>
    <t>H00302342</t>
  </si>
  <si>
    <t>BSc (Hons) in Healthcare Science (Audiology) - Aston University</t>
  </si>
  <si>
    <t>302343</t>
  </si>
  <si>
    <t>H00302343</t>
  </si>
  <si>
    <t>FdA in Photography - Warwickshire College Group</t>
  </si>
  <si>
    <t>302344</t>
  </si>
  <si>
    <t>H00302344</t>
  </si>
  <si>
    <t>FdA in Fine Art and Contemporary Craft - Warwickshire College Group</t>
  </si>
  <si>
    <t>302345</t>
  </si>
  <si>
    <t>H00302345</t>
  </si>
  <si>
    <t>FdA in Graphic Design, Multimedia and Illustration - Warwickshire College Group</t>
  </si>
  <si>
    <t>302346</t>
  </si>
  <si>
    <t>H00302346</t>
  </si>
  <si>
    <t>FdSc in Computing - Barnsley College</t>
  </si>
  <si>
    <t>302347</t>
  </si>
  <si>
    <t>H00302347</t>
  </si>
  <si>
    <t>FdA in Business - Barnsley College</t>
  </si>
  <si>
    <t>302348</t>
  </si>
  <si>
    <t>H00302348</t>
  </si>
  <si>
    <t>FdA in Games Design - Barnsley College</t>
  </si>
  <si>
    <t>302349</t>
  </si>
  <si>
    <t>H00302349</t>
  </si>
  <si>
    <t>FdA in Digital Film Production - Barnsley College</t>
  </si>
  <si>
    <t>302350</t>
  </si>
  <si>
    <t>H00302350</t>
  </si>
  <si>
    <t>BA (Hons) in Acting and Performance Practice - Newcastle College</t>
  </si>
  <si>
    <t>302351</t>
  </si>
  <si>
    <t>H00302351</t>
  </si>
  <si>
    <t>BA (Hons) in Airline and Airport Management - Newcastle College</t>
  </si>
  <si>
    <t>302352</t>
  </si>
  <si>
    <t>H00302352</t>
  </si>
  <si>
    <t>BA (Hons) in Business Management with Finance - Newcastle College</t>
  </si>
  <si>
    <t>302353</t>
  </si>
  <si>
    <t>H00302353</t>
  </si>
  <si>
    <t>BA (Hons) in Business Management with Human Resources - Newcastle College</t>
  </si>
  <si>
    <t>302354</t>
  </si>
  <si>
    <t>H00302354</t>
  </si>
  <si>
    <t>BA (Hons) in Business Management with Leadership - Newcastle College</t>
  </si>
  <si>
    <t>302355</t>
  </si>
  <si>
    <t>H00302355</t>
  </si>
  <si>
    <t>BA (Hons) in Business Management with Marketing - Newcastle College</t>
  </si>
  <si>
    <t>302356</t>
  </si>
  <si>
    <t>H00302356</t>
  </si>
  <si>
    <t>BA (Hons) in Creative Enterprise - Newcastle College</t>
  </si>
  <si>
    <t>302357</t>
  </si>
  <si>
    <t>H00302357</t>
  </si>
  <si>
    <t>BA (Hons) in Dance - Newcastle College</t>
  </si>
  <si>
    <t>302358</t>
  </si>
  <si>
    <t>H00302358</t>
  </si>
  <si>
    <t>BA (Hons) in Educational and Professional Development - Newcastle College</t>
  </si>
  <si>
    <t>302359</t>
  </si>
  <si>
    <t>H00302359</t>
  </si>
  <si>
    <t>BA (Hons) in Fashion - Newcastle College</t>
  </si>
  <si>
    <t>302360</t>
  </si>
  <si>
    <t>H00302360</t>
  </si>
  <si>
    <t>BA (Hons) in Travel and Tourism Management - Newcastle College</t>
  </si>
  <si>
    <t>302361</t>
  </si>
  <si>
    <t>H00302361</t>
  </si>
  <si>
    <t>BA (Hons) in Applied Science Analytical Chemistry - Newcastle College</t>
  </si>
  <si>
    <t>302362</t>
  </si>
  <si>
    <t>H00302362</t>
  </si>
  <si>
    <t>BSc (Hons) in Applied Science Biotechnology - Newcastle College</t>
  </si>
  <si>
    <t>302363</t>
  </si>
  <si>
    <t>H00302363</t>
  </si>
  <si>
    <t>BSc (Hons) in Public Health - Newcastle College</t>
  </si>
  <si>
    <t>302364</t>
  </si>
  <si>
    <t>H00302364</t>
  </si>
  <si>
    <t>BSc (Hons) in Sports Rehabilitation - Newcastle College</t>
  </si>
  <si>
    <t>302365</t>
  </si>
  <si>
    <t>H00302365</t>
  </si>
  <si>
    <t>MA in business Management - Newcastle College</t>
  </si>
  <si>
    <t>302366</t>
  </si>
  <si>
    <t>H00302366</t>
  </si>
  <si>
    <t>MeD in Education and Professional Development - Newcastle College</t>
  </si>
  <si>
    <t>302367</t>
  </si>
  <si>
    <t>H00302367</t>
  </si>
  <si>
    <t>BSc (Hons) Digital and Technology Solutions - Software Engineer</t>
  </si>
  <si>
    <t>302368</t>
  </si>
  <si>
    <t>H00302368</t>
  </si>
  <si>
    <t>BSc (Hons) Digital and Technology Solutions - Network Engineer</t>
  </si>
  <si>
    <t>302369</t>
  </si>
  <si>
    <t>H00302369</t>
  </si>
  <si>
    <t>BSc (Hons) Digital and Technology Solutions - Cyber Security Analyst</t>
  </si>
  <si>
    <t>302370</t>
  </si>
  <si>
    <t>H00302370</t>
  </si>
  <si>
    <t>FdA Public Services</t>
  </si>
  <si>
    <t>302371</t>
  </si>
  <si>
    <t>H00302371</t>
  </si>
  <si>
    <t>302372</t>
  </si>
  <si>
    <t>H00302372</t>
  </si>
  <si>
    <t>FdSc in Health and Social Care Practise (Assistant Practitioner) - Assistant Practitioner (Health) Higher Apprenticeship standard</t>
  </si>
  <si>
    <t>302373</t>
  </si>
  <si>
    <t>H00302373</t>
  </si>
  <si>
    <t>FdSc in Health and Social Care Practise (Nursing Associate) - Nursing Associate Higher Apprenticeship standard</t>
  </si>
  <si>
    <t>302374</t>
  </si>
  <si>
    <t>H00302374</t>
  </si>
  <si>
    <t>BA (Hons) in Education Studies - Colchester Institute</t>
  </si>
  <si>
    <t>302375</t>
  </si>
  <si>
    <t>H00302375</t>
  </si>
  <si>
    <t>FdSc in Indie Games - Wakefield college</t>
  </si>
  <si>
    <t>302376</t>
  </si>
  <si>
    <t>H00302376</t>
  </si>
  <si>
    <t>FdSc in Creative and Digital Industries - Wakefield college</t>
  </si>
  <si>
    <t>302377</t>
  </si>
  <si>
    <t>H00302377</t>
  </si>
  <si>
    <t>BA (Hons) in Performance Industries - Wakefield College</t>
  </si>
  <si>
    <t>302378</t>
  </si>
  <si>
    <t>H00302378</t>
  </si>
  <si>
    <t>BA (Hons) in Business Management - Wakefield College</t>
  </si>
  <si>
    <t>302379</t>
  </si>
  <si>
    <t>H00302379</t>
  </si>
  <si>
    <t>FdSc in Professional Practice in Health and Social Care - Doncaster College</t>
  </si>
  <si>
    <t>302380</t>
  </si>
  <si>
    <t>H00302380</t>
  </si>
  <si>
    <t>Foundation Degree in Advanced Beauty Therapy and Aesthetics - Hull College</t>
  </si>
  <si>
    <t>302381</t>
  </si>
  <si>
    <t>H00302381</t>
  </si>
  <si>
    <t>Foundation Degree in Sound Design for Games and Media - Hull College</t>
  </si>
  <si>
    <t>302382</t>
  </si>
  <si>
    <t>H00302382</t>
  </si>
  <si>
    <t>FdA in Creative Practice (Game Development) - The Sheffield College</t>
  </si>
  <si>
    <t>302383</t>
  </si>
  <si>
    <t>H00302383</t>
  </si>
  <si>
    <t>FdA in Creative Practice (Creative Coding and Apps Development) - The Sheffield College</t>
  </si>
  <si>
    <t>302384</t>
  </si>
  <si>
    <t>H00302384</t>
  </si>
  <si>
    <t>BA (Hons) in Creative Digital Practice (Game Development) (Top-Up) - The Sheffield College</t>
  </si>
  <si>
    <t>302385</t>
  </si>
  <si>
    <t>H00302385</t>
  </si>
  <si>
    <t>BA (Hons) in Creative Digital Practice (Creative Coding and Apps Development) (Top-Up) - The Sheffield College</t>
  </si>
  <si>
    <t>302386</t>
  </si>
  <si>
    <t>H00302386</t>
  </si>
  <si>
    <t>FdSc in Sport Business Management - The Sheffield College</t>
  </si>
  <si>
    <t>302388</t>
  </si>
  <si>
    <t>H00302388</t>
  </si>
  <si>
    <t>BA (Hons) in Management with Business (Top-up) - The Sheffield College</t>
  </si>
  <si>
    <t>302389</t>
  </si>
  <si>
    <t>H00302389</t>
  </si>
  <si>
    <t>BA (Hons) in Management with Events (Top-up) - The Sheffield College</t>
  </si>
  <si>
    <t>302390</t>
  </si>
  <si>
    <t>H00302390</t>
  </si>
  <si>
    <t>BA (Hons) in Management with Sport (Top-up) - The Sheffield College</t>
  </si>
  <si>
    <t>302391</t>
  </si>
  <si>
    <t>H00302391</t>
  </si>
  <si>
    <t>MA in Education Practice - Cornwall College</t>
  </si>
  <si>
    <t>302392</t>
  </si>
  <si>
    <t>H00302392</t>
  </si>
  <si>
    <t>MA in Education Leadership - Cornwall College</t>
  </si>
  <si>
    <t>302393</t>
  </si>
  <si>
    <t>H00302393</t>
  </si>
  <si>
    <t>Foundation Degree in Nursing Associate - Bridgewater College</t>
  </si>
  <si>
    <t>302394</t>
  </si>
  <si>
    <t>H00302394</t>
  </si>
  <si>
    <t>FdEd in Primary Education Studies - Grimsby Institute</t>
  </si>
  <si>
    <t>302395</t>
  </si>
  <si>
    <t>H00302395</t>
  </si>
  <si>
    <t>BSc (Hons) in Chemistry - University of Hull</t>
  </si>
  <si>
    <t>302396</t>
  </si>
  <si>
    <t>H00302396</t>
  </si>
  <si>
    <t>FdA in criminal Justice (Multi Agency) - West Nottinghamshire College</t>
  </si>
  <si>
    <t>302397</t>
  </si>
  <si>
    <t>H00302397</t>
  </si>
  <si>
    <t>BA (Hons) in Criminal Justice (Top-up) - West Nottinghamshire College</t>
  </si>
  <si>
    <t>302398</t>
  </si>
  <si>
    <t>H00302398</t>
  </si>
  <si>
    <t>FdA in Paralegal Studies - West Nottinghamshire College</t>
  </si>
  <si>
    <t>302399</t>
  </si>
  <si>
    <t>H00302399</t>
  </si>
  <si>
    <t>FdA in Applied social Policy - West Nottinghamshire College</t>
  </si>
  <si>
    <t>302400</t>
  </si>
  <si>
    <t>H00302400</t>
  </si>
  <si>
    <t>BA (Hons) in Applied Social Policy (Top-up) - West Nottinghamshire College</t>
  </si>
  <si>
    <t>302401</t>
  </si>
  <si>
    <t>H00302401</t>
  </si>
  <si>
    <t>BSc (Hons) in Building Surveying - Sheffield Hallam University</t>
  </si>
  <si>
    <t>302402</t>
  </si>
  <si>
    <t>H00302402</t>
  </si>
  <si>
    <t>BSc (Hons) in Professional Practice in Digital Technology Solutions (Software Engineering) - Sheffield Hallam University</t>
  </si>
  <si>
    <t>302403</t>
  </si>
  <si>
    <t>H00302403</t>
  </si>
  <si>
    <t>BSc (Hons) in Professional Practice in Digital Technology Solutions (Network Engineering) - Sheffield Hallam University</t>
  </si>
  <si>
    <t>302404</t>
  </si>
  <si>
    <t>H00302404</t>
  </si>
  <si>
    <t>BSc (Hons) in Healthcare Science (Cardiovascular, Respiratory and Sleep Sciences) - Sheffield Hallam University</t>
  </si>
  <si>
    <t>302405</t>
  </si>
  <si>
    <t>H00302405</t>
  </si>
  <si>
    <t>BSc (Hons) in Construction Project Management- Sheffield Hallam University</t>
  </si>
  <si>
    <t>302406</t>
  </si>
  <si>
    <t>H00302406</t>
  </si>
  <si>
    <t>BSc (Hons) in Professional Practice in Food Technology - Sheffield Hallam University</t>
  </si>
  <si>
    <t>302407</t>
  </si>
  <si>
    <t>H00302407</t>
  </si>
  <si>
    <t>FdEng in Integrated Engineering - Mechanical - Sheffield Hallam University</t>
  </si>
  <si>
    <t>302408</t>
  </si>
  <si>
    <t>H00302408</t>
  </si>
  <si>
    <t>FdEng in Integrated Engineering - Manufacturing - Sheffield Hallam University</t>
  </si>
  <si>
    <t>302409</t>
  </si>
  <si>
    <t>H00302409</t>
  </si>
  <si>
    <t>FdEng in Integrated Engineering - Engineering - Electrical - Sheffield Hallam University</t>
  </si>
  <si>
    <t>302410</t>
  </si>
  <si>
    <t>H00302410</t>
  </si>
  <si>
    <t>BEng (Hons) in Electrical and Electronic Engineering- Sheffield Hallam University</t>
  </si>
  <si>
    <t>302411</t>
  </si>
  <si>
    <t>H00302411</t>
  </si>
  <si>
    <t>BEng (Hons) in Electrical  Engineering- Sheffield Hallam University</t>
  </si>
  <si>
    <t>302412</t>
  </si>
  <si>
    <t>H00302412</t>
  </si>
  <si>
    <t>BEng (Hons) in Mechanical Engineering (Top-up) - Sheffield Hallam University</t>
  </si>
  <si>
    <t>302413</t>
  </si>
  <si>
    <t>H00302413</t>
  </si>
  <si>
    <t>BEng (Hons) in Manufacturing Engineering (Top-up) - Sheffield Hallam University</t>
  </si>
  <si>
    <t>302414</t>
  </si>
  <si>
    <t>H00302414</t>
  </si>
  <si>
    <t>BEng (Hons) in Electrical Engineering (Top-up) - Sheffield Hallam University</t>
  </si>
  <si>
    <t>302415</t>
  </si>
  <si>
    <t>H00302415</t>
  </si>
  <si>
    <t>MSc in Advanced Engineering - Sheffield Hallam University</t>
  </si>
  <si>
    <t>302416</t>
  </si>
  <si>
    <t>H00302416</t>
  </si>
  <si>
    <t>MSc in Advanced Materials Engineering - Sheffield Hallam University</t>
  </si>
  <si>
    <t>302417</t>
  </si>
  <si>
    <t>H00302417</t>
  </si>
  <si>
    <t>MSc in Advanced  Mechanical Engineering - Sheffield Hallam University</t>
  </si>
  <si>
    <t>302418</t>
  </si>
  <si>
    <t>H00302418</t>
  </si>
  <si>
    <t>302419</t>
  </si>
  <si>
    <t>H00302419</t>
  </si>
  <si>
    <t>MSc in Logistics and Supply Chain Management - Sheffield Hallam University</t>
  </si>
  <si>
    <t>302420</t>
  </si>
  <si>
    <t>H00302420</t>
  </si>
  <si>
    <t>MBA in Industrial Management</t>
  </si>
  <si>
    <t>302421</t>
  </si>
  <si>
    <t>H00302421</t>
  </si>
  <si>
    <t>BSc (Hons) in Cyber Security Technical Professional</t>
  </si>
  <si>
    <t>302422</t>
  </si>
  <si>
    <t>H00302422</t>
  </si>
  <si>
    <t>BSc (Hons) in Quantity Surveying - University of Greenwich - Quantity Surveying Degree Apprenticeship</t>
  </si>
  <si>
    <t>302423</t>
  </si>
  <si>
    <t>H00302423</t>
  </si>
  <si>
    <t>Foundation Degree in Creative Industries - Wigan and Leigh College</t>
  </si>
  <si>
    <t>302424</t>
  </si>
  <si>
    <t>H00302424</t>
  </si>
  <si>
    <t>BA (Hons) Visual Communication : Graphic Design - Sussex Coast College Hastings</t>
  </si>
  <si>
    <t>302425</t>
  </si>
  <si>
    <t>H00302425</t>
  </si>
  <si>
    <t>BA (Hons) Visual Communication : Photography - Sussex Coast College Hastings</t>
  </si>
  <si>
    <t>302426</t>
  </si>
  <si>
    <t>H00302426</t>
  </si>
  <si>
    <t>BA (Hons) Visual Communication : Illustration - Sussex Coast College Hastings</t>
  </si>
  <si>
    <t>302427</t>
  </si>
  <si>
    <t>H00302427</t>
  </si>
  <si>
    <t>BSc (Hons) Business (Top-Up) - Sussex Coast College Hastings</t>
  </si>
  <si>
    <t>302428</t>
  </si>
  <si>
    <t>H00302428</t>
  </si>
  <si>
    <t>BA (Hons) in Animation Arts and Practice - Sussex Coast College Hastings</t>
  </si>
  <si>
    <t>302429</t>
  </si>
  <si>
    <t>H00302429</t>
  </si>
  <si>
    <t>BSc (Hons) in Computing and Systems Development (Top-Up) - Sussex Coast College Hastings</t>
  </si>
  <si>
    <t>302430</t>
  </si>
  <si>
    <t>H00302430</t>
  </si>
  <si>
    <t>BSc (Hons) in Engineering (Mechanical and Manufacturing) (Top-Up) - Sussex Coast College Hastings</t>
  </si>
  <si>
    <t>302431</t>
  </si>
  <si>
    <t>H00302431</t>
  </si>
  <si>
    <t>Post Graduate Certificate in Education - Sussex Coast College Hastings</t>
  </si>
  <si>
    <t>302432</t>
  </si>
  <si>
    <t>H00302432</t>
  </si>
  <si>
    <t>BA (Hons)Designer Maker - Sussex Coast College Hastings</t>
  </si>
  <si>
    <t>302433</t>
  </si>
  <si>
    <t>H00302433</t>
  </si>
  <si>
    <t>BA (Hons) in Fine Art Practice - Sussex Coast College Hastings</t>
  </si>
  <si>
    <t>302434</t>
  </si>
  <si>
    <t>H00302434</t>
  </si>
  <si>
    <t>BA (Hons) in Business Management with Business Practice - London South Bank University - Chartered Manager Degree Apprenticeship</t>
  </si>
  <si>
    <t>302435</t>
  </si>
  <si>
    <t>H00302435</t>
  </si>
  <si>
    <t>BSc (Hons) in Digital and Technology (Business Analyst) - London South Bank University - Digital and Technology Solutions Professional Apprenticeship</t>
  </si>
  <si>
    <t>302436</t>
  </si>
  <si>
    <t>H00302436</t>
  </si>
  <si>
    <t>BSc (Hons) in Digital and Technology (Cyber Security Analyst) - London South Bank University - Digital and Technology Solutions Professional Apprenticeship</t>
  </si>
  <si>
    <t>302437</t>
  </si>
  <si>
    <t>H00302437</t>
  </si>
  <si>
    <t>BSc (Hons) in Digital and Technology (IT Consultant) - London South Bank University - Digital and Technology Solutions Professional Apprenticeship</t>
  </si>
  <si>
    <t>302438</t>
  </si>
  <si>
    <t>H00302438</t>
  </si>
  <si>
    <t>BSc (Hons) in Digital and Technology (Data Analyst) - London South Bank University - Digital and Technology Solutions Professional Apprenticeship</t>
  </si>
  <si>
    <t>302440</t>
  </si>
  <si>
    <t>H00302440</t>
  </si>
  <si>
    <t>MEng (Hons) Power Engineering (Transmission and Distribution) - London South Bank University - Power Engineer Integrated Degree Apprenticeship</t>
  </si>
  <si>
    <t>302442</t>
  </si>
  <si>
    <t>H00302442</t>
  </si>
  <si>
    <t>MEng (Hons) Power Engineering (Electrical) - London South Bank University - Power Engineer Integrated Degree Apprenticeship</t>
  </si>
  <si>
    <t>302444</t>
  </si>
  <si>
    <t>H00302444</t>
  </si>
  <si>
    <t>MEng (Hons) Power Engineering (Mechanical) - London South Bank University - Power Engineer Integrated Degree Apprenticeship</t>
  </si>
  <si>
    <t>302445</t>
  </si>
  <si>
    <t>H00302445</t>
  </si>
  <si>
    <t>BSc (Hons) in Adult Nursing - The Open University</t>
  </si>
  <si>
    <t>302446</t>
  </si>
  <si>
    <t>H00302446</t>
  </si>
  <si>
    <t>BSc (Hons) in Mental Health Nursing - The Open University</t>
  </si>
  <si>
    <t>302447</t>
  </si>
  <si>
    <t>H00302447</t>
  </si>
  <si>
    <t>BEng (Hons) in Embedded Electronic Systems Design and Development - Aston University</t>
  </si>
  <si>
    <t>302448</t>
  </si>
  <si>
    <t>H00302448</t>
  </si>
  <si>
    <t>FdSc in Animal Management - Barnsley College</t>
  </si>
  <si>
    <t>302449</t>
  </si>
  <si>
    <t>H00302449</t>
  </si>
  <si>
    <t>BA (Hons) in Business and Management - Hull College</t>
  </si>
  <si>
    <t>302450</t>
  </si>
  <si>
    <t>H00302450</t>
  </si>
  <si>
    <t>BSc (Hons) in Healthcare Science (Physiological Sciences) - UWE,Bristol</t>
  </si>
  <si>
    <t>302451</t>
  </si>
  <si>
    <t>H00302451</t>
  </si>
  <si>
    <t>BSc (Hons) in Healthcare Science (Clinical Engineering) - UWE,Bristol</t>
  </si>
  <si>
    <t>302452</t>
  </si>
  <si>
    <t>H00302452</t>
  </si>
  <si>
    <t>FdSc in Exercise Science (Health) - West Nottinghamshire College</t>
  </si>
  <si>
    <t>302453</t>
  </si>
  <si>
    <t>H00302453</t>
  </si>
  <si>
    <t>FdSc in Exercise Science (Injury Management) - West Nottinghamshire College</t>
  </si>
  <si>
    <t>302454</t>
  </si>
  <si>
    <t>H00302454</t>
  </si>
  <si>
    <t>FdA in Physical Education and Youth Sport - West Nottinghamshire College</t>
  </si>
  <si>
    <t>302455</t>
  </si>
  <si>
    <t>H00302455</t>
  </si>
  <si>
    <t>BA (Hons) in Sport Studies (Top-up) - West Nottinghamshire College</t>
  </si>
  <si>
    <t>302456</t>
  </si>
  <si>
    <t>H00302456</t>
  </si>
  <si>
    <t>Foundation Degree in (Science) Forensic Science - Southport College</t>
  </si>
  <si>
    <t>302457</t>
  </si>
  <si>
    <t>H00302457</t>
  </si>
  <si>
    <t>Foundation Degree in (Arts) Business Management - Southport College</t>
  </si>
  <si>
    <t>302458</t>
  </si>
  <si>
    <t>H00302458</t>
  </si>
  <si>
    <t>Foundation Degree in (Science) Health and Social Care - Southport College</t>
  </si>
  <si>
    <t>302459</t>
  </si>
  <si>
    <t>H00302459</t>
  </si>
  <si>
    <t>BSc (Hons) in  Health and Social Care (Top-up) - Southport College</t>
  </si>
  <si>
    <t>302460</t>
  </si>
  <si>
    <t>H00302460</t>
  </si>
  <si>
    <t>BA (Hons) in Musical Instrument Craft (Violin making and repair) - Lincoln College</t>
  </si>
  <si>
    <t>302461</t>
  </si>
  <si>
    <t>H00302461</t>
  </si>
  <si>
    <t>BA (Hons) in Musical Instrument Craft (Piano tuning and repair) - Lincoln College</t>
  </si>
  <si>
    <t>302462</t>
  </si>
  <si>
    <t>H00302462</t>
  </si>
  <si>
    <t>BA (Hons) in Musical Instrument Craft (Guitar making and repair) - Lincoln College</t>
  </si>
  <si>
    <t>302463</t>
  </si>
  <si>
    <t>H00302463</t>
  </si>
  <si>
    <t>BA (Hons) in Musical Instrument Craft (Woodwind making and repair) - Lincoln College</t>
  </si>
  <si>
    <t>302464</t>
  </si>
  <si>
    <t>H00302464</t>
  </si>
  <si>
    <t>Foundation Degree in Health and Wellbeing - Wakefield College</t>
  </si>
  <si>
    <t>302465</t>
  </si>
  <si>
    <t>H00302465</t>
  </si>
  <si>
    <t>Foundation Degree in Young Children's Learning and Development - Wakefield College</t>
  </si>
  <si>
    <t>302466</t>
  </si>
  <si>
    <t>H00302466</t>
  </si>
  <si>
    <t>Foundation Degree in Music Performance and Production - The Sheffield College</t>
  </si>
  <si>
    <t>302467</t>
  </si>
  <si>
    <t>H00302467</t>
  </si>
  <si>
    <t>CertHE in Music Performance and Production - The Sheffield College</t>
  </si>
  <si>
    <t>302468</t>
  </si>
  <si>
    <t>H00302468</t>
  </si>
  <si>
    <t>Foundation Degree in Dental Technology - The Sheffield College</t>
  </si>
  <si>
    <t>302469</t>
  </si>
  <si>
    <t>H00302469</t>
  </si>
  <si>
    <t>CertHE in Dental Technology(exit award)- The Sheffield College</t>
  </si>
  <si>
    <t>302470</t>
  </si>
  <si>
    <t>H00302470</t>
  </si>
  <si>
    <t>302471</t>
  </si>
  <si>
    <t>H00302471</t>
  </si>
  <si>
    <t>BA (Hons) in Community, Public Health and Social Care (Top-up) - Calderdale College</t>
  </si>
  <si>
    <t>302472</t>
  </si>
  <si>
    <t>H00302472</t>
  </si>
  <si>
    <t>BSc (Hons) in Healthcare Science (Cardiac Physiology) - University of Wolverhampton</t>
  </si>
  <si>
    <t>302473</t>
  </si>
  <si>
    <t>H00302473</t>
  </si>
  <si>
    <t>BSc (Hons) in Healthcare Science (Respiratory and Sleep Physiology) - University of Wolverhampton</t>
  </si>
  <si>
    <t>302474</t>
  </si>
  <si>
    <t>H00302474</t>
  </si>
  <si>
    <t>BA (Hons) in Management - University of Greenwich - (Chartered Management Degree Apprenticeship)</t>
  </si>
  <si>
    <t>302475</t>
  </si>
  <si>
    <t>H00302475</t>
  </si>
  <si>
    <t>BSc (Hons) in Food and Science and Technology - University of Lincoln</t>
  </si>
  <si>
    <t>302476</t>
  </si>
  <si>
    <t>H00302476</t>
  </si>
  <si>
    <t>FdSc in Food and Science and Technology - University of Lincoln</t>
  </si>
  <si>
    <t>302477</t>
  </si>
  <si>
    <t>H00302477</t>
  </si>
  <si>
    <t>BSc (Hons) in Food and Drink Operations and Manufacturing Management - University of Lincoln</t>
  </si>
  <si>
    <t>302478</t>
  </si>
  <si>
    <t>H00302478</t>
  </si>
  <si>
    <t>FdSc in Food and Drink Operations and Manufacturing Management - University of Lincoln</t>
  </si>
  <si>
    <t>302479</t>
  </si>
  <si>
    <t>H00302479</t>
  </si>
  <si>
    <t>BSc (Hons) in Food Operations and Supply Management - University of Lincoln</t>
  </si>
  <si>
    <t>302480</t>
  </si>
  <si>
    <t>H00302480</t>
  </si>
  <si>
    <t>FdSc in Food Operations and Supply Chain Management - University of Lincoln</t>
  </si>
  <si>
    <t>302481</t>
  </si>
  <si>
    <t>H00302481</t>
  </si>
  <si>
    <t>BSc (Hons) in Agri-Produce and Supply Chain Management - University of Lincoln</t>
  </si>
  <si>
    <t>302482</t>
  </si>
  <si>
    <t>H00302482</t>
  </si>
  <si>
    <t>FdSc in Agri-Produce and Supply Chain Management - University of Lincoln</t>
  </si>
  <si>
    <t>302483</t>
  </si>
  <si>
    <t>H00302483</t>
  </si>
  <si>
    <t>BSc (Hons) in Social Care with Health Studies (Top-up) - Furness College</t>
  </si>
  <si>
    <t>302484</t>
  </si>
  <si>
    <t>H00302484</t>
  </si>
  <si>
    <t>BEng (Hons) in Manufacturing Engineering (Degree Apprenticeship) - University of Greenwich</t>
  </si>
  <si>
    <t>302485</t>
  </si>
  <si>
    <t>H00302485</t>
  </si>
  <si>
    <t>BEng (Hons) in Product Design and Development Engineer (Degree Apprenticeship) - University of Greenwich</t>
  </si>
  <si>
    <t>302486</t>
  </si>
  <si>
    <t>H00302486</t>
  </si>
  <si>
    <t>BA (Hons) in Childhood, Youth and Family Studies - Northumberland College</t>
  </si>
  <si>
    <t>302487</t>
  </si>
  <si>
    <t>H00302487</t>
  </si>
  <si>
    <t>FdA in Counselling - Northumberland College</t>
  </si>
  <si>
    <t>302488</t>
  </si>
  <si>
    <t>H00302488</t>
  </si>
  <si>
    <t>BSc (Hons) in Applied Animal Management - Northumberland College</t>
  </si>
  <si>
    <t>302489</t>
  </si>
  <si>
    <t>H00302489</t>
  </si>
  <si>
    <t>BSc (Hons) in Arboriculture- Northumberland College</t>
  </si>
  <si>
    <t>302490</t>
  </si>
  <si>
    <t>H00302490</t>
  </si>
  <si>
    <t>BSc (Hons) in Environmental Conservation - Northumberland College</t>
  </si>
  <si>
    <t>302491</t>
  </si>
  <si>
    <t>H00302491</t>
  </si>
  <si>
    <t>BSc (Hons) in Equestrian Performance and Coaching - Northumberland College</t>
  </si>
  <si>
    <t>302492</t>
  </si>
  <si>
    <t>H00302492</t>
  </si>
  <si>
    <t>BSc (Hons) in Horticulture - Northumberland College</t>
  </si>
  <si>
    <t>302493</t>
  </si>
  <si>
    <t>H00302493</t>
  </si>
  <si>
    <t>BA (Hons) in Historical and Performance Costume - Grimsby Institute</t>
  </si>
  <si>
    <t>302494</t>
  </si>
  <si>
    <t>H00302494</t>
  </si>
  <si>
    <t>Foundation Degree in Health and Care - Canterbury Christ Church University - Assistant Practitioner Apprenticeship</t>
  </si>
  <si>
    <t>302495</t>
  </si>
  <si>
    <t>H00302495</t>
  </si>
  <si>
    <t>BSc (Hons) in Management (Professional Practice) - Canterbury Christ Church University - Chartered Manager Degree Apprenticeship</t>
  </si>
  <si>
    <t>302496</t>
  </si>
  <si>
    <t>H00302496</t>
  </si>
  <si>
    <t>BA (Hons) in Counselling - North Lindsey College</t>
  </si>
  <si>
    <t>302497</t>
  </si>
  <si>
    <t>H00302497</t>
  </si>
  <si>
    <t>Foundation Degree in Early Years - Heart of Worcestershire College</t>
  </si>
  <si>
    <t>302498</t>
  </si>
  <si>
    <t>H00302498</t>
  </si>
  <si>
    <t>BEng (Hons) in Embedded Electronic Systems Design and Development (Degree Apprenticeship) - University of Greenwich</t>
  </si>
  <si>
    <t>302499</t>
  </si>
  <si>
    <t>H00302499</t>
  </si>
  <si>
    <t>BA (Hons) in Social Studies - Open University</t>
  </si>
  <si>
    <t>302500</t>
  </si>
  <si>
    <t>H00302500</t>
  </si>
  <si>
    <t>BA (Hons) in Business Management Professional - University of Suffolk - (Chartered Manager Degree Apprenticeship)</t>
  </si>
  <si>
    <t>302501</t>
  </si>
  <si>
    <t>H00302501</t>
  </si>
  <si>
    <t>BSc (Hons) in Digital and Technology Solutions Professional - University of Suffolk - (Digital and Technology Solutions Professional Degree Apprenticeship)</t>
  </si>
  <si>
    <t>302502</t>
  </si>
  <si>
    <t>H00302502</t>
  </si>
  <si>
    <t>FdA in Health Care Practice (Acute Care) - University of Suffolk - (Health Assistant Practitioner Higher Apprenticeship)</t>
  </si>
  <si>
    <t>302503</t>
  </si>
  <si>
    <t>H00302503</t>
  </si>
  <si>
    <t>FdA in Health Care Practice (Dementia Care) - University of Suffolk - (Health Assistant Practitioner Higher Apprenticeship)</t>
  </si>
  <si>
    <t>302504</t>
  </si>
  <si>
    <t>H00302504</t>
  </si>
  <si>
    <t>FdA in Health Care Practice (End of Life) - University of Suffolk - (Health Assistant Practitioner Higher Apprenticeship)</t>
  </si>
  <si>
    <t>302505</t>
  </si>
  <si>
    <t>H00302505</t>
  </si>
  <si>
    <t>FdA in Health Care Practice (Long Term Care) - University of Suffolk - (Health Assistant Practitioner Higher Apprenticeship)</t>
  </si>
  <si>
    <t>302506</t>
  </si>
  <si>
    <t>H00302506</t>
  </si>
  <si>
    <t>FdA in Health Care Practice (Mental Health) - University of Suffolk - (Health Assistant Practitioner Higher Apprenticeship)</t>
  </si>
  <si>
    <t>302507</t>
  </si>
  <si>
    <t>H00302507</t>
  </si>
  <si>
    <t>BSc (Hons) in Marine Operations - South Tyneside College part of Tyne Coast College</t>
  </si>
  <si>
    <t>302508</t>
  </si>
  <si>
    <t>H00302508</t>
  </si>
  <si>
    <t>BSc (Hons) in Health and Well-being - Wakefield College</t>
  </si>
  <si>
    <t>302509</t>
  </si>
  <si>
    <t>H00302509</t>
  </si>
  <si>
    <t>Foundation Degree in Public Service Management - Wakefield College</t>
  </si>
  <si>
    <t>302510</t>
  </si>
  <si>
    <t>H00302510</t>
  </si>
  <si>
    <t>BA (Hons) in Public Service Management - Wakefield College</t>
  </si>
  <si>
    <t>302511</t>
  </si>
  <si>
    <t>H00302511</t>
  </si>
  <si>
    <t>Foundation Degree in Applied Sports Performance - Wakefield College</t>
  </si>
  <si>
    <t>302512</t>
  </si>
  <si>
    <t>H00302512</t>
  </si>
  <si>
    <t>BSc (Hons) in Applied Sports Performance - Wakefield College</t>
  </si>
  <si>
    <t>302513</t>
  </si>
  <si>
    <t>H00302513</t>
  </si>
  <si>
    <t>Foundation Degree in Physical Activity with Exercise Prescription - Wakefield College</t>
  </si>
  <si>
    <t>302514</t>
  </si>
  <si>
    <t>H00302514</t>
  </si>
  <si>
    <t>BSc (Hons) in Physical Activity with Exercise Prescription - Wakefield College</t>
  </si>
  <si>
    <t>302515</t>
  </si>
  <si>
    <t>H00302515</t>
  </si>
  <si>
    <t>FdSc in Physical Education and Fitness - SGS College</t>
  </si>
  <si>
    <t>302516</t>
  </si>
  <si>
    <t>H00302516</t>
  </si>
  <si>
    <t>BA (Hons) in Specialist Make-up Design - SGS College</t>
  </si>
  <si>
    <t>302517</t>
  </si>
  <si>
    <t>H00302517</t>
  </si>
  <si>
    <t>BA (Hons) in Business Management -Southampton Solent University</t>
  </si>
  <si>
    <t>302518</t>
  </si>
  <si>
    <t>H00302518</t>
  </si>
  <si>
    <t>BA (Hons) in Professional Practice in Leadership and Management - University of Lincoln</t>
  </si>
  <si>
    <t>302519</t>
  </si>
  <si>
    <t>H00302519</t>
  </si>
  <si>
    <t>MBA in Strategic Leadership - University of Portsmouth</t>
  </si>
  <si>
    <t>302520</t>
  </si>
  <si>
    <t>H00302520</t>
  </si>
  <si>
    <t>BSc (Hons) in Healthcare Science (Physiological Sciences) - UWE,Bristol - Healthcare Science Practitioner Standard</t>
  </si>
  <si>
    <t>302521</t>
  </si>
  <si>
    <t>H00302521</t>
  </si>
  <si>
    <t>BSc (Hons) in Healthcare Science (Clinical Engineering) - UWE,Bristol - Healthcare Science Practitioner Standard</t>
  </si>
  <si>
    <t>302522</t>
  </si>
  <si>
    <t>H00302522</t>
  </si>
  <si>
    <t>BSc (Hons) in Podiatry - New College Durham</t>
  </si>
  <si>
    <t>302523</t>
  </si>
  <si>
    <t>H00302523</t>
  </si>
  <si>
    <t>BA (Hons) in Education And Training - New College Durham</t>
  </si>
  <si>
    <t>302524</t>
  </si>
  <si>
    <t>H00302524</t>
  </si>
  <si>
    <t>BA (Hons) in Design- New College Durham</t>
  </si>
  <si>
    <t>302525</t>
  </si>
  <si>
    <t>H00302525</t>
  </si>
  <si>
    <t>BA (Hons) in Social work - New College Durham</t>
  </si>
  <si>
    <t>302526</t>
  </si>
  <si>
    <t>H00302526</t>
  </si>
  <si>
    <t>BSc (Hons) in Computing with Networking  - New College Durham</t>
  </si>
  <si>
    <t>302527</t>
  </si>
  <si>
    <t>H00302527</t>
  </si>
  <si>
    <t>BSc (Hons) in Business Computing - New College Durham</t>
  </si>
  <si>
    <t>302528</t>
  </si>
  <si>
    <t>H00302528</t>
  </si>
  <si>
    <t>BA (Hons) in Visual Arts - New College Durham</t>
  </si>
  <si>
    <t>302529</t>
  </si>
  <si>
    <t>H00302529</t>
  </si>
  <si>
    <t>BA (Hons) in Popular Music - New College Durham</t>
  </si>
  <si>
    <t>302530</t>
  </si>
  <si>
    <t>H00302530</t>
  </si>
  <si>
    <t>BA (Hons) in Management International Business - New College Durham</t>
  </si>
  <si>
    <t>302531</t>
  </si>
  <si>
    <t>H00302531</t>
  </si>
  <si>
    <t>BA (Hons) in Management Human Resources - New College Durham</t>
  </si>
  <si>
    <t>302532</t>
  </si>
  <si>
    <t>H00302532</t>
  </si>
  <si>
    <t>BA (Hons) in Management Events - New College Durham</t>
  </si>
  <si>
    <t>302533</t>
  </si>
  <si>
    <t>H00302533</t>
  </si>
  <si>
    <t>BA (Hons) in Management Housing - New College Durham</t>
  </si>
  <si>
    <t>302534</t>
  </si>
  <si>
    <t>H00302534</t>
  </si>
  <si>
    <t>BA (Hons) in Management Sport - New College Durham</t>
  </si>
  <si>
    <t>302535</t>
  </si>
  <si>
    <t>H00302535</t>
  </si>
  <si>
    <t>FdSc in Cyber Security - New College Durham</t>
  </si>
  <si>
    <t>302536</t>
  </si>
  <si>
    <t>H00302536</t>
  </si>
  <si>
    <t>FdA in Heritage  and Cultural Tourism - New college Durham</t>
  </si>
  <si>
    <t>302537</t>
  </si>
  <si>
    <t>H00302537</t>
  </si>
  <si>
    <t>FdA in Film and Media Production - New college Durham</t>
  </si>
  <si>
    <t>302538</t>
  </si>
  <si>
    <t>H00302538</t>
  </si>
  <si>
    <t>BSc (Hons) in Digital and Technology Studies - Anglia Ruskin University</t>
  </si>
  <si>
    <t>302539</t>
  </si>
  <si>
    <t>H00302539</t>
  </si>
  <si>
    <t>BA (Hons ) in Management - Anglia Ruskin University</t>
  </si>
  <si>
    <t>302540</t>
  </si>
  <si>
    <t>H00302540</t>
  </si>
  <si>
    <t>FdSc in Assistant Practitioner (Nursing) - Anglia Ruskin University</t>
  </si>
  <si>
    <t>302541</t>
  </si>
  <si>
    <t>H00302541</t>
  </si>
  <si>
    <t>BSc (Hons) in Nursing - Anglia Ruskin University</t>
  </si>
  <si>
    <t>302542</t>
  </si>
  <si>
    <t>H00302542</t>
  </si>
  <si>
    <t>BSc (Hons) in Building Surveying  Anglia Ruskin University</t>
  </si>
  <si>
    <t>302543</t>
  </si>
  <si>
    <t>H00302543</t>
  </si>
  <si>
    <t>BSc (Hons) in Quantity Surveying - Anglia Ruskin University</t>
  </si>
  <si>
    <t>302544</t>
  </si>
  <si>
    <t>H00302544</t>
  </si>
  <si>
    <t>BSc (Hons) in Digital and Technology Solutions (Cyber Security Analyst) - University of Derby</t>
  </si>
  <si>
    <t>302545</t>
  </si>
  <si>
    <t>H00302545</t>
  </si>
  <si>
    <t>BEng (Hons) in Mechanical and Manufacturing Engineering (Aerospace) - University of Derby</t>
  </si>
  <si>
    <t>302546</t>
  </si>
  <si>
    <t>H00302546</t>
  </si>
  <si>
    <t>BSc (Hons) in Professional Management - QA Limited - (Chartered Management Degree Apprenticeship)</t>
  </si>
  <si>
    <t>302547</t>
  </si>
  <si>
    <t>H00302547</t>
  </si>
  <si>
    <t>BA (Hons)in Leadership and Business Management - University of Derby</t>
  </si>
  <si>
    <t>302548</t>
  </si>
  <si>
    <t>H00302548</t>
  </si>
  <si>
    <t>FdA in Leadership and Business Management - University of Derby</t>
  </si>
  <si>
    <t>302549</t>
  </si>
  <si>
    <t>H00302549</t>
  </si>
  <si>
    <t>BEng (Hons) in Materials Engineering  and Mechanical Design(Aerospace) - University of Derby</t>
  </si>
  <si>
    <t>302550</t>
  </si>
  <si>
    <t>H00302550</t>
  </si>
  <si>
    <t>FdSc in Professional Development (Health and Social Care) - West Nottinghamshire College</t>
  </si>
  <si>
    <t>302551</t>
  </si>
  <si>
    <t>H00302551</t>
  </si>
  <si>
    <t>BA (Hons)in Media Make-up Artistry - The Sheffield College</t>
  </si>
  <si>
    <t>302552</t>
  </si>
  <si>
    <t>H00302552</t>
  </si>
  <si>
    <t>DipHE in Media Make-up Artistry - The Sheffield College</t>
  </si>
  <si>
    <t>302553</t>
  </si>
  <si>
    <t>H00302553</t>
  </si>
  <si>
    <t>CertHE in Media Make-up Artistry -The Sheffield College</t>
  </si>
  <si>
    <t>302554</t>
  </si>
  <si>
    <t>H00302554</t>
  </si>
  <si>
    <t>BSc (Hons) in Sport and Exercise Development - New College Durham</t>
  </si>
  <si>
    <t>302555</t>
  </si>
  <si>
    <t>H00302555</t>
  </si>
  <si>
    <t>BA (Hons) in Childhood and Youth Studies - Grimsby Institute</t>
  </si>
  <si>
    <t>302556</t>
  </si>
  <si>
    <t>H00302556</t>
  </si>
  <si>
    <t>BA (Hons) in Design - Grimsby Institute</t>
  </si>
  <si>
    <t>302557</t>
  </si>
  <si>
    <t>H00302557</t>
  </si>
  <si>
    <t>BA (Hons) in Fine Art - Grimsby Institute</t>
  </si>
  <si>
    <t>302558</t>
  </si>
  <si>
    <t>H00302558</t>
  </si>
  <si>
    <t>BA (Hons) in Enterprise and Entrepreneurship - Barnsley College</t>
  </si>
  <si>
    <t>302559</t>
  </si>
  <si>
    <t>H00302559</t>
  </si>
  <si>
    <t>FdSc in Health Science Assistant Practitioner (Health) Higher Apprenticeship</t>
  </si>
  <si>
    <t>302560</t>
  </si>
  <si>
    <t>H00302560</t>
  </si>
  <si>
    <t>BSc (Hons) in Biomedical Science - University of Salford - Health Care Science Practitioner degree standard</t>
  </si>
  <si>
    <t>302561</t>
  </si>
  <si>
    <t>H00302561</t>
  </si>
  <si>
    <t>BSc (Hons) in Digital and Technology Solutions - University of Central Lancashire</t>
  </si>
  <si>
    <t>302562</t>
  </si>
  <si>
    <t>H00302562</t>
  </si>
  <si>
    <t>BA (Hons) in Popular Music Performance - Grimsby Institute</t>
  </si>
  <si>
    <t>302563</t>
  </si>
  <si>
    <t>H00302563</t>
  </si>
  <si>
    <t>BA (Hons) in Music Production - Grimsby Institute</t>
  </si>
  <si>
    <t>302564</t>
  </si>
  <si>
    <t>H00302564</t>
  </si>
  <si>
    <t>BA (Hons) in Professional and Creative Writing - Grimsby Institute</t>
  </si>
  <si>
    <t>302565</t>
  </si>
  <si>
    <t>H00302565</t>
  </si>
  <si>
    <t>BA (Hons) in Independent Game Design (Game Art)- Grimsby Institute</t>
  </si>
  <si>
    <t>302566</t>
  </si>
  <si>
    <t>H00302566</t>
  </si>
  <si>
    <t>BA (Hons) in Independent Game Design (Games Development) - Grimsby Institute</t>
  </si>
  <si>
    <t>302567</t>
  </si>
  <si>
    <t>H00302567</t>
  </si>
  <si>
    <t>BA (Hons) in Special Effects Make-up Design and Prosthetics - Grimsby Institute</t>
  </si>
  <si>
    <t>302568</t>
  </si>
  <si>
    <t>H00302568</t>
  </si>
  <si>
    <t>BSc (Hons) in Civil Engineering - South Devon College</t>
  </si>
  <si>
    <t>302569</t>
  </si>
  <si>
    <t>H00302569</t>
  </si>
  <si>
    <t>BA (Hons) in 3D Modelling and Animation for Games and Media (Top-up) - The Manchester College</t>
  </si>
  <si>
    <t>302570</t>
  </si>
  <si>
    <t>H00302570</t>
  </si>
  <si>
    <t>BA (Hons) in Film and TV Production (Top-up) - The Manchester College</t>
  </si>
  <si>
    <t>302571</t>
  </si>
  <si>
    <t>H00302571</t>
  </si>
  <si>
    <t>BSc (Hons) in Applied Sport and Exercise Science (Top-up) - The Manchester College</t>
  </si>
  <si>
    <t>302572</t>
  </si>
  <si>
    <t>H00302572</t>
  </si>
  <si>
    <t>BA (Hons) in Early Childhood Studies (Top-up) - The City Liverpool College</t>
  </si>
  <si>
    <t>302573</t>
  </si>
  <si>
    <t>H00302573</t>
  </si>
  <si>
    <t>BA (Hons) in Sports Coaching(Top-up) - The City Liverpool College</t>
  </si>
  <si>
    <t>302574</t>
  </si>
  <si>
    <t>H00302574</t>
  </si>
  <si>
    <t>BA (Hons) in Children, Learning and Development - North Lindsey College</t>
  </si>
  <si>
    <t>302575</t>
  </si>
  <si>
    <t>H00302575</t>
  </si>
  <si>
    <t>BSc (Hons) in Animal Conservation (Top-Up) - Askham Bryan College</t>
  </si>
  <si>
    <t>302576</t>
  </si>
  <si>
    <t>H00302576</t>
  </si>
  <si>
    <t>BSc (Hons) in Canine and Feline Behaviour and Welfare (Top-Up) - Askham Bryan College</t>
  </si>
  <si>
    <t>302577</t>
  </si>
  <si>
    <t>H00302577</t>
  </si>
  <si>
    <t>BSc (Hons) in Equine Business Management (Top-Up) - Askham Bryan College</t>
  </si>
  <si>
    <t>302578</t>
  </si>
  <si>
    <t>H00302578</t>
  </si>
  <si>
    <t>BSc (Hons) in Equine Science and Management (Top-Up) - Askham Bryan College</t>
  </si>
  <si>
    <t>302579</t>
  </si>
  <si>
    <t>H00302579</t>
  </si>
  <si>
    <t>BSc (Hons) Equine Science with Management - University Centre Askham Bryan</t>
  </si>
  <si>
    <t>302580</t>
  </si>
  <si>
    <t>H00302580</t>
  </si>
  <si>
    <t>BSc (Hons) in Zoo Management (Top-Up) - Askham Bryan College</t>
  </si>
  <si>
    <t>302581</t>
  </si>
  <si>
    <t>H00302581</t>
  </si>
  <si>
    <t>BSc (Hons) in Horticulture with Landscape Garden Management- Askham Bryan College</t>
  </si>
  <si>
    <t>302582</t>
  </si>
  <si>
    <t>H00302582</t>
  </si>
  <si>
    <t>FdSc Extended in Agriculture - Askham Bryan College</t>
  </si>
  <si>
    <t>302583</t>
  </si>
  <si>
    <t>H00302583</t>
  </si>
  <si>
    <t>FdSc Extended in Equine Science and Management - Askham Bryan College</t>
  </si>
  <si>
    <t>302584</t>
  </si>
  <si>
    <t>H00302584</t>
  </si>
  <si>
    <t>FdSc in Agriculture - Askham Bryan College</t>
  </si>
  <si>
    <t>302585</t>
  </si>
  <si>
    <t>H00302585</t>
  </si>
  <si>
    <t>FdSc in Arboriculture with Urban forestry- Askham Bryan College</t>
  </si>
  <si>
    <t>302586</t>
  </si>
  <si>
    <t>H00302586</t>
  </si>
  <si>
    <t>FdSc in Equine Business Management- Askham Bryan College</t>
  </si>
  <si>
    <t>302587</t>
  </si>
  <si>
    <t>H00302587</t>
  </si>
  <si>
    <t>BSc (Hons) in Agriculture- Askham Bryan College</t>
  </si>
  <si>
    <t>302588</t>
  </si>
  <si>
    <t>H00302588</t>
  </si>
  <si>
    <t>FdSc in Computer Games and Development - SGS College</t>
  </si>
  <si>
    <t>302589</t>
  </si>
  <si>
    <t>H00302589</t>
  </si>
  <si>
    <t>BSc (Hons) in Agricultural Management (Top-up) - Askham Bryan College</t>
  </si>
  <si>
    <t>302590</t>
  </si>
  <si>
    <t>H00302590</t>
  </si>
  <si>
    <t>Extended FdSc in Horticulture - Askham Bryan College</t>
  </si>
  <si>
    <t>302591</t>
  </si>
  <si>
    <t>H00302591</t>
  </si>
  <si>
    <t>FdSc in Horticulture - Askham Bryan College</t>
  </si>
  <si>
    <t>302592</t>
  </si>
  <si>
    <t>H00302592</t>
  </si>
  <si>
    <t>FdSc in Sports Surface Management - Askham Bryan College</t>
  </si>
  <si>
    <t>302593</t>
  </si>
  <si>
    <t>H00302593</t>
  </si>
  <si>
    <t>Foundation Degree in Children's Workforce Practice - Southport College</t>
  </si>
  <si>
    <t>302594</t>
  </si>
  <si>
    <t>H00302594</t>
  </si>
  <si>
    <t>BA Hons in Fine Art and Contemporary Cultures - Warwickshire College</t>
  </si>
  <si>
    <t>302595</t>
  </si>
  <si>
    <t>H00302595</t>
  </si>
  <si>
    <t>HND in Stadium and Event Management - Hertford Regional College</t>
  </si>
  <si>
    <t>302596</t>
  </si>
  <si>
    <t>H00302596</t>
  </si>
  <si>
    <t>BSc (Hons) in Zoological Management and Conservation -  SGS College</t>
  </si>
  <si>
    <t>302598</t>
  </si>
  <si>
    <t>H00302598</t>
  </si>
  <si>
    <t>BEng (Hons) in Mechanical Engineering (Nuclear) - University Centre Weston</t>
  </si>
  <si>
    <t>302599</t>
  </si>
  <si>
    <t>H00302599</t>
  </si>
  <si>
    <t>BEng (Hons) in Mechanical Engineering - University Centre Weston</t>
  </si>
  <si>
    <t>302600</t>
  </si>
  <si>
    <t>H00302600</t>
  </si>
  <si>
    <t>BEng (Hons) in Electronic Engineering (Nuclear) - University Centre Weston</t>
  </si>
  <si>
    <t>302601</t>
  </si>
  <si>
    <t>H00302601</t>
  </si>
  <si>
    <t>BEng (Hons) in Electronic Engineering - University Centre Weston</t>
  </si>
  <si>
    <t>302602</t>
  </si>
  <si>
    <t>H00302602</t>
  </si>
  <si>
    <t>Foundation Degree in Mechanical Engineering - University Centre Weston</t>
  </si>
  <si>
    <t>302603</t>
  </si>
  <si>
    <t>H00302603</t>
  </si>
  <si>
    <t>Foundation Degree in Mechatronics - University Centre Weston</t>
  </si>
  <si>
    <t>302604</t>
  </si>
  <si>
    <t>H00302604</t>
  </si>
  <si>
    <t>BSc (Hons) in Digital and Technology Solutions - University Centre Weston - Digital and Technology Solutions Degree Apprenticeship</t>
  </si>
  <si>
    <t>302605</t>
  </si>
  <si>
    <t>H00302605</t>
  </si>
  <si>
    <t>MSc in Mechanical Engineering - Birmingham City University - Post Graduate Apprenticeship Standard</t>
  </si>
  <si>
    <t>302606</t>
  </si>
  <si>
    <t>H00302606</t>
  </si>
  <si>
    <t>Foundation Degree in Sport (Adventure and Outdoor Education) - Askham Bryan College</t>
  </si>
  <si>
    <t>302607</t>
  </si>
  <si>
    <t>H00302607</t>
  </si>
  <si>
    <t>Foundation Degree in Sport (Coaching and Fitness) - Askham Bryan College</t>
  </si>
  <si>
    <t>302608</t>
  </si>
  <si>
    <t>H00302608</t>
  </si>
  <si>
    <t>Foundation Degree in Enterprise (Land-Based) - Askham Bryan College</t>
  </si>
  <si>
    <t>302609</t>
  </si>
  <si>
    <t>H00302609</t>
  </si>
  <si>
    <t>PGDIP in Coaching Rugby Union - Hartpury College</t>
  </si>
  <si>
    <t>302610</t>
  </si>
  <si>
    <t>H00302610</t>
  </si>
  <si>
    <t>BSc (Hons) in Applied Computing (Games and Digital Media) - Newcastle College</t>
  </si>
  <si>
    <t>302611</t>
  </si>
  <si>
    <t>H00302611</t>
  </si>
  <si>
    <t>LLB (Hons) Law and Practice - Newcastle College</t>
  </si>
  <si>
    <t>302612</t>
  </si>
  <si>
    <t>H00302612</t>
  </si>
  <si>
    <t>BSc (Hons) in Engineering Management - Newcastle College</t>
  </si>
  <si>
    <t>302613</t>
  </si>
  <si>
    <t>H00302613</t>
  </si>
  <si>
    <t>BSc (Hons) in Applied Computing - Newcastle College</t>
  </si>
  <si>
    <t>302614</t>
  </si>
  <si>
    <t>H00302614</t>
  </si>
  <si>
    <t>FdSc in Applied Computing</t>
  </si>
  <si>
    <t>302615</t>
  </si>
  <si>
    <t>H00302615</t>
  </si>
  <si>
    <t>BSc (Hons) in Applied Computing (Software Application) - Newcastle College</t>
  </si>
  <si>
    <t>302616</t>
  </si>
  <si>
    <t>H00302616</t>
  </si>
  <si>
    <t>BEng (Hons) in Mechanical Manufacturing Engineering- New Castle College</t>
  </si>
  <si>
    <t>302617</t>
  </si>
  <si>
    <t>H00302617</t>
  </si>
  <si>
    <t>Med in Education and Development - Newcastle College</t>
  </si>
  <si>
    <t>302618</t>
  </si>
  <si>
    <t>H00302618</t>
  </si>
  <si>
    <t>BSc (Hons) in Applied Computing (Networking) - Newcastle College</t>
  </si>
  <si>
    <t>302619</t>
  </si>
  <si>
    <t>H00302619</t>
  </si>
  <si>
    <t>BSc (Hons) in Health and Social Care- Newcastle College</t>
  </si>
  <si>
    <t>302620</t>
  </si>
  <si>
    <t>H00302620</t>
  </si>
  <si>
    <t>BEng(Hons) in Electrical Electronic Engineering- Newcastle College</t>
  </si>
  <si>
    <t>302621</t>
  </si>
  <si>
    <t>H00302621</t>
  </si>
  <si>
    <t>MA in Business Management - Newcastle College</t>
  </si>
  <si>
    <t>302622</t>
  </si>
  <si>
    <t>H00302622</t>
  </si>
  <si>
    <t>BSc (Hons) in Software Engineering - Newcastle College</t>
  </si>
  <si>
    <t>302623</t>
  </si>
  <si>
    <t>H00302623</t>
  </si>
  <si>
    <t>BSc (Hons) in Applied Computing (Cyber) - Newcastle College</t>
  </si>
  <si>
    <t>302624</t>
  </si>
  <si>
    <t>H00302624</t>
  </si>
  <si>
    <t>BA (Hons) in Fine Art Practice (UG) - Newcastle College</t>
  </si>
  <si>
    <t>302625</t>
  </si>
  <si>
    <t>H00302625</t>
  </si>
  <si>
    <t>BEng (Hons) in Aerospace Engineering - University Centre Weston</t>
  </si>
  <si>
    <t>302627</t>
  </si>
  <si>
    <t>H00302627</t>
  </si>
  <si>
    <t>MSCi in Equine Science - Hartpury College</t>
  </si>
  <si>
    <t>302628</t>
  </si>
  <si>
    <t>H00302628</t>
  </si>
  <si>
    <t>BSc (Hons) in Lens-Based Media - University Centre Weston</t>
  </si>
  <si>
    <t>302629</t>
  </si>
  <si>
    <t>H00302629</t>
  </si>
  <si>
    <t>Foundation Degree in Events Production and Management - University Centre Weston</t>
  </si>
  <si>
    <t>302630</t>
  </si>
  <si>
    <t>H00302630</t>
  </si>
  <si>
    <t>Foundation Degree in Hair Make-up and Prosthetics Production - University Centre Weston</t>
  </si>
  <si>
    <t>302631</t>
  </si>
  <si>
    <t>H00302631</t>
  </si>
  <si>
    <t>Foundation Degree in Professional Studies Early Childhood - Boston College</t>
  </si>
  <si>
    <t>302632</t>
  </si>
  <si>
    <t>H00302632</t>
  </si>
  <si>
    <t>Foundation Degree in Professional Studies Education- Boston College</t>
  </si>
  <si>
    <t>302633</t>
  </si>
  <si>
    <t>H00302633</t>
  </si>
  <si>
    <t>Foundation Degree in Professional Studies Special Educational Needs- Boston College</t>
  </si>
  <si>
    <t>302634</t>
  </si>
  <si>
    <t>H00302634</t>
  </si>
  <si>
    <t>Foundation Degree in Theatre and Media - Weymouth College</t>
  </si>
  <si>
    <t>302636</t>
  </si>
  <si>
    <t>H00302636</t>
  </si>
  <si>
    <t>FdA in Children and Young People - Oldham College</t>
  </si>
  <si>
    <t>302637</t>
  </si>
  <si>
    <t>H00302637</t>
  </si>
  <si>
    <t>BA (Hons) in Children and Young People (top-up) - Oldham College</t>
  </si>
  <si>
    <t>302638</t>
  </si>
  <si>
    <t>H00302638</t>
  </si>
  <si>
    <t>BA (Hons) in Early Years - Oldham College</t>
  </si>
  <si>
    <t>302640</t>
  </si>
  <si>
    <t>H00302640</t>
  </si>
  <si>
    <t>BSc (Hons) in Psychology - Oldham College</t>
  </si>
  <si>
    <t>302641</t>
  </si>
  <si>
    <t>H00302641</t>
  </si>
  <si>
    <t>BSc (Hons) in Digital and Technology Solutions - University of Greenwich - Digital and Technology Solutions Professional Degree Apprenticeship</t>
  </si>
  <si>
    <t>302642</t>
  </si>
  <si>
    <t>H00302642</t>
  </si>
  <si>
    <t>FdA in International Golf Management - Cornwall College</t>
  </si>
  <si>
    <t>302643</t>
  </si>
  <si>
    <t>H00302643</t>
  </si>
  <si>
    <t>BSc (Hons) in Emergency Sector Management and Interoperability (Top-Up) - Cornwall College</t>
  </si>
  <si>
    <t>302644</t>
  </si>
  <si>
    <t>H00302644</t>
  </si>
  <si>
    <t>BA (Hons) in Music Performance and Technology - Havering College of F and HE</t>
  </si>
  <si>
    <t>302645</t>
  </si>
  <si>
    <t>H00302645</t>
  </si>
  <si>
    <t>BSc (Hons) in Healthcare Science: Radiotherapy Physics - University of Cumbria</t>
  </si>
  <si>
    <t>302646</t>
  </si>
  <si>
    <t>H00302646</t>
  </si>
  <si>
    <t>BSc (Hons) in Healthcare Science: Radiation Physics - University of Cumbria</t>
  </si>
  <si>
    <t>302647</t>
  </si>
  <si>
    <t>H00302647</t>
  </si>
  <si>
    <t>BSc (Hons) in Healthcare Science: Nuclear Medicine: - University of Cumbria</t>
  </si>
  <si>
    <t>302648</t>
  </si>
  <si>
    <t>H00302648</t>
  </si>
  <si>
    <t>BA (Hons) in Management and Leadership - University of Cumbria</t>
  </si>
  <si>
    <t>302649</t>
  </si>
  <si>
    <t>H00302649</t>
  </si>
  <si>
    <t>Foundation Degree in Assistant Practitioner in Health and Social Care - University of Cumbria</t>
  </si>
  <si>
    <t>302650</t>
  </si>
  <si>
    <t>H00302650</t>
  </si>
  <si>
    <t>BSc (Hons) in Live Sound Production - Kingston College (South Thames College Group)</t>
  </si>
  <si>
    <t>302651</t>
  </si>
  <si>
    <t>H00302651</t>
  </si>
  <si>
    <t>Professional Certification in Education (Lifelong Learning Sector) - Hertford Regional College</t>
  </si>
  <si>
    <t>302652</t>
  </si>
  <si>
    <t>H00302652</t>
  </si>
  <si>
    <t>Professional Graduate Certification in Education (Lifelong Learning Sector) - Hertford Regional College</t>
  </si>
  <si>
    <t>302653</t>
  </si>
  <si>
    <t>H00302653</t>
  </si>
  <si>
    <t>HND in Engineering - UCLAN</t>
  </si>
  <si>
    <t>302654</t>
  </si>
  <si>
    <t>H00302654</t>
  </si>
  <si>
    <t>HND in Aeronautical Engineering - University of Portsmouth</t>
  </si>
  <si>
    <t>302655</t>
  </si>
  <si>
    <t>H00302655</t>
  </si>
  <si>
    <t>BA (Hons) in Spa Management - Wigan and Leigh College</t>
  </si>
  <si>
    <t>302656</t>
  </si>
  <si>
    <t>H00302656</t>
  </si>
  <si>
    <t>FdSc in Criminal Justice - South Tyneside College part of Tyne Coast College</t>
  </si>
  <si>
    <t>302657</t>
  </si>
  <si>
    <t>H00302657</t>
  </si>
  <si>
    <t>FdSc in Power Engineering - South Tyneside College part of Tyne Coast College</t>
  </si>
  <si>
    <t>302658</t>
  </si>
  <si>
    <t>H00302658</t>
  </si>
  <si>
    <t>FdSc in Applied Fine Art Practice - South Tyneside College part of Tyne Coast College</t>
  </si>
  <si>
    <t>302659</t>
  </si>
  <si>
    <t>H00302659</t>
  </si>
  <si>
    <t>FdSc in Graphic Communication - South Tyneside College part of Tyne Coast College</t>
  </si>
  <si>
    <t>302660</t>
  </si>
  <si>
    <t>H00302660</t>
  </si>
  <si>
    <t>FdSc in Health and Social Care - South Tyneside College part of Tyne Coast College</t>
  </si>
  <si>
    <t>302661</t>
  </si>
  <si>
    <t>H00302661</t>
  </si>
  <si>
    <t>BA (Hons) in Body Contour Fashion - The Northern School of Art</t>
  </si>
  <si>
    <t>302662</t>
  </si>
  <si>
    <t>H00302662</t>
  </si>
  <si>
    <t>BA (Hons) in Graphic Design - The Northern School of Art</t>
  </si>
  <si>
    <t>302663</t>
  </si>
  <si>
    <t>H00302663</t>
  </si>
  <si>
    <t>BA (Hons) in Commercial Photography - The Northern School of Art</t>
  </si>
  <si>
    <t>302664</t>
  </si>
  <si>
    <t>H00302664</t>
  </si>
  <si>
    <t>BA (Hons) in Photographic Practice (With Moving Image) - The Northern School of Art</t>
  </si>
  <si>
    <t>302665</t>
  </si>
  <si>
    <t>H00302665</t>
  </si>
  <si>
    <t>BSc (Hons) in Racehorse Performance and Rehabilitation - Hartpury College</t>
  </si>
  <si>
    <t>302666</t>
  </si>
  <si>
    <t>H00302666</t>
  </si>
  <si>
    <t>Diploma in Professional Studies Veterinary Nursing (with pathway Diploma in Professional Studies Equine Veterinary Nursing) - Hartpury College</t>
  </si>
  <si>
    <t>302667</t>
  </si>
  <si>
    <t>H00302667</t>
  </si>
  <si>
    <t>MSci in Sports Therapy (Equestrian) - Hartpury college</t>
  </si>
  <si>
    <t>302668</t>
  </si>
  <si>
    <t>H00302668</t>
  </si>
  <si>
    <t>BSc (Hons) in Applied Agriculture (with pathways) - Hartpury College</t>
  </si>
  <si>
    <t>302669</t>
  </si>
  <si>
    <t>H00302669</t>
  </si>
  <si>
    <t>PGCert in Animal Behavior and Welfare - Hartpury College</t>
  </si>
  <si>
    <t>302670</t>
  </si>
  <si>
    <t>H00302670</t>
  </si>
  <si>
    <t>BSc (Hons) in Building Surveying - Birmingham City University</t>
  </si>
  <si>
    <t>302671</t>
  </si>
  <si>
    <t>H00302671</t>
  </si>
  <si>
    <t>302672</t>
  </si>
  <si>
    <t>H00302672</t>
  </si>
  <si>
    <t>BSc (Hons) in Construction Management - Birmingham City University</t>
  </si>
  <si>
    <t>302673</t>
  </si>
  <si>
    <t>H00302673</t>
  </si>
  <si>
    <t>Foundation Degree in Agriculture - Reasesheath College</t>
  </si>
  <si>
    <t>302674</t>
  </si>
  <si>
    <t>H00302674</t>
  </si>
  <si>
    <t>Foundation Degree in Agriculture with Dairy Herd Management - Reasesheath College</t>
  </si>
  <si>
    <t>302675</t>
  </si>
  <si>
    <t>H00302675</t>
  </si>
  <si>
    <t>Foundation Degree in Rural Events Management - Reasesheath College</t>
  </si>
  <si>
    <t>302676</t>
  </si>
  <si>
    <t>H00302676</t>
  </si>
  <si>
    <t>Foundation Degree in Countryside Resource Management - Reasesheath College</t>
  </si>
  <si>
    <t>302677</t>
  </si>
  <si>
    <t>H00302677</t>
  </si>
  <si>
    <t>Foundation Degree in Environmental Science for Conservation - Reasesheath College</t>
  </si>
  <si>
    <t>302678</t>
  </si>
  <si>
    <t>H00302678</t>
  </si>
  <si>
    <t>Foundation Degree in Equine Physical Therapies and Rehabilitation - Reasesheath College</t>
  </si>
  <si>
    <t>302679</t>
  </si>
  <si>
    <t>H00302679</t>
  </si>
  <si>
    <t>Foundation Degree in Applied Equine Behaviour and Welfare - Reasesheath College</t>
  </si>
  <si>
    <t>302680</t>
  </si>
  <si>
    <t>H00302680</t>
  </si>
  <si>
    <t>Foundation Degree in Dairy Technology - Reasesheath College</t>
  </si>
  <si>
    <t>302681</t>
  </si>
  <si>
    <t>H00302681</t>
  </si>
  <si>
    <t>Foundation Degree in Garden and Landscape Design - Reasesheath College</t>
  </si>
  <si>
    <t>302682</t>
  </si>
  <si>
    <t>H00302682</t>
  </si>
  <si>
    <t>BSc (Hons) in Agricultural Business Management (Top Up) - Reaseheath College</t>
  </si>
  <si>
    <t>302683</t>
  </si>
  <si>
    <t>H00302683</t>
  </si>
  <si>
    <t>BSc (Hons) in Environmental Systems Management (Top Up) - Reaseheath College</t>
  </si>
  <si>
    <t>302684</t>
  </si>
  <si>
    <t>H00302684</t>
  </si>
  <si>
    <t>BSc (Hons) in Applied Equine Behaviuor and Welfare (Top Up) - Reaseheath College</t>
  </si>
  <si>
    <t>302685</t>
  </si>
  <si>
    <t>H00302685</t>
  </si>
  <si>
    <t>BSc (Hons) in Equine Science - Reaseheath College</t>
  </si>
  <si>
    <t>302686</t>
  </si>
  <si>
    <t>H00302686</t>
  </si>
  <si>
    <t>BSc (Hons) in Landscape Architecture - Reaseheath College</t>
  </si>
  <si>
    <t>302687</t>
  </si>
  <si>
    <t>H00302687</t>
  </si>
  <si>
    <t>BSc (Hons) in Applied Plant Science and Production Technology - Reaseheath College</t>
  </si>
  <si>
    <t>302688</t>
  </si>
  <si>
    <t>H00302688</t>
  </si>
  <si>
    <t>BSc (Hons) in Property Management and Real Estate - University of Wolverhampton</t>
  </si>
  <si>
    <t>302689</t>
  </si>
  <si>
    <t>H00302689</t>
  </si>
  <si>
    <t>BSc (Hons) in Quantity Surveying - University of Wolverhampton</t>
  </si>
  <si>
    <t>302690</t>
  </si>
  <si>
    <t>H00302690</t>
  </si>
  <si>
    <t>BSc (Hons) in Building Surveying - University of Wolverhampton</t>
  </si>
  <si>
    <t>302691</t>
  </si>
  <si>
    <t>H00302691</t>
  </si>
  <si>
    <t>BSc (Hons) in Construction Management - University of Wolverhampton</t>
  </si>
  <si>
    <t>302692</t>
  </si>
  <si>
    <t>H00302692</t>
  </si>
  <si>
    <t>PGDip in Anthrozoology - Hartpury College</t>
  </si>
  <si>
    <t>302693</t>
  </si>
  <si>
    <t>H00302693</t>
  </si>
  <si>
    <t>PGDip in Animal Behaviour and Welfare - Hartpury College</t>
  </si>
  <si>
    <t>302694</t>
  </si>
  <si>
    <t>H00302694</t>
  </si>
  <si>
    <t>PGCert in Anthrozoology - Hartpury College</t>
  </si>
  <si>
    <t>302695</t>
  </si>
  <si>
    <t>H00302695</t>
  </si>
  <si>
    <t>BA (Hons) in International Horseracing Business - Hartpury College</t>
  </si>
  <si>
    <t>302696</t>
  </si>
  <si>
    <t>H00302696</t>
  </si>
  <si>
    <t>PGCert in Applied Anthrozoology - Hartpury College</t>
  </si>
  <si>
    <t>302697</t>
  </si>
  <si>
    <t>H00302697</t>
  </si>
  <si>
    <t>FdA in Inclusive and Special Education - Peter Symonds College</t>
  </si>
  <si>
    <t>302698</t>
  </si>
  <si>
    <t>H00302698</t>
  </si>
  <si>
    <t>BA (Hons) in Inclusive and Special Education - Peter Symonds College</t>
  </si>
  <si>
    <t>302699</t>
  </si>
  <si>
    <t>H00302699</t>
  </si>
  <si>
    <t>BA (Hons) in Creative Film Production - Solihull College</t>
  </si>
  <si>
    <t>302700</t>
  </si>
  <si>
    <t>H00302700</t>
  </si>
  <si>
    <t>BSc (Hons) in Games Design and Virtual Reality - Solihulll College</t>
  </si>
  <si>
    <t>302701</t>
  </si>
  <si>
    <t>H00302701</t>
  </si>
  <si>
    <t>BSc (Hons) in Public Services (Top-Up) - Exeter College</t>
  </si>
  <si>
    <t>302702</t>
  </si>
  <si>
    <t>H00302702</t>
  </si>
  <si>
    <t>BA (Hons) in Business Management - Birmingham city University - Chartered Management Degree Apprenticeship</t>
  </si>
  <si>
    <t>302703</t>
  </si>
  <si>
    <t>H00302703</t>
  </si>
  <si>
    <t>Foundation Degree in Professional Development (Health and Social Care) - VH Doctors Ltd - Health Assistant Practitioner.</t>
  </si>
  <si>
    <t>302704</t>
  </si>
  <si>
    <t>H00302704</t>
  </si>
  <si>
    <t>BA (Hons) in Music Performance and Production (Top-Up) - The Sheffield College</t>
  </si>
  <si>
    <t>302705</t>
  </si>
  <si>
    <t>H00302705</t>
  </si>
  <si>
    <t>BA (Hons) in Performing Arts: Drama (Top-Up) - The Sheffield College</t>
  </si>
  <si>
    <t>302706</t>
  </si>
  <si>
    <t>H00302706</t>
  </si>
  <si>
    <t>BA (Hons) in Performing Arts : Musical Theatre (Top-Up) - The Sheffield College</t>
  </si>
  <si>
    <t>302707</t>
  </si>
  <si>
    <t>H00302707</t>
  </si>
  <si>
    <t>BA (Hons) in Music Performance and Production - The Sheffield College</t>
  </si>
  <si>
    <t>302708</t>
  </si>
  <si>
    <t>H00302708</t>
  </si>
  <si>
    <t>BA (Hons) in Performing Arts: Drama - The Sheffield College</t>
  </si>
  <si>
    <t>302709</t>
  </si>
  <si>
    <t>H00302709</t>
  </si>
  <si>
    <t>BA (Hons) in Performing Arts : Musical Theatre - The Sheffield College</t>
  </si>
  <si>
    <t>302710</t>
  </si>
  <si>
    <t>H00302710</t>
  </si>
  <si>
    <t>BSc (Hons) in Business and Events Management (Top-Up) - Reaseheath College</t>
  </si>
  <si>
    <t>302711</t>
  </si>
  <si>
    <t>H00302711</t>
  </si>
  <si>
    <t>BSc (Hons) in Building Surveying - University of Central Lancashire</t>
  </si>
  <si>
    <t>302712</t>
  </si>
  <si>
    <t>H00302712</t>
  </si>
  <si>
    <t>Foundation Degree in Events and Tourism Management - Greater Brighton Metropolitan College</t>
  </si>
  <si>
    <t>302713</t>
  </si>
  <si>
    <t>H00302713</t>
  </si>
  <si>
    <t>Foundation Degree in Hospitality and Tourism Management - Greater Brighton Metropolitan College</t>
  </si>
  <si>
    <t>302714</t>
  </si>
  <si>
    <t>H00302714</t>
  </si>
  <si>
    <t>Post Graduate Diploma in Outside Broadcasting - University of Bradford</t>
  </si>
  <si>
    <t>302715</t>
  </si>
  <si>
    <t>H00302715</t>
  </si>
  <si>
    <t>BSc (Hons) in Healthcare Science (Life Sciences) - University of Bradford</t>
  </si>
  <si>
    <t>302716</t>
  </si>
  <si>
    <t>H00302716</t>
  </si>
  <si>
    <t>BA (Hons) in Professional Management and Leadership - Leeds Trinity University</t>
  </si>
  <si>
    <t>302717</t>
  </si>
  <si>
    <t>H00302717</t>
  </si>
  <si>
    <t>BSc (Hons) in Quantity Surveying - University of Northumbria at Newcastle - (Chartered Surveyor Degree Apprenticeship)</t>
  </si>
  <si>
    <t>302718</t>
  </si>
  <si>
    <t>H00302718</t>
  </si>
  <si>
    <t>BSc (Hons) in Building Surveying - University of Northumbria at Newcastle - (Chartered Surveyor Degree Apprenticeship)</t>
  </si>
  <si>
    <t>302719</t>
  </si>
  <si>
    <t>H00302719</t>
  </si>
  <si>
    <t>BSc (Hons) in Real Estate - University of Northumbria at Newcastle - (Chartered Surveyor Degree Apprenticeship)</t>
  </si>
  <si>
    <t>302720</t>
  </si>
  <si>
    <t>H00302720</t>
  </si>
  <si>
    <t>BSc (Hons) in Digital and Technology Solutions (Software Engineer)- University of Northumbria at Newcastle - (Digital and Technology Solutions Degree Apprenticeship)</t>
  </si>
  <si>
    <t>302721</t>
  </si>
  <si>
    <t>H00302721</t>
  </si>
  <si>
    <t>BSc (Hons) in Digital and Technology Solutions (Business Analyst)- University of Northumbria at Newcastle - (Digital and Technology Solutions Degree Apprenticeship)</t>
  </si>
  <si>
    <t>302722</t>
  </si>
  <si>
    <t>H00302722</t>
  </si>
  <si>
    <t>BSc (Hons) in Digital and Technology Solutions (Data Analyst)- University of Northumbria at Newcastle - (Digital and Technology Solutions Degree Apprenticeship)</t>
  </si>
  <si>
    <t>302723</t>
  </si>
  <si>
    <t>H00302723</t>
  </si>
  <si>
    <t>BA (Hons) in Leadership and Management Practice - University of Northumbria at Newcastle - (Chartered Manager  Degree Apprenticeship)</t>
  </si>
  <si>
    <t>302724</t>
  </si>
  <si>
    <t>H00302724</t>
  </si>
  <si>
    <t>Certificate of Education (DTLLS) - Colchester Institute</t>
  </si>
  <si>
    <t>302725</t>
  </si>
  <si>
    <t>H00302725</t>
  </si>
  <si>
    <t>FdSc in Urban Horticulture - Plumpton College</t>
  </si>
  <si>
    <t>302726</t>
  </si>
  <si>
    <t>H00302726</t>
  </si>
  <si>
    <t>BSc (Hons) in Animal Behavior and Welfare (top-up) - Plumpton College</t>
  </si>
  <si>
    <t>302727</t>
  </si>
  <si>
    <t>H00302727</t>
  </si>
  <si>
    <t>BSc (Hons) in Civil Engineering University of Derby Civil Engineer Degree Apprenticeship</t>
  </si>
  <si>
    <t>302728</t>
  </si>
  <si>
    <t>H00302728</t>
  </si>
  <si>
    <t>BA (Hons) in Counselling and Psychotherapy Studies -Burnley College</t>
  </si>
  <si>
    <t>302729</t>
  </si>
  <si>
    <t>H00302729</t>
  </si>
  <si>
    <t>BSc (Hons) in Applied Science - University of Central Lancashire</t>
  </si>
  <si>
    <t>302730</t>
  </si>
  <si>
    <t>H00302730</t>
  </si>
  <si>
    <t>BA (Hons) in Fashion, Theatrical and Media Hair and Make Up - Leeds City College</t>
  </si>
  <si>
    <t>302731</t>
  </si>
  <si>
    <t>H00302731</t>
  </si>
  <si>
    <t>BA (Hons) in Health and Social Care - Leeds City College</t>
  </si>
  <si>
    <t>302732</t>
  </si>
  <si>
    <t>H00302732</t>
  </si>
  <si>
    <t>BSc (Hons) in Applied Computing - Leeds City College</t>
  </si>
  <si>
    <t>302733</t>
  </si>
  <si>
    <t>H00302733</t>
  </si>
  <si>
    <t>BSc (Hons) in Cyber Security and Networking - Leeds City College</t>
  </si>
  <si>
    <t>302734</t>
  </si>
  <si>
    <t>H00302734</t>
  </si>
  <si>
    <t>Foundation Degree in Applied Computing - Leeds City College</t>
  </si>
  <si>
    <t>302735</t>
  </si>
  <si>
    <t>H00302735</t>
  </si>
  <si>
    <t>Foundation Degree in Cyber Security and Networking - Leeds City College</t>
  </si>
  <si>
    <t>302736</t>
  </si>
  <si>
    <t>H00302736</t>
  </si>
  <si>
    <t>Foundation Degree in Law and Criminal Studies - Leeds City College</t>
  </si>
  <si>
    <t>302737</t>
  </si>
  <si>
    <t>H00302737</t>
  </si>
  <si>
    <t>BA (Hons) in Law and Criminal Studies - Leeds City College</t>
  </si>
  <si>
    <t>302738</t>
  </si>
  <si>
    <t>H00302738</t>
  </si>
  <si>
    <t>Foundation Degree in Social Care (Adult and Community) - Leeds City College</t>
  </si>
  <si>
    <t>302739</t>
  </si>
  <si>
    <t>H00302739</t>
  </si>
  <si>
    <t>Professional Graduate Certificate in Education (Post-16 Education and Training) - Leeds City College</t>
  </si>
  <si>
    <t>302740</t>
  </si>
  <si>
    <t>H00302740</t>
  </si>
  <si>
    <t>CertHE in Computing and Internet Technologies - Bridgwater College</t>
  </si>
  <si>
    <t>302741</t>
  </si>
  <si>
    <t>H00302741</t>
  </si>
  <si>
    <t>FdA in Business and Management - Oldham College</t>
  </si>
  <si>
    <t>302742</t>
  </si>
  <si>
    <t>H00302742</t>
  </si>
  <si>
    <t>FdA in Accounting and Financial Services - Oldham College</t>
  </si>
  <si>
    <t>302743</t>
  </si>
  <si>
    <t>H00302743</t>
  </si>
  <si>
    <t>BA (Hons) in Business and Management (Top-Up)- Oldham College</t>
  </si>
  <si>
    <t>302744</t>
  </si>
  <si>
    <t>H00302744</t>
  </si>
  <si>
    <t>MA in Golf Management - Myerscough College</t>
  </si>
  <si>
    <t>302745</t>
  </si>
  <si>
    <t>H00302745</t>
  </si>
  <si>
    <t>MA in Sustainable Golf Course Management - Myerscough College</t>
  </si>
  <si>
    <t>302746</t>
  </si>
  <si>
    <t>H00302746</t>
  </si>
  <si>
    <t>MSc in Animal Science - Myerscough College</t>
  </si>
  <si>
    <t>302747</t>
  </si>
  <si>
    <t>H00302747</t>
  </si>
  <si>
    <t>MSc in Arboriculture and Urban Forestry - Myerscough College</t>
  </si>
  <si>
    <t>302748</t>
  </si>
  <si>
    <t>H00302748</t>
  </si>
  <si>
    <t>MSc in Integrated Crop Management - Myerscough College</t>
  </si>
  <si>
    <t>302749</t>
  </si>
  <si>
    <t>H00302749</t>
  </si>
  <si>
    <t>BSc (Hons) in Quantity Surveying - Liverpool John Moores University</t>
  </si>
  <si>
    <t>302750</t>
  </si>
  <si>
    <t>H00302750</t>
  </si>
  <si>
    <t>BSc (Hons) in Construction Management - Liverpool John Moores University</t>
  </si>
  <si>
    <t>302751</t>
  </si>
  <si>
    <t>H00302751</t>
  </si>
  <si>
    <t>BSc (Hons) in Building Surveying - Liverpool John Moores University</t>
  </si>
  <si>
    <t>302752</t>
  </si>
  <si>
    <t>H00302752</t>
  </si>
  <si>
    <t>BSc (Hons) in Building Services Engineering Project Management Liverpool John Moores University</t>
  </si>
  <si>
    <t>302753</t>
  </si>
  <si>
    <t>H00302753</t>
  </si>
  <si>
    <t>BEng (Hons) in Civil Engineering - Liverpool John Moores University</t>
  </si>
  <si>
    <t>302754</t>
  </si>
  <si>
    <t>H00302754</t>
  </si>
  <si>
    <t>BSc (Hons) in Real Estate- Liverpool John Moores University</t>
  </si>
  <si>
    <t>302755</t>
  </si>
  <si>
    <t>H00302755</t>
  </si>
  <si>
    <t>BEng (Hons) in Control and Automation Engineering - Liverpool John Moores University</t>
  </si>
  <si>
    <t>302756</t>
  </si>
  <si>
    <t>H00302756</t>
  </si>
  <si>
    <t>BEng (Hons) in Electrical and Electronic Engineering - Liverpool John Moores University</t>
  </si>
  <si>
    <t>302757</t>
  </si>
  <si>
    <t>H00302757</t>
  </si>
  <si>
    <t>BEng (Hons) in Manufacturing Systems Engineering - Liverpool John Moores University</t>
  </si>
  <si>
    <t>302758</t>
  </si>
  <si>
    <t>H00302758</t>
  </si>
  <si>
    <t>BSc (Hons) in Digital and Technology Solutions - Liverpool John Moores University</t>
  </si>
  <si>
    <t>302759</t>
  </si>
  <si>
    <t>H00302759</t>
  </si>
  <si>
    <t>BA (Hons) in Business and Management Practice- Liverpool John Moores University</t>
  </si>
  <si>
    <t>302760</t>
  </si>
  <si>
    <t>H00302760</t>
  </si>
  <si>
    <t>BSc (Hons) in Health Care Science Practitioner - Liverpool John Moores University</t>
  </si>
  <si>
    <t>302761</t>
  </si>
  <si>
    <t>H00302761</t>
  </si>
  <si>
    <t>BSc (Hons) in Digital and Technology Solutions (Web Engineering) - Teesside University - Digital Technology Solutions Professional Degree Apprenticeship</t>
  </si>
  <si>
    <t>302762</t>
  </si>
  <si>
    <t>H00302762</t>
  </si>
  <si>
    <t>BA (Hons in Chartered Management - Birkbeck, University of London</t>
  </si>
  <si>
    <t>302763</t>
  </si>
  <si>
    <t>H00302763</t>
  </si>
  <si>
    <t>FdEng Marine Electrical and Electronic Engineering</t>
  </si>
  <si>
    <t>302764</t>
  </si>
  <si>
    <t>H00302764</t>
  </si>
  <si>
    <t>BSC (Hons) in Complementary and Integrative Health (Top-Up) - - Blackburn college</t>
  </si>
  <si>
    <t>302765</t>
  </si>
  <si>
    <t>H00302765</t>
  </si>
  <si>
    <t>BA (Hons) in Leadership and Business Management distance learning - Newcastle College</t>
  </si>
  <si>
    <t>302766</t>
  </si>
  <si>
    <t>H00302766</t>
  </si>
  <si>
    <t>FdSc in Nursing Associate - University of Greenwich - Nursing Associate Apprenticeship</t>
  </si>
  <si>
    <t>302767</t>
  </si>
  <si>
    <t>H00302767</t>
  </si>
  <si>
    <t>BSc (Hons) in Adult Nursing - University of Greenwich - Registered Nurse Standard</t>
  </si>
  <si>
    <t>302768</t>
  </si>
  <si>
    <t>H00302768</t>
  </si>
  <si>
    <t>BSc (Hons) in Adult Nursing (Medway) - University of Greenwich - Registered Nurse Standard</t>
  </si>
  <si>
    <t>302769</t>
  </si>
  <si>
    <t>H00302769</t>
  </si>
  <si>
    <t>BSc (Hons) in Children's Nursing - University of Greenwich - Registered Nurse Standard</t>
  </si>
  <si>
    <t>302770</t>
  </si>
  <si>
    <t>H00302770</t>
  </si>
  <si>
    <t>BSc (Hons) in Learning Disabilities - University of Greenwich - Registered Nurse Standard</t>
  </si>
  <si>
    <t>302771</t>
  </si>
  <si>
    <t>H00302771</t>
  </si>
  <si>
    <t>BSc (Hons) in Mental Health Nursing - University of Greenwich - Registered Nurse Standard</t>
  </si>
  <si>
    <t>302772</t>
  </si>
  <si>
    <t>H00302772</t>
  </si>
  <si>
    <t>BSc (Hons) in Professional Practice in Digital Technology Solutions (Cyber Security Analyst) - Sheffield Hallam University - Digital and Technology Solutions degree apprenticeship</t>
  </si>
  <si>
    <t>302773</t>
  </si>
  <si>
    <t>H00302773</t>
  </si>
  <si>
    <t>BSc (Hons) in Business and Management - University of Bradford - Chartered Manager Degree Apprenticeship</t>
  </si>
  <si>
    <t>302774</t>
  </si>
  <si>
    <t>H00302774</t>
  </si>
  <si>
    <t>Foundation Degree in Nursing Associate - University of Bradford - Nursing Associate Apprenticeship</t>
  </si>
  <si>
    <t>302775</t>
  </si>
  <si>
    <t>H00302775</t>
  </si>
  <si>
    <t>BSc (Hons) in Community and Public Services Management -City College Plymouth</t>
  </si>
  <si>
    <t>302776</t>
  </si>
  <si>
    <t>H00302776</t>
  </si>
  <si>
    <t>BSc (Hons) in Community and Public Services Management (Healthcare)-City College Plymouth</t>
  </si>
  <si>
    <t>302777</t>
  </si>
  <si>
    <t>H00302777</t>
  </si>
  <si>
    <t>HNC in Mechanical Engineering-City College Plymouth</t>
  </si>
  <si>
    <t>302778</t>
  </si>
  <si>
    <t>H00302778</t>
  </si>
  <si>
    <t>HNC in Naval Architecture -City College Plymouth</t>
  </si>
  <si>
    <t>302779</t>
  </si>
  <si>
    <t>H00302779</t>
  </si>
  <si>
    <t>LLB (Hons) in Law - Leeds City College</t>
  </si>
  <si>
    <t>302780</t>
  </si>
  <si>
    <t>H00302780</t>
  </si>
  <si>
    <t>Foundation Degree in Dance and Theatre: Collaborative Practice - Leeds City College</t>
  </si>
  <si>
    <t>302781</t>
  </si>
  <si>
    <t>H00302781</t>
  </si>
  <si>
    <t>BA (Hons) in Dance - Leeds City College</t>
  </si>
  <si>
    <t>302782</t>
  </si>
  <si>
    <t>H00302782</t>
  </si>
  <si>
    <t>BA (Hons) in Performance Practice - Leeds City College</t>
  </si>
  <si>
    <t>302783</t>
  </si>
  <si>
    <t>H00302783</t>
  </si>
  <si>
    <t>FdSc in Building Engineering and Project Management - Chesterfield College</t>
  </si>
  <si>
    <t>302784</t>
  </si>
  <si>
    <t>H00302784</t>
  </si>
  <si>
    <t>PGCert in Applied Animal Welfare - Hartpury College</t>
  </si>
  <si>
    <t>302785</t>
  </si>
  <si>
    <t>H00302785</t>
  </si>
  <si>
    <t>BA (Hons) in Early Childhood Studies - Bridgewater and Taunton College</t>
  </si>
  <si>
    <t>302786</t>
  </si>
  <si>
    <t>H00302786</t>
  </si>
  <si>
    <t>BA (Hons) in Early Childhood Studies (Top-Up) - Bridgewater and Taunton College</t>
  </si>
  <si>
    <t>302787</t>
  </si>
  <si>
    <t>H00302787</t>
  </si>
  <si>
    <t>CertHE in Early Childhood Studies - Bridgwater and Taunton College</t>
  </si>
  <si>
    <t>302788</t>
  </si>
  <si>
    <t>H00302788</t>
  </si>
  <si>
    <t>Foundation Degree in Early Childhood Studies - Bridgewater and Taunton College</t>
  </si>
  <si>
    <t>302789</t>
  </si>
  <si>
    <t>H00302789</t>
  </si>
  <si>
    <t>FdSc in Public Services and Criminology - Bridgwater and Taunton college</t>
  </si>
  <si>
    <t>302791</t>
  </si>
  <si>
    <t>H00302791</t>
  </si>
  <si>
    <t>BA (Hons) in Outdoor Leadership - Hugh Baird College</t>
  </si>
  <si>
    <t>302792</t>
  </si>
  <si>
    <t>H00302792</t>
  </si>
  <si>
    <t>BA (Hons) in Business (Foundation Year) - Hugh Baird College</t>
  </si>
  <si>
    <t>302793</t>
  </si>
  <si>
    <t>H00302793</t>
  </si>
  <si>
    <t>BA (Hons) in Business Administration - Hugh Baird College</t>
  </si>
  <si>
    <t>302794</t>
  </si>
  <si>
    <t>H00302794</t>
  </si>
  <si>
    <t>BA (Hons) in Management in Events- Hugh Baird College</t>
  </si>
  <si>
    <t>302795</t>
  </si>
  <si>
    <t>H00302795</t>
  </si>
  <si>
    <t>BA (Hons) in Business and Management - Hugh Baird College</t>
  </si>
  <si>
    <t>302796</t>
  </si>
  <si>
    <t>H00302796</t>
  </si>
  <si>
    <t>Foundation Degree in Professional Practice in Health and Social Care - Stockport College</t>
  </si>
  <si>
    <t>302797</t>
  </si>
  <si>
    <t>H00302797</t>
  </si>
  <si>
    <t>Foundation Degree in Illustration - Stockport College</t>
  </si>
  <si>
    <t>302798</t>
  </si>
  <si>
    <t>H00302798</t>
  </si>
  <si>
    <t>Foundation Degree in  Health and Fitness - Milton Keynes College</t>
  </si>
  <si>
    <t>302799</t>
  </si>
  <si>
    <t>H00302799</t>
  </si>
  <si>
    <t>BA (Hons) in Top Degree in Special Education Needs, Disability and Inclusive Practice - Solihull College</t>
  </si>
  <si>
    <t>302800</t>
  </si>
  <si>
    <t>H00302800</t>
  </si>
  <si>
    <t>BEng (Hons) in Civil and Infrastructure Engineering - Kingston University - Civil and Infrastructure Engineering Degree Apprenticeship</t>
  </si>
  <si>
    <t>302801</t>
  </si>
  <si>
    <t>H00302801</t>
  </si>
  <si>
    <t>HNC in Creative Theatre Practice - City College Plymouth</t>
  </si>
  <si>
    <t>302802</t>
  </si>
  <si>
    <t>H00302802</t>
  </si>
  <si>
    <t>HNC in Applied Psychology - Truro and Penwith College</t>
  </si>
  <si>
    <t>302803</t>
  </si>
  <si>
    <t>H00302803</t>
  </si>
  <si>
    <t>HNC in Business - Truro and Penwith College</t>
  </si>
  <si>
    <t>302804</t>
  </si>
  <si>
    <t>H00302804</t>
  </si>
  <si>
    <t>BA (Hons) in Business, Enterprise and Leadership - Truro and Penwith College</t>
  </si>
  <si>
    <t>302805</t>
  </si>
  <si>
    <t>H00302805</t>
  </si>
  <si>
    <t>FdA in Childhood Education - Truro and Penwith College</t>
  </si>
  <si>
    <t>302806</t>
  </si>
  <si>
    <t>H00302806</t>
  </si>
  <si>
    <t>HNC in Computer Games Design and Production - Truro and Penwith College</t>
  </si>
  <si>
    <t>302807</t>
  </si>
  <si>
    <t>H00302807</t>
  </si>
  <si>
    <t>BEng (Hons) in General Engineering - Blackburn College</t>
  </si>
  <si>
    <t>302808</t>
  </si>
  <si>
    <t>H00302808</t>
  </si>
  <si>
    <t>FdEng in Mechanical Engineering - Blackburn  College</t>
  </si>
  <si>
    <t>302809</t>
  </si>
  <si>
    <t>H00302809</t>
  </si>
  <si>
    <t>FdEng in Electrical and Electronics Engineering - Blackburn  College</t>
  </si>
  <si>
    <t>302810</t>
  </si>
  <si>
    <t>H00302810</t>
  </si>
  <si>
    <t>FdEng in General Engineering - Blackburn  College</t>
  </si>
  <si>
    <t>302811</t>
  </si>
  <si>
    <t>H00302811</t>
  </si>
  <si>
    <t>BA (Hons) in Health and Social Care (TOP-UP) -  Hull college</t>
  </si>
  <si>
    <t>302812</t>
  </si>
  <si>
    <t>H00302812</t>
  </si>
  <si>
    <t>PGCert  in Equine Science - Hartpury College</t>
  </si>
  <si>
    <t>302813</t>
  </si>
  <si>
    <t>H00302813</t>
  </si>
  <si>
    <t>BEng (Hons) in Building Services Engineering - Liverpool John Moores university</t>
  </si>
  <si>
    <t>302814</t>
  </si>
  <si>
    <t>H00302814</t>
  </si>
  <si>
    <t>BSc (Hons) in Quantity Surveying and Construction Commercial Management - Nottingham Trent University - Chartered Surveyor degree apprenticeship</t>
  </si>
  <si>
    <t>302815</t>
  </si>
  <si>
    <t>H00302815</t>
  </si>
  <si>
    <t>BSc (Hons) in Food Science and Technology - Nottingham Trent University-- Food Industry Technical Professional Degree Apprenticeship</t>
  </si>
  <si>
    <t>302816</t>
  </si>
  <si>
    <t>H00302816</t>
  </si>
  <si>
    <t>Foundation Degree in Early Years Studies - Gloucestershire College</t>
  </si>
  <si>
    <t>302817</t>
  </si>
  <si>
    <t>H00302817</t>
  </si>
  <si>
    <t>BEng (Hons) in Engineering Design (Electrical Engineering) - Buckinghamshire New University - Embedded Product Design and Development Engineer and Manufacturing Engineer Standards</t>
  </si>
  <si>
    <t>302818</t>
  </si>
  <si>
    <t>H00302818</t>
  </si>
  <si>
    <t>BEng (Hons) in Engineering Design (Mechanical Engineering) - Buckinghamshire New University - Embedded Product Design and Development Engineer and Manufacturing Engineer Standards</t>
  </si>
  <si>
    <t>302819</t>
  </si>
  <si>
    <t>H00302819</t>
  </si>
  <si>
    <t>BEng (Hons) in Engineering Design (Production Engineering) - Buckinghamshire New University - Manufacturing Engineer Degree Apprenticeship</t>
  </si>
  <si>
    <t>302820</t>
  </si>
  <si>
    <t>H00302820</t>
  </si>
  <si>
    <t>FdA in Criminology and Sociology - Wigan and Leigh College</t>
  </si>
  <si>
    <t>302821</t>
  </si>
  <si>
    <t>H00302821</t>
  </si>
  <si>
    <t>CertHE in Legal Studies - Blackburn College</t>
  </si>
  <si>
    <t>302822</t>
  </si>
  <si>
    <t>H00302822</t>
  </si>
  <si>
    <t>BSC (Hons) in Nursing (Adult) with NMC Registration embedded - Buckinghamshire New University - Registered Nurse Standard</t>
  </si>
  <si>
    <t>302823</t>
  </si>
  <si>
    <t>H00302823</t>
  </si>
  <si>
    <t>BSC (Hons) in Nursing (Children's) with NMC Registration embedded - Buckinghamshire New University - Registered Nurse Standard</t>
  </si>
  <si>
    <t>302824</t>
  </si>
  <si>
    <t>H00302824</t>
  </si>
  <si>
    <t>BSC (Hons) in Nursing (Mental Health) with NMC Registration embedded - Buckinghamshire New University - Registered Nurse Standard</t>
  </si>
  <si>
    <t>302825</t>
  </si>
  <si>
    <t>H00302825</t>
  </si>
  <si>
    <t>CertHE in Associate Project Manager embedded - Buckinghamshire New University - Associate Project Manager Standard</t>
  </si>
  <si>
    <t>302826</t>
  </si>
  <si>
    <t>H00302826</t>
  </si>
  <si>
    <t>BA (Hons) in Business Management embedded - Buckinghamshire New University - Chartered Manager Degree Apprenticeship (CMDA) Standard</t>
  </si>
  <si>
    <t>302827</t>
  </si>
  <si>
    <t>H00302827</t>
  </si>
  <si>
    <t>CertHE in Professional Taxation embedded - Buckinghamshire New University - Professional Accounting and Taxation Technician Standard</t>
  </si>
  <si>
    <t>302828</t>
  </si>
  <si>
    <t>H00302828</t>
  </si>
  <si>
    <t>CertHE in Professional Accounting embedded - Buckinghamshire New University - Professional Accounting and Taxation Technician Standard</t>
  </si>
  <si>
    <t>302829</t>
  </si>
  <si>
    <t>H00302829</t>
  </si>
  <si>
    <t>BSC (Hons) in Digital and Technology Solutions embedded - Buckinghamshire New University - Digital and Technology Solutions Professional Solutions Professional Degree Apprenticeship Standard</t>
  </si>
  <si>
    <t>302830</t>
  </si>
  <si>
    <t>H00302830</t>
  </si>
  <si>
    <t>BEng (Hons) in Electrical and Electronic Engineering - London south Bank University - Embedded Electronic Systems Design and Development Engineer Apprenticeship</t>
  </si>
  <si>
    <t>302831</t>
  </si>
  <si>
    <t>H00302831</t>
  </si>
  <si>
    <t>Foundation Degree in (Science) Assistant Practitioner (Immediate, Critical and Peri-operative Care) embedded - Buckinghamshire New University - Healthcare Assistant Practitioner</t>
  </si>
  <si>
    <t>302832</t>
  </si>
  <si>
    <t>H00302832</t>
  </si>
  <si>
    <t>Foundation Degree in (Science) Assistant Practitioner (Mental Health) embedded - Buckinghamshire New University - Healthcare Assistant Practitioner</t>
  </si>
  <si>
    <t>302833</t>
  </si>
  <si>
    <t>H00302833</t>
  </si>
  <si>
    <t>Foundation Degree in (Science) Assistant Practitioner (Maternity and New-born) embedded - Buckinghamshire New University - Healthcare Assistant Practitioner</t>
  </si>
  <si>
    <t>302834</t>
  </si>
  <si>
    <t>H00302834</t>
  </si>
  <si>
    <t>Foundation Degree in (Science) Assistant Practitioner (Child Care) embedded - Buckinghamshire New University - Healthcare Assistant Practitioner</t>
  </si>
  <si>
    <t>302835</t>
  </si>
  <si>
    <t>H00302835</t>
  </si>
  <si>
    <t>Foundation Degree in (Science) Assistant Practitioner (Acute Rehabilitation) embedded - Buckinghamshire New University - Healthcare Assistant Practitioner</t>
  </si>
  <si>
    <t>302836</t>
  </si>
  <si>
    <t>H00302836</t>
  </si>
  <si>
    <t>Foundation Degree in (Science) Assistant Practitioner (Longer Term Care and Care for the Older People) embedded - Buckinghamshire New University - Healthcare Assistant Practitioner</t>
  </si>
  <si>
    <t>302837</t>
  </si>
  <si>
    <t>H00302837</t>
  </si>
  <si>
    <t>MSc in Engineering Business Management - The University of Warwick</t>
  </si>
  <si>
    <t>302838</t>
  </si>
  <si>
    <t>H00302838</t>
  </si>
  <si>
    <t>PGDip in Engineering Business Management - The University of Warwick</t>
  </si>
  <si>
    <t>302839</t>
  </si>
  <si>
    <t>H00302839</t>
  </si>
  <si>
    <t>PGCert in Engineering Business Management - The University of Warwick</t>
  </si>
  <si>
    <t>302840</t>
  </si>
  <si>
    <t>H00302840</t>
  </si>
  <si>
    <t>MSC in Systems Engineering Technical Leadership (Aviation) - the University of Warwick</t>
  </si>
  <si>
    <t>302841</t>
  </si>
  <si>
    <t>H00302841</t>
  </si>
  <si>
    <t>PGDip in Systems Engineering Technical Leadership (Aviation) - the University of Warwick</t>
  </si>
  <si>
    <t>302842</t>
  </si>
  <si>
    <t>H00302842</t>
  </si>
  <si>
    <t>PGCert in Systems Engineering Technical Leadership (Aviation) - the University of Warwick</t>
  </si>
  <si>
    <t>302843</t>
  </si>
  <si>
    <t>H00302843</t>
  </si>
  <si>
    <t>BEng (Hons) in Applied Engineering Programme - The University of Warwick</t>
  </si>
  <si>
    <t>302844</t>
  </si>
  <si>
    <t>H00302844</t>
  </si>
  <si>
    <t>DipHE in Applied Engineering Programme - The University of Warwick</t>
  </si>
  <si>
    <t>302845</t>
  </si>
  <si>
    <t>H00302845</t>
  </si>
  <si>
    <t>CertHE in Applied Engineering Programme - The University of Warwick</t>
  </si>
  <si>
    <t>302846</t>
  </si>
  <si>
    <t>H00302846</t>
  </si>
  <si>
    <t>Certificate in Education - South Essex College of Further and Higher Education</t>
  </si>
  <si>
    <t>302847</t>
  </si>
  <si>
    <t>H00302847</t>
  </si>
  <si>
    <t>Professional Graduate Certificate in Education - South Essex College of Further and Higher Education</t>
  </si>
  <si>
    <t>302848</t>
  </si>
  <si>
    <t>H00302848</t>
  </si>
  <si>
    <t>BA (Hons) in Business Management with Project Management Studies - Furness College</t>
  </si>
  <si>
    <t>302849</t>
  </si>
  <si>
    <t>H00302849</t>
  </si>
  <si>
    <t>DipHe in Business Innovations and Applied Management - Colchester Institute</t>
  </si>
  <si>
    <t>302850</t>
  </si>
  <si>
    <t>H00302850</t>
  </si>
  <si>
    <t>DipHE in Nursing Associate - Anglia Ruskin University</t>
  </si>
  <si>
    <t>302851</t>
  </si>
  <si>
    <t>H00302851</t>
  </si>
  <si>
    <t>Foundation Degree in Digital Experience Design - Greater Brighton Metropolitan College</t>
  </si>
  <si>
    <t>302852</t>
  </si>
  <si>
    <t>H00302852</t>
  </si>
  <si>
    <t>BA (Hons) in Business Management and Leadership - Coventry University College</t>
  </si>
  <si>
    <t>302853</t>
  </si>
  <si>
    <t>H00302853</t>
  </si>
  <si>
    <t>BSC (Hons) in Digital and Technology Solutions - Coventry University College</t>
  </si>
  <si>
    <t>302854</t>
  </si>
  <si>
    <t>H00302854</t>
  </si>
  <si>
    <t>Foundation Degree in (Science) British Animal Management and Wildlife - Kendall College</t>
  </si>
  <si>
    <t>302855</t>
  </si>
  <si>
    <t>H00302855</t>
  </si>
  <si>
    <t>BSC (Hons) in Quantity Surveying - Leeds Beckett University</t>
  </si>
  <si>
    <t>302856</t>
  </si>
  <si>
    <t>H00302856</t>
  </si>
  <si>
    <t>BEng (Ordinary) Degree in Mechanical Engineering - Furness College</t>
  </si>
  <si>
    <t>302857</t>
  </si>
  <si>
    <t>H00302857</t>
  </si>
  <si>
    <t>BEng (Ordinary) Degree in Electrical and Electronic Engineering - Furness College</t>
  </si>
  <si>
    <t>302858</t>
  </si>
  <si>
    <t>H00302858</t>
  </si>
  <si>
    <t>FdA in Education: Early Years and Primary -City and Islington College (WKCIC Group)</t>
  </si>
  <si>
    <t>302859</t>
  </si>
  <si>
    <t>H00302859</t>
  </si>
  <si>
    <t>FdEng in Mechanical Engineering - Solihull College - Control and Technical Support Engineer, Manufacturing Engineer standards</t>
  </si>
  <si>
    <t>302860</t>
  </si>
  <si>
    <t>H00302860</t>
  </si>
  <si>
    <t>FdEng in Electrical and Electronic Engineering - Solihull College - Control and Technical Support Engineer, Electrical and Electronic Technical Support Engineer, Manufacturing Engineer standards</t>
  </si>
  <si>
    <t>302861</t>
  </si>
  <si>
    <t>H00302861</t>
  </si>
  <si>
    <t>BSc (Hons) in in Mechanical Engineering - Solihull College - Control and Technical Support Engineer, Manufacturing Engineer standards</t>
  </si>
  <si>
    <t>302862</t>
  </si>
  <si>
    <t>H00302862</t>
  </si>
  <si>
    <t>BSc (Hons) in Electrical Engineering - Solihull College - Control and Technical Support Engineer, Electrical and Electronic Technical Support Engineer, Manufacturing Engineer standards</t>
  </si>
  <si>
    <t>302863</t>
  </si>
  <si>
    <t>H00302863</t>
  </si>
  <si>
    <t>MSci in Animal Behaviour and Welfare - Hartpury College</t>
  </si>
  <si>
    <t>302864</t>
  </si>
  <si>
    <t>H00302864</t>
  </si>
  <si>
    <t>Foundation Degree (Arts) in Supporting Children in Primary Education - Macclesfield College</t>
  </si>
  <si>
    <t>302865</t>
  </si>
  <si>
    <t>H00302865</t>
  </si>
  <si>
    <t>BSc (hons) in Aerospace Engineering (Design) - City of Bristol College</t>
  </si>
  <si>
    <t>302866</t>
  </si>
  <si>
    <t>H00302866</t>
  </si>
  <si>
    <t>BA (Hons) in Beauty Management (Top Up) - Bury College</t>
  </si>
  <si>
    <t>302867</t>
  </si>
  <si>
    <t>H00302867</t>
  </si>
  <si>
    <t>BA (Hons) in Hairdressing Management (Top Up) - Bury College</t>
  </si>
  <si>
    <t>302868</t>
  </si>
  <si>
    <t>H00302868</t>
  </si>
  <si>
    <t>FdA in Beauty Management - Bury College</t>
  </si>
  <si>
    <t>302869</t>
  </si>
  <si>
    <t>H00302869</t>
  </si>
  <si>
    <t>FdA in Hairdressing Management - Bury College</t>
  </si>
  <si>
    <t>302870</t>
  </si>
  <si>
    <t>H00302870</t>
  </si>
  <si>
    <t>DipHe in Diploma in Education and Training - Bury College</t>
  </si>
  <si>
    <t>302871</t>
  </si>
  <si>
    <t>H00302871</t>
  </si>
  <si>
    <t>CertHe in Further Education Assessor Coach - Bury College</t>
  </si>
  <si>
    <t>302872</t>
  </si>
  <si>
    <t>H00302872</t>
  </si>
  <si>
    <t>BSc (Hons) Criminology and Sociology - Bury College</t>
  </si>
  <si>
    <t>302873</t>
  </si>
  <si>
    <t>H00302873</t>
  </si>
  <si>
    <t>FdSc  Web Technologies and Digital Media</t>
  </si>
  <si>
    <t>302874</t>
  </si>
  <si>
    <t>H00302874</t>
  </si>
  <si>
    <t>BSc (Hons) Web Technologies and Digital Media</t>
  </si>
  <si>
    <t>302875</t>
  </si>
  <si>
    <t>H00302875</t>
  </si>
  <si>
    <t>Foundation Degree in Arts Business Management - Amersham and Wycombe College</t>
  </si>
  <si>
    <t>302876</t>
  </si>
  <si>
    <t>H00302876</t>
  </si>
  <si>
    <t>Foundation Degree in Photography and Digital Imaging - Amersham and Wycombe College</t>
  </si>
  <si>
    <t>302877</t>
  </si>
  <si>
    <t>H00302877</t>
  </si>
  <si>
    <t>FdA Animation and Visual Effects - Amersham and Wycombe College</t>
  </si>
  <si>
    <t>302878</t>
  </si>
  <si>
    <t>H00302878</t>
  </si>
  <si>
    <t>FdA Musical Theatre - Amersham and Wycombe College</t>
  </si>
  <si>
    <t>302879</t>
  </si>
  <si>
    <t>H00302879</t>
  </si>
  <si>
    <t>BA (Hons) in Musical Theatre - Amersham and Wycombe College</t>
  </si>
  <si>
    <t>302880</t>
  </si>
  <si>
    <t>H00302880</t>
  </si>
  <si>
    <t>BA (Hons) in Business and Management practice - Abingdon and Witney College</t>
  </si>
  <si>
    <t>302881</t>
  </si>
  <si>
    <t>H00302881</t>
  </si>
  <si>
    <t>BSc (Hons) in Digital and Technology Solutions Professional (Network Engineer) - London South Bank University - Digital and Technology Professional Apprenticeship Standard</t>
  </si>
  <si>
    <t>302882</t>
  </si>
  <si>
    <t>H00302882</t>
  </si>
  <si>
    <t>BSc (Hons) in Digital and Technology Solutions Professional (Software Engineer) - London South Bank University - Digital and Technology Professional Apprenticeship Standard</t>
  </si>
  <si>
    <t>302883</t>
  </si>
  <si>
    <t>H00302883</t>
  </si>
  <si>
    <t>302884</t>
  </si>
  <si>
    <t>H00302884</t>
  </si>
  <si>
    <t>302885</t>
  </si>
  <si>
    <t>H00302885</t>
  </si>
  <si>
    <t>CertHE in Health and Social Care - Bridgwater College</t>
  </si>
  <si>
    <t>302886</t>
  </si>
  <si>
    <t>H00302886</t>
  </si>
  <si>
    <t>BA (Hons) in Management and Leadership - York St John University</t>
  </si>
  <si>
    <t>302887</t>
  </si>
  <si>
    <t>H00302887</t>
  </si>
  <si>
    <t>FdA in Music Production - Bridgwater College</t>
  </si>
  <si>
    <t>302888</t>
  </si>
  <si>
    <t>H00302888</t>
  </si>
  <si>
    <t>BSc (Hons) in Building Services Engineering - Leeds Beckett University</t>
  </si>
  <si>
    <t>302889</t>
  </si>
  <si>
    <t>H00302889</t>
  </si>
  <si>
    <t>BEng (Hons) in Building Services Engineering - Leeds Beckett University</t>
  </si>
  <si>
    <t>302890</t>
  </si>
  <si>
    <t>H00302890</t>
  </si>
  <si>
    <t>BSc (Hons) in Civil Engineering - Leeds Beckett University</t>
  </si>
  <si>
    <t>302891</t>
  </si>
  <si>
    <t>H00302891</t>
  </si>
  <si>
    <t>BEng (Hons) in Computer Aided Engineering - University of Central Lancashire</t>
  </si>
  <si>
    <t>302892</t>
  </si>
  <si>
    <t>H00302892</t>
  </si>
  <si>
    <t>BEng (Hons) in Electronic Engineering - University of Central Lancashire</t>
  </si>
  <si>
    <t>302893</t>
  </si>
  <si>
    <t>H00302893</t>
  </si>
  <si>
    <t>BEng (Hons) in Mechanical Engineering - University of Central Lancashire</t>
  </si>
  <si>
    <t>302894</t>
  </si>
  <si>
    <t>H00302894</t>
  </si>
  <si>
    <t>BEng (Hons) in Motorsports Engineering - University of Central Lancashire</t>
  </si>
  <si>
    <t>302895</t>
  </si>
  <si>
    <t>H00302895</t>
  </si>
  <si>
    <t>FdA in Health and Wellbeing - University of Suffolk - Healthcare Assistant Practitioner Apprenticeship Standard</t>
  </si>
  <si>
    <t>302896</t>
  </si>
  <si>
    <t>H00302896</t>
  </si>
  <si>
    <t>MBA in Construction and Real Estate - University College of Estate Management (UCEM)</t>
  </si>
  <si>
    <t>302897</t>
  </si>
  <si>
    <t>H00302897</t>
  </si>
  <si>
    <t>Foundation Degree in Health and Social Care - Ruskin college</t>
  </si>
  <si>
    <t>302898</t>
  </si>
  <si>
    <t>H00302898</t>
  </si>
  <si>
    <t>BA (Hons) in Applied Social Sciences - Ruskin College</t>
  </si>
  <si>
    <t>302899</t>
  </si>
  <si>
    <t>H00302899</t>
  </si>
  <si>
    <t>HND in Construction - Mid-Kent College</t>
  </si>
  <si>
    <t>302900</t>
  </si>
  <si>
    <t>H00302900</t>
  </si>
  <si>
    <t>HND in Civil Engineering - Mid-Kent College</t>
  </si>
  <si>
    <t>302901</t>
  </si>
  <si>
    <t>H00302901</t>
  </si>
  <si>
    <t>HND in Building Services Engineering - Mid-Kent College</t>
  </si>
  <si>
    <t>302902</t>
  </si>
  <si>
    <t>H00302902</t>
  </si>
  <si>
    <t>BSc (Hons) in Construction -Mid-Kent College</t>
  </si>
  <si>
    <t>302903</t>
  </si>
  <si>
    <t>H00302903</t>
  </si>
  <si>
    <t>BSc (Hons) in Civil Engineering -Mid-Kent College</t>
  </si>
  <si>
    <t>302904</t>
  </si>
  <si>
    <t>H00302904</t>
  </si>
  <si>
    <t>BEng (Hons) in Building Services Engineering - Mid-Kent College</t>
  </si>
  <si>
    <t>302905</t>
  </si>
  <si>
    <t>H00302905</t>
  </si>
  <si>
    <t>FdE in Mechanical Engineering - Mid-Kent College</t>
  </si>
  <si>
    <t>302906</t>
  </si>
  <si>
    <t>H00302906</t>
  </si>
  <si>
    <t>FdE in Electronic Engineering - Mid-Kent College</t>
  </si>
  <si>
    <t>302907</t>
  </si>
  <si>
    <t>H00302907</t>
  </si>
  <si>
    <t>FdE in Electrical Engineering - Mid-Kent College</t>
  </si>
  <si>
    <t>302908</t>
  </si>
  <si>
    <t>H00302908</t>
  </si>
  <si>
    <t>BA (Hons) in Leadership and Management (DL) - University of Portsmouth</t>
  </si>
  <si>
    <t>302909</t>
  </si>
  <si>
    <t>H00302909</t>
  </si>
  <si>
    <t>BEng (Hons) in Applied Engineering - Warwickshire College</t>
  </si>
  <si>
    <t>302910</t>
  </si>
  <si>
    <t>H00302910</t>
  </si>
  <si>
    <t>FdA in Business Management - University of Plymouth - Chartered Manager Degree Standard</t>
  </si>
  <si>
    <t>302911</t>
  </si>
  <si>
    <t>H00302911</t>
  </si>
  <si>
    <t>BSc (Hons) in Quantity Surveying - Coventry University College</t>
  </si>
  <si>
    <t>302912</t>
  </si>
  <si>
    <t>H00302912</t>
  </si>
  <si>
    <t>BEng (Hons) in Civil Engineering - Coventry University College</t>
  </si>
  <si>
    <t>302913</t>
  </si>
  <si>
    <t>H00302913</t>
  </si>
  <si>
    <t>BSc (Hons) in Civil Engineering - Coventry University College</t>
  </si>
  <si>
    <t>302914</t>
  </si>
  <si>
    <t>H00302914</t>
  </si>
  <si>
    <t>BEng (Hons) in Building Services Engineering - Coventry University College</t>
  </si>
  <si>
    <t>302915</t>
  </si>
  <si>
    <t>H00302915</t>
  </si>
  <si>
    <t>BSc (Hons) in Construction Management - Coventry University College</t>
  </si>
  <si>
    <t>302916</t>
  </si>
  <si>
    <t>H00302916</t>
  </si>
  <si>
    <t>BSc (Hons) in Quantity Surveying and Commercial Management - University of the West of England, Bristol (UWE Bristol)</t>
  </si>
  <si>
    <t>302917</t>
  </si>
  <si>
    <t>H00302917</t>
  </si>
  <si>
    <t>BEng (Hons) in Civil and Environmental Engineering - University of the West of England, Bristol (UWE Bristol)</t>
  </si>
  <si>
    <t>302918</t>
  </si>
  <si>
    <t>H00302918</t>
  </si>
  <si>
    <t>MSc in Digital Electronic Systems Engineering - University of the West of England, Bristol (UWE Bristol)</t>
  </si>
  <si>
    <t>302919</t>
  </si>
  <si>
    <t>H00302919</t>
  </si>
  <si>
    <t>BSc (Hons) in Digital Technology Solutions - Ravensbourne</t>
  </si>
  <si>
    <t>302920</t>
  </si>
  <si>
    <t>H00302920</t>
  </si>
  <si>
    <t>MSc in Leadership and Management - Ashridge (Bonar Law Memorial) Trust</t>
  </si>
  <si>
    <t>302921</t>
  </si>
  <si>
    <t>H00302921</t>
  </si>
  <si>
    <t>BA (Hons) in Children and Young People FT (Top Up)</t>
  </si>
  <si>
    <t>302922</t>
  </si>
  <si>
    <t>H00302922</t>
  </si>
  <si>
    <t>FdSc in Applied Bioscience - University of Kent</t>
  </si>
  <si>
    <t>302923</t>
  </si>
  <si>
    <t>H00302923</t>
  </si>
  <si>
    <t>BSc (Hons) in Applied Bioscience - University of Kent</t>
  </si>
  <si>
    <t>302924</t>
  </si>
  <si>
    <t>H00302924</t>
  </si>
  <si>
    <t>FdSc in Applied Chemical Scientists - University of Kent</t>
  </si>
  <si>
    <t>302925</t>
  </si>
  <si>
    <t>H00302925</t>
  </si>
  <si>
    <t>BSc (Hons) in Applied Chemical Scientists - University of Kent</t>
  </si>
  <si>
    <t>302926</t>
  </si>
  <si>
    <t>H00302926</t>
  </si>
  <si>
    <t>BSc (Hons) in Management - University of Kent - Chartered Manager Standard</t>
  </si>
  <si>
    <t>302927</t>
  </si>
  <si>
    <t>H00302927</t>
  </si>
  <si>
    <t>Foundation Degree in Health and Care - Canterbury Christ Church University - Nursing Associate Apprenticeship</t>
  </si>
  <si>
    <t>302928</t>
  </si>
  <si>
    <t>H00302928</t>
  </si>
  <si>
    <t>BA (Hons) in Professional Film Production - Farnborough College of Technology</t>
  </si>
  <si>
    <t>302929</t>
  </si>
  <si>
    <t>H00302929</t>
  </si>
  <si>
    <t>BSc(Hons) in Criminology with Sociology - Farnborough College of Technology</t>
  </si>
  <si>
    <t>302930</t>
  </si>
  <si>
    <t>H00302930</t>
  </si>
  <si>
    <t>BSc(Hons) in Criminology with Psychology - Farnborough College of Technology</t>
  </si>
  <si>
    <t>302931</t>
  </si>
  <si>
    <t>H00302931</t>
  </si>
  <si>
    <t>BSc(Hons) in Sociology with Criminology - Farnborough College of Technology</t>
  </si>
  <si>
    <t>302932</t>
  </si>
  <si>
    <t>H00302932</t>
  </si>
  <si>
    <t>Foundation Degree in Sports Coaching - RNN Group</t>
  </si>
  <si>
    <t>302933</t>
  </si>
  <si>
    <t>H00302933</t>
  </si>
  <si>
    <t>BSc(Hons) in Sport and Exercise Performance - RNN Group</t>
  </si>
  <si>
    <t>302934</t>
  </si>
  <si>
    <t>H00302934</t>
  </si>
  <si>
    <t>Foundation Degree in Tourism and Hospitality Management - RNN Group</t>
  </si>
  <si>
    <t>302935</t>
  </si>
  <si>
    <t>H00302935</t>
  </si>
  <si>
    <t>Post Graduate Diploma in Professional Engineering - Aston University</t>
  </si>
  <si>
    <t>302936</t>
  </si>
  <si>
    <t>H00302936</t>
  </si>
  <si>
    <t>MSc in Osteopathy (ICOM) - NESCOT</t>
  </si>
  <si>
    <t>302937</t>
  </si>
  <si>
    <t>H00302937</t>
  </si>
  <si>
    <t>BSc (Hons) in Human-Animal Interaction (with pathway) - Hartpury College</t>
  </si>
  <si>
    <t>302938</t>
  </si>
  <si>
    <t>H00302938</t>
  </si>
  <si>
    <t>FdSc in Nursing Associate - Teesside University - Nursing Associate Apprenticeship Standard</t>
  </si>
  <si>
    <t>302939</t>
  </si>
  <si>
    <t>H00302939</t>
  </si>
  <si>
    <t>FdA in Business Operations and Management - Southampton Solent University - Operation /Departmental Manager Standard</t>
  </si>
  <si>
    <t>302940</t>
  </si>
  <si>
    <t>H00302940</t>
  </si>
  <si>
    <t>BEng (Hons) in Engineering Practice (Design) - University of Sunderland</t>
  </si>
  <si>
    <t>302941</t>
  </si>
  <si>
    <t>H00302941</t>
  </si>
  <si>
    <t>BEng (Hons) in Engineering Practice (Electronic and Electrical) - University of Sunderland</t>
  </si>
  <si>
    <t>302942</t>
  </si>
  <si>
    <t>H00302942</t>
  </si>
  <si>
    <t>BEng (Hons) in Engineering Practice (Manufacturing) - University of Sunderland</t>
  </si>
  <si>
    <t>302943</t>
  </si>
  <si>
    <t>H00302943</t>
  </si>
  <si>
    <t>FdEng in Design Engineering Practise - University of Sunderland</t>
  </si>
  <si>
    <t>302944</t>
  </si>
  <si>
    <t>H00302944</t>
  </si>
  <si>
    <t>FdEng in Electronic and Electrical Engineering - University of Sunderland</t>
  </si>
  <si>
    <t>302945</t>
  </si>
  <si>
    <t>H00302945</t>
  </si>
  <si>
    <t>FdEng in Manufacturing Engineering Practice - University of Sunderland</t>
  </si>
  <si>
    <t>302946</t>
  </si>
  <si>
    <t>H00302946</t>
  </si>
  <si>
    <t>BSc (Hons) in Digital and Technology Solutions - Southampton Solent University - Digital and Technology Solutions Professional Standard</t>
  </si>
  <si>
    <t>302947</t>
  </si>
  <si>
    <t>H00302947</t>
  </si>
  <si>
    <t>BEng (Hons) in Plant Engineering (Electrical Engineering) (Top Up) - University of Cumbria</t>
  </si>
  <si>
    <t>302948</t>
  </si>
  <si>
    <t>H00302948</t>
  </si>
  <si>
    <t>BEng (Hons) in Plant Engineering (Mechanical Engineering) (Top Up) - University of Cumbria</t>
  </si>
  <si>
    <t>302949</t>
  </si>
  <si>
    <t>H00302949</t>
  </si>
  <si>
    <t>BEng (Hons) in Plant Engineering (Instrumentation and Control) (Top Up) - University of Cumbria</t>
  </si>
  <si>
    <t>302950</t>
  </si>
  <si>
    <t>H00302950</t>
  </si>
  <si>
    <t>BEng (Hons) in Plant Engineering (Quality Engineering) (Top Up) - University of Cumbria</t>
  </si>
  <si>
    <t>302951</t>
  </si>
  <si>
    <t>H00302951</t>
  </si>
  <si>
    <t>BEng (Hons) in Plant Engineering (Nuclear Plant and Process Technology) (Top Up) - University of Cumbria</t>
  </si>
  <si>
    <t>302952</t>
  </si>
  <si>
    <t>H00302952</t>
  </si>
  <si>
    <t>BSc (Hons) in Nursing and RN Adult Nursing</t>
  </si>
  <si>
    <t>302953</t>
  </si>
  <si>
    <t>H00302953</t>
  </si>
  <si>
    <t>BEng (Hons) in Product Design and Development Engineer- (University of Wolverhampton)</t>
  </si>
  <si>
    <t>302954</t>
  </si>
  <si>
    <t>H00302954</t>
  </si>
  <si>
    <t>BEng (Hons) in Manufacturing Engineer- (University of Wolverhampton)</t>
  </si>
  <si>
    <t>302955</t>
  </si>
  <si>
    <t>H00302955</t>
  </si>
  <si>
    <t>BSc (Hons) in Adult Nursing - University of East Anglia - Registered Nurse Standard</t>
  </si>
  <si>
    <t>302956</t>
  </si>
  <si>
    <t>H00302956</t>
  </si>
  <si>
    <t>BEng (Hons) in Nuclear Scientist and Engineer - Aston University</t>
  </si>
  <si>
    <t>302957</t>
  </si>
  <si>
    <t>H00302957</t>
  </si>
  <si>
    <t>FdSc in Sport and Exercise (Personal Training) - North Lindsey College</t>
  </si>
  <si>
    <t>302958</t>
  </si>
  <si>
    <t>H00302958</t>
  </si>
  <si>
    <t>FdSc in Sport and Exercise (Coaching) - North Lindsey College</t>
  </si>
  <si>
    <t>302959</t>
  </si>
  <si>
    <t>H00302959</t>
  </si>
  <si>
    <t>FdSc in Nursing Associate - University of Chester - Nursing Associate Standard</t>
  </si>
  <si>
    <t>302960</t>
  </si>
  <si>
    <t>H00302960</t>
  </si>
  <si>
    <t>MBA in Strategic Leadership - University of Sunderland</t>
  </si>
  <si>
    <t>302961</t>
  </si>
  <si>
    <t>H00302961</t>
  </si>
  <si>
    <t>Foundation Degree in Nursing Associate Practice - The Open University - Nursing Associate Standard</t>
  </si>
  <si>
    <t>302962</t>
  </si>
  <si>
    <t>H00302962</t>
  </si>
  <si>
    <t>FdSc in Nursing Associate Apprenticeship - University of Derby</t>
  </si>
  <si>
    <t>302963</t>
  </si>
  <si>
    <t>H00302963</t>
  </si>
  <si>
    <t>PG Dip in Applied Strength and Conditioning - Hartpury College</t>
  </si>
  <si>
    <t>302964</t>
  </si>
  <si>
    <t>H00302964</t>
  </si>
  <si>
    <t>PGCert in Applied Strength and Conditioning - Hartpury College</t>
  </si>
  <si>
    <t>302965</t>
  </si>
  <si>
    <t>H00302965</t>
  </si>
  <si>
    <t>FdSc in Nursing Associate - University of Wolverhampton - Nursing Associate Standard</t>
  </si>
  <si>
    <t>302966</t>
  </si>
  <si>
    <t>H00302966</t>
  </si>
  <si>
    <t>BSc (Hons) in Adult Nursing - University of Suffolk - Registered Nurse Standard</t>
  </si>
  <si>
    <t>302967</t>
  </si>
  <si>
    <t>H00302967</t>
  </si>
  <si>
    <t>BSc (Hons) in Mental Health Nursing - University of Suffolk - Registered Nurse Standard</t>
  </si>
  <si>
    <t>302968</t>
  </si>
  <si>
    <t>H00302968</t>
  </si>
  <si>
    <t>FdSc in Nursing Associate - Petroc - Nursing Associate Standard</t>
  </si>
  <si>
    <t>302969</t>
  </si>
  <si>
    <t>H00302969</t>
  </si>
  <si>
    <t>MBA in Business Administration - University of East Anglia - Senior Leader Standard</t>
  </si>
  <si>
    <t>302970</t>
  </si>
  <si>
    <t>H00302970</t>
  </si>
  <si>
    <t>MBA in Business Administration (Leadership Practice) - The Open University</t>
  </si>
  <si>
    <t>302971</t>
  </si>
  <si>
    <t>H00302971</t>
  </si>
  <si>
    <t>BSc (Hons) in Professional Policing Practice - University of Cumbria - Police Constable Standard</t>
  </si>
  <si>
    <t>302972</t>
  </si>
  <si>
    <t>H00302972</t>
  </si>
  <si>
    <t>BEng (Hons) in Electrical Engineering - Lakes College</t>
  </si>
  <si>
    <t>302973</t>
  </si>
  <si>
    <t>H00302973</t>
  </si>
  <si>
    <t>BEng (Hons) in Mechanical Engineering - Lakes College</t>
  </si>
  <si>
    <t>302974</t>
  </si>
  <si>
    <t>H00302974</t>
  </si>
  <si>
    <t>BSc (Hons) in Decommissioning and Waste Management - Lakes College</t>
  </si>
  <si>
    <t>302975</t>
  </si>
  <si>
    <t>H00302975</t>
  </si>
  <si>
    <t>FdSc in Decommissioning and Waste Management - Lakes College</t>
  </si>
  <si>
    <t>302976</t>
  </si>
  <si>
    <t>H00302976</t>
  </si>
  <si>
    <t>FdEng in Electrical Power Systems and Infrastructure - Lakes College</t>
  </si>
  <si>
    <t>302977</t>
  </si>
  <si>
    <t>H00302977</t>
  </si>
  <si>
    <t>BA (Hons) in Management Practice - Middlesex University - Chartered Manager Degree Apprenticeship Standard</t>
  </si>
  <si>
    <t>302978</t>
  </si>
  <si>
    <t>H00302978</t>
  </si>
  <si>
    <t>Master of Business Administration -  The Manchester Metropolitan University - Senior Leader Master's Degree Apprenticeship</t>
  </si>
  <si>
    <t>302979</t>
  </si>
  <si>
    <t>H00302979</t>
  </si>
  <si>
    <t>BSc (Hons) in Professional Practice in Business to Business Sales - Middlesex University - Business to Business Sales Professional Degree Apprenticeship Standard</t>
  </si>
  <si>
    <t>302980</t>
  </si>
  <si>
    <t>H00302980</t>
  </si>
  <si>
    <t>PGCert in Teaching Primary - Middlesex University - Teacher Apprenticeship Standard</t>
  </si>
  <si>
    <t>302981</t>
  </si>
  <si>
    <t>H00302981</t>
  </si>
  <si>
    <t>BSc (Hons) in Civil Engineering - City College Plymouth</t>
  </si>
  <si>
    <t>302982</t>
  </si>
  <si>
    <t>H00302982</t>
  </si>
  <si>
    <t>BSc (Hons) in Real Estate Management - Kingston University - Chartered Surveyor Standard</t>
  </si>
  <si>
    <t>302983</t>
  </si>
  <si>
    <t>H00302983</t>
  </si>
  <si>
    <t>BSc (Hons) in Digital and Technology Solutions - Newcastle College - Digital and Technology Solutions Professional Standard</t>
  </si>
  <si>
    <t>302984</t>
  </si>
  <si>
    <t>H00302984</t>
  </si>
  <si>
    <t>MBA in Business Administration - Liverpool John Moores University</t>
  </si>
  <si>
    <t>302985</t>
  </si>
  <si>
    <t>H00302985</t>
  </si>
  <si>
    <t>MBA in Business Scale-Ups - Liverpool John Moores University</t>
  </si>
  <si>
    <t>302986</t>
  </si>
  <si>
    <t>H00302986</t>
  </si>
  <si>
    <t>MSc in Leadership and Management Practice - Liverpool John Moores University</t>
  </si>
  <si>
    <t>302987</t>
  </si>
  <si>
    <t>H00302987</t>
  </si>
  <si>
    <t>Foundation Degree in Spa Therapies and Management - St Helens College</t>
  </si>
  <si>
    <t>302988</t>
  </si>
  <si>
    <t>H00302988</t>
  </si>
  <si>
    <t>BA (Hons) in Sociology - Grimsby Institute</t>
  </si>
  <si>
    <t>302989</t>
  </si>
  <si>
    <t>H00302989</t>
  </si>
  <si>
    <t>FdSc in Equine Enterprise Management - Cornwall College</t>
  </si>
  <si>
    <t>302990</t>
  </si>
  <si>
    <t>H00302990</t>
  </si>
  <si>
    <t>302991</t>
  </si>
  <si>
    <t>H00302991</t>
  </si>
  <si>
    <t>FdSc in Emergency Sector Leadership and Management - Cornwall College</t>
  </si>
  <si>
    <t>302992</t>
  </si>
  <si>
    <t>H00302992</t>
  </si>
  <si>
    <t>Foundation Degree in Nursing Associate - University of Salford - Nursing Associate Apprenticeship Standard</t>
  </si>
  <si>
    <t>302993</t>
  </si>
  <si>
    <t>H00302993</t>
  </si>
  <si>
    <t>FdSc in Nursing Associate - University Hospitals of Leicester NHS Trust - Nursing Associate Apprenticeship Standard</t>
  </si>
  <si>
    <t>302994</t>
  </si>
  <si>
    <t>H00302994</t>
  </si>
  <si>
    <t>MBA in Business Administration - University of Chester - Senior Leader Master's Degree Apprenticeship</t>
  </si>
  <si>
    <t>302995</t>
  </si>
  <si>
    <t>H00302995</t>
  </si>
  <si>
    <t>MA in Business Management for Senior Leaders (WBIS) - University of Chester - Senior Leader Master's Degree Apprenticeship</t>
  </si>
  <si>
    <t>302996</t>
  </si>
  <si>
    <t>H00302996</t>
  </si>
  <si>
    <t>MSc in Business and Management for Senior leaders (WBIS) - University of Chester - Senior Leader Master's Degree Apprenticeship</t>
  </si>
  <si>
    <t>302997</t>
  </si>
  <si>
    <t>H00302997</t>
  </si>
  <si>
    <t>MSc in Senior Leaders - De Montfort University - Senior Leader Master's Degree Apprenticeship</t>
  </si>
  <si>
    <t>302998</t>
  </si>
  <si>
    <t>H00302998</t>
  </si>
  <si>
    <t>FdSc in Nursing Associate - University of the West of England - Nursing Associate Standard</t>
  </si>
  <si>
    <t>302999</t>
  </si>
  <si>
    <t>H00302999</t>
  </si>
  <si>
    <t>Executive Master of Business Administration - Cranfield University</t>
  </si>
  <si>
    <t>303000</t>
  </si>
  <si>
    <t>H00303000</t>
  </si>
  <si>
    <t>MSc in Business and Strategic Leadership - Cranfield University</t>
  </si>
  <si>
    <t>303001</t>
  </si>
  <si>
    <t>H00303001</t>
  </si>
  <si>
    <t>Postgraduate Diploma in Engineering Competence - Cranfield University</t>
  </si>
  <si>
    <t>303002</t>
  </si>
  <si>
    <t>H00303002</t>
  </si>
  <si>
    <t>MSc in Managing in Technology Based Industries - University of Warwick</t>
  </si>
  <si>
    <t>303003</t>
  </si>
  <si>
    <t>H00303003</t>
  </si>
  <si>
    <t>PG Dip in Managing in Technology Based Industries - University of Warwick</t>
  </si>
  <si>
    <t>303004</t>
  </si>
  <si>
    <t>H00303004</t>
  </si>
  <si>
    <t>PG Cert in Managing in Technology Based Industries - University of Warwick</t>
  </si>
  <si>
    <t>303005</t>
  </si>
  <si>
    <t>H00303005</t>
  </si>
  <si>
    <t>MSc in Supply Chain and Logistics Management - University of Warwick</t>
  </si>
  <si>
    <t>303006</t>
  </si>
  <si>
    <t>H00303006</t>
  </si>
  <si>
    <t>PG Dip in Supply Chain and Logistics Management - University of Warwick</t>
  </si>
  <si>
    <t>303007</t>
  </si>
  <si>
    <t>H00303007</t>
  </si>
  <si>
    <t>PG Cert in Supply Chain and Logistics Management - University of Warwick</t>
  </si>
  <si>
    <t>303008</t>
  </si>
  <si>
    <t>H00303008</t>
  </si>
  <si>
    <t>MSc in Healthcare Operations Management - University of Warwick</t>
  </si>
  <si>
    <t>303009</t>
  </si>
  <si>
    <t>H00303009</t>
  </si>
  <si>
    <t>PG Dip in Healthcare Operations Management - University of Warwick</t>
  </si>
  <si>
    <t>303010</t>
  </si>
  <si>
    <t>H00303010</t>
  </si>
  <si>
    <t>PG Cert in Healthcare Operations Management - University of Warwick</t>
  </si>
  <si>
    <t>303011</t>
  </si>
  <si>
    <t>H00303011</t>
  </si>
  <si>
    <t>BSc in Engineering  - University of Warwick</t>
  </si>
  <si>
    <t>303012</t>
  </si>
  <si>
    <t>H00303012</t>
  </si>
  <si>
    <t>DipHE in Engineering  - University of Warwick</t>
  </si>
  <si>
    <t>303013</t>
  </si>
  <si>
    <t>H00303013</t>
  </si>
  <si>
    <t>CertHE in Engineering  - University of Warwick</t>
  </si>
  <si>
    <t>303014</t>
  </si>
  <si>
    <t>H00303014</t>
  </si>
  <si>
    <t>BSc in Health and Well Being Science and Technology - University of Warwick</t>
  </si>
  <si>
    <t>303015</t>
  </si>
  <si>
    <t>H00303015</t>
  </si>
  <si>
    <t>DipHE in Health and Well Being Science and Technology - University of Warwick</t>
  </si>
  <si>
    <t>303016</t>
  </si>
  <si>
    <t>H00303016</t>
  </si>
  <si>
    <t>CertHE in Health and Well Being Science and Technology - University of Warwick</t>
  </si>
  <si>
    <t>303017</t>
  </si>
  <si>
    <t>H00303017</t>
  </si>
  <si>
    <t>BEng in Cyber Security Engineering - University of Warwick</t>
  </si>
  <si>
    <t>303018</t>
  </si>
  <si>
    <t>H00303018</t>
  </si>
  <si>
    <t>DipHE in Cyber Security Engineering - University of Warwick</t>
  </si>
  <si>
    <t>303019</t>
  </si>
  <si>
    <t>H00303019</t>
  </si>
  <si>
    <t>CertHE in Cyber Security Engineering - University of Warwick</t>
  </si>
  <si>
    <t>303020</t>
  </si>
  <si>
    <t>H00303020</t>
  </si>
  <si>
    <t>Foundation Degree in Sports Massage Practice - Burnley College</t>
  </si>
  <si>
    <t>303021</t>
  </si>
  <si>
    <t>H00303021</t>
  </si>
  <si>
    <t>BA (Hons) in Musical Theatre - Leeds City College</t>
  </si>
  <si>
    <t>303022</t>
  </si>
  <si>
    <t>H00303022</t>
  </si>
  <si>
    <t>BA (Hons) in Business and Management - University of East London</t>
  </si>
  <si>
    <t>303023</t>
  </si>
  <si>
    <t>H00303023</t>
  </si>
  <si>
    <t>FdSc in Animal Management -   TEC Partnership</t>
  </si>
  <si>
    <t>303024</t>
  </si>
  <si>
    <t>H00303024</t>
  </si>
  <si>
    <t>HNC in Mechanical Production Engineering - UCLAN - framework 540</t>
  </si>
  <si>
    <t>303025</t>
  </si>
  <si>
    <t>H00303025</t>
  </si>
  <si>
    <t>HNC in Electrical and Electronic Engineering - UCLAN - Framework 540</t>
  </si>
  <si>
    <t>303026</t>
  </si>
  <si>
    <t>H00303026</t>
  </si>
  <si>
    <t>HNC in Electrical and Electronic Engineering - UOPLY - Framework 540</t>
  </si>
  <si>
    <t>303027</t>
  </si>
  <si>
    <t>H00303027</t>
  </si>
  <si>
    <t>BSc (Hons) in Nursing (Adult) - University of Essex - Registered Nurse Degree Apprenticeship</t>
  </si>
  <si>
    <t>303028</t>
  </si>
  <si>
    <t>H00303028</t>
  </si>
  <si>
    <t>BSc (Hons) in Nursing (Mental Health) - University of Essex - Registered Nurse Degree Apprenticeship</t>
  </si>
  <si>
    <t>303029</t>
  </si>
  <si>
    <t>H00303029</t>
  </si>
  <si>
    <t>BA (Hons) in Management Practice - Middlesex University</t>
  </si>
  <si>
    <t>303030</t>
  </si>
  <si>
    <t>H00303030</t>
  </si>
  <si>
    <t>MA in Management in International Payments Ecosystem - Middlesex University - Senior Leaders Master's Degree Apprenticeship Standard</t>
  </si>
  <si>
    <t>303031</t>
  </si>
  <si>
    <t>H00303031</t>
  </si>
  <si>
    <t>Foundation Degree in Applied  Justice and Social Sciences - RNN Group</t>
  </si>
  <si>
    <t>303032</t>
  </si>
  <si>
    <t>H00303032</t>
  </si>
  <si>
    <t>BA in Business Enterprise - RNN Group</t>
  </si>
  <si>
    <t>303033</t>
  </si>
  <si>
    <t>H00303033</t>
  </si>
  <si>
    <t>BSc (Hons) in Medical Sciences (Foundation Year Entry) - Runshaw College</t>
  </si>
  <si>
    <t>303034</t>
  </si>
  <si>
    <t>H00303034</t>
  </si>
  <si>
    <t>BA (Hons) in Computer Games with 3d Modelling and Animation - Colchester Institute</t>
  </si>
  <si>
    <t>303035</t>
  </si>
  <si>
    <t>H00303035</t>
  </si>
  <si>
    <t>Executive Master of Business Administration (Part-Time) - Aston University</t>
  </si>
  <si>
    <t>303036</t>
  </si>
  <si>
    <t>H00303036</t>
  </si>
  <si>
    <t>BSc (Hons) in Professional Practice in Digital Technology Solutions (IT Consultant) - Sheffield Hallam University</t>
  </si>
  <si>
    <t>303037</t>
  </si>
  <si>
    <t>H00303037</t>
  </si>
  <si>
    <t>DipHE in Nursing Associate - University of Lincoln - Nursing Associate Standard</t>
  </si>
  <si>
    <t>303038</t>
  </si>
  <si>
    <t>H00303038</t>
  </si>
  <si>
    <t>PGCE in Education - Cornwall College</t>
  </si>
  <si>
    <t>303039</t>
  </si>
  <si>
    <t>H00303039</t>
  </si>
  <si>
    <t>FdSc in Health Care Practice - University of Hertfordshire - Nursing Associate Standard</t>
  </si>
  <si>
    <t>303040</t>
  </si>
  <si>
    <t>H00303040</t>
  </si>
  <si>
    <t>BSc (Hons) in Nursing - University of Hertfordshire - Registered Nurse Standard</t>
  </si>
  <si>
    <t>303041</t>
  </si>
  <si>
    <t>H00303041</t>
  </si>
  <si>
    <t>FdA Business Management (Leadership)</t>
  </si>
  <si>
    <t>303042</t>
  </si>
  <si>
    <t>H00303042</t>
  </si>
  <si>
    <t>FdA Business Management (Human Resource Management)</t>
  </si>
  <si>
    <t>303043</t>
  </si>
  <si>
    <t>H00303043</t>
  </si>
  <si>
    <t>FdA Business Management (Digital Marketing)</t>
  </si>
  <si>
    <t>303044</t>
  </si>
  <si>
    <t>H00303044</t>
  </si>
  <si>
    <t>FdA Business Management (Financial Management)</t>
  </si>
  <si>
    <t>303045</t>
  </si>
  <si>
    <t>H00303045</t>
  </si>
  <si>
    <t>303046</t>
  </si>
  <si>
    <t>H00303046</t>
  </si>
  <si>
    <t>303047</t>
  </si>
  <si>
    <t>H00303047</t>
  </si>
  <si>
    <t>BA (Hons) in Business Management (Digital Marketing)</t>
  </si>
  <si>
    <t>303048</t>
  </si>
  <si>
    <t>H00303048</t>
  </si>
  <si>
    <t>BA (Hons) in Business Management (Financial Management)</t>
  </si>
  <si>
    <t>303049</t>
  </si>
  <si>
    <t>H00303049</t>
  </si>
  <si>
    <t>BEng (Hons) in Civil Engineering - University of Greenwich - Civil Engineer Degree Apprenticeship</t>
  </si>
  <si>
    <t>303050</t>
  </si>
  <si>
    <t>H00303050</t>
  </si>
  <si>
    <t>Foundation Degree Science in Nursing Associate - Birmingham City University - Nursing Associate Standard</t>
  </si>
  <si>
    <t>303051</t>
  </si>
  <si>
    <t>H00303051</t>
  </si>
  <si>
    <t>MSc in Business and Organisational Strategy - University of Hertfordshire - Senior Leader Master's Degree Apprenticeship</t>
  </si>
  <si>
    <t>303052</t>
  </si>
  <si>
    <t>H00303052</t>
  </si>
  <si>
    <t>BSc (Hons) in Physiology and Pharmacology - Burnley College</t>
  </si>
  <si>
    <t>303053</t>
  </si>
  <si>
    <t>H00303053</t>
  </si>
  <si>
    <t>Masters Degree in Senior Leaders - Nottingham Trent University - Senior Leader Master's Degree Apprenticeship</t>
  </si>
  <si>
    <t>303054</t>
  </si>
  <si>
    <t>H00303054</t>
  </si>
  <si>
    <t>Postgraduate Diploma in Engineering Competence- University of Sheffield</t>
  </si>
  <si>
    <t>303055</t>
  </si>
  <si>
    <t>H00303055</t>
  </si>
  <si>
    <t>BEng (Hons) in Civil and Infrastructure Engineering - The University of Warwick</t>
  </si>
  <si>
    <t>303056</t>
  </si>
  <si>
    <t>H00303056</t>
  </si>
  <si>
    <t>BSc (Hons) in Nursing (Adult) Apprenticeship - Middlesex University - Registered Nurse Degree Standard</t>
  </si>
  <si>
    <t>303057</t>
  </si>
  <si>
    <t>H00303057</t>
  </si>
  <si>
    <t>BSc (Hons) in Professional Policing Practice Apprenticeship - Middlesex University - Police Constable Degree Standard</t>
  </si>
  <si>
    <t>303058</t>
  </si>
  <si>
    <t>H00303058</t>
  </si>
  <si>
    <t>PGCert in Teaching Secondary - Middlesex University - Teacher Degree Apprenticeship Standard</t>
  </si>
  <si>
    <t>303059</t>
  </si>
  <si>
    <t>H00303059</t>
  </si>
  <si>
    <t>BEng (Hons) in Embedded Electronic Systems Design and Development Engineer - University of Essex - Degree Standard Apprenticeship</t>
  </si>
  <si>
    <t>303060</t>
  </si>
  <si>
    <t>H00303060</t>
  </si>
  <si>
    <t>BA (Hons) in Acting for Touring Theatre - Barnsley College</t>
  </si>
  <si>
    <t>303061</t>
  </si>
  <si>
    <t>H00303061</t>
  </si>
  <si>
    <t>Master of Business Administration - Teesside University - Senior Leaders Master's Degree Apprenticeship</t>
  </si>
  <si>
    <t>303062</t>
  </si>
  <si>
    <t>H00303062</t>
  </si>
  <si>
    <t>Foundation Degree in Contemporary Textiles - Blackburn College</t>
  </si>
  <si>
    <t>303063</t>
  </si>
  <si>
    <t>H00303063</t>
  </si>
  <si>
    <t>Foundation Degree in Contemporary Fashion - Blackburn College</t>
  </si>
  <si>
    <t>303064</t>
  </si>
  <si>
    <t>H00303064</t>
  </si>
  <si>
    <t>Foundation Degree in Contemporary Design for Interiors - Blackburn College</t>
  </si>
  <si>
    <t>303065</t>
  </si>
  <si>
    <t>H00303065</t>
  </si>
  <si>
    <t>BA (Hons) in Contemporary Textiles (top up) - Blackburn College</t>
  </si>
  <si>
    <t>303066</t>
  </si>
  <si>
    <t>H00303066</t>
  </si>
  <si>
    <t>BA (Hons) in Contemporary Fashion (top up) - Blackburn College</t>
  </si>
  <si>
    <t>303067</t>
  </si>
  <si>
    <t>H00303067</t>
  </si>
  <si>
    <t>BA (Hons) in Contemporary Design for Interiors (top up) - Blackburn College</t>
  </si>
  <si>
    <t>303068</t>
  </si>
  <si>
    <t>H00303068</t>
  </si>
  <si>
    <t>Advanced Diploma in Managing the Customer Contact - University of Ulster</t>
  </si>
  <si>
    <t>303069</t>
  </si>
  <si>
    <t>H00303069</t>
  </si>
  <si>
    <t>BSc (Hons) in Managing the Customer Contact - University of Ulster</t>
  </si>
  <si>
    <t>303070</t>
  </si>
  <si>
    <t>H00303070</t>
  </si>
  <si>
    <t>BA (Hons) in Popular Music (Performance) - Barnsley College</t>
  </si>
  <si>
    <t>303071</t>
  </si>
  <si>
    <t>H00303071</t>
  </si>
  <si>
    <t>BA (Hons) in Popular Music (Production) - Barnsley College</t>
  </si>
  <si>
    <t>303072</t>
  </si>
  <si>
    <t>H00303072</t>
  </si>
  <si>
    <t>BSc (Hons) in Applied Business - University of Exeter - Chartered Manager Degree Apprenticeship</t>
  </si>
  <si>
    <t>303073</t>
  </si>
  <si>
    <t>H00303073</t>
  </si>
  <si>
    <t>MBA in Senior Leaders - University of Exeter - Senior Leader Master's Degree Apprenticeship</t>
  </si>
  <si>
    <t>303074</t>
  </si>
  <si>
    <t>H00303074</t>
  </si>
  <si>
    <t>HNC in Applied Biology - Wigan and Leigh College</t>
  </si>
  <si>
    <t>303075</t>
  </si>
  <si>
    <t>H00303075</t>
  </si>
  <si>
    <t>HND in Applied Biology - Wigan and Leigh College</t>
  </si>
  <si>
    <t>303076</t>
  </si>
  <si>
    <t>H00303076</t>
  </si>
  <si>
    <t>Foundation Degree in Performance and Education - Wigan and Leigh College</t>
  </si>
  <si>
    <t>303077</t>
  </si>
  <si>
    <t>H00303077</t>
  </si>
  <si>
    <t>Higher Apprenticeship Cert HE Cyber Security Technologist (Standard) Level 4 - The University of West London</t>
  </si>
  <si>
    <t>303078</t>
  </si>
  <si>
    <t>H00303078</t>
  </si>
  <si>
    <t>Higher Apprenticeship Cert HE Data Analyst (Standard) Level 4 - The University of West London</t>
  </si>
  <si>
    <t>303079</t>
  </si>
  <si>
    <t>H00303079</t>
  </si>
  <si>
    <t>Higher Apprenticeship FdSc Nursing Associate (Standard) Level 5 - The University of West London</t>
  </si>
  <si>
    <t>303080</t>
  </si>
  <si>
    <t>H00303080</t>
  </si>
  <si>
    <t>Degree Apprenticeship BA (Hons) Express Logistics Manager (Standard) Level 6 - The University of West London</t>
  </si>
  <si>
    <t>303081</t>
  </si>
  <si>
    <t>H00303081</t>
  </si>
  <si>
    <t>Masters in Professional Practice (Senior Leadership) - Lancaster University Management School - Senior Leader Master's Degree Apprenticeship</t>
  </si>
  <si>
    <t>303082</t>
  </si>
  <si>
    <t>H00303082</t>
  </si>
  <si>
    <t>BSc (Hons) in Nursing - University of Hull</t>
  </si>
  <si>
    <t>303083</t>
  </si>
  <si>
    <t>H00303083</t>
  </si>
  <si>
    <t>Executive Master of Business Administration - University of Hull</t>
  </si>
  <si>
    <t>303084</t>
  </si>
  <si>
    <t>H00303084</t>
  </si>
  <si>
    <t>Foundation Degree (Science) in Nursing Associate - Coventry University College - Nursing Associate Standard</t>
  </si>
  <si>
    <t>303085</t>
  </si>
  <si>
    <t>H00303085</t>
  </si>
  <si>
    <t>Bachelor of Arts in Applied Leadership and Management - Coventry University College - Chartered Manager Degree Apprenticeship</t>
  </si>
  <si>
    <t>303086</t>
  </si>
  <si>
    <t>H00303086</t>
  </si>
  <si>
    <t>DipHE in Nursing Associate - Middlesex University - Nursing Associate Apprenticeship Standard</t>
  </si>
  <si>
    <t>303087</t>
  </si>
  <si>
    <t>H00303087</t>
  </si>
  <si>
    <t>BSc (Hons) in Property and Real Estate - University of Salford - Chartered Surveyor Degree Apprenticeship Standard</t>
  </si>
  <si>
    <t>303088</t>
  </si>
  <si>
    <t>H00303088</t>
  </si>
  <si>
    <t>MSc in Sports Directorship (Degree Apprenticeship) - University of Salford - Senior leader Master's Degree Apprenticeship Standard</t>
  </si>
  <si>
    <t>303089</t>
  </si>
  <si>
    <t>H00303089</t>
  </si>
  <si>
    <t>MBa in Senior Leader - University of Wolverhampton - Senior Leader Masters Degree Apprenticeship Standard</t>
  </si>
  <si>
    <t>303090</t>
  </si>
  <si>
    <t>H00303090</t>
  </si>
  <si>
    <t>Masters in Business Administration - Sheffield Hallam University</t>
  </si>
  <si>
    <t>303091</t>
  </si>
  <si>
    <t>H00303091</t>
  </si>
  <si>
    <t>Masters in Business Administration (Facilities Management) - Sheffield Hallam University</t>
  </si>
  <si>
    <t>303092</t>
  </si>
  <si>
    <t>H00303092</t>
  </si>
  <si>
    <t>BSc in Professional Practice in Food Technology - Sheffield Hallam University</t>
  </si>
  <si>
    <t>303093</t>
  </si>
  <si>
    <t>H00303093</t>
  </si>
  <si>
    <t>MA Leadership in Practice - Sheffield Hallam University</t>
  </si>
  <si>
    <t>303094</t>
  </si>
  <si>
    <t>H00303094</t>
  </si>
  <si>
    <t>Foundation Degree in Criminology - Hull College</t>
  </si>
  <si>
    <t>303095</t>
  </si>
  <si>
    <t>H00303095</t>
  </si>
  <si>
    <t>BEng (Hons) in Non-Destructive Testing - University of Northampton</t>
  </si>
  <si>
    <t>303096</t>
  </si>
  <si>
    <t>H00303096</t>
  </si>
  <si>
    <t>BEng (Hons) in Chemical Engineering - University of Greenwich - Science Industry Process/Plant Engineer (Degree Apprenticeship)</t>
  </si>
  <si>
    <t>303097</t>
  </si>
  <si>
    <t>H00303097</t>
  </si>
  <si>
    <t>BSc (Hons) in Banking Practice and Management - West Suffolk College</t>
  </si>
  <si>
    <t>303098</t>
  </si>
  <si>
    <t>H00303098</t>
  </si>
  <si>
    <t>Foundation Degree (Science) Nursing Associate Embedded - Buckinghamshire New University -Nursing Associate Standard</t>
  </si>
  <si>
    <t>303099</t>
  </si>
  <si>
    <t>H00303099</t>
  </si>
  <si>
    <t>FdSc in Mechanical Design and Manufacture - Petroc</t>
  </si>
  <si>
    <t>303100</t>
  </si>
  <si>
    <t>H00303100</t>
  </si>
  <si>
    <t>303101</t>
  </si>
  <si>
    <t>H00303101</t>
  </si>
  <si>
    <t>BA (Hons) in Creative Make Up Design and Practice - Hugh Baird College</t>
  </si>
  <si>
    <t>303102</t>
  </si>
  <si>
    <t>H00303102</t>
  </si>
  <si>
    <t>BA (Hons) in Fashion and Textiles - Hugh Baird College</t>
  </si>
  <si>
    <t>303103</t>
  </si>
  <si>
    <t>H00303103</t>
  </si>
  <si>
    <t>BA (Hons) in Moving Image Production - Hugh Baird College</t>
  </si>
  <si>
    <t>303104</t>
  </si>
  <si>
    <t>H00303104</t>
  </si>
  <si>
    <t>FdA in Business and Management - Hugh Baird College</t>
  </si>
  <si>
    <t>303105</t>
  </si>
  <si>
    <t>H00303105</t>
  </si>
  <si>
    <t>FdA in Criminology - Hugh Baird College</t>
  </si>
  <si>
    <t>303106</t>
  </si>
  <si>
    <t>H00303106</t>
  </si>
  <si>
    <t>FdA in Event and Festival Management - Hugh Baird College</t>
  </si>
  <si>
    <t>303107</t>
  </si>
  <si>
    <t>H00303107</t>
  </si>
  <si>
    <t>FdA in Moving Image Production - Hugh Baird College</t>
  </si>
  <si>
    <t>303108</t>
  </si>
  <si>
    <t>H00303108</t>
  </si>
  <si>
    <t>BA (Hons) in Education Studies - Hugh Baird College</t>
  </si>
  <si>
    <t>303109</t>
  </si>
  <si>
    <t>H00303109</t>
  </si>
  <si>
    <t>BSc (Hons) in Nursing (Adult) - University of Leeds - Registered Nurse Standard</t>
  </si>
  <si>
    <t>303110</t>
  </si>
  <si>
    <t>H00303110</t>
  </si>
  <si>
    <t>FdA Youth Studies</t>
  </si>
  <si>
    <t>303111</t>
  </si>
  <si>
    <t>H00303111</t>
  </si>
  <si>
    <t>BA (Hons) Youth Studies</t>
  </si>
  <si>
    <t>303112</t>
  </si>
  <si>
    <t>H00303112</t>
  </si>
  <si>
    <t>FdA Health and Social Care</t>
  </si>
  <si>
    <t>303113</t>
  </si>
  <si>
    <t>H00303113</t>
  </si>
  <si>
    <t>BA (Hons) Health and Social Care</t>
  </si>
  <si>
    <t>303114</t>
  </si>
  <si>
    <t>H00303114</t>
  </si>
  <si>
    <t>BSc (Hons) in Civil Engineering - Anglia Ruskin University - Civil Engineer Degree Apprenticeship</t>
  </si>
  <si>
    <t>303115</t>
  </si>
  <si>
    <t>H00303115</t>
  </si>
  <si>
    <t>BSc (Hons) in Civil Engineering with Project Management - Anglia Ruskin University - Civil Engineer Degree Apprenticeship</t>
  </si>
  <si>
    <t>303116</t>
  </si>
  <si>
    <t>H00303116</t>
  </si>
  <si>
    <t>Foundation Degree in Air Transport Operations Management - East Surrey College</t>
  </si>
  <si>
    <t>303117</t>
  </si>
  <si>
    <t>H00303117</t>
  </si>
  <si>
    <t>Foundation Degree in Business Management - East Surrey College</t>
  </si>
  <si>
    <t>303118</t>
  </si>
  <si>
    <t>H00303118</t>
  </si>
  <si>
    <t>Foundation Degree in Early Years - East Surrey College</t>
  </si>
  <si>
    <t>303119</t>
  </si>
  <si>
    <t>H00303119</t>
  </si>
  <si>
    <t>Foundation Degree in Sound and Music Production - East Surrey College</t>
  </si>
  <si>
    <t>303120</t>
  </si>
  <si>
    <t>H00303120</t>
  </si>
  <si>
    <t>303121</t>
  </si>
  <si>
    <t>H00303121</t>
  </si>
  <si>
    <t>PGCert in Higher Education - Middlesex University - Academic Professional Apprenticeship Standard</t>
  </si>
  <si>
    <t>303122</t>
  </si>
  <si>
    <t>H00303122</t>
  </si>
  <si>
    <t>Foundation Degree in Nursing Associate - University of Huddersfield - Nursing Associate Standard</t>
  </si>
  <si>
    <t>303123</t>
  </si>
  <si>
    <t>H00303123</t>
  </si>
  <si>
    <t>FdEng in Electrical Power Systems and Infrastructure - University of Cumbria - Nuclear Technician standard</t>
  </si>
  <si>
    <t>303124</t>
  </si>
  <si>
    <t>H00303124</t>
  </si>
  <si>
    <t>FdSc in Decommissioning and Waste Management - University of Cumbria - Nuclear Technician standard</t>
  </si>
  <si>
    <t>303125</t>
  </si>
  <si>
    <t>H00303125</t>
  </si>
  <si>
    <t>BEng (Hons) in Electrical Engineering - University of Cumbria - Nuclear Scientist and Nuclear Engineer standard</t>
  </si>
  <si>
    <t>303126</t>
  </si>
  <si>
    <t>H00303126</t>
  </si>
  <si>
    <t>BEng (Hons) in Mechanical Engineering - University of Cumbria - Nuclear Scientist and Nuclear Engineer standard</t>
  </si>
  <si>
    <t>303127</t>
  </si>
  <si>
    <t>H00303127</t>
  </si>
  <si>
    <t>BSc (Hons) in Decommissioning and Waste Management - University of Cumbria - Nuclear Scientist and Nuclear Engineer standard</t>
  </si>
  <si>
    <t>303128</t>
  </si>
  <si>
    <t>H00303128</t>
  </si>
  <si>
    <t>Foundation Degree in Nursing Associate - University of Sheffield - Nursing Associate Standard</t>
  </si>
  <si>
    <t>303129</t>
  </si>
  <si>
    <t>H00303129</t>
  </si>
  <si>
    <t>BSc (Hons) in Computing (Year 3) - Hugh Baird College</t>
  </si>
  <si>
    <t>303130</t>
  </si>
  <si>
    <t>H00303130</t>
  </si>
  <si>
    <t>FdA in Hospitality Management - Hugh Baird college</t>
  </si>
  <si>
    <t>303131</t>
  </si>
  <si>
    <t>H00303131</t>
  </si>
  <si>
    <t>FdA in Interior and Spatial Design - Hugh Baird college</t>
  </si>
  <si>
    <t>303132</t>
  </si>
  <si>
    <t>H00303132</t>
  </si>
  <si>
    <t>BA (Hons) in English Literature - Burnley College</t>
  </si>
  <si>
    <t>303133</t>
  </si>
  <si>
    <t>H00303133</t>
  </si>
  <si>
    <t>BA (Hons) in Professional Practice in Management (Facilities Management) - Sheffield Hallam University</t>
  </si>
  <si>
    <t>303134</t>
  </si>
  <si>
    <t>H00303134</t>
  </si>
  <si>
    <t>BA (Hons) in Professional Practice in Management (Hospitality) - Sheffield Hallam University</t>
  </si>
  <si>
    <t>303135</t>
  </si>
  <si>
    <t>H00303135</t>
  </si>
  <si>
    <t>MEd in Educational Leadership - Captiva Learning Ltd</t>
  </si>
  <si>
    <t>303136</t>
  </si>
  <si>
    <t>H00303136</t>
  </si>
  <si>
    <t>Foundation Degree in Nursing Associate - University of Leeds - Nursing Associate Standard</t>
  </si>
  <si>
    <t>303137</t>
  </si>
  <si>
    <t>H00303137</t>
  </si>
  <si>
    <t>BSc (Hons) in Chartered Manager - University of Leeds - Chartered Manager Degree Apprenticeship</t>
  </si>
  <si>
    <t>303138</t>
  </si>
  <si>
    <t>H00303138</t>
  </si>
  <si>
    <t>FdSc in Nursing Associate - UCLAN - Nursing Associate Standard</t>
  </si>
  <si>
    <t>303139</t>
  </si>
  <si>
    <t>H00303139</t>
  </si>
  <si>
    <t>BEng (Hons) in Motorsports Engineering - UCLAN - Product Design and Development Engineer Degree Apprenticeship</t>
  </si>
  <si>
    <t>303140</t>
  </si>
  <si>
    <t>H00303140</t>
  </si>
  <si>
    <t>BEng (Hons) in Mechanical Engineering - UCLAN - Manufacturing Engineer Degree Apprenticeship</t>
  </si>
  <si>
    <t>303141</t>
  </si>
  <si>
    <t>H00303141</t>
  </si>
  <si>
    <t>BEng (Hons) in Electronic Engineering - UCLAN - Embedded Electronic Systems Design and Development Degree Apprenticeship</t>
  </si>
  <si>
    <t>303142</t>
  </si>
  <si>
    <t>H00303142</t>
  </si>
  <si>
    <t>BEng (Hons) in Computer Aided Engineering - UCLAN - Product Design and Development Engineer Degree Apprenticeship</t>
  </si>
  <si>
    <t>303143</t>
  </si>
  <si>
    <t>H00303143</t>
  </si>
  <si>
    <t>MSc in Supply Chain Leadership and Management - Aston University - Senior Leader Master's Degree Apprenticeship</t>
  </si>
  <si>
    <t>303144</t>
  </si>
  <si>
    <t>H00303144</t>
  </si>
  <si>
    <t>MSc in Engineering Leadership and Management -  Aston University - Senior Leader Master's Degree Apprenticeship</t>
  </si>
  <si>
    <t>303145</t>
  </si>
  <si>
    <t>H00303145</t>
  </si>
  <si>
    <t>Foundation Degree in Counselling Children and Young People - Riverside College</t>
  </si>
  <si>
    <t>303146</t>
  </si>
  <si>
    <t>H00303146</t>
  </si>
  <si>
    <t>BA (Hons) in Education (Top-Up) - Riverside College</t>
  </si>
  <si>
    <t>303147</t>
  </si>
  <si>
    <t>H00303147</t>
  </si>
  <si>
    <t>BSc (Hons) in Health and Social Care (Top-Up) - Riverside College</t>
  </si>
  <si>
    <t>303148</t>
  </si>
  <si>
    <t>H00303148</t>
  </si>
  <si>
    <t>MSc in Management Practice - Birkbeck, University of London - Senior Leader Master's Degree Apprenticeship Standard</t>
  </si>
  <si>
    <t>303149</t>
  </si>
  <si>
    <t>H00303149</t>
  </si>
  <si>
    <t>FdSc in Professional Practice in Health and Social Care (Fast Track) - The Manchester College (Trading name LTE Group)</t>
  </si>
  <si>
    <t>303150</t>
  </si>
  <si>
    <t>H00303150</t>
  </si>
  <si>
    <t>LLB (Hons in Embedded Legal Practice - University of Hertfordshire - Solicitor Standard</t>
  </si>
  <si>
    <t>303151</t>
  </si>
  <si>
    <t>H00303151</t>
  </si>
  <si>
    <t>BA (Hons) in Business Management -  University College Birmingham - Chartered Manager Degree Apprenticeship</t>
  </si>
  <si>
    <t>303152</t>
  </si>
  <si>
    <t>H00303152</t>
  </si>
  <si>
    <t>MA in Educational Studies - Doncaster College</t>
  </si>
  <si>
    <t>303153</t>
  </si>
  <si>
    <t>H00303153</t>
  </si>
  <si>
    <t>BA (Hons) in International Business Management (with Professional Golf) - Cornwall College</t>
  </si>
  <si>
    <t>303154</t>
  </si>
  <si>
    <t>H00303154</t>
  </si>
  <si>
    <t>FdA in Business Management (Lewisham Southwark College) - NCG</t>
  </si>
  <si>
    <t>303155</t>
  </si>
  <si>
    <t>H00303155</t>
  </si>
  <si>
    <t>FdA in Children and Young People (Lewisham Southwark College) - NCG</t>
  </si>
  <si>
    <t>303156</t>
  </si>
  <si>
    <t>H00303156</t>
  </si>
  <si>
    <t>FdSc in Cyber Security (Lewisham Southwark College) - NCG</t>
  </si>
  <si>
    <t>303157</t>
  </si>
  <si>
    <t>H00303157</t>
  </si>
  <si>
    <t>BA (Hons) in Creative Industries (Kidderminster College) - NCG</t>
  </si>
  <si>
    <t>303158</t>
  </si>
  <si>
    <t>H00303158</t>
  </si>
  <si>
    <t>FdA in Health and Social Care (Lewisham Southwark College) - NCG</t>
  </si>
  <si>
    <t>303159</t>
  </si>
  <si>
    <t>H00303159</t>
  </si>
  <si>
    <t>FdA in Tourism and Hospitality Management (Lewisham Southwark College) - NCG</t>
  </si>
  <si>
    <t>303160</t>
  </si>
  <si>
    <t>H00303160</t>
  </si>
  <si>
    <t>BA (Hons) in School Business Leadership -  University of Chester - Chartered Managers Degree Apprenticeship</t>
  </si>
  <si>
    <t>303161</t>
  </si>
  <si>
    <t>H00303161</t>
  </si>
  <si>
    <t>FdSc in Networking and Security Technologies (Lewisham Southward College) - NCG</t>
  </si>
  <si>
    <t>303162</t>
  </si>
  <si>
    <t>H00303162</t>
  </si>
  <si>
    <t>MA in Business Management (Lewisham Southward College) - NCG</t>
  </si>
  <si>
    <t>303163</t>
  </si>
  <si>
    <t>H00303163</t>
  </si>
  <si>
    <t>Master in Business Administration (MBA - Lewisham Southward College) - NCG</t>
  </si>
  <si>
    <t>303164</t>
  </si>
  <si>
    <t>H00303164</t>
  </si>
  <si>
    <t>BA (Hons) in Advanced Skin Techniques - Newcastle College</t>
  </si>
  <si>
    <t>303165</t>
  </si>
  <si>
    <t>H00303165</t>
  </si>
  <si>
    <t>BA (Hons) in Music Production - Newcastle College</t>
  </si>
  <si>
    <t>303166</t>
  </si>
  <si>
    <t>H00303166</t>
  </si>
  <si>
    <t>BA (Hons) in Animation - Newcastle College</t>
  </si>
  <si>
    <t>303167</t>
  </si>
  <si>
    <t>H00303167</t>
  </si>
  <si>
    <t>BA (Hons) in Illustration - Newcastle College</t>
  </si>
  <si>
    <t>303168</t>
  </si>
  <si>
    <t>H00303168</t>
  </si>
  <si>
    <t>BMus in Popular Music Performance - Newcastle College</t>
  </si>
  <si>
    <t>303169</t>
  </si>
  <si>
    <t>H00303169</t>
  </si>
  <si>
    <t>BA (Hons) in Tourism and Hospitality Management - Newcastle College</t>
  </si>
  <si>
    <t>303170</t>
  </si>
  <si>
    <t>H00303170</t>
  </si>
  <si>
    <t>FdA in Audio Visual Production - Newcastle College</t>
  </si>
  <si>
    <t>303171</t>
  </si>
  <si>
    <t>H00303171</t>
  </si>
  <si>
    <t>FdA in Aesthetic Practice and Spa Management - Newcastle College</t>
  </si>
  <si>
    <t>303172</t>
  </si>
  <si>
    <t>H00303172</t>
  </si>
  <si>
    <t>FdA in Culinary Arts - Newcastle College</t>
  </si>
  <si>
    <t>303173</t>
  </si>
  <si>
    <t>H00303173</t>
  </si>
  <si>
    <t>FdA in Interior and Spatial Design - Newcastle College</t>
  </si>
  <si>
    <t>303174</t>
  </si>
  <si>
    <t>H00303174</t>
  </si>
  <si>
    <t>FdA in Police and Criminal Justice Studies - Newcastle College</t>
  </si>
  <si>
    <t>303175</t>
  </si>
  <si>
    <t>H00303175</t>
  </si>
  <si>
    <t>FdSc in Network and Security Technologies - Newcastle College</t>
  </si>
  <si>
    <t>303176</t>
  </si>
  <si>
    <t>H00303176</t>
  </si>
  <si>
    <t>BA (Hons) in Applied Arts - South Gloucestershire and Stroud College</t>
  </si>
  <si>
    <t>303177</t>
  </si>
  <si>
    <t>H00303177</t>
  </si>
  <si>
    <t>BA (Hons) in Sport Business Management - Hartpury College</t>
  </si>
  <si>
    <t>303178</t>
  </si>
  <si>
    <t>H00303178</t>
  </si>
  <si>
    <t>BSc (Hons) in Sports Coaching - Hartpury College</t>
  </si>
  <si>
    <t>303179</t>
  </si>
  <si>
    <t>H00303179</t>
  </si>
  <si>
    <t>BSc (Hons) in Physical Education and School Sport - Hartpury College</t>
  </si>
  <si>
    <t>303180</t>
  </si>
  <si>
    <t>H00303180</t>
  </si>
  <si>
    <t>BSc (Hons) in Sports Performance - Hartpury College</t>
  </si>
  <si>
    <t>303181</t>
  </si>
  <si>
    <t>H00303181</t>
  </si>
  <si>
    <t>BSc (Hons) in Sports Therapy - Hartpury College</t>
  </si>
  <si>
    <t>303182</t>
  </si>
  <si>
    <t>H00303182</t>
  </si>
  <si>
    <t>BSc (Hons) in Sport and Exercise Science - Hartpury College</t>
  </si>
  <si>
    <t>303183</t>
  </si>
  <si>
    <t>H00303183</t>
  </si>
  <si>
    <t>BSc (Hons) in Sport and Exercise Nutrition - Hartpury College</t>
  </si>
  <si>
    <t>303184</t>
  </si>
  <si>
    <t>H00303184</t>
  </si>
  <si>
    <t>BSc (Hons) in Strength and Conditioning - Hartpury College</t>
  </si>
  <si>
    <t>303185</t>
  </si>
  <si>
    <t>H00303185</t>
  </si>
  <si>
    <t>BSc (Hons) in Sports Studies - Hartpury College</t>
  </si>
  <si>
    <t>303186</t>
  </si>
  <si>
    <t>H00303186</t>
  </si>
  <si>
    <t>FdA in Sports Business Management - Hartpury College</t>
  </si>
  <si>
    <t>303187</t>
  </si>
  <si>
    <t>H00303187</t>
  </si>
  <si>
    <t>FdSc in Sport Performance - Hartpury College</t>
  </si>
  <si>
    <t>303188</t>
  </si>
  <si>
    <t>H00303188</t>
  </si>
  <si>
    <t>FdSc in Sports Coaching - Hartpury College</t>
  </si>
  <si>
    <t>303189</t>
  </si>
  <si>
    <t>H00303189</t>
  </si>
  <si>
    <t>303190</t>
  </si>
  <si>
    <t>H00303190</t>
  </si>
  <si>
    <t>MSci in Sports Therapy (Equestrian) - Hartpury College</t>
  </si>
  <si>
    <t>303191</t>
  </si>
  <si>
    <t>H00303191</t>
  </si>
  <si>
    <t>MSc in Applied Strength and Conditioning - Hartpury College</t>
  </si>
  <si>
    <t>303192</t>
  </si>
  <si>
    <t>H00303192</t>
  </si>
  <si>
    <t>MSc in Coaching Science - Hartpury College</t>
  </si>
  <si>
    <t>303193</t>
  </si>
  <si>
    <t>H00303193</t>
  </si>
  <si>
    <t>MSc in Professional Development Coaching Science - Hartpury College</t>
  </si>
  <si>
    <t>303194</t>
  </si>
  <si>
    <t>H00303194</t>
  </si>
  <si>
    <t>PG Dip in Professional Development (Coaching Rugby Union) - Hartpury College</t>
  </si>
  <si>
    <t>303195</t>
  </si>
  <si>
    <t>H00303195</t>
  </si>
  <si>
    <t>PG Dip in Professional Development (Coaching Science) - Hartpury College</t>
  </si>
  <si>
    <t>303196</t>
  </si>
  <si>
    <t>H00303196</t>
  </si>
  <si>
    <t>PG Dip in Coaching Science - Hartpury College</t>
  </si>
  <si>
    <t>303197</t>
  </si>
  <si>
    <t>H00303197</t>
  </si>
  <si>
    <t>PGCert in Professional Development (Coaching Science) - Hartpury College</t>
  </si>
  <si>
    <t>303198</t>
  </si>
  <si>
    <t>H00303198</t>
  </si>
  <si>
    <t>PG Cert in Coaching Science - Hartpury College</t>
  </si>
  <si>
    <t>303199</t>
  </si>
  <si>
    <t>H00303199</t>
  </si>
  <si>
    <t>BSc (Hons) in Equine Veterinary Nursing Science - Hartpury College</t>
  </si>
  <si>
    <t>303200</t>
  </si>
  <si>
    <t>H00303200</t>
  </si>
  <si>
    <t>BSc (Hons) in Veterinary Nursing Science - Hartpury College</t>
  </si>
  <si>
    <t>303201</t>
  </si>
  <si>
    <t>H00303201</t>
  </si>
  <si>
    <t>Diploma in Professional Studies Veterinary Nursing - Hartpury College</t>
  </si>
  <si>
    <t>303202</t>
  </si>
  <si>
    <t>H00303202</t>
  </si>
  <si>
    <t>Diploma in Professional Studies Equine Veterinary Nursing - Hartpury College</t>
  </si>
  <si>
    <t>303203</t>
  </si>
  <si>
    <t>H00303203</t>
  </si>
  <si>
    <t>FdSc in Equine Veterinary Nursing Science - Hartpury College</t>
  </si>
  <si>
    <t>303204</t>
  </si>
  <si>
    <t>H00303204</t>
  </si>
  <si>
    <t>FdSc in Veterinary Nursing Science - Hartpury College</t>
  </si>
  <si>
    <t>303205</t>
  </si>
  <si>
    <t>H00303205</t>
  </si>
  <si>
    <t>BSc (Hons) in Agriculture Conservation and Sustainable Management - Hartpury College</t>
  </si>
  <si>
    <t>303206</t>
  </si>
  <si>
    <t>H00303206</t>
  </si>
  <si>
    <t>BSc (Hons) in Animal Behaviour and Welfare - Hartpury College</t>
  </si>
  <si>
    <t>303207</t>
  </si>
  <si>
    <t>H00303207</t>
  </si>
  <si>
    <t>BSc (Hons) in Animal Management - Hartpury College</t>
  </si>
  <si>
    <t>303208</t>
  </si>
  <si>
    <t>H00303208</t>
  </si>
  <si>
    <t>BSc (Hons) in Animal Science - Hartpury College</t>
  </si>
  <si>
    <t>303209</t>
  </si>
  <si>
    <t>H00303209</t>
  </si>
  <si>
    <t>BSc (Hons) in Applied Agriculture (and streams) - Hartpury College</t>
  </si>
  <si>
    <t>303210</t>
  </si>
  <si>
    <t>H00303210</t>
  </si>
  <si>
    <t>BSc (Hons) in Applied Animal Science and Therapy - Hartpury College</t>
  </si>
  <si>
    <t>303211</t>
  </si>
  <si>
    <t>H00303211</t>
  </si>
  <si>
    <t>BSc (Hons) in Applied Animal Science - Hartpury College</t>
  </si>
  <si>
    <t>303212</t>
  </si>
  <si>
    <t>H00303212</t>
  </si>
  <si>
    <t>BSc (Hons) in Bioveterinary Science - Hartpury College</t>
  </si>
  <si>
    <t>303213</t>
  </si>
  <si>
    <t>H00303213</t>
  </si>
  <si>
    <t>BSc (Hons) in Zoology - Hartpury College</t>
  </si>
  <si>
    <t>303214</t>
  </si>
  <si>
    <t>H00303214</t>
  </si>
  <si>
    <t>FdSc in Animal Behaviour and Welfare - Hartpury college</t>
  </si>
  <si>
    <t>303215</t>
  </si>
  <si>
    <t>H00303215</t>
  </si>
  <si>
    <t>FdSc in Animal Science and Management - Hartpury college</t>
  </si>
  <si>
    <t>303216</t>
  </si>
  <si>
    <t>H00303216</t>
  </si>
  <si>
    <t>MRes in Animal Behaviour and Welfare - Hartpury College</t>
  </si>
  <si>
    <t>303217</t>
  </si>
  <si>
    <t>H00303217</t>
  </si>
  <si>
    <t>MRes in Anthrozoology - Hartpury College</t>
  </si>
  <si>
    <t>303218</t>
  </si>
  <si>
    <t>H00303218</t>
  </si>
  <si>
    <t>Masters in Research - Hartpury College</t>
  </si>
  <si>
    <t>303219</t>
  </si>
  <si>
    <t>H00303219</t>
  </si>
  <si>
    <t>303220</t>
  </si>
  <si>
    <t>H00303220</t>
  </si>
  <si>
    <t>PG Cert in Applied Animal Welfare - Hartpury College</t>
  </si>
  <si>
    <t>303221</t>
  </si>
  <si>
    <t>H00303221</t>
  </si>
  <si>
    <t>PG Cert in Anthrozoology- Hartpury College</t>
  </si>
  <si>
    <t>303222</t>
  </si>
  <si>
    <t>H00303222</t>
  </si>
  <si>
    <t>PG Cert in Applied Anthrozoology- Hartpury College</t>
  </si>
  <si>
    <t>303223</t>
  </si>
  <si>
    <t>H00303223</t>
  </si>
  <si>
    <t>PG Cert in Animal Behaviour and Welfare - Hartpury College</t>
  </si>
  <si>
    <t>303224</t>
  </si>
  <si>
    <t>H00303224</t>
  </si>
  <si>
    <t>PG Cert in Research Methods - Hartpury College</t>
  </si>
  <si>
    <t>303225</t>
  </si>
  <si>
    <t>H00303225</t>
  </si>
  <si>
    <t>PG Dip in Animal Behaviour and Welfare - Hartpury College</t>
  </si>
  <si>
    <t>303226</t>
  </si>
  <si>
    <t>H00303226</t>
  </si>
  <si>
    <t>PG Dip in Anthrozoology - Hartpury College</t>
  </si>
  <si>
    <t>303227</t>
  </si>
  <si>
    <t>H00303227</t>
  </si>
  <si>
    <t>BA (Hons) in Equine Business Management - Hartpury College</t>
  </si>
  <si>
    <t>303228</t>
  </si>
  <si>
    <t>H00303228</t>
  </si>
  <si>
    <t>303229</t>
  </si>
  <si>
    <t>H00303229</t>
  </si>
  <si>
    <t>BSc (Hons) in Equestrian Sports Coaching - Hartpury College</t>
  </si>
  <si>
    <t>303230</t>
  </si>
  <si>
    <t>H00303230</t>
  </si>
  <si>
    <t>BSc (Hons) in Equestrian Sports Science - Hartpury College</t>
  </si>
  <si>
    <t>303231</t>
  </si>
  <si>
    <t>H00303231</t>
  </si>
  <si>
    <t>BSc (Hons) in Equine Management- Hartpury College</t>
  </si>
  <si>
    <t>303232</t>
  </si>
  <si>
    <t>H00303232</t>
  </si>
  <si>
    <t>BSc (Hons) in Equine Science - Hartpury College</t>
  </si>
  <si>
    <t>303233</t>
  </si>
  <si>
    <t>H00303233</t>
  </si>
  <si>
    <t>BSc (Hons) in Equine Science with Therapy - Hartpury College</t>
  </si>
  <si>
    <t>303234</t>
  </si>
  <si>
    <t>H00303234</t>
  </si>
  <si>
    <t>303235</t>
  </si>
  <si>
    <t>H00303235</t>
  </si>
  <si>
    <t>FdSc in Equine Performance - Hartpury College</t>
  </si>
  <si>
    <t>303236</t>
  </si>
  <si>
    <t>H00303236</t>
  </si>
  <si>
    <t>FdSc in Equine Science and Management - Hartpury College</t>
  </si>
  <si>
    <t>303237</t>
  </si>
  <si>
    <t>H00303237</t>
  </si>
  <si>
    <t>MRes in Equestrian Performance - Hartpury College</t>
  </si>
  <si>
    <t>303238</t>
  </si>
  <si>
    <t>H00303238</t>
  </si>
  <si>
    <t>MSci in Equine Science - Hartpury College</t>
  </si>
  <si>
    <t>303239</t>
  </si>
  <si>
    <t>H00303239</t>
  </si>
  <si>
    <t>MSc Veterinary Physiotherapy - Hartpury College</t>
  </si>
  <si>
    <t>303240</t>
  </si>
  <si>
    <t>H00303240</t>
  </si>
  <si>
    <t>MSc in Equine Science - Hartpury College</t>
  </si>
  <si>
    <t>303241</t>
  </si>
  <si>
    <t>H00303241</t>
  </si>
  <si>
    <t>PG Cert in Equestrian Performance and Rehabilitation - Hartpury College</t>
  </si>
  <si>
    <t>303242</t>
  </si>
  <si>
    <t>H00303242</t>
  </si>
  <si>
    <t>PG Cert in Equestrian Behaviour and Welfare - Hartpury College</t>
  </si>
  <si>
    <t>303243</t>
  </si>
  <si>
    <t>H00303243</t>
  </si>
  <si>
    <t>PG Cert in Equine Science - Hartpury College</t>
  </si>
  <si>
    <t>303244</t>
  </si>
  <si>
    <t>H00303244</t>
  </si>
  <si>
    <t>FdSc in Health and Social Care Practise (Nursing) - Southampton Solent University</t>
  </si>
  <si>
    <t>303245</t>
  </si>
  <si>
    <t>H00303245</t>
  </si>
  <si>
    <t>FdSc in Health and Social Care Practise (Health Care Sciences) - Southampton Solent University</t>
  </si>
  <si>
    <t>303246</t>
  </si>
  <si>
    <t>H00303246</t>
  </si>
  <si>
    <t>FdSc in Health and Social Care Practise (Allied Health) - Southampton Solent University</t>
  </si>
  <si>
    <t>303247</t>
  </si>
  <si>
    <t>H00303247</t>
  </si>
  <si>
    <t>FdSc in Health and Social Care Practise (Administration and Management) - Southampton Solent University</t>
  </si>
  <si>
    <t>303248</t>
  </si>
  <si>
    <t>H00303248</t>
  </si>
  <si>
    <t>BA (Hons) in Psychology in the Community - Doncaster College</t>
  </si>
  <si>
    <t>303249</t>
  </si>
  <si>
    <t>H00303249</t>
  </si>
  <si>
    <t>CertHE in Healthcare Practice - One Year - Newcastle College</t>
  </si>
  <si>
    <t>303250</t>
  </si>
  <si>
    <t>H00303250</t>
  </si>
  <si>
    <t>Postgraduate Certificate in Academic Practice - University of Northumbria at Newcastle- Academic Professional Degree Apprenticeship</t>
  </si>
  <si>
    <t>303251</t>
  </si>
  <si>
    <t>H00303251</t>
  </si>
  <si>
    <t>BSc (Hons) in Nursing Studies (Registered Nurse Adult)- University of Northumbria at Newcastle - Registered Nurse Degree Apprenticeship</t>
  </si>
  <si>
    <t>303252</t>
  </si>
  <si>
    <t>H00303252</t>
  </si>
  <si>
    <t>BSc (Hons) in Risk and Compliance - University of Northumbria at Newcastle - Senior Compliance/Risk Specialist Degree Apprenticeship</t>
  </si>
  <si>
    <t>303253</t>
  </si>
  <si>
    <t>H00303253</t>
  </si>
  <si>
    <t>Master of Business Administration- University of Northumbria at Newcastle - Senior Leaders Master's Degree Apprenticeship</t>
  </si>
  <si>
    <t>303254</t>
  </si>
  <si>
    <t>H00303254</t>
  </si>
  <si>
    <t>MSc in Strategic Leadership -University of Northumbria at Newcastle - Senior Leader Master's Degree Apprenticeship</t>
  </si>
  <si>
    <t>303255</t>
  </si>
  <si>
    <t>H00303255</t>
  </si>
  <si>
    <t>LLB (Hons) in legal Practice - University of Northumbria at Newcastle - Solicitor Degree Apprenticeship</t>
  </si>
  <si>
    <t>303256</t>
  </si>
  <si>
    <t>H00303256</t>
  </si>
  <si>
    <t>FdSc in Nursing Associate - University of Central Lancashire - Nursing Associate Degree Apprenticeship</t>
  </si>
  <si>
    <t>303257</t>
  </si>
  <si>
    <t>H00303257</t>
  </si>
  <si>
    <t>BEng (Hons) in Motorsports Engineering - University of Central Lancashire - Product Design and Development Engineer Degree Apprenticeship</t>
  </si>
  <si>
    <t>303258</t>
  </si>
  <si>
    <t>H00303258</t>
  </si>
  <si>
    <t>BEng (Hons) in Mechanical Engineering - University of Central Lancashire - Manufacturing Engineer Degree Apprenticeship</t>
  </si>
  <si>
    <t>303259</t>
  </si>
  <si>
    <t>H00303259</t>
  </si>
  <si>
    <t>BEng (Hons) in Electronic Engineering - University of Central Lancashire - Embedded Electronic Systems Design and Development Engineer Degree Apprenticeship</t>
  </si>
  <si>
    <t>303260</t>
  </si>
  <si>
    <t>H00303260</t>
  </si>
  <si>
    <t>BEng (Hons) in Computer Aided Engineering - University of Central Lancashire - Product Design and Development Engineer Degree Apprenticeship</t>
  </si>
  <si>
    <t>303261</t>
  </si>
  <si>
    <t>H00303261</t>
  </si>
  <si>
    <t>BA (Hons) in Digital Marketing - University of Central Lancashire - Digital Marketer Degree Apprenticeship</t>
  </si>
  <si>
    <t>303262</t>
  </si>
  <si>
    <t>H00303262</t>
  </si>
  <si>
    <t>BA (Hons) in Collaborative Theatre (Top Up) -NESCOT</t>
  </si>
  <si>
    <t>303263</t>
  </si>
  <si>
    <t>H00303263</t>
  </si>
  <si>
    <t>FdSc in Competition Motorcycle Technology - Myerscough College</t>
  </si>
  <si>
    <t>303264</t>
  </si>
  <si>
    <t>H00303264</t>
  </si>
  <si>
    <t>FdSc in Arboriculture and Tree Management - Myerscough College</t>
  </si>
  <si>
    <t>303265</t>
  </si>
  <si>
    <t>H00303265</t>
  </si>
  <si>
    <t>FdSc in Horticulture and Applied Plant Science - Myerscough College</t>
  </si>
  <si>
    <t>303266</t>
  </si>
  <si>
    <t>H00303266</t>
  </si>
  <si>
    <t>FdSc in Sportsturf Management - Myerscough College</t>
  </si>
  <si>
    <t>303267</t>
  </si>
  <si>
    <t>H00303267</t>
  </si>
  <si>
    <t>BSc (Hons) in Ecology and Sustainable Land Management - Myerscough College</t>
  </si>
  <si>
    <t>303268</t>
  </si>
  <si>
    <t>H00303268</t>
  </si>
  <si>
    <t>BSc (Hons) in Agronomy and Crop Science - Myerscough College</t>
  </si>
  <si>
    <t>303269</t>
  </si>
  <si>
    <t>H00303269</t>
  </si>
  <si>
    <t>BA (Hons) in Equine Management - Myerscough College</t>
  </si>
  <si>
    <t>303270</t>
  </si>
  <si>
    <t>H00303270</t>
  </si>
  <si>
    <t>FdSc in Equine Science and Management - Myerscough College</t>
  </si>
  <si>
    <t>303271</t>
  </si>
  <si>
    <t>H00303271</t>
  </si>
  <si>
    <t>FdSc in Animal Science and Welfare (Zoo Conservation Biology) - Myerscough College</t>
  </si>
  <si>
    <t>303272</t>
  </si>
  <si>
    <t>H00303272</t>
  </si>
  <si>
    <t>FdSc in Animal Science and Welfare (Healthcare Management) - Myerscough College</t>
  </si>
  <si>
    <t>303273</t>
  </si>
  <si>
    <t>H00303273</t>
  </si>
  <si>
    <t>FdSc in Canine Science and Welfare Studies - Myerscough College</t>
  </si>
  <si>
    <t>303274</t>
  </si>
  <si>
    <t>H00303274</t>
  </si>
  <si>
    <t>FdSc in Basketball Coaching and Performance - Myerscough College</t>
  </si>
  <si>
    <t>303275</t>
  </si>
  <si>
    <t>H00303275</t>
  </si>
  <si>
    <t>FdSc in Cricket Coaching and Performance - Myerscough College</t>
  </si>
  <si>
    <t>303276</t>
  </si>
  <si>
    <t>H00303276</t>
  </si>
  <si>
    <t>FdSc in Football Coaching and Performance - Myerscough College</t>
  </si>
  <si>
    <t>303277</t>
  </si>
  <si>
    <t>H00303277</t>
  </si>
  <si>
    <t>FdSc in Rugby Coaching and Performance - Myerscough College</t>
  </si>
  <si>
    <t>303278</t>
  </si>
  <si>
    <t>H00303278</t>
  </si>
  <si>
    <t>FdSc in Health and Social Care - Birmingham City University - Healthcare Assistant Practitioner Standard</t>
  </si>
  <si>
    <t>303279</t>
  </si>
  <si>
    <t>H00303279</t>
  </si>
  <si>
    <t>BEng (Hons) in Electrical and Electronic Engineering - Nelson and Colne College</t>
  </si>
  <si>
    <t>303280</t>
  </si>
  <si>
    <t>H00303280</t>
  </si>
  <si>
    <t>BEng (Hons) in Manufacturing Engineering - Nelson and Colne College</t>
  </si>
  <si>
    <t>303281</t>
  </si>
  <si>
    <t>H00303281</t>
  </si>
  <si>
    <t>FdA in Early Years - Nelson and Colne College</t>
  </si>
  <si>
    <t>303282</t>
  </si>
  <si>
    <t>H00303282</t>
  </si>
  <si>
    <t>FdA in Criminology and Criminal Justice - Nelson and Colne College</t>
  </si>
  <si>
    <t>303283</t>
  </si>
  <si>
    <t>H00303283</t>
  </si>
  <si>
    <t>FdA in Paralegal Services - Nelson and Colne College</t>
  </si>
  <si>
    <t>303284</t>
  </si>
  <si>
    <t>H00303284</t>
  </si>
  <si>
    <t>FdA in Teaching and Learning Support - Nelson and Colne College</t>
  </si>
  <si>
    <t>303285</t>
  </si>
  <si>
    <t>H00303285</t>
  </si>
  <si>
    <t>MSc  in Advanced Clinical Practitioner - University of Greenwich - Advanced Clinical Practitioner Degree Apprenticeship</t>
  </si>
  <si>
    <t>303286</t>
  </si>
  <si>
    <t>H00303286</t>
  </si>
  <si>
    <t>BA (Hons) in Business - Boston College</t>
  </si>
  <si>
    <t>303287</t>
  </si>
  <si>
    <t>H00303287</t>
  </si>
  <si>
    <t>FdSc in Sports Massage Practice - Myerscough College</t>
  </si>
  <si>
    <t>303288</t>
  </si>
  <si>
    <t>H00303288</t>
  </si>
  <si>
    <t>Foundation Degree in Working with Children and Families - Southport College</t>
  </si>
  <si>
    <t>303289</t>
  </si>
  <si>
    <t>H00303289</t>
  </si>
  <si>
    <t>BA (Hons) in Working with Children and Families - Southport College</t>
  </si>
  <si>
    <t>303290</t>
  </si>
  <si>
    <t>H00303290</t>
  </si>
  <si>
    <t>Postgraduate Certificate in Academic Practice - University of Exeter -  Academic Professional Degree Apprenticeship</t>
  </si>
  <si>
    <t>303291</t>
  </si>
  <si>
    <t>H00303291</t>
  </si>
  <si>
    <t>BA (Hons) in Acting (Creative Performance Practice) - Leicester College</t>
  </si>
  <si>
    <t>303292</t>
  </si>
  <si>
    <t>H00303292</t>
  </si>
  <si>
    <t>BA (Hons) in Musical Theatre - Newcastle College</t>
  </si>
  <si>
    <t>303293</t>
  </si>
  <si>
    <t>H00303293</t>
  </si>
  <si>
    <t>BA Hons) in Photography - UG - Newcastle College</t>
  </si>
  <si>
    <t>303294</t>
  </si>
  <si>
    <t>H00303294</t>
  </si>
  <si>
    <t>BSc (Hons) in Chemistry - University of Wolverhampton</t>
  </si>
  <si>
    <t>303295</t>
  </si>
  <si>
    <t>H00303295</t>
  </si>
  <si>
    <t>BSc in Professional Practice in Digital Technology (Business Analytics) - Middlesex University - Digital and Technology Solutions Professional (Degree) Apprenticeship Standard</t>
  </si>
  <si>
    <t>303296</t>
  </si>
  <si>
    <t>H00303296</t>
  </si>
  <si>
    <t>BSc in Professional Practice in Digital Technology (IT Consultancy) - Middlesex University - Digital and Technology Solutions Professional (Degree) Apprenticeship Standard</t>
  </si>
  <si>
    <t>303297</t>
  </si>
  <si>
    <t>H00303297</t>
  </si>
  <si>
    <t>BSc in Professional Practice in Digital Technology (Software Engineering) - Middlesex University - Digital and Technology Solutions Professional (Degree) Apprenticeship Standard</t>
  </si>
  <si>
    <t>303298</t>
  </si>
  <si>
    <t>H00303298</t>
  </si>
  <si>
    <t>BSc in Professional Practice in Digital Technology (Network Engineering) - Middlesex University - Digital and Technology Solutions Professional (Degree) Apprenticeship Standard</t>
  </si>
  <si>
    <t>303299</t>
  </si>
  <si>
    <t>H00303299</t>
  </si>
  <si>
    <t>BA (Hons) in Business and Management Practice (Wiltshire College) - Oxford Brookes University</t>
  </si>
  <si>
    <t>303300</t>
  </si>
  <si>
    <t>H00303300</t>
  </si>
  <si>
    <t>Foundation Degree in Health and Care - Oxford Brookes University</t>
  </si>
  <si>
    <t>303301</t>
  </si>
  <si>
    <t>H00303301</t>
  </si>
  <si>
    <t>BSc (Hons) in Real Estate Management - Oxford Brookes University</t>
  </si>
  <si>
    <t>303302</t>
  </si>
  <si>
    <t>H00303302</t>
  </si>
  <si>
    <t>MArchD in Architecture - Oxford Brookes University</t>
  </si>
  <si>
    <t>303303</t>
  </si>
  <si>
    <t>H00303303</t>
  </si>
  <si>
    <t>BA (Hons) in Landscape and Garden Design - Myerscough College</t>
  </si>
  <si>
    <t>303304</t>
  </si>
  <si>
    <t>H00303304</t>
  </si>
  <si>
    <t>BSc (Hons) in Landscape Architecture - Myerscough College</t>
  </si>
  <si>
    <t>303305</t>
  </si>
  <si>
    <t>H00303305</t>
  </si>
  <si>
    <t>PGCert in Higher Education (DA) - University of Portsmouth</t>
  </si>
  <si>
    <t>303306</t>
  </si>
  <si>
    <t>H00303306</t>
  </si>
  <si>
    <t>Foundation Degree in Arts and Health - Brunel University London</t>
  </si>
  <si>
    <t>303307</t>
  </si>
  <si>
    <t>H00303307</t>
  </si>
  <si>
    <t>BENG (Hons) Aerospace - University of Hertfordshire - Engineering degree apprenticeship</t>
  </si>
  <si>
    <t>303308</t>
  </si>
  <si>
    <t>H00303308</t>
  </si>
  <si>
    <t>BENG (Hons) Automotive - University of Hertfordshire  - Engineering degree apprenticeship</t>
  </si>
  <si>
    <t>303309</t>
  </si>
  <si>
    <t>H00303309</t>
  </si>
  <si>
    <t>BENG (Hons) Electronics - University of Hertfordshire - Engineering degree apprenticeship</t>
  </si>
  <si>
    <t>303310</t>
  </si>
  <si>
    <t>H00303310</t>
  </si>
  <si>
    <t>BENG (Hons) Manufacturing - University of Hertfordshire - Engineering degree apprenticeship</t>
  </si>
  <si>
    <t>303311</t>
  </si>
  <si>
    <t>H00303311</t>
  </si>
  <si>
    <t>BENG (Hons) Mechatronics - University of Hertfordshire - Engineering degree apprenticeship</t>
  </si>
  <si>
    <t>303312</t>
  </si>
  <si>
    <t>H00303312</t>
  </si>
  <si>
    <t>BENG (Hons) Mechanical- University of Hertfordshire - Engineering degree apprenticeship</t>
  </si>
  <si>
    <t>303313</t>
  </si>
  <si>
    <t>H00303313</t>
  </si>
  <si>
    <t>BSc (Hons) Sports Coaching and Performance Science</t>
  </si>
  <si>
    <t>303314</t>
  </si>
  <si>
    <t>H00303314</t>
  </si>
  <si>
    <t>BSc (Hons) Physical Activity, Health and Nutrition</t>
  </si>
  <si>
    <t>303315</t>
  </si>
  <si>
    <t>H00303315</t>
  </si>
  <si>
    <t>FdSc Sports Coaching and Performance Science</t>
  </si>
  <si>
    <t>303316</t>
  </si>
  <si>
    <t>H00303316</t>
  </si>
  <si>
    <t>FdSc Physical Activity, Health and Nutrition</t>
  </si>
  <si>
    <t>303317</t>
  </si>
  <si>
    <t>H00303317</t>
  </si>
  <si>
    <t>303319</t>
  </si>
  <si>
    <t>H00303319</t>
  </si>
  <si>
    <t>FdSc in Football Coaching and Youth Development - TEC Partnership</t>
  </si>
  <si>
    <t>303320</t>
  </si>
  <si>
    <t>H00303320</t>
  </si>
  <si>
    <t>FdSc in Professional Healthcare Studies -  TEC Partnership</t>
  </si>
  <si>
    <t>303321</t>
  </si>
  <si>
    <t>H00303321</t>
  </si>
  <si>
    <t>In-Service Certificate in Education (Lifelong Learning) - East Riding College</t>
  </si>
  <si>
    <t>303322</t>
  </si>
  <si>
    <t>H00303322</t>
  </si>
  <si>
    <t>In-Service Professional Graduate Certificate in Education (Lifelong Learning) - East Riding College</t>
  </si>
  <si>
    <t>303323</t>
  </si>
  <si>
    <t>H00303323</t>
  </si>
  <si>
    <t>In-Service Postgraduate Diploma in Education (Advanced PGCE in lifelong Learning)  East Riding College</t>
  </si>
  <si>
    <t>303324</t>
  </si>
  <si>
    <t>H00303324</t>
  </si>
  <si>
    <t>BA (Hons) in Public Service Management (Top Up) - East Riding College)</t>
  </si>
  <si>
    <t>303325</t>
  </si>
  <si>
    <t>H00303325</t>
  </si>
  <si>
    <t>Foundation Degree in Health and Social Care - Hull College</t>
  </si>
  <si>
    <t>303326</t>
  </si>
  <si>
    <t>H00303326</t>
  </si>
  <si>
    <t>Foundation Degree in Business and Management - Hull College</t>
  </si>
  <si>
    <t>303327</t>
  </si>
  <si>
    <t>H00303327</t>
  </si>
  <si>
    <t>Foundation Degree in Fashion and Textiles - Hull College</t>
  </si>
  <si>
    <t>303328</t>
  </si>
  <si>
    <t>H00303328</t>
  </si>
  <si>
    <t>Foundation Degree in Live Events Production - Hull College</t>
  </si>
  <si>
    <t>303329</t>
  </si>
  <si>
    <t>H00303329</t>
  </si>
  <si>
    <t>Foundation Degree in Graphic Design and Illustration - Hull College</t>
  </si>
  <si>
    <t>303330</t>
  </si>
  <si>
    <t>H00303330</t>
  </si>
  <si>
    <t>Foundation Degree in Popular Music Performance - Hull College</t>
  </si>
  <si>
    <t>303331</t>
  </si>
  <si>
    <t>H00303331</t>
  </si>
  <si>
    <t>Foundation Degree in Creative Music Production - Hull College</t>
  </si>
  <si>
    <t>303332</t>
  </si>
  <si>
    <t>H00303332</t>
  </si>
  <si>
    <t>Foundation Degree in Photography and Filmmaking - Hull College</t>
  </si>
  <si>
    <t>303333</t>
  </si>
  <si>
    <t>H00303333</t>
  </si>
  <si>
    <t>FdSc in Professional Practice in Health and Social Care - Sheffield Hallam University - Nursing Associate Standard</t>
  </si>
  <si>
    <t>303334</t>
  </si>
  <si>
    <t>H00303334</t>
  </si>
  <si>
    <t>FdSc in Sport Coaching - Chesterfield College</t>
  </si>
  <si>
    <t>303335</t>
  </si>
  <si>
    <t>H00303335</t>
  </si>
  <si>
    <t>Foundation Degree in Health and Social Care Practitioner - New College Stamford</t>
  </si>
  <si>
    <t>303336</t>
  </si>
  <si>
    <t>H00303336</t>
  </si>
  <si>
    <t>Professional Graduate Diploma in Education, Teaching and Skills - New College Stamford</t>
  </si>
  <si>
    <t>303337</t>
  </si>
  <si>
    <t>H00303337</t>
  </si>
  <si>
    <t>Certificate in Education - New College Stamford</t>
  </si>
  <si>
    <t>303338</t>
  </si>
  <si>
    <t>H00303338</t>
  </si>
  <si>
    <t>BSc (Hons) Chemical Science - The Manchester Metropolitan University - Laboratory Scientist Degree Apprenticeship</t>
  </si>
  <si>
    <t>303339</t>
  </si>
  <si>
    <t>H00303339</t>
  </si>
  <si>
    <t>BSc (Hons) Healthcare Science - The Manchester Metropolitan University - Healthcare Science Practitioner Degree Apprenticeship</t>
  </si>
  <si>
    <t>303340</t>
  </si>
  <si>
    <t>H00303340</t>
  </si>
  <si>
    <t>MSc Advanced Clinical Practice - The Manchester Metropolitan University - Advanced Clinical Practitioner Degree Apprenticeship</t>
  </si>
  <si>
    <t>303341</t>
  </si>
  <si>
    <t>H00303341</t>
  </si>
  <si>
    <t>BA (Hons) in Fashion (Textiles and Fashion) - Bedford College</t>
  </si>
  <si>
    <t>303342</t>
  </si>
  <si>
    <t>H00303342</t>
  </si>
  <si>
    <t>BA (Hons) in Fashion - Bedford College</t>
  </si>
  <si>
    <t>303343</t>
  </si>
  <si>
    <t>H00303343</t>
  </si>
  <si>
    <t>BA (Hons) in Photography (Top-Up) - Bedford College</t>
  </si>
  <si>
    <t>303344</t>
  </si>
  <si>
    <t>H00303344</t>
  </si>
  <si>
    <t>FdSc in Biological Laboratory Sciences - University Centre Weston</t>
  </si>
  <si>
    <t>303345</t>
  </si>
  <si>
    <t>H00303345</t>
  </si>
  <si>
    <t>BSc (Hons) in Chemistry - University of Bradford - Laboratory Scientist Degree Standard</t>
  </si>
  <si>
    <t>303346</t>
  </si>
  <si>
    <t>H00303346</t>
  </si>
  <si>
    <t>MSC in Senior Leaders (EMBA) - De Montfort University - Senior Leader Master's Degree Apprenticeship</t>
  </si>
  <si>
    <t>303347</t>
  </si>
  <si>
    <t>H00303347</t>
  </si>
  <si>
    <t>BSc (Hons) in Real Estate - University of Westminster - Chartered Surveyor Degree Apprenticeship</t>
  </si>
  <si>
    <t>303348</t>
  </si>
  <si>
    <t>H00303348</t>
  </si>
  <si>
    <t>BSc (Hons) in Building Surveying - University of Westminster - Chartered Surveyor Degree Apprenticeship</t>
  </si>
  <si>
    <t>303349</t>
  </si>
  <si>
    <t>H00303349</t>
  </si>
  <si>
    <t>BSc (Hons) in Quantity Surveying and Commercial Management - University of Westminster - Chartered Surveyor Degree Apprenticeship</t>
  </si>
  <si>
    <t>303350</t>
  </si>
  <si>
    <t>H00303350</t>
  </si>
  <si>
    <t>BSc (Hons) in Applied Biomedical Science - University of Westminster - Healthcare Science Practitioner Standard</t>
  </si>
  <si>
    <t>303351</t>
  </si>
  <si>
    <t>H00303351</t>
  </si>
  <si>
    <t>Masters in Business Administration - Loughborough University - Senior Leaders Master's Degree Apprenticeship</t>
  </si>
  <si>
    <t>303352</t>
  </si>
  <si>
    <t>H00303352</t>
  </si>
  <si>
    <t>MSc in Strategic Leadership - Loughborough University - Senior Leaders Master's Degree Apprenticeship</t>
  </si>
  <si>
    <t>303353</t>
  </si>
  <si>
    <t>H00303353</t>
  </si>
  <si>
    <t>BSc (Hons) in Professional Policing Practice - University of Central Lancashire - Police Constable Degree Apprenticeship</t>
  </si>
  <si>
    <t>303354</t>
  </si>
  <si>
    <t>H00303354</t>
  </si>
  <si>
    <t>FdSc in Sports Coaching, Education and Development - Lincoln College</t>
  </si>
  <si>
    <t>303355</t>
  </si>
  <si>
    <t>H00303355</t>
  </si>
  <si>
    <t>FdSc in Sports Therapy and Rehabilitation- Lincoln College</t>
  </si>
  <si>
    <t>303356</t>
  </si>
  <si>
    <t>H00303356</t>
  </si>
  <si>
    <t>FdA in Post-14 Education and Training - West Nottinghamshire College</t>
  </si>
  <si>
    <t>303357</t>
  </si>
  <si>
    <t>H00303357</t>
  </si>
  <si>
    <t>BA (Hons) in Architecture - University of Portsmouth - Architectural Assistant Degree Apprenticeship</t>
  </si>
  <si>
    <t>303358</t>
  </si>
  <si>
    <t>H00303358</t>
  </si>
  <si>
    <t>MArch Master of Architecture and Professional Practice - University of Portsmouth - Architect Degree Apprenticeship</t>
  </si>
  <si>
    <t>303359</t>
  </si>
  <si>
    <t>H00303359</t>
  </si>
  <si>
    <t>BA (Hons) in Social Science - Lincoln College</t>
  </si>
  <si>
    <t>303360</t>
  </si>
  <si>
    <t>H00303360</t>
  </si>
  <si>
    <t>BA (Hons) in Social Science (Criminology and Law) - Lincoln College</t>
  </si>
  <si>
    <t>303361</t>
  </si>
  <si>
    <t>H00303361</t>
  </si>
  <si>
    <t>BA (Hons) in Social Science (Blended learning - Newark) - Lincoln College</t>
  </si>
  <si>
    <t>303362</t>
  </si>
  <si>
    <t>H00303362</t>
  </si>
  <si>
    <t>Post Graduate Certificate in Academic Practice - Buckinghamshire New University - Academic Professional Standard</t>
  </si>
  <si>
    <t>303363</t>
  </si>
  <si>
    <t>H00303363</t>
  </si>
  <si>
    <t>Post Graduate Certificate in Research Practice - Buckinghamshire New University - Academic Professional Standard</t>
  </si>
  <si>
    <t>303364</t>
  </si>
  <si>
    <t>H00303364</t>
  </si>
  <si>
    <t>Masters Degree in Senior Leaders - Buckinghamshire New University - Senior Leaders Master's Degree Apprenticeship</t>
  </si>
  <si>
    <t>303365</t>
  </si>
  <si>
    <t>H00303365</t>
  </si>
  <si>
    <t>Professional Graduate Diploma in Education, Training and Skills - Lincoln College</t>
  </si>
  <si>
    <t>303366</t>
  </si>
  <si>
    <t>H00303366</t>
  </si>
  <si>
    <t>Certificate in Education, Training and Skills - Lincoln college</t>
  </si>
  <si>
    <t>303367</t>
  </si>
  <si>
    <t>H00303367</t>
  </si>
  <si>
    <t>PGDip in Engineering (DL) - University of Portsmouth - Postgraduate Engineer Standard</t>
  </si>
  <si>
    <t>303368</t>
  </si>
  <si>
    <t>H00303368</t>
  </si>
  <si>
    <t>303369</t>
  </si>
  <si>
    <t>H00303369</t>
  </si>
  <si>
    <t>303370</t>
  </si>
  <si>
    <t>H00303370</t>
  </si>
  <si>
    <t>BA (Hons) in Social Science (Blended Learning - Newark)- Lincoln College</t>
  </si>
  <si>
    <t>303371</t>
  </si>
  <si>
    <t>H00303371</t>
  </si>
  <si>
    <t>MSc in Management and Strategic Leadership - University of Sheffield</t>
  </si>
  <si>
    <t>303372</t>
  </si>
  <si>
    <t>H00303372</t>
  </si>
  <si>
    <t>BSc in Computer Science with Digital Technology Partnership - University of Birmingham - Digital and Technology Solutions Professional Standard</t>
  </si>
  <si>
    <t>303373</t>
  </si>
  <si>
    <t>H00303373</t>
  </si>
  <si>
    <t>MSc in Public Management and Leadership - University of Birmingham - Senior Leader Master's Degree Apprenticeship</t>
  </si>
  <si>
    <t>303374</t>
  </si>
  <si>
    <t>H00303374</t>
  </si>
  <si>
    <t>Foundation Degree in Construction Management - Hull College</t>
  </si>
  <si>
    <t>303375</t>
  </si>
  <si>
    <t>H00303375</t>
  </si>
  <si>
    <t>303376</t>
  </si>
  <si>
    <t>H00303376</t>
  </si>
  <si>
    <t>FdSc Marine Biology</t>
  </si>
  <si>
    <t>303377</t>
  </si>
  <si>
    <t>H00303377</t>
  </si>
  <si>
    <t>BSc (Hons) in Marine Biology</t>
  </si>
  <si>
    <t>303378</t>
  </si>
  <si>
    <t>H00303378</t>
  </si>
  <si>
    <t>Foundation Degree in Film and Screen Media - Leeds City College</t>
  </si>
  <si>
    <t>303379</t>
  </si>
  <si>
    <t>H00303379</t>
  </si>
  <si>
    <t>BA (Hons) in Film and Screen Media (Top-Up) - Leeds City College</t>
  </si>
  <si>
    <t>303380</t>
  </si>
  <si>
    <t>H00303380</t>
  </si>
  <si>
    <t>MBA in Senior Leaders - University of Kent- Senior Leaders Master's Degree Apprenticeship</t>
  </si>
  <si>
    <t>303381</t>
  </si>
  <si>
    <t>H00303381</t>
  </si>
  <si>
    <t>BSc (Hons) in Civil Engineering Site Manager - University of East London - Civil Engineering Site Management Degree Apprenticeship</t>
  </si>
  <si>
    <t>303382</t>
  </si>
  <si>
    <t>H00303382</t>
  </si>
  <si>
    <t>BEng (Hons) in Civil Engineering Site Manager - University of East London - Civil Engineering Site Management Degree Apprenticeship</t>
  </si>
  <si>
    <t>303383</t>
  </si>
  <si>
    <t>H00303383</t>
  </si>
  <si>
    <t>BSc (Hons) in Civil Engineering - University of East London - Civil Engineer Degree Apprenticeship</t>
  </si>
  <si>
    <t>303384</t>
  </si>
  <si>
    <t>H00303384</t>
  </si>
  <si>
    <t>BEng (Hons) in Civil Engineering - University of East London - Civil Engineer Degree Apprenticeship</t>
  </si>
  <si>
    <t>303385</t>
  </si>
  <si>
    <t>H00303385</t>
  </si>
  <si>
    <t>MBA in Executive Education Leadership - University of Salford - Senior Leader Master's Degree Apprenticeship</t>
  </si>
  <si>
    <t>303386</t>
  </si>
  <si>
    <t>H00303386</t>
  </si>
  <si>
    <t>MBA in Strategic Leadership - University of Salford - Senior Leader Master's Degree Apprenticeship</t>
  </si>
  <si>
    <t>303387</t>
  </si>
  <si>
    <t>H00303387</t>
  </si>
  <si>
    <t>BEng (Hons) in Civil Engineering - University of Salford - Civil Engineering Degree Apprenticeship</t>
  </si>
  <si>
    <t>303388</t>
  </si>
  <si>
    <t>H00303388</t>
  </si>
  <si>
    <t>FdSc in Community Health and Welfare - Leicester College</t>
  </si>
  <si>
    <t>303389</t>
  </si>
  <si>
    <t>H00303389</t>
  </si>
  <si>
    <t>MSc in Internal Audit Professional - Birmingham City University - Internal Audit Professional Standard</t>
  </si>
  <si>
    <t>303390</t>
  </si>
  <si>
    <t>H00303390</t>
  </si>
  <si>
    <t>FdSc in Health and Social Care - University of Northampton - Nursing Associate Standard</t>
  </si>
  <si>
    <t>303391</t>
  </si>
  <si>
    <t>H00303391</t>
  </si>
  <si>
    <t>MSc in Logistics and Supply Chain Management - Cranfield University</t>
  </si>
  <si>
    <t>303392</t>
  </si>
  <si>
    <t>H00303392</t>
  </si>
  <si>
    <t>MSc in Management and Leadership - Cranfield University</t>
  </si>
  <si>
    <t>303393</t>
  </si>
  <si>
    <t>H00303393</t>
  </si>
  <si>
    <t>BSc (Hons) in Adult Nursing - University of Sunderland - Registered Nurse Apprenticeship</t>
  </si>
  <si>
    <t>303394</t>
  </si>
  <si>
    <t>H00303394</t>
  </si>
  <si>
    <t>BSc (Hons) in Learning Disability Nursing - University of Sunderland - Registered Nurse Apprenticeship</t>
  </si>
  <si>
    <t>303395</t>
  </si>
  <si>
    <t>H00303395</t>
  </si>
  <si>
    <t>BSc (Hons) in Mental Health Nursing - University of Sunderland - Registered Nurse Apprenticeship</t>
  </si>
  <si>
    <t>303396</t>
  </si>
  <si>
    <t>H00303396</t>
  </si>
  <si>
    <t>BEng (Hons) in Building Services and Sustainable Engineering - University of Central Lancashire - Building Services Design Engineer Degree Apprenticeship</t>
  </si>
  <si>
    <t>303397</t>
  </si>
  <si>
    <t>H00303397</t>
  </si>
  <si>
    <t>BSc (Hons) in Nursing - University of Plymouth - Registered Nurse Apprenticeship</t>
  </si>
  <si>
    <t>303398</t>
  </si>
  <si>
    <t>H00303398</t>
  </si>
  <si>
    <t>FdSc in Nursing Associate - University of Plymouth - Nursing Associate Apprenticeship</t>
  </si>
  <si>
    <t>303399</t>
  </si>
  <si>
    <t>H00303399</t>
  </si>
  <si>
    <t>MSc in Advanced Clinical Practice - University of Plymouth - Advanced Clinical Practitioner Degree Apprenticeship</t>
  </si>
  <si>
    <t>303400</t>
  </si>
  <si>
    <t>H00303400</t>
  </si>
  <si>
    <t>MSc in Advanced Clinical Practice in Surgical Care - University of Plymouth - Advanced Clinical Practitioner Degree Apprenticeship</t>
  </si>
  <si>
    <t>303401</t>
  </si>
  <si>
    <t>H00303401</t>
  </si>
  <si>
    <t>MSc in Advanced Clinical Practice in Neonatal  - University of Plymouth - Advanced Clinical Practitioner Degree Apprenticeship</t>
  </si>
  <si>
    <t>303402</t>
  </si>
  <si>
    <t>H00303402</t>
  </si>
  <si>
    <t>FdSc in International Trade - University of Plymouth</t>
  </si>
  <si>
    <t>303403</t>
  </si>
  <si>
    <t>H00303403</t>
  </si>
  <si>
    <t>MSc in Advanced Clinical Practice in Critical Care  - University of Plymouth - Advanced Clinical Practitioner Degree Apprenticeship</t>
  </si>
  <si>
    <t>303404</t>
  </si>
  <si>
    <t>H00303404</t>
  </si>
  <si>
    <t>Postgraduate Certificate in Academic Practice - University of Plymouth - Academic Professional Apprenticeship</t>
  </si>
  <si>
    <t>303405</t>
  </si>
  <si>
    <t>H00303405</t>
  </si>
  <si>
    <t>BA (Hons) in Management - University of Northampton - Chartered Manager Degree Apprenticeship</t>
  </si>
  <si>
    <t>303406</t>
  </si>
  <si>
    <t>H00303406</t>
  </si>
  <si>
    <t>FdA in Leadership and Management - University of Northampton - Chartered Manager Degree Apprenticeship</t>
  </si>
  <si>
    <t>303407</t>
  </si>
  <si>
    <t>H00303407</t>
  </si>
  <si>
    <t>BSc (Hons) in Digital and Technology Solutions Professional - De Montfort University - Digital and Technology Solutions Professional Degree Apprenticeship</t>
  </si>
  <si>
    <t>303408</t>
  </si>
  <si>
    <t>H00303408</t>
  </si>
  <si>
    <t>BEng (Hons) in Embedded Electronics Systems Design and Development Engineer - De Montfort University - Embedded Electronic Systems Design and Development Engineer Degree Apprenticeship</t>
  </si>
  <si>
    <t>303409</t>
  </si>
  <si>
    <t>H00303409</t>
  </si>
  <si>
    <t>MBA in Senior Leader - University of Hertfordshire - Senior Leader Master's Degree Apprenticeship</t>
  </si>
  <si>
    <t>303410</t>
  </si>
  <si>
    <t>H00303410</t>
  </si>
  <si>
    <t>BEng in Civil Engineering - University of Hertfordshire - Civil Engineer Degree Apprenticeship</t>
  </si>
  <si>
    <t>303411</t>
  </si>
  <si>
    <t>H00303411</t>
  </si>
  <si>
    <t>BEng (Hons) in Building Services Engineering - London South Bank University - Building Services Design Engineer Degree Apprenticeship</t>
  </si>
  <si>
    <t>303412</t>
  </si>
  <si>
    <t>H00303412</t>
  </si>
  <si>
    <t>BEng (Hons) in Civil Engineering (Design) - London South Bank University - Civil Engineer Degree Apprenticeship</t>
  </si>
  <si>
    <t>303413</t>
  </si>
  <si>
    <t>H00303413</t>
  </si>
  <si>
    <t>BEng (Hons) in Building Services Engineering - London South Bank University - Building Services Engineering Site Management Degree Apprenticeship</t>
  </si>
  <si>
    <t>303414</t>
  </si>
  <si>
    <t>H00303414</t>
  </si>
  <si>
    <t>BSc (Hons) in Civil Engineering - London South Bank University - Civil Engineer Site Management Degree Apprenticeship</t>
  </si>
  <si>
    <t>303415</t>
  </si>
  <si>
    <t>H00303415</t>
  </si>
  <si>
    <t>HNC in Building Services Engineering - London South Bank University - Building Services Engineering Technician Standard</t>
  </si>
  <si>
    <t>303416</t>
  </si>
  <si>
    <t>H00303416</t>
  </si>
  <si>
    <t>HNC in Civil Engineering - London South Bank University - Construction Site Engineering Technician Standard</t>
  </si>
  <si>
    <t>303417</t>
  </si>
  <si>
    <t>H00303417</t>
  </si>
  <si>
    <t>BEng in Engineering - Warwickshire College</t>
  </si>
  <si>
    <t>303418</t>
  </si>
  <si>
    <t>H00303418</t>
  </si>
  <si>
    <t>Post Graduate in Final Examination in Professional Practice (Part 3) Architecture (DA) - University of Portsmouth</t>
  </si>
  <si>
    <t>303419</t>
  </si>
  <si>
    <t>H00303419</t>
  </si>
  <si>
    <t>BA (Hons) in Working in Integrated Services for Children and Young People (Top up) - North Warwickshire and South Leicestershire College</t>
  </si>
  <si>
    <t>303420</t>
  </si>
  <si>
    <t>H00303420</t>
  </si>
  <si>
    <t>FdA in Healthcare Play Specialism - North Warwickshire and South Leicestershire College</t>
  </si>
  <si>
    <t>303421</t>
  </si>
  <si>
    <t>H00303421</t>
  </si>
  <si>
    <t>BA (Hons) in Visual Media - North Warwickshire and South Leicestershire College</t>
  </si>
  <si>
    <t>303422</t>
  </si>
  <si>
    <t>H00303422</t>
  </si>
  <si>
    <t>BSc (Hons) in Creative Computing - North Warwickshire and South Leicestershire College</t>
  </si>
  <si>
    <t>303423</t>
  </si>
  <si>
    <t>H00303423</t>
  </si>
  <si>
    <t>FdA in Work with Communities and Young People - North Warwickshire and South Leicestershire College</t>
  </si>
  <si>
    <t>303424</t>
  </si>
  <si>
    <t>H00303424</t>
  </si>
  <si>
    <t>Professional Graduate Certificate in Education - Nottingham Trent University - Teacher Standard</t>
  </si>
  <si>
    <t>303425</t>
  </si>
  <si>
    <t>H00303425</t>
  </si>
  <si>
    <t>BA (Hons) in Photography (Top up) - Grimsby Institute</t>
  </si>
  <si>
    <t>303426</t>
  </si>
  <si>
    <t>H00303426</t>
  </si>
  <si>
    <t>BA (Hons) in Human Scale Prop Making - Grimsby Institute</t>
  </si>
  <si>
    <t>303427</t>
  </si>
  <si>
    <t>H00303427</t>
  </si>
  <si>
    <t>BA (Hons) in Business Management Professional - University of Huddersfield - Chartered Manager Degree Apprenticeship</t>
  </si>
  <si>
    <t>303428</t>
  </si>
  <si>
    <t>H00303428</t>
  </si>
  <si>
    <t>BA (Hons) in Business with Supply Chain Management Professional - University of Huddersfield - Chartered Manager Degree Apprenticeship</t>
  </si>
  <si>
    <t>303429</t>
  </si>
  <si>
    <t>H00303429</t>
  </si>
  <si>
    <t>BSc in Healthcare Science (Audiology) - Middlesex University - Healthcare Science Practitioner Apprenticeship Standard</t>
  </si>
  <si>
    <t>303430</t>
  </si>
  <si>
    <t>H00303430</t>
  </si>
  <si>
    <t>BSc in Healthcare Science (Cardiac Physiology) - Middlesex University - Healthcare Science Practitioner Apprenticeship Standard</t>
  </si>
  <si>
    <t>303431</t>
  </si>
  <si>
    <t>H00303431</t>
  </si>
  <si>
    <t>BSc in Healthcare Science (Neurophysiology) - Middlesex University - Healthcare Science Practitioner Apprenticeship Standard</t>
  </si>
  <si>
    <t>303432</t>
  </si>
  <si>
    <t>H00303432</t>
  </si>
  <si>
    <t>FdSc in Health Studies - University of East Anglia - Nursing Associate Apprenticeship</t>
  </si>
  <si>
    <t>303433</t>
  </si>
  <si>
    <t>H00303433</t>
  </si>
  <si>
    <t>MBA in Business Administration - University of Bradford</t>
  </si>
  <si>
    <t>303434</t>
  </si>
  <si>
    <t>H00303434</t>
  </si>
  <si>
    <t>Initial Teaching Training (Primary) - University of Wolverhampton - Teacher Apprenticeship Standard</t>
  </si>
  <si>
    <t>303435</t>
  </si>
  <si>
    <t>H00303435</t>
  </si>
  <si>
    <t>Initial Teaching Training (Secondary) - University of Wolverhampton - Teacher Apprenticeship Standard</t>
  </si>
  <si>
    <t>303436</t>
  </si>
  <si>
    <t>H00303436</t>
  </si>
  <si>
    <t>BEng (Hons) in Civil and Transportation Engineering - University of Wolverhampton - Civil Engineer Degree Apprenticeship</t>
  </si>
  <si>
    <t>303437</t>
  </si>
  <si>
    <t>H00303437</t>
  </si>
  <si>
    <t>BEng in Electrical, Electronic and Control Engineering with Nuclear - Bridgwater and Taunton College - Nuclear Scientist and Nuclear Engineer Degree Apprenticeship</t>
  </si>
  <si>
    <t>303438</t>
  </si>
  <si>
    <t>H00303438</t>
  </si>
  <si>
    <t>BEng in Mechanical Engineering with Nuclear - Bridgwater and Taunton College - Nuclear Scientist and Nuclear Engineer Degree Apprenticeship</t>
  </si>
  <si>
    <t>303439</t>
  </si>
  <si>
    <t>H00303439</t>
  </si>
  <si>
    <t>FdSc in Electromechanical Engineering (Nuclear) - Bridgwater and Taunton College - Nuclear Scientist and Nuclear Engineer Degree Apprenticeship</t>
  </si>
  <si>
    <t>303440</t>
  </si>
  <si>
    <t>H00303440</t>
  </si>
  <si>
    <t>Foundation Degree in Computer Games (Concept Art) - Leeds City College</t>
  </si>
  <si>
    <t>303441</t>
  </si>
  <si>
    <t>H00303441</t>
  </si>
  <si>
    <t>BA (Hons) in Computer Games (Top-up) - Leeds City College</t>
  </si>
  <si>
    <t>303442</t>
  </si>
  <si>
    <t>H00303442</t>
  </si>
  <si>
    <t>BA (Hons) in Management and Leadership - University of Gloucestershire - Chartered Manager Degree Apprenticeship</t>
  </si>
  <si>
    <t>303443</t>
  </si>
  <si>
    <t>H00303443</t>
  </si>
  <si>
    <t>MBA in Business Administration - University of Gloucestershire - Senior Leader Master's Degree Apprenticeship</t>
  </si>
  <si>
    <t>303444</t>
  </si>
  <si>
    <t>H00303444</t>
  </si>
  <si>
    <t>BSc (Hons) in Quantity Surveying Consultancy - Kingston University - Chartered Surveyor Degree Apprenticeship</t>
  </si>
  <si>
    <t>303445</t>
  </si>
  <si>
    <t>H00303445</t>
  </si>
  <si>
    <t>BSc (Hons) in Building Surveying  - Kingston University - Chartered Surveyor Degree Apprenticeship</t>
  </si>
  <si>
    <t>303446</t>
  </si>
  <si>
    <t>H00303446</t>
  </si>
  <si>
    <t>MSc in Advanced Clinical Practise - Oxford Brookes University</t>
  </si>
  <si>
    <t>303447</t>
  </si>
  <si>
    <t>H00303447</t>
  </si>
  <si>
    <t>MBA in Business Administration - University of the West of England, Bristol (UWE, BRISTOL)</t>
  </si>
  <si>
    <t>303448</t>
  </si>
  <si>
    <t>H00303448</t>
  </si>
  <si>
    <t>BSc (Hons) Healthcare Science (Medical Physics)  - University of the West of England, Bristol (UWE, BRISTOL)</t>
  </si>
  <si>
    <t>303449</t>
  </si>
  <si>
    <t>H00303449</t>
  </si>
  <si>
    <t>MSc in Health and Care System Leadership - University of Birmingham - Senior Leader Master's Degree Apprenticeship</t>
  </si>
  <si>
    <t>303450</t>
  </si>
  <si>
    <t>H00303450</t>
  </si>
  <si>
    <t>MBA Executive -  University of Birmingham - Senior Leader Master's Degree Apprenticeship</t>
  </si>
  <si>
    <t>303451</t>
  </si>
  <si>
    <t>H00303451</t>
  </si>
  <si>
    <t>BSc in Clinical Herbalism - Lincoln College</t>
  </si>
  <si>
    <t>303452</t>
  </si>
  <si>
    <t>H00303452</t>
  </si>
  <si>
    <t>BSc in Acupuncture - Lincoln College</t>
  </si>
  <si>
    <t>303453</t>
  </si>
  <si>
    <t>H00303453</t>
  </si>
  <si>
    <t>BA (Hons) in Fine Art Practice - Barnsley College</t>
  </si>
  <si>
    <t>303454</t>
  </si>
  <si>
    <t>H00303454</t>
  </si>
  <si>
    <t>BA (Hons) in Fine Art Practice (Top up) - Barnsley College</t>
  </si>
  <si>
    <t>303455</t>
  </si>
  <si>
    <t>H00303455</t>
  </si>
  <si>
    <t>Foundation Degree in Motorsport Engineering - Wiltshire College</t>
  </si>
  <si>
    <t>303456</t>
  </si>
  <si>
    <t>H00303456</t>
  </si>
  <si>
    <t>Foundation Degree in Computing - Wiltshire College</t>
  </si>
  <si>
    <t>303457</t>
  </si>
  <si>
    <t>H00303457</t>
  </si>
  <si>
    <t>Foundation Degree in Early Years - Wiltshire College</t>
  </si>
  <si>
    <t>303458</t>
  </si>
  <si>
    <t>H00303458</t>
  </si>
  <si>
    <t>BA (Hons) in Professional Practice: Early Childhood Studies (Top-Up) - Barnsley College</t>
  </si>
  <si>
    <t>303459</t>
  </si>
  <si>
    <t>H00303459</t>
  </si>
  <si>
    <t>BA (Hons) in Physical Education and Health and Exercise (Top-Up) - Barnsley College</t>
  </si>
  <si>
    <t>303460</t>
  </si>
  <si>
    <t>H00303460</t>
  </si>
  <si>
    <t>Foundation Degree in Supporting Children and Families in Communities - Barnsley College</t>
  </si>
  <si>
    <t>303461</t>
  </si>
  <si>
    <t>H00303461</t>
  </si>
  <si>
    <t>Foundation Degree in Supporting Education Behaviour and Additional Needs - Barnsley College</t>
  </si>
  <si>
    <t>303462</t>
  </si>
  <si>
    <t>H00303462</t>
  </si>
  <si>
    <t>Foundation Degree in Supporting Early Years - Barnsley College</t>
  </si>
  <si>
    <t>303463</t>
  </si>
  <si>
    <t>H00303463</t>
  </si>
  <si>
    <t>Foundation Degree in Coaching, Physical Education and Sports Development - Barnsley College</t>
  </si>
  <si>
    <t>303464</t>
  </si>
  <si>
    <t>H00303464</t>
  </si>
  <si>
    <t>Foundation Degree in Physical Activity, Health and Exercise - Barnsley College</t>
  </si>
  <si>
    <t>303465</t>
  </si>
  <si>
    <t>H00303465</t>
  </si>
  <si>
    <t>Initial Teacher Training - University College Birmingham - Teacher Apprenticeship Standard</t>
  </si>
  <si>
    <t>303466</t>
  </si>
  <si>
    <t>H00303466</t>
  </si>
  <si>
    <t>BA (Hons) in Youth, Childhood and Community Studies - Middlesbrough College</t>
  </si>
  <si>
    <t>303467</t>
  </si>
  <si>
    <t>H00303467</t>
  </si>
  <si>
    <t>BSc (Hons) in Health, Wellbeing and Social Care - Middlesbrough College</t>
  </si>
  <si>
    <t>303468</t>
  </si>
  <si>
    <t>H00303468</t>
  </si>
  <si>
    <t>CertHE in Health, Wellbeing and Social Care - Middlesbrough College</t>
  </si>
  <si>
    <t>303469</t>
  </si>
  <si>
    <t>H00303469</t>
  </si>
  <si>
    <t>Fd in Airport and Airline Management - Middlesbrough College</t>
  </si>
  <si>
    <t>303470</t>
  </si>
  <si>
    <t>H00303470</t>
  </si>
  <si>
    <t>Fd in Travel and Tourism - Middlesbrough College</t>
  </si>
  <si>
    <t>303471</t>
  </si>
  <si>
    <t>H00303471</t>
  </si>
  <si>
    <t>Fd in Games Design - Middlesbrough College</t>
  </si>
  <si>
    <t>303472</t>
  </si>
  <si>
    <t>H00303472</t>
  </si>
  <si>
    <t>Fd in Computing - Middlesbrough College</t>
  </si>
  <si>
    <t>303473</t>
  </si>
  <si>
    <t>H00303473</t>
  </si>
  <si>
    <t>Fd in Social and Public Sector Studies - Middlesbrough College</t>
  </si>
  <si>
    <t>303474</t>
  </si>
  <si>
    <t>H00303474</t>
  </si>
  <si>
    <t>Fd in Early Childhood Practice - Middlesbrough College</t>
  </si>
  <si>
    <t>303475</t>
  </si>
  <si>
    <t>H00303475</t>
  </si>
  <si>
    <t>Fd in Youth, Childhood and Community Studies - Middlesbrough College</t>
  </si>
  <si>
    <t>303476</t>
  </si>
  <si>
    <t>H00303476</t>
  </si>
  <si>
    <t>Fd in Strength and Conditioning - Middlesbrough College</t>
  </si>
  <si>
    <t>303477</t>
  </si>
  <si>
    <t>H00303477</t>
  </si>
  <si>
    <t>Fd in Sports Therapy with Rehabilitation - Middlesbrough College</t>
  </si>
  <si>
    <t>303478</t>
  </si>
  <si>
    <t>H00303478</t>
  </si>
  <si>
    <t>Fd in Outdoor Adventure Education and Leadership - Middlesbrough College</t>
  </si>
  <si>
    <t>303479</t>
  </si>
  <si>
    <t>H00303479</t>
  </si>
  <si>
    <t>Fd in Health, Wellbeing and Social Care - Middlesbrough College</t>
  </si>
  <si>
    <t>303480</t>
  </si>
  <si>
    <t>H00303480</t>
  </si>
  <si>
    <t>CertEd in Education and Training - Middlesbrough College</t>
  </si>
  <si>
    <t>303481</t>
  </si>
  <si>
    <t>H00303481</t>
  </si>
  <si>
    <t>PgCE in Education and Training - Middlesbrough College</t>
  </si>
  <si>
    <t>303482</t>
  </si>
  <si>
    <t>H00303482</t>
  </si>
  <si>
    <t>BA (Hons) in Outdoor Adventure Education and Leadership - Middlesbrough College</t>
  </si>
  <si>
    <t>303483</t>
  </si>
  <si>
    <t>H00303483</t>
  </si>
  <si>
    <t>BSc (Hons) in Sports Therapy with Rehabilitation - Middlesbrough College</t>
  </si>
  <si>
    <t>303484</t>
  </si>
  <si>
    <t>H00303484</t>
  </si>
  <si>
    <t>BSc (Hons) in Strength and Conditioning - Middlesbrough College</t>
  </si>
  <si>
    <t>303485</t>
  </si>
  <si>
    <t>H00303485</t>
  </si>
  <si>
    <t>BSc (Hons) in Estate Development and Management - Middlesbrough College</t>
  </si>
  <si>
    <t>303486</t>
  </si>
  <si>
    <t>H00303486</t>
  </si>
  <si>
    <t>BEng (Hons) in Engineering (Electrical/Electronic Engineering) - Middlesbrough College</t>
  </si>
  <si>
    <t>303487</t>
  </si>
  <si>
    <t>H00303487</t>
  </si>
  <si>
    <t>BEng (Hons) in Engineering (Manufacturing Engineering) - Middlesbrough College</t>
  </si>
  <si>
    <t>303488</t>
  </si>
  <si>
    <t>H00303488</t>
  </si>
  <si>
    <t>BEng (Hons) in Engineering (Mechanical Engineering) - Middlesbrough College</t>
  </si>
  <si>
    <t>303489</t>
  </si>
  <si>
    <t>H00303489</t>
  </si>
  <si>
    <t>BEng (Hons) in Engineering (Operations Engineering) - Middlesbrough College</t>
  </si>
  <si>
    <t>303490</t>
  </si>
  <si>
    <t>H00303490</t>
  </si>
  <si>
    <t>BSc (Hons) in Audiovisual Technology - Middlesbrough College</t>
  </si>
  <si>
    <t>303491</t>
  </si>
  <si>
    <t>H00303491</t>
  </si>
  <si>
    <t>BSc (Hons) in Sound and Music Technology - Middlesbrough College</t>
  </si>
  <si>
    <t>303492</t>
  </si>
  <si>
    <t>H00303492</t>
  </si>
  <si>
    <t>BA (Hons) in Early Childhood Professional Studies - Middlesbrough College</t>
  </si>
  <si>
    <t>303493</t>
  </si>
  <si>
    <t>H00303493</t>
  </si>
  <si>
    <t>BA (Hons) in Social and Public Sector Development - Middlesbrough College</t>
  </si>
  <si>
    <t>303494</t>
  </si>
  <si>
    <t>H00303494</t>
  </si>
  <si>
    <t>BSc (Hons) in Computing - Middlesbrough College</t>
  </si>
  <si>
    <t>303495</t>
  </si>
  <si>
    <t>H00303495</t>
  </si>
  <si>
    <t>BA (Hons) in Business and Human Resource Management (Top-Up) - Middlesbrough College</t>
  </si>
  <si>
    <t>303496</t>
  </si>
  <si>
    <t>H00303496</t>
  </si>
  <si>
    <t>BA (Hons) in Business and Marketing (Top-Up) - Middlesbrough College</t>
  </si>
  <si>
    <t>303497</t>
  </si>
  <si>
    <t>H00303497</t>
  </si>
  <si>
    <t>FD in Business - Middlesbrough College</t>
  </si>
  <si>
    <t>303498</t>
  </si>
  <si>
    <t>H00303498</t>
  </si>
  <si>
    <t>BA (Hons) in Hospitality Management (Top-Up) - Middlesbrough College</t>
  </si>
  <si>
    <t>303499</t>
  </si>
  <si>
    <t>H00303499</t>
  </si>
  <si>
    <t>FD in Hospitality Management - Middlesbrough College</t>
  </si>
  <si>
    <t>303500</t>
  </si>
  <si>
    <t>H00303500</t>
  </si>
  <si>
    <t>FD in Culinary Arts Management  - Middlesbrough College</t>
  </si>
  <si>
    <t>303501</t>
  </si>
  <si>
    <t>H00303501</t>
  </si>
  <si>
    <t>BA (Hons) in Business Management - New College Durham</t>
  </si>
  <si>
    <t>303502</t>
  </si>
  <si>
    <t>H00303502</t>
  </si>
  <si>
    <t>MA (Hons) in Human Resource Management - New College Durham</t>
  </si>
  <si>
    <t>303503</t>
  </si>
  <si>
    <t>H00303503</t>
  </si>
  <si>
    <t>MA (Hons) in Strategic Leadership and Management - New College Durham</t>
  </si>
  <si>
    <t>303504</t>
  </si>
  <si>
    <t>H00303504</t>
  </si>
  <si>
    <t>BSc Hons) in Health and Social Care (Top-Up) - New College Durham</t>
  </si>
  <si>
    <t>303505</t>
  </si>
  <si>
    <t>H00303505</t>
  </si>
  <si>
    <t>FdA in Visual Arts - New College Durham</t>
  </si>
  <si>
    <t>303506</t>
  </si>
  <si>
    <t>H00303506</t>
  </si>
  <si>
    <t>FdA in Graphic Design - New College Durham</t>
  </si>
  <si>
    <t>303507</t>
  </si>
  <si>
    <t>H00303507</t>
  </si>
  <si>
    <t>BA (Hons) in Performing Arts (Top-Up) - Grimsby Institute</t>
  </si>
  <si>
    <t>303508</t>
  </si>
  <si>
    <t>H00303508</t>
  </si>
  <si>
    <t>BSc (Hons) in Health and social Care (Top-Up) - Grimsby Institute</t>
  </si>
  <si>
    <t>303509</t>
  </si>
  <si>
    <t>H00303509</t>
  </si>
  <si>
    <t>BA (Hons) in TV Production (Top-Up) - Grimsby Institute</t>
  </si>
  <si>
    <t>303510</t>
  </si>
  <si>
    <t>H00303510</t>
  </si>
  <si>
    <t>BSc (Hons) in Biological Science - York St John University - Laboratory Scientist Degree Apprenticeship</t>
  </si>
  <si>
    <t>303511</t>
  </si>
  <si>
    <t>H00303511</t>
  </si>
  <si>
    <t>Executive Master of Business Administration - York St John University - Senior Leader Master's Degree Apprenticeship</t>
  </si>
  <si>
    <t>303512</t>
  </si>
  <si>
    <t>H00303512</t>
  </si>
  <si>
    <t>Foundation Degree in Zoo Management - Reaseheath College</t>
  </si>
  <si>
    <t>303513</t>
  </si>
  <si>
    <t>H00303513</t>
  </si>
  <si>
    <t>Foundation Degree in Animal Management (Behaviour and Welfare) - Reaseheath College</t>
  </si>
  <si>
    <t>303514</t>
  </si>
  <si>
    <t>H00303514</t>
  </si>
  <si>
    <t>BSc (Hons) in Zoo Management (Top Up) - Reaseheath College</t>
  </si>
  <si>
    <t>303515</t>
  </si>
  <si>
    <t>H00303515</t>
  </si>
  <si>
    <t>BSc (Hons) in Animal Management (Top Up) - Reaseheath College</t>
  </si>
  <si>
    <t>303516</t>
  </si>
  <si>
    <t>H00303516</t>
  </si>
  <si>
    <t>BSc (Hons) in Wildlife Conservation and Ecology - Reaseheath College</t>
  </si>
  <si>
    <t>303517</t>
  </si>
  <si>
    <t>H00303517</t>
  </si>
  <si>
    <t>BSc (Hons) in Wildlife Conservation and Ecology (Foundation Year) - Reaseheath College</t>
  </si>
  <si>
    <t>303518</t>
  </si>
  <si>
    <t>H00303518</t>
  </si>
  <si>
    <t>BSc (Hons) in Canine Clinical Behaviour (Top Up) - Reaseheath College</t>
  </si>
  <si>
    <t>303519</t>
  </si>
  <si>
    <t>H00303519</t>
  </si>
  <si>
    <t>BSc (Hons) in Equine Science and Sports Performance - Reaseheath College</t>
  </si>
  <si>
    <t>303520</t>
  </si>
  <si>
    <t>H00303520</t>
  </si>
  <si>
    <t>Foundation Degree in Bakery and Patisserie Technology - Reaseheath College</t>
  </si>
  <si>
    <t>303521</t>
  </si>
  <si>
    <t>H00303521</t>
  </si>
  <si>
    <t>Foundation Degree in Food Manufacturing with Business Management - Reaseheath College</t>
  </si>
  <si>
    <t>303522</t>
  </si>
  <si>
    <t>H00303522</t>
  </si>
  <si>
    <t>BSc (Hons) in Food Manufacturing with Operations Management (Top Up) - Reaseheath College</t>
  </si>
  <si>
    <t>303523</t>
  </si>
  <si>
    <t>H00303523</t>
  </si>
  <si>
    <t>Certificate of Education in Teaching in the Learning and Skills Sector - Reaseheath College</t>
  </si>
  <si>
    <t>303524</t>
  </si>
  <si>
    <t>H00303524</t>
  </si>
  <si>
    <t>BEng (Hons) in Mechanical Engineering - University of Chichester - Manufacturing Engineer Degree Apprenticeship</t>
  </si>
  <si>
    <t>303525</t>
  </si>
  <si>
    <t>H00303525</t>
  </si>
  <si>
    <t>BEng (Hons) in Electrical and Electronic Engineering - University of Chichester - Electrical/Electronic Technical Support Engineer Degree Apprenticeship</t>
  </si>
  <si>
    <t>303526</t>
  </si>
  <si>
    <t>H00303526</t>
  </si>
  <si>
    <t>Professional Graduate Certificate in Education - University of Chichester - Teacher Standard</t>
  </si>
  <si>
    <t>303527</t>
  </si>
  <si>
    <t>H00303527</t>
  </si>
  <si>
    <t>Master of Business Administration - University of Chichester - Senior Leader Master's Degree Apprenticeship</t>
  </si>
  <si>
    <t>303528</t>
  </si>
  <si>
    <t>H00303528</t>
  </si>
  <si>
    <t>Executive Master in Leadership and Management - Ashridge (Bonar Law Memorial) Trust - Senior Leader Master's Degree Apprenticeship</t>
  </si>
  <si>
    <t>303530</t>
  </si>
  <si>
    <t>H00303530</t>
  </si>
  <si>
    <t>Initial Teacher Training - University of East London - Teacher Apprenticeship Standard</t>
  </si>
  <si>
    <t>303531</t>
  </si>
  <si>
    <t>H00303531</t>
  </si>
  <si>
    <t>FdA in Children's Learning and Development - Doncaster College</t>
  </si>
  <si>
    <t>303533</t>
  </si>
  <si>
    <t>H00303533</t>
  </si>
  <si>
    <t>BA (Hons) Police Constable - De Montfort University - Police Constable Degree Apprenticeship</t>
  </si>
  <si>
    <t>303534</t>
  </si>
  <si>
    <t>H00303534</t>
  </si>
  <si>
    <t>Postgraduate Architect (RIBA Part 2 and 3) - De Montfort University - Architect Degree Apprenticeship</t>
  </si>
  <si>
    <t>303535</t>
  </si>
  <si>
    <t>H00303535</t>
  </si>
  <si>
    <t>BA (Hons) in Contemporary Relational Counselling - Doncaster College</t>
  </si>
  <si>
    <t>303536</t>
  </si>
  <si>
    <t>H00303536</t>
  </si>
  <si>
    <t>MSc in Contemporary Psychosexual Therapy - DN College's Group</t>
  </si>
  <si>
    <t>303537</t>
  </si>
  <si>
    <t>H00303537</t>
  </si>
  <si>
    <t>PG Dip in Contemporary Psychosexual Therapy - DN College's Group</t>
  </si>
  <si>
    <t>303538</t>
  </si>
  <si>
    <t>H00303538</t>
  </si>
  <si>
    <t>PG Cert in Contemporary Psychosexual Therapy - DN College's Group</t>
  </si>
  <si>
    <t>303539</t>
  </si>
  <si>
    <t>H00303539</t>
  </si>
  <si>
    <t>MSc in Retail and Digital Banking - Cranfield University</t>
  </si>
  <si>
    <t>303540</t>
  </si>
  <si>
    <t>H00303540</t>
  </si>
  <si>
    <t>PgDip in Retail and Digital Banking - Cranfield University</t>
  </si>
  <si>
    <t>303541</t>
  </si>
  <si>
    <t>H00303541</t>
  </si>
  <si>
    <t>Masters in Public Administration (DL) - University of Portsmouth - Senior Leader Master's Degree Apprenticeship</t>
  </si>
  <si>
    <t>303542</t>
  </si>
  <si>
    <t>H00303542</t>
  </si>
  <si>
    <t>MSc in Educational Leadership and Management (DL) - University of Portsmouth - Senior Leader Master's Degree Apprenticeship</t>
  </si>
  <si>
    <t>303543</t>
  </si>
  <si>
    <t>H00303543</t>
  </si>
  <si>
    <t>BEng (Hons) in Civil Engineering - University of Portsmouth - Civil Engineer Degree Apprenticeship</t>
  </si>
  <si>
    <t>303544</t>
  </si>
  <si>
    <t>H00303544</t>
  </si>
  <si>
    <t>BSc (Hons) in Real Estate - University Of Portsmouth - Chartered Surveyor Degree Apprenticeship</t>
  </si>
  <si>
    <t>303545</t>
  </si>
  <si>
    <t>H00303545</t>
  </si>
  <si>
    <t>BA (Hons) in Creative Practitioner - Wigan and Leigh College</t>
  </si>
  <si>
    <t>303546</t>
  </si>
  <si>
    <t>H00303546</t>
  </si>
  <si>
    <t>BSc in Healthcare Science Practice (Blood Science) - University of Sunderland</t>
  </si>
  <si>
    <t>303547</t>
  </si>
  <si>
    <t>H00303547</t>
  </si>
  <si>
    <t>BSc in Healthcare Science Practice (Infection Science) - University of Sunderland</t>
  </si>
  <si>
    <t>303548</t>
  </si>
  <si>
    <t>H00303548</t>
  </si>
  <si>
    <t>BSc in Healthcare Science Practice (Cellular Science) - University of Sunderland</t>
  </si>
  <si>
    <t>303549</t>
  </si>
  <si>
    <t>H00303549</t>
  </si>
  <si>
    <t>BSc in Healthcare Science Practice (Genetic Science) - University of Sunderland</t>
  </si>
  <si>
    <t>303550</t>
  </si>
  <si>
    <t>H00303550</t>
  </si>
  <si>
    <t>BSc in Healthcare Science Practice (Cardiac Physiology) - University of Sunderland</t>
  </si>
  <si>
    <t>303551</t>
  </si>
  <si>
    <t>H00303551</t>
  </si>
  <si>
    <t>BSc in Healthcare Science Practice (Audiology) - University of Sunderland</t>
  </si>
  <si>
    <t>303552</t>
  </si>
  <si>
    <t>H00303552</t>
  </si>
  <si>
    <t>Foundation Degree in Nursing Associate - Keele University</t>
  </si>
  <si>
    <t>303553</t>
  </si>
  <si>
    <t>H00303553</t>
  </si>
  <si>
    <t>BA (Hons) in Creative Practice (Top up) - Hull College</t>
  </si>
  <si>
    <t>303554</t>
  </si>
  <si>
    <t>H00303554</t>
  </si>
  <si>
    <t>BSc (Hons) in Nursing with Registered Nurse Status (Mental Health) - Liverpool John Moores University - Registered Nurse Degree Apprenticeship</t>
  </si>
  <si>
    <t>303555</t>
  </si>
  <si>
    <t>H00303555</t>
  </si>
  <si>
    <t>FdSc in Nursing Associate - Liverpool John Moores University - Nursing Associate Standard</t>
  </si>
  <si>
    <t>303556</t>
  </si>
  <si>
    <t>H00303556</t>
  </si>
  <si>
    <t>MSc in Senior Leader - University of Leeds - Senior Leader Master's Degree Apprenticeship</t>
  </si>
  <si>
    <t>303557</t>
  </si>
  <si>
    <t>H00303557</t>
  </si>
  <si>
    <t>MSc in Advanced Clinical Practice - University of Nottingham - Advanced Clinical Practitioner Degree Apprenticeship</t>
  </si>
  <si>
    <t>303558</t>
  </si>
  <si>
    <t>H00303558</t>
  </si>
  <si>
    <t>BA (Hons) in Criminology - Grimsby Institute</t>
  </si>
  <si>
    <t>303559</t>
  </si>
  <si>
    <t>H00303559</t>
  </si>
  <si>
    <t>Master of Business Administration - University of Huddersfield - Senior Leader Master's Degree Apprenticeship</t>
  </si>
  <si>
    <t>303560</t>
  </si>
  <si>
    <t>H00303560</t>
  </si>
  <si>
    <t>BNurs (Hons) in Registered Nurse (Adult Nursing) - University of Wolverhampton - Registered Nurse Degree Apprenticeship</t>
  </si>
  <si>
    <t>303561</t>
  </si>
  <si>
    <t>H00303561</t>
  </si>
  <si>
    <t>BNurs (Hons) in Registered Nurse (Children's Nursing) - University of Wolverhampton - Registered Nurse Degree Apprenticeship</t>
  </si>
  <si>
    <t>303562</t>
  </si>
  <si>
    <t>H00303562</t>
  </si>
  <si>
    <t>BNurs (Hons) in Registered Nurse (Learning Disability Nursing) - University of Wolverhampton - Registered Nurse Degree Apprenticeship</t>
  </si>
  <si>
    <t>303563</t>
  </si>
  <si>
    <t>H00303563</t>
  </si>
  <si>
    <t>BNurs (Hons) in Registered Nurse (Mental Health Nursing) - University of Wolverhampton - Registered Nurse Degree Apprenticeship</t>
  </si>
  <si>
    <t>303564</t>
  </si>
  <si>
    <t>H00303564</t>
  </si>
  <si>
    <t>BEng (Hons) in Integrated Engineering - University of Lincoln - Control/Technical Support, Electrical/Electronic Technical Support and Manufacturing Engineer Degree Apprenticeships</t>
  </si>
  <si>
    <t>303565</t>
  </si>
  <si>
    <t>H00303565</t>
  </si>
  <si>
    <t>BEng (Hons) in Civil Engineering - University of Exeter</t>
  </si>
  <si>
    <t>303566</t>
  </si>
  <si>
    <t>H00303566</t>
  </si>
  <si>
    <t>FdA in Early Childhood Studies - SGS College</t>
  </si>
  <si>
    <t>303567</t>
  </si>
  <si>
    <t>H00303567</t>
  </si>
  <si>
    <t>Foundation Degree in Education and Training - Preston College</t>
  </si>
  <si>
    <t>303568</t>
  </si>
  <si>
    <t>H00303568</t>
  </si>
  <si>
    <t>BEng (Hons) Chemical Engineering - University of Chester - Science Industry Process/Plant Engineer (Degree) Standard</t>
  </si>
  <si>
    <t>303569</t>
  </si>
  <si>
    <t>H00303569</t>
  </si>
  <si>
    <t>BA (Hons) in Dance Performance, Teaching and Choreography - Preston College</t>
  </si>
  <si>
    <t>303570</t>
  </si>
  <si>
    <t>H00303570</t>
  </si>
  <si>
    <t>FdSc in Health and Social Care (Assistant Practitioner) - UCLAN - Healthcare Assistant Practitioner Apprenticeship Standard</t>
  </si>
  <si>
    <t>303571</t>
  </si>
  <si>
    <t>H00303571</t>
  </si>
  <si>
    <t>Foundation Degree in Leadership - Cardinal Newman College</t>
  </si>
  <si>
    <t>303572</t>
  </si>
  <si>
    <t>H00303572</t>
  </si>
  <si>
    <t>Diploma of Higher Education in Professional Practice in Leadership and Management for Residential Care - Leeds Trinity University - Children, Young People and Families Manager Apprenticeship</t>
  </si>
  <si>
    <t>303573</t>
  </si>
  <si>
    <t>H00303573</t>
  </si>
  <si>
    <t>Diploma of Higher Education in Professional Practice in Leadership for Health and Social Care - Leeds Trinity University - Children, Young People and Families Manager Apprenticeship</t>
  </si>
  <si>
    <t>303574</t>
  </si>
  <si>
    <t>H00303574</t>
  </si>
  <si>
    <t>BSc (Hons) in Applied Animal Behaviour and Welfare (Top-up) - Plumpton College</t>
  </si>
  <si>
    <t>303575</t>
  </si>
  <si>
    <t>H00303575</t>
  </si>
  <si>
    <t>FdSc in Applied Animal Behaviour and Conservation - Plumpton College</t>
  </si>
  <si>
    <t>303576</t>
  </si>
  <si>
    <t>H00303576</t>
  </si>
  <si>
    <t>FdSc in Equine Science and Coaching - Plumpton College</t>
  </si>
  <si>
    <t>303577</t>
  </si>
  <si>
    <t>H00303577</t>
  </si>
  <si>
    <t>BA (Hons) in International Wine Business - Plumpton College</t>
  </si>
  <si>
    <t>303578</t>
  </si>
  <si>
    <t>H00303578</t>
  </si>
  <si>
    <t>BSc (Hons) in Viticulture and Oenology - Plumpton College</t>
  </si>
  <si>
    <t>303579</t>
  </si>
  <si>
    <t>H00303579</t>
  </si>
  <si>
    <t>FdA in Wine Business - Plumpton College</t>
  </si>
  <si>
    <t>303580</t>
  </si>
  <si>
    <t>H00303580</t>
  </si>
  <si>
    <t>FdSc in Wine Production - Plumpton College</t>
  </si>
  <si>
    <t>303581</t>
  </si>
  <si>
    <t>H00303581</t>
  </si>
  <si>
    <t>MSc in Viticulture and Oenology - Plumpton College</t>
  </si>
  <si>
    <t>303582</t>
  </si>
  <si>
    <t>H00303582</t>
  </si>
  <si>
    <t>BA (Hons) in Working with Children in Early Years in Education (Top-up) - Cardinal Newman College</t>
  </si>
  <si>
    <t>303583</t>
  </si>
  <si>
    <t>H00303583</t>
  </si>
  <si>
    <t>BA (Hons) in Architectural Assistant - London South Bank University - Architectural Assistant Degree Standard</t>
  </si>
  <si>
    <t>303584</t>
  </si>
  <si>
    <t>H00303584</t>
  </si>
  <si>
    <t>March in Master of Architecture - London south Bank University - Architect Degree Standard</t>
  </si>
  <si>
    <t>303585</t>
  </si>
  <si>
    <t>H00303585</t>
  </si>
  <si>
    <t>BEng (Hons) in Civil Engineering - Nottingham Trent University</t>
  </si>
  <si>
    <t>303586</t>
  </si>
  <si>
    <t>H00303586</t>
  </si>
  <si>
    <t>BSc (Hons) in Applied Biomedical Science - Nottingham Trent University</t>
  </si>
  <si>
    <t>303587</t>
  </si>
  <si>
    <t>H00303587</t>
  </si>
  <si>
    <t>Degree Apprenticeship BEng (Hons) Civil Engineering (Standard) Level 6 - The University of West London</t>
  </si>
  <si>
    <t>303588</t>
  </si>
  <si>
    <t>H00303588</t>
  </si>
  <si>
    <t>Apprenticeship PGCert Academic Practice (Standard) Level 7 - The University of West London</t>
  </si>
  <si>
    <t>303589</t>
  </si>
  <si>
    <t>H00303589</t>
  </si>
  <si>
    <t>Foundation Degree in Fine Art - Hull College</t>
  </si>
  <si>
    <t>303590</t>
  </si>
  <si>
    <t>H00303590</t>
  </si>
  <si>
    <t>BSc (Hons) in Applied Biomedical Sciences - University of Brighton - Healthcare Science Practitioner Degree Apprenticeship</t>
  </si>
  <si>
    <t>303591</t>
  </si>
  <si>
    <t>H00303591</t>
  </si>
  <si>
    <t>University Advanced Diploma in Teaching (with QTS) - University of Derby - Teacher Apprenticeship Standard</t>
  </si>
  <si>
    <t>303592</t>
  </si>
  <si>
    <t>H00303592</t>
  </si>
  <si>
    <t>Postgraduate Diploma in Engineering - University of Derby - Postgraduate Engineer Degree Apprenticeship</t>
  </si>
  <si>
    <t>303593</t>
  </si>
  <si>
    <t>H00303593</t>
  </si>
  <si>
    <t>BA (Hons) in Professional Policing Practice - University of Derby - Police Constable Degree Apprenticeship</t>
  </si>
  <si>
    <t>303594</t>
  </si>
  <si>
    <t>H00303594</t>
  </si>
  <si>
    <t>BSc in Biomedical Science - Sheffield Hallam University</t>
  </si>
  <si>
    <t>303595</t>
  </si>
  <si>
    <t>H00303595</t>
  </si>
  <si>
    <t>BSc (Hons) in Nursing (Adult) - Edge Hill University - Registered Nurse Degree Apprenticeship</t>
  </si>
  <si>
    <t>303596</t>
  </si>
  <si>
    <t>H00303596</t>
  </si>
  <si>
    <t>BSc (Hons) in Nursing (Mental Health) - Edge Hill University - Registered Nurse Degree Apprenticeship</t>
  </si>
  <si>
    <t>303597</t>
  </si>
  <si>
    <t>H00303597</t>
  </si>
  <si>
    <t>FdSc in Nursing Associate - Edge Hill University - Nursing Associate Standard</t>
  </si>
  <si>
    <t>303598</t>
  </si>
  <si>
    <t>H00303598</t>
  </si>
  <si>
    <t>BSc (Hons) in Business Management and Leadership - Edge Hill University - Chartered Manager Degree Apprenticeship</t>
  </si>
  <si>
    <t>303599</t>
  </si>
  <si>
    <t>H00303599</t>
  </si>
  <si>
    <t>BSc (Hons) in Ordnance, Munitions and Explosives (Technical Research and Development) - University of Wales Trinity St David - Ordnance Munitions and Explosives (OME) Degree Apprenticeship</t>
  </si>
  <si>
    <t>303600</t>
  </si>
  <si>
    <t>H00303600</t>
  </si>
  <si>
    <t>BEng (Hons) in Ordnance, Munitions and Explosives (Safety) - University of Wales Trinity St David - Ordnance Munitions and Explosives (OME) Degree Apprenticeship</t>
  </si>
  <si>
    <t>303601</t>
  </si>
  <si>
    <t>H00303601</t>
  </si>
  <si>
    <t>BEng (Hons) in Ordnance, Munitions and Explosives (Manufacturing and Processing) - University of Wales Trinity St David - Ordnance Munitions and Explosives (OME) Degree Apprenticeship</t>
  </si>
  <si>
    <t>303602</t>
  </si>
  <si>
    <t>H00303602</t>
  </si>
  <si>
    <t>BEng (Hons) in Ordnance, Munitions and Explosives (Breakdown and Disposal) - University of Wales Trinity St David - Ordnance Munitions and Explosives (OME) Degree Apprenticeship</t>
  </si>
  <si>
    <t>303603</t>
  </si>
  <si>
    <t>H00303603</t>
  </si>
  <si>
    <t>BEng (Hons) in Ordnance, Munitions and Explosives (Test and Evaluation) - University of Wales Trinity St David - Ordnance Munitions and Explosives (OME) Degree Apprenticeship</t>
  </si>
  <si>
    <t>303604</t>
  </si>
  <si>
    <t>H00303604</t>
  </si>
  <si>
    <t>MSc in Digital and Technology Solutions Specialist (Software Engineering) - Sheffield Hallam University</t>
  </si>
  <si>
    <t>303605</t>
  </si>
  <si>
    <t>H00303605</t>
  </si>
  <si>
    <t>BSc (Hons) in Digital and Technology Solutions Professional  - University of Wolverhampton - Digital and Technology Solutions Professional Degree Apprenticeship</t>
  </si>
  <si>
    <t>303606</t>
  </si>
  <si>
    <t>H00303606</t>
  </si>
  <si>
    <t>MSc in Management Practice - The University of Manchester - Senior Leader Master's Degree Apprenticeship</t>
  </si>
  <si>
    <t>303607</t>
  </si>
  <si>
    <t>H00303607</t>
  </si>
  <si>
    <t>Global MBA - The University of Manchester - Senior Leader Master's Degree Apprenticeship</t>
  </si>
  <si>
    <t>303608</t>
  </si>
  <si>
    <t>H00303608</t>
  </si>
  <si>
    <t>BSc (Hons) in Nursing (Learning Disabilities) - Edge Hill University - Registered Nurse Degree Apprenticeship</t>
  </si>
  <si>
    <t>303609</t>
  </si>
  <si>
    <t>H00303609</t>
  </si>
  <si>
    <t>MSc Digital and Technology Solutions - The Manchester Metropolitan University - Digital and Technology Solutions Specialist Degree Apprenticeship</t>
  </si>
  <si>
    <t>303610</t>
  </si>
  <si>
    <t>H00303610</t>
  </si>
  <si>
    <t>BA (Hons) in Education (Top-up)</t>
  </si>
  <si>
    <t>303611</t>
  </si>
  <si>
    <t>H00303611</t>
  </si>
  <si>
    <t>Chartered Associateship - The London Institute of Banking and Finance</t>
  </si>
  <si>
    <t>303612</t>
  </si>
  <si>
    <t>H00303612</t>
  </si>
  <si>
    <t>FdSc in Software Development - New College Durham</t>
  </si>
  <si>
    <t>303613</t>
  </si>
  <si>
    <t>H00303613</t>
  </si>
  <si>
    <t>BA (Hons) in Early Childhood Studies - New College Durham</t>
  </si>
  <si>
    <t>303614</t>
  </si>
  <si>
    <t>H00303614</t>
  </si>
  <si>
    <t>BA (Hons) in Games Art - Warwickshire College</t>
  </si>
  <si>
    <t>303615</t>
  </si>
  <si>
    <t>H00303615</t>
  </si>
  <si>
    <t>FdSc in Sports Coaching and Performance - SGS College</t>
  </si>
  <si>
    <t>303616</t>
  </si>
  <si>
    <t>H00303616</t>
  </si>
  <si>
    <t>BA (Hons) in Professional Policing Practice - University of Northampton - Police Constable Degree Apprenticeship</t>
  </si>
  <si>
    <t>303617</t>
  </si>
  <si>
    <t>H00303617</t>
  </si>
  <si>
    <t>MA in Business and Management - Pearson College Limited - Senior Leader Master's Degree Apprenticeship</t>
  </si>
  <si>
    <t>303618</t>
  </si>
  <si>
    <t>H00303618</t>
  </si>
  <si>
    <t>PGDip in Academic Professional - Keele University - Academic Professional Apprenticeship</t>
  </si>
  <si>
    <t>303619</t>
  </si>
  <si>
    <t>H00303619</t>
  </si>
  <si>
    <t>303620</t>
  </si>
  <si>
    <t>H00303620</t>
  </si>
  <si>
    <t>BA (Hons) in Counselling - South Essex College of Further and Higher Education</t>
  </si>
  <si>
    <t>303621</t>
  </si>
  <si>
    <t>H00303621</t>
  </si>
  <si>
    <t>BSc (Hons) in Criminology and Forensic Investigation - South Essex College of Further and Higher Education</t>
  </si>
  <si>
    <t>303622</t>
  </si>
  <si>
    <t>H00303622</t>
  </si>
  <si>
    <t>BA (Hons) in Early Years Education - South Essex College of Further and Higher Education</t>
  </si>
  <si>
    <t>303623</t>
  </si>
  <si>
    <t>H00303623</t>
  </si>
  <si>
    <t>BSc (Hons) in Psychology and Sociology - South Essex College of Further and Higher Education</t>
  </si>
  <si>
    <t>303624</t>
  </si>
  <si>
    <t>H00303624</t>
  </si>
  <si>
    <t>BA (Hons) in Special Educational Needs and Disability Studies - South Essex College of Further and Higher Education</t>
  </si>
  <si>
    <t>303625</t>
  </si>
  <si>
    <t>H00303625</t>
  </si>
  <si>
    <t>BSc (Hons) in Accounting and Finance - South Essex College of Further and Higher Education</t>
  </si>
  <si>
    <t>303626</t>
  </si>
  <si>
    <t>H00303626</t>
  </si>
  <si>
    <t>BA (Hons) in Advanced Make-up, Hair and Prosthetics - Swindon College</t>
  </si>
  <si>
    <t>303627</t>
  </si>
  <si>
    <t>H00303627</t>
  </si>
  <si>
    <t>BEng (Hons) Engineering (Aerospace)</t>
  </si>
  <si>
    <t>303628</t>
  </si>
  <si>
    <t>H00303628</t>
  </si>
  <si>
    <t>Professional Certificate in Wildlife Conservation - Bridgwater and Taunton College</t>
  </si>
  <si>
    <t>303629</t>
  </si>
  <si>
    <t>H00303629</t>
  </si>
  <si>
    <t>Foundation Degree in Animal Management and Wildlife Conservation - Bridgwater and Taunton College</t>
  </si>
  <si>
    <t>303630</t>
  </si>
  <si>
    <t>H00303630</t>
  </si>
  <si>
    <t>BSc (Hons) in Animal Management and Wildlife Conservation - Bridgwater and Taunton College</t>
  </si>
  <si>
    <t>303631</t>
  </si>
  <si>
    <t>H00303631</t>
  </si>
  <si>
    <t>Professional Certificate in Animal Management - Bridgwater and Taunton College</t>
  </si>
  <si>
    <t>303632</t>
  </si>
  <si>
    <t>H00303632</t>
  </si>
  <si>
    <t>Cert HE in Animal Management and Wildlife Conservation - Bridgwater and Taunton College</t>
  </si>
  <si>
    <t>303633</t>
  </si>
  <si>
    <t>H00303633</t>
  </si>
  <si>
    <t>BA (Hons) in Early Childhood - Brockenhurst College</t>
  </si>
  <si>
    <t>303634</t>
  </si>
  <si>
    <t>H00303634</t>
  </si>
  <si>
    <t>BA (Hons) in Counselling and Psychotherapy Studies (Top up) - Accrington and Rossendale College</t>
  </si>
  <si>
    <t>303635</t>
  </si>
  <si>
    <t>H00303635</t>
  </si>
  <si>
    <t>FdSc in Business Computing - New College Durham</t>
  </si>
  <si>
    <t>303636</t>
  </si>
  <si>
    <t>H00303636</t>
  </si>
  <si>
    <t>FdSc in Computer Systems Development - City College Plymouth</t>
  </si>
  <si>
    <t>303637</t>
  </si>
  <si>
    <t>H00303637</t>
  </si>
  <si>
    <t>FdSc in Community and Public Services - City College Plymouth</t>
  </si>
  <si>
    <t>303638</t>
  </si>
  <si>
    <t>H00303638</t>
  </si>
  <si>
    <t>FDA in Childhood Studies - City College Plymouth</t>
  </si>
  <si>
    <t>303639</t>
  </si>
  <si>
    <t>H00303639</t>
  </si>
  <si>
    <t>FdSc in Business Computing - City College Plymouth</t>
  </si>
  <si>
    <t>303640</t>
  </si>
  <si>
    <t>H00303640</t>
  </si>
  <si>
    <t>FdSc in Software Development - City College Plymouth</t>
  </si>
  <si>
    <t>303641</t>
  </si>
  <si>
    <t>H00303641</t>
  </si>
  <si>
    <t>FdSc in Nursing Associate - University of East London - Nursing Associate Standard</t>
  </si>
  <si>
    <t>303642</t>
  </si>
  <si>
    <t>H00303642</t>
  </si>
  <si>
    <t>PGCE in Primary 5-11 yrs - University of Brighton - Teaching Apprenticeship</t>
  </si>
  <si>
    <t>303643</t>
  </si>
  <si>
    <t>H00303643</t>
  </si>
  <si>
    <t>PGCE in Secondary English - University of Brighton - Teaching Apprenticeship</t>
  </si>
  <si>
    <t>303644</t>
  </si>
  <si>
    <t>H00303644</t>
  </si>
  <si>
    <t>BA (Hons) in Supporting Children with Special Educational Needs and Disability (Top-Up) - DN college's Group (Trading as Doncaster College)</t>
  </si>
  <si>
    <t>303645</t>
  </si>
  <si>
    <t>H00303645</t>
  </si>
  <si>
    <t>BA (Hons) in Health and Social Sciences - Burnley College</t>
  </si>
  <si>
    <t>303646</t>
  </si>
  <si>
    <t>H00303646</t>
  </si>
  <si>
    <t>BA (Hons) in Music Production and Performance - Burnley College</t>
  </si>
  <si>
    <t>303647</t>
  </si>
  <si>
    <t>H00303647</t>
  </si>
  <si>
    <t>Foundation Degree in Health, Nutrition and Physical Activity - Hugh Baird College</t>
  </si>
  <si>
    <t>303648</t>
  </si>
  <si>
    <t>H00303648</t>
  </si>
  <si>
    <t>Foundation Degree in Games Design - Hugh Baird College</t>
  </si>
  <si>
    <t>303649</t>
  </si>
  <si>
    <t>H00303649</t>
  </si>
  <si>
    <t>FdSc in Nursing Associate - London South Bank University - Nursing Associate Apprenticeship</t>
  </si>
  <si>
    <t>303650</t>
  </si>
  <si>
    <t>H00303650</t>
  </si>
  <si>
    <t>Foundation Degree in Events Management - Barnet and Southgate College</t>
  </si>
  <si>
    <t>303651</t>
  </si>
  <si>
    <t>H00303651</t>
  </si>
  <si>
    <t>Foundation Degree in Dental Technology - Barnet and Southgate College - Dental Technician Standard</t>
  </si>
  <si>
    <t>303652</t>
  </si>
  <si>
    <t>H00303652</t>
  </si>
  <si>
    <t>BA (Hons) in Digital Film Production - Warwickshire College</t>
  </si>
  <si>
    <t>303653</t>
  </si>
  <si>
    <t>H00303653</t>
  </si>
  <si>
    <t>HNC in Networking and Security - Solihull College</t>
  </si>
  <si>
    <t>303654</t>
  </si>
  <si>
    <t>H00303654</t>
  </si>
  <si>
    <t>HND in Networking and Security - Solihull College</t>
  </si>
  <si>
    <t>303655</t>
  </si>
  <si>
    <t>H00303655</t>
  </si>
  <si>
    <t>BSc (Hons) in Networking and Security (Top-Up) - Solihull College</t>
  </si>
  <si>
    <t>303656</t>
  </si>
  <si>
    <t>H00303656</t>
  </si>
  <si>
    <t>BSc (Hons) in Integrated Health and Social Care (Top-Up) - Solihull college</t>
  </si>
  <si>
    <t>303657</t>
  </si>
  <si>
    <t>H00303657</t>
  </si>
  <si>
    <t>BA (Hons) in Digital Animation - South Essex College and Further and Higher Education</t>
  </si>
  <si>
    <t>303658</t>
  </si>
  <si>
    <t>H00303658</t>
  </si>
  <si>
    <t>BA (Hons) in Film and Television - South Essex College and Further and Higher Education</t>
  </si>
  <si>
    <t>303659</t>
  </si>
  <si>
    <t>H00303659</t>
  </si>
  <si>
    <t>BSc (Hons) in Games Design - South Essex College and Further and Higher Education</t>
  </si>
  <si>
    <t>303660</t>
  </si>
  <si>
    <t>H00303660</t>
  </si>
  <si>
    <t>Master of Business Administration (MBA) - Anglia Ruskin University</t>
  </si>
  <si>
    <t>303661</t>
  </si>
  <si>
    <t>H00303661</t>
  </si>
  <si>
    <t>FdSc in Health and Social Care (Assistant Practitioner) - Furness College</t>
  </si>
  <si>
    <t>303662</t>
  </si>
  <si>
    <t>H00303662</t>
  </si>
  <si>
    <t>FdSc in Health and Social Care - Furness College</t>
  </si>
  <si>
    <t>303663</t>
  </si>
  <si>
    <t>H00303663</t>
  </si>
  <si>
    <t>BA (Hons) in Leadership and Management Practice - University of West of England</t>
  </si>
  <si>
    <t>303664</t>
  </si>
  <si>
    <t>H00303664</t>
  </si>
  <si>
    <t>BSc (Hons) in Building Surveying - University of West of England</t>
  </si>
  <si>
    <t>303665</t>
  </si>
  <si>
    <t>H00303665</t>
  </si>
  <si>
    <t>BEng (Hons) in Building Services Engineering - University of West of England</t>
  </si>
  <si>
    <t>303666</t>
  </si>
  <si>
    <t>H00303666</t>
  </si>
  <si>
    <t>BSc (Hons) in Nursing Adult (DNA) route - University of East London - Registered Nurse Degree Apprenticeship</t>
  </si>
  <si>
    <t>303667</t>
  </si>
  <si>
    <t>H00303667</t>
  </si>
  <si>
    <t>Foundation Degree in Art and Design - University of East London</t>
  </si>
  <si>
    <t>303668</t>
  </si>
  <si>
    <t>H00303668</t>
  </si>
  <si>
    <t>FdA in Health and Social Care - St Mary's College</t>
  </si>
  <si>
    <t>303669</t>
  </si>
  <si>
    <t>H00303669</t>
  </si>
  <si>
    <t>FdA in Health and Social Care (Social Care) Pathway - St Mary's College</t>
  </si>
  <si>
    <t>303670</t>
  </si>
  <si>
    <t>H00303670</t>
  </si>
  <si>
    <t>BA (Hons) in Acting for Stage and Screen - The Northern School of Art</t>
  </si>
  <si>
    <t>303671</t>
  </si>
  <si>
    <t>H00303671</t>
  </si>
  <si>
    <t>BA (Hons) in Film, TV and Theatre Production - The Northern School of Art</t>
  </si>
  <si>
    <t>303672</t>
  </si>
  <si>
    <t>H00303672</t>
  </si>
  <si>
    <t>BA (Hons) in Visual Effects and Modelmaking - The Northern School of Art</t>
  </si>
  <si>
    <t>303673</t>
  </si>
  <si>
    <t>H00303673</t>
  </si>
  <si>
    <t>BA (Hons) in Digital Design and Advertising - The Northern School of Art</t>
  </si>
  <si>
    <t>303674</t>
  </si>
  <si>
    <t>H00303674</t>
  </si>
  <si>
    <t>MBA in Management of Manufacturing - Aston University - Senior Leader Master's Degree Apprenticeship</t>
  </si>
  <si>
    <t>303675</t>
  </si>
  <si>
    <t>H00303675</t>
  </si>
  <si>
    <t>Foundation Degree in Children's Development and Learning - The Windsor Forest Colleges Group</t>
  </si>
  <si>
    <t>303676</t>
  </si>
  <si>
    <t>H00303676</t>
  </si>
  <si>
    <t>Foundation Degree in Legal Practice - The Sheffield College</t>
  </si>
  <si>
    <t>303677</t>
  </si>
  <si>
    <t>H00303677</t>
  </si>
  <si>
    <t>Master of Architecture - University of Northumbria at Newcastle - Architect Degree Apprenticeship</t>
  </si>
  <si>
    <t>303678</t>
  </si>
  <si>
    <t>H00303678</t>
  </si>
  <si>
    <t>Certificate in Higher Education in Complementary Studies (Herbalism) - Lincoln College</t>
  </si>
  <si>
    <t>303679</t>
  </si>
  <si>
    <t>H00303679</t>
  </si>
  <si>
    <t>HNC in Project and Quality Management - Preston College</t>
  </si>
  <si>
    <t>303680</t>
  </si>
  <si>
    <t>H00303680</t>
  </si>
  <si>
    <t>HND in Engineering - Preston College</t>
  </si>
  <si>
    <t>303681</t>
  </si>
  <si>
    <t>H00303681</t>
  </si>
  <si>
    <t>HND in Engineering Management - Preston College</t>
  </si>
  <si>
    <t>303682</t>
  </si>
  <si>
    <t>H00303682</t>
  </si>
  <si>
    <t>BSc (Hons) in Engineering (Mechanical) (Top up) - Preston College</t>
  </si>
  <si>
    <t>303683</t>
  </si>
  <si>
    <t>H00303683</t>
  </si>
  <si>
    <t>HNC in Mechanical and Production Engineering - Preston College</t>
  </si>
  <si>
    <t>303684</t>
  </si>
  <si>
    <t>H00303684</t>
  </si>
  <si>
    <t>HNC in Electrical and Electronic Engineering - Preston College</t>
  </si>
  <si>
    <t>303685</t>
  </si>
  <si>
    <t>H00303685</t>
  </si>
  <si>
    <t>Foundation Degree in Maintenance Engineering - New College Durham</t>
  </si>
  <si>
    <t>303686</t>
  </si>
  <si>
    <t>H00303686</t>
  </si>
  <si>
    <t>BA (Hons) in Social Work - Middlesex University - Social Worker Degree Apprenticeship</t>
  </si>
  <si>
    <t>303687</t>
  </si>
  <si>
    <t>H00303687</t>
  </si>
  <si>
    <t>FdA in Tourism and Events Management - Leicester College</t>
  </si>
  <si>
    <t>303688</t>
  </si>
  <si>
    <t>H00303688</t>
  </si>
  <si>
    <t>MSc in Advanced Clinical Practitioner - Buckinghamshire New University - Advanced Clinical Practitioner Degree Apprenticeship</t>
  </si>
  <si>
    <t>303689</t>
  </si>
  <si>
    <t>H00303689</t>
  </si>
  <si>
    <t>Foundation Degree in Health and Wellbeing - Leeds City College</t>
  </si>
  <si>
    <t>303690</t>
  </si>
  <si>
    <t>H00303690</t>
  </si>
  <si>
    <t>303691</t>
  </si>
  <si>
    <t>H00303691</t>
  </si>
  <si>
    <t>Master in Business Administration - Keele University - Senior Leader Apprenticeship</t>
  </si>
  <si>
    <t>303692</t>
  </si>
  <si>
    <t>H00303692</t>
  </si>
  <si>
    <t>BA (Hons) in Business Management - Capital City Colleges Group</t>
  </si>
  <si>
    <t>303693</t>
  </si>
  <si>
    <t>H00303693</t>
  </si>
  <si>
    <t>BA (Hons) in Hospitality and Tourism Management (Top Up) - Capital City Colleges Group</t>
  </si>
  <si>
    <t>303694</t>
  </si>
  <si>
    <t>H00303694</t>
  </si>
  <si>
    <t>BA (Hons) in Business Strategy and Enterprise Management (Top Up) - Capital City Colleges Group</t>
  </si>
  <si>
    <t>303695</t>
  </si>
  <si>
    <t>H00303695</t>
  </si>
  <si>
    <t>BA (Hons) in Culinary Arts and Business Management (Top Up) - Capital City Colleges Group</t>
  </si>
  <si>
    <t>303696</t>
  </si>
  <si>
    <t>H00303696</t>
  </si>
  <si>
    <t>FdA in Hospitality Management - Capital City Colleges Group</t>
  </si>
  <si>
    <t>303697</t>
  </si>
  <si>
    <t>H00303697</t>
  </si>
  <si>
    <t>FdA in Tourism and Events Management - Capital City Colleges Group</t>
  </si>
  <si>
    <t>303698</t>
  </si>
  <si>
    <t>H00303698</t>
  </si>
  <si>
    <t>FdA in Business Management - Capital City Colleges Group</t>
  </si>
  <si>
    <t>303699</t>
  </si>
  <si>
    <t>H00303699</t>
  </si>
  <si>
    <t>FdSc in Culinary Arts - Capital City Colleges Group</t>
  </si>
  <si>
    <t>303700</t>
  </si>
  <si>
    <t>H00303700</t>
  </si>
  <si>
    <t>Certificate in Education Post-16 Education and Training (Mathematics) - Leeds City College</t>
  </si>
  <si>
    <t>303701</t>
  </si>
  <si>
    <t>H00303701</t>
  </si>
  <si>
    <t>Certificate in Education Post-16 Education and Training (Specific Educational Needs (SEN)) - Leeds City College</t>
  </si>
  <si>
    <t>303702</t>
  </si>
  <si>
    <t>H00303702</t>
  </si>
  <si>
    <t>Certificate in Education Post-16 Education and Training (English: Literacy and ESOL) - Leeds City College</t>
  </si>
  <si>
    <t>303703</t>
  </si>
  <si>
    <t>H00303703</t>
  </si>
  <si>
    <t>Professional Graduate Certificate in Education (Mathematics) - Leeds City College</t>
  </si>
  <si>
    <t>303704</t>
  </si>
  <si>
    <t>H00303704</t>
  </si>
  <si>
    <t>Professional Graduate Certificate in Education (Specific Educational Needs (SEN)) - Leeds City College</t>
  </si>
  <si>
    <t>303705</t>
  </si>
  <si>
    <t>H00303705</t>
  </si>
  <si>
    <t>Professional Graduate Certificate in Education (English: Literacy and ESOL) - Leeds City College</t>
  </si>
  <si>
    <t>303706</t>
  </si>
  <si>
    <t>H00303706</t>
  </si>
  <si>
    <t>Masters in Education - Leeds City College</t>
  </si>
  <si>
    <t>303707</t>
  </si>
  <si>
    <t>H00303707</t>
  </si>
  <si>
    <t>MBA Executive - University of Central Lancashire - Senior Leader Master's Degree Apprenticeship</t>
  </si>
  <si>
    <t>303708</t>
  </si>
  <si>
    <t>H00303708</t>
  </si>
  <si>
    <t>FdA in Community Leadership - Runshaw College</t>
  </si>
  <si>
    <t>303709</t>
  </si>
  <si>
    <t>H00303709</t>
  </si>
  <si>
    <t>BA (Hons) in Chartered Manager - Peter Symonds College - Chartered Manager Degree Apprenticeship</t>
  </si>
  <si>
    <t>303710</t>
  </si>
  <si>
    <t>H00303710</t>
  </si>
  <si>
    <t>FdSc in Healthcare Assistant Practitioner - Nottingham Trent University - Healthcare Assistant Practitioner Apprenticeship Standard</t>
  </si>
  <si>
    <t>303711</t>
  </si>
  <si>
    <t>H00303711</t>
  </si>
  <si>
    <t>BEng (Hons) in Broadcast and Communications Engineering - Birmingham City University - Broadcast and Media Systems Engineer Degree Apprenticeship</t>
  </si>
  <si>
    <t>303712</t>
  </si>
  <si>
    <t>H00303712</t>
  </si>
  <si>
    <t>FdSc in Animal Health - Cornwall College</t>
  </si>
  <si>
    <t>303713</t>
  </si>
  <si>
    <t>H00303713</t>
  </si>
  <si>
    <t>FdA in Nursing Associate - University of Worcester - Nursing Associate Apprenticeship Standard</t>
  </si>
  <si>
    <t>303714</t>
  </si>
  <si>
    <t>H00303714</t>
  </si>
  <si>
    <t>Post Graduate Certificate in Education (with QTS)  - University of Worcester - Teacher Apprenticeship Standard</t>
  </si>
  <si>
    <t>303715</t>
  </si>
  <si>
    <t>H00303715</t>
  </si>
  <si>
    <t>BA (Hons) in Music for the Creative Industries - Bradford College</t>
  </si>
  <si>
    <t>303716</t>
  </si>
  <si>
    <t>H00303716</t>
  </si>
  <si>
    <t>BSc (Hons) in Civil Engineering Project Management - Bradford College</t>
  </si>
  <si>
    <t>303717</t>
  </si>
  <si>
    <t>H00303717</t>
  </si>
  <si>
    <t>BSc (Hons) in Professional Policing Practice - Liverpool John Moores University - Police Constable Standard</t>
  </si>
  <si>
    <t>303718</t>
  </si>
  <si>
    <t>H00303718</t>
  </si>
  <si>
    <t>FdA in Leadership and Management - University of Worcester - Operations/Departmental Manager Apprenticeship Standard</t>
  </si>
  <si>
    <t>303719</t>
  </si>
  <si>
    <t>H00303719</t>
  </si>
  <si>
    <t>BA (Hons) in Leadership and Management - University of Worcester - Chartered Manager Degree Apprenticeship</t>
  </si>
  <si>
    <t>303720</t>
  </si>
  <si>
    <t>H00303720</t>
  </si>
  <si>
    <t>Executive MBA in Business Administration - University of Worcester - Senior Leader Master's Degree Apprenticeship</t>
  </si>
  <si>
    <t>303721</t>
  </si>
  <si>
    <t>H00303721</t>
  </si>
  <si>
    <t>BEng in Civil Engineering and Asset Management - Lakes College West Cumbria</t>
  </si>
  <si>
    <t>303722</t>
  </si>
  <si>
    <t>H00303722</t>
  </si>
  <si>
    <t>Foundation Degree in Civil Engineering and Asset Management - Lakes College West Cumbria</t>
  </si>
  <si>
    <t>303723</t>
  </si>
  <si>
    <t>H00303723</t>
  </si>
  <si>
    <t>BSc (Hons) in Games Development (Top Up) - NCG</t>
  </si>
  <si>
    <t>303724</t>
  </si>
  <si>
    <t>H00303724</t>
  </si>
  <si>
    <t>BSc (Hons) in Applied Science (Life Science) - The Open University - Laboratory Scientist Degree Apprenticeship</t>
  </si>
  <si>
    <t>303725</t>
  </si>
  <si>
    <t>H00303725</t>
  </si>
  <si>
    <t>BSc (Hons) in Applied Science (Health Science) - The Open University - Laboratory Scientist Degree Apprenticeship</t>
  </si>
  <si>
    <t>303726</t>
  </si>
  <si>
    <t>H00303726</t>
  </si>
  <si>
    <t>BSc (Hons) in Applied Science (Chemical Science) - The Open University - Laboratory Scientist Degree Apprenticeship</t>
  </si>
  <si>
    <t>303727</t>
  </si>
  <si>
    <t>H00303727</t>
  </si>
  <si>
    <t>BSc (Hons) in Mechanical Engineering - Oxford Brookes University</t>
  </si>
  <si>
    <t>303728</t>
  </si>
  <si>
    <t>H00303728</t>
  </si>
  <si>
    <t>BEng (Hons) in Mechatronics and Intelligent Machines - University of Central Lancashire - Product Design and Development Engineer Apprenticeship Standard</t>
  </si>
  <si>
    <t>303729</t>
  </si>
  <si>
    <t>H00303729</t>
  </si>
  <si>
    <t>FdA in Health and Wellbeing (Nursing Associate) - University of Suffolk - Nursing Associate Apprenticeship Standard</t>
  </si>
  <si>
    <t>303730</t>
  </si>
  <si>
    <t>H00303730</t>
  </si>
  <si>
    <t>BEng (Hons) in Mechanical Engineering and Electronics - University of Derby - Aerospace Engineer Degree Apprenticeship</t>
  </si>
  <si>
    <t>303731</t>
  </si>
  <si>
    <t>H00303731</t>
  </si>
  <si>
    <t>BSc (Hons) in Project Management - University of Portsmouth - Project Manager Degree Apprenticeship</t>
  </si>
  <si>
    <t>303732</t>
  </si>
  <si>
    <t>H00303732</t>
  </si>
  <si>
    <t>In-Service Certificate in Education (Lifelong Learning) - Calderdale College</t>
  </si>
  <si>
    <t>303733</t>
  </si>
  <si>
    <t>H00303733</t>
  </si>
  <si>
    <t>In-Service Professional Graduate Certificate in Education (Lifelong Learning) - Calderdale College</t>
  </si>
  <si>
    <t>303734</t>
  </si>
  <si>
    <t>H00303734</t>
  </si>
  <si>
    <t>In-Service Postgraduate Certificate in Education (Lifelong Learning) - Calderdale College</t>
  </si>
  <si>
    <t>303735</t>
  </si>
  <si>
    <t>H00303735</t>
  </si>
  <si>
    <t>Qualified Teacher Status - University of Greenwich - Teacher Apprenticeship Standard</t>
  </si>
  <si>
    <t>303736</t>
  </si>
  <si>
    <t>H00303736</t>
  </si>
  <si>
    <t>Executive Masters in Business Administration (MGTT224) - University of Sheffield</t>
  </si>
  <si>
    <t>303737</t>
  </si>
  <si>
    <t>H00303737</t>
  </si>
  <si>
    <t>Executive Masters in Business Administration (MGTT225) - University of Sheffield</t>
  </si>
  <si>
    <t>303738</t>
  </si>
  <si>
    <t>H00303738</t>
  </si>
  <si>
    <t>Executive Masters in Business Administration (MGTT226) - University of Sheffield</t>
  </si>
  <si>
    <t>303739</t>
  </si>
  <si>
    <t>H00303739</t>
  </si>
  <si>
    <t>MSc in Zoo Management and Conservation - Askham Bryan College</t>
  </si>
  <si>
    <t>303740</t>
  </si>
  <si>
    <t>H00303740</t>
  </si>
  <si>
    <t>MSc in Applied Animal Behaviour and Welfare - Askham Bryan College</t>
  </si>
  <si>
    <t>303741</t>
  </si>
  <si>
    <t>H00303741</t>
  </si>
  <si>
    <t>Diploma in Education and Training (DET) - South and City College Birmingham</t>
  </si>
  <si>
    <t>303742</t>
  </si>
  <si>
    <t>H00303742</t>
  </si>
  <si>
    <t>HNC in Civil Engineering - Solent University</t>
  </si>
  <si>
    <t>303743</t>
  </si>
  <si>
    <t>H00303743</t>
  </si>
  <si>
    <t>BEng (Hons) in Embedded Electronics - Solent University</t>
  </si>
  <si>
    <t>303744</t>
  </si>
  <si>
    <t>H00303744</t>
  </si>
  <si>
    <t>BSc (Hons) in Adult Nursing - Solent University</t>
  </si>
  <si>
    <t>303745</t>
  </si>
  <si>
    <t>H00303745</t>
  </si>
  <si>
    <t>Diploma in HR Consultant / Partner - Solent University - HR Consultant / Partner Apprenticeship Standard</t>
  </si>
  <si>
    <t>303746</t>
  </si>
  <si>
    <t>H00303746</t>
  </si>
  <si>
    <t>BA (Hons) in Leadership and Management - Solent University</t>
  </si>
  <si>
    <t>303747</t>
  </si>
  <si>
    <t>H00303747</t>
  </si>
  <si>
    <t>MBA in Senior Leader - Solent University - Senior Leader Master's Degree Apprenticeship</t>
  </si>
  <si>
    <t>303748</t>
  </si>
  <si>
    <t>H00303748</t>
  </si>
  <si>
    <t>MBA in Leadership - University of Brighton - Senior Leader Master's Degree Apprenticeship</t>
  </si>
  <si>
    <t>303749</t>
  </si>
  <si>
    <t>H00303749</t>
  </si>
  <si>
    <t>FdSc in Business and Management Practice - Wiltshire College</t>
  </si>
  <si>
    <t>303750</t>
  </si>
  <si>
    <t>H00303750</t>
  </si>
  <si>
    <t>BSc (Hons) in Professional Practice in Supply Chain Leadership - University of Hull - Supply Chain Leadership Professional Degree Apprenticeship</t>
  </si>
  <si>
    <t>303751</t>
  </si>
  <si>
    <t>H00303751</t>
  </si>
  <si>
    <t>BSc (Hons) in Building Surveying - Nottingham Trent University</t>
  </si>
  <si>
    <t>303752</t>
  </si>
  <si>
    <t>H00303752</t>
  </si>
  <si>
    <t>BSc (Hons) in Digital and Technology Solutions - Nottingham Trent University</t>
  </si>
  <si>
    <t>303753</t>
  </si>
  <si>
    <t>H00303753</t>
  </si>
  <si>
    <t>Master of Business Administration - University of Suffolk - Senior Leader Master's Degree Apprenticeship</t>
  </si>
  <si>
    <t>303754</t>
  </si>
  <si>
    <t>H00303754</t>
  </si>
  <si>
    <t>MSc in Strategic Leadership for the Food and Drink Industry (Technical Management) - University of Lincoln - Senior Leaders Master's Degree Apprenticeship</t>
  </si>
  <si>
    <t>303755</t>
  </si>
  <si>
    <t>H00303755</t>
  </si>
  <si>
    <t>MSc in Strategic Leadership for the Food and Drink Industry (Operations and Supply Chain Management) - University of Lincoln - Senior Leaders Master's Degree Apprenticeship</t>
  </si>
  <si>
    <t>303756</t>
  </si>
  <si>
    <t>H00303756</t>
  </si>
  <si>
    <t>BEng (Hons) in Civil Engineering (Civil Engineer or Civil Engineering Site Management) - University of Derby - Civil Engineering Site Management Degree Apprenticeship</t>
  </si>
  <si>
    <t>303757</t>
  </si>
  <si>
    <t>H00303757</t>
  </si>
  <si>
    <t>Certificate of Higher Education in Children, Young People and Families Practitioner - University College Birmingham - Children, Young People and Families Practitioner Apprenticeship Standard</t>
  </si>
  <si>
    <t>303758</t>
  </si>
  <si>
    <t>H00303758</t>
  </si>
  <si>
    <t>BA (Hons) Social Work - The Manchester Metropolitan University - Social Worker Degree Apprenticeship</t>
  </si>
  <si>
    <t>303759</t>
  </si>
  <si>
    <t>H00303759</t>
  </si>
  <si>
    <t>BA (Hons) in Social Work - University of Warwick</t>
  </si>
  <si>
    <t>303760</t>
  </si>
  <si>
    <t>H00303760</t>
  </si>
  <si>
    <t>Leadership Master of Business Administration - University of Lincoln - Senior Leaders Master's Degree Apprenticeship</t>
  </si>
  <si>
    <t>303761</t>
  </si>
  <si>
    <t>H00303761</t>
  </si>
  <si>
    <t>PG Dip in Policy and Practice in Higher Education - University of Lincoln - Academic Professional Apprenticeship</t>
  </si>
  <si>
    <t>303762</t>
  </si>
  <si>
    <t>H00303762</t>
  </si>
  <si>
    <t>Foundation Degree in Specialist Hair and Media Make-Up - University College Birmingham</t>
  </si>
  <si>
    <t>303763</t>
  </si>
  <si>
    <t>H00303763</t>
  </si>
  <si>
    <t>BA (Hons) in Early Childhood Studies - University College Birmingham</t>
  </si>
  <si>
    <t>303764</t>
  </si>
  <si>
    <t>H00303764</t>
  </si>
  <si>
    <t>FdEng in Maintenance Engineering - New College Durham</t>
  </si>
  <si>
    <t>303765</t>
  </si>
  <si>
    <t>H00303765</t>
  </si>
  <si>
    <t>BSc (Hons) in Professional Practice in Business to Business - Leeds Trinity University - Business to Business Sales Professional Degree</t>
  </si>
  <si>
    <t>303766</t>
  </si>
  <si>
    <t>H00303766</t>
  </si>
  <si>
    <t>BSc (Hons) in Building Surveying - Chartered Surveyor - Leeds Beckett University</t>
  </si>
  <si>
    <t>303767</t>
  </si>
  <si>
    <t>H00303767</t>
  </si>
  <si>
    <t>MBA Graduate in Senior Leader - Leeds Beckett University - Senior Leader Master's Degree Apprenticeship</t>
  </si>
  <si>
    <t>303768</t>
  </si>
  <si>
    <t>H00303768</t>
  </si>
  <si>
    <t>BEng (Hons) in Building Services Engineering - Design Engineer - Leeds Beckett University</t>
  </si>
  <si>
    <t>303769</t>
  </si>
  <si>
    <t>H00303769</t>
  </si>
  <si>
    <t>BEng (Hons) in Building Services Engineering - Site Management - Leeds Beckett University</t>
  </si>
  <si>
    <t>303770</t>
  </si>
  <si>
    <t>H00303770</t>
  </si>
  <si>
    <t>BSc (Hons) in Civil Engineering - Design Engineer - Leeds Beckett University</t>
  </si>
  <si>
    <t>303771</t>
  </si>
  <si>
    <t>H00303771</t>
  </si>
  <si>
    <t>BSc (Hons) in Civil Engineering - Site Management - Leeds Beckett University</t>
  </si>
  <si>
    <t>303772</t>
  </si>
  <si>
    <t>H00303772</t>
  </si>
  <si>
    <t>BSc (Hons) in Building Services Engineering - Design Engineer - Leeds Beckett University</t>
  </si>
  <si>
    <t>303773</t>
  </si>
  <si>
    <t>H00303773</t>
  </si>
  <si>
    <t>Post Graduate Certificate in Academic Practice - Nottingham Trent University - Academic Professional Standard</t>
  </si>
  <si>
    <t>303774</t>
  </si>
  <si>
    <t>H00303774</t>
  </si>
  <si>
    <t>BSc (Hons) in Geospatial and Mapping Science - University of East London - Geospatial Mapping and Science (degree)</t>
  </si>
  <si>
    <t>303775</t>
  </si>
  <si>
    <t>H00303775</t>
  </si>
  <si>
    <t>BSc (Hons) in H Midwifery - University of Greenwich - Midwifery (Degree Apprenticeship)</t>
  </si>
  <si>
    <t>303776</t>
  </si>
  <si>
    <t>H00303776</t>
  </si>
  <si>
    <t>303777</t>
  </si>
  <si>
    <t>H00303777</t>
  </si>
  <si>
    <t>303778</t>
  </si>
  <si>
    <t>H00303778</t>
  </si>
  <si>
    <t>MSc in Global Leadership and Management in Health - Teesside University - Senior Leader Standard</t>
  </si>
  <si>
    <t>303779</t>
  </si>
  <si>
    <t>H00303779</t>
  </si>
  <si>
    <t>Postgraduate Certificate in Learning and Teaching and Higher Education (Academic Professional) - Teesside University - Academic Professional Standard</t>
  </si>
  <si>
    <t>303780</t>
  </si>
  <si>
    <t>H00303780</t>
  </si>
  <si>
    <t>MSc in Advanced Clinical Practice - Teesside University -Advanced Clinical Practitioner (Degree)</t>
  </si>
  <si>
    <t>303781</t>
  </si>
  <si>
    <t>H00303781</t>
  </si>
  <si>
    <t>BSc (Hons) in Operating Department Practise - Teesside University - Operating Department Practitioner (Degree ) Standard</t>
  </si>
  <si>
    <t>303782</t>
  </si>
  <si>
    <t>H00303782</t>
  </si>
  <si>
    <t>FdA in Business Management with Leadership - Blackburn College</t>
  </si>
  <si>
    <t>303783</t>
  </si>
  <si>
    <t>H00303783</t>
  </si>
  <si>
    <t>BA (Hons) in Business Management with Leadership - Blackburn College</t>
  </si>
  <si>
    <t>303784</t>
  </si>
  <si>
    <t>H00303784</t>
  </si>
  <si>
    <t>FdEng in Subsea and Offshore Engineering - NCG</t>
  </si>
  <si>
    <t>303785</t>
  </si>
  <si>
    <t>H00303785</t>
  </si>
  <si>
    <t>BA (Hons) in Early Years Practice - St Helens College</t>
  </si>
  <si>
    <t>303786</t>
  </si>
  <si>
    <t>H00303786</t>
  </si>
  <si>
    <t>BA (Hons) in Business Management Practice - Productivity Improvement - Leeds Beckett University</t>
  </si>
  <si>
    <t>303787</t>
  </si>
  <si>
    <t>H00303787</t>
  </si>
  <si>
    <t>BA (Hons) in Business Management Practice (Retail) - Leeds Beckett University</t>
  </si>
  <si>
    <t>303788</t>
  </si>
  <si>
    <t>H00303788</t>
  </si>
  <si>
    <t>BSc (Hons) in Adult Nursing - Leeds Beckett University</t>
  </si>
  <si>
    <t>303789</t>
  </si>
  <si>
    <t>H00303789</t>
  </si>
  <si>
    <t>BSc (Hons) in Mental Health Nursing - Leeds Beckett University</t>
  </si>
  <si>
    <t>303790</t>
  </si>
  <si>
    <t>H00303790</t>
  </si>
  <si>
    <t>MSc in Advanced Clinical Practice - Leeds Beckett University</t>
  </si>
  <si>
    <t>303791</t>
  </si>
  <si>
    <t>H00303791</t>
  </si>
  <si>
    <t>FdSc in Nursing Associate - Leeds Beckett University</t>
  </si>
  <si>
    <t>303792</t>
  </si>
  <si>
    <t>H00303792</t>
  </si>
  <si>
    <t>MBA in Senior Leader - Leeds Beckett University - Senior Leader Master's Degree Apprenticeship</t>
  </si>
  <si>
    <t>303793</t>
  </si>
  <si>
    <t>H00303793</t>
  </si>
  <si>
    <t>BSc (Hons) in Project Management - University of Cumbria - Project Manager Degree Level Apprenticeship</t>
  </si>
  <si>
    <t>303794</t>
  </si>
  <si>
    <t>H00303794</t>
  </si>
  <si>
    <t>Academic Professional - Loughborough University - Academic Professional standard</t>
  </si>
  <si>
    <t>303795</t>
  </si>
  <si>
    <t>H00303795</t>
  </si>
  <si>
    <t>Master of Business Administration - Arden University - Senior Leaders</t>
  </si>
  <si>
    <t>303796</t>
  </si>
  <si>
    <t>H00303796</t>
  </si>
  <si>
    <t>BSc (Hons) in Digital Technology Solutions (Data Analysis) - Arden University - Digital and Technology solutions Professional Degree</t>
  </si>
  <si>
    <t>303797</t>
  </si>
  <si>
    <t>H00303797</t>
  </si>
  <si>
    <t>BSc (Hons) in Digital Technology Solutions (Consultancy) - Arden University - Digital and Technology solutions Professional Degree</t>
  </si>
  <si>
    <t>303798</t>
  </si>
  <si>
    <t>H00303798</t>
  </si>
  <si>
    <t>BSc (Hons) in Digital Technology Solutions (Software Engineering) - Arden University - Digital and Technology solutions Professional Degree</t>
  </si>
  <si>
    <t>303799</t>
  </si>
  <si>
    <t>H00303799</t>
  </si>
  <si>
    <t>BA (Hons) in Business Management - Arden University - Chartered Manager Degree</t>
  </si>
  <si>
    <t>303800</t>
  </si>
  <si>
    <t>H00303800</t>
  </si>
  <si>
    <t>BA (Hons) in English and Special Educational Needs - Holy Cross College</t>
  </si>
  <si>
    <t>303801</t>
  </si>
  <si>
    <t>H00303801</t>
  </si>
  <si>
    <t>BA (Hons) in Early Childhood and Special Educational Needs - Holy Cross College</t>
  </si>
  <si>
    <t>303802</t>
  </si>
  <si>
    <t>H00303802</t>
  </si>
  <si>
    <t>FdSc in Nursing Associate - The Bournemouth and Poole College</t>
  </si>
  <si>
    <t>303803</t>
  </si>
  <si>
    <t>H00303803</t>
  </si>
  <si>
    <t>BEng in Food Engineering - University of Lincoln - Food and Drink Advanced Engineer Degree Apprenticeship</t>
  </si>
  <si>
    <t>303804</t>
  </si>
  <si>
    <t>H00303804</t>
  </si>
  <si>
    <t>BSc (Hons) in Registered Nurse - The University of West London - Registered Nurse Degree Apprenticeship</t>
  </si>
  <si>
    <t>303805</t>
  </si>
  <si>
    <t>H00303805</t>
  </si>
  <si>
    <t>Foundation Degree in Creative Industries Event Management - Greater Brighton Metropolitan College</t>
  </si>
  <si>
    <t>303806</t>
  </si>
  <si>
    <t>H00303806</t>
  </si>
  <si>
    <t>In-Service Cert Ed/PGCE (Lifelong Learning) - Northumberland College</t>
  </si>
  <si>
    <t>303807</t>
  </si>
  <si>
    <t>H00303807</t>
  </si>
  <si>
    <t>BA (Hons) in Education and Professional Development - Northumberland College</t>
  </si>
  <si>
    <t>303808</t>
  </si>
  <si>
    <t>H00303808</t>
  </si>
  <si>
    <t>FdA in Business with Management - University Centre Weston</t>
  </si>
  <si>
    <t>303809</t>
  </si>
  <si>
    <t>H00303809</t>
  </si>
  <si>
    <t>FdA in Inclusive Practice - University Centre Weston</t>
  </si>
  <si>
    <t>303810</t>
  </si>
  <si>
    <t>H00303810</t>
  </si>
  <si>
    <t>FdSc in Public and Environmental Practice - University Centre Weston</t>
  </si>
  <si>
    <t>303811</t>
  </si>
  <si>
    <t>H00303811</t>
  </si>
  <si>
    <t>BSc (Hons) (Top-Up) in Public and Environmental Health - University Centre Weston</t>
  </si>
  <si>
    <t>303812</t>
  </si>
  <si>
    <t>H00303812</t>
  </si>
  <si>
    <t>FdA in Uniformed and Public Services - University Centre Weston</t>
  </si>
  <si>
    <t>303813</t>
  </si>
  <si>
    <t>H00303813</t>
  </si>
  <si>
    <t>BA (Hons) in Uniformed and Public Services - University Centre Weston</t>
  </si>
  <si>
    <t>303814</t>
  </si>
  <si>
    <t>H00303814</t>
  </si>
  <si>
    <t>HNC in Civil Engineering (Apprenticeship) - Coventry University College</t>
  </si>
  <si>
    <t>303815</t>
  </si>
  <si>
    <t>H00303815</t>
  </si>
  <si>
    <t>MBA Master of Business Administration (Apprenticeship Route) - Coventry University College</t>
  </si>
  <si>
    <t>303816</t>
  </si>
  <si>
    <t>H00303816</t>
  </si>
  <si>
    <t>MBA Master of Business Administration (Leadership) (Apprenticeship Route) - Coventry University College</t>
  </si>
  <si>
    <t>303817</t>
  </si>
  <si>
    <t>H00303817</t>
  </si>
  <si>
    <t>PGDip in Engineering Competence (Mechanical) - Coventry University College - Post Graduate Engineer Apprenticeship Standard</t>
  </si>
  <si>
    <t>303818</t>
  </si>
  <si>
    <t>H00303818</t>
  </si>
  <si>
    <t>PGDip in Engineering Competence (Automotive) - Coventry University College - Post Graduate Engineer Apprenticeship Standard</t>
  </si>
  <si>
    <t>303819</t>
  </si>
  <si>
    <t>H00303819</t>
  </si>
  <si>
    <t>BEng (Hons) in Mechanical Engineering Design - Coventry University College - Product Design and Development Degree Apprenticeship</t>
  </si>
  <si>
    <t>303820</t>
  </si>
  <si>
    <t>H00303820</t>
  </si>
  <si>
    <t>BEng (Hons) in Automotive Engineering Design - Coventry University College - Product Design and Development Degree Apprenticeship</t>
  </si>
  <si>
    <t>303821</t>
  </si>
  <si>
    <t>H00303821</t>
  </si>
  <si>
    <t>Postgraduate Certificate in Teaching and Learning - University of Chichester - Academic Professional Apprenticeship Standard</t>
  </si>
  <si>
    <t>303822</t>
  </si>
  <si>
    <t>H00303822</t>
  </si>
  <si>
    <t>BSc (Hons) in Policing - University of Northumbria at Newcastle - Police Constable Degree Apprenticeship</t>
  </si>
  <si>
    <t>303823</t>
  </si>
  <si>
    <t>H00303823</t>
  </si>
  <si>
    <t>BSc (Hons) in Professional Practice in Supply Chain Leadership - Leeds Trinity University - Supply Chain Leadership Professional Degree Apprenticeship</t>
  </si>
  <si>
    <t>303824</t>
  </si>
  <si>
    <t>H00303824</t>
  </si>
  <si>
    <t>MSc in Advanced Clinical Practitioner - University of Liverpool - Advanced Clinical Practitioner Degree Apprenticeship</t>
  </si>
  <si>
    <t>303825</t>
  </si>
  <si>
    <t>H00303825</t>
  </si>
  <si>
    <t>BA (Hons) in Fashion Design and Product Innovation - York College</t>
  </si>
  <si>
    <t>303826</t>
  </si>
  <si>
    <t>H00303826</t>
  </si>
  <si>
    <t>BA (Hons) in Graphic Arts - York College</t>
  </si>
  <si>
    <t>303827</t>
  </si>
  <si>
    <t>H00303827</t>
  </si>
  <si>
    <t>BA (Hons) in Contemporary Craft - York College</t>
  </si>
  <si>
    <t>303828</t>
  </si>
  <si>
    <t>H00303828</t>
  </si>
  <si>
    <t>Global MBA in Senior Leader - Oxford Brookes University - Senior Leader Master's Degree Apprenticeship</t>
  </si>
  <si>
    <t>303829</t>
  </si>
  <si>
    <t>H00303829</t>
  </si>
  <si>
    <t>MSc in Advanced Clinical Practitioner - University of Sunderland - Advanced Clinical Practitioner Degree Apprenticeship</t>
  </si>
  <si>
    <t>303830</t>
  </si>
  <si>
    <t>H00303830</t>
  </si>
  <si>
    <t>BEng (Hons) in Aerospace Engineering (Manufacturing) - University of the West of England, Bristol</t>
  </si>
  <si>
    <t>303831</t>
  </si>
  <si>
    <t>H00303831</t>
  </si>
  <si>
    <t>BEng (Hons) in Mechanical Engineering with Manufacturing - University of the West of England, Bristol</t>
  </si>
  <si>
    <t>303832</t>
  </si>
  <si>
    <t>H00303832</t>
  </si>
  <si>
    <t>PG Diploma in Engineering Competence - University of the West of England, Bristol</t>
  </si>
  <si>
    <t>303833</t>
  </si>
  <si>
    <t>H00303833</t>
  </si>
  <si>
    <t>Postgraduate Certificate in Academic Professional Practice - University of the West of England, Bristol</t>
  </si>
  <si>
    <t>303834</t>
  </si>
  <si>
    <t>H00303834</t>
  </si>
  <si>
    <t>Certificate of Education in Children, Young People and Families Practitioner - University of Northampton - Children, Young People and Families Practitioner Apprenticeship Standard</t>
  </si>
  <si>
    <t>303835</t>
  </si>
  <si>
    <t>H00303835</t>
  </si>
  <si>
    <t>Professional Graduate Certificate of Education [with recommendation for QTS]: Primary (5-11) - Leeds Trinity University - Teacher Apprenticeship Standard</t>
  </si>
  <si>
    <t>303836</t>
  </si>
  <si>
    <t>H00303836</t>
  </si>
  <si>
    <t>Postgraduate Certificate of Education [with recommendation for QTS]: Primary (5-11) - Leeds Trinity University - Teacher Apprenticeship Standard</t>
  </si>
  <si>
    <t>303837</t>
  </si>
  <si>
    <t>H00303837</t>
  </si>
  <si>
    <t>Professional Graduate Certificate of Education (with recommendation for QT): Secondary (11-16 enhanced post-16 provision for most subjects) and (14-19 Business Studies and Social Sciences) - Leeds Trinity University - Teacher Apprenticeship Standard</t>
  </si>
  <si>
    <t>303838</t>
  </si>
  <si>
    <t>H00303838</t>
  </si>
  <si>
    <t>PGCE (with recommendation for QTS): Secondary (11-16 with enhanced post-16 provision for most subjects) and (14-19 for Business Studies and Social Sciences) - Leeds Trinity University</t>
  </si>
  <si>
    <t>303839</t>
  </si>
  <si>
    <t>H00303839</t>
  </si>
  <si>
    <t>MSc in Senior Leader - University of Derby - Senior Leader Master's Degree Apprenticeship</t>
  </si>
  <si>
    <t>303840</t>
  </si>
  <si>
    <t>H00303840</t>
  </si>
  <si>
    <t>BSc (Hons) in Psychology - Grimsby Institute of Further and Higher Education</t>
  </si>
  <si>
    <t>303841</t>
  </si>
  <si>
    <t>H00303841</t>
  </si>
  <si>
    <t>BA (Hons) in Business Management with Organisational Behaviour - Grimsby Institute of Further and Higher Education</t>
  </si>
  <si>
    <t>303842</t>
  </si>
  <si>
    <t>H00303842</t>
  </si>
  <si>
    <t>BA (Hons) in Social Work - University of Central Lancashire - Social Worker Degree Apprenticeship</t>
  </si>
  <si>
    <t>303843</t>
  </si>
  <si>
    <t>H00303843</t>
  </si>
  <si>
    <t>Postgraduate Certificate in Academic Practice (Research) - University of Central Lancashire - Academic Professional Degree Apprenticeship</t>
  </si>
  <si>
    <t>303844</t>
  </si>
  <si>
    <t>H00303844</t>
  </si>
  <si>
    <t>Postgraduate Certificate in Academic Practice (Learning and Teaching) - University of Central Lancashire - Academic Professional Degree Apprenticeship</t>
  </si>
  <si>
    <t>303845</t>
  </si>
  <si>
    <t>H00303845</t>
  </si>
  <si>
    <t>BSc (Hons) in Cyber Security Technical Professional - University of Central Lancashire -  Cyber Security Technical Professional Degree Apprenticeship</t>
  </si>
  <si>
    <t>303846</t>
  </si>
  <si>
    <t>H00303846</t>
  </si>
  <si>
    <t>University Certificate in Counselling Skills - York College</t>
  </si>
  <si>
    <t>303847</t>
  </si>
  <si>
    <t>H00303847</t>
  </si>
  <si>
    <t>BA (Hons) in Leadership and Management - York College</t>
  </si>
  <si>
    <t>303848</t>
  </si>
  <si>
    <t>H00303848</t>
  </si>
  <si>
    <t>BA (Hons) in Leading Children's Development and Learning - York College</t>
  </si>
  <si>
    <t>303849</t>
  </si>
  <si>
    <t>H00303849</t>
  </si>
  <si>
    <t>FD in Children's Learning and Development - York College</t>
  </si>
  <si>
    <t>303850</t>
  </si>
  <si>
    <t>H00303850</t>
  </si>
  <si>
    <t>BEng (Hons) in Mechanical Engineering - University of Bolton - Manufacturing Engineer Standard</t>
  </si>
  <si>
    <t>303851</t>
  </si>
  <si>
    <t>H00303851</t>
  </si>
  <si>
    <t>BEng (Hons) in Mechanical Engineering - University of Bolton - Product Design and Development Engineer Standard</t>
  </si>
  <si>
    <t>303852</t>
  </si>
  <si>
    <t>H00303852</t>
  </si>
  <si>
    <t>BEng (Hons) in Electrical Engineering - University of Bolton - Electrical / Electronic Technical Support Engineer Standard</t>
  </si>
  <si>
    <t>303853</t>
  </si>
  <si>
    <t>H00303853</t>
  </si>
  <si>
    <t>BEng (Hons) in Electrical Engineering - University of Bolton -Embedded Electronic Systems Design and Development Engineer Standard</t>
  </si>
  <si>
    <t>303854</t>
  </si>
  <si>
    <t>H00303854</t>
  </si>
  <si>
    <t>BEng (Hons) in Civil Engineering - University of Bolton - Civil Engineer Standard</t>
  </si>
  <si>
    <t>303855</t>
  </si>
  <si>
    <t>H00303855</t>
  </si>
  <si>
    <t>FdSc in Dental Technology - University of Bolton - Dental Technician Standard</t>
  </si>
  <si>
    <t>303856</t>
  </si>
  <si>
    <t>H00303856</t>
  </si>
  <si>
    <t>FdSc in Nursing Associate - University of Bolton - Nursing Associate Standard</t>
  </si>
  <si>
    <t>303857</t>
  </si>
  <si>
    <t>H00303857</t>
  </si>
  <si>
    <t>FdA in Health and Social Care (Assistant Practitioner) - University of Bolton - Healthcare (Assistant Practitioner) Standard</t>
  </si>
  <si>
    <t>303858</t>
  </si>
  <si>
    <t>H00303858</t>
  </si>
  <si>
    <t>BSc (Hons) in Operating Department Practitioner - University of Bolton - Operating Department Practitioner Standard</t>
  </si>
  <si>
    <t>303859</t>
  </si>
  <si>
    <t>H00303859</t>
  </si>
  <si>
    <t>BSc (Hons) in Business Management - University of Bolton - Chartered Manager Degree Apprenticeship Standard</t>
  </si>
  <si>
    <t>303860</t>
  </si>
  <si>
    <t>H00303860</t>
  </si>
  <si>
    <t>BSc (Hons) in Retail Business Management - University of Bolton - Chartered Manager Degree Apprenticeship Standard</t>
  </si>
  <si>
    <t>303861</t>
  </si>
  <si>
    <t>H00303861</t>
  </si>
  <si>
    <t>BSc (Hons) in Business Management Health and Social Care top up - University of Bolton - Chartered Manager Degree Apprenticeship Standard</t>
  </si>
  <si>
    <t>303862</t>
  </si>
  <si>
    <t>H00303862</t>
  </si>
  <si>
    <t>BA (Hons) in Crime, Terrorism and Global Security - Easton and Otley College</t>
  </si>
  <si>
    <t>303863</t>
  </si>
  <si>
    <t>H00303863</t>
  </si>
  <si>
    <t>BSc (Hons) in Agriculture (Top up) - Easton and Otley College</t>
  </si>
  <si>
    <t>303864</t>
  </si>
  <si>
    <t>H00303864</t>
  </si>
  <si>
    <t>BSc (Hons) in Animal Science and Welfare (Top up) - Easton and Otley College</t>
  </si>
  <si>
    <t>303865</t>
  </si>
  <si>
    <t>H00303865</t>
  </si>
  <si>
    <t>BSc (Hons) in Health, Fitness, Strength and Conditioning (Top up) - Easton and Otley College</t>
  </si>
  <si>
    <t>303866</t>
  </si>
  <si>
    <t>H00303866</t>
  </si>
  <si>
    <t>BSc (Hons) in Land Based Sciences (Ecology/Equine) (Top up) - Easton and Otley College</t>
  </si>
  <si>
    <t>303867</t>
  </si>
  <si>
    <t>H00303867</t>
  </si>
  <si>
    <t>BSc (Hons) in Sports Coaching Science (Top up) - Easton and Otley College</t>
  </si>
  <si>
    <t>303868</t>
  </si>
  <si>
    <t>H00303868</t>
  </si>
  <si>
    <t>FdSc in Agricultural Management - Easton and Otley College</t>
  </si>
  <si>
    <t>303869</t>
  </si>
  <si>
    <t>H00303869</t>
  </si>
  <si>
    <t>FdSc in Animal Science and Welfare - Easton and Otley College</t>
  </si>
  <si>
    <t>303870</t>
  </si>
  <si>
    <t>H00303870</t>
  </si>
  <si>
    <t>FdSc in Wildlife and Conservation - Easton and Otley College</t>
  </si>
  <si>
    <t>303871</t>
  </si>
  <si>
    <t>H00303871</t>
  </si>
  <si>
    <t>FdSc in Equine Science and Welfare - Easton and Otley College</t>
  </si>
  <si>
    <t>303872</t>
  </si>
  <si>
    <t>H00303872</t>
  </si>
  <si>
    <t>FdSc in Football Development and Coaching - Easton and Otley College</t>
  </si>
  <si>
    <t>303873</t>
  </si>
  <si>
    <t>H00303873</t>
  </si>
  <si>
    <t>FdSc in Health, Fitness, Strength and Conditioning - Easton and Otley College</t>
  </si>
  <si>
    <t>303874</t>
  </si>
  <si>
    <t>H00303874</t>
  </si>
  <si>
    <t>FdSc in Sports Coaching Science - Easton and Otley College</t>
  </si>
  <si>
    <t>303875</t>
  </si>
  <si>
    <t>H00303875</t>
  </si>
  <si>
    <t>BA (Hons) in Sport Management (Top up) - Loughborough College</t>
  </si>
  <si>
    <t>303876</t>
  </si>
  <si>
    <t>H00303876</t>
  </si>
  <si>
    <t>BSc (Hons) in Operating Department Practice - University of Central Lancashire - Operating Department Practitioner (Integrated Degree)</t>
  </si>
  <si>
    <t>303877</t>
  </si>
  <si>
    <t>H00303877</t>
  </si>
  <si>
    <t>BSc (Hons) in Nursing Degree Apprenticeship (Adult) - University of Derby - Registered Nurse Degree standard</t>
  </si>
  <si>
    <t>303878</t>
  </si>
  <si>
    <t>H00303878</t>
  </si>
  <si>
    <t>BSc (Hons) in Nursing Degree Apprenticeship (Mental Health) - University of Derby - Registered Nurse Degree standard</t>
  </si>
  <si>
    <t>303879</t>
  </si>
  <si>
    <t>H00303879</t>
  </si>
  <si>
    <t>BSc (Hons) in Nursing - University of East London - Registered Nurse Degree Apprenticeship</t>
  </si>
  <si>
    <t>303880</t>
  </si>
  <si>
    <t>H00303880</t>
  </si>
  <si>
    <t>FdA in Creative Digital Design - South Devon College</t>
  </si>
  <si>
    <t>303881</t>
  </si>
  <si>
    <t>H00303881</t>
  </si>
  <si>
    <t>CertHE in Creative Digital Design - South Devon College</t>
  </si>
  <si>
    <t>303882</t>
  </si>
  <si>
    <t>H00303882</t>
  </si>
  <si>
    <t>FdA in Children, Young People and Community Services (Social Care) - South Devon College</t>
  </si>
  <si>
    <t>303883</t>
  </si>
  <si>
    <t>H00303883</t>
  </si>
  <si>
    <t>CertHE in Children, Young People and Community Services (Social Care) - South Devon College</t>
  </si>
  <si>
    <t>303884</t>
  </si>
  <si>
    <t>H00303884</t>
  </si>
  <si>
    <t>MBA in Business Administration - Bath Spa University - Senior Leader Master's Degree Apprenticeship</t>
  </si>
  <si>
    <t>303885</t>
  </si>
  <si>
    <t>H00303885</t>
  </si>
  <si>
    <t>FdA in Performing Arts in the Community (Music) - Doncaster College</t>
  </si>
  <si>
    <t>303886</t>
  </si>
  <si>
    <t>H00303886</t>
  </si>
  <si>
    <t>FdA in Performing Arts in the Community (Dance) - Doncaster College</t>
  </si>
  <si>
    <t>303887</t>
  </si>
  <si>
    <t>H00303887</t>
  </si>
  <si>
    <t>FdA in Performing Arts in the Community (Drama) - Doncaster College</t>
  </si>
  <si>
    <t>303888</t>
  </si>
  <si>
    <t>H00303888</t>
  </si>
  <si>
    <t>BA (Hons) in Performing Arts in the Community (Music) - Doncaster College</t>
  </si>
  <si>
    <t>303889</t>
  </si>
  <si>
    <t>H00303889</t>
  </si>
  <si>
    <t>BA (Hons) in Performing Arts in the Community (Dance) - Doncaster College</t>
  </si>
  <si>
    <t>303890</t>
  </si>
  <si>
    <t>H00303890</t>
  </si>
  <si>
    <t>BA (Hons) in Performing Arts in the Community (Drama) - Doncaster College</t>
  </si>
  <si>
    <t>303891</t>
  </si>
  <si>
    <t>H00303891</t>
  </si>
  <si>
    <t>BSc (Hons) in Digital - London South bank University - Digital Marketer Degree Apprenticeship</t>
  </si>
  <si>
    <t>303892</t>
  </si>
  <si>
    <t>H00303892</t>
  </si>
  <si>
    <t>BSc (Hons) in Food Science and Engineering - Teesside University - Food Industry Technical Professional (Degree) Apprenticeship Standard</t>
  </si>
  <si>
    <t>303893</t>
  </si>
  <si>
    <t>H00303893</t>
  </si>
  <si>
    <t>BA (Hons) in Counselling (Top Up) - Grimsby Institute of Further and Higher Education</t>
  </si>
  <si>
    <t>303894</t>
  </si>
  <si>
    <t>H00303894</t>
  </si>
  <si>
    <t>BA (Hons) in Counselling Theory (Top Up) - Grimsby Institute of Further and Higher Education</t>
  </si>
  <si>
    <t>303895</t>
  </si>
  <si>
    <t>H00303895</t>
  </si>
  <si>
    <t>FdA in Health and Social Care Management - Fareham College</t>
  </si>
  <si>
    <t>303896</t>
  </si>
  <si>
    <t>H00303896</t>
  </si>
  <si>
    <t>BSc (Hons) in Nursing (Adult) - University of Gloucestershire - Registered Nurse Degree Apprenticeship</t>
  </si>
  <si>
    <t>303897</t>
  </si>
  <si>
    <t>H00303897</t>
  </si>
  <si>
    <t>FdSc in Nursing Associate - University of Gloucestershire - Nursing Associate Apprenticeship Standard</t>
  </si>
  <si>
    <t>303898</t>
  </si>
  <si>
    <t>H00303898</t>
  </si>
  <si>
    <t>BA (Hons) Filmmaking</t>
  </si>
  <si>
    <t>303899</t>
  </si>
  <si>
    <t>H00303899</t>
  </si>
  <si>
    <t>HNC in Construction - University of Portsmouth</t>
  </si>
  <si>
    <t>303900</t>
  </si>
  <si>
    <t>H00303900</t>
  </si>
  <si>
    <t>MSc in Public Service Management - University of Hertfordshire - Senior Leader Apprenticeship Standard</t>
  </si>
  <si>
    <t>303901</t>
  </si>
  <si>
    <t>H00303901</t>
  </si>
  <si>
    <t>BSc (Hons) in Chemistry - University of Salford - Laboratory Scientist Degree Apprenticeship Standard</t>
  </si>
  <si>
    <t>303902</t>
  </si>
  <si>
    <t>H00303902</t>
  </si>
  <si>
    <t>BSc (Hons) in Occupational Therapy - Sheffield Hallam University</t>
  </si>
  <si>
    <t>303903</t>
  </si>
  <si>
    <t>H00303903</t>
  </si>
  <si>
    <t>BSc (Hons) in Physiotherapy - Sheffield Hallam University</t>
  </si>
  <si>
    <t>303904</t>
  </si>
  <si>
    <t>H00303904</t>
  </si>
  <si>
    <t>BA (Hons) in Social Work Practice - Sheffield Hallam University</t>
  </si>
  <si>
    <t>303905</t>
  </si>
  <si>
    <t>H00303905</t>
  </si>
  <si>
    <t>BSc (Hons) in Operating Department Practice - University of Huddersfield - Operating Department Practitioner Degree Apprenticeship</t>
  </si>
  <si>
    <t>303906</t>
  </si>
  <si>
    <t>H00303906</t>
  </si>
  <si>
    <t>BSc (Hons) in Exercise, Health and Sports Performance - South Essex College of Further and Higher Education</t>
  </si>
  <si>
    <t>303907</t>
  </si>
  <si>
    <t>H00303907</t>
  </si>
  <si>
    <t>FdSc in Assistant Practitioner - University of Derby - Healthcare Assistant Practitioner Apprenticeship Standard</t>
  </si>
  <si>
    <t>303908</t>
  </si>
  <si>
    <t>H00303908</t>
  </si>
  <si>
    <t>MSc in Digital Technology Solutions - University of Salford - Digital and Technology Solutions Specialist Degree Apprenticeship</t>
  </si>
  <si>
    <t>303909</t>
  </si>
  <si>
    <t>H00303909</t>
  </si>
  <si>
    <t>MSt in Applied Criminology and Police Management Apprenticeship - University of Cambridge - Senior Leaders Standard</t>
  </si>
  <si>
    <t>303910</t>
  </si>
  <si>
    <t>H00303910</t>
  </si>
  <si>
    <t>BSc in Digital and Software Solutions - Birkbeck, University of London</t>
  </si>
  <si>
    <t>303911</t>
  </si>
  <si>
    <t>H00303911</t>
  </si>
  <si>
    <t>BA (Hons) in Human Behavioural Studies - Petroc</t>
  </si>
  <si>
    <t>303912</t>
  </si>
  <si>
    <t>H00303912</t>
  </si>
  <si>
    <t>MBA in Senior Leader - The University of West London - Senior Leader Master's Degree Apprenticeship</t>
  </si>
  <si>
    <t>303913</t>
  </si>
  <si>
    <t>H00303913</t>
  </si>
  <si>
    <t>BA (Hons) in Digital Film Production - Colchester Institute</t>
  </si>
  <si>
    <t>303914</t>
  </si>
  <si>
    <t>H00303914</t>
  </si>
  <si>
    <t>Post Graduate in Academic Professional - De Montfort University - Academic Professional Apprenticeship</t>
  </si>
  <si>
    <t>303915</t>
  </si>
  <si>
    <t>H00303915</t>
  </si>
  <si>
    <t>BSc (Hons) in Cyber Security Professional - De Montfort University - Cyber Security Technical Professional Degree Apprenticeship</t>
  </si>
  <si>
    <t>303916</t>
  </si>
  <si>
    <t>H00303916</t>
  </si>
  <si>
    <t>BA (Hons) in Social Work - Nottingham Trent University - Social Worker Apprenticeship</t>
  </si>
  <si>
    <t>303917</t>
  </si>
  <si>
    <t>H00303917</t>
  </si>
  <si>
    <t>MSc in Systems Engineering  - Loughborough University - Senior Engineering Master's Level Degree Apprenticeship ST0107</t>
  </si>
  <si>
    <t>303918</t>
  </si>
  <si>
    <t>H00303918</t>
  </si>
  <si>
    <t>BA (Hons) in Social Work - Leeds Beckett University</t>
  </si>
  <si>
    <t>303919</t>
  </si>
  <si>
    <t>H00303919</t>
  </si>
  <si>
    <t>MA in Town and Regional Planning - Leeds Beckett University</t>
  </si>
  <si>
    <t>303921</t>
  </si>
  <si>
    <t>H00303921</t>
  </si>
  <si>
    <t>HNC in Business and Management - Mid-Kent College</t>
  </si>
  <si>
    <t>303922</t>
  </si>
  <si>
    <t>H00303922</t>
  </si>
  <si>
    <t>HNC in Information Technology - Mid-Kent College</t>
  </si>
  <si>
    <t>303923</t>
  </si>
  <si>
    <t>H00303923</t>
  </si>
  <si>
    <t>Foundation Degree (FdSc) in Computing - Derby College</t>
  </si>
  <si>
    <t>303924</t>
  </si>
  <si>
    <t>H00303924</t>
  </si>
  <si>
    <t>Bachelor of Nursing (Single Honours) Adult Nursing - University of Chester - Registered Nurse - Degree (NMC 2018) Apprenticeship Standard</t>
  </si>
  <si>
    <t>303925</t>
  </si>
  <si>
    <t>H00303925</t>
  </si>
  <si>
    <t>Bachelor of Nursing (Single Honours) Adult Nursing - University of Chester</t>
  </si>
  <si>
    <t>303926</t>
  </si>
  <si>
    <t>H00303926</t>
  </si>
  <si>
    <t>BSc (Hons) in Digital and Technology Solutions - University of Bedfordshire - Digital and Technology Solutions Professional Degree Apprenticeship</t>
  </si>
  <si>
    <t>303927</t>
  </si>
  <si>
    <t>H00303927</t>
  </si>
  <si>
    <t>Cert HE in Data Analyst - University of Bedfordshire - Data Analyst Apprenticeship Standard</t>
  </si>
  <si>
    <t>303928</t>
  </si>
  <si>
    <t>H00303928</t>
  </si>
  <si>
    <t>Cert HE in Project Management - University of Bedfordshire - Associate Project Manager Apprenticeship Standard</t>
  </si>
  <si>
    <t>303930</t>
  </si>
  <si>
    <t>H00303930</t>
  </si>
  <si>
    <t>BSc (Hons) in Nursing with Registered Nurse Adult - University of Bedfordshire - Registered Nurse Degree Apprenticeship</t>
  </si>
  <si>
    <t>303931</t>
  </si>
  <si>
    <t>H00303931</t>
  </si>
  <si>
    <t>BSc (Hons) in Nursing with Registered Nurse Child - University of Bedfordshire - Registered Nurse Degree Apprenticeship</t>
  </si>
  <si>
    <t>303932</t>
  </si>
  <si>
    <t>H00303932</t>
  </si>
  <si>
    <t>BSc (Hons) in Nursing with Registered Nurse Mental Health - University of Bedfordshire - Registered Nurse Degree Apprenticeship</t>
  </si>
  <si>
    <t>303933</t>
  </si>
  <si>
    <t>H00303933</t>
  </si>
  <si>
    <t>Foundation Degree in Nursing Associate - University of Bedfordshire - Nursing Associate Standard</t>
  </si>
  <si>
    <t>303934</t>
  </si>
  <si>
    <t>H00303934</t>
  </si>
  <si>
    <t>Foundation Degree in Healthcare Practice - University of Bedfordshire - Healthcare Assistant Practitioner Apprenticeship Standard</t>
  </si>
  <si>
    <t>303935</t>
  </si>
  <si>
    <t>H00303935</t>
  </si>
  <si>
    <t>MSc in Advanced Clinical Practitioner - University of Bedfordshire - Advanced Clinical Practitioner Degree Apprenticeship</t>
  </si>
  <si>
    <t>303936</t>
  </si>
  <si>
    <t>H00303936</t>
  </si>
  <si>
    <t>PG Dip in Academic Practice - University of Bedfordshire - Academic Professional Degree Apprenticeship</t>
  </si>
  <si>
    <t>303937</t>
  </si>
  <si>
    <t>H00303937</t>
  </si>
  <si>
    <t>BSc (Hons) in Professional Policing Practice - University of the West of England, Bristol - Police Constable Degree Apprenticeship</t>
  </si>
  <si>
    <t>303938</t>
  </si>
  <si>
    <t>H00303938</t>
  </si>
  <si>
    <t>MSc in Advanced Clinical Practice - Keele University - Advanced Clinical Practitioner Degree Apprenticeship</t>
  </si>
  <si>
    <t>303939</t>
  </si>
  <si>
    <t>H00303939</t>
  </si>
  <si>
    <t>BSc (Hons) in Environmental Science (Practitioner) - University of Central Lancashire - Environmental Practitioner Degree Apprenticeship</t>
  </si>
  <si>
    <t>303940</t>
  </si>
  <si>
    <t>H00303940</t>
  </si>
  <si>
    <t>MSt in Architecture - University of Cambridge - Architect Degree Apprenticeship Standard</t>
  </si>
  <si>
    <t>303941</t>
  </si>
  <si>
    <t>H00303941</t>
  </si>
  <si>
    <t>FdA in Health and Wellbeing (Assistant Practitioner) - University of Suffolk - Healthcare Assistant Practitioner Apprenticeship Standard</t>
  </si>
  <si>
    <t>303942</t>
  </si>
  <si>
    <t>H00303942</t>
  </si>
  <si>
    <t>Certificate of Higher Education in School Business Manager - Solent University</t>
  </si>
  <si>
    <t>303943</t>
  </si>
  <si>
    <t>H00303943</t>
  </si>
  <si>
    <t>Certificate of Higher Education in Associate Project Manager - Solent University</t>
  </si>
  <si>
    <t>303944</t>
  </si>
  <si>
    <t>H00303944</t>
  </si>
  <si>
    <t>HNC in Network Engineer - Solent University</t>
  </si>
  <si>
    <t>303945</t>
  </si>
  <si>
    <t>H00303945</t>
  </si>
  <si>
    <t>HNC in Data Analyst- Solent University</t>
  </si>
  <si>
    <t>303946</t>
  </si>
  <si>
    <t>H00303946</t>
  </si>
  <si>
    <t>BA (Hons) in Professional Practice (Early Years) - Burnley College</t>
  </si>
  <si>
    <t>303947</t>
  </si>
  <si>
    <t>H00303947</t>
  </si>
  <si>
    <t>BA (Hons) in Professional Practice (Working with Children and Young People) - Burnley College</t>
  </si>
  <si>
    <t>303948</t>
  </si>
  <si>
    <t>H00303948</t>
  </si>
  <si>
    <t>BSc (Hons) in Computing - Burnley College</t>
  </si>
  <si>
    <t>303949</t>
  </si>
  <si>
    <t>H00303949</t>
  </si>
  <si>
    <t>BSc (Hons) in Criminology - Burnley College</t>
  </si>
  <si>
    <t>303950</t>
  </si>
  <si>
    <t>H00303950</t>
  </si>
  <si>
    <t>Foundation Degree in Early Years Practice - Burnley College</t>
  </si>
  <si>
    <t>303951</t>
  </si>
  <si>
    <t>H00303951</t>
  </si>
  <si>
    <t>FdA in Contemporary Arts Practice - South Devon College</t>
  </si>
  <si>
    <t>303952</t>
  </si>
  <si>
    <t>H00303952</t>
  </si>
  <si>
    <t>CertHE in Contemporary Arts Practice - South Devon College</t>
  </si>
  <si>
    <t>303953</t>
  </si>
  <si>
    <t>H00303953</t>
  </si>
  <si>
    <t>FdA in Early Childhood Studies - South Gloucestershire and Stroud College</t>
  </si>
  <si>
    <t>303954</t>
  </si>
  <si>
    <t>H00303954</t>
  </si>
  <si>
    <t>MA in Strategic Clinical Leadership - London South Bank University - Senior Leader Master's Degree Apprenticeship</t>
  </si>
  <si>
    <t>303955</t>
  </si>
  <si>
    <t>H00303955</t>
  </si>
  <si>
    <t>Bachelor of Arts (Honours) in Social Work (England) - The Open University - Social Worker Degree Apprenticeship</t>
  </si>
  <si>
    <t>303956</t>
  </si>
  <si>
    <t>H00303956</t>
  </si>
  <si>
    <t>BA (Hons) in Teaching and Learning (Top-up) - Middlesbrough College</t>
  </si>
  <si>
    <t>303957</t>
  </si>
  <si>
    <t>H00303957</t>
  </si>
  <si>
    <t>FD in Teaching and Learning Support - Middlesbrough College</t>
  </si>
  <si>
    <t>303958</t>
  </si>
  <si>
    <t>H00303958</t>
  </si>
  <si>
    <t>Foundation Degree in Applied Agriculture Science - Kingston Maurward College</t>
  </si>
  <si>
    <t>303959</t>
  </si>
  <si>
    <t>H00303959</t>
  </si>
  <si>
    <t>MSc Advanced Clinical Practise - University of the West of England, Bristol (UWE,  Bristol) - Advanced Clinical Practitioner (degree)</t>
  </si>
  <si>
    <t>303960</t>
  </si>
  <si>
    <t>H00303960</t>
  </si>
  <si>
    <t>BSc (Hons) in Equine - Hadlow College</t>
  </si>
  <si>
    <t>303961</t>
  </si>
  <si>
    <t>H00303961</t>
  </si>
  <si>
    <t>BSc (Hons) in Aquaculture and Fisheries Management - Hadlow College</t>
  </si>
  <si>
    <t>303962</t>
  </si>
  <si>
    <t>H00303962</t>
  </si>
  <si>
    <t>Ba (Hons) in Garden Design - Hadlow College</t>
  </si>
  <si>
    <t>303963</t>
  </si>
  <si>
    <t>H00303963</t>
  </si>
  <si>
    <t>BSc (Hons) in Horticulture - Hadlow College</t>
  </si>
  <si>
    <t>303964</t>
  </si>
  <si>
    <t>H00303964</t>
  </si>
  <si>
    <t>BSc (Hons) in Animal Management - Hadlow College</t>
  </si>
  <si>
    <t>303965</t>
  </si>
  <si>
    <t>H00303965</t>
  </si>
  <si>
    <t>FdA in Health, Nutrition and Physical Activity - Hugh Baird College</t>
  </si>
  <si>
    <t>303966</t>
  </si>
  <si>
    <t>H00303966</t>
  </si>
  <si>
    <t>FdA in Games Design - Hugh Baird College</t>
  </si>
  <si>
    <t>303967</t>
  </si>
  <si>
    <t>H00303967</t>
  </si>
  <si>
    <t>BSc (Hons) in Occupational Therapy - University of Brighton - Occupational Therapist Degree Apprenticeship</t>
  </si>
  <si>
    <t>303968</t>
  </si>
  <si>
    <t>H00303968</t>
  </si>
  <si>
    <t>BSc (Hons) in Podiatry - University of Brighton - Podiatry Degree</t>
  </si>
  <si>
    <t>303969</t>
  </si>
  <si>
    <t>H00303969</t>
  </si>
  <si>
    <t>In-Service Certificate in Education (Lifelong Learning ) - The Manchester College (Trading name of LTE Group)</t>
  </si>
  <si>
    <t>303970</t>
  </si>
  <si>
    <t>H00303970</t>
  </si>
  <si>
    <t>In-Service Professional Graduate Certificate in Education (Lifelong Learning ) - The Manchester College (Trading name of LTE Group)</t>
  </si>
  <si>
    <t>303971</t>
  </si>
  <si>
    <t>H00303971</t>
  </si>
  <si>
    <t>In-Service Post Graduate Certificate in Education (Lifelong Learning ) - The Manchester College (Trading name of LTE Group)</t>
  </si>
  <si>
    <t>303972</t>
  </si>
  <si>
    <t>H00303972</t>
  </si>
  <si>
    <t>In-Service Post Graduate Diploma in Education (Lifelong Learning ) - The Manchester College (Trading name of LTE Group)</t>
  </si>
  <si>
    <t>303973</t>
  </si>
  <si>
    <t>H00303973</t>
  </si>
  <si>
    <t>BA (Hons) in Business and Law - Croydon College</t>
  </si>
  <si>
    <t>303974</t>
  </si>
  <si>
    <t>H00303974</t>
  </si>
  <si>
    <t>BA (Hons) in Business, Leadership and Management (Top-up) - Calderdale College</t>
  </si>
  <si>
    <t>303975</t>
  </si>
  <si>
    <t>H00303975</t>
  </si>
  <si>
    <t>Foundation Degree in Business, Leadership and Management - Calderdale College</t>
  </si>
  <si>
    <t>303976</t>
  </si>
  <si>
    <t>H00303976</t>
  </si>
  <si>
    <t>BA (Hons) in Business Management and Professional Development - Calderdale College - Chartered Manager Standard</t>
  </si>
  <si>
    <t>303977</t>
  </si>
  <si>
    <t>H00303977</t>
  </si>
  <si>
    <t>MSc Advanced Clinical Practice - University of Salford - Advanced Clinical Practitioner (degree)</t>
  </si>
  <si>
    <t>303978</t>
  </si>
  <si>
    <t>H00303978</t>
  </si>
  <si>
    <t>BA (Hons) in Social Work - City College Norwich - Social Worker Degree Apprenticeship</t>
  </si>
  <si>
    <t>303979</t>
  </si>
  <si>
    <t>H00303979</t>
  </si>
  <si>
    <t>PGDip in Chartered Town Planner - London South Bank University - Chartered Town Planner (Apprenticeship)</t>
  </si>
  <si>
    <t>303980</t>
  </si>
  <si>
    <t>H00303980</t>
  </si>
  <si>
    <t>MA in Chartered Town Planner (Urban Design)- London South Bank University - Chartered Town Planner (Apprenticeship)</t>
  </si>
  <si>
    <t>303981</t>
  </si>
  <si>
    <t>H00303981</t>
  </si>
  <si>
    <t>MA in Town and Country Planning - London South Bank University</t>
  </si>
  <si>
    <t>303982</t>
  </si>
  <si>
    <t>H00303982</t>
  </si>
  <si>
    <t>FdSc in Mental Health Studies (Clinical) - TEC Partnership</t>
  </si>
  <si>
    <t>303983</t>
  </si>
  <si>
    <t>H00303983</t>
  </si>
  <si>
    <t>FdSc in Refrigeration and Air Conditioning Engineering - Grimsby Institute of Further and Higher Education</t>
  </si>
  <si>
    <t>303984</t>
  </si>
  <si>
    <t>H00303984</t>
  </si>
  <si>
    <t>Foundation Degree in Hearing Aid Audiology - De Montfort University - Hearing Aid Dispenser Apprenticeship Standard</t>
  </si>
  <si>
    <t>303985</t>
  </si>
  <si>
    <t>H00303985</t>
  </si>
  <si>
    <t>MBA in Healthcare Management - Aston University - Senior Leader Master's Degree Apprenticeship</t>
  </si>
  <si>
    <t>303986</t>
  </si>
  <si>
    <t>H00303986</t>
  </si>
  <si>
    <t>BSc (Hons) in Leadership and Management (Top-up) - Aston University - Chartered Manager Degree Apprenticeship</t>
  </si>
  <si>
    <t>303987</t>
  </si>
  <si>
    <t>H00303987</t>
  </si>
  <si>
    <t>MSc in Digital and Technology Solutions Specialist - Aston University - Digital and Technology Solutions Specialist Degree Apprenticeship</t>
  </si>
  <si>
    <t>303988</t>
  </si>
  <si>
    <t>H00303988</t>
  </si>
  <si>
    <t>BA (Hons) in Music - Morley College London</t>
  </si>
  <si>
    <t>303989</t>
  </si>
  <si>
    <t>H00303989</t>
  </si>
  <si>
    <t>BA (Hons) in Fashion - Morley College London</t>
  </si>
  <si>
    <t>303990</t>
  </si>
  <si>
    <t>H00303990</t>
  </si>
  <si>
    <t>Certificate of Higher Education in Aircraft Maintenance Engineering (Newcastle College) - NCG</t>
  </si>
  <si>
    <t>303991</t>
  </si>
  <si>
    <t>H00303991</t>
  </si>
  <si>
    <t>BA (Hons) in Interior and Spatial Design (Top-up) - NCG</t>
  </si>
  <si>
    <t>303992</t>
  </si>
  <si>
    <t>H00303992</t>
  </si>
  <si>
    <t>BEng (Hons) in Electrical Electronic Engineering (Top-up) - NCG</t>
  </si>
  <si>
    <t>303993</t>
  </si>
  <si>
    <t>H00303993</t>
  </si>
  <si>
    <t>MA in Childhood and Youth Practitioner - NCG</t>
  </si>
  <si>
    <t>303994</t>
  </si>
  <si>
    <t>H00303994</t>
  </si>
  <si>
    <t>BA (Hons) in Audio Visual Production (Top-up) - NCG</t>
  </si>
  <si>
    <t>303995</t>
  </si>
  <si>
    <t>H00303995</t>
  </si>
  <si>
    <t>FdA in Business Management (Carlisle College) - NCG</t>
  </si>
  <si>
    <t>303996</t>
  </si>
  <si>
    <t>H00303996</t>
  </si>
  <si>
    <t>BEng (Hons) in Mechanical Manufacturing Engineering (Top-Up) - NCG</t>
  </si>
  <si>
    <t>303997</t>
  </si>
  <si>
    <t>H00303997</t>
  </si>
  <si>
    <t>MA in Creative and Professional Practice - NCG</t>
  </si>
  <si>
    <t>303998</t>
  </si>
  <si>
    <t>H00303998</t>
  </si>
  <si>
    <t>Certificate of Higher Education in Counselling Skills and Therapeutic Communication (Newcastle College) - NCG</t>
  </si>
  <si>
    <t>303999</t>
  </si>
  <si>
    <t>H00303999</t>
  </si>
  <si>
    <t>FdEng in Rail Engineering - Newcastle Group - NCG</t>
  </si>
  <si>
    <t>304000</t>
  </si>
  <si>
    <t>H00304000</t>
  </si>
  <si>
    <t>BSc (Hons) in Occupational Therapy - The University of Northampton - Occupational Therapist (Integrated Degree)</t>
  </si>
  <si>
    <t>304001</t>
  </si>
  <si>
    <t>H00304001</t>
  </si>
  <si>
    <t>BA (Hons) in Culinary Arts Management (Top-up) - Middlesbrough College</t>
  </si>
  <si>
    <t>304002</t>
  </si>
  <si>
    <t>H00304002</t>
  </si>
  <si>
    <t>MA in Hospitality and Tourism Management (Top-up) - Middlesbrough College</t>
  </si>
  <si>
    <t>304003</t>
  </si>
  <si>
    <t>H00304003</t>
  </si>
  <si>
    <t>BSc (Hons) in Building Control - University of Wolverhampton</t>
  </si>
  <si>
    <t>304004</t>
  </si>
  <si>
    <t>H00304004</t>
  </si>
  <si>
    <t>FdA in Early Childhood Studies - Blackburn College</t>
  </si>
  <si>
    <t>304005</t>
  </si>
  <si>
    <t>H00304005</t>
  </si>
  <si>
    <t>BA (Hons) in Early Childhood Studies (Top-up) - Blackburn College</t>
  </si>
  <si>
    <t>304006</t>
  </si>
  <si>
    <t>H00304006</t>
  </si>
  <si>
    <t>FdA in Teaching and Learning Support (Primary) - Blackburn College</t>
  </si>
  <si>
    <t>304007</t>
  </si>
  <si>
    <t>H00304007</t>
  </si>
  <si>
    <t>BA (Hons) in Teaching and Learning Support (Primary) (Top-up) - Blackburn College</t>
  </si>
  <si>
    <t>304008</t>
  </si>
  <si>
    <t>H00304008</t>
  </si>
  <si>
    <t>BA (Hons) in International Golf Management - Cornwall College</t>
  </si>
  <si>
    <t>304009</t>
  </si>
  <si>
    <t>H00304009</t>
  </si>
  <si>
    <t>MSc in Land and Ecological Restoration - Cornwall College</t>
  </si>
  <si>
    <t>304010</t>
  </si>
  <si>
    <t>H00304010</t>
  </si>
  <si>
    <t>HNC in Professional Superyacht Engineer - Cornwall College</t>
  </si>
  <si>
    <t>304011</t>
  </si>
  <si>
    <t>H00304011</t>
  </si>
  <si>
    <t>BSc (Hons) in Agriculture - Cornwall College</t>
  </si>
  <si>
    <t>304012</t>
  </si>
  <si>
    <t>H00304012</t>
  </si>
  <si>
    <t>FdSc in Professional Superyacht Engineer - Cornwall College</t>
  </si>
  <si>
    <t>304013</t>
  </si>
  <si>
    <t>H00304013</t>
  </si>
  <si>
    <t>FdA in English with Creative Writing - Strode College</t>
  </si>
  <si>
    <t>304014</t>
  </si>
  <si>
    <t>H00304014</t>
  </si>
  <si>
    <t>PGCE (Professional Education Studies) - University of Brighton - Teacher standard</t>
  </si>
  <si>
    <t>304015</t>
  </si>
  <si>
    <t>H00304015</t>
  </si>
  <si>
    <t>BSc (Hons) in Psychology - Blackburn College</t>
  </si>
  <si>
    <t>304016</t>
  </si>
  <si>
    <t>H00304016</t>
  </si>
  <si>
    <t>BSc (Hons) in Psychology with Foundation Entry - Blackburn College</t>
  </si>
  <si>
    <t>304017</t>
  </si>
  <si>
    <t>H00304017</t>
  </si>
  <si>
    <t>BEng (Hons) in Control Engineering - Blackburn College</t>
  </si>
  <si>
    <t>304018</t>
  </si>
  <si>
    <t>H00304018</t>
  </si>
  <si>
    <t>BEng (Hons) in Electrical and Electronic Engineering - Blackburn College</t>
  </si>
  <si>
    <t>304019</t>
  </si>
  <si>
    <t>H00304019</t>
  </si>
  <si>
    <t>BA (Hons) in English Language and English Literature - Blackburn College</t>
  </si>
  <si>
    <t>304020</t>
  </si>
  <si>
    <t>H00304020</t>
  </si>
  <si>
    <t>BA (Hons) in English Language and History - Blackburn College</t>
  </si>
  <si>
    <t>304021</t>
  </si>
  <si>
    <t>H00304021</t>
  </si>
  <si>
    <t>BA (Hons) in English Language and Politics - Blackburn College</t>
  </si>
  <si>
    <t>304022</t>
  </si>
  <si>
    <t>H00304022</t>
  </si>
  <si>
    <t>BA (Hons) in English Language and Sociology - Blackburn College</t>
  </si>
  <si>
    <t>304023</t>
  </si>
  <si>
    <t>H00304023</t>
  </si>
  <si>
    <t>BA (Hons) in English Literature and History - Blackburn College</t>
  </si>
  <si>
    <t>304024</t>
  </si>
  <si>
    <t>H00304024</t>
  </si>
  <si>
    <t>BA (Hons) in English Literature and Politics - Blackburn College</t>
  </si>
  <si>
    <t>304025</t>
  </si>
  <si>
    <t>H00304025</t>
  </si>
  <si>
    <t>BA (Hons) in English Literature and Sociology - Blackburn College</t>
  </si>
  <si>
    <t>304026</t>
  </si>
  <si>
    <t>H00304026</t>
  </si>
  <si>
    <t>BA (Hons) in History and Politics - Blackburn College</t>
  </si>
  <si>
    <t>304027</t>
  </si>
  <si>
    <t>H00304027</t>
  </si>
  <si>
    <t>BA (Hons) in History and Sociology - Blackburn College</t>
  </si>
  <si>
    <t>304028</t>
  </si>
  <si>
    <t>H00304028</t>
  </si>
  <si>
    <t>BA (Hons) in Politics and Sociology - Blackburn College</t>
  </si>
  <si>
    <t>304029</t>
  </si>
  <si>
    <t>H00304029</t>
  </si>
  <si>
    <t>MSc in General Pathway - Coventry University College - Advanced Clinical Practitioner (degree)</t>
  </si>
  <si>
    <t>304030</t>
  </si>
  <si>
    <t>H00304030</t>
  </si>
  <si>
    <t>MSc in Generic Pathway - Coventry University College - Advanced Clinical Practitioner (degree)</t>
  </si>
  <si>
    <t>304031</t>
  </si>
  <si>
    <t>H00304031</t>
  </si>
  <si>
    <t>MSc in Integrated Care Pathway - Coventry University College - Advanced Clinical Practitioner (degree)</t>
  </si>
  <si>
    <t>304032</t>
  </si>
  <si>
    <t>H00304032</t>
  </si>
  <si>
    <t>MSc in Urgent and Emergency Care Pathway - Coventry University College - Advanced Clinical Practitioner (degree)</t>
  </si>
  <si>
    <t>304033</t>
  </si>
  <si>
    <t>H00304033</t>
  </si>
  <si>
    <t>MSc in Musculosketal Pathway - Coventry University College - Advanced Clinical Practitioner (degree)</t>
  </si>
  <si>
    <t>304034</t>
  </si>
  <si>
    <t>H00304034</t>
  </si>
  <si>
    <t>MSc in Children and young people Pathway - Coventry University College - Advanced Clinical Practitioner (degree)</t>
  </si>
  <si>
    <t>304035</t>
  </si>
  <si>
    <t>H00304035</t>
  </si>
  <si>
    <t>MSc in Neonatal Pathway - Coventry University College - Advanced Clinical Practitioner (degree)</t>
  </si>
  <si>
    <t>304036</t>
  </si>
  <si>
    <t>H00304036</t>
  </si>
  <si>
    <t>MSc in Global Healthcare Management (Apprenticeship Route) - Coventry University College</t>
  </si>
  <si>
    <t>304037</t>
  </si>
  <si>
    <t>H00304037</t>
  </si>
  <si>
    <t>PGCE in Secondary Education with QTS - University of Huddersfield - Teacher Apprenticeship</t>
  </si>
  <si>
    <t>304038</t>
  </si>
  <si>
    <t>H00304038</t>
  </si>
  <si>
    <t>PGCE in Primary Education with QTS - University of Huddersfield - Teacher Apprenticeship</t>
  </si>
  <si>
    <t>304039</t>
  </si>
  <si>
    <t>H00304039</t>
  </si>
  <si>
    <t>FdSc in Computing (Newcastle College) - NCG</t>
  </si>
  <si>
    <t>304040</t>
  </si>
  <si>
    <t>H00304040</t>
  </si>
  <si>
    <t>BA (Hons) in Educational and Professional Development (Top-up) (Southwark College) - NCG</t>
  </si>
  <si>
    <t>304041</t>
  </si>
  <si>
    <t>H00304041</t>
  </si>
  <si>
    <t>FdSc in Networking and Cyber Security (Newcastle College) - NCG</t>
  </si>
  <si>
    <t>304042</t>
  </si>
  <si>
    <t>H00304042</t>
  </si>
  <si>
    <t>FdEng in Renewable Energy Engineering (Newcastle College) - NCG</t>
  </si>
  <si>
    <t>304043</t>
  </si>
  <si>
    <t>H00304043</t>
  </si>
  <si>
    <t>BSc (Hons) in Games Technologies (Top-up) (Newcastle College) - NCG</t>
  </si>
  <si>
    <t>304044</t>
  </si>
  <si>
    <t>H00304044</t>
  </si>
  <si>
    <t>Certificate of Higher Education in Dance (Newcastle College) - NCG</t>
  </si>
  <si>
    <t>304045</t>
  </si>
  <si>
    <t>H00304045</t>
  </si>
  <si>
    <t>BSc (Hons) in Adult Nursing - University of Greenwich - Registered Nurse Degree (NMC 2018) Apprenticeship Standard</t>
  </si>
  <si>
    <t>304046</t>
  </si>
  <si>
    <t>H00304046</t>
  </si>
  <si>
    <t>BSc (Hons) in Adult Nursing (Medway) - University of Greenwich - Registered Nurse Degree (NMC 2018) Apprenticeship Standard</t>
  </si>
  <si>
    <t>304047</t>
  </si>
  <si>
    <t>H00304047</t>
  </si>
  <si>
    <t>BSc (Hons) in Children's Nursing - University of Greenwich - Registered Nurse Degree (NMC 2018) Apprenticeship Standard</t>
  </si>
  <si>
    <t>304048</t>
  </si>
  <si>
    <t>H00304048</t>
  </si>
  <si>
    <t>BSc (Hons) in Learning Disabilities Nursing - University of Greenwich - Registered Nurse Degree (NMC 2018) Apprenticeship Standard</t>
  </si>
  <si>
    <t>304049</t>
  </si>
  <si>
    <t>H00304049</t>
  </si>
  <si>
    <t>BSc (Hons) in Mental Health Nursing - University of Greenwich - Registered Nurse Degree (NMC 2018) Apprenticeship Standard</t>
  </si>
  <si>
    <t>304050</t>
  </si>
  <si>
    <t>H00304050</t>
  </si>
  <si>
    <t>BSc (Hons) Digital and Technology Solutions (Data Analyst)</t>
  </si>
  <si>
    <t>304051</t>
  </si>
  <si>
    <t>H00304051</t>
  </si>
  <si>
    <t>BSc in Occupational Therapy - Coventry University College - Occupational Therapist (integrated degree) Apprenticeship Standard</t>
  </si>
  <si>
    <t>304052</t>
  </si>
  <si>
    <t>H00304052</t>
  </si>
  <si>
    <t>BSc in Operating Department Practice - Coventry University College - Operating Department Practitioner (integrated degree) Apprenticeship Standard</t>
  </si>
  <si>
    <t>304053</t>
  </si>
  <si>
    <t>H00304053</t>
  </si>
  <si>
    <t>BSc in Physiotherapy - Coventry University College - Physiotherapist (integrated degree) Apprenticeship Standard</t>
  </si>
  <si>
    <t>304054</t>
  </si>
  <si>
    <t>H00304054</t>
  </si>
  <si>
    <t>BSc in Social Work - Coventry University College - Social Worker (degree) Apprenticeship Standard</t>
  </si>
  <si>
    <t>304055</t>
  </si>
  <si>
    <t>H00304055</t>
  </si>
  <si>
    <t>Professional Development (Non Credit Bearing) Apprenticeship - Coventry University College - HR Consultant / Partner Apprenticeship Standard</t>
  </si>
  <si>
    <t>304056</t>
  </si>
  <si>
    <t>H00304056</t>
  </si>
  <si>
    <t>BSc (Hons) Digital Marketing - The Manchester Metropolitan University - Digital Marketer Degree Apprenticeship</t>
  </si>
  <si>
    <t>304057</t>
  </si>
  <si>
    <t>H00304057</t>
  </si>
  <si>
    <t>BA (Hons) Retail Leadership - The Manchester Metropolitan University - Retail Leadership Degree Apprenticeship</t>
  </si>
  <si>
    <t>304058</t>
  </si>
  <si>
    <t>H00304058</t>
  </si>
  <si>
    <t>BA (Hons) in Digital Video Production - Middlesbrough College</t>
  </si>
  <si>
    <t>304059</t>
  </si>
  <si>
    <t>H00304059</t>
  </si>
  <si>
    <t>BA (Hons) in English Literature and Philosophy and Religion - Holy Cross College</t>
  </si>
  <si>
    <t>304060</t>
  </si>
  <si>
    <t>H00304060</t>
  </si>
  <si>
    <t>BA (Hons) in Health and Wellbeing and Philosophy and Religion - Holy Cross College</t>
  </si>
  <si>
    <t>304061</t>
  </si>
  <si>
    <t>H00304061</t>
  </si>
  <si>
    <t>BA (Hons) in History and Philosophy and Religion - Holy Cross College</t>
  </si>
  <si>
    <t>304062</t>
  </si>
  <si>
    <t>H00304062</t>
  </si>
  <si>
    <t>BA (Hons) in Philosophy and Religion and Special Educational Needs - Holy Cross College</t>
  </si>
  <si>
    <t>304063</t>
  </si>
  <si>
    <t>H00304063</t>
  </si>
  <si>
    <t>BA (Hons) in Early Childhood and Health and Wellbeing - Holy Cross College</t>
  </si>
  <si>
    <t>304064</t>
  </si>
  <si>
    <t>H00304064</t>
  </si>
  <si>
    <t>BA (Hons) in Education and Health and Wellbeing - Holy Cross College</t>
  </si>
  <si>
    <t>304065</t>
  </si>
  <si>
    <t>H00304065</t>
  </si>
  <si>
    <t>BA (Hons) in Early Childhood and English Literature - Holy Cross College</t>
  </si>
  <si>
    <t>304066</t>
  </si>
  <si>
    <t>H00304066</t>
  </si>
  <si>
    <t>BA (Hons) in Early Childhood and History - Holy Cross College</t>
  </si>
  <si>
    <t>304067</t>
  </si>
  <si>
    <t>H00304067</t>
  </si>
  <si>
    <t>BA (Hons) in Early Childhood and Philosophy and Religion - Holy Cross College</t>
  </si>
  <si>
    <t>304068</t>
  </si>
  <si>
    <t>H00304068</t>
  </si>
  <si>
    <t>BA (Hons) in Education and Philosophy and Religion - Holy Cross College</t>
  </si>
  <si>
    <t>304069</t>
  </si>
  <si>
    <t>H00304069</t>
  </si>
  <si>
    <t>BA (Hons) in English Literature and Special Educational Needs - Holy Cross College</t>
  </si>
  <si>
    <t>304070</t>
  </si>
  <si>
    <t>H00304070</t>
  </si>
  <si>
    <t>BA (Hons) in Health and Wellbeing and History - Holy Cross College</t>
  </si>
  <si>
    <t>304071</t>
  </si>
  <si>
    <t>H00304071</t>
  </si>
  <si>
    <t>BA (Hons) in Business Management (Top Up) - Southport College</t>
  </si>
  <si>
    <t>304072</t>
  </si>
  <si>
    <t>H00304072</t>
  </si>
  <si>
    <t>BA (Hons) in Social Work - Wiltshire College - Oxford Brookes University</t>
  </si>
  <si>
    <t>304073</t>
  </si>
  <si>
    <t>H00304073</t>
  </si>
  <si>
    <t>BSc (Hons) in Building Control - University College of Estate Management (UCEM)</t>
  </si>
  <si>
    <t>304074</t>
  </si>
  <si>
    <t>H00304074</t>
  </si>
  <si>
    <t>BSc (Hons) in Applied Biomedical Science - University of Portsmouth - Healthcare Science Practitioner Degree Apprenticeship</t>
  </si>
  <si>
    <t>304075</t>
  </si>
  <si>
    <t>H00304075</t>
  </si>
  <si>
    <t>BSc (Hons) in Computing and Digital Technologies - Bridgwater and Taunton College</t>
  </si>
  <si>
    <t>304076</t>
  </si>
  <si>
    <t>H00304076</t>
  </si>
  <si>
    <t>Foundation Degree in Computing and Digital Technologies - Bridgwater and Taunton College</t>
  </si>
  <si>
    <t>304077</t>
  </si>
  <si>
    <t>H00304077</t>
  </si>
  <si>
    <t>MSc in Advanced Clinical Practice - University of Hertfordshire - Advanced Clinical Practice (Degree Apprenticeship)</t>
  </si>
  <si>
    <t>304078</t>
  </si>
  <si>
    <t>H00304078</t>
  </si>
  <si>
    <t>BSc (Hons) in Applied Biomedical Science (Work-based) - University of Hertfordshire</t>
  </si>
  <si>
    <t>304079</t>
  </si>
  <si>
    <t>H00304079</t>
  </si>
  <si>
    <t>BSc in Computer Games Enterprise - Burnley College - UCLAN</t>
  </si>
  <si>
    <t>304080</t>
  </si>
  <si>
    <t>H00304080</t>
  </si>
  <si>
    <t>FD in Health and Social Care (Mental Health) - Burnley College - UCLAN</t>
  </si>
  <si>
    <t>304081</t>
  </si>
  <si>
    <t>H00304081</t>
  </si>
  <si>
    <t>HNC in Mechanical and Manufacturing Engineering - Burnley College - UCLAN</t>
  </si>
  <si>
    <t>304082</t>
  </si>
  <si>
    <t>H00304082</t>
  </si>
  <si>
    <t>BSc in Applied Animal Health - Cornwall College</t>
  </si>
  <si>
    <t>304083</t>
  </si>
  <si>
    <t>H00304083</t>
  </si>
  <si>
    <t>Foundation Degree in Criminology with Psychology - Hull College</t>
  </si>
  <si>
    <t>304084</t>
  </si>
  <si>
    <t>H00304084</t>
  </si>
  <si>
    <t>Foundation Degree in Games Design and Development - Hull College</t>
  </si>
  <si>
    <t>304085</t>
  </si>
  <si>
    <t>H00304085</t>
  </si>
  <si>
    <t>Foundation Degree in Musical Theatre with Contemporary Practice - Hull College</t>
  </si>
  <si>
    <t>304086</t>
  </si>
  <si>
    <t>H00304086</t>
  </si>
  <si>
    <t>Foundation Degree in 3D Design - Hull College</t>
  </si>
  <si>
    <t>304087</t>
  </si>
  <si>
    <t>H00304087</t>
  </si>
  <si>
    <t>MSc in Town Planning - Anglia Ruskin University</t>
  </si>
  <si>
    <t>304088</t>
  </si>
  <si>
    <t>H00304088</t>
  </si>
  <si>
    <t>MSc in Advanced Practice (Clinical) - Anglia Ruskin University</t>
  </si>
  <si>
    <t>304089</t>
  </si>
  <si>
    <t>H00304089</t>
  </si>
  <si>
    <t>MSc inDigital and Technology Solution (Data Analytics) - Anglia Ruskin University</t>
  </si>
  <si>
    <t>304090</t>
  </si>
  <si>
    <t>H00304090</t>
  </si>
  <si>
    <t>BSc (Hons) in Digital Marketing - Anglia Ruskin University</t>
  </si>
  <si>
    <t>304091</t>
  </si>
  <si>
    <t>H00304091</t>
  </si>
  <si>
    <t>BSc (Hons) in Bioinformatics - Anglia Ruskin University</t>
  </si>
  <si>
    <t>304092</t>
  </si>
  <si>
    <t>H00304092</t>
  </si>
  <si>
    <t>BSc (Hons) in Data Science - Anglia Ruskin University</t>
  </si>
  <si>
    <t>304093</t>
  </si>
  <si>
    <t>H00304093</t>
  </si>
  <si>
    <t>MEd in Educational Leadership Apprenticeship - University of Birmingham - Senior Leaders Master's Degree</t>
  </si>
  <si>
    <t>304094</t>
  </si>
  <si>
    <t>H00304094</t>
  </si>
  <si>
    <t>MSc in Advanced Clinical Practice - University of Birmingham - Advanced Clinical Practitioner (degree)</t>
  </si>
  <si>
    <t>304095</t>
  </si>
  <si>
    <t>H00304095</t>
  </si>
  <si>
    <t>BEng in Electrical and Railway Engineering Degree Apprenticeship  - University of Birmingham - Rail and Rail Systems Senior Engineer (degree)</t>
  </si>
  <si>
    <t>304096</t>
  </si>
  <si>
    <t>H00304096</t>
  </si>
  <si>
    <t>MSc in Railway Systems Engineering and Integration Degree Apprenticeship  - University of Birmingham - Rail and Rail Systems Principal Engineer (degree)</t>
  </si>
  <si>
    <t>304097</t>
  </si>
  <si>
    <t>H00304097</t>
  </si>
  <si>
    <t>MSc in Urban and Regional Planning - University of Birmingham - Chartered Town Planner (degree)</t>
  </si>
  <si>
    <t>304098</t>
  </si>
  <si>
    <t>H00304098</t>
  </si>
  <si>
    <t>BA (Hons) in Health and Wellbeing and Special Educational Needs - Holy Cross College</t>
  </si>
  <si>
    <t>304099</t>
  </si>
  <si>
    <t>H00304099</t>
  </si>
  <si>
    <t>BA (Hons) in History and Special Educational Needs - Holy Cross College</t>
  </si>
  <si>
    <t>304100</t>
  </si>
  <si>
    <t>H00304100</t>
  </si>
  <si>
    <t>BSc (Hons) in Physical Education and Sports Science - Holy Cross College</t>
  </si>
  <si>
    <t>304101</t>
  </si>
  <si>
    <t>H00304101</t>
  </si>
  <si>
    <t>BA (Hons) Modern History with Criminology - Farnborough College of Technology</t>
  </si>
  <si>
    <t>304102</t>
  </si>
  <si>
    <t>H00304102</t>
  </si>
  <si>
    <t>BA (Hons) Criminology with Modern History - Farnborough College of Technology</t>
  </si>
  <si>
    <t>304103</t>
  </si>
  <si>
    <t>H00304103</t>
  </si>
  <si>
    <t>BA (Hons) Business and Psychology - Farnborough College of Technology</t>
  </si>
  <si>
    <t>304104</t>
  </si>
  <si>
    <t>H00304104</t>
  </si>
  <si>
    <t>BA (Hons) Therapeutic Counselling (Top Up) - Farnborough College of Technology</t>
  </si>
  <si>
    <t>304105</t>
  </si>
  <si>
    <t>H00304105</t>
  </si>
  <si>
    <t>Postgraduate in Teaching (QTS) - University Of Hertfordshire - Teacher Apprenticeship Standard</t>
  </si>
  <si>
    <t>304106</t>
  </si>
  <si>
    <t>H00304106</t>
  </si>
  <si>
    <t>Executive Master of Business Administration in Senior Leadership - University of Nottingham - Senior Leader Master's Degree Apprenticeship</t>
  </si>
  <si>
    <t>304107</t>
  </si>
  <si>
    <t>H00304107</t>
  </si>
  <si>
    <t>BSc in Chemistry with Industry - University of Nottingham - Laboratory Scientist Degree Apprenticeship</t>
  </si>
  <si>
    <t>304108</t>
  </si>
  <si>
    <t>H00304108</t>
  </si>
  <si>
    <t>MArch in Architecture with Collaborative Practice Research - University of Nottingham - Architect Degree Apprenticeship</t>
  </si>
  <si>
    <t>304109</t>
  </si>
  <si>
    <t>H00304109</t>
  </si>
  <si>
    <t>BSc (Hons) in Occupational Therapy (Apprenticeship) - Canterbury Christ Church University - Occupational Therapist (Integrated Degree)</t>
  </si>
  <si>
    <t>304110</t>
  </si>
  <si>
    <t>H00304110</t>
  </si>
  <si>
    <t>BSc (Hons) in Operating Department Practice (Apprenticeship) - Canterbury Christ church University - Operating Department Practitioner (Integrated Degree)</t>
  </si>
  <si>
    <t>304111</t>
  </si>
  <si>
    <t>H00304111</t>
  </si>
  <si>
    <t>BA (hons) in Social Work (Apprenticeship) - Canterbury Christ Church University - Social Worker (Degree)</t>
  </si>
  <si>
    <t>304112</t>
  </si>
  <si>
    <t>H00304112</t>
  </si>
  <si>
    <t>BSc (Hons) in Nursing (Adult) or BSc (Hons) in Nursing (Mental Health - Canterbury Christ Church University - Registered Nurse - Degree (NMC 2018)</t>
  </si>
  <si>
    <t>304113</t>
  </si>
  <si>
    <t>H00304113</t>
  </si>
  <si>
    <t>FD in Nursing Associate - Canterbury Christ Church University - Nursing Associate (NMC 2018)</t>
  </si>
  <si>
    <t>304114</t>
  </si>
  <si>
    <t>H00304114</t>
  </si>
  <si>
    <t>FdSc in Nursing Associate - University of Salford - Nursing Associate Standard</t>
  </si>
  <si>
    <t>304115</t>
  </si>
  <si>
    <t>H00304115</t>
  </si>
  <si>
    <t>BSc (Hons) in Social Work - University of Salford Social Worker (degree)</t>
  </si>
  <si>
    <t>304116</t>
  </si>
  <si>
    <t>H00304116</t>
  </si>
  <si>
    <t>Postgraduate Diploma in Engineering Competence - University of Central Lancashire - Post Graduate Engineer Apprenticeship</t>
  </si>
  <si>
    <t>304117</t>
  </si>
  <si>
    <t>H00304117</t>
  </si>
  <si>
    <t>BSc (Hons) in Digital and Technology Solutions - New College Durham - Digital and Technology Solutions Professional Degree Apprenticeship</t>
  </si>
  <si>
    <t>304118</t>
  </si>
  <si>
    <t>H00304118</t>
  </si>
  <si>
    <t>BA (Hons) in Childhood and Youth Studies - City College Norwich</t>
  </si>
  <si>
    <t>304119</t>
  </si>
  <si>
    <t>H00304119</t>
  </si>
  <si>
    <t>BA (Hons) in Children's and Young People's Education and Development (Top-Up) - Tameside College</t>
  </si>
  <si>
    <t>304120</t>
  </si>
  <si>
    <t>H00304120</t>
  </si>
  <si>
    <t>FdSc in Nursing Associate - Anglia Ruskin University</t>
  </si>
  <si>
    <t>304121</t>
  </si>
  <si>
    <t>H00304121</t>
  </si>
  <si>
    <t>MSc in Advanced Clinical Practitioner - University of Cumbria - Advanced Clinical Practitioner Degree Apprenticeship</t>
  </si>
  <si>
    <t>304122</t>
  </si>
  <si>
    <t>H00304122</t>
  </si>
  <si>
    <t>MBA in Senior Leadership - University of Cumbria - Senior Leader Master's Degree Apprenticeship</t>
  </si>
  <si>
    <t>304123</t>
  </si>
  <si>
    <t>H00304123</t>
  </si>
  <si>
    <t>Certificate in Education Post 14 (Education and Training) - Boston College</t>
  </si>
  <si>
    <t>304124</t>
  </si>
  <si>
    <t>H00304124</t>
  </si>
  <si>
    <t>Postgraduate Certificate in Education Post 14 (Education and Training) - Boston College</t>
  </si>
  <si>
    <t>304125</t>
  </si>
  <si>
    <t>H00304125</t>
  </si>
  <si>
    <t>BA (Hons) in Digital Marketing - Nottingham Trent University - Digital Marketer Degree Apprenticeship</t>
  </si>
  <si>
    <t>304126</t>
  </si>
  <si>
    <t>H00304126</t>
  </si>
  <si>
    <t>LLB (Hons) in Law and LLM Law - Nottingham Trent University - Solicitor Apprenticeship Standard</t>
  </si>
  <si>
    <t>304127</t>
  </si>
  <si>
    <t>H00304127</t>
  </si>
  <si>
    <t>BSc (Hons) in Football Coaching and Performance - Myerscough College</t>
  </si>
  <si>
    <t>304128</t>
  </si>
  <si>
    <t>H00304128</t>
  </si>
  <si>
    <t>FD in Early Childhood Studies - East Riding college</t>
  </si>
  <si>
    <t>304129</t>
  </si>
  <si>
    <t>H00304129</t>
  </si>
  <si>
    <t>BA (Hons) in Early Childhood Studies Top-Up) - East Riding college</t>
  </si>
  <si>
    <t>304130</t>
  </si>
  <si>
    <t>H00304130</t>
  </si>
  <si>
    <t>FdSc in Nursing Associate (Higher Apprenticeship) - Kingston University - Nursing Associate (NMC 2018)</t>
  </si>
  <si>
    <t>304131</t>
  </si>
  <si>
    <t>H00304131</t>
  </si>
  <si>
    <t>BSc (Hons) in Real Estate and Property Management - Leeds Beckett University</t>
  </si>
  <si>
    <t>304132</t>
  </si>
  <si>
    <t>H00304132</t>
  </si>
  <si>
    <t>MSc in Risk and Safety Leadership - University of Portsmouth - Risk and Safety Management Professional Degree Apprenticeship</t>
  </si>
  <si>
    <t>304133</t>
  </si>
  <si>
    <t>H00304133</t>
  </si>
  <si>
    <t>Foundation Degree in Food Engineering - University of Lincoln</t>
  </si>
  <si>
    <t>304134</t>
  </si>
  <si>
    <t>H00304134</t>
  </si>
  <si>
    <t>MSc in Management - University of Kent - Senior Leader Master's Degree Apprenticeship</t>
  </si>
  <si>
    <t>304135</t>
  </si>
  <si>
    <t>H00304135</t>
  </si>
  <si>
    <t>MSc in Healthcare Management - University of Kent - Senior Leader Master's Degree Apprenticeship</t>
  </si>
  <si>
    <t>304136</t>
  </si>
  <si>
    <t>H00304136</t>
  </si>
  <si>
    <t>MSc in Risk and Safety Management - Liverpool John Moores University - Risk and Safety Management Professional Degree Apprenticeship</t>
  </si>
  <si>
    <t>304137</t>
  </si>
  <si>
    <t>H00304137</t>
  </si>
  <si>
    <t>FdSc in Animal Welfare Science - North Lindsey College</t>
  </si>
  <si>
    <t>304138</t>
  </si>
  <si>
    <t>H00304138</t>
  </si>
  <si>
    <t>BSc (Hons) in Data Science - York St John University - Data Scientist Degree Apprenticeship</t>
  </si>
  <si>
    <t>304139</t>
  </si>
  <si>
    <t>H00304139</t>
  </si>
  <si>
    <t>BSc (Hons) in Diagnostic Radiographer - University of Exeter - Diagnostic Radiographer Degree Apprenticeship</t>
  </si>
  <si>
    <t>304140</t>
  </si>
  <si>
    <t>H00304140</t>
  </si>
  <si>
    <t>BEng (Hons) in Mechanical and Manufacturing Engineering - University of Portsmouth - Manufacturing Engineer (Degree Apprenticeship)</t>
  </si>
  <si>
    <t>304141</t>
  </si>
  <si>
    <t>H00304141</t>
  </si>
  <si>
    <t>MBA in Senior Leader - University of Essex - Senior Leader Master's Degree Apprenticeship</t>
  </si>
  <si>
    <t>304142</t>
  </si>
  <si>
    <t>H00304142</t>
  </si>
  <si>
    <t>BSc (Hons) in Building Services Engineering - Site Management Top-Up - Leeds Beckett University</t>
  </si>
  <si>
    <t>304143</t>
  </si>
  <si>
    <t>H00304143</t>
  </si>
  <si>
    <t>BEng (Hons) in Civil Engineering - University of Brighton - Civil Engineer Degree Apprenticeship</t>
  </si>
  <si>
    <t>304144</t>
  </si>
  <si>
    <t>H00304144</t>
  </si>
  <si>
    <t>MSC in Research Scientist (Data Science) - University of Exeter - Research Scientist Apprenticeship Standard</t>
  </si>
  <si>
    <t>304145</t>
  </si>
  <si>
    <t>H00304145</t>
  </si>
  <si>
    <t>MSC in Advanced Clinical Practice  - University of Brighton - Advanced Clinical Practice (Degree Apprenticeship)</t>
  </si>
  <si>
    <t>304146</t>
  </si>
  <si>
    <t>H00304146</t>
  </si>
  <si>
    <t>MSC in Town Planning - University of Brighton - Chartered Town Planner Degree</t>
  </si>
  <si>
    <t>304147</t>
  </si>
  <si>
    <t>H00304147</t>
  </si>
  <si>
    <t>BSc (Hons) in Culinary Health and Nutrition - Capital City College Group</t>
  </si>
  <si>
    <t>304148</t>
  </si>
  <si>
    <t>H00304148</t>
  </si>
  <si>
    <t>BSc (Hons) in Culinary Health and Nutrition (Top-Up)- Capital City College Group</t>
  </si>
  <si>
    <t>304149</t>
  </si>
  <si>
    <t>H00304149</t>
  </si>
  <si>
    <t>FDSc in Culinary Health and Nutrition - Capital City College Group</t>
  </si>
  <si>
    <t>304150</t>
  </si>
  <si>
    <t>H00304150</t>
  </si>
  <si>
    <t>BSc (Hons) in Operating Department Practitioner - Buckinghamshire New University - Operating Department Practitioner (integrated degree)</t>
  </si>
  <si>
    <t>304151</t>
  </si>
  <si>
    <t>H00304151</t>
  </si>
  <si>
    <t>BSc (Hons) in Social Work - Buckinghamshire New University - Social Work (degree)</t>
  </si>
  <si>
    <t>304152</t>
  </si>
  <si>
    <t>H00304152</t>
  </si>
  <si>
    <t>Foundation Degree in Art and Design - Calderdale College</t>
  </si>
  <si>
    <t>304153</t>
  </si>
  <si>
    <t>H00304153</t>
  </si>
  <si>
    <t>FdSc in Coaching and Mentoring - Nelson and Colne College</t>
  </si>
  <si>
    <t>304154</t>
  </si>
  <si>
    <t>H00304154</t>
  </si>
  <si>
    <t>FdA in Working with Children and Families - Nelson and Colne College</t>
  </si>
  <si>
    <t>304155</t>
  </si>
  <si>
    <t>H00304155</t>
  </si>
  <si>
    <t>CertHE in Working with Children and Families - Nelson and Colne College</t>
  </si>
  <si>
    <t>304156</t>
  </si>
  <si>
    <t>H00304156</t>
  </si>
  <si>
    <t>BA (Hons) in Tourism and Events Management Top-Up - Leicester College</t>
  </si>
  <si>
    <t>304157</t>
  </si>
  <si>
    <t>H00304157</t>
  </si>
  <si>
    <t>Executive MSc in Leadership - Cass Business School (City, University of London) - Senior Leader Master's Degree Apprenticeship</t>
  </si>
  <si>
    <t>304158</t>
  </si>
  <si>
    <t>H00304158</t>
  </si>
  <si>
    <t>Executive MSc in Medical Leadership - Cass Business School (City, University of London) - Senior Leader Master's Degree Apprenticeship</t>
  </si>
  <si>
    <t>304159</t>
  </si>
  <si>
    <t>H00304159</t>
  </si>
  <si>
    <t>MSc in Advanced Clinical Practice - University of Derby - Advanced Clinical Practitioner Degree Apprenticeship</t>
  </si>
  <si>
    <t>304160</t>
  </si>
  <si>
    <t>H00304160</t>
  </si>
  <si>
    <t>MBA Professional - University of Derby - Senior Leader Master's Degree Apprenticeship</t>
  </si>
  <si>
    <t>304161</t>
  </si>
  <si>
    <t>H00304161</t>
  </si>
  <si>
    <t>BSc in Environmental Health - Middlesex University - Environmental Health Practitioner Apprenticeship Standard</t>
  </si>
  <si>
    <t>304162</t>
  </si>
  <si>
    <t>H00304162</t>
  </si>
  <si>
    <t>MSc in Occupational Health, Safety and Environment Management - Middlesex University - Risk and Safety Management Professional Apprenticeship Standard</t>
  </si>
  <si>
    <t>304163</t>
  </si>
  <si>
    <t>H00304163</t>
  </si>
  <si>
    <t>BSc (Hons) in Environmental Science - Kingston University - Environmental Practitioner Degree Apprenticeship</t>
  </si>
  <si>
    <t>304164</t>
  </si>
  <si>
    <t>H00304164</t>
  </si>
  <si>
    <t>BA (Hons) in Actor Musician - Wakefield College</t>
  </si>
  <si>
    <t>304165</t>
  </si>
  <si>
    <t>H00304165</t>
  </si>
  <si>
    <t>Master of Business Administration (Health Care Sector) - Coventry University College - Senior Leader Master's Degree Apprenticeship</t>
  </si>
  <si>
    <t>304166</t>
  </si>
  <si>
    <t>H00304166</t>
  </si>
  <si>
    <t>Postgraduate Diploma in Engineering Competence (Mechanical) - Coventry University College - Post Graduate Engineer Apprenticeship Standard</t>
  </si>
  <si>
    <t>304167</t>
  </si>
  <si>
    <t>H00304167</t>
  </si>
  <si>
    <t>Postgraduate Diploma in Engineering Competence (Automotive) - Coventry University College - Post Graduate Engineer Apprenticeship Standard</t>
  </si>
  <si>
    <t>304168</t>
  </si>
  <si>
    <t>H00304168</t>
  </si>
  <si>
    <t>BEng in Mechanical Engineering Design - Coventry University College - Product Design and Development Engineer Degree Apprenticeship</t>
  </si>
  <si>
    <t>304169</t>
  </si>
  <si>
    <t>H00304169</t>
  </si>
  <si>
    <t>BEng in Automotive Engineering Design - Coventry University College - Product Design and Development Engineer Degree Apprenticeship</t>
  </si>
  <si>
    <t>304170</t>
  </si>
  <si>
    <t>H00304170</t>
  </si>
  <si>
    <t>BEng in Manufacturing Engineering - Coventry University College - Manufacturing Engineer Degree Apprenticeship</t>
  </si>
  <si>
    <t>304171</t>
  </si>
  <si>
    <t>H00304171</t>
  </si>
  <si>
    <t>Foundation Degree (Engineering) in Metrology for Industry - Coventry University College - Senior Metrology Technician Apprenticeship Standard</t>
  </si>
  <si>
    <t>304172</t>
  </si>
  <si>
    <t>H00304172</t>
  </si>
  <si>
    <t>Foundation Degree (Science) in Nursing Associate - Coventry University College - Nursing Associate Apprenticeship Standard</t>
  </si>
  <si>
    <t>304173</t>
  </si>
  <si>
    <t>H00304173</t>
  </si>
  <si>
    <t>MSc in Advanced Clinical Practice - University of Huddersfield - Advanced Clinical Practitioner Degree Apprenticeship</t>
  </si>
  <si>
    <t>304174</t>
  </si>
  <si>
    <t>H00304174</t>
  </si>
  <si>
    <t>FdSc in Nursing Associate - Nottingham Trent University - Nursing Associate (NMC2018) Apprenticeship Standard</t>
  </si>
  <si>
    <t>304175</t>
  </si>
  <si>
    <t>H00304175</t>
  </si>
  <si>
    <t>304176</t>
  </si>
  <si>
    <t>H00304176</t>
  </si>
  <si>
    <t>BSc (Hons) Computer Science and Digital Technologies</t>
  </si>
  <si>
    <t>304177</t>
  </si>
  <si>
    <t>H00304177</t>
  </si>
  <si>
    <t>FdSc in Supporting Innovation in Health and Social Care - New College Durham</t>
  </si>
  <si>
    <t>304178</t>
  </si>
  <si>
    <t>H00304178</t>
  </si>
  <si>
    <t>BA (Hons) in Integrative Counselling Practise - Bishop Auckland College</t>
  </si>
  <si>
    <t>304179</t>
  </si>
  <si>
    <t>H00304179</t>
  </si>
  <si>
    <t>Foundation Degree in Nursing Associate - University of Huddersfield - Nursing Associate (NMC2018) Apprenticeship Standard</t>
  </si>
  <si>
    <t>304180</t>
  </si>
  <si>
    <t>H00304180</t>
  </si>
  <si>
    <t>BA (Hons) in English with Social Sciences - City College Norwich</t>
  </si>
  <si>
    <t>304181</t>
  </si>
  <si>
    <t>H00304181</t>
  </si>
  <si>
    <t>BSc (Hons) Nursing (Adult) - Keele University - Registered Nurse Degree Apprenticeship</t>
  </si>
  <si>
    <t>304182</t>
  </si>
  <si>
    <t>H00304182</t>
  </si>
  <si>
    <t>Pre-Service Professional Graduate Certificate in Education (Lifelong Learning) - Tameside College</t>
  </si>
  <si>
    <t>304183</t>
  </si>
  <si>
    <t>H00304183</t>
  </si>
  <si>
    <t>Pre-Service Postgraduate Certificate in Education (Lifelong Learning) - Tameside College</t>
  </si>
  <si>
    <t>304184</t>
  </si>
  <si>
    <t>H00304184</t>
  </si>
  <si>
    <t>Pre-Service Certificate in Education (Lifelong Learning) - Tameside College</t>
  </si>
  <si>
    <t>304185</t>
  </si>
  <si>
    <t>H00304185</t>
  </si>
  <si>
    <t>Professional Diploma in Legal Executive Practice - Leeds Beckett University</t>
  </si>
  <si>
    <t>304186</t>
  </si>
  <si>
    <t>H00304186</t>
  </si>
  <si>
    <t>BA (Hons) in Education and Professional Development - Tameside College</t>
  </si>
  <si>
    <t>304187</t>
  </si>
  <si>
    <t>H00304187</t>
  </si>
  <si>
    <t>BSc (Hons) in Podiatry - University of Huddersfield - Podiatrist Degree Apprenticeship</t>
  </si>
  <si>
    <t>304188</t>
  </si>
  <si>
    <t>H00304188</t>
  </si>
  <si>
    <t>Foundation Degree in Nursing Associate - Keele University - Nursing Associate (NMC 2018) Apprenticeship Standard</t>
  </si>
  <si>
    <t>304189</t>
  </si>
  <si>
    <t>H00304189</t>
  </si>
  <si>
    <t>BA (Hons) in Social Work - University of Suffolk - Social Work (degree apprenticeship)</t>
  </si>
  <si>
    <t>304190</t>
  </si>
  <si>
    <t>H00304190</t>
  </si>
  <si>
    <t>MSc in Advanced Clinical Practice - University of Suffolk - Advanced Clinical Practise (degree apprenticeship)</t>
  </si>
  <si>
    <t>304191</t>
  </si>
  <si>
    <t>H00304191</t>
  </si>
  <si>
    <t>CertHE in Associate Project Manager - London South Bank University - Associate Project Manager Apprenticeship Standard</t>
  </si>
  <si>
    <t>304192</t>
  </si>
  <si>
    <t>H00304192</t>
  </si>
  <si>
    <t>MSc in Advanced Clinical Practice (Adult) - London South Bank University - Advanced Clinical Practitioner Degree Apprenticeship</t>
  </si>
  <si>
    <t>304193</t>
  </si>
  <si>
    <t>H00304193</t>
  </si>
  <si>
    <t>MSc in Advanced Clinical Practice (Child) - London South Bank University - Advanced Clinical Practitioner Degree Apprenticeship</t>
  </si>
  <si>
    <t>304194</t>
  </si>
  <si>
    <t>H00304194</t>
  </si>
  <si>
    <t>MSc in Advanced Clinical Practice (Mental Health) - London South Bank University - Advanced Clinical Practitioner Degree Apprenticeship</t>
  </si>
  <si>
    <t>304195</t>
  </si>
  <si>
    <t>H00304195</t>
  </si>
  <si>
    <t>Foundation Degree in Educational Practice - Swindon college</t>
  </si>
  <si>
    <t>304196</t>
  </si>
  <si>
    <t>H00304196</t>
  </si>
  <si>
    <t>BA (Hons) in Early Childhood Studies - Swindon College</t>
  </si>
  <si>
    <t>304197</t>
  </si>
  <si>
    <t>H00304197</t>
  </si>
  <si>
    <t>BA (Hons) in Social Work - University of Sunderland - Social Worker Degree Apprenticeship</t>
  </si>
  <si>
    <t>304198</t>
  </si>
  <si>
    <t>H00304198</t>
  </si>
  <si>
    <t>CertHE in Food and Drink Manufacturing (Agri-Produce) - University of Lincoln - Operations / Departmental Manager Apprenticeship Standard</t>
  </si>
  <si>
    <t>304199</t>
  </si>
  <si>
    <t>H00304199</t>
  </si>
  <si>
    <t>CertHE in Food and Drink Manufacturing (Manufacturing and Operations Management) - University of Lincoln - Operations / Departmental Manager Apprenticeship Standard</t>
  </si>
  <si>
    <t>304200</t>
  </si>
  <si>
    <t>H00304200</t>
  </si>
  <si>
    <t>CertHE in Food and Drink Manufacturing (Operations and Supply Chain Management) - University of Lincoln - Operations / Departmental Manager Apprenticeship Standard</t>
  </si>
  <si>
    <t>304201</t>
  </si>
  <si>
    <t>H00304201</t>
  </si>
  <si>
    <t>CertHE in Food and Drink Manufacturing (Quality and Technical Management) - University of Lincoln - Operations / Departmental Manager Apprenticeship Standard</t>
  </si>
  <si>
    <t>304202</t>
  </si>
  <si>
    <t>H00304202</t>
  </si>
  <si>
    <t>Foundation Degree in Game Art - South Gloucestershire and Stroud College</t>
  </si>
  <si>
    <t>304203</t>
  </si>
  <si>
    <t>H00304203</t>
  </si>
  <si>
    <t>FdSc in Sports Coaching and Development - New College Durham</t>
  </si>
  <si>
    <t>304204</t>
  </si>
  <si>
    <t>H00304204</t>
  </si>
  <si>
    <t>BA (Hons) in Theatre and Performance (Year 03 Entry) - St Helens College</t>
  </si>
  <si>
    <t>304205</t>
  </si>
  <si>
    <t>H00304205</t>
  </si>
  <si>
    <t>Foundation Degree in Animal Management - University Centre Weston</t>
  </si>
  <si>
    <t>304206</t>
  </si>
  <si>
    <t>H00304206</t>
  </si>
  <si>
    <t>Foundation Degree in Sports Studies (Football) - University Centre Weston</t>
  </si>
  <si>
    <t>304207</t>
  </si>
  <si>
    <t>H00304207</t>
  </si>
  <si>
    <t>FdA in Nursing Associate - Middlesex University - Nursing Associate (NMC 2018) Apprenticeship Standard</t>
  </si>
  <si>
    <t>304208</t>
  </si>
  <si>
    <t>H00304208</t>
  </si>
  <si>
    <t>MSc in Professional Practice Senior Sales Leadership - Middlesex University - Senior Leader Degree Apprenticeship</t>
  </si>
  <si>
    <t>304209</t>
  </si>
  <si>
    <t>H00304209</t>
  </si>
  <si>
    <t>BSc (Hons) in Professional Policing Practice - University of Chester - Police Constable Degree Apprenticeship</t>
  </si>
  <si>
    <t>304210</t>
  </si>
  <si>
    <t>H00304210</t>
  </si>
  <si>
    <t>BSc (Hons) in Cyber Security (Top-up) - New College Durham</t>
  </si>
  <si>
    <t>304211</t>
  </si>
  <si>
    <t>H00304211</t>
  </si>
  <si>
    <t>MSc in Management - DN College's Group</t>
  </si>
  <si>
    <t>304212</t>
  </si>
  <si>
    <t>H00304212</t>
  </si>
  <si>
    <t>MSc in Human Resource Management - DN College's Group</t>
  </si>
  <si>
    <t>304213</t>
  </si>
  <si>
    <t>H00304213</t>
  </si>
  <si>
    <t>BA (Hons) in Professional Practice in Leadership and Management - DN College's Group</t>
  </si>
  <si>
    <t>304214</t>
  </si>
  <si>
    <t>H00304214</t>
  </si>
  <si>
    <t>BA (Hons) in Business and Management - DN College's Group</t>
  </si>
  <si>
    <t>304215</t>
  </si>
  <si>
    <t>H00304215</t>
  </si>
  <si>
    <t>FdA in Management - DN College's Group</t>
  </si>
  <si>
    <t>304216</t>
  </si>
  <si>
    <t>H00304216</t>
  </si>
  <si>
    <t>HND in Business and Management - DN College's Group</t>
  </si>
  <si>
    <t>304217</t>
  </si>
  <si>
    <t>H00304217</t>
  </si>
  <si>
    <t>Certificate in Policy Studies - University of Kent - Policy Officer Apprenticeship Standard</t>
  </si>
  <si>
    <t>304218</t>
  </si>
  <si>
    <t>H00304218</t>
  </si>
  <si>
    <t>BSc (Hons) in Economics (Professional Economist) - University of Kent - Professional Economist Degree Apprenticeship</t>
  </si>
  <si>
    <t>304219</t>
  </si>
  <si>
    <t>H00304219</t>
  </si>
  <si>
    <t>BSc (Hons) in Applied Bioscience (Clinical Trials Pathway) - University of Kent - Clinical Trials Specialist Degree Apprenticeship</t>
  </si>
  <si>
    <t>304220</t>
  </si>
  <si>
    <t>H00304220</t>
  </si>
  <si>
    <t>BA (Hons) in Social Work - University of Winchester - Social Worker Degree Apprenticeship</t>
  </si>
  <si>
    <t>304221</t>
  </si>
  <si>
    <t>H00304221</t>
  </si>
  <si>
    <t>BA (Hons) in Games and Animation Production - University Centre Weston</t>
  </si>
  <si>
    <t>304223</t>
  </si>
  <si>
    <t>H00304223</t>
  </si>
  <si>
    <t>BA (Hons) in Hair Make-up and Prosthetics - University Centre Weston</t>
  </si>
  <si>
    <t>304224</t>
  </si>
  <si>
    <t>H00304224</t>
  </si>
  <si>
    <t>MA in Educational Research Practice - DN College's Group</t>
  </si>
  <si>
    <t>304225</t>
  </si>
  <si>
    <t>H00304225</t>
  </si>
  <si>
    <t>BSc (Hons) in Health and Social Care (Top Up) - DN College's Group</t>
  </si>
  <si>
    <t>304226</t>
  </si>
  <si>
    <t>H00304226</t>
  </si>
  <si>
    <t>FdSc in Health and Social Care - DN College's Group</t>
  </si>
  <si>
    <t>304227</t>
  </si>
  <si>
    <t>H00304227</t>
  </si>
  <si>
    <t>MSc in Senior Leader - Canterbury Christ Church University - Senior Leader Master's Degree Apprenticeship</t>
  </si>
  <si>
    <t>304228</t>
  </si>
  <si>
    <t>H00304228</t>
  </si>
  <si>
    <t>MSc in Advanced Clinical Practitioner - Canterbury Christ Church University - Advanced Clinical Practitioner Degree Apprenticeship</t>
  </si>
  <si>
    <t>304229</t>
  </si>
  <si>
    <t>H00304229</t>
  </si>
  <si>
    <t>FdA in Film, Media and Photography - Truro and Penwith College</t>
  </si>
  <si>
    <t>304230</t>
  </si>
  <si>
    <t>H00304230</t>
  </si>
  <si>
    <t>FdA in History, Heritage and Culture - Truro and Penwith College</t>
  </si>
  <si>
    <t>304231</t>
  </si>
  <si>
    <t>H00304231</t>
  </si>
  <si>
    <t>FdSc in Cyber Security - Truro and Penwith College</t>
  </si>
  <si>
    <t>304232</t>
  </si>
  <si>
    <t>H00304232</t>
  </si>
  <si>
    <t>HNC in Cyber Security - Truro and Penwith College</t>
  </si>
  <si>
    <t>304233</t>
  </si>
  <si>
    <t>H00304233</t>
  </si>
  <si>
    <t>BSc (Hons) in Data Science - Keele University - Data Scientist Degree Apprenticeship</t>
  </si>
  <si>
    <t>304234</t>
  </si>
  <si>
    <t>H00304234</t>
  </si>
  <si>
    <t>Foundation Degree in Applied Zoo Science - Sparsholt College Hampshire</t>
  </si>
  <si>
    <t>304235</t>
  </si>
  <si>
    <t>H00304235</t>
  </si>
  <si>
    <t>BSc (Hons) in Applied Computer Science - City college Plymouth</t>
  </si>
  <si>
    <t>304236</t>
  </si>
  <si>
    <t>H00304236</t>
  </si>
  <si>
    <t>HNC in Business - City College Plymouth</t>
  </si>
  <si>
    <t>304237</t>
  </si>
  <si>
    <t>H00304237</t>
  </si>
  <si>
    <t>FdA in Business Management - LTE Group</t>
  </si>
  <si>
    <t>304238</t>
  </si>
  <si>
    <t>H00304238</t>
  </si>
  <si>
    <t>MSc in Digital Technology Specialist - University of Northumbria - Digital and Technology Solutions Specialist Apprenticeship Standard</t>
  </si>
  <si>
    <t>304239</t>
  </si>
  <si>
    <t>H00304239</t>
  </si>
  <si>
    <t>BSc (Hons) Cyber Security Technical Professional- University of Northumbria - Cyber Security Technology Professional Apprenticeship Standard</t>
  </si>
  <si>
    <t>304240</t>
  </si>
  <si>
    <t>H00304240</t>
  </si>
  <si>
    <t>BSc (Hons) Cyber Security Technical Professional- Edinburgh Napier University - Cyber Security Technology Professional Apprenticeship Standard</t>
  </si>
  <si>
    <t>304241</t>
  </si>
  <si>
    <t>H00304241</t>
  </si>
  <si>
    <t>BEng (Hons) in Manufacturing Engineering - University of Derby - Manufacturing Engineer (Degree Apprenticeship)</t>
  </si>
  <si>
    <t>304242</t>
  </si>
  <si>
    <t>H00304242</t>
  </si>
  <si>
    <t>BEng (Hons) in Manufacturing Engineering with Mechanical Design - University of Derby - Manufacturing Engineer (Degree Apprenticeship)</t>
  </si>
  <si>
    <t>304243</t>
  </si>
  <si>
    <t>H00304243</t>
  </si>
  <si>
    <t>BEng (Hons) in Manufacturing Engineering with Electronics- University of Derby - Manufacturing Engineer (Degree Apprenticeship)</t>
  </si>
  <si>
    <t>304244</t>
  </si>
  <si>
    <t>H00304244</t>
  </si>
  <si>
    <t>BSc (Hons) in Professional Policing Practice - University of South Wales - Police Constable Standard</t>
  </si>
  <si>
    <t>304245</t>
  </si>
  <si>
    <t>H00304245</t>
  </si>
  <si>
    <t>MSc in Strategic Leadership for Public Services - University of Northumbria at Newcastle - Senior Leaders (Degree Apprenticeship)</t>
  </si>
  <si>
    <t>304246</t>
  </si>
  <si>
    <t>H00304246</t>
  </si>
  <si>
    <t>BSc (Hons) in Agricultural Resource Management - Bishop Burton College</t>
  </si>
  <si>
    <t>304247</t>
  </si>
  <si>
    <t>H00304247</t>
  </si>
  <si>
    <t>FdSc in Agriculture - Bishop Burton College</t>
  </si>
  <si>
    <t>304248</t>
  </si>
  <si>
    <t>H00304248</t>
  </si>
  <si>
    <t>FdSc in Agriculture (Precision Crop Technology) - Bishop Burton College</t>
  </si>
  <si>
    <t>304249</t>
  </si>
  <si>
    <t>H00304249</t>
  </si>
  <si>
    <t>FdSc in Agriculture (Precision Livestock Farming) - Bishop Burton College</t>
  </si>
  <si>
    <t>304250</t>
  </si>
  <si>
    <t>H00304250</t>
  </si>
  <si>
    <t>FdSc in Agriculture (Farm Business Administration) - Bishop Burton College</t>
  </si>
  <si>
    <t>304251</t>
  </si>
  <si>
    <t>H00304251</t>
  </si>
  <si>
    <t>FdSc in Business Management for the Equine Industry - Bishop Burton College</t>
  </si>
  <si>
    <t>304252</t>
  </si>
  <si>
    <t>H00304252</t>
  </si>
  <si>
    <t>BSc (Hons) in Business Management for the Equine Industry - Bishop Burton College</t>
  </si>
  <si>
    <t>304253</t>
  </si>
  <si>
    <t>H00304253</t>
  </si>
  <si>
    <t>BSC (Hons) in Equine Science - Bishop Burton College</t>
  </si>
  <si>
    <t>304254</t>
  </si>
  <si>
    <t>H00304254</t>
  </si>
  <si>
    <t>FdSc in Equine Therapy and Rehabilitation - Bishop Burton College</t>
  </si>
  <si>
    <t>304255</t>
  </si>
  <si>
    <t>H00304255</t>
  </si>
  <si>
    <t>BSc (Hons) in Equine Therapy and Rehabilitation - Bishop Burton College</t>
  </si>
  <si>
    <t>304256</t>
  </si>
  <si>
    <t>H00304256</t>
  </si>
  <si>
    <t>FdSc in Equine Sports Science and Coaching - Bishop Burton College</t>
  </si>
  <si>
    <t>304257</t>
  </si>
  <si>
    <t>H00304257</t>
  </si>
  <si>
    <t>BSc (hons) in Equine Sports Science and Coaching - Bishop Burton College</t>
  </si>
  <si>
    <t>304258</t>
  </si>
  <si>
    <t>H00304258</t>
  </si>
  <si>
    <t>BSc (Hons) in Equine Health and Nutrition - Bishop Burton College</t>
  </si>
  <si>
    <t>304259</t>
  </si>
  <si>
    <t>H00304259</t>
  </si>
  <si>
    <t>Post Graduate Diploma in Engineering - University of Hull - Post Gradate Engineer Standard</t>
  </si>
  <si>
    <t>304260</t>
  </si>
  <si>
    <t>H00304260</t>
  </si>
  <si>
    <t>BSc (Hons) in Operating Department Practice - University of Hull - Operating Department Practitioner (Integrated Degree)</t>
  </si>
  <si>
    <t>304261</t>
  </si>
  <si>
    <t>H00304261</t>
  </si>
  <si>
    <t>BA (Hons) in Social Work - University of Hull - Social Work (degree apprenticeship)</t>
  </si>
  <si>
    <t>304262</t>
  </si>
  <si>
    <t>H00304262</t>
  </si>
  <si>
    <t>In-Service Certificate in Education (Lifelong Learning) - York college</t>
  </si>
  <si>
    <t>304263</t>
  </si>
  <si>
    <t>H00304263</t>
  </si>
  <si>
    <t>Pre-Service Certificate in Education (Lifelong Learning) - York college</t>
  </si>
  <si>
    <t>304264</t>
  </si>
  <si>
    <t>H00304264</t>
  </si>
  <si>
    <t>In-Service Professional Graduate Certificate in Education (Lifelong Learning) - York college</t>
  </si>
  <si>
    <t>304265</t>
  </si>
  <si>
    <t>H00304265</t>
  </si>
  <si>
    <t>Pre-Service Professional Graduate Certificate in Education (Lifelong Learning) - York college</t>
  </si>
  <si>
    <t>304266</t>
  </si>
  <si>
    <t>H00304266</t>
  </si>
  <si>
    <t>BSc (Hons) in Cyber Security - University of Gloucestershire</t>
  </si>
  <si>
    <t>304267</t>
  </si>
  <si>
    <t>H00304267</t>
  </si>
  <si>
    <t>PG Cert in Academic Practice - University of Gloucestershire</t>
  </si>
  <si>
    <t>304268</t>
  </si>
  <si>
    <t>H00304268</t>
  </si>
  <si>
    <t>Certificate of HE working with Children, Young People and Families - University of Gloucestershire</t>
  </si>
  <si>
    <t>304269</t>
  </si>
  <si>
    <t>H00304269</t>
  </si>
  <si>
    <t>BSc (Hons) in Social Work - University of Brighton - Social Worker (Degree)</t>
  </si>
  <si>
    <t>304270</t>
  </si>
  <si>
    <t>H00304270</t>
  </si>
  <si>
    <t>BSc (Hons) in Animal Behaviour Management and Welfare (Top-Up) - Berkshire College of Agriculture</t>
  </si>
  <si>
    <t>304271</t>
  </si>
  <si>
    <t>H00304271</t>
  </si>
  <si>
    <t>BA (Hons) in Business and Management - Colchester Institute</t>
  </si>
  <si>
    <t>304272</t>
  </si>
  <si>
    <t>H00304272</t>
  </si>
  <si>
    <t>BSc (Hons) in Bioveterinary Science - Bishop Burton College</t>
  </si>
  <si>
    <t>304273</t>
  </si>
  <si>
    <t>H00304273</t>
  </si>
  <si>
    <t>Cert HE in Applied Canine Behaviour and Training - Bishop Burton College</t>
  </si>
  <si>
    <t>304274</t>
  </si>
  <si>
    <t>H00304274</t>
  </si>
  <si>
    <t>FdSc in Applied Canine Behaviour and Training - Bishop Burton College</t>
  </si>
  <si>
    <t>304275</t>
  </si>
  <si>
    <t>H00304275</t>
  </si>
  <si>
    <t>BSc (Hons) in Canine Behaviour Management - Bishop Burton College</t>
  </si>
  <si>
    <t>304276</t>
  </si>
  <si>
    <t>H00304276</t>
  </si>
  <si>
    <t>FdSc in Ecology and Environment Management - Bishop Burton College</t>
  </si>
  <si>
    <t>304277</t>
  </si>
  <si>
    <t>H00304277</t>
  </si>
  <si>
    <t>BSc (Hons) in Ecology and Environment Management - Bishop Burton College</t>
  </si>
  <si>
    <t>304278</t>
  </si>
  <si>
    <t>H00304278</t>
  </si>
  <si>
    <t>BSc (Hons) in Wildlife and Conservation Management - Bishop Burton College</t>
  </si>
  <si>
    <t>304279</t>
  </si>
  <si>
    <t>H00304279</t>
  </si>
  <si>
    <t>FdSc in Wildlife and Conservation Management - Bishop Burton College</t>
  </si>
  <si>
    <t>304280</t>
  </si>
  <si>
    <t>H00304280</t>
  </si>
  <si>
    <t>FdA in Floristry Design - Bishop Burton College</t>
  </si>
  <si>
    <t>304281</t>
  </si>
  <si>
    <t>H00304281</t>
  </si>
  <si>
    <t>BA (Hons) in Floristry Design - Bishop Burton College</t>
  </si>
  <si>
    <t>304282</t>
  </si>
  <si>
    <t>H00304282</t>
  </si>
  <si>
    <t>BA (Hons) in Contemporary Criminology - Bishop Burton College</t>
  </si>
  <si>
    <t>304283</t>
  </si>
  <si>
    <t>H00304283</t>
  </si>
  <si>
    <t>FdA in Criminology and Criminal Justice - Bishop Burton College</t>
  </si>
  <si>
    <t>304284</t>
  </si>
  <si>
    <t>H00304284</t>
  </si>
  <si>
    <t>FdA in Design- Bishop Burton College</t>
  </si>
  <si>
    <t>304285</t>
  </si>
  <si>
    <t>H00304285</t>
  </si>
  <si>
    <t>BA (Hons) in Design - Bishop Burton College</t>
  </si>
  <si>
    <t>304286</t>
  </si>
  <si>
    <t>H00304286</t>
  </si>
  <si>
    <t>FdA in Fashion and clothing Design - Bishop Burton College</t>
  </si>
  <si>
    <t>304287</t>
  </si>
  <si>
    <t>H00304287</t>
  </si>
  <si>
    <t>BA (Hons) in Fashion Design and Manufacture - Bishop Burton College</t>
  </si>
  <si>
    <t>304288</t>
  </si>
  <si>
    <t>H00304288</t>
  </si>
  <si>
    <t>BSc (Hons) in Sport Coaching - Bishop Burton College</t>
  </si>
  <si>
    <t>304289</t>
  </si>
  <si>
    <t>H00304289</t>
  </si>
  <si>
    <t>FdSc in Sport, Exercise Science and Health - Bishop Burton College</t>
  </si>
  <si>
    <t>304290</t>
  </si>
  <si>
    <t>H00304290</t>
  </si>
  <si>
    <t>BSc (Hons) in Sport, Exercise Science and Health - Bishop Burton College</t>
  </si>
  <si>
    <t>304291</t>
  </si>
  <si>
    <t>H00304291</t>
  </si>
  <si>
    <t>MSc in animal Behaviour and Welfare - Bishop Burton College</t>
  </si>
  <si>
    <t>304292</t>
  </si>
  <si>
    <t>H00304292</t>
  </si>
  <si>
    <t>BSc (Hons) in Social Work - University of Lincoln - Social Worker Degree Apprenticeship</t>
  </si>
  <si>
    <t>304293</t>
  </si>
  <si>
    <t>H00304293</t>
  </si>
  <si>
    <t>BSc (Hons) in Real Estate - Nottingham Trent University - Chartered Surveyor Degree Apprenticeship</t>
  </si>
  <si>
    <t>304294</t>
  </si>
  <si>
    <t>H00304294</t>
  </si>
  <si>
    <t>MArch in Architecture - Nottingham Trent University - Architect Degree Apprenticeship</t>
  </si>
  <si>
    <t>304295</t>
  </si>
  <si>
    <t>H00304295</t>
  </si>
  <si>
    <t>Postgraduate Diploma in Architectural Practice - Nottingham Trent University - Architect Degree Apprenticeship</t>
  </si>
  <si>
    <t>304296</t>
  </si>
  <si>
    <t>H00304296</t>
  </si>
  <si>
    <t>MSc in Digital and Technology Solutions (Data Analytics) - Nottingham Trent University - Digital and Technology Solutions Specialist Degree Apprenticeship</t>
  </si>
  <si>
    <t>304297</t>
  </si>
  <si>
    <t>H00304297</t>
  </si>
  <si>
    <t>BSc (Hons) in Sport and Exercise Therapy - Loughborough College</t>
  </si>
  <si>
    <t>304298</t>
  </si>
  <si>
    <t>H00304298</t>
  </si>
  <si>
    <t>Foundation Degree in Working With Children and Families - Lakes College West Cumbria</t>
  </si>
  <si>
    <t>304299</t>
  </si>
  <si>
    <t>H00304299</t>
  </si>
  <si>
    <t>Med in Schools Based Leadership and Management - Captiva Learning Ltd</t>
  </si>
  <si>
    <t>304300</t>
  </si>
  <si>
    <t>H00304300</t>
  </si>
  <si>
    <t>MBA in Education Management - Captiva Learning Ltd</t>
  </si>
  <si>
    <t>304301</t>
  </si>
  <si>
    <t>H00304301</t>
  </si>
  <si>
    <t>BA (Hons) in Games Design and Concept Art - The City of Liverpool College</t>
  </si>
  <si>
    <t>304302</t>
  </si>
  <si>
    <t>H00304302</t>
  </si>
  <si>
    <t>BA (Hons) in Performing Arts (Top-Up) - The City of Liverpool College</t>
  </si>
  <si>
    <t>304303</t>
  </si>
  <si>
    <t>H00304303</t>
  </si>
  <si>
    <t>BA (Hons) in Social Work - University of Wolverhampton - Social Worker Degree Apprenticeship</t>
  </si>
  <si>
    <t>304304</t>
  </si>
  <si>
    <t>H00304304</t>
  </si>
  <si>
    <t>FdSc in Computer Network Engineering - LTE Group</t>
  </si>
  <si>
    <t>304305</t>
  </si>
  <si>
    <t>H00304305</t>
  </si>
  <si>
    <t>FdSc in Computer Network Security - LTE Group</t>
  </si>
  <si>
    <t>304306</t>
  </si>
  <si>
    <t>H00304306</t>
  </si>
  <si>
    <t>FdSc in Computing - LTE Group</t>
  </si>
  <si>
    <t>304307</t>
  </si>
  <si>
    <t>H00304307</t>
  </si>
  <si>
    <t>FdSc in Software Development - LTE Group</t>
  </si>
  <si>
    <t>304308</t>
  </si>
  <si>
    <t>H00304308</t>
  </si>
  <si>
    <t>BSc (Hons) in Computer Network Engineering - LTE Group</t>
  </si>
  <si>
    <t>304309</t>
  </si>
  <si>
    <t>H00304309</t>
  </si>
  <si>
    <t>BSc (Hons) in Computer Network Security - LTE Group</t>
  </si>
  <si>
    <t>304310</t>
  </si>
  <si>
    <t>H00304310</t>
  </si>
  <si>
    <t>BSc (Hons) in Computing - LTE Group</t>
  </si>
  <si>
    <t>304311</t>
  </si>
  <si>
    <t>H00304311</t>
  </si>
  <si>
    <t>BSc (Hons) in Software Development - LTE Group</t>
  </si>
  <si>
    <t>304312</t>
  </si>
  <si>
    <t>H00304312</t>
  </si>
  <si>
    <t>FdSc in Agri-Tech - Warwickshire College</t>
  </si>
  <si>
    <t>304313</t>
  </si>
  <si>
    <t>H00304313</t>
  </si>
  <si>
    <t>MSc in Town Planning - University of Plymouth - Chartered Town Planner Degree Apprenticeship</t>
  </si>
  <si>
    <t>304314</t>
  </si>
  <si>
    <t>H00304314</t>
  </si>
  <si>
    <t>BSc (Hons) in Nursing - University of Plymouth - Registered Nurse (NMC 2018) Degree Apprenticeship</t>
  </si>
  <si>
    <t>304315</t>
  </si>
  <si>
    <t>H00304315</t>
  </si>
  <si>
    <t>FdSc in Nursing Associate - University of Plymouth - Nursing Associate Apprenticeship Standard</t>
  </si>
  <si>
    <t>304316</t>
  </si>
  <si>
    <t>H00304316</t>
  </si>
  <si>
    <t>MBA in Leadership - University of Plymouth - Senior Leader Master's Degree Apprenticeship</t>
  </si>
  <si>
    <t>304317</t>
  </si>
  <si>
    <t>H00304317</t>
  </si>
  <si>
    <t>MSc in Leadership and Management - University of Salford - Senior Leader Master's Degree Apprenticeship</t>
  </si>
  <si>
    <t>304318</t>
  </si>
  <si>
    <t>H00304318</t>
  </si>
  <si>
    <t>MSc in Advanced Clinical Practice (Midwifery) - Liverpool John Moores University - Advanced Clinical Practitioner Degree Apprenticeship</t>
  </si>
  <si>
    <t>304319</t>
  </si>
  <si>
    <t>H00304319</t>
  </si>
  <si>
    <t>BSc (Hons) in Veterinary Nursing - University Centre Reaseheath</t>
  </si>
  <si>
    <t>304320</t>
  </si>
  <si>
    <t>H00304320</t>
  </si>
  <si>
    <t>FdSc in Equine Training and Rehabilitation - University Centre Reaseheath</t>
  </si>
  <si>
    <t>304321</t>
  </si>
  <si>
    <t>H00304321</t>
  </si>
  <si>
    <t>FdSc in Food Science and Innovation - University Centre Reaseheath</t>
  </si>
  <si>
    <t>304322</t>
  </si>
  <si>
    <t>H00304322</t>
  </si>
  <si>
    <t>MSC in Advanced Clinical Practitioner - The University of West London - Advanced Clinical Practitioner Standard</t>
  </si>
  <si>
    <t>304323</t>
  </si>
  <si>
    <t>H00304323</t>
  </si>
  <si>
    <t>MSC in Digital and Technology Solutions Specialist  - The University of West London - Digital and Technology Solutions Specialist Standard</t>
  </si>
  <si>
    <t>304324</t>
  </si>
  <si>
    <t>H00304324</t>
  </si>
  <si>
    <t>BSc (Hons) in Operating Department Practitioner - The University of West London - Operating Department Practitioner Standard</t>
  </si>
  <si>
    <t>304325</t>
  </si>
  <si>
    <t>H00304325</t>
  </si>
  <si>
    <t>FdSc in Nursing Associate (NMC) - London South Bank University - Nursing Associate (NMC 2018) Apprenticeship Standard</t>
  </si>
  <si>
    <t>304326</t>
  </si>
  <si>
    <t>H00304326</t>
  </si>
  <si>
    <t>BSc (Hons) in Nursing (Adult) - University of Huddersfield - Registered Nurse (NMC 2018) Degree Apprenticeship</t>
  </si>
  <si>
    <t>304327</t>
  </si>
  <si>
    <t>H00304327</t>
  </si>
  <si>
    <t>BSc (Hons) in Nursing (Child) - University of Huddersfield - Registered Nurse (NMC 2018) Degree Apprenticeship</t>
  </si>
  <si>
    <t>304328</t>
  </si>
  <si>
    <t>H00304328</t>
  </si>
  <si>
    <t>BSc (Hons) in Nursing (Mental Health) - University of Huddersfield - Registered Nurse (NMC 2018) Degree Apprenticeship</t>
  </si>
  <si>
    <t>304329</t>
  </si>
  <si>
    <t>H00304329</t>
  </si>
  <si>
    <t>BSc (Hons) in Nursing (Learning Disability) - University of Huddersfield - Registered Nurse (NMC 2018) Degree Apprenticeship</t>
  </si>
  <si>
    <t>304330</t>
  </si>
  <si>
    <t>H00304330</t>
  </si>
  <si>
    <t>HNC in Electrical and Electronic Engineering - Bedford College</t>
  </si>
  <si>
    <t>304331</t>
  </si>
  <si>
    <t>H00304331</t>
  </si>
  <si>
    <t>HND in Electrical and Electronic Engineering - Bedford College</t>
  </si>
  <si>
    <t>304332</t>
  </si>
  <si>
    <t>H00304332</t>
  </si>
  <si>
    <t>HNC in General Engineering - Bedford College</t>
  </si>
  <si>
    <t>304333</t>
  </si>
  <si>
    <t>H00304333</t>
  </si>
  <si>
    <t>HND in General Engineering - Bedford College</t>
  </si>
  <si>
    <t>304334</t>
  </si>
  <si>
    <t>H00304334</t>
  </si>
  <si>
    <t>HND in Mechanical Engineering - Bedford College</t>
  </si>
  <si>
    <t>304335</t>
  </si>
  <si>
    <t>H00304335</t>
  </si>
  <si>
    <t>HNC in Mechanical Engineering - Bedford College</t>
  </si>
  <si>
    <t>304336</t>
  </si>
  <si>
    <t>H00304336</t>
  </si>
  <si>
    <t>Executive Masters  of Business Administration - Aston University - Senior Leaders Masters Degree Apprenticeship</t>
  </si>
  <si>
    <t>304337</t>
  </si>
  <si>
    <t>H00304337</t>
  </si>
  <si>
    <t>FdA in Acting for Digital Media - City College Plymouth</t>
  </si>
  <si>
    <t>304338</t>
  </si>
  <si>
    <t>H00304338</t>
  </si>
  <si>
    <t>FdA in Creative Actor - City College Plymouth</t>
  </si>
  <si>
    <t>304339</t>
  </si>
  <si>
    <t>H00304339</t>
  </si>
  <si>
    <t>FdA in Music Practitioner - City College Plymouth</t>
  </si>
  <si>
    <t>304340</t>
  </si>
  <si>
    <t>H00304340</t>
  </si>
  <si>
    <t>FdA in Dance - City College Plymouth</t>
  </si>
  <si>
    <t>304341</t>
  </si>
  <si>
    <t>H00304341</t>
  </si>
  <si>
    <t>FdA in Film Production - City College Plymouth</t>
  </si>
  <si>
    <t>304342</t>
  </si>
  <si>
    <t>H00304342</t>
  </si>
  <si>
    <t>FdA in Creative Media Production - City College Plymouth</t>
  </si>
  <si>
    <t>304343</t>
  </si>
  <si>
    <t>H00304343</t>
  </si>
  <si>
    <t>BA (Hons) in Professional Acting for Stage and Screen - City College Plymouth</t>
  </si>
  <si>
    <t>304344</t>
  </si>
  <si>
    <t>H00304344</t>
  </si>
  <si>
    <t>BA (Hons) in Music Practitioner - City College Plymouth</t>
  </si>
  <si>
    <t>304345</t>
  </si>
  <si>
    <t>H00304345</t>
  </si>
  <si>
    <t>BA (Hons) in Dance - City College Plymouth</t>
  </si>
  <si>
    <t>304346</t>
  </si>
  <si>
    <t>H00304346</t>
  </si>
  <si>
    <t>BA (Hons) in Film and Creative Media - City College Plymouth</t>
  </si>
  <si>
    <t>304347</t>
  </si>
  <si>
    <t>H00304347</t>
  </si>
  <si>
    <t>Certificate of Higher Education in Working with Children, Young People and Families - University of Derby - Children, Young People and Families Practitioner Apprenticeship Standard</t>
  </si>
  <si>
    <t>304348</t>
  </si>
  <si>
    <t>H00304348</t>
  </si>
  <si>
    <t>BA (Hons) in Tourism Management (Top-up) - Middlesbrough College</t>
  </si>
  <si>
    <t>304349</t>
  </si>
  <si>
    <t>H00304349</t>
  </si>
  <si>
    <t>FdEng in Electrical and Electronic - University College Birmingham</t>
  </si>
  <si>
    <t>304350</t>
  </si>
  <si>
    <t>H00304350</t>
  </si>
  <si>
    <t>BSc (Hons) in Animal Science - Guildford College of Further and Higher Education</t>
  </si>
  <si>
    <t>304351</t>
  </si>
  <si>
    <t>H00304351</t>
  </si>
  <si>
    <t>BSc (Hons) in Wildlife and Conservation - Guildford College of Further and Higher Education</t>
  </si>
  <si>
    <t>304352</t>
  </si>
  <si>
    <t>H00304352</t>
  </si>
  <si>
    <t>BSc (Hons) in Zoo Management - Guildford College of Further and Higher Education</t>
  </si>
  <si>
    <t>304353</t>
  </si>
  <si>
    <t>H00304353</t>
  </si>
  <si>
    <t>BSc (Hons) in Wildlife Rehabilitation - Guildford College of Further and Higher Education</t>
  </si>
  <si>
    <t>304354</t>
  </si>
  <si>
    <t>H00304354</t>
  </si>
  <si>
    <t>MEd in Education - Hull College</t>
  </si>
  <si>
    <t>304355</t>
  </si>
  <si>
    <t>H00304355</t>
  </si>
  <si>
    <t>BSc (Hons) in Zoology - Easton and Otley College</t>
  </si>
  <si>
    <t>304356</t>
  </si>
  <si>
    <t>H00304356</t>
  </si>
  <si>
    <t>FdSc in Ecology and Conservation Management - Easton and Otley College</t>
  </si>
  <si>
    <t>304357</t>
  </si>
  <si>
    <t>H00304357</t>
  </si>
  <si>
    <t>BA (Hons) in Social Justice Studies - Solihull College</t>
  </si>
  <si>
    <t>304358</t>
  </si>
  <si>
    <t>H00304358</t>
  </si>
  <si>
    <t>BSc (Hons) in Electronic Engineering - Solihull College - Control and Technical Support Engineer, Electrical and Electronic Technical Support Engineer, Manufacturing Engineer Standards</t>
  </si>
  <si>
    <t>304359</t>
  </si>
  <si>
    <t>H00304359</t>
  </si>
  <si>
    <t>BEng (Hons) in Mechanical Engineering Design - Solihull College - Control and Technical Support Engineer, Manufacturing Engineer Standards</t>
  </si>
  <si>
    <t>304360</t>
  </si>
  <si>
    <t>H00304360</t>
  </si>
  <si>
    <t>BEng (Hons) in Electrical and Electronic Engineering - Solihull College - Control and Technical Support Engineer, Electrical and Electronic Technical Support Engineer, Manufacturing Engineer Standards</t>
  </si>
  <si>
    <t>304361</t>
  </si>
  <si>
    <t>H00304361</t>
  </si>
  <si>
    <t>BA (Hons) in Business Management and Early Childhood - St Mary's College</t>
  </si>
  <si>
    <t>304362</t>
  </si>
  <si>
    <t>H00304362</t>
  </si>
  <si>
    <t>BA (Hons) in Business Management and Education - St Mary's College</t>
  </si>
  <si>
    <t>304363</t>
  </si>
  <si>
    <t>H00304363</t>
  </si>
  <si>
    <t>BA (Hons) in Business Management and IT- St Mary's College</t>
  </si>
  <si>
    <t>304364</t>
  </si>
  <si>
    <t>H00304364</t>
  </si>
  <si>
    <t>BA (Hons) in Business Management and Special Educational Needs - St Mary's College</t>
  </si>
  <si>
    <t>304365</t>
  </si>
  <si>
    <t>H00304365</t>
  </si>
  <si>
    <t>BA (Hons) in Early Childhood and Education - St Mary's College</t>
  </si>
  <si>
    <t>304366</t>
  </si>
  <si>
    <t>H00304366</t>
  </si>
  <si>
    <t>BA (Hons) in Early Childhood and IT - St Mary's College</t>
  </si>
  <si>
    <t>304367</t>
  </si>
  <si>
    <t>H00304367</t>
  </si>
  <si>
    <t>BA (Hons) in Early Childhood and Special Educational Needs - St Mary's College</t>
  </si>
  <si>
    <t>304368</t>
  </si>
  <si>
    <t>H00304368</t>
  </si>
  <si>
    <t>BA (Hons) in Education and IT - St Mary's College</t>
  </si>
  <si>
    <t>304369</t>
  </si>
  <si>
    <t>H00304369</t>
  </si>
  <si>
    <t>BA (Hons) in Education and Special Educational Needs - St Mary's College</t>
  </si>
  <si>
    <t>304370</t>
  </si>
  <si>
    <t>H00304370</t>
  </si>
  <si>
    <t>MA in Creative Practice - Leeds City College</t>
  </si>
  <si>
    <t>304371</t>
  </si>
  <si>
    <t>H00304371</t>
  </si>
  <si>
    <t>LLB in Law Foundation Year - Leeds City College</t>
  </si>
  <si>
    <t>304372</t>
  </si>
  <si>
    <t>H00304372</t>
  </si>
  <si>
    <t>FD in Biomedical Science - Leeds City College</t>
  </si>
  <si>
    <t>304373</t>
  </si>
  <si>
    <t>H00304373</t>
  </si>
  <si>
    <t>FD in Biomedical Science Foundation Year - Leeds City College</t>
  </si>
  <si>
    <t>304374</t>
  </si>
  <si>
    <t>H00304374</t>
  </si>
  <si>
    <t>FD in Dance - Leeds City College</t>
  </si>
  <si>
    <t>304375</t>
  </si>
  <si>
    <t>H00304375</t>
  </si>
  <si>
    <t>FD in Acting - Leeds City College</t>
  </si>
  <si>
    <t>304376</t>
  </si>
  <si>
    <t>H00304376</t>
  </si>
  <si>
    <t>FD in Policing - Leeds City College</t>
  </si>
  <si>
    <t>304377</t>
  </si>
  <si>
    <t>H00304377</t>
  </si>
  <si>
    <t>Master of Architecture - University of the West of England, Bristol</t>
  </si>
  <si>
    <t>304378</t>
  </si>
  <si>
    <t>H00304378</t>
  </si>
  <si>
    <t>FdA in Children and Young People - Chesterfield College</t>
  </si>
  <si>
    <t>304379</t>
  </si>
  <si>
    <t>H00304379</t>
  </si>
  <si>
    <t>BA (Hons) in Vocal Studies and Performance - The Manchester College (Trading name of LTE Group)</t>
  </si>
  <si>
    <t>304380</t>
  </si>
  <si>
    <t>H00304380</t>
  </si>
  <si>
    <t>BSc (Hons) in Transport Planning - Aston University - Transport Planner Degree Apprenticeship</t>
  </si>
  <si>
    <t>304381</t>
  </si>
  <si>
    <t>H00304381</t>
  </si>
  <si>
    <t>BA (Hons) in Social Work - University of Chichester - Social Worker (degree)</t>
  </si>
  <si>
    <t>304382</t>
  </si>
  <si>
    <t>H00304382</t>
  </si>
  <si>
    <t>BSc (Hons) in Digital Marketing - University of Chichester - Digital Marketer Integrated Degree</t>
  </si>
  <si>
    <t>304383</t>
  </si>
  <si>
    <t>H00304383</t>
  </si>
  <si>
    <t>BA (Hons) in Social Work - University of Chester - Social Worker Degree Apprenticeship</t>
  </si>
  <si>
    <t>304384</t>
  </si>
  <si>
    <t>H00304384</t>
  </si>
  <si>
    <t>FdSc in Nursing Associate - University of Chester - Nursing Associate (NMC 2018) Apprenticeship Standard</t>
  </si>
  <si>
    <t>304385</t>
  </si>
  <si>
    <t>H00304385</t>
  </si>
  <si>
    <t>Professional Graduate Certificate in Education (Lifelong Learning) Pre-Service (Full- Time)</t>
  </si>
  <si>
    <t>304386</t>
  </si>
  <si>
    <t>H00304386</t>
  </si>
  <si>
    <t>Certificate in Education (Lifelong Learning) Pre-Service (Full- Time)</t>
  </si>
  <si>
    <t>304387</t>
  </si>
  <si>
    <t>H00304387</t>
  </si>
  <si>
    <t>BSc (Hons) in Operating Department Practice - University of Derby - Operating Department Practitioner Degree Apprenticeship</t>
  </si>
  <si>
    <t>304388</t>
  </si>
  <si>
    <t>H00304388</t>
  </si>
  <si>
    <t>FdSc in Health Studies - University of East Anglia - Nursing Associate (NMC 2018) Apprenticeship</t>
  </si>
  <si>
    <t>304389</t>
  </si>
  <si>
    <t>H00304389</t>
  </si>
  <si>
    <t>MSc in Advanced Clinical Practice - University of East Anglia - Advanced Clinical Practitioner (degree)</t>
  </si>
  <si>
    <t>304390</t>
  </si>
  <si>
    <t>H00304390</t>
  </si>
  <si>
    <t>BSc (Hons) in Nursing - University of East Anglia - Registered Nurse Standard (NMC 2018)</t>
  </si>
  <si>
    <t>304391</t>
  </si>
  <si>
    <t>H00304391</t>
  </si>
  <si>
    <t>BSc (Hons) in Occupational Therapy - University of East Anglia - Occupational Therapist (integrated degree)</t>
  </si>
  <si>
    <t>304392</t>
  </si>
  <si>
    <t>H00304392</t>
  </si>
  <si>
    <t>Qualified Teacher Status - Kingston University - Teaching Apprenticeship</t>
  </si>
  <si>
    <t>304393</t>
  </si>
  <si>
    <t>H00304393</t>
  </si>
  <si>
    <t>Professional Graduate Certificate in Education (Lifelong Learning) Pre-Service - Bury College</t>
  </si>
  <si>
    <t>304394</t>
  </si>
  <si>
    <t>H00304394</t>
  </si>
  <si>
    <t>MBA in Business Administration - The University of Northampton - Senior Leaders Masters Degree Apprenticeship</t>
  </si>
  <si>
    <t>304395</t>
  </si>
  <si>
    <t>H00304395</t>
  </si>
  <si>
    <t>BSc (Hons) in Computer Science and Technology Solutions (Data Analyst) - University of Warwick - Digital Technology Solutions Standard</t>
  </si>
  <si>
    <t>304396</t>
  </si>
  <si>
    <t>H00304396</t>
  </si>
  <si>
    <t>DipHE in Computer Science and Technology Solutions (Data Analyst) - University of Warwick - Digital Technology Solutions Standard</t>
  </si>
  <si>
    <t>304397</t>
  </si>
  <si>
    <t>H00304397</t>
  </si>
  <si>
    <t>CertHE in Computer Science and Technology Solutions (Data Analyst) - University of Warwick - Digital Technology Solutions Standard</t>
  </si>
  <si>
    <t>304398</t>
  </si>
  <si>
    <t>H00304398</t>
  </si>
  <si>
    <t>BSc (Hons) in Digital and Technology Solutions (Data Analytics) - University of Warwick - Digital Technology Solutions Standard</t>
  </si>
  <si>
    <t>304399</t>
  </si>
  <si>
    <t>H00304399</t>
  </si>
  <si>
    <t>DipHE in Digital and Technology Solutions (Data Analytics) - University of Warwick - Digital Technology Solutions Standard</t>
  </si>
  <si>
    <t>304400</t>
  </si>
  <si>
    <t>H00304400</t>
  </si>
  <si>
    <t>CertHE in Digital and Technology Solutions (Data Analytics) - University of Warwick - Digital Technology Solutions Standard</t>
  </si>
  <si>
    <t>304401</t>
  </si>
  <si>
    <t>H00304401</t>
  </si>
  <si>
    <t>BSc (Hons) in Digital and Technology Solutions (Network Engineering) - University of Warwick - Digital Technology Solutions Standard</t>
  </si>
  <si>
    <t>304402</t>
  </si>
  <si>
    <t>H00304402</t>
  </si>
  <si>
    <t>DipHE in Digital and Technology Solutions (Network Engineering) - University of Warwick - Digital Technology Solutions Standard</t>
  </si>
  <si>
    <t>304403</t>
  </si>
  <si>
    <t>H00304403</t>
  </si>
  <si>
    <t>CertHE in Digital and Technology Solutions (Network Engineering) - University of Warwick - Digital Technology Solutions Standard</t>
  </si>
  <si>
    <t>304404</t>
  </si>
  <si>
    <t>H00304404</t>
  </si>
  <si>
    <t>BSc (Hons) in Digital and Technology Solutions (Software Engineering) - University of Warwick - Digital Technology Solutions Standard</t>
  </si>
  <si>
    <t>304405</t>
  </si>
  <si>
    <t>H00304405</t>
  </si>
  <si>
    <t>DipHE in Digital and Technology Solutions (Software Engineering) - University of Warwick - Digital Technology Solutions Standard</t>
  </si>
  <si>
    <t>304406</t>
  </si>
  <si>
    <t>H00304406</t>
  </si>
  <si>
    <t>CertHE in Digital and Technology Solutions (Software Engineering) - University of Warwick - Digital Technology Solutions Standard</t>
  </si>
  <si>
    <t>304407</t>
  </si>
  <si>
    <t>H00304407</t>
  </si>
  <si>
    <t>BSc (Hons) Digital Healthcare Science - University of Warwick - Digital Technology Solutions Standard</t>
  </si>
  <si>
    <t>304408</t>
  </si>
  <si>
    <t>H00304408</t>
  </si>
  <si>
    <t>DipHE in Digital Healthcare Science - University of Warwick - Digital Technology Solutions Standard</t>
  </si>
  <si>
    <t>304409</t>
  </si>
  <si>
    <t>H00304409</t>
  </si>
  <si>
    <t>CertHE in Digital Healthcare Science - University of Warwick - Digital Technology Solutions Standard</t>
  </si>
  <si>
    <t>304410</t>
  </si>
  <si>
    <t>H00304410</t>
  </si>
  <si>
    <t>MSc in Advanced Clinical Practice - University of Warwick - Advanced Clinical Practitioner (Degree) Standard</t>
  </si>
  <si>
    <t>304411</t>
  </si>
  <si>
    <t>H00304411</t>
  </si>
  <si>
    <t>MSc in Advanced Clinical Practice (Critical Care) - University of Warwick - Advanced Clinical Practitioner (Degree) Standard</t>
  </si>
  <si>
    <t>304412</t>
  </si>
  <si>
    <t>H00304412</t>
  </si>
  <si>
    <t>BSc (Hons) in Professional Practice in Quantity Surveying - Sheffield Hallam University</t>
  </si>
  <si>
    <t>304413</t>
  </si>
  <si>
    <t>H00304413</t>
  </si>
  <si>
    <t>BSc (Hons) in Professional Practice in Building Surveying - Sheffield Hallam University</t>
  </si>
  <si>
    <t>304414</t>
  </si>
  <si>
    <t>H00304414</t>
  </si>
  <si>
    <t>BSc (Hons) in Professional Practice in Real Estate - Sheffield Hallam University</t>
  </si>
  <si>
    <t>304415</t>
  </si>
  <si>
    <t>H00304415</t>
  </si>
  <si>
    <t>BSc (Hons) in Professional Practice in Retail Management- Sheffield Hallam University</t>
  </si>
  <si>
    <t>304416</t>
  </si>
  <si>
    <t>H00304416</t>
  </si>
  <si>
    <t>CertHE in Universal Certificate in Urban Planning - Sheffield Hallam University</t>
  </si>
  <si>
    <t>304417</t>
  </si>
  <si>
    <t>H00304417</t>
  </si>
  <si>
    <t>DipHE in University Advanced Diploma in Urban Planning - Sheffield Hallam University</t>
  </si>
  <si>
    <t>304418</t>
  </si>
  <si>
    <t>H00304418</t>
  </si>
  <si>
    <t>MSc in Urban Planning - Sheffield Hallam University</t>
  </si>
  <si>
    <t>304419</t>
  </si>
  <si>
    <t>H00304419</t>
  </si>
  <si>
    <t>MArch in Architecture - Sheffield Hallam University</t>
  </si>
  <si>
    <t>304420</t>
  </si>
  <si>
    <t>H00304420</t>
  </si>
  <si>
    <t>Postgraduate Diploma in Academic Practice - Sheffield Hallam University</t>
  </si>
  <si>
    <t>304421</t>
  </si>
  <si>
    <t>H00304421</t>
  </si>
  <si>
    <t>BSc (Hons) in Packaging Professional - Sheffield Hallam University</t>
  </si>
  <si>
    <t>304422</t>
  </si>
  <si>
    <t>H00304422</t>
  </si>
  <si>
    <t>MSc in Urban Planning - University of West of England, Bristol</t>
  </si>
  <si>
    <t>304423</t>
  </si>
  <si>
    <t>H00304423</t>
  </si>
  <si>
    <t>Foundation Degree in Art Enterprise (Graphic Design and Illustration) - Leeds City College</t>
  </si>
  <si>
    <t>304424</t>
  </si>
  <si>
    <t>H00304424</t>
  </si>
  <si>
    <t>BA (Hons) in Art Enterprise (Graphic Design and Illustration) - Leeds City College</t>
  </si>
  <si>
    <t>304425</t>
  </si>
  <si>
    <t>H00304425</t>
  </si>
  <si>
    <t>Foundation Degree in Art Enterprise (Fashion and Textiles) - Leeds City College</t>
  </si>
  <si>
    <t>304426</t>
  </si>
  <si>
    <t>H00304426</t>
  </si>
  <si>
    <t>Foundation Degree in Art Enterprise (Fashion and Textiles)(Top-Up) - Leeds City College</t>
  </si>
  <si>
    <t>304427</t>
  </si>
  <si>
    <t>H00304427</t>
  </si>
  <si>
    <t>BA (Hons) in Games and  Animation Production - University Centre Weston</t>
  </si>
  <si>
    <t>304428</t>
  </si>
  <si>
    <t>H00304428</t>
  </si>
  <si>
    <t>304433</t>
  </si>
  <si>
    <t>H00304433</t>
  </si>
  <si>
    <t>FdSc in Sports Coaching - Blackburn College</t>
  </si>
  <si>
    <t>304434</t>
  </si>
  <si>
    <t>H00304434</t>
  </si>
  <si>
    <t>BSc (Hons) in Sports Coaching - Blackburn College</t>
  </si>
  <si>
    <t>304435</t>
  </si>
  <si>
    <t>H00304435</t>
  </si>
  <si>
    <t>BEng (Hons) in Aerospace Engineering (Design) - University Centre Weston</t>
  </si>
  <si>
    <t>304436</t>
  </si>
  <si>
    <t>H00304436</t>
  </si>
  <si>
    <t>BSc (Hons) in Aircraft Maintenance Engineering - NCG</t>
  </si>
  <si>
    <t>304437</t>
  </si>
  <si>
    <t>H00304437</t>
  </si>
  <si>
    <t>BA (Hons) in Airport and Airline Passenger Management - Middlesbrough College</t>
  </si>
  <si>
    <t>304438</t>
  </si>
  <si>
    <t>H00304438</t>
  </si>
  <si>
    <t>BSc (Hons) in Computing (Top-Up) - South and City College Birmingham</t>
  </si>
  <si>
    <t>304439</t>
  </si>
  <si>
    <t>H00304439</t>
  </si>
  <si>
    <t>BSc (Hons) in Building Services Engineering (Top-Up) - South and City College Birmingham</t>
  </si>
  <si>
    <t>304440</t>
  </si>
  <si>
    <t>H00304440</t>
  </si>
  <si>
    <t>Certificate in Education - Cheshire College South and West</t>
  </si>
  <si>
    <t>304441</t>
  </si>
  <si>
    <t>H00304441</t>
  </si>
  <si>
    <t>Professional Graduate Certificate in Education - Cheshire College South and West</t>
  </si>
  <si>
    <t>304442</t>
  </si>
  <si>
    <t>H00304442</t>
  </si>
  <si>
    <t>BSc (Hons) in Construction Management (Quantity Surveying) - Colchester Institute</t>
  </si>
  <si>
    <t>304443</t>
  </si>
  <si>
    <t>H00304443</t>
  </si>
  <si>
    <t>BSc (Hons) in Construction Management (Site Management) - Colchester Institute</t>
  </si>
  <si>
    <t>304444</t>
  </si>
  <si>
    <t>H00304444</t>
  </si>
  <si>
    <t>BSc (Hons) in Construction Management (Architectural Technology) - Colchester Institute</t>
  </si>
  <si>
    <t>304445</t>
  </si>
  <si>
    <t>H00304445</t>
  </si>
  <si>
    <t>HE Bridging Modules Arboriculture On Line - Myerscough College</t>
  </si>
  <si>
    <t>304446</t>
  </si>
  <si>
    <t>H00304446</t>
  </si>
  <si>
    <t>HE Bridging Modules Sportsturf On Line - Myerscough College</t>
  </si>
  <si>
    <t>304447</t>
  </si>
  <si>
    <t>H00304447</t>
  </si>
  <si>
    <t>HE Bridging Modules Horticulture On Line - Myerscough College</t>
  </si>
  <si>
    <t>304448</t>
  </si>
  <si>
    <t>H00304448</t>
  </si>
  <si>
    <t>BSc (Hons) in Zoology - Myerscough College</t>
  </si>
  <si>
    <t>304449</t>
  </si>
  <si>
    <t>H00304449</t>
  </si>
  <si>
    <t>BSc (Hons) in Professional Social Work Practice (Integrated) - University of Bedfordshire - Social Worker Standard (Integrated)</t>
  </si>
  <si>
    <t>304450</t>
  </si>
  <si>
    <t>H00304450</t>
  </si>
  <si>
    <t>BEng (Hons) in Engineering (Electrical) - Colchester Institute</t>
  </si>
  <si>
    <t>304451</t>
  </si>
  <si>
    <t>H00304451</t>
  </si>
  <si>
    <t>BEng (Hons) in Engineering (Manufacturing) - Colchester Institute</t>
  </si>
  <si>
    <t>304452</t>
  </si>
  <si>
    <t>H00304452</t>
  </si>
  <si>
    <t>BA (Hons) in Music Performance and Teaching - Colchester Institute</t>
  </si>
  <si>
    <t>304453</t>
  </si>
  <si>
    <t>H00304453</t>
  </si>
  <si>
    <t>BA (Hons) in Popular Music - Colchester Institute</t>
  </si>
  <si>
    <t>304454</t>
  </si>
  <si>
    <t>H00304454</t>
  </si>
  <si>
    <t>BA (Hons) in Music and Media - Colchester Institute</t>
  </si>
  <si>
    <t>304455</t>
  </si>
  <si>
    <t>H00304455</t>
  </si>
  <si>
    <t>HE Certificate Single Module - Integrative Project (20) (RCVS Accreditation) - Myerscough College</t>
  </si>
  <si>
    <t>304456</t>
  </si>
  <si>
    <t>H00304456</t>
  </si>
  <si>
    <t>MSc in Through Life System Sustainment - Cranfield University</t>
  </si>
  <si>
    <t>304457</t>
  </si>
  <si>
    <t>H00304457</t>
  </si>
  <si>
    <t>MSc in Applied Bioinformatics - Cranfield University</t>
  </si>
  <si>
    <t>304458</t>
  </si>
  <si>
    <t>H00304458</t>
  </si>
  <si>
    <t>MSc in Operations Excellence - Cranfield University</t>
  </si>
  <si>
    <t>304459</t>
  </si>
  <si>
    <t>H00304459</t>
  </si>
  <si>
    <t>Cert HE in Working with Children, Young People and Families - University of Central Lancashire - Children, Young People and Families Practitioner Apprenticeship Standard</t>
  </si>
  <si>
    <t>304460</t>
  </si>
  <si>
    <t>H00304460</t>
  </si>
  <si>
    <t>LLB (Hons) in Legal Practice - University of Central Lancashire - Solicitor Apprenticeship Standard</t>
  </si>
  <si>
    <t>304461</t>
  </si>
  <si>
    <t>H00304461</t>
  </si>
  <si>
    <t>ProfMasters in Legal Practice - University of Central Lancashire - Solicitor Apprenticeship Standard</t>
  </si>
  <si>
    <t>304462</t>
  </si>
  <si>
    <t>H00304462</t>
  </si>
  <si>
    <t>MSc in Advanced Clinical Practitioner - University of Central Lancashire - Advanced Clinical Practitioner Degree Apprenticeship</t>
  </si>
  <si>
    <t>304463</t>
  </si>
  <si>
    <t>H00304463</t>
  </si>
  <si>
    <t>BEng (Hons) in Electrical and Electronic Engineering - University of Central Lancashire - Electrical / Electronic Technical Support Engineer Apprenticeship Standard</t>
  </si>
  <si>
    <t>304464</t>
  </si>
  <si>
    <t>H00304464</t>
  </si>
  <si>
    <t>BSc (Hons) in Professional Policing Practice - Middlesex University - Police Constable (degree apprenticeship standard)</t>
  </si>
  <si>
    <t>304465</t>
  </si>
  <si>
    <t>H00304465</t>
  </si>
  <si>
    <t>BSc (Hons) in Professional Policing Practice - University of Cumbria- Police Constable (degree apprenticeship standard)</t>
  </si>
  <si>
    <t>304466</t>
  </si>
  <si>
    <t>H00304466</t>
  </si>
  <si>
    <t>BSc (Hons) in Professional Policing Practice - University of Portsmouth - Police Constable (degree apprenticeship standard)</t>
  </si>
  <si>
    <t>304467</t>
  </si>
  <si>
    <t>H00304467</t>
  </si>
  <si>
    <t>BSc (Hons) in Professional Policing Practice - Canterbury Christchurch University - Police Constable (degree apprenticeship standard)</t>
  </si>
  <si>
    <t>304468</t>
  </si>
  <si>
    <t>H00304468</t>
  </si>
  <si>
    <t>Foundation Degree in Nursing Associate - University of Worcester - Nursing Associate (NMC 2018) Apprenticeship Standard</t>
  </si>
  <si>
    <t>304469</t>
  </si>
  <si>
    <t>H00304469</t>
  </si>
  <si>
    <t>PGCert in Academic Professional - University of Derby - Academic Professional Apprenticeship Standard</t>
  </si>
  <si>
    <t>304470</t>
  </si>
  <si>
    <t>H00304470</t>
  </si>
  <si>
    <t>BA (Hons) in Integrated Health and Social Care - Top Up - Burnley College</t>
  </si>
  <si>
    <t>304471</t>
  </si>
  <si>
    <t>H00304471</t>
  </si>
  <si>
    <t>BSc (Hons) in Sport and Exercise Science - Burnley College</t>
  </si>
  <si>
    <t>304472</t>
  </si>
  <si>
    <t>H00304472</t>
  </si>
  <si>
    <t>BSc (Hons) in Sport and Exercise Science Top Up - Burnley College</t>
  </si>
  <si>
    <t>304473</t>
  </si>
  <si>
    <t>H00304473</t>
  </si>
  <si>
    <t>BA (Hons) in Business Management Top Up - Burnley College</t>
  </si>
  <si>
    <t>304474</t>
  </si>
  <si>
    <t>H00304474</t>
  </si>
  <si>
    <t>FdSc in Hearing Aid Audiology- South Devon College</t>
  </si>
  <si>
    <t>304475</t>
  </si>
  <si>
    <t>H00304475</t>
  </si>
  <si>
    <t>FdSc in Assistant Practitioner - South Devon College</t>
  </si>
  <si>
    <t>304476</t>
  </si>
  <si>
    <t>H00304476</t>
  </si>
  <si>
    <t>PGCE 14+ - Burnley College</t>
  </si>
  <si>
    <t>304477</t>
  </si>
  <si>
    <t>H00304477</t>
  </si>
  <si>
    <t>PGCE (M) 14+ - Burnley College</t>
  </si>
  <si>
    <t>304478</t>
  </si>
  <si>
    <t>H00304478</t>
  </si>
  <si>
    <t>BA (Hons) in Education and Learning (Top Up) - Burnley College</t>
  </si>
  <si>
    <t>304479</t>
  </si>
  <si>
    <t>H00304479</t>
  </si>
  <si>
    <t>BSc (Hons) in Psychology, Psychotherapy and Counselling - Burnley College</t>
  </si>
  <si>
    <t>304480</t>
  </si>
  <si>
    <t>H00304480</t>
  </si>
  <si>
    <t>Certificate in Education 14+ - Burnley College</t>
  </si>
  <si>
    <t>304481</t>
  </si>
  <si>
    <t>H00304481</t>
  </si>
  <si>
    <t>MSc in Sustainable Sportsturf Management - Myerscough College</t>
  </si>
  <si>
    <t>304482</t>
  </si>
  <si>
    <t>H00304482</t>
  </si>
  <si>
    <t>Postgraduate Certificate in Education Post 14 (Education and Training) - Barnet and Southgate College</t>
  </si>
  <si>
    <t>304483</t>
  </si>
  <si>
    <t>H00304483</t>
  </si>
  <si>
    <t>Foundation Degree in Illustration with Graphics and Animation - South Devon College</t>
  </si>
  <si>
    <t>304484</t>
  </si>
  <si>
    <t>H00304484</t>
  </si>
  <si>
    <t>MSc in Business and Management - Aston University</t>
  </si>
  <si>
    <t>304485</t>
  </si>
  <si>
    <t>H00304485</t>
  </si>
  <si>
    <t>BA (Hons) in Early Childhood Studies - Wiltshire College - Oxford Brookes University</t>
  </si>
  <si>
    <t>304486</t>
  </si>
  <si>
    <t>H00304486</t>
  </si>
  <si>
    <t>FdA in Integrative Counselling and Psychotherapy - Blackburn College</t>
  </si>
  <si>
    <t>304487</t>
  </si>
  <si>
    <t>H00304487</t>
  </si>
  <si>
    <t>BA (Hons) in Integrative Counselling and Psychotherapy (Top -up) - Blackburn College</t>
  </si>
  <si>
    <t>304488</t>
  </si>
  <si>
    <t>H00304488</t>
  </si>
  <si>
    <t>Certificate in Education Post - 16 Education and Training - Leeds City College</t>
  </si>
  <si>
    <t>304489</t>
  </si>
  <si>
    <t>H00304489</t>
  </si>
  <si>
    <t>BSc (Hons) Paramedicine -De Montfort University - Paramedic Apprenticeship</t>
  </si>
  <si>
    <t>304490</t>
  </si>
  <si>
    <t>H00304490</t>
  </si>
  <si>
    <t>PG Diploma in District Nursing  - De Montfort University - District Nursing Apprenticeship</t>
  </si>
  <si>
    <t>304491</t>
  </si>
  <si>
    <t>H00304491</t>
  </si>
  <si>
    <t>BA (Hons) in Digital Marketing - Solent University - Digital Marketer Degree Apprenticeship</t>
  </si>
  <si>
    <t>304492</t>
  </si>
  <si>
    <t>H00304492</t>
  </si>
  <si>
    <t>FdSc in Sport, Coaching and Exercise Science - Bath College</t>
  </si>
  <si>
    <t>304493</t>
  </si>
  <si>
    <t>H00304493</t>
  </si>
  <si>
    <t>FdSc in Sport Science - RNN Group</t>
  </si>
  <si>
    <t>304494</t>
  </si>
  <si>
    <t>H00304494</t>
  </si>
  <si>
    <t>BSc (Hons) in Sport Science (Top-up)- RNN Group</t>
  </si>
  <si>
    <t>304495</t>
  </si>
  <si>
    <t>H00304495</t>
  </si>
  <si>
    <t>FdA in Games Design - RNN Group</t>
  </si>
  <si>
    <t>304496</t>
  </si>
  <si>
    <t>H00304496</t>
  </si>
  <si>
    <t>BSc (Hons) in Project Management - Leeds Beckett University - Project Manager Degree Apprenticeship</t>
  </si>
  <si>
    <t>304497</t>
  </si>
  <si>
    <t>H00304497</t>
  </si>
  <si>
    <t>FdA in Theatrical Hair and Media Makeup - RNN Group</t>
  </si>
  <si>
    <t>304498</t>
  </si>
  <si>
    <t>H00304498</t>
  </si>
  <si>
    <t>BA (Hons) in Theatrical Hair and Media Makeup (Top-up) - RNN Group</t>
  </si>
  <si>
    <t>304499</t>
  </si>
  <si>
    <t>H00304499</t>
  </si>
  <si>
    <t>BSc (Hons) in Animal Management (Top-Up) - Salford City College</t>
  </si>
  <si>
    <t>304500</t>
  </si>
  <si>
    <t>H00304500</t>
  </si>
  <si>
    <t>FdSc in Ecotourism - Cornwall College</t>
  </si>
  <si>
    <t>304501</t>
  </si>
  <si>
    <t>H00304501</t>
  </si>
  <si>
    <t>MSc in Outside Broadcasting - University of Bradford</t>
  </si>
  <si>
    <t>304502</t>
  </si>
  <si>
    <t>H00304502</t>
  </si>
  <si>
    <t>MSc in Broadcast Technology - Birmingham City University - Post Graduate Engineer Apprenticeship Standard</t>
  </si>
  <si>
    <t>304503</t>
  </si>
  <si>
    <t>H00304503</t>
  </si>
  <si>
    <t>BSc (Hons) in Sports Coaching (Top-up) - Colchester Institute</t>
  </si>
  <si>
    <t>304504</t>
  </si>
  <si>
    <t>H00304504</t>
  </si>
  <si>
    <t>FdSc in Nursing Associate - University of Central Lancashire - Nursing Associate (NMC 2018) Apprenticeship Standard</t>
  </si>
  <si>
    <t>304505</t>
  </si>
  <si>
    <t>H00304505</t>
  </si>
  <si>
    <t>PG Cert in (Higher Education) - Birmingham City University - Academic Professional Apprenticeship Standard</t>
  </si>
  <si>
    <t>304506</t>
  </si>
  <si>
    <t>H00304506</t>
  </si>
  <si>
    <t>PG Certificate in Instrumental Teaching - Colchester Institute</t>
  </si>
  <si>
    <t>304507</t>
  </si>
  <si>
    <t>H00304507</t>
  </si>
  <si>
    <t>PG Diploma in Instrumental Teaching - Colchester Institute</t>
  </si>
  <si>
    <t>304508</t>
  </si>
  <si>
    <t>H00304508</t>
  </si>
  <si>
    <t>MSc in Marketing and Leadership - Cranfield University - Senior Leader Master's Degree Apprenticeship</t>
  </si>
  <si>
    <t>304509</t>
  </si>
  <si>
    <t>H00304509</t>
  </si>
  <si>
    <t>MSc in Systems Engineering - Cranfield University - Systems Engineer Degree Apprenticeship</t>
  </si>
  <si>
    <t>304510</t>
  </si>
  <si>
    <t>H00304510</t>
  </si>
  <si>
    <t>MSc in Leadership and Management for Healthcare Practice - University of Salford - Senior Leader Master's Apprenticeship Standard</t>
  </si>
  <si>
    <t>304511</t>
  </si>
  <si>
    <t>H00304511</t>
  </si>
  <si>
    <t>MBA (Executive) - Leeds Trinity University - Senior Leaders Master's Degree Apprenticeship</t>
  </si>
  <si>
    <t>304512</t>
  </si>
  <si>
    <t>H00304512</t>
  </si>
  <si>
    <t>Foundation Degree in Veterinary Nursing - Plumpton College</t>
  </si>
  <si>
    <t>304513</t>
  </si>
  <si>
    <t>H00304513</t>
  </si>
  <si>
    <t>HNC in Electrical Power Networks and Distribution Engineering</t>
  </si>
  <si>
    <t>304514</t>
  </si>
  <si>
    <t>H00304514</t>
  </si>
  <si>
    <t>BA (Hons) in Social Work (Apprenticeship) - University of Kent - Social Worker (degree) Apprenticeship</t>
  </si>
  <si>
    <t>304515</t>
  </si>
  <si>
    <t>H00304515</t>
  </si>
  <si>
    <t>PGCE in Teaching - University of Sunderland - Teacher Apprenticeship</t>
  </si>
  <si>
    <t>304516</t>
  </si>
  <si>
    <t>H00304516</t>
  </si>
  <si>
    <t>BA (Hons) in Policing Practice - Colchester Institute</t>
  </si>
  <si>
    <t>304517</t>
  </si>
  <si>
    <t>H00304517</t>
  </si>
  <si>
    <t>MSc in Advanced Clinical Practitioner - Edge Hill University - Advanced Clinical Practitioner (Degree)</t>
  </si>
  <si>
    <t>304518</t>
  </si>
  <si>
    <t>H00304518</t>
  </si>
  <si>
    <t>CertHE in Construction Management Practice - Sheffield Hallam University</t>
  </si>
  <si>
    <t>304519</t>
  </si>
  <si>
    <t>H00304519</t>
  </si>
  <si>
    <t>CertHE in Construction Quantity Surveying Practice - Sheffield Hallam University</t>
  </si>
  <si>
    <t>304520</t>
  </si>
  <si>
    <t>H00304520</t>
  </si>
  <si>
    <t>CertHE in Professional Practice in Residential Development and Construction - Sheffield Hallam University</t>
  </si>
  <si>
    <t>304521</t>
  </si>
  <si>
    <t>H00304521</t>
  </si>
  <si>
    <t>CertHE in Professional Practice in Residential Development and Quantity Surveying - Sheffield Hallam University</t>
  </si>
  <si>
    <t>304522</t>
  </si>
  <si>
    <t>H00304522</t>
  </si>
  <si>
    <t>BSc (Hons) in Construction Management Practice - Sheffield Hallam University</t>
  </si>
  <si>
    <t>304523</t>
  </si>
  <si>
    <t>H00304523</t>
  </si>
  <si>
    <t>BSc (Hons) in Construction Quantity Surveying Practice - Sheffield Hallam University</t>
  </si>
  <si>
    <t>304524</t>
  </si>
  <si>
    <t>H00304524</t>
  </si>
  <si>
    <t>BSc (Hons) in Professional Practice in Residential Development and Construction - Sheffield Hallam University</t>
  </si>
  <si>
    <t>304525</t>
  </si>
  <si>
    <t>H00304525</t>
  </si>
  <si>
    <t>BSc (Hons) in Professional Practice in Residential Development and Quantity Surveying - Sheffield Hallam University</t>
  </si>
  <si>
    <t>304526</t>
  </si>
  <si>
    <t>H00304526</t>
  </si>
  <si>
    <t>BA (Hons) in Professional Practice in Supply Chain Leadership - Sheffield Hallam University</t>
  </si>
  <si>
    <t>304527</t>
  </si>
  <si>
    <t>H00304527</t>
  </si>
  <si>
    <t>BEng in Railway Engineering - Sheffield Hallam University</t>
  </si>
  <si>
    <t>304528</t>
  </si>
  <si>
    <t>H00304528</t>
  </si>
  <si>
    <t>Certificate in Education in Post Compulsory Education and Training (Apprenticeship) - University of Sunderland - Learning and Skills Teacher</t>
  </si>
  <si>
    <t>304529</t>
  </si>
  <si>
    <t>H00304529</t>
  </si>
  <si>
    <t>Foundation Degree in Nursing Associate - The Bournemouth and Poole College - Nursing Associate (NMC 2018) Apprenticeship Standard</t>
  </si>
  <si>
    <t>304530</t>
  </si>
  <si>
    <t>H00304530</t>
  </si>
  <si>
    <t>MSc in Data Analytics - University of Brighton - Digital and Technology Solutions Specialist (Data Analytics) Masters Degree</t>
  </si>
  <si>
    <t>304531</t>
  </si>
  <si>
    <t>H00304531</t>
  </si>
  <si>
    <t>BSc  (Hons) in Mental Health Nursing (Apprenticeship Route) - Coventry University College - Registered Nurse (degree) (NMC 2010) Apprenticeship Standard</t>
  </si>
  <si>
    <t>304532</t>
  </si>
  <si>
    <t>H00304532</t>
  </si>
  <si>
    <t>BEng (Hons) in Electro-Mechanical Engineering (Apprenticeship) - Coventry University College - Electrical / Electronic Technical Support Engineer (degree)</t>
  </si>
  <si>
    <t>304533</t>
  </si>
  <si>
    <t>H00304533</t>
  </si>
  <si>
    <t>BSc (Hons) in Building Surveying (Apprenticeship) - University Coventry College - Chartered Surveyor (degree)</t>
  </si>
  <si>
    <t>304534</t>
  </si>
  <si>
    <t>H00304534</t>
  </si>
  <si>
    <t>BA (Hons) in Social Work - Anglia Ruskin University</t>
  </si>
  <si>
    <t>304535</t>
  </si>
  <si>
    <t>H00304535</t>
  </si>
  <si>
    <t>BA (Hons) in Early Childhood (Progression to Honours) - Havant and South Downs College</t>
  </si>
  <si>
    <t>304536</t>
  </si>
  <si>
    <t>H00304536</t>
  </si>
  <si>
    <t>FdA in Health and Social Care - Havant and South Downs College</t>
  </si>
  <si>
    <t>304537</t>
  </si>
  <si>
    <t>H00304537</t>
  </si>
  <si>
    <t>FdA in Learning and Teaching Support - Havant and South Downs College</t>
  </si>
  <si>
    <t>304538</t>
  </si>
  <si>
    <t>H00304538</t>
  </si>
  <si>
    <t>FdSc in Physical Education and School Sport - Sheffield College</t>
  </si>
  <si>
    <t>304539</t>
  </si>
  <si>
    <t>H00304539</t>
  </si>
  <si>
    <t>MSc in Advanced Clinical Practice - St George's Hospital Medical School - Advanced Clinical Practitioner Degree Apprenticeship</t>
  </si>
  <si>
    <t>304540</t>
  </si>
  <si>
    <t>H00304540</t>
  </si>
  <si>
    <t>MSc in Advanced Clinical Practice - University of Northampton - Advanced Clinical Practitioner Degree Apprenticeship</t>
  </si>
  <si>
    <t>304541</t>
  </si>
  <si>
    <t>H00304541</t>
  </si>
  <si>
    <t>Executive Master of Business Administration - The University of Winchester - Senior Leaders Masters Degree</t>
  </si>
  <si>
    <t>304542</t>
  </si>
  <si>
    <t>H00304542</t>
  </si>
  <si>
    <t>BSc (Hons) in Food Science, Technology and Management - University of Bedfordshire - Food Industry Technical Professional (Degree)</t>
  </si>
  <si>
    <t>304543</t>
  </si>
  <si>
    <t>H00304543</t>
  </si>
  <si>
    <t>HNC in Engineering (Mechanical Design) - The Bournemouth and Poole College - Product Design and Development Engineer Degree Apprenticeship Standard</t>
  </si>
  <si>
    <t>304544</t>
  </si>
  <si>
    <t>H00304544</t>
  </si>
  <si>
    <t>FDEng in Engineering (Mechanical Design) - The Bournemouth and Poole College - Product Design and Development Engineer Degree Apprenticeship Standard</t>
  </si>
  <si>
    <t>304545</t>
  </si>
  <si>
    <t>H00304545</t>
  </si>
  <si>
    <t>HNC in Engineering (Manufacturing Management) - The Bournemouth and Poole College - Manufacturing Engineer Degree Apprenticeship Standard</t>
  </si>
  <si>
    <t>304546</t>
  </si>
  <si>
    <t>H00304546</t>
  </si>
  <si>
    <t>FDEng in Engineering (Manufacturing Management) - The Bournemouth and Poole College - Manufacturing Engineer Degree Apprenticeship Standard</t>
  </si>
  <si>
    <t>304547</t>
  </si>
  <si>
    <t>H00304547</t>
  </si>
  <si>
    <t>HNC in Engineering (Electronic Design) - The Bournemouth and Poole College - Manufacturing Engineer Degree Apprenticeship Standard</t>
  </si>
  <si>
    <t>304548</t>
  </si>
  <si>
    <t>H00304548</t>
  </si>
  <si>
    <t>FDEng in Engineering (Electronic Design) - The Bournemouth and Poole College - Manufacturing Engineer Degree Apprenticeship Standard</t>
  </si>
  <si>
    <t>304549</t>
  </si>
  <si>
    <t>H00304549</t>
  </si>
  <si>
    <t>HNC in Mechanical Engineering - University of Northampton - Engineering Manufacturing framework 539</t>
  </si>
  <si>
    <t>304550</t>
  </si>
  <si>
    <t>H00304550</t>
  </si>
  <si>
    <t>HNC in Electrical Engineering - University of Northampton - Engineering Manufacturing framework 539</t>
  </si>
  <si>
    <t>304551</t>
  </si>
  <si>
    <t>H00304551</t>
  </si>
  <si>
    <t>FdA in Audio for Commercial Purpose - Grimsby Institute of Further and Higher Education</t>
  </si>
  <si>
    <t>304552</t>
  </si>
  <si>
    <t>H00304552</t>
  </si>
  <si>
    <t>HNC in Engineering (Marine Technologies) - The Bournemouth and Poole College - Product Design and Development Engineer Degree Apprenticeship Standard</t>
  </si>
  <si>
    <t>304553</t>
  </si>
  <si>
    <t>H00304553</t>
  </si>
  <si>
    <t>FdEng in Engineering (Marine Technologies) - The Bournemouth and Poole College - Product Design and Development Engineer Degree Apprenticeship Standard</t>
  </si>
  <si>
    <t>304554</t>
  </si>
  <si>
    <t>H00304554</t>
  </si>
  <si>
    <t>FdA in Educational Support - City of Bristol College - University of the West of England</t>
  </si>
  <si>
    <t>304555</t>
  </si>
  <si>
    <t>H00304555</t>
  </si>
  <si>
    <t>BSc (Hons) in Cybersecurity - University of Bedfordshire - Cyber Security Technical Professional (Integrated Degree) Apprenticeship</t>
  </si>
  <si>
    <t>304556</t>
  </si>
  <si>
    <t>H00304556</t>
  </si>
  <si>
    <t>MSc in International Hospitality, Tourism and Events Management Practice - University of Surrey - Senior Leader Master's Degree Apprenticeship</t>
  </si>
  <si>
    <t>304557</t>
  </si>
  <si>
    <t>H00304557</t>
  </si>
  <si>
    <t>BNurs (Hons) in Registered Nurse (Adult Nursing) - University of Wolverhampton - Registered Nurse (NMC 2018) Degree Apprenticeship</t>
  </si>
  <si>
    <t>304558</t>
  </si>
  <si>
    <t>H00304558</t>
  </si>
  <si>
    <t>BNurs (Hons) in Registered Nurse (Children's Nursing) - University of Wolverhampton - Registered Nurse (NMC 2018) Degree Apprenticeship</t>
  </si>
  <si>
    <t>304559</t>
  </si>
  <si>
    <t>H00304559</t>
  </si>
  <si>
    <t>BNurs (Hons) in Registered Nurse (Learning Disability Nursing) - University of Wolverhampton - Registered Nurse (NMC 2018) Degree Apprenticeship</t>
  </si>
  <si>
    <t>304560</t>
  </si>
  <si>
    <t>H00304560</t>
  </si>
  <si>
    <t>BNurs (Hons) in Registered Nurse (Mental Health Nursing) - University of Wolverhampton - Registered Nurse (NMC 2018) Degree Apprenticeship</t>
  </si>
  <si>
    <t>304561</t>
  </si>
  <si>
    <t>H00304561</t>
  </si>
  <si>
    <t>FdA in Health and Wellbeing (Nursing Associate) - University of Suffolk - Nursing Associate (NMC 2018) Apprenticeship Standard</t>
  </si>
  <si>
    <t>304562</t>
  </si>
  <si>
    <t>H00304562</t>
  </si>
  <si>
    <t>MSc in Advanced Clinical Practitioner - University of Northumbria at Newcastle - Advanced Clinical Practitioner Degree Apprenticeship</t>
  </si>
  <si>
    <t>304563</t>
  </si>
  <si>
    <t>H00304563</t>
  </si>
  <si>
    <t>MSc in Advanced Clinical Practitioner (Emergency Care) - University of Northumbria at Newcastle - Advanced Clinical Practitioner Degree Apprenticeship</t>
  </si>
  <si>
    <t>304564</t>
  </si>
  <si>
    <t>H00304564</t>
  </si>
  <si>
    <t>MSc in Advanced Clinical Practice (Cancer Care) - University of Northumbria at Newcastle - Advanced Clinical Practitioner Degree Apprenticeship</t>
  </si>
  <si>
    <t>304565</t>
  </si>
  <si>
    <t>H00304565</t>
  </si>
  <si>
    <t>MSc in Advanced Clinical Practice (Palliative Care) - University of Northumbria at Newcastle - Advanced Clinical Practitioner Degree Apprenticeship</t>
  </si>
  <si>
    <t>304566</t>
  </si>
  <si>
    <t>H00304566</t>
  </si>
  <si>
    <t>MSc in Advanced Clinical Practitioner (Primary Care) - University of Northumbria at Newcastle - Advanced Clinical Practitioner Degree Apprenticeship</t>
  </si>
  <si>
    <t>304567</t>
  </si>
  <si>
    <t>H00304567</t>
  </si>
  <si>
    <t>MSc in Advanced Clinical Practice (Learning Disability) - University of Northumbria at Newcastle - Advanced Clinical Practitioner Degree Apprenticeship</t>
  </si>
  <si>
    <t>304568</t>
  </si>
  <si>
    <t>H00304568</t>
  </si>
  <si>
    <t>MSc in Advanced Clinical Practice (Mental Health) - University of Northumbria at Newcastle - Advanced Clinical Practitioner Degree Apprenticeship</t>
  </si>
  <si>
    <t>304569</t>
  </si>
  <si>
    <t>H00304569</t>
  </si>
  <si>
    <t>PGCE in Primary and Early Years Education with QTS - University of Huddersfield - Teacher Apprenticeship</t>
  </si>
  <si>
    <t>304570</t>
  </si>
  <si>
    <t>H00304570</t>
  </si>
  <si>
    <t>MRes in Bioinformatics - University of Nottingham - Bioinformatics Scientist Degree Apprenticeship</t>
  </si>
  <si>
    <t>304571</t>
  </si>
  <si>
    <t>H00304571</t>
  </si>
  <si>
    <t>MSc in Advanced Clinical Practitioner - Liverpool John Moores University - Advanced Clinical Practitioner Degree Apprenticeship</t>
  </si>
  <si>
    <t>304572</t>
  </si>
  <si>
    <t>H00304572</t>
  </si>
  <si>
    <t>Pg Cert in Academic Practice - Liverpool John Moores University - Academic Professional Apprenticeship Standard</t>
  </si>
  <si>
    <t>304573</t>
  </si>
  <si>
    <t>H00304573</t>
  </si>
  <si>
    <t>Foundation Degree in Nursing Associate (Apprenticeship) - University of Leeds - Nursing Associate (NMC 2018)</t>
  </si>
  <si>
    <t>304574</t>
  </si>
  <si>
    <t>H00304574</t>
  </si>
  <si>
    <t>Degree Apprenticeship MSc in Bioinformatics Scientist (Standard) - The University of West London - Bioinformatics Scientist (Standard)</t>
  </si>
  <si>
    <t>304575</t>
  </si>
  <si>
    <t>H00304575</t>
  </si>
  <si>
    <t>BSc (hons) in Professional Policing Practise - The Open university - Police Constable (degree)</t>
  </si>
  <si>
    <t>304576</t>
  </si>
  <si>
    <t>H00304576</t>
  </si>
  <si>
    <t>BSc (Hons) in Applied Sports Science and Coaching - Bridgwater and Taunton College</t>
  </si>
  <si>
    <t>304577</t>
  </si>
  <si>
    <t>H00304577</t>
  </si>
  <si>
    <t>BSc (Hons) in Midwifery: Registered Midwife (2nd Registration) - University of Bedfordshire - Midwife Degree Apprenticeship</t>
  </si>
  <si>
    <t>304578</t>
  </si>
  <si>
    <t>H00304578</t>
  </si>
  <si>
    <t>Foundation Degree in Children and Young People - Boston College</t>
  </si>
  <si>
    <t>304579</t>
  </si>
  <si>
    <t>H00304579</t>
  </si>
  <si>
    <t>BA (Hons) in Business Management - Boston College</t>
  </si>
  <si>
    <t>304580</t>
  </si>
  <si>
    <t>H00304580</t>
  </si>
  <si>
    <t>BA (Hons) in Business Management (Top Up) - Boston College</t>
  </si>
  <si>
    <t>304581</t>
  </si>
  <si>
    <t>H00304581</t>
  </si>
  <si>
    <t>FdSc in Health Play Specialist - The University of West London - Health Play specialist (Standard)</t>
  </si>
  <si>
    <t>304582</t>
  </si>
  <si>
    <t>H00304582</t>
  </si>
  <si>
    <t>MSc in Healthcare Leadership and Management - University of Exeter</t>
  </si>
  <si>
    <t>304583</t>
  </si>
  <si>
    <t>H00304583</t>
  </si>
  <si>
    <t>MSc in Leadership Practice - Lancaster University - Senior Leader Master's Degree Apprenticeship</t>
  </si>
  <si>
    <t>304584</t>
  </si>
  <si>
    <t>H00304584</t>
  </si>
  <si>
    <t>MSc in Medical Leadership - Lancaster University - Senior Leader Master's Degree Apprenticeship</t>
  </si>
  <si>
    <t>304585</t>
  </si>
  <si>
    <t>H00304585</t>
  </si>
  <si>
    <t>FdSc in Nursing Associate - University of Wolverhampton - Nursing Associate (NMC 2018) Apprenticeship Standard</t>
  </si>
  <si>
    <t>304586</t>
  </si>
  <si>
    <t>H00304586</t>
  </si>
  <si>
    <t>BSc (Hons) Nursing (Adult) - Birmingham City University - Registered Nurse Degree Apprenticeship ( NMC 2018)</t>
  </si>
  <si>
    <t>304587</t>
  </si>
  <si>
    <t>H00304587</t>
  </si>
  <si>
    <t>BSc (Hons) Nursing (Child) - Birmingham City University - Registered Nurse Degree Apprenticeship ( NMC 2018)</t>
  </si>
  <si>
    <t>304588</t>
  </si>
  <si>
    <t>H00304588</t>
  </si>
  <si>
    <t>BSc (Hons) Nursing (Mental Health) - Birmingham City University - Registered Nurse Degree Apprenticeship ( NMC 2018)</t>
  </si>
  <si>
    <t>304589</t>
  </si>
  <si>
    <t>H00304589</t>
  </si>
  <si>
    <t>BSc (Hons) Nursing (Learning Disabilities) - Birmingham City University - Registered Nurse Degree Apprenticeship (NMC 2018)</t>
  </si>
  <si>
    <t>304590</t>
  </si>
  <si>
    <t>H00304590</t>
  </si>
  <si>
    <t>CertHE in Children, Young People and Families Practitioner - University College Birmingham - Training Limited</t>
  </si>
  <si>
    <t>304591</t>
  </si>
  <si>
    <t>H00304591</t>
  </si>
  <si>
    <t>CertHE in Children, Young People and Families Practitioner - University College Birmingham - Salford College</t>
  </si>
  <si>
    <t>304592</t>
  </si>
  <si>
    <t>H00304592</t>
  </si>
  <si>
    <t>MBA in Business and Management - University of East London - Senior Leader Master's Degree Apprenticeship</t>
  </si>
  <si>
    <t>304593</t>
  </si>
  <si>
    <t>H00304593</t>
  </si>
  <si>
    <t>BSc (Hons) in Nursing with Registered Nurse (RN) (Adult) - University of Central Lancashire - Registered Nurse (degree) (NMC 2018) Apprenticeship Standard</t>
  </si>
  <si>
    <t>304594</t>
  </si>
  <si>
    <t>H00304594</t>
  </si>
  <si>
    <t>BSc (Hons) in Nursing with Registered Nurse (RN) (Children and Young People) - University of Central Lancashire - Registered Nurse (degree) (NMC 2018) Apprenticeship Standard</t>
  </si>
  <si>
    <t>304595</t>
  </si>
  <si>
    <t>H00304595</t>
  </si>
  <si>
    <t>BSc (Hons) in Nursing with Registered Nurse (RN) (Mental Health) - University of Central Lancashire - Registered Nurse (degree) (NMC 2018) Apprenticeship Standard</t>
  </si>
  <si>
    <t>304596</t>
  </si>
  <si>
    <t>H00304596</t>
  </si>
  <si>
    <t>MSc in Nursing with Registered Nurse (RN) (Adult) - University of Central Lancashire - Registered Nurse (degree) (NMC 2018) Apprenticeship Standard</t>
  </si>
  <si>
    <t>304597</t>
  </si>
  <si>
    <t>H00304597</t>
  </si>
  <si>
    <t>MSc in Nursing with Registered Nurse (RN) (Children and Young People) - University of Central Lancashire - Registered Nurse (degree) (NMC 2018) Apprenticeship Standard</t>
  </si>
  <si>
    <t>304598</t>
  </si>
  <si>
    <t>H00304598</t>
  </si>
  <si>
    <t>MSc in Nursing with Registered Nurse (RN) (Mental Health) - University of Central Lancashire - Registered Nurse (degree) (NMC 2018) Apprenticeship Standard</t>
  </si>
  <si>
    <t>304599</t>
  </si>
  <si>
    <t>H00304599</t>
  </si>
  <si>
    <t>MSc in Digital and Technology Solutions - University of Central Lancashire - Digital and Technology Solutions Specialist Integrated Degree Apprenticeship</t>
  </si>
  <si>
    <t>304600</t>
  </si>
  <si>
    <t>H00304600</t>
  </si>
  <si>
    <t>BEng (Hons) in Professional Engineering (Control/Technical Support Engineer) - Aston University</t>
  </si>
  <si>
    <t>304601</t>
  </si>
  <si>
    <t>H00304601</t>
  </si>
  <si>
    <t>BEng (Hons) in Professional Engineering (Science Industry Process/Plant Engineer) - Aston University</t>
  </si>
  <si>
    <t>304602</t>
  </si>
  <si>
    <t>H00304602</t>
  </si>
  <si>
    <t>MSc in Herbal Therapeutics - Lincoln College</t>
  </si>
  <si>
    <t>304603</t>
  </si>
  <si>
    <t>H00304603</t>
  </si>
  <si>
    <t>FdSc in Technician Scientist - University of Central Lancashire - Technician Scientist Apprenticeship Standard</t>
  </si>
  <si>
    <t>304604</t>
  </si>
  <si>
    <t>H00304604</t>
  </si>
  <si>
    <t>The Bedfordshire Executive Master of Business Administration - University of Bedfordshire - Senior Leader Master's Degree Apprenticeship</t>
  </si>
  <si>
    <t>304605</t>
  </si>
  <si>
    <t>H00304605</t>
  </si>
  <si>
    <t>FdSc in Health and Social Care (Adult Care) - Birmingham City University - Healthcare Assistant Practitioner Apprenticeship Standard</t>
  </si>
  <si>
    <t>304606</t>
  </si>
  <si>
    <t>H00304606</t>
  </si>
  <si>
    <t>FdSc in Health and Social Care (Children) - Birmingham City University - Healthcare Assistant Practitioner Apprenticeship Standard</t>
  </si>
  <si>
    <t>304607</t>
  </si>
  <si>
    <t>H00304607</t>
  </si>
  <si>
    <t>FdSc in Health and Social Care (Diagnostic Radiography) - Birmingham City University - Healthcare Assistant Practitioner Apprenticeship Standard</t>
  </si>
  <si>
    <t>304608</t>
  </si>
  <si>
    <t>H00304608</t>
  </si>
  <si>
    <t>FdSc in Health and Social Care (Mammography) - Birmingham City University - Healthcare Assistant Practitioner Apprenticeship Standard</t>
  </si>
  <si>
    <t>304609</t>
  </si>
  <si>
    <t>H00304609</t>
  </si>
  <si>
    <t>FdSc in Health and Social Care (Maternity) - Birmingham City University - Healthcare Assistant Practitioner Apprenticeship Standard</t>
  </si>
  <si>
    <t>304610</t>
  </si>
  <si>
    <t>H00304610</t>
  </si>
  <si>
    <t>FdSc in Health and Social Care (Mental Health) - Birmingham City University - Healthcare Assistant Practitioner Apprenticeship Standard</t>
  </si>
  <si>
    <t>304611</t>
  </si>
  <si>
    <t>H00304611</t>
  </si>
  <si>
    <t>FdSc in Health and Social Care (Surgical Care Support) - Birmingham City University - Healthcare Assistant Practitioner Apprenticeship Standard</t>
  </si>
  <si>
    <t>304612</t>
  </si>
  <si>
    <t>H00304612</t>
  </si>
  <si>
    <t>FdSc in Health and Social Care (Learning Disabilities) - Birmingham City University - Healthcare Assistant Practitioner Apprenticeship Standard</t>
  </si>
  <si>
    <t>304613</t>
  </si>
  <si>
    <t>H00304613</t>
  </si>
  <si>
    <t>BA (Hons) in Creative Industries (Top Up) - Wakefield College</t>
  </si>
  <si>
    <t>304614</t>
  </si>
  <si>
    <t>H00304614</t>
  </si>
  <si>
    <t>MMedSci in Advanced Clinical Practice - University of Sheffield - Advanced Clinical Practitioner Degree Apprenticeship</t>
  </si>
  <si>
    <t>304615</t>
  </si>
  <si>
    <t>H00304615</t>
  </si>
  <si>
    <t>BA (Hons) Top Up Business Management - Southport College</t>
  </si>
  <si>
    <t>304616</t>
  </si>
  <si>
    <t>H00304616</t>
  </si>
  <si>
    <t>BA (Hons) Fashion and Textiles - Colchester Institute</t>
  </si>
  <si>
    <t>304617</t>
  </si>
  <si>
    <t>H00304617</t>
  </si>
  <si>
    <t>BA (Hons) Fine Art - Colchester Institute</t>
  </si>
  <si>
    <t>304618</t>
  </si>
  <si>
    <t>H00304618</t>
  </si>
  <si>
    <t>BA (Hons) Visual Arts with Foundation Year - Colchester Institute</t>
  </si>
  <si>
    <t>304619</t>
  </si>
  <si>
    <t>H00304619</t>
  </si>
  <si>
    <t>BA (Hons) Photography - Colchester Institute</t>
  </si>
  <si>
    <t>304620</t>
  </si>
  <si>
    <t>H00304620</t>
  </si>
  <si>
    <t>FdSc Nursing Associate (Higher Apprenticeship) - University of Greenwich - Nursing Associate (NMC 2018) Apprenticeship Standard</t>
  </si>
  <si>
    <t>304621</t>
  </si>
  <si>
    <t>H00304621</t>
  </si>
  <si>
    <t>BSc (Hons) in Adult Nursing - University of Suffolk - Registered Nurse (NMC 2018) Degree Apprenticeship</t>
  </si>
  <si>
    <t>304622</t>
  </si>
  <si>
    <t>H00304622</t>
  </si>
  <si>
    <t>BSc (Hons) in Mental Health Nursing - University of Suffolk - Registered Nurse (NMC 2018) Degree Apprenticeship</t>
  </si>
  <si>
    <t>304623</t>
  </si>
  <si>
    <t>H00304623</t>
  </si>
  <si>
    <t>BSc (Hons) in Real Estate Surveying (Valuation and Finance) - University of Salford - Chartered Surveyor (Degree) Apprenticeship Standard</t>
  </si>
  <si>
    <t>304624</t>
  </si>
  <si>
    <t>H00304624</t>
  </si>
  <si>
    <t>BSc (Hons) in Real Estate Surveying (Asset Management) - University of Salford - Chartered Surveyor (Degree) Apprenticeship Standard</t>
  </si>
  <si>
    <t>304625</t>
  </si>
  <si>
    <t>H00304625</t>
  </si>
  <si>
    <t>BSc (Hons) in Real Estate Surveying (Planning and Development) - University of Salford - Chartered Surveyor (Degree) Apprenticeship Standard</t>
  </si>
  <si>
    <t>304626</t>
  </si>
  <si>
    <t>H00304626</t>
  </si>
  <si>
    <t>BSc in Physiotherapy - University of Salford - Physiotherapist (integrated degree) Apprenticeship Standard</t>
  </si>
  <si>
    <t>304627</t>
  </si>
  <si>
    <t>H00304627</t>
  </si>
  <si>
    <t>FdSc Health and Social Care - Solent University - (Healthcare Assistant Practitioner) Apprenticeship Standard</t>
  </si>
  <si>
    <t>304628</t>
  </si>
  <si>
    <t>H00304628</t>
  </si>
  <si>
    <t>FdSc Health and Social Care - Solent University - Nursing Associate (NMC 2018) Apprenticeship Standard</t>
  </si>
  <si>
    <t>304629</t>
  </si>
  <si>
    <t>H00304629</t>
  </si>
  <si>
    <t>BSc (Hons) Competition Motorcycle Technology (top-up) - Myerscough College</t>
  </si>
  <si>
    <t>304630</t>
  </si>
  <si>
    <t>H00304630</t>
  </si>
  <si>
    <t>FdSc in Nursing Associate - University of Cumbria - Nursing Associate (NMC 2018) Apprenticeship Standard</t>
  </si>
  <si>
    <t>304631</t>
  </si>
  <si>
    <t>H00304631</t>
  </si>
  <si>
    <t>Executive Master of Business Administration - Birmingham City University - Senior Leader Master's Degree Apprenticeship</t>
  </si>
  <si>
    <t>304632</t>
  </si>
  <si>
    <t>H00304632</t>
  </si>
  <si>
    <t>FdSc Virtual Reality and 3D Modelling - City College Plymouth</t>
  </si>
  <si>
    <t>304633</t>
  </si>
  <si>
    <t>H00304633</t>
  </si>
  <si>
    <t>Foundation Degree in Animal Behaviour, Welfare and Conservation - Kingston Maurward College</t>
  </si>
  <si>
    <t>304634</t>
  </si>
  <si>
    <t>H00304634</t>
  </si>
  <si>
    <t>BSc (Hons) in Animal Behaviour, Welfare and Conservation (Animal Collections) (Top-Up)- Kingston Maurward College</t>
  </si>
  <si>
    <t>304635</t>
  </si>
  <si>
    <t>H00304635</t>
  </si>
  <si>
    <t>BSc (Hons) in Animal Behaviour, Welfare and Conservation (Animal Conservation) (Top-Up)- Kingston Maurward College</t>
  </si>
  <si>
    <t>304636</t>
  </si>
  <si>
    <t>H00304636</t>
  </si>
  <si>
    <t>FdSc in Marine Autonomous Vehicles - City College Plymouth</t>
  </si>
  <si>
    <t>304637</t>
  </si>
  <si>
    <t>H00304637</t>
  </si>
  <si>
    <t>HNC in Manufacturing Maintenance Engineer - City College Plymouth</t>
  </si>
  <si>
    <t>304638</t>
  </si>
  <si>
    <t>H00304638</t>
  </si>
  <si>
    <t>BSc (Hons) In Nursing/Registered Nurse: Adult Nursing - University of Cumbria - Registered Nurse (NMC 2018) Degree Apprenticeship</t>
  </si>
  <si>
    <t>304639</t>
  </si>
  <si>
    <t>H00304639</t>
  </si>
  <si>
    <t>BSc (Hons) In Nursing/Registered Nurse: Children's Nursing - University of Cumbria - Registered Nurse (NMC 2018) Degree Apprenticeship</t>
  </si>
  <si>
    <t>304640</t>
  </si>
  <si>
    <t>H00304640</t>
  </si>
  <si>
    <t>BSc (Hons) In Nursing/Registered Nurse: Learning Disabilities Nursing - University of Cumbria - Registered Nurse (NMC 2018) Degree Apprenticeship</t>
  </si>
  <si>
    <t>304641</t>
  </si>
  <si>
    <t>H00304641</t>
  </si>
  <si>
    <t>BSc (Hons) In Nursing/Registered Nurse: Mental Health Nursing - University of Cumbria - Registered Nurse (NMC 2018) Degree Apprenticeship</t>
  </si>
  <si>
    <t>304642</t>
  </si>
  <si>
    <t>H00304642</t>
  </si>
  <si>
    <t>BA (Hons) in Game Design (Game Art) - Grimsby Institute of Further and Higher Education</t>
  </si>
  <si>
    <t>304643</t>
  </si>
  <si>
    <t>H00304643</t>
  </si>
  <si>
    <t>BA (Hons) in Game Design (Game Development) - Grimsby Institute of Further and Higher Education</t>
  </si>
  <si>
    <t>304644</t>
  </si>
  <si>
    <t>H00304644</t>
  </si>
  <si>
    <t>University Diploma in Learning and Development Practice - University of Northampton - Learning and Development Consultant / Business Partner Apprenticeship Standard</t>
  </si>
  <si>
    <t>304645</t>
  </si>
  <si>
    <t>H00304645</t>
  </si>
  <si>
    <t>BSc (Hons) in Data Science - The University of Winchester - Data Scientist Degree Apprenticeship</t>
  </si>
  <si>
    <t>304646</t>
  </si>
  <si>
    <t>H00304646</t>
  </si>
  <si>
    <t>FdA in Disability Studies with Inclusive Practice - Lancaster University</t>
  </si>
  <si>
    <t>304647</t>
  </si>
  <si>
    <t>H00304647</t>
  </si>
  <si>
    <t>BA (Hons) in Disability Studies with Inclusive Practice - Lancaster University</t>
  </si>
  <si>
    <t>304648</t>
  </si>
  <si>
    <t>H00304648</t>
  </si>
  <si>
    <t>BEng (Hons) in Motorsport Technology - Wiltshire College and University Centre</t>
  </si>
  <si>
    <t>304649</t>
  </si>
  <si>
    <t>H00304649</t>
  </si>
  <si>
    <t>BSc (Hons) in Animal Management and Wildlife Conservation (Top-up) - Bridgwater and Taunton College</t>
  </si>
  <si>
    <t>304650</t>
  </si>
  <si>
    <t>H00304650</t>
  </si>
  <si>
    <t>BA (Hons) in Early Childhood Studies - Burton and South Derbyshire College</t>
  </si>
  <si>
    <t>304651</t>
  </si>
  <si>
    <t>H00304651</t>
  </si>
  <si>
    <t>MBA in Retail Business Management - University of Bolton - Senior Leader Standard</t>
  </si>
  <si>
    <t>304652</t>
  </si>
  <si>
    <t>H00304652</t>
  </si>
  <si>
    <t>FdSc in Nursing Associate - University of Bolton - Nursing Associate (NMC 2018) Apprenticeship Standard</t>
  </si>
  <si>
    <t>304653</t>
  </si>
  <si>
    <t>H00304653</t>
  </si>
  <si>
    <t>MBA Executive - University of Bolton - Senior Leader Standard</t>
  </si>
  <si>
    <t>304654</t>
  </si>
  <si>
    <t>H00304654</t>
  </si>
  <si>
    <t>BSc (Hons) in Digital and Technology Solutions: Software Engineering - University of Bolton - Digital and Technology Solutions Professional Standard</t>
  </si>
  <si>
    <t>304655</t>
  </si>
  <si>
    <t>H00304655</t>
  </si>
  <si>
    <t>BSc (Hons) in Digital and Technology Solutions: Network Engineering - University of Bolton - Digital and Technology Solutions Professional Standard</t>
  </si>
  <si>
    <t>304656</t>
  </si>
  <si>
    <t>H00304656</t>
  </si>
  <si>
    <t>BSc (Hons) in Digital and Technology Solutions: Data Analyst - University of Bolton - Digital and Technology Solutions Professional Standard</t>
  </si>
  <si>
    <t>304657</t>
  </si>
  <si>
    <t>H00304657</t>
  </si>
  <si>
    <t>BSc (Hons) in Digital and Technology Solutions: Cyber Security - University of Bolton - Digital and Technology Solutions Professional Standard</t>
  </si>
  <si>
    <t>304658</t>
  </si>
  <si>
    <t>H00304658</t>
  </si>
  <si>
    <t>BA (Hons) in Social Work - University of Bolton - Social Worker Standard</t>
  </si>
  <si>
    <t>304659</t>
  </si>
  <si>
    <t>H00304659</t>
  </si>
  <si>
    <t>MSc in System Engineering (Electronic) and Engineering Management - University of Bolton - Systems Engineer Standard</t>
  </si>
  <si>
    <t>304660</t>
  </si>
  <si>
    <t>H00304660</t>
  </si>
  <si>
    <t>MSc in System Engineering (Mechanical) and Engineering Management - University of Bolton - Systems Engineer Standard</t>
  </si>
  <si>
    <t>304661</t>
  </si>
  <si>
    <t>H00304661</t>
  </si>
  <si>
    <t>MSc in System Engineering (Mechatronics) and Engineering Management - University of Bolton - Systems Engineer Standard</t>
  </si>
  <si>
    <t>304662</t>
  </si>
  <si>
    <t>H00304662</t>
  </si>
  <si>
    <t>MSc Advanced Clinical Practice  - University of Bolton - Advanced Clinical Practitioner Standard</t>
  </si>
  <si>
    <t>304663</t>
  </si>
  <si>
    <t>H00304663</t>
  </si>
  <si>
    <t>BSc (Hons) in Sports Studies Top Up - Askham Bryan University Centre</t>
  </si>
  <si>
    <t>304664</t>
  </si>
  <si>
    <t>H00304664</t>
  </si>
  <si>
    <t>BA (Hons) in Leadership and Management (Top-up)- Selby College</t>
  </si>
  <si>
    <t>304665</t>
  </si>
  <si>
    <t>H00304665</t>
  </si>
  <si>
    <t>FdA in Live Events Production - City College Plymouth</t>
  </si>
  <si>
    <t>304666</t>
  </si>
  <si>
    <t>H00304666</t>
  </si>
  <si>
    <t>BA (Hons) in Live Events Production - City College Plymouth</t>
  </si>
  <si>
    <t>304667</t>
  </si>
  <si>
    <t>H00304667</t>
  </si>
  <si>
    <t>FdEng Automotive and Motorsport Engineering Technology</t>
  </si>
  <si>
    <t>304668</t>
  </si>
  <si>
    <t>H00304668</t>
  </si>
  <si>
    <t>BEng Hons (top-up) Automotive and Motorsport Engineering Technology</t>
  </si>
  <si>
    <t>304669</t>
  </si>
  <si>
    <t>H00304669</t>
  </si>
  <si>
    <t>BSc (Hons) in Computing (Top-up) - North East Surrey College of Technology</t>
  </si>
  <si>
    <t>304670</t>
  </si>
  <si>
    <t>H00304670</t>
  </si>
  <si>
    <t>MA in Archaeological Practice - University of Wales Trinity Saint David - Archaeological Specialist Standard</t>
  </si>
  <si>
    <t>304671</t>
  </si>
  <si>
    <t>H00304671</t>
  </si>
  <si>
    <t>BEng (Hons) Manufacturing Engineering</t>
  </si>
  <si>
    <t>304672</t>
  </si>
  <si>
    <t>H00304672</t>
  </si>
  <si>
    <t>Foundation Degree (Science) in Sport, Fitness and Wellbeing - Boston College</t>
  </si>
  <si>
    <t>304673</t>
  </si>
  <si>
    <t>H00304673</t>
  </si>
  <si>
    <t>BSc (Hons) in Sport, Fitness and Wellbeing (Top-up) - Boston College</t>
  </si>
  <si>
    <t>304674</t>
  </si>
  <si>
    <t>H00304674</t>
  </si>
  <si>
    <t>MSc in Advanced Clinical Practitioner - De Montfort University - Advanced Clinical Practitioner Degree Apprenticeship</t>
  </si>
  <si>
    <t>304675</t>
  </si>
  <si>
    <t>H00304675</t>
  </si>
  <si>
    <t>MSc in Digital and Technology Solutions Software Engineering Specialist - De Montfort University - Digital and Technology Solutions Specialist Degree Apprenticeship</t>
  </si>
  <si>
    <t>304676</t>
  </si>
  <si>
    <t>H00304676</t>
  </si>
  <si>
    <t>BA (Hons) in Computer Games with 3D Modelling and Animation - Colchester Institute</t>
  </si>
  <si>
    <t>304677</t>
  </si>
  <si>
    <t>H00304677</t>
  </si>
  <si>
    <t>FdA in Accounting - Blackburn College</t>
  </si>
  <si>
    <t>304678</t>
  </si>
  <si>
    <t>H00304678</t>
  </si>
  <si>
    <t>BA (Hons) in Accounting (Top-up) - Blackburn College</t>
  </si>
  <si>
    <t>304679</t>
  </si>
  <si>
    <t>H00304679</t>
  </si>
  <si>
    <t>MSc in Advanced Clinical Practitioner - University of Worcester - Advanced Clinical Practitioner Degree Apprenticeship</t>
  </si>
  <si>
    <t>304680</t>
  </si>
  <si>
    <t>H00304680</t>
  </si>
  <si>
    <t>PGDip in Academic Management and Leadership - Aston University - Academic Professional Apprenticeship Standard</t>
  </si>
  <si>
    <t>304681</t>
  </si>
  <si>
    <t>H00304681</t>
  </si>
  <si>
    <t>BEng (Hons) in Civil Engineering - University of Central Lancashire - Civil Engineer Degree Apprenticeship</t>
  </si>
  <si>
    <t>304682</t>
  </si>
  <si>
    <t>H00304682</t>
  </si>
  <si>
    <t>MEng (Hons) in Civil Engineering - University of Central Lancashire</t>
  </si>
  <si>
    <t>304683</t>
  </si>
  <si>
    <t>H00304683</t>
  </si>
  <si>
    <t>BSc (Hons) in Electrical and Electronic Engineering - Bedford College</t>
  </si>
  <si>
    <t>304684</t>
  </si>
  <si>
    <t>H00304684</t>
  </si>
  <si>
    <t>BSc (Hons) in General Engineering - Bedford College</t>
  </si>
  <si>
    <t>304685</t>
  </si>
  <si>
    <t>H00304685</t>
  </si>
  <si>
    <t>BSc (Hons)  in Mechanical Engineering - Bedford College</t>
  </si>
  <si>
    <t>304686</t>
  </si>
  <si>
    <t>H00304686</t>
  </si>
  <si>
    <t>Foundation Degree in Creative Practice - DCG</t>
  </si>
  <si>
    <t>304687</t>
  </si>
  <si>
    <t>H00304687</t>
  </si>
  <si>
    <t>BA (Hons) in Creative Practice (Top-up) - DCG</t>
  </si>
  <si>
    <t>304688</t>
  </si>
  <si>
    <t>H00304688</t>
  </si>
  <si>
    <t>BSc (Hons) in Paramedic Science - University of Cumbria - Paramedic (degree) Standard</t>
  </si>
  <si>
    <t>304689</t>
  </si>
  <si>
    <t>H00304689</t>
  </si>
  <si>
    <t>BSc (Hons) in Professional Studies (Health and Community) (Top Up) - Weymouth College</t>
  </si>
  <si>
    <t>304690</t>
  </si>
  <si>
    <t>H00304690</t>
  </si>
  <si>
    <t>MA in Educational Business Management - University of Gloucestershire</t>
  </si>
  <si>
    <t>304691</t>
  </si>
  <si>
    <t>H00304691</t>
  </si>
  <si>
    <t>BEng (Hons) Engineering (Electrical and Electronic Engineering)</t>
  </si>
  <si>
    <t>304692</t>
  </si>
  <si>
    <t>H00304692</t>
  </si>
  <si>
    <t>BEng (Hons) Engineering (Industrial Engineering)</t>
  </si>
  <si>
    <t>304693</t>
  </si>
  <si>
    <t>H00304693</t>
  </si>
  <si>
    <t>BSc (Hons) in Public Health - University of Salford - Public Health Practitioner Degree Apprenticeship</t>
  </si>
  <si>
    <t>304694</t>
  </si>
  <si>
    <t>H00304694</t>
  </si>
  <si>
    <t>BSc (Hons) in Podiatry - University of Salford - Podiatrist Apprenticeship Standard</t>
  </si>
  <si>
    <t>304695</t>
  </si>
  <si>
    <t>H00304695</t>
  </si>
  <si>
    <t>Certificate in Education Post 14 (Education and Training) - Macclesfield College</t>
  </si>
  <si>
    <t>304696</t>
  </si>
  <si>
    <t>H00304696</t>
  </si>
  <si>
    <t>Postgraduate Certificate in Education PGCE Post 14 (Education and Training) - Macclesfield College</t>
  </si>
  <si>
    <t>304697</t>
  </si>
  <si>
    <t>H00304697</t>
  </si>
  <si>
    <t>Foundation Degree Arts (FdA) Children and Young People - Macclesfield College</t>
  </si>
  <si>
    <t>304698</t>
  </si>
  <si>
    <t>H00304698</t>
  </si>
  <si>
    <t>BSc (Hons) in Logistics and Supply Chain Management (Apprenticeship) - Coventry University - Supply Chain Leadership Professional (Degree)</t>
  </si>
  <si>
    <t>304699</t>
  </si>
  <si>
    <t>H00304699</t>
  </si>
  <si>
    <t>BSc (Hons) in Project Management (Apprenticeship) - Coventry University - Project Manager (Degree)</t>
  </si>
  <si>
    <t>304700</t>
  </si>
  <si>
    <t>H00304700</t>
  </si>
  <si>
    <t>FdSc in Assistant Practitioner in Healthcare (Apprenticeship Route) - Coventry University - Associate Continuing Healthcare Practitioner</t>
  </si>
  <si>
    <t>304701</t>
  </si>
  <si>
    <t>H00304701</t>
  </si>
  <si>
    <t>BSc (Hons) in stage 1, Civil Engineering  (Apprenticeship) - Coventry University - Civil Engineering</t>
  </si>
  <si>
    <t>304702</t>
  </si>
  <si>
    <t>H00304702</t>
  </si>
  <si>
    <t>BEng (Hons) in Building Services Engineer  (Apprenticeship) - Coventry University - Building Services Design Engineer</t>
  </si>
  <si>
    <t>304703</t>
  </si>
  <si>
    <t>H00304703</t>
  </si>
  <si>
    <t>BEng (Hons) in stage 1, Civil Engineering  (Apprenticeship) - Coventry University - Civil Engineering</t>
  </si>
  <si>
    <t>304704</t>
  </si>
  <si>
    <t>H00304704</t>
  </si>
  <si>
    <t>BA (Hons) in Early Years, Childhood and Education Studies - Coventry University</t>
  </si>
  <si>
    <t>304705</t>
  </si>
  <si>
    <t>H00304705</t>
  </si>
  <si>
    <t>BSc (Hons) in Canine Therapy and Rehabilitation - Coventry University</t>
  </si>
  <si>
    <t>304706</t>
  </si>
  <si>
    <t>H00304706</t>
  </si>
  <si>
    <t>MSc Advanced Clinical Practice (Apprenticeship) programme - University of Leeds - Advanced Clinical Practitioner (degree) apprenticeship standard</t>
  </si>
  <si>
    <t>304708</t>
  </si>
  <si>
    <t>H00304708</t>
  </si>
  <si>
    <t>BSc (Hons) Psychology - Burnley College</t>
  </si>
  <si>
    <t>304709</t>
  </si>
  <si>
    <t>H00304709</t>
  </si>
  <si>
    <t>BA (Hons) Art and Design - Burnley College</t>
  </si>
  <si>
    <t>304710</t>
  </si>
  <si>
    <t>H00304710</t>
  </si>
  <si>
    <t>Foundation Degree in Nursing Associate - University of Northampton - Nursing Associate (NMC 2018) Apprenticeship Standard</t>
  </si>
  <si>
    <t>304711</t>
  </si>
  <si>
    <t>H00304711</t>
  </si>
  <si>
    <t>BSC (Hons) in Architectural Assistant - University of Wolverhampton - Architectural Apprenticeship</t>
  </si>
  <si>
    <t>304712</t>
  </si>
  <si>
    <t>H00304712</t>
  </si>
  <si>
    <t>BSc (Hons) in Computing (top-up) - Wiltshire College and University Centre</t>
  </si>
  <si>
    <t>304713</t>
  </si>
  <si>
    <t>H00304713</t>
  </si>
  <si>
    <t>BSc (Hons) in Digital Technology Solutions Professional - Degree Apprenticeship - Wiltshire College and University Centre</t>
  </si>
  <si>
    <t>304714</t>
  </si>
  <si>
    <t>H00304714</t>
  </si>
  <si>
    <t>Foundation Degree in Psychology and Criminology - South Devon College</t>
  </si>
  <si>
    <t>304715</t>
  </si>
  <si>
    <t>H00304715</t>
  </si>
  <si>
    <t>Higher Certificate in Psychology and Criminology - South Devon College</t>
  </si>
  <si>
    <t>304716</t>
  </si>
  <si>
    <t>H00304716</t>
  </si>
  <si>
    <t>Foundation Degree in Psychology and Sociology - South Devon College</t>
  </si>
  <si>
    <t>304717</t>
  </si>
  <si>
    <t>H00304717</t>
  </si>
  <si>
    <t>Higher Certificate in Psychology and Sociology - South Devon College</t>
  </si>
  <si>
    <t>304718</t>
  </si>
  <si>
    <t>H00304718</t>
  </si>
  <si>
    <t>Foundation Degree in Psychology and Counselling - South Devon College</t>
  </si>
  <si>
    <t>304719</t>
  </si>
  <si>
    <t>H00304719</t>
  </si>
  <si>
    <t>Higher Certificate in Psychology and Counselling - South Devon College</t>
  </si>
  <si>
    <t>304720</t>
  </si>
  <si>
    <t>H00304720</t>
  </si>
  <si>
    <t>BSc (Hons) in Nursing (Learning Disabilities) - University of Hertfordshire - Registered Nurse (NMC 2018) Degree Apprenticeship (Work Based)</t>
  </si>
  <si>
    <t>304721</t>
  </si>
  <si>
    <t>H00304721</t>
  </si>
  <si>
    <t>BSc (Hons) in Health and Psychosocial Studies - Colchester Institute</t>
  </si>
  <si>
    <t>304722</t>
  </si>
  <si>
    <t>H00304722</t>
  </si>
  <si>
    <t>Cert HE in Health and Psychosocial Studies - Colchester Institute</t>
  </si>
  <si>
    <t>304723</t>
  </si>
  <si>
    <t>H00304723</t>
  </si>
  <si>
    <t>BSc (Hons) in Digital Technology Solutions (Software Engineer) - University of Central Lancashire - Digital and Technology Solution Professional Standard (integrated degree)</t>
  </si>
  <si>
    <t>304725</t>
  </si>
  <si>
    <t>H00304725</t>
  </si>
  <si>
    <t>BA (Hons) in Illustration - Farnborough College of Technology</t>
  </si>
  <si>
    <t>304726</t>
  </si>
  <si>
    <t>H00304726</t>
  </si>
  <si>
    <t>BA (Hons) in Broadcast Media and Film Production - Farnborough College of Technology</t>
  </si>
  <si>
    <t>304727</t>
  </si>
  <si>
    <t>H00304727</t>
  </si>
  <si>
    <t>BA (Hons) in Game Design and Development - Farnborough College of Technology</t>
  </si>
  <si>
    <t>304728</t>
  </si>
  <si>
    <t>H00304728</t>
  </si>
  <si>
    <t>BSc (Hons) in Sport Conditioning, Rehabilitation and Massage - Farnborough College of Technology</t>
  </si>
  <si>
    <t>304729</t>
  </si>
  <si>
    <t>H00304729</t>
  </si>
  <si>
    <t>BA (Hons) in Business and Management - New College Durham</t>
  </si>
  <si>
    <t>304730</t>
  </si>
  <si>
    <t>H00304730</t>
  </si>
  <si>
    <t>BA (Hons) in Social Work - Kingston University - Social Worker Integrated Degree Apprenticeship</t>
  </si>
  <si>
    <t>304731</t>
  </si>
  <si>
    <t>H00304731</t>
  </si>
  <si>
    <t>Foundation Degree in Nursing Associate - University of Lincoln - Nursing Associate (NMC 2018) Degree Apprenticeship</t>
  </si>
  <si>
    <t>304732</t>
  </si>
  <si>
    <t>H00304732</t>
  </si>
  <si>
    <t>BA (Hons) in Photography and Moving Image - Lancaster University</t>
  </si>
  <si>
    <t>304733</t>
  </si>
  <si>
    <t>H00304733</t>
  </si>
  <si>
    <t>FdA in Working with Children and Young People - Lancaster University</t>
  </si>
  <si>
    <t>304734</t>
  </si>
  <si>
    <t>H00304734</t>
  </si>
  <si>
    <t>BA (Hons) in Working with Children and Young People top-up - Lancaster University</t>
  </si>
  <si>
    <t>304735</t>
  </si>
  <si>
    <t>H00304735</t>
  </si>
  <si>
    <t>MSc Advanced Practice (Clinical Practitioner) University of Bradford - Advanced Clinical Practitioner Apprenticeship Standard</t>
  </si>
  <si>
    <t>304736</t>
  </si>
  <si>
    <t>H00304736</t>
  </si>
  <si>
    <t>FdA in Early Years Practice - Petroc</t>
  </si>
  <si>
    <t>304737</t>
  </si>
  <si>
    <t>H00304737</t>
  </si>
  <si>
    <t>Foundation Degree in Business and Management - The open University</t>
  </si>
  <si>
    <t>304738</t>
  </si>
  <si>
    <t>H00304738</t>
  </si>
  <si>
    <t>BEng (Hons) in Rail and Rail Systems Engineering (Electrical) (Apprenticeship) (PT) - London South Bank University -Rail and Rail Systems Engineering Apprenticeship</t>
  </si>
  <si>
    <t>304739</t>
  </si>
  <si>
    <t>H00304739</t>
  </si>
  <si>
    <t>BEng (Hons) in Rail and Rail Systems Engineering (Signalling and Control) (Apprenticeship) (PT) - London South Bank University -Rail and Rail Systems Engineering Apprenticeship</t>
  </si>
  <si>
    <t>304740</t>
  </si>
  <si>
    <t>H00304740</t>
  </si>
  <si>
    <t>BEng (Hons) in Rail and Rail Systems Engineering (Track) (Apprenticeship) (PT) - London South Bank University -Rail and Rail Systems Engineering Apprenticeship</t>
  </si>
  <si>
    <t>304741</t>
  </si>
  <si>
    <t>H00304741</t>
  </si>
  <si>
    <t>BEng (Hons) in Rail and Rail Systems Engineering (Traction and Rolling Stock) (Apprenticeship) (PT) - London South Bank University -Rail and Rail Systems Engineering Apprenticeship</t>
  </si>
  <si>
    <t>304742</t>
  </si>
  <si>
    <t>H00304742</t>
  </si>
  <si>
    <t>FdEng in Rail and Rail Systems Engineering (Electrical) (Apprenticeship) (PT) - London South Bank University -Rail and Rail Systems Engineering Apprenticeship</t>
  </si>
  <si>
    <t>304743</t>
  </si>
  <si>
    <t>H00304743</t>
  </si>
  <si>
    <t>FdEng in Rail and Rail Systems Engineering (Signalling and Control) (Apprenticeship) (PT) - London South Bank University -Rail and Rail Systems Engineering Apprenticeship</t>
  </si>
  <si>
    <t>304744</t>
  </si>
  <si>
    <t>H00304744</t>
  </si>
  <si>
    <t>FdEng in Rail and Rail Systems Engineering (Track) (Apprenticeship) (PT) - London South Bank University -Rail and Rail Systems Engineering Apprenticeship</t>
  </si>
  <si>
    <t>304745</t>
  </si>
  <si>
    <t>H00304745</t>
  </si>
  <si>
    <t>FdEng in Rail and Rail Systems Engineering (Telecoms, Network and Digital) (Apprenticeship) - London South Bank University -Rail and Rail Systems Engineering Apprenticeship</t>
  </si>
  <si>
    <t>304746</t>
  </si>
  <si>
    <t>H00304746</t>
  </si>
  <si>
    <t>BEng (Hons) in Rail and Rail Systems Engineering (Traction and Rolling Stock)(Apprenticeship) - London South Bank University -Rail and Rail Systems Engineering Apprenticeship</t>
  </si>
  <si>
    <t>304747</t>
  </si>
  <si>
    <t>H00304747</t>
  </si>
  <si>
    <t>FdEng in Rail and Rail Systems Engineering (Traction and Rolling Stock) (Apprenticeship) (PT) - London South Bank University -Rail and Rail Systems Engineering Apprenticeship</t>
  </si>
  <si>
    <t>304748</t>
  </si>
  <si>
    <t>H00304748</t>
  </si>
  <si>
    <t>MArch in Architecture - Birmingham City University - Architect (Degree)</t>
  </si>
  <si>
    <t>304749</t>
  </si>
  <si>
    <t>H00304749</t>
  </si>
  <si>
    <t>BEng (Hons) in Manufacturing Engineering - Birmingham City University - Manufacturing Engineer Apprenticeship</t>
  </si>
  <si>
    <t>304750</t>
  </si>
  <si>
    <t>H00304750</t>
  </si>
  <si>
    <t>BSc (Hons) in Digital User Experience (UX) - The Manchester Metropolitan University - Digital User Experience (UX) Professional (Integrated Degree) Apprenticeship</t>
  </si>
  <si>
    <t>304751</t>
  </si>
  <si>
    <t>H00304751</t>
  </si>
  <si>
    <t>MSc in Advanced Clinical Practice - The Open University - Advanced Clinical Practitioner Degree Apprenticeship</t>
  </si>
  <si>
    <t>304752</t>
  </si>
  <si>
    <t>H00304752</t>
  </si>
  <si>
    <t>BSc (Hons) in Professional Policing Practice - Staffordshire University - Police Constable Degree Apprenticeship</t>
  </si>
  <si>
    <t>304753</t>
  </si>
  <si>
    <t>H00304753</t>
  </si>
  <si>
    <t>FdSc in Sport Coaching - LTE Group</t>
  </si>
  <si>
    <t>304754</t>
  </si>
  <si>
    <t>H00304754</t>
  </si>
  <si>
    <t>FdSc in Sport Science: Strength and Conditioning - LTE Group</t>
  </si>
  <si>
    <t>304755</t>
  </si>
  <si>
    <t>H00304755</t>
  </si>
  <si>
    <t>FdSc in Exercise, Physical Activity and Health - LTE Group</t>
  </si>
  <si>
    <t>304756</t>
  </si>
  <si>
    <t>H00304756</t>
  </si>
  <si>
    <t>BSc (Hons) in Applied Sport and Exercise Science - LTE Group</t>
  </si>
  <si>
    <t>304757</t>
  </si>
  <si>
    <t>H00304757</t>
  </si>
  <si>
    <t>BSc (Hons) in Sport Coaching and School Sport - LTE Group</t>
  </si>
  <si>
    <t>304758</t>
  </si>
  <si>
    <t>H00304758</t>
  </si>
  <si>
    <t>MSc in Advanced Clinical Practice (Critical Care) - University of Huddersfield - Advanced Clinical Practitioner Degree Apprenticeship</t>
  </si>
  <si>
    <t>304759</t>
  </si>
  <si>
    <t>H00304759</t>
  </si>
  <si>
    <t>MSc in Advanced Clinical Practice (Cancer Care) - University of Huddersfield - Advanced Clinical Practitioner Degree Apprenticeship</t>
  </si>
  <si>
    <t>304760</t>
  </si>
  <si>
    <t>H00304760</t>
  </si>
  <si>
    <t>MSc in Advanced Clinical Practice (Emergency Care) - University of Huddersfield - Advanced Clinical Practitioner Degree Apprenticeship</t>
  </si>
  <si>
    <t>304761</t>
  </si>
  <si>
    <t>H00304761</t>
  </si>
  <si>
    <t>MSc in Advanced Clinical Practice (Mental Health Care) - University of Huddersfield - Advanced Clinical Practitioner Degree Apprenticeship</t>
  </si>
  <si>
    <t>304762</t>
  </si>
  <si>
    <t>H00304762</t>
  </si>
  <si>
    <t>MSc in Advanced Clinical Practice (Primary Care) - University of Huddersfield - Advanced Clinical Practitioner Degree Apprenticeship</t>
  </si>
  <si>
    <t>304763</t>
  </si>
  <si>
    <t>H00304763</t>
  </si>
  <si>
    <t>BSc (Hons) in Real Estate - Birmingham City University - Chartered Surveyor Degree Apprenticeship</t>
  </si>
  <si>
    <t>304764</t>
  </si>
  <si>
    <t>H00304764</t>
  </si>
  <si>
    <t>BSc (Hons) in Quantity Surveying - Birmingham City University - Chartered Surveyor Degree Apprenticeship</t>
  </si>
  <si>
    <t>304765</t>
  </si>
  <si>
    <t>H00304765</t>
  </si>
  <si>
    <t>BEng (Hons) in Electronic Eng - Birmingham City University - Embedded Electronic Systems Design and Development Engineer</t>
  </si>
  <si>
    <t>304766</t>
  </si>
  <si>
    <t>H00304766</t>
  </si>
  <si>
    <t>BEng (Hons) in Mechanical Engineering - Birmingham City University - Aerospace Engineer Apprenticeship Standard</t>
  </si>
  <si>
    <t>304767</t>
  </si>
  <si>
    <t>H00304767</t>
  </si>
  <si>
    <t>BSc (Hons) in Nursing (Adult) - University of Essex - Registered Nurse (NMC 2018) Degree Apprenticeship</t>
  </si>
  <si>
    <t>304768</t>
  </si>
  <si>
    <t>H00304768</t>
  </si>
  <si>
    <t>BSc (Hons) in Nursing (Mental Health) - University of Essex - Registered Nurse (NMC 2018) Degree Apprenticeship</t>
  </si>
  <si>
    <t>304769</t>
  </si>
  <si>
    <t>H00304769</t>
  </si>
  <si>
    <t>Foundation Degree in Digital Technologies with Cyber Security - York College</t>
  </si>
  <si>
    <t>304770</t>
  </si>
  <si>
    <t>H00304770</t>
  </si>
  <si>
    <t>BSc (Hons) in Construction Management - University of Westminster - Construction Site Management Standard</t>
  </si>
  <si>
    <t>304771</t>
  </si>
  <si>
    <t>H00304771</t>
  </si>
  <si>
    <t>BSC (Hons) in Quantity Surveying and Commercial Management - University of Westminster - Construction Quantity Surveyor Standard</t>
  </si>
  <si>
    <t>304772</t>
  </si>
  <si>
    <t>H00304772</t>
  </si>
  <si>
    <t>MSc in Construction Commercial Management - University of Westminster - Chartered Surveyor Standard</t>
  </si>
  <si>
    <t>304773</t>
  </si>
  <si>
    <t>H00304773</t>
  </si>
  <si>
    <t>MSc in Construction Project Management - University of Westminster - Chartered Surveyor Standard</t>
  </si>
  <si>
    <t>304774</t>
  </si>
  <si>
    <t>H00304774</t>
  </si>
  <si>
    <t>MSc in Real Estate Development - University of Westminster - Chartered Surveyor Standard</t>
  </si>
  <si>
    <t>304775</t>
  </si>
  <si>
    <t>H00304775</t>
  </si>
  <si>
    <t>FdSc in Applied Animal Health and Welfare - Bishop Burton College</t>
  </si>
  <si>
    <t>304776</t>
  </si>
  <si>
    <t>H00304776</t>
  </si>
  <si>
    <t>BA (Hons) in Nursing Degree Apprenticeship (Learning Disabilities) - The University of Winchester - Registered Nurse (NMC 2018) Degree Apprenticeship</t>
  </si>
  <si>
    <t>304777</t>
  </si>
  <si>
    <t>H00304777</t>
  </si>
  <si>
    <t>BSc (Hons) in Education with Biological Sciences - DN Colleges Group</t>
  </si>
  <si>
    <t>304778</t>
  </si>
  <si>
    <t>H00304778</t>
  </si>
  <si>
    <t>BSc (Hons) in Education with Biological Sciences Top-Up - DN Colleges Group</t>
  </si>
  <si>
    <t>304779</t>
  </si>
  <si>
    <t>H00304779</t>
  </si>
  <si>
    <t>FdA in Make Up Artistry and Hair Design - City College Plymouth</t>
  </si>
  <si>
    <t>304780</t>
  </si>
  <si>
    <t>H00304780</t>
  </si>
  <si>
    <t>BA (Hons) in Make Up Artistry and Hair Design - City College Plymouth</t>
  </si>
  <si>
    <t>304781</t>
  </si>
  <si>
    <t>H00304781</t>
  </si>
  <si>
    <t>In-Service Certificate in Education (Lifelong Learning) - DN Colleges Group</t>
  </si>
  <si>
    <t>304782</t>
  </si>
  <si>
    <t>H00304782</t>
  </si>
  <si>
    <t>In-Service Professional Graduate Certificate in Education (Lifelong Learning) - DN Colleges Group</t>
  </si>
  <si>
    <t>304783</t>
  </si>
  <si>
    <t>H00304783</t>
  </si>
  <si>
    <t>In-Service Post Graduate Certificate in Education (Lifelong Learning) - DN Colleges Group</t>
  </si>
  <si>
    <t>304784</t>
  </si>
  <si>
    <t>H00304784</t>
  </si>
  <si>
    <t>Pre-Service Certificate in Education (Lifelong Learning) - DN Colleges Group</t>
  </si>
  <si>
    <t>304785</t>
  </si>
  <si>
    <t>H00304785</t>
  </si>
  <si>
    <t>Pre-Service Professional Graduate Certificate in Education (Lifelong Learning) - DN Colleges Group</t>
  </si>
  <si>
    <t>304786</t>
  </si>
  <si>
    <t>H00304786</t>
  </si>
  <si>
    <t>Pre-Service Postgraduate Certificate in Education (Lifelong Learning) - DN Colleges Group</t>
  </si>
  <si>
    <t>304787</t>
  </si>
  <si>
    <t>H00304787</t>
  </si>
  <si>
    <t>Advanced Certificate Nautical Science</t>
  </si>
  <si>
    <t>304788</t>
  </si>
  <si>
    <t>H00304788</t>
  </si>
  <si>
    <t>Advanced Diploma Nautical Science</t>
  </si>
  <si>
    <t>304789</t>
  </si>
  <si>
    <t>H00304789</t>
  </si>
  <si>
    <t>Advanced Certificate Marine Engineering</t>
  </si>
  <si>
    <t>304790</t>
  </si>
  <si>
    <t>H00304790</t>
  </si>
  <si>
    <t>Advanced Diploma Marine Engineering</t>
  </si>
  <si>
    <t>304791</t>
  </si>
  <si>
    <t>H00304791</t>
  </si>
  <si>
    <t>BA (Hons) in Marketing - University of Gloucestershire - Digital Marketer Degree Apprenticeship</t>
  </si>
  <si>
    <t>304792</t>
  </si>
  <si>
    <t>H00304792</t>
  </si>
  <si>
    <t>BSc (Hons) in Nursing (Mental Health) - University of Gloucestershire - Registered Nurse (NMC 2018) Degree Apprenticeship</t>
  </si>
  <si>
    <t>304793</t>
  </si>
  <si>
    <t>H00304793</t>
  </si>
  <si>
    <t>BEng in Manufacturing Engineering - University of Gloucestershire - Manufacturing Engineer Degree Apprenticeship</t>
  </si>
  <si>
    <t>304794</t>
  </si>
  <si>
    <t>H00304794</t>
  </si>
  <si>
    <t>BEng in Control Engineering - University of Gloucestershire - Control / Technical Support Engineer Degree Apprenticeship</t>
  </si>
  <si>
    <t>304795</t>
  </si>
  <si>
    <t>H00304795</t>
  </si>
  <si>
    <t>Certificate of Higher Education in Pharmacy Technician Practice - University of East Anglia - Pharmacy Technician Apprenticeship Standard</t>
  </si>
  <si>
    <t>304796</t>
  </si>
  <si>
    <t>H00304796</t>
  </si>
  <si>
    <t>BSc (Hons) in Applied Animal Welfare Science - DN Colleges Group</t>
  </si>
  <si>
    <t>304797</t>
  </si>
  <si>
    <t>H00304797</t>
  </si>
  <si>
    <t>BSc (Hons) in Applied Animal Welfare Science Top-Up - DN Colleges Group</t>
  </si>
  <si>
    <t>304798</t>
  </si>
  <si>
    <t>H00304798</t>
  </si>
  <si>
    <t>BSc (Hons) in Manufacturing Engineering - Birmingham City University - Manufacturing Engineer (degree) Apprenticeship</t>
  </si>
  <si>
    <t>304799</t>
  </si>
  <si>
    <t>H00304799</t>
  </si>
  <si>
    <t>BSc (Hons) in Manufacturing Engineering IOT - Birmingham City University - Manufacturing Engineer (degree) Apprenticeship</t>
  </si>
  <si>
    <t>304800</t>
  </si>
  <si>
    <t>H00304800</t>
  </si>
  <si>
    <t>BSc (Hons) in Manufacturing Engineering L6/Yr4 - Birmingham City University - Manufacturing Engineer (degree) Apprenticeship</t>
  </si>
  <si>
    <t>304801</t>
  </si>
  <si>
    <t>H00304801</t>
  </si>
  <si>
    <t>BSc (Hons) in Manufacturing Engineering L6 Yr4 DE IOT - Birmingham City University - Manufacturing Engineer (degree) Apprenticeship</t>
  </si>
  <si>
    <t>304802</t>
  </si>
  <si>
    <t>H00304802</t>
  </si>
  <si>
    <t>BEng in Embedded Electronic Systems Design and Development Engineering - Birmingham City University - Embedded Electronic Systems Design and Development Engineer Degree Apprenticeship</t>
  </si>
  <si>
    <t>304803</t>
  </si>
  <si>
    <t>H00304803</t>
  </si>
  <si>
    <t>BEng in Embedded Electronic Systems Design and Development Engineering (IOT) - Birmingham City University - Embedded Electronic Systems Design and Development Engineer Degree Apprenticeship</t>
  </si>
  <si>
    <t>304804</t>
  </si>
  <si>
    <t>H00304804</t>
  </si>
  <si>
    <t>BEng in Embedded Electronic Systems Design and Development Engineering (L6 Yr4 Direct Entry) - Birmingham City University - Embedded Electronic Systems Design and Development Engineer Degree Apprenticeship</t>
  </si>
  <si>
    <t>304805</t>
  </si>
  <si>
    <t>H00304805</t>
  </si>
  <si>
    <t>BEng in Embedded Electronic Systems Design and Development Engineering (L6 Yr4 Direct Entry IOT) - Birmingham City University - Embedded Electronic Systems Design and Development Engineer Degree Apprenticeship</t>
  </si>
  <si>
    <t>304806</t>
  </si>
  <si>
    <t>H00304806</t>
  </si>
  <si>
    <t>BEng in Aerospace Engineering - Birmingham City University - Aerospace Engineer Degree Apprenticeship</t>
  </si>
  <si>
    <t>304807</t>
  </si>
  <si>
    <t>H00304807</t>
  </si>
  <si>
    <t>BEng in Aerospace Engineering (IOT) - Birmingham City University - Aerospace Engineer Degree Apprenticeship</t>
  </si>
  <si>
    <t>304808</t>
  </si>
  <si>
    <t>H00304808</t>
  </si>
  <si>
    <t>BEng in Aerospace Engineering (L6 Yr4 Direct Entry) - Birmingham City University - Aerospace Engineer Degree Apprenticeship</t>
  </si>
  <si>
    <t>304809</t>
  </si>
  <si>
    <t>H00304809</t>
  </si>
  <si>
    <t>BEng in Aerospace Engineering (L6 Yr4 Direct Entry IOT) - Birmingham City University - Aerospace Engineer Degree Apprenticeship</t>
  </si>
  <si>
    <t>304810</t>
  </si>
  <si>
    <t>H00304810</t>
  </si>
  <si>
    <t>MSc in Advanced Clinical Practice - Birmingham City University - Advanced Clinical Practitioner Degree Apprenticeship</t>
  </si>
  <si>
    <t>304811</t>
  </si>
  <si>
    <t>H00304811</t>
  </si>
  <si>
    <t>BA (Hons) in Professional Policing Practice - Leeds Trinity University - Police Constable Degree Apprenticeship</t>
  </si>
  <si>
    <t>304812</t>
  </si>
  <si>
    <t>H00304812</t>
  </si>
  <si>
    <t>MSc in Advanced Clinical Practice - Brunel University London - Advanced Clinical Practitioner Degree Apprenticeship</t>
  </si>
  <si>
    <t>304813</t>
  </si>
  <si>
    <t>H00304813</t>
  </si>
  <si>
    <t>FdSc in Nursing Associate - Brunel University London - Nursing Associate (NMC 2018) Apprenticeship Standard</t>
  </si>
  <si>
    <t>304814</t>
  </si>
  <si>
    <t>H00304814</t>
  </si>
  <si>
    <t>MSc in Building Surveying - University College of Estate Management (UCEM)</t>
  </si>
  <si>
    <t>304815</t>
  </si>
  <si>
    <t>H00304815</t>
  </si>
  <si>
    <t>MSc in Construction Management - University College of Estate Management (UCEM)</t>
  </si>
  <si>
    <t>304816</t>
  </si>
  <si>
    <t>H00304816</t>
  </si>
  <si>
    <t>MSc in Quantity Surveying - University College of Estate Management (UCEM)</t>
  </si>
  <si>
    <t>304817</t>
  </si>
  <si>
    <t>H00304817</t>
  </si>
  <si>
    <t>MSc in Real Estate - University College of Estate Management (UCEM)</t>
  </si>
  <si>
    <t>304818</t>
  </si>
  <si>
    <t>H00304818</t>
  </si>
  <si>
    <t>MSc in Systems Integration Engineer - Birmingham City University - Post Graduate Engineer Apprenticeship Standard</t>
  </si>
  <si>
    <t>304819</t>
  </si>
  <si>
    <t>H00304819</t>
  </si>
  <si>
    <t>MSc in Supply Chain/Procurement - Birmingham City University - Post Graduate Engineer Apprenticeship Standard</t>
  </si>
  <si>
    <t>304820</t>
  </si>
  <si>
    <t>H00304820</t>
  </si>
  <si>
    <t>MSc in Engineering Business Manager - Birmingham City University - Post Graduate Engineer Apprenticeship Standard</t>
  </si>
  <si>
    <t>304821</t>
  </si>
  <si>
    <t>H00304821</t>
  </si>
  <si>
    <t>MSc in Academic Professional - Brunel University London</t>
  </si>
  <si>
    <t>304822</t>
  </si>
  <si>
    <t>H00304822</t>
  </si>
  <si>
    <t>PgDip in Systems Thinking Practitioner - Cranfield University</t>
  </si>
  <si>
    <t>304823</t>
  </si>
  <si>
    <t>H00304823</t>
  </si>
  <si>
    <t>MSc in Aviation Safety Management, Risk and Regulation -  Cranfield University</t>
  </si>
  <si>
    <t>304824</t>
  </si>
  <si>
    <t>H00304824</t>
  </si>
  <si>
    <t>MSc Manufacturing Technology and Management - Cranfield University</t>
  </si>
  <si>
    <t>304825</t>
  </si>
  <si>
    <t>H00304825</t>
  </si>
  <si>
    <t>BSc (Hons) in Operating Department Practice - Anglia Ruskin University</t>
  </si>
  <si>
    <t>304826</t>
  </si>
  <si>
    <t>H00304826</t>
  </si>
  <si>
    <t>PG Dip in District Nurse - University of Plymouth - District Nurse Apprenticeship Standard</t>
  </si>
  <si>
    <t>304827</t>
  </si>
  <si>
    <t>H00304827</t>
  </si>
  <si>
    <t>BSc (Hons) in Podiatry - University of Plymouth - Podiatrist Degree Apprenticeship</t>
  </si>
  <si>
    <t>304828</t>
  </si>
  <si>
    <t>H00304828</t>
  </si>
  <si>
    <t>MSc (Hons) in Podiatry (Pre Registration) - University of Plymouth - Podiatrist Degree Apprenticeship</t>
  </si>
  <si>
    <t>304829</t>
  </si>
  <si>
    <t>H00304829</t>
  </si>
  <si>
    <t>BA (Hons) in Social Work - University of Plymouth - Social Worker Degree Apprenticeship</t>
  </si>
  <si>
    <t>304830</t>
  </si>
  <si>
    <t>H00304830</t>
  </si>
  <si>
    <t>BEng (Hons) in Civil Engineering - Top-Up - University of Plymouth - Civil Engineer Degree Apprenticeship</t>
  </si>
  <si>
    <t>304831</t>
  </si>
  <si>
    <t>H00304831</t>
  </si>
  <si>
    <t>MSc in Autonomous Systems Technology - University of Plymouth - Post Graduate Engineer Apprenticeship Standard</t>
  </si>
  <si>
    <t>304832</t>
  </si>
  <si>
    <t>H00304832</t>
  </si>
  <si>
    <t>BSc (Hons) in Professional Policing Practice - Teesside University - Police Constable Degree Apprenticeship</t>
  </si>
  <si>
    <t>304833</t>
  </si>
  <si>
    <t>H00304833</t>
  </si>
  <si>
    <t>MA in Digital and Technology Solutions Specialist (Cyber Security Technical Specialist, Data Analytics Specialist, IT Project Management Specialist) - Teesside University - Digital and Technology Solutions Specialist Degree Apprenticeship</t>
  </si>
  <si>
    <t>304834</t>
  </si>
  <si>
    <t>H00304834</t>
  </si>
  <si>
    <t>MSc in Design and Development Engineer (Automotive) - Birmingham City University - Post Graduate Engineer Apprenticeship Standard</t>
  </si>
  <si>
    <t>304835</t>
  </si>
  <si>
    <t>H00304835</t>
  </si>
  <si>
    <t>MSc in Design and Development Engineer (Mechanical) - Birmingham City University - Post Graduate Engineer Apprenticeship Standard</t>
  </si>
  <si>
    <t>304836</t>
  </si>
  <si>
    <t>H00304836</t>
  </si>
  <si>
    <t>304837</t>
  </si>
  <si>
    <t>H00304837</t>
  </si>
  <si>
    <t>PG Dip in Specialist Practitioner: District Nursing (Apprenticeship) - University of Greenwich District Nurse ( ST0709)</t>
  </si>
  <si>
    <t>304838</t>
  </si>
  <si>
    <t>H00304838</t>
  </si>
  <si>
    <t>BSc (Hons) in Midwifery (Degree Apprenticeship) - University of Greenwich - Midwife (NMC 2019) - (ST0948)</t>
  </si>
  <si>
    <t>304839</t>
  </si>
  <si>
    <t>H00304839</t>
  </si>
  <si>
    <t>Master of Business Administration (Apprenticeship Standard) - Middlesex University - Senior Leader Master's Degree Apprenticeship</t>
  </si>
  <si>
    <t>304840</t>
  </si>
  <si>
    <t>H00304840</t>
  </si>
  <si>
    <t>BA (Hons) in Working with Children and Families (Top Up) - City of Sunderland College</t>
  </si>
  <si>
    <t>304841</t>
  </si>
  <si>
    <t>H00304841</t>
  </si>
  <si>
    <t>FdA in Working with Children and Families - City of Sunderland College</t>
  </si>
  <si>
    <t>304842</t>
  </si>
  <si>
    <t>H00304842</t>
  </si>
  <si>
    <t>CertHE in Working with Children and Families - City of Sunderland College</t>
  </si>
  <si>
    <t>304843</t>
  </si>
  <si>
    <t>H00304843</t>
  </si>
  <si>
    <t>BSc (Hons) in Computer Science (Top-Up) - Riverside College</t>
  </si>
  <si>
    <t>304844</t>
  </si>
  <si>
    <t>H00304844</t>
  </si>
  <si>
    <t>Post Graduate Certificate in Education (Post Compulsory Education and Training) - Riverside College</t>
  </si>
  <si>
    <t>304845</t>
  </si>
  <si>
    <t>H00304845</t>
  </si>
  <si>
    <t>Foundation Degree in Mental Health and Well-being - DN Colleges Group</t>
  </si>
  <si>
    <t>304846</t>
  </si>
  <si>
    <t>H00304846</t>
  </si>
  <si>
    <t>BSc (Hons) in Environmental Health Practitioner - University of Wolverhampton (degree) apprenticeship</t>
  </si>
  <si>
    <t>304847</t>
  </si>
  <si>
    <t>H00304847</t>
  </si>
  <si>
    <t>BA (Hons) in Integrative-Relational Counselling - South Thames Colleges Group</t>
  </si>
  <si>
    <t>304848</t>
  </si>
  <si>
    <t>H00304848</t>
  </si>
  <si>
    <t>BSc (Hons) in Manufacturing Engineering - University of Northampton -  Manufacturing Engineering Degree Apprenticeship</t>
  </si>
  <si>
    <t>304849</t>
  </si>
  <si>
    <t>H00304849</t>
  </si>
  <si>
    <t>MA in Management and Leadership - Anglia Ruskin University</t>
  </si>
  <si>
    <t>304850</t>
  </si>
  <si>
    <t>H00304850</t>
  </si>
  <si>
    <t>BA (Hons) in Fine Art - Hull College</t>
  </si>
  <si>
    <t>304851</t>
  </si>
  <si>
    <t>H00304851</t>
  </si>
  <si>
    <t>BA (Hons) in Criminology - Hull College</t>
  </si>
  <si>
    <t>304852</t>
  </si>
  <si>
    <t>H00304852</t>
  </si>
  <si>
    <t>BA (Hons) in Music (Creative Music Production) - Hull College</t>
  </si>
  <si>
    <t>304853</t>
  </si>
  <si>
    <t>H00304853</t>
  </si>
  <si>
    <t>BA (Hons) in Music (Popular Performance) - Hull College</t>
  </si>
  <si>
    <t>304854</t>
  </si>
  <si>
    <t>H00304854</t>
  </si>
  <si>
    <t>BA (Hons) in Fashion Design - Hull College</t>
  </si>
  <si>
    <t>304855</t>
  </si>
  <si>
    <t>H00304855</t>
  </si>
  <si>
    <t>BDes (Hons) in Graphic Design - Hull College</t>
  </si>
  <si>
    <t>304856</t>
  </si>
  <si>
    <t>H00304856</t>
  </si>
  <si>
    <t>BA (Hons) in Illustration - Hull College</t>
  </si>
  <si>
    <t>304857</t>
  </si>
  <si>
    <t>H00304857</t>
  </si>
  <si>
    <t>BA (Hons) in Photography - Hull College</t>
  </si>
  <si>
    <t>304858</t>
  </si>
  <si>
    <t>H00304858</t>
  </si>
  <si>
    <t>BSc (Hons) in Construction Management - Hull College</t>
  </si>
  <si>
    <t>304859</t>
  </si>
  <si>
    <t>H00304859</t>
  </si>
  <si>
    <t>304860</t>
  </si>
  <si>
    <t>H00304860</t>
  </si>
  <si>
    <t>BEng (Hons) in Engineering Technology - Hull College</t>
  </si>
  <si>
    <t>304861</t>
  </si>
  <si>
    <t>H00304861</t>
  </si>
  <si>
    <t>BSc (Hons) in Nursing (Adult ) - The Open University - Registered Nurse (NMC 2018) Degree Apprenticeship</t>
  </si>
  <si>
    <t>304862</t>
  </si>
  <si>
    <t>H00304862</t>
  </si>
  <si>
    <t>BSc (Hons) in Nursing (Mental Health) - The Open University - Registered Nurse (NMC 2018) Degree Apprenticeship</t>
  </si>
  <si>
    <t>304863</t>
  </si>
  <si>
    <t>H00304863</t>
  </si>
  <si>
    <t>BSc (Hons) in Nursing (Children and Young People) - The Open University - Registered Nurse (NMC 2018) Degree Apprenticeship</t>
  </si>
  <si>
    <t>304864</t>
  </si>
  <si>
    <t>H00304864</t>
  </si>
  <si>
    <t>BSc (Hons) in Nursing (Learning Disabilities) - The Open University - Registered Nurse (NMC 2018) Degree Apprenticeship</t>
  </si>
  <si>
    <t>304865</t>
  </si>
  <si>
    <t>H00304865</t>
  </si>
  <si>
    <t>BSc (Hons) in Public and Environmental Health - University Centre Weston</t>
  </si>
  <si>
    <t>304866</t>
  </si>
  <si>
    <t>H00304866</t>
  </si>
  <si>
    <t>BSc (Hons) in Environmental Health Practitioner - University Centre Weston - Environmental Health Practitioner Degree Apprenticeship</t>
  </si>
  <si>
    <t>304867</t>
  </si>
  <si>
    <t>H00304867</t>
  </si>
  <si>
    <t>BSc (Hons) in Applied Computing - University Centre Weston</t>
  </si>
  <si>
    <t>304868</t>
  </si>
  <si>
    <t>H00304868</t>
  </si>
  <si>
    <t>Cert HE in Professional Practice in Health and Social Care - DN Colleges Group</t>
  </si>
  <si>
    <t>304869</t>
  </si>
  <si>
    <t>H00304869</t>
  </si>
  <si>
    <t>PgCert in Special Educational Needs - DN Colleges Group</t>
  </si>
  <si>
    <t>304870</t>
  </si>
  <si>
    <t>H00304870</t>
  </si>
  <si>
    <t>BSc (Hons) in Health and Social Care Studies Top-Up - DN Colleges Group</t>
  </si>
  <si>
    <t>304871</t>
  </si>
  <si>
    <t>H00304871</t>
  </si>
  <si>
    <t>BA (Hons) in Acting for Stage and Media - South Thames Colleges Group</t>
  </si>
  <si>
    <t>304872</t>
  </si>
  <si>
    <t>H00304872</t>
  </si>
  <si>
    <t>BA (Hons) in Specialist Hair and Media Make-up (Level 6 Top Up) - South Thames Colleges Group</t>
  </si>
  <si>
    <t>304873</t>
  </si>
  <si>
    <t>H00304873</t>
  </si>
  <si>
    <t>FdA in Fashion and Textiles - South Thames Colleges Group</t>
  </si>
  <si>
    <t>304874</t>
  </si>
  <si>
    <t>H00304874</t>
  </si>
  <si>
    <t>BA (Hons) in Education and Learning - Burnley College</t>
  </si>
  <si>
    <t>304875</t>
  </si>
  <si>
    <t>H00304875</t>
  </si>
  <si>
    <t>BSc (Hons) in Behavioural Science - Burnley College</t>
  </si>
  <si>
    <t>304876</t>
  </si>
  <si>
    <t>H00304876</t>
  </si>
  <si>
    <t>BSc (Hons) in Business and Psychology - Burnley College</t>
  </si>
  <si>
    <t>304877</t>
  </si>
  <si>
    <t>H00304877</t>
  </si>
  <si>
    <t>BA (Hons) in Business Management - Burnley College</t>
  </si>
  <si>
    <t>304878</t>
  </si>
  <si>
    <t>H00304878</t>
  </si>
  <si>
    <t>BSc (Hons) in Games Development - Burnley College</t>
  </si>
  <si>
    <t>304879</t>
  </si>
  <si>
    <t>H00304879</t>
  </si>
  <si>
    <t>BSc (Hons) in Sports Development and Coaching - Burnley College</t>
  </si>
  <si>
    <t>304880</t>
  </si>
  <si>
    <t>H00304880</t>
  </si>
  <si>
    <t>BSc (Hons) in Sports Psychology - Burnley College</t>
  </si>
  <si>
    <t>304881</t>
  </si>
  <si>
    <t>H00304881</t>
  </si>
  <si>
    <t>BSc (Hons) in Police Studies with Criminal Investigation - Burnley College</t>
  </si>
  <si>
    <t>304882</t>
  </si>
  <si>
    <t>H00304882</t>
  </si>
  <si>
    <t>BA (Hons) in Applied Management - University of Cumbria - Chartered Manager Degree Apprenticeship</t>
  </si>
  <si>
    <t>304883</t>
  </si>
  <si>
    <t>H00304883</t>
  </si>
  <si>
    <t>BSc (Hons) in Data Science - New College of the Humanities - Data Scientist Degree Apprenticeship</t>
  </si>
  <si>
    <t>304884</t>
  </si>
  <si>
    <t>H00304884</t>
  </si>
  <si>
    <t>BSc (Hons) in Digital and Technology Solutions (IT Consultant) - New College of the Humanities - Digital and Technology Solutions Professional Degree Apprenticeship</t>
  </si>
  <si>
    <t>304885</t>
  </si>
  <si>
    <t>H00304885</t>
  </si>
  <si>
    <t>BSc (Hons) in Digital and Technology Solutions (Business Analyst) - New College of the Humanities - Digital and Technology Solutions Professional Degree Apprenticeship</t>
  </si>
  <si>
    <t>304886</t>
  </si>
  <si>
    <t>H00304886</t>
  </si>
  <si>
    <t>BSc (Hons) in Digital and Technology Solutions (Data Analyst) - New College of the Humanities - Digital and Technology Solutions Professional Degree Apprenticeship</t>
  </si>
  <si>
    <t>304887</t>
  </si>
  <si>
    <t>H00304887</t>
  </si>
  <si>
    <t>BSc (Hons) in Environmental Health - Leeds Beckett University - Environmental Health (degree apprenticeship)</t>
  </si>
  <si>
    <t>304888</t>
  </si>
  <si>
    <t>H00304888</t>
  </si>
  <si>
    <t>MSc in Digital and Technology Solutions - Leeds Beckett University - Digital and Technology Solutions (degree apprenticeship)</t>
  </si>
  <si>
    <t>304889</t>
  </si>
  <si>
    <t>H00304889</t>
  </si>
  <si>
    <t>Master of Architecture - Leeds Beckett University - Architecture (degree apprenticeship)</t>
  </si>
  <si>
    <t>304890</t>
  </si>
  <si>
    <t>H00304890</t>
  </si>
  <si>
    <t>Postgraduate Certificate in Architectural Professional Practice - Leeds Beckett University - Architecture (degree apprenticeship)</t>
  </si>
  <si>
    <t>304891</t>
  </si>
  <si>
    <t>H00304891</t>
  </si>
  <si>
    <t>CertHE in Professional Practice Health and Social Care - Sheffield College</t>
  </si>
  <si>
    <t>304892</t>
  </si>
  <si>
    <t>H00304892</t>
  </si>
  <si>
    <t>Foundation Degree in Education and Learning Support - Sheffield College</t>
  </si>
  <si>
    <t>304893</t>
  </si>
  <si>
    <t>H00304893</t>
  </si>
  <si>
    <t>Cert HE in Professional Practice in Health and Social Care - RNN Group</t>
  </si>
  <si>
    <t>304894</t>
  </si>
  <si>
    <t>H00304894</t>
  </si>
  <si>
    <t>HNC in Electrical Engineering - Lakes College West Cumbria</t>
  </si>
  <si>
    <t>304895</t>
  </si>
  <si>
    <t>H00304895</t>
  </si>
  <si>
    <t>HNC in Mechanical Engineering - Lakes College West Cumbria</t>
  </si>
  <si>
    <t>304896</t>
  </si>
  <si>
    <t>H00304896</t>
  </si>
  <si>
    <t>HND in Mechanical Engineering - Lakes College West Cumbria</t>
  </si>
  <si>
    <t>304897</t>
  </si>
  <si>
    <t>H00304897</t>
  </si>
  <si>
    <t>HND in Electrical Engineering - Lakes College West Cumbria</t>
  </si>
  <si>
    <t>304898</t>
  </si>
  <si>
    <t>H00304898</t>
  </si>
  <si>
    <t>CertHE in Professional Practice in Health and Social Care  - Chesterfield College</t>
  </si>
  <si>
    <t>304899</t>
  </si>
  <si>
    <t>H00304899</t>
  </si>
  <si>
    <t>BSc (Hons) in Animal Management (Top Up) - Grimsby Institute of Further and Higher Education</t>
  </si>
  <si>
    <t>304900</t>
  </si>
  <si>
    <t>H00304900</t>
  </si>
  <si>
    <t>BSc (Hons) in Engineering (Electrical and Electronic Engineering) (Top Up) - Grimsby Institute of Further and Higher Education</t>
  </si>
  <si>
    <t>304901</t>
  </si>
  <si>
    <t>H00304901</t>
  </si>
  <si>
    <t>BSc (Hons) in Engineering (Mechanical Engineering) (Top Up) - Grimsby Institute of Further and Higher Education</t>
  </si>
  <si>
    <t>304902</t>
  </si>
  <si>
    <t>H00304902</t>
  </si>
  <si>
    <t>FdA in Social Care -  TEC Partnership</t>
  </si>
  <si>
    <t>304903</t>
  </si>
  <si>
    <t>H00304903</t>
  </si>
  <si>
    <t>FdSc in Computer Software Solutions -  TEC Partnership</t>
  </si>
  <si>
    <t>304904</t>
  </si>
  <si>
    <t>H00304904</t>
  </si>
  <si>
    <t>FdSc in Digital and Technology Solutions -  TEC Partnership</t>
  </si>
  <si>
    <t>304905</t>
  </si>
  <si>
    <t>H00304905</t>
  </si>
  <si>
    <t>FdSc in Software Development -  TEC Partnership</t>
  </si>
  <si>
    <t>304906</t>
  </si>
  <si>
    <t>H00304906</t>
  </si>
  <si>
    <t>Foundation Degree in Photography - Hull College</t>
  </si>
  <si>
    <t>304907</t>
  </si>
  <si>
    <t>H00304907</t>
  </si>
  <si>
    <t>Foundation Degree in Electronic Music Production - Hull College</t>
  </si>
  <si>
    <t>304908</t>
  </si>
  <si>
    <t>H00304908</t>
  </si>
  <si>
    <t>MSc in Nursing Adult - University of Huddersfield - Registered Nurse (NMC 2018) Degree Apprenticeship</t>
  </si>
  <si>
    <t>304909</t>
  </si>
  <si>
    <t>H00304909</t>
  </si>
  <si>
    <t>MSc in Nursing Child - University of Huddersfield - Registered Nurse (NMC 2018) Degree Apprenticeship</t>
  </si>
  <si>
    <t>304910</t>
  </si>
  <si>
    <t>H00304910</t>
  </si>
  <si>
    <t>MSc in Nursing Mental Health - University of Huddersfield - Registered Nurse (NMC 2018) Degree Apprenticeship</t>
  </si>
  <si>
    <t>304911</t>
  </si>
  <si>
    <t>H00304911</t>
  </si>
  <si>
    <t>MSc in Nursing Learning Disability - University of Huddersfield - Registered Nurse (NMC 2018) Degree Apprenticeship</t>
  </si>
  <si>
    <t>304912</t>
  </si>
  <si>
    <t>H00304912</t>
  </si>
  <si>
    <t>BSc (Hons) in Paramedic Science - University of Huddersfield - Paramedic Science (Degree Standard)</t>
  </si>
  <si>
    <t>304913</t>
  </si>
  <si>
    <t>H00304913</t>
  </si>
  <si>
    <t>BA (Hons) in Children, Learning and Development (Early Childhood) - DN College Group</t>
  </si>
  <si>
    <t>304914</t>
  </si>
  <si>
    <t>H00304914</t>
  </si>
  <si>
    <t>BA (Hons) in Children, Learning and Development (Education) - DN College Group</t>
  </si>
  <si>
    <t>304915</t>
  </si>
  <si>
    <t>H00304915</t>
  </si>
  <si>
    <t>BA (Hons) in Business Management - Oldham College</t>
  </si>
  <si>
    <t>304916</t>
  </si>
  <si>
    <t>H00304916</t>
  </si>
  <si>
    <t>BA (Hons) in Accounting and Financial Services - Oldham College</t>
  </si>
  <si>
    <t>304917</t>
  </si>
  <si>
    <t>H00304917</t>
  </si>
  <si>
    <t>BSc (Hons) in Computer Science - Wakefield College</t>
  </si>
  <si>
    <t>304918</t>
  </si>
  <si>
    <t>H00304918</t>
  </si>
  <si>
    <t>FdSc in Mechanical Engineering - Gloucestershire College</t>
  </si>
  <si>
    <t>304919</t>
  </si>
  <si>
    <t>H00304919</t>
  </si>
  <si>
    <t>BA (Hons) in Professional Policing Practice - Sheffield Hallam University</t>
  </si>
  <si>
    <t>304920</t>
  </si>
  <si>
    <t>H00304920</t>
  </si>
  <si>
    <t>MBA (Healthcare Leadership) - Sheffield Hallam University</t>
  </si>
  <si>
    <t>304921</t>
  </si>
  <si>
    <t>H00304921</t>
  </si>
  <si>
    <t>MSc in Advanced Clinical Practitioner - Sheffield Hallam University</t>
  </si>
  <si>
    <t>304922</t>
  </si>
  <si>
    <t>H00304922</t>
  </si>
  <si>
    <t>BEng (Hons) in Materials Technology - Sheffield Hallam University</t>
  </si>
  <si>
    <t>304923</t>
  </si>
  <si>
    <t>H00304923</t>
  </si>
  <si>
    <t>MSc in Digital Technology and Solutions Specialist (Data Analytics) - Sheffield Hallam University</t>
  </si>
  <si>
    <t>304924</t>
  </si>
  <si>
    <t>H00304924</t>
  </si>
  <si>
    <t>BSc (Hons) in Professional Practice in Construction Quantity Surveying - Sheffield Hallam University</t>
  </si>
  <si>
    <t>304925</t>
  </si>
  <si>
    <t>H00304925</t>
  </si>
  <si>
    <t>BSc (Hons) in Professional Practice in Construction Site Management - Sheffield Hallam University</t>
  </si>
  <si>
    <t>304926</t>
  </si>
  <si>
    <t>H00304926</t>
  </si>
  <si>
    <t>BA (Hons) in Counselling Studies (Top-up) - North East Surrey College of Technology</t>
  </si>
  <si>
    <t>304927</t>
  </si>
  <si>
    <t>H00304927</t>
  </si>
  <si>
    <t>BSc (Hons) in Nursing (Adult) - Nottingham Trent University - Registered Nurse (NMC 2018) Degree Apprenticeship</t>
  </si>
  <si>
    <t>304928</t>
  </si>
  <si>
    <t>H00304928</t>
  </si>
  <si>
    <t>BSc (Hons) in Nursing (Mental Health) - Nottingham Trent University - Registered Nurse (NMC 2018) Degree Apprenticeship</t>
  </si>
  <si>
    <t>304929</t>
  </si>
  <si>
    <t>H00304929</t>
  </si>
  <si>
    <t>BA (Hons) in Photography Top-Up - East Surrey College</t>
  </si>
  <si>
    <t>304930</t>
  </si>
  <si>
    <t>H00304930</t>
  </si>
  <si>
    <t>BA (Hons) in Make Up, Special Effects and Hair for Media and Performance Top-Up - East Surrey College</t>
  </si>
  <si>
    <t>304931</t>
  </si>
  <si>
    <t>H00304931</t>
  </si>
  <si>
    <t>FdA in Performing Arts - New College Durham</t>
  </si>
  <si>
    <t>304932</t>
  </si>
  <si>
    <t>H00304932</t>
  </si>
  <si>
    <t>MA in Supporting Children with Special Educational Needs and Disability (part-time or part-time distance) - DN Colleges Group</t>
  </si>
  <si>
    <t>304933</t>
  </si>
  <si>
    <t>H00304933</t>
  </si>
  <si>
    <t>Foundation Degree in Nursing Associate - Oxford Brookes University - Nursing Associate (NMC 2018) Apprenticeship Standard</t>
  </si>
  <si>
    <t>304934</t>
  </si>
  <si>
    <t>H00304934</t>
  </si>
  <si>
    <t>Qualified Teacher Status - Oxford Brookes University - Teacher Apprenticeship Standard</t>
  </si>
  <si>
    <t>304935</t>
  </si>
  <si>
    <t>H00304935</t>
  </si>
  <si>
    <t>BA (Hons) in Criminology and Law - Wakefield College</t>
  </si>
  <si>
    <t>304936</t>
  </si>
  <si>
    <t>H00304936</t>
  </si>
  <si>
    <t>Foundation Degree in Contemporary Approaches to Counselling - East Riding College</t>
  </si>
  <si>
    <t>304937</t>
  </si>
  <si>
    <t>H00304937</t>
  </si>
  <si>
    <t>FdA in Art and Design - South Thames Colleges Group</t>
  </si>
  <si>
    <t>304938</t>
  </si>
  <si>
    <t>H00304938</t>
  </si>
  <si>
    <t>BA (Hons) in Art and Design (Top-Up) - South Thames Colleges Group</t>
  </si>
  <si>
    <t>304939</t>
  </si>
  <si>
    <t>H00304939</t>
  </si>
  <si>
    <t>FdA in Business - South Thames Colleges Group</t>
  </si>
  <si>
    <t>304940</t>
  </si>
  <si>
    <t>H00304940</t>
  </si>
  <si>
    <t>BA (Hons) in Management and Business - South Thames Colleges Group - Chartered Manager Degree Apprenticeship</t>
  </si>
  <si>
    <t>304941</t>
  </si>
  <si>
    <t>H00304941</t>
  </si>
  <si>
    <t>BA (Hons) in Business - South Thames Colleges Group</t>
  </si>
  <si>
    <t>304948</t>
  </si>
  <si>
    <t>H00304948</t>
  </si>
  <si>
    <t>Postgraduate Teaching Apprenticeship Secondary PGCE with QTS - Coventry University College - Teacher Standard</t>
  </si>
  <si>
    <t>304949</t>
  </si>
  <si>
    <t>H00304949</t>
  </si>
  <si>
    <t>Postgraduate Teaching Apprenticeship Primary PGCE with QTS - Coventry University College - Teacher Standard</t>
  </si>
  <si>
    <t>304950</t>
  </si>
  <si>
    <t>H00304950</t>
  </si>
  <si>
    <t>BSc (Hons) in Quantity Surveying (Apprenticeship) - Coventry University College - Chartered Surveyor (Quantity Surveyor Pathway)</t>
  </si>
  <si>
    <t>304951</t>
  </si>
  <si>
    <t>H00304951</t>
  </si>
  <si>
    <t>MSc in Advanced Clinical Practice (Mental Health Pathway Apprenticeship Route) - Coventry University College - Advanced Clinical Practitioner Standard</t>
  </si>
  <si>
    <t>304952</t>
  </si>
  <si>
    <t>H00304952</t>
  </si>
  <si>
    <t>MSc in Physiotherapy and Leadership (Apprenticeship Route) - Coventry University College - Physiotherapy (Apprenticeship Route)</t>
  </si>
  <si>
    <t>304953</t>
  </si>
  <si>
    <t>H00304953</t>
  </si>
  <si>
    <t>MSc in Learning Disabilities Nursing (Apprenticeship Route) - Coventry University College - Registered Nurse - degree (NMC 2018)</t>
  </si>
  <si>
    <t>304954</t>
  </si>
  <si>
    <t>H00304954</t>
  </si>
  <si>
    <t>MSc in Mental Health Nursing (Apprenticeship Route) - Coventry University College - Registered Nurse - degree (NMC 2018)</t>
  </si>
  <si>
    <t>304955</t>
  </si>
  <si>
    <t>H00304955</t>
  </si>
  <si>
    <t>MSc in Adult Nursing (Apprenticeship Route) - Coventry University College - Registered Nurse - degree (NMC 2018)</t>
  </si>
  <si>
    <t>304956</t>
  </si>
  <si>
    <t>H00304956</t>
  </si>
  <si>
    <t>BSc (Hons) in Children and Young People's Nursing (Apprenticeship Route) - Coventry University College - Registered Nurse - degree (NMC 2018)</t>
  </si>
  <si>
    <t>304957</t>
  </si>
  <si>
    <t>H00304957</t>
  </si>
  <si>
    <t>BSc (Hons) in Adult Nursing (Apprenticeship Route) - Coventry University College - Registered Nurse - degree (NMC 2018)</t>
  </si>
  <si>
    <t>304958</t>
  </si>
  <si>
    <t>H00304958</t>
  </si>
  <si>
    <t>BSc (Hons) in Learning Disabilities Nursing (Apprenticeship Route) - Coventry University College - Registered Nurse - degree (NMC 2018)</t>
  </si>
  <si>
    <t>304959</t>
  </si>
  <si>
    <t>H00304959</t>
  </si>
  <si>
    <t>BSc (Hons) in Mental Health Nursing (Apprenticeship Route) - Coventry University College - Registered Nurse - degree (NMC 2018)</t>
  </si>
  <si>
    <t>304960</t>
  </si>
  <si>
    <t>H00304960</t>
  </si>
  <si>
    <t>BSc (Hons) in Paramedic Practice - Teesside University - Paramedic Degree Standard</t>
  </si>
  <si>
    <t>304961</t>
  </si>
  <si>
    <t>H00304961</t>
  </si>
  <si>
    <t>BSc (Hons) in Nursing Studies (Adult, Mental Health, Learning Disabilities and Children) - Teesside University - Registered Nurse Degree (NMC 2018) Standard</t>
  </si>
  <si>
    <t>304962</t>
  </si>
  <si>
    <t>H00304962</t>
  </si>
  <si>
    <t>BMedSci in Nursing (Adult) - University of Sheffield - Registered Nurse (NMC 2018) Degree Apprenticeship</t>
  </si>
  <si>
    <t>304963</t>
  </si>
  <si>
    <t>H00304963</t>
  </si>
  <si>
    <t>BA (Hons) in Early Years and Primary Studies - Colchester Institute</t>
  </si>
  <si>
    <t>304964</t>
  </si>
  <si>
    <t>H00304964</t>
  </si>
  <si>
    <t>Post Graduate Certificate in Learning and Teaching in Higher Education - Nottingham Trent University</t>
  </si>
  <si>
    <t>304965</t>
  </si>
  <si>
    <t>H00304965</t>
  </si>
  <si>
    <t>FdSc in Agriculture - Sparsholt College Hampshire</t>
  </si>
  <si>
    <t>304966</t>
  </si>
  <si>
    <t>H00304966</t>
  </si>
  <si>
    <t>BSc (Hons) in Agriculture - Sparsholt College Hampshire</t>
  </si>
  <si>
    <t>304967</t>
  </si>
  <si>
    <t>H00304967</t>
  </si>
  <si>
    <t>FdA in Education and Learning - South Thames Colleges Group</t>
  </si>
  <si>
    <t>304968</t>
  </si>
  <si>
    <t>H00304968</t>
  </si>
  <si>
    <t>BA (Hons) in Education and Learning - South Thames Colleges Group</t>
  </si>
  <si>
    <t>304969</t>
  </si>
  <si>
    <t>H00304969</t>
  </si>
  <si>
    <t>FdA in Early Childhood Education - South Thames Colleges Group</t>
  </si>
  <si>
    <t>304970</t>
  </si>
  <si>
    <t>H00304970</t>
  </si>
  <si>
    <t>BA (Hons) in Early Childhood Education - South Thames Colleges Group</t>
  </si>
  <si>
    <t>304971</t>
  </si>
  <si>
    <t>H00304971</t>
  </si>
  <si>
    <t>BEng (Hons) in Mechanical Engineering - Gloucestershire College - Product Design and Development Engineer Degree Apprenticeship</t>
  </si>
  <si>
    <t>304972</t>
  </si>
  <si>
    <t>H00304972</t>
  </si>
  <si>
    <t>304973</t>
  </si>
  <si>
    <t>H00304973</t>
  </si>
  <si>
    <t>Master of Podiatric Surgery - University of Huddersfield - Advanced Clinical Practitioner Degree Apprenticeship</t>
  </si>
  <si>
    <t>304974</t>
  </si>
  <si>
    <t>H00304974</t>
  </si>
  <si>
    <t>BSc (Hons) in Digital Marketing- University of Wolverhampton - Digital Marketer Degree Apprenticeship</t>
  </si>
  <si>
    <t>304975</t>
  </si>
  <si>
    <t>H00304975</t>
  </si>
  <si>
    <t>BA (Hons) in Music Production - Greater Brighton Metropolitan College</t>
  </si>
  <si>
    <t>304976</t>
  </si>
  <si>
    <t>H00304976</t>
  </si>
  <si>
    <t>BA (Hons) in Music Performance - Greater Brighton Metropolitan College</t>
  </si>
  <si>
    <t>304977</t>
  </si>
  <si>
    <t>H00304977</t>
  </si>
  <si>
    <t>BA (Hons) in Music Business and Management - Greater Brighton Metropolitan College</t>
  </si>
  <si>
    <t>304978</t>
  </si>
  <si>
    <t>H00304978</t>
  </si>
  <si>
    <t>BA (Hons) in Photography - Greater Brighton Metropolitan College</t>
  </si>
  <si>
    <t>304979</t>
  </si>
  <si>
    <t>H00304979</t>
  </si>
  <si>
    <t>BA (Hons) in Make-Up and Hair for Theatre and Media - Greater Brighton Metropolitan College</t>
  </si>
  <si>
    <t>304980</t>
  </si>
  <si>
    <t>H00304980</t>
  </si>
  <si>
    <t>BA (Hons) in Fine Art - Greater Brighton Metropolitan College</t>
  </si>
  <si>
    <t>304981</t>
  </si>
  <si>
    <t>H00304981</t>
  </si>
  <si>
    <t>BA (Hons) in Prop Making and Special Effects - Greater Brighton Metropolitan College</t>
  </si>
  <si>
    <t>304982</t>
  </si>
  <si>
    <t>H00304982</t>
  </si>
  <si>
    <t>BA (Hons) in Costume for Performance and Film - Greater Brighton Metropolitan College</t>
  </si>
  <si>
    <t>304983</t>
  </si>
  <si>
    <t>H00304983</t>
  </si>
  <si>
    <t>BA (Hons) in Production Design for Stage and Screen - Greater Brighton Metropolitan College</t>
  </si>
  <si>
    <t>304984</t>
  </si>
  <si>
    <t>H00304984</t>
  </si>
  <si>
    <t>BA (Hons) in Technical Theatre Production - Greater Brighton Metropolitan College</t>
  </si>
  <si>
    <t>304985</t>
  </si>
  <si>
    <t>H00304985</t>
  </si>
  <si>
    <t>BA (Hons) in Acting and Contemporary Theatre Making - Greater Brighton Metropolitan College</t>
  </si>
  <si>
    <t>304986</t>
  </si>
  <si>
    <t>H00304986</t>
  </si>
  <si>
    <t>BA (Hons) in Dance and Professional Practice - Greater Brighton Metropolitan College</t>
  </si>
  <si>
    <t>304987</t>
  </si>
  <si>
    <t>H00304987</t>
  </si>
  <si>
    <t>BA (Hons) in Musical Theatre - Greater Brighton Metropolitan College</t>
  </si>
  <si>
    <t>304988</t>
  </si>
  <si>
    <t>H00304988</t>
  </si>
  <si>
    <t>BA (Hons) in Graphic Design - Greater Brighton Metropolitan College</t>
  </si>
  <si>
    <t>304989</t>
  </si>
  <si>
    <t>H00304989</t>
  </si>
  <si>
    <t>BA (Hons) in Illustration - Greater Brighton Metropolitan College</t>
  </si>
  <si>
    <t>304990</t>
  </si>
  <si>
    <t>H00304990</t>
  </si>
  <si>
    <t>BA (Hons) in Textile Design - Greater Brighton Metropolitan College</t>
  </si>
  <si>
    <t>304991</t>
  </si>
  <si>
    <t>H00304991</t>
  </si>
  <si>
    <t>BA (Hons) in Fashion Design - Greater Brighton Metropolitan College</t>
  </si>
  <si>
    <t>304992</t>
  </si>
  <si>
    <t>H00304992</t>
  </si>
  <si>
    <t>BA (Hons) in Counselling and Psychotherapy - Colchester Institute</t>
  </si>
  <si>
    <t>304993</t>
  </si>
  <si>
    <t>H00304993</t>
  </si>
  <si>
    <t>BEng (Hons) in Engineering (Design) - West Suffolk College</t>
  </si>
  <si>
    <t>304994</t>
  </si>
  <si>
    <t>H00304994</t>
  </si>
  <si>
    <t>BEng (Hons) in Engineering (Management) - West Suffolk College</t>
  </si>
  <si>
    <t>304995</t>
  </si>
  <si>
    <t>H00304995</t>
  </si>
  <si>
    <t>BEng (Hons) in Engineering (Manufacturing) - West Suffolk College</t>
  </si>
  <si>
    <t>304996</t>
  </si>
  <si>
    <t>H00304996</t>
  </si>
  <si>
    <t>BEng (Hons) in Engineering (Mechatronics) - West Suffolk College</t>
  </si>
  <si>
    <t>304997</t>
  </si>
  <si>
    <t>H00304997</t>
  </si>
  <si>
    <t>BSc (Hons) in Health and Wellbeing Practices - West Suffolk College</t>
  </si>
  <si>
    <t>304998</t>
  </si>
  <si>
    <t>H00304998</t>
  </si>
  <si>
    <t>BSc (Hons) in Interactive, Immersive and Entertainment Technology - West Suffolk College</t>
  </si>
  <si>
    <t>304999</t>
  </si>
  <si>
    <t>H00304999</t>
  </si>
  <si>
    <t>MSc in Data Science - City, University of London - Digital and Technology Solutions Specialist Degree Apprenticeship</t>
  </si>
  <si>
    <t>305000</t>
  </si>
  <si>
    <t>H00305000</t>
  </si>
  <si>
    <t>Foundation Degree in Psychodynamic Counselling - North East Surrey College of Technology</t>
  </si>
  <si>
    <t>305001</t>
  </si>
  <si>
    <t>H00305001</t>
  </si>
  <si>
    <t>BSc (Hons) in Midwifery (3 Year Programme) - University of Greenwich - Midwife (2019 NMC standards) Degree Apprenticeship</t>
  </si>
  <si>
    <t>305002</t>
  </si>
  <si>
    <t>H00305002</t>
  </si>
  <si>
    <t>BSc (Hons) in Adult Nursing (3 Year Programme) - University of Greenwich - Registered Nurse (NMC 2018) Degree Apprenticeship</t>
  </si>
  <si>
    <t>305003</t>
  </si>
  <si>
    <t>H00305003</t>
  </si>
  <si>
    <t>BSc (Hons) in Children's Nursing (3 Year Programme) - University of Greenwich -  Registered Nurse (NMC 2018) Degree Apprenticeship</t>
  </si>
  <si>
    <t>305004</t>
  </si>
  <si>
    <t>H00305004</t>
  </si>
  <si>
    <t>BSc (Hons) in Learning Disabilities Nursing (3 Year Programme) - University of Greenwich -  Registered Nurse (NMC 2018) Degree Apprenticeship</t>
  </si>
  <si>
    <t>305005</t>
  </si>
  <si>
    <t>H00305005</t>
  </si>
  <si>
    <t>BSc (Hons) in Mental Health Nursing (3 Year Programme) - University of Greenwich -  Registered Nurse (NMC 2018) Degree Apprenticeship</t>
  </si>
  <si>
    <t>305006</t>
  </si>
  <si>
    <t>H00305006</t>
  </si>
  <si>
    <t>BA (Hons) in English and Creative Writing - Burnley College</t>
  </si>
  <si>
    <t>305007</t>
  </si>
  <si>
    <t>H00305007</t>
  </si>
  <si>
    <t>MSc in Clinical Associate in Psychology -University of Exeter</t>
  </si>
  <si>
    <t>305008</t>
  </si>
  <si>
    <t>H00305008</t>
  </si>
  <si>
    <t>BA in Professional Practice (Working with Children and Young People) - Burnley College</t>
  </si>
  <si>
    <t>305009</t>
  </si>
  <si>
    <t>H00305009</t>
  </si>
  <si>
    <t>BSc in Sport and Exercise Science - Burnley College</t>
  </si>
  <si>
    <t>305010</t>
  </si>
  <si>
    <t>H00305010</t>
  </si>
  <si>
    <t>BSc (Hons) in Design and Construction Management - London South Bank University - Design and Construction Management Degree Apprenticeship</t>
  </si>
  <si>
    <t>305011</t>
  </si>
  <si>
    <t>H00305011</t>
  </si>
  <si>
    <t>BSc (Hons) in Construction Quantity Surveying - London South Bank University - Construction Quantity Surveying Degree Apprenticeship</t>
  </si>
  <si>
    <t>305012</t>
  </si>
  <si>
    <t>H00305012</t>
  </si>
  <si>
    <t>BSc (Hons) in Construction Site Management - London South Bank University - Construction Site Management Degree Apprenticeship</t>
  </si>
  <si>
    <t>305013</t>
  </si>
  <si>
    <t>H00305013</t>
  </si>
  <si>
    <t>HNC in Construction Design and Build - London South Bank University - Construction Design and Build Apprenticeship</t>
  </si>
  <si>
    <t>305014</t>
  </si>
  <si>
    <t>H00305014</t>
  </si>
  <si>
    <t>HNC in Construction Quantity Surveying Technician - London South Bank University - Construction Quantity Surveying Technician Apprenticeship</t>
  </si>
  <si>
    <t>305015</t>
  </si>
  <si>
    <t>H00305015</t>
  </si>
  <si>
    <t>HNC in Construction Site Supervisor - London South Bank University - Construction Site Supervisor Apprenticeship</t>
  </si>
  <si>
    <t>305016</t>
  </si>
  <si>
    <t>H00305016</t>
  </si>
  <si>
    <t>BA(Hons) in Contemporary Creative Practice (Top Up) - Burton and South Derbyshire College</t>
  </si>
  <si>
    <t>305017</t>
  </si>
  <si>
    <t>H00305017</t>
  </si>
  <si>
    <t>CertHE in Aesthetic Practice with Business - NCG</t>
  </si>
  <si>
    <t>305018</t>
  </si>
  <si>
    <t>H00305018</t>
  </si>
  <si>
    <t>BSc (Hons) in Professional Policing - NCG</t>
  </si>
  <si>
    <t>305019</t>
  </si>
  <si>
    <t>H00305019</t>
  </si>
  <si>
    <t>MSc in Sport and Exercise - NCG</t>
  </si>
  <si>
    <t>305020</t>
  </si>
  <si>
    <t>H00305020</t>
  </si>
  <si>
    <t>FdSc in Counselling Skills and Therapeutic Communication - NCG</t>
  </si>
  <si>
    <t>305021</t>
  </si>
  <si>
    <t>H00305021</t>
  </si>
  <si>
    <t>FdSc in Civil Engineering Practices - NCG</t>
  </si>
  <si>
    <t>305022</t>
  </si>
  <si>
    <t>H00305022</t>
  </si>
  <si>
    <t>FdA in Fashion and Media Make-up with Business Management - NCG</t>
  </si>
  <si>
    <t>305023</t>
  </si>
  <si>
    <t>H00305023</t>
  </si>
  <si>
    <t>FdA in Creative Video Content Production - NCG</t>
  </si>
  <si>
    <t>305024</t>
  </si>
  <si>
    <t>H00305024</t>
  </si>
  <si>
    <t>FdSc in Physical Education and Sports Coaching - NCG</t>
  </si>
  <si>
    <t>305025</t>
  </si>
  <si>
    <t>H00305025</t>
  </si>
  <si>
    <t>FdSc in Engineering with Applied Digital Technology - NCG</t>
  </si>
  <si>
    <t>305026</t>
  </si>
  <si>
    <t>H00305026</t>
  </si>
  <si>
    <t>BA (Hons) in Graphic Communication - NCG</t>
  </si>
  <si>
    <t>305027</t>
  </si>
  <si>
    <t>H00305027</t>
  </si>
  <si>
    <t>BA (Hons) in Business Management (OLC) - NCG</t>
  </si>
  <si>
    <t>305028</t>
  </si>
  <si>
    <t>H00305028</t>
  </si>
  <si>
    <t>BSc (Hons) in Health and Social Care (OLC) - NCG</t>
  </si>
  <si>
    <t>305029</t>
  </si>
  <si>
    <t>H00305029</t>
  </si>
  <si>
    <t>BSc (Hons) in Policing and Criminal Justice Studies - NCG</t>
  </si>
  <si>
    <t>305030</t>
  </si>
  <si>
    <t>H00305030</t>
  </si>
  <si>
    <t>BSc (Hons) in Applied Biomedical Science - York St John University - Healthcare Science Practitioner Degree Apprenticeship</t>
  </si>
  <si>
    <t>305031</t>
  </si>
  <si>
    <t>H00305031</t>
  </si>
  <si>
    <t>MA in Creative Design Enterprise - The Northern School of Art</t>
  </si>
  <si>
    <t>305032</t>
  </si>
  <si>
    <t>H00305032</t>
  </si>
  <si>
    <t>MA in Design History -The Northern School of Art</t>
  </si>
  <si>
    <t>305033</t>
  </si>
  <si>
    <t>H00305033</t>
  </si>
  <si>
    <t>BSc (Hons) in Physiotherapy - University of East London - Physiotherapist Apprenticeship</t>
  </si>
  <si>
    <t>305034</t>
  </si>
  <si>
    <t>H00305034</t>
  </si>
  <si>
    <t>BSc (Hons) in Podiatry -University of East London - Podiatrist Apprenticeship</t>
  </si>
  <si>
    <t>305035</t>
  </si>
  <si>
    <t>H00305035</t>
  </si>
  <si>
    <t>PG Cert in Learning and Teaching in Higher Education - University of East London - Academic Professional Apprenticeship</t>
  </si>
  <si>
    <t>305036</t>
  </si>
  <si>
    <t>H00305036</t>
  </si>
  <si>
    <t>BSc (Hons) in Occupational Therapy - University of Hertfordshire - Occupational Therapist Degree Apprenticeship</t>
  </si>
  <si>
    <t>305037</t>
  </si>
  <si>
    <t>H00305037</t>
  </si>
  <si>
    <t>BA (Hons) in Leadership and Management - Lincoln College - Leadership and Management (Degree Apprenticeship)</t>
  </si>
  <si>
    <t>305038</t>
  </si>
  <si>
    <t>H00305038</t>
  </si>
  <si>
    <t>BA (Hons) in Business, Leadership and Management - Bishop Grosseteste University - Chartered Manager Degree Apprenticeship</t>
  </si>
  <si>
    <t>305039</t>
  </si>
  <si>
    <t>H00305039</t>
  </si>
  <si>
    <t>Masters of Business Administration (Senior Leadership) - Bishop Grosseteste University - Senior Leader Masters Degree Apprenticeship</t>
  </si>
  <si>
    <t>305040</t>
  </si>
  <si>
    <t>H00305040</t>
  </si>
  <si>
    <t>BSc (Hons) in Project Management - The University of West London - Project Management Degree Apprenticeship Standard</t>
  </si>
  <si>
    <t>305041</t>
  </si>
  <si>
    <t>H00305041</t>
  </si>
  <si>
    <t>BSc (Hons) in Midwifery - The University of West London - Midwifery Degree Apprenticeship Standard</t>
  </si>
  <si>
    <t>305042</t>
  </si>
  <si>
    <t>H00305042</t>
  </si>
  <si>
    <t>BSc (Hons) in Police Constable - The University of West London - Police Constable Degree Apprenticeship Standard</t>
  </si>
  <si>
    <t>305043</t>
  </si>
  <si>
    <t>H00305043</t>
  </si>
  <si>
    <t>MA in Architecture - Hull University</t>
  </si>
  <si>
    <t>305044</t>
  </si>
  <si>
    <t>H00305044</t>
  </si>
  <si>
    <t>BSc (Hons) in Sport Coaching and Performance - Nelson and Colne College</t>
  </si>
  <si>
    <t>305045</t>
  </si>
  <si>
    <t>H00305045</t>
  </si>
  <si>
    <t>BA (Hons) in Counselling and Psychotherapy - Nelson and Colne College</t>
  </si>
  <si>
    <t>305046</t>
  </si>
  <si>
    <t>H00305046</t>
  </si>
  <si>
    <t>BA (Hons) in Health and Applied Social Studies - Nelson and Colne College</t>
  </si>
  <si>
    <t>305047</t>
  </si>
  <si>
    <t>H00305047</t>
  </si>
  <si>
    <t>MA in Education Studies - Colchester Institute</t>
  </si>
  <si>
    <t>305048</t>
  </si>
  <si>
    <t>H00305048</t>
  </si>
  <si>
    <t>FdA in Design and Materials - University of Gloucestershire</t>
  </si>
  <si>
    <t>305049</t>
  </si>
  <si>
    <t>H00305049</t>
  </si>
  <si>
    <t>BA (Hons) in Design and Materials (Level 6 Top Up) - University of Gloucestershire</t>
  </si>
  <si>
    <t>305050</t>
  </si>
  <si>
    <t>H00305050</t>
  </si>
  <si>
    <t>BA (Hons) in Education and Learning (Level 6) - University of Gloucestershire</t>
  </si>
  <si>
    <t>305051</t>
  </si>
  <si>
    <t>H00305051</t>
  </si>
  <si>
    <t>FdA in  Education and Learning - University of Gloucestershire</t>
  </si>
  <si>
    <t>305052</t>
  </si>
  <si>
    <t>H00305052</t>
  </si>
  <si>
    <t>BA (Hons) in Social Work - Staffordshire University - Social Worker Degree Integrated Apprenticeship Standard</t>
  </si>
  <si>
    <t>305053</t>
  </si>
  <si>
    <t>H00305053</t>
  </si>
  <si>
    <t>PgCert in Advanced Forensic Practice (Sexual Health) -Staffordshire University - Advanced Forensic Practitioner (custody or sexual offence) Apprenticeship Standard</t>
  </si>
  <si>
    <t>305054</t>
  </si>
  <si>
    <t>H00305054</t>
  </si>
  <si>
    <t>PgCert in Advanced Forensic Practice (Custody) - Staffordshire University - Advanced Forensic Practitioner (custody or sexual offence) Apprenticeship Standard</t>
  </si>
  <si>
    <t>305055</t>
  </si>
  <si>
    <t>H00305055</t>
  </si>
  <si>
    <t>BEng (Hons) in Mechanical Engineering with Composites - Yeovil College - Aerospace Engineer Apprenticeship</t>
  </si>
  <si>
    <t>305056</t>
  </si>
  <si>
    <t>H00305056</t>
  </si>
  <si>
    <t>FdSc in Nursing Associate - University of Bedford - Registered Nurse Degree (NMC, 2018) Apprenticeship Standard</t>
  </si>
  <si>
    <t>305057</t>
  </si>
  <si>
    <t>H00305057</t>
  </si>
  <si>
    <t>MSc in Nursing: Adult - University of Bedford - Registered Nurse Degree (NMC, 2018) Apprenticeship Standard</t>
  </si>
  <si>
    <t>305058</t>
  </si>
  <si>
    <t>H00305058</t>
  </si>
  <si>
    <t>MSc in Nursing: Mental Health - University of Bedford - Registered Nurse Degree (NMC, 2018) Apprenticeship Standard</t>
  </si>
  <si>
    <t>305059</t>
  </si>
  <si>
    <t>H00305059</t>
  </si>
  <si>
    <t>MSc in Nursing: Children and Young People - University of Bedford - Registered Nurse Degree (NMC, 2018) Apprenticeship Standard</t>
  </si>
  <si>
    <t>305060</t>
  </si>
  <si>
    <t>H00305060</t>
  </si>
  <si>
    <t>BSc (Hons) in Nursing: Adult - University of Bedford - Registered Nurse Degree (NMC, 2018) Apprenticeship Standard</t>
  </si>
  <si>
    <t>305061</t>
  </si>
  <si>
    <t>H00305061</t>
  </si>
  <si>
    <t>BSc (Hons) in Nursing: Mental Health - University of Bedford - Registered Nurse Degree (NMC, 2018) Apprenticeship Standard</t>
  </si>
  <si>
    <t>305062</t>
  </si>
  <si>
    <t>H00305062</t>
  </si>
  <si>
    <t>BSc (Hons) in Nursing: Children and Young People - University of Bedford - Registered Nurse Degree (NMC, 2018) Apprenticeship Standard</t>
  </si>
  <si>
    <t>305063</t>
  </si>
  <si>
    <t>H00305063</t>
  </si>
  <si>
    <t>FdSc in Engineering (Automation) - DN Colleges Group</t>
  </si>
  <si>
    <t>305064</t>
  </si>
  <si>
    <t>H00305064</t>
  </si>
  <si>
    <t>BSc (Hons) in Construction Management - Birmingham City University - Construction Site Management Degree Apprenticeship</t>
  </si>
  <si>
    <t>305065</t>
  </si>
  <si>
    <t>H00305065</t>
  </si>
  <si>
    <t>BA (Hons) in Business and Management (Top-up) - Wiltshire College and University Centre - Oxford Brookes University</t>
  </si>
  <si>
    <t>305066</t>
  </si>
  <si>
    <t>H00305066</t>
  </si>
  <si>
    <t>BA (Hons) in Creative Arts (Top-up) with Performance Arts - University Centre Calderdale College</t>
  </si>
  <si>
    <t>305067</t>
  </si>
  <si>
    <t>H00305067</t>
  </si>
  <si>
    <t>Foundation Degree in Creative Arts with Acting Performance - University Centre Calderdale College</t>
  </si>
  <si>
    <t>305068</t>
  </si>
  <si>
    <t>H00305068</t>
  </si>
  <si>
    <t>Foundation Degree in Creative Arts with Music Production - University Centre Calderdale College</t>
  </si>
  <si>
    <t>305069</t>
  </si>
  <si>
    <t>H00305069</t>
  </si>
  <si>
    <t>BA (Hons) in Creative Arts (Top-up) with Music Production - University Centre Calderdale College</t>
  </si>
  <si>
    <t>305070</t>
  </si>
  <si>
    <t>H00305070</t>
  </si>
  <si>
    <t>BEng (Hons) in Civil Engineering - University of Northumbria at Newcastle - Civil Engineering (Degree Apprenticeship)</t>
  </si>
  <si>
    <t>305071</t>
  </si>
  <si>
    <t>H00305071</t>
  </si>
  <si>
    <t>BSc (Hons) in Digital Marketing - University of Northumbria at Newcastle - Digital Marketing (Degree Apprenticeship)</t>
  </si>
  <si>
    <t>305072</t>
  </si>
  <si>
    <t>H00305072</t>
  </si>
  <si>
    <t>BSc (Hons) in Operating Department Practice - University of Northumbria at Newcastle - Operating Department Practice (Degree Apprenticeship)</t>
  </si>
  <si>
    <t>305073</t>
  </si>
  <si>
    <t>H00305073</t>
  </si>
  <si>
    <t>305074</t>
  </si>
  <si>
    <t>H00305074</t>
  </si>
  <si>
    <t>FdSc in Sports Therapy - University of Plymouth</t>
  </si>
  <si>
    <t>305075</t>
  </si>
  <si>
    <t>H00305075</t>
  </si>
  <si>
    <t>305076</t>
  </si>
  <si>
    <t>H00305076</t>
  </si>
  <si>
    <t>FdA in Graphic Communication - University of Plymouth</t>
  </si>
  <si>
    <t>305077</t>
  </si>
  <si>
    <t>H00305077</t>
  </si>
  <si>
    <t>FdA in Fine Art - University of Plymouth</t>
  </si>
  <si>
    <t>305078</t>
  </si>
  <si>
    <t>H00305078</t>
  </si>
  <si>
    <t>BA (Hons) in Professional Policing (Pre Join)</t>
  </si>
  <si>
    <t>305079</t>
  </si>
  <si>
    <t>H00305079</t>
  </si>
  <si>
    <t>BSc (Hons) in Land Based Sciences (Ecology and Conservation) Top Up (Easton College Campus) - City College Norwich</t>
  </si>
  <si>
    <t>305080</t>
  </si>
  <si>
    <t>H00305080</t>
  </si>
  <si>
    <t>BSc (Hons) in Land Based Sciences (Equine Science and Welfare) Top Up (Easton College Campus) - City College Norwich</t>
  </si>
  <si>
    <t>305081</t>
  </si>
  <si>
    <t>H00305081</t>
  </si>
  <si>
    <t>BSc (Hons) in Supply Chain Management (Professional Practice) - Aston University - Supply Chain Leadership (Professional Practice) Degree</t>
  </si>
  <si>
    <t>305082</t>
  </si>
  <si>
    <t>H00305082</t>
  </si>
  <si>
    <t>305083</t>
  </si>
  <si>
    <t>H00305083</t>
  </si>
  <si>
    <t>BSc (Hons) in Building Surveying - The University of West London - Chartered Surveyor Apprenticeship Standard</t>
  </si>
  <si>
    <t>305084</t>
  </si>
  <si>
    <t>H00305084</t>
  </si>
  <si>
    <t>BSc (Hons) in Adult Nursing - Leeds Beckett University - Registered Nurse (NMC 2018) Degree Apprenticeship</t>
  </si>
  <si>
    <t>305085</t>
  </si>
  <si>
    <t>H00305085</t>
  </si>
  <si>
    <t>BSc (Hons) in Mental Health Nursing - Leeds Beckett University - Registered Nurse (NMC 2018) Degree Apprenticeship</t>
  </si>
  <si>
    <t>305086</t>
  </si>
  <si>
    <t>H00305086</t>
  </si>
  <si>
    <t>FdSc in Nursing Associate - Leeds Beckett University - Nursing Associate (NMC 2018) Apprenticeship Standard</t>
  </si>
  <si>
    <t>305087</t>
  </si>
  <si>
    <t>H00305087</t>
  </si>
  <si>
    <t>BA (Hons) in Creative Fashion and Textiles - Bridgwater and Taunton College</t>
  </si>
  <si>
    <t>305088</t>
  </si>
  <si>
    <t>H00305088</t>
  </si>
  <si>
    <t>Foundation Degree in Creative Fashion and Textiles - Bridgwater and Taunton College</t>
  </si>
  <si>
    <t>305089</t>
  </si>
  <si>
    <t>H00305089</t>
  </si>
  <si>
    <t>BSc (Hons) in Architectural Technology - University of Central Lancashire - Design and Construction Management Degree Apprenticeship</t>
  </si>
  <si>
    <t>305090</t>
  </si>
  <si>
    <t>H00305090</t>
  </si>
  <si>
    <t>BSc (Hons) in Nursing Science(Child) -University of Northumbria at Newcastle -Registered Nurse Degree (NMC 2018)</t>
  </si>
  <si>
    <t>305091</t>
  </si>
  <si>
    <t>H00305091</t>
  </si>
  <si>
    <t>FdEng in Manufacturing Engineering - Swindon College</t>
  </si>
  <si>
    <t>305092</t>
  </si>
  <si>
    <t>H00305092</t>
  </si>
  <si>
    <t>Foundation Degree in Art - Leeds City College</t>
  </si>
  <si>
    <t>305093</t>
  </si>
  <si>
    <t>H00305093</t>
  </si>
  <si>
    <t>Cert HE in Art - Leeds City College</t>
  </si>
  <si>
    <t>305094</t>
  </si>
  <si>
    <t>H00305094</t>
  </si>
  <si>
    <t>Foundation Degree in Game Development - Leeds City College</t>
  </si>
  <si>
    <t>305095</t>
  </si>
  <si>
    <t>H00305095</t>
  </si>
  <si>
    <t>Foundation Degree in Game Art - Leeds City College</t>
  </si>
  <si>
    <t>305096</t>
  </si>
  <si>
    <t>H00305096</t>
  </si>
  <si>
    <t>Foundation Degree in Game Programming - Leeds City College</t>
  </si>
  <si>
    <t>305097</t>
  </si>
  <si>
    <t>H00305097</t>
  </si>
  <si>
    <t>Cert HE in Game Development - Leeds City College</t>
  </si>
  <si>
    <t>305098</t>
  </si>
  <si>
    <t>H00305098</t>
  </si>
  <si>
    <t>Cert HE in Game Art - Leeds City College</t>
  </si>
  <si>
    <t>305099</t>
  </si>
  <si>
    <t>H00305099</t>
  </si>
  <si>
    <t>Cert HE in Game Programming - Leeds City College</t>
  </si>
  <si>
    <t>305100</t>
  </si>
  <si>
    <t>H00305100</t>
  </si>
  <si>
    <t>Foundation Degree in Computer Science - Leeds City College</t>
  </si>
  <si>
    <t>305101</t>
  </si>
  <si>
    <t>H00305101</t>
  </si>
  <si>
    <t>Foundation Degree in Web and Mobile Apps - Leeds City College</t>
  </si>
  <si>
    <t>305102</t>
  </si>
  <si>
    <t>H00305102</t>
  </si>
  <si>
    <t>Foundation Degree in Software Development - Leeds City College</t>
  </si>
  <si>
    <t>305103</t>
  </si>
  <si>
    <t>H00305103</t>
  </si>
  <si>
    <t>Foundation Degree in Cyber Security - Leeds City College</t>
  </si>
  <si>
    <t>305104</t>
  </si>
  <si>
    <t>H00305104</t>
  </si>
  <si>
    <t>Cert HE in Computer Science - Leeds City College</t>
  </si>
  <si>
    <t>305105</t>
  </si>
  <si>
    <t>H00305105</t>
  </si>
  <si>
    <t>Cert HE in Web and Mobile Apps - Leeds City College</t>
  </si>
  <si>
    <t>305106</t>
  </si>
  <si>
    <t>H00305106</t>
  </si>
  <si>
    <t>Cert HE in Software Development - Leeds City College</t>
  </si>
  <si>
    <t>305107</t>
  </si>
  <si>
    <t>H00305107</t>
  </si>
  <si>
    <t>Cert HE in Cyber Security - Leeds City College</t>
  </si>
  <si>
    <t>305108</t>
  </si>
  <si>
    <t>H00305108</t>
  </si>
  <si>
    <t>Foundation Degree in Concept Art - Leeds City College</t>
  </si>
  <si>
    <t>305109</t>
  </si>
  <si>
    <t>H00305109</t>
  </si>
  <si>
    <t>Foundation Degree in Graphic Design and Illustration - Leeds City College</t>
  </si>
  <si>
    <t>305110</t>
  </si>
  <si>
    <t>H00305110</t>
  </si>
  <si>
    <t>Cert HE in Concept Art - Leeds City College</t>
  </si>
  <si>
    <t>305111</t>
  </si>
  <si>
    <t>H00305111</t>
  </si>
  <si>
    <t>Cert HE in Graphic Design and Illustration - Leeds City College</t>
  </si>
  <si>
    <t>305112</t>
  </si>
  <si>
    <t>H00305112</t>
  </si>
  <si>
    <t>Foundation Degree in Fashion and Textiles - Leeds City College</t>
  </si>
  <si>
    <t>305113</t>
  </si>
  <si>
    <t>H00305113</t>
  </si>
  <si>
    <t>Cert HE in Fashion and Textiles - Leeds City College</t>
  </si>
  <si>
    <t>305114</t>
  </si>
  <si>
    <t>H00305114</t>
  </si>
  <si>
    <t>Foundation Degree in Sound for Film and Games - Leeds City College</t>
  </si>
  <si>
    <t>305115</t>
  </si>
  <si>
    <t>H00305115</t>
  </si>
  <si>
    <t>Cert HE in Sound for Film and Games - Leeds City College</t>
  </si>
  <si>
    <t>305116</t>
  </si>
  <si>
    <t>H00305116</t>
  </si>
  <si>
    <t>BSc (Hons) in Interactive Digital Immersion - City College Plymouth</t>
  </si>
  <si>
    <t>305117</t>
  </si>
  <si>
    <t>H00305117</t>
  </si>
  <si>
    <t>FdSc in Events and Festival Management - City College Plymouth</t>
  </si>
  <si>
    <t>305118</t>
  </si>
  <si>
    <t>H00305118</t>
  </si>
  <si>
    <t>FdSc in Hospitality and Hotel Management - City College Plymouth</t>
  </si>
  <si>
    <t>305119</t>
  </si>
  <si>
    <t>H00305119</t>
  </si>
  <si>
    <t>FdSc in International Tourism Management - City College Plymouth</t>
  </si>
  <si>
    <t>305120</t>
  </si>
  <si>
    <t>H00305120</t>
  </si>
  <si>
    <t>BSc (Hons) in Professional Policing Practice - Bucks New University - Police Constable Degree Apprenticeship Standard</t>
  </si>
  <si>
    <t>305121</t>
  </si>
  <si>
    <t>H00305121</t>
  </si>
  <si>
    <t>305122</t>
  </si>
  <si>
    <t>H00305122</t>
  </si>
  <si>
    <t>BA (Hons) in Musical Theatre  - Colchester Institute</t>
  </si>
  <si>
    <t>305123</t>
  </si>
  <si>
    <t>H00305123</t>
  </si>
  <si>
    <t>BSc (Hons) in Paramedicine - Nottingham Trent University - Parametic (degree)</t>
  </si>
  <si>
    <t>305124</t>
  </si>
  <si>
    <t>H00305124</t>
  </si>
  <si>
    <t>Foundation Degree in Policing with optional Integrated Foundation Entry - Hugh Baird College</t>
  </si>
  <si>
    <t>305125</t>
  </si>
  <si>
    <t>H00305125</t>
  </si>
  <si>
    <t>BA (Honours) Degree In Children, Schools and Families - Hugh Baird College</t>
  </si>
  <si>
    <t>305126</t>
  </si>
  <si>
    <t>H00305126</t>
  </si>
  <si>
    <t>BA (Honours) Degree In Criminology - Hugh Baird College</t>
  </si>
  <si>
    <t>305127</t>
  </si>
  <si>
    <t>H00305127</t>
  </si>
  <si>
    <t>MA in Leadership and Management - Leeds City College</t>
  </si>
  <si>
    <t>305128</t>
  </si>
  <si>
    <t>H00305128</t>
  </si>
  <si>
    <t>MSc in Biosciences - Leeds City College</t>
  </si>
  <si>
    <t>305129</t>
  </si>
  <si>
    <t>H00305129</t>
  </si>
  <si>
    <t>Foundation Degree in Applied Science - Wiltshire College and University Centre</t>
  </si>
  <si>
    <t>305130</t>
  </si>
  <si>
    <t>H00305130</t>
  </si>
  <si>
    <t>Foundation Degree in Biomedical Science - Wiltshire College and University Centre</t>
  </si>
  <si>
    <t>305131</t>
  </si>
  <si>
    <t>H00305131</t>
  </si>
  <si>
    <t>Foundation Degree in Environmental Science and Sustainability - Wiltshire College and University Centre</t>
  </si>
  <si>
    <t>305132</t>
  </si>
  <si>
    <t>H00305132</t>
  </si>
  <si>
    <t>Foundation Degree in Forensic Science - Wiltshire College and University Centre</t>
  </si>
  <si>
    <t>305133</t>
  </si>
  <si>
    <t>H00305133</t>
  </si>
  <si>
    <t>Foundation Degree in Health and Nutrition - Wiltshire College and University Centre</t>
  </si>
  <si>
    <t>305134</t>
  </si>
  <si>
    <t>H00305134</t>
  </si>
  <si>
    <t>Foundation Degree in Pharmaceuticals - Wiltshire College and University Centre</t>
  </si>
  <si>
    <t>305135</t>
  </si>
  <si>
    <t>H00305135</t>
  </si>
  <si>
    <t>BSc (Hons) in Sports Coaching - Bishop Auckland College</t>
  </si>
  <si>
    <t>305136</t>
  </si>
  <si>
    <t>H00305136</t>
  </si>
  <si>
    <t>BA (Hons) in Professional Policing - Lincoln College</t>
  </si>
  <si>
    <t>305137</t>
  </si>
  <si>
    <t>H00305137</t>
  </si>
  <si>
    <t>FdA in Photography - Cornwall College</t>
  </si>
  <si>
    <t>305138</t>
  </si>
  <si>
    <t>H00305138</t>
  </si>
  <si>
    <t>BSc (Hons) in Construction Project Management - University of the West of England, Bristol - Construction Site Management Degree Apprenticeship</t>
  </si>
  <si>
    <t>305139</t>
  </si>
  <si>
    <t>H00305139</t>
  </si>
  <si>
    <t>BSc (Hons) in Applied Occupational Therapy - University of the West of England, Bristol - Occupational Therapist Degree Apprenticeship</t>
  </si>
  <si>
    <t>305140</t>
  </si>
  <si>
    <t>H00305140</t>
  </si>
  <si>
    <t>MPA in Faith Leadership - University of Birmingham - Senior Leader Master's Degree Apprenticeship</t>
  </si>
  <si>
    <t>305141</t>
  </si>
  <si>
    <t>H00305141</t>
  </si>
  <si>
    <t>BSc (Hons) in Nursing (Registered Nurse - Adult) - University of Lincoln - Registered Nurse (NMC 2018) Degree Apprenticeship</t>
  </si>
  <si>
    <t>305142</t>
  </si>
  <si>
    <t>H00305142</t>
  </si>
  <si>
    <t>BSc (Hons) in Nursing (Registered Nurse - Child) - University of Lincoln - Registered Nurse (NMC 2018) Degree Apprenticeship</t>
  </si>
  <si>
    <t>305143</t>
  </si>
  <si>
    <t>H00305143</t>
  </si>
  <si>
    <t>BSc (Hons) in Nursing (Registered Nurse - Mental Health) - University of Lincoln - Registered Nurse (NMC 2018) Degree Apprenticeship</t>
  </si>
  <si>
    <t>305144</t>
  </si>
  <si>
    <t>H00305144</t>
  </si>
  <si>
    <t>MSc in Advanced Clinical Practice - University of Lincoln - Advanced Clinical Practitioner Degree Apprenticeship</t>
  </si>
  <si>
    <t>305145</t>
  </si>
  <si>
    <t>H00305145</t>
  </si>
  <si>
    <t>BA (Hons) in Early Years Care and Education - East Sussex College Group</t>
  </si>
  <si>
    <t>305146</t>
  </si>
  <si>
    <t>H00305146</t>
  </si>
  <si>
    <t>BSC (Hons) Health and Social Care Management - East Sussex College Group</t>
  </si>
  <si>
    <t>305147</t>
  </si>
  <si>
    <t>H00305147</t>
  </si>
  <si>
    <t>BSc (Hons) in Nursing (Learning Disability) - University of Hull</t>
  </si>
  <si>
    <t>305148</t>
  </si>
  <si>
    <t>H00305148</t>
  </si>
  <si>
    <t>BSc (Hons) in Nursing (Mental Health) - University of Hull</t>
  </si>
  <si>
    <t>305149</t>
  </si>
  <si>
    <t>H00305149</t>
  </si>
  <si>
    <t>BA (Hons) in Crime and Criminal Justice - Burnley College</t>
  </si>
  <si>
    <t>305150</t>
  </si>
  <si>
    <t>H00305150</t>
  </si>
  <si>
    <t>University Diploma Leadership and Management - Staffordshire University - Operations or Departmental Manager Apprenticeship Standard</t>
  </si>
  <si>
    <t>305151</t>
  </si>
  <si>
    <t>H00305151</t>
  </si>
  <si>
    <t>Cert HE in Professional Practice in Health and Social Care - LTE Group</t>
  </si>
  <si>
    <t>305152</t>
  </si>
  <si>
    <t>H00305152</t>
  </si>
  <si>
    <t>BSc (Hons) in Construction Management - University of Greenwich - Construction Management (Degree Apprenticeship)</t>
  </si>
  <si>
    <t>305153</t>
  </si>
  <si>
    <t>H00305153</t>
  </si>
  <si>
    <t>MSc in Technical Leadership (Analytical Science)- Keele University</t>
  </si>
  <si>
    <t>305154</t>
  </si>
  <si>
    <t>H00305154</t>
  </si>
  <si>
    <t>BSc (Hons) in Intergrated Technologies Engineering - Petroc</t>
  </si>
  <si>
    <t>305155</t>
  </si>
  <si>
    <t>H00305155</t>
  </si>
  <si>
    <t>BA (Hons) in Commercial Photography - Wiltshire College and University Centre</t>
  </si>
  <si>
    <t>305156</t>
  </si>
  <si>
    <t>H00305156</t>
  </si>
  <si>
    <t>BA (Hons) in Professional Management - Staffordshire University - Chartered Manager Degree Apprenticeship Standard</t>
  </si>
  <si>
    <t>305157</t>
  </si>
  <si>
    <t>H00305157</t>
  </si>
  <si>
    <t>BSc (Hons) in Digital and Technology Solutions - Staffordshire University - Digital and Technology Solutions Professional (integrated degree) Apprenticeship Standard</t>
  </si>
  <si>
    <t>305158</t>
  </si>
  <si>
    <t>H00305158</t>
  </si>
  <si>
    <t>Foundation Degree in Information and Communication Technology - Staffordshire University - Network Engineer Standard</t>
  </si>
  <si>
    <t>305159</t>
  </si>
  <si>
    <t>H00305159</t>
  </si>
  <si>
    <t>Foundation Degree in Information and Communication Technology - Staffordshire University - Software Developer Standard</t>
  </si>
  <si>
    <t>305160</t>
  </si>
  <si>
    <t>H00305160</t>
  </si>
  <si>
    <t>Foundation Degree in Project Management - Furness College</t>
  </si>
  <si>
    <t>305163</t>
  </si>
  <si>
    <t>H00305163</t>
  </si>
  <si>
    <t>BA (Hons) in Fine Art (Top Up) - Morley College London</t>
  </si>
  <si>
    <t>305164</t>
  </si>
  <si>
    <t>H00305164</t>
  </si>
  <si>
    <t>BSc (Hons) in Operating Department Practice - Staffordshire University - Operating Department Practitioner Degree Apprenticeship</t>
  </si>
  <si>
    <t>305165</t>
  </si>
  <si>
    <t>H00305165</t>
  </si>
  <si>
    <t>MBA in Business Management - Staffordshire University - Senior Leader Degree Apprenticeship</t>
  </si>
  <si>
    <t>305166</t>
  </si>
  <si>
    <t>H00305166</t>
  </si>
  <si>
    <t>FdSc in Nursing Associate - Staffordshire University - Nursing Associate (NMC 2018) Apprenticeship Standard</t>
  </si>
  <si>
    <t>305167</t>
  </si>
  <si>
    <t>H00305167</t>
  </si>
  <si>
    <t>BSc (Hons) in Medical Biology - Burnley College</t>
  </si>
  <si>
    <t>305168</t>
  </si>
  <si>
    <t>H00305168</t>
  </si>
  <si>
    <t>305169</t>
  </si>
  <si>
    <t>H00305169</t>
  </si>
  <si>
    <t>Certificate in Education - Petroc - Learning and Skills Teaching Apprenticeship Standard</t>
  </si>
  <si>
    <t>305170</t>
  </si>
  <si>
    <t>H00305170</t>
  </si>
  <si>
    <t>CertHE in Health and Social Care - NCG</t>
  </si>
  <si>
    <t>305171</t>
  </si>
  <si>
    <t>H00305171</t>
  </si>
  <si>
    <t>BA (Hons) in Adult Social Care - Havant and South Downs College</t>
  </si>
  <si>
    <t>305172</t>
  </si>
  <si>
    <t>H00305172</t>
  </si>
  <si>
    <t>BA (Hons) in Art and Design (Top-up) (Fashion and Photography pathways) - The City of Liverpool College</t>
  </si>
  <si>
    <t>305173</t>
  </si>
  <si>
    <t>H00305173</t>
  </si>
  <si>
    <t>MA in Heritage Conservation - University of Lincoln - Cultural Heritage Conservator (degree) Standard</t>
  </si>
  <si>
    <t>305174</t>
  </si>
  <si>
    <t>H00305174</t>
  </si>
  <si>
    <t>BSc (Hons) in Quantity Surveying - East Surrey College</t>
  </si>
  <si>
    <t>305175</t>
  </si>
  <si>
    <t>H00305175</t>
  </si>
  <si>
    <t>BSc (Hons) in Operating Department Practice - Birmingham City University - Operating Department Practitioner (integrated degree)</t>
  </si>
  <si>
    <t>305176</t>
  </si>
  <si>
    <t>H00305176</t>
  </si>
  <si>
    <t>PG Diploma in Specialist Practitioner District Nursing - University of Sunderland - District Nurse Apprenticeship Standard</t>
  </si>
  <si>
    <t>305177</t>
  </si>
  <si>
    <t>H00305177</t>
  </si>
  <si>
    <t>Diploma in Education and Training - (Birmingham City University)</t>
  </si>
  <si>
    <t>305178</t>
  </si>
  <si>
    <t>H00305178</t>
  </si>
  <si>
    <t>Post Graduate Certificate in Education - (Birmingham City University)</t>
  </si>
  <si>
    <t>305179</t>
  </si>
  <si>
    <t>H00305179</t>
  </si>
  <si>
    <t>MSc in Pre-Registration Nursing (Adult) (Blended Learning) University of Huddersfield - Registered Nurse (NMC 2018) Degree Apprenticeship</t>
  </si>
  <si>
    <t>305180</t>
  </si>
  <si>
    <t>H00305180</t>
  </si>
  <si>
    <t>MSc in Pre-Registration Nursing (Child) (Blended Learning) University of Huddersfield - Registered Nurse (NMC 2018) Degree Apprenticeship</t>
  </si>
  <si>
    <t>305181</t>
  </si>
  <si>
    <t>H00305181</t>
  </si>
  <si>
    <t>MSc in Pre-Registration Nursing (Mental Health) (Blended Learning) University of Huddersfield - Registered Nurse (NMC 2018) Degree Apprenticeship</t>
  </si>
  <si>
    <t>305182</t>
  </si>
  <si>
    <t>H00305182</t>
  </si>
  <si>
    <t>MSc in Pre-Registration Nursing (Learning Disability) (Blended Learning) University of Huddersfield - Registered Nurse (NMC 2018) Degree Apprenticeship</t>
  </si>
  <si>
    <t>305183</t>
  </si>
  <si>
    <t>H00305183</t>
  </si>
  <si>
    <t>MSc in Digital and Technology Solutions Specialist - University of Northumbria at Newcastle</t>
  </si>
  <si>
    <t>305184</t>
  </si>
  <si>
    <t>H00305184</t>
  </si>
  <si>
    <t>BSc (Hons) in Project Management- University of Northumbria at Newcastle</t>
  </si>
  <si>
    <t>305185</t>
  </si>
  <si>
    <t>H00305185</t>
  </si>
  <si>
    <t>BSc (Hons) in Cyber Security Technical Professional - University of Northumbria at Newcastle</t>
  </si>
  <si>
    <t>305186</t>
  </si>
  <si>
    <t>H00305186</t>
  </si>
  <si>
    <t>BSc (Hons) in Digital User Experience - University of Northumbria at Newcastle</t>
  </si>
  <si>
    <t>305187</t>
  </si>
  <si>
    <t>H00305187</t>
  </si>
  <si>
    <t>BSc (Hons) in Integrated Technologies Engineering - City College Plymouth -</t>
  </si>
  <si>
    <t>305188</t>
  </si>
  <si>
    <t>H00305188</t>
  </si>
  <si>
    <t>BA (Hons) in Computer Games (Concept Art) - Leeds City College</t>
  </si>
  <si>
    <t>305189</t>
  </si>
  <si>
    <t>H00305189</t>
  </si>
  <si>
    <t>Foundation Degree in Events Management - Leeds City College</t>
  </si>
  <si>
    <t>305190</t>
  </si>
  <si>
    <t>H00305190</t>
  </si>
  <si>
    <t>Certificate of Higher Education in Events Management - Leeds City College</t>
  </si>
  <si>
    <t>305191</t>
  </si>
  <si>
    <t>H00305191</t>
  </si>
  <si>
    <t>Foundation Degree in Physical Education and Sports Coaching - Leeds City College</t>
  </si>
  <si>
    <t>305192</t>
  </si>
  <si>
    <t>H00305192</t>
  </si>
  <si>
    <t>Certificate in Higher Education in Physical Education and Sports Coaching - Leeds City College</t>
  </si>
  <si>
    <t>305193</t>
  </si>
  <si>
    <t>H00305193</t>
  </si>
  <si>
    <t>Foundation Degree in Sports Performance and Exercise - Leeds City College</t>
  </si>
  <si>
    <t>305194</t>
  </si>
  <si>
    <t>H00305194</t>
  </si>
  <si>
    <t>Certificate of Higher Education in Sports Performance and Exercise - Leeds City College</t>
  </si>
  <si>
    <t>305195</t>
  </si>
  <si>
    <t>H00305195</t>
  </si>
  <si>
    <t>MSc in Digital and Technology Solutions (Software Engineering) - University of Sunderland - Digital and Technology Solutions Specialist (integrated degree)</t>
  </si>
  <si>
    <t>305196</t>
  </si>
  <si>
    <t>H00305196</t>
  </si>
  <si>
    <t>Certificate in Education in Post Compulsory Education and Training - University of Sunderland</t>
  </si>
  <si>
    <t>305197</t>
  </si>
  <si>
    <t>H00305197</t>
  </si>
  <si>
    <t>FdSc in Sport Exercise and Health Science - Chichester College Group</t>
  </si>
  <si>
    <t>305198</t>
  </si>
  <si>
    <t>H00305198</t>
  </si>
  <si>
    <t>FdSc in Disruptive Technologies - Chichester College Group</t>
  </si>
  <si>
    <t>305199</t>
  </si>
  <si>
    <t>H00305199</t>
  </si>
  <si>
    <t>FdSc in Sustainable Food Production - Chichester College Group</t>
  </si>
  <si>
    <t>305200</t>
  </si>
  <si>
    <t>H00305200</t>
  </si>
  <si>
    <t>BA (Hons) in Professional Development in Early Years (Top Up) - Burnley College</t>
  </si>
  <si>
    <t>305201</t>
  </si>
  <si>
    <t>H00305201</t>
  </si>
  <si>
    <t>BSc (Hons) in Digital and Technology Solutions (Cyber Security Specialism) - New College of the Humanities - Digital and Technology Solutions Professional Degree Apprenticeship</t>
  </si>
  <si>
    <t>305202</t>
  </si>
  <si>
    <t>H00305202</t>
  </si>
  <si>
    <t>BSc (Hons) in Digital and Technology Solutions (Software Engineer) - New College of the Humanities - Digital and Technology Solutions Professional Degree Apprenticeship</t>
  </si>
  <si>
    <t>305203</t>
  </si>
  <si>
    <t>H00305203</t>
  </si>
  <si>
    <t>BSc (Hons) Nursing (Adult) (Blended Learning) -University of Huddersfield - Registered Nurse (NMC 2018) Degree Apprenticeship</t>
  </si>
  <si>
    <t>305204</t>
  </si>
  <si>
    <t>H00305204</t>
  </si>
  <si>
    <t>BSc (Hons) Nursing (Child) (Blended Learning) - University of Huddersfield - Registered Nurse (NMC 2018) Degree Apprenticeship</t>
  </si>
  <si>
    <t>305205</t>
  </si>
  <si>
    <t>H00305205</t>
  </si>
  <si>
    <t>BSc (Hons) Nursing (Mental Health) (Blended Learning) - University of Huddersfield - Registered Nurse (NMC 2018) Degree Apprenticeship</t>
  </si>
  <si>
    <t>305206</t>
  </si>
  <si>
    <t>H00305206</t>
  </si>
  <si>
    <t>BSc (Hons) Nursing (Learning Disability) (Blended Learning) - University of Huddersfield - Registered Nurse (NMC 2018) Degree Apprenticeship</t>
  </si>
  <si>
    <t>305207</t>
  </si>
  <si>
    <t>H00305207</t>
  </si>
  <si>
    <t>MSc in Clinical Associate in Psychology (Adult) - University of Sheffield</t>
  </si>
  <si>
    <t>305208</t>
  </si>
  <si>
    <t>H00305208</t>
  </si>
  <si>
    <t>Cert HE in Integrated Health and Social Care - LTE Group</t>
  </si>
  <si>
    <t>305209</t>
  </si>
  <si>
    <t>H00305209</t>
  </si>
  <si>
    <t>Dip HE in Integrated Health and Social Care - LTE Group</t>
  </si>
  <si>
    <t>305210</t>
  </si>
  <si>
    <t>H00305210</t>
  </si>
  <si>
    <t>MSc in Advanced Clinical Practitioner - University of Essex - Advanced Clinical Practitioner Degree Apprenticeship</t>
  </si>
  <si>
    <t>305211</t>
  </si>
  <si>
    <t>H00305211</t>
  </si>
  <si>
    <t>Cert HE in Counselling -  LTE Group</t>
  </si>
  <si>
    <t>305212</t>
  </si>
  <si>
    <t>H00305212</t>
  </si>
  <si>
    <t>FdA in Counselling - LTE Group</t>
  </si>
  <si>
    <t>305213</t>
  </si>
  <si>
    <t>H00305213</t>
  </si>
  <si>
    <t>BA (Hons) in Counselling (Top Up) - LTE Group</t>
  </si>
  <si>
    <t>305214</t>
  </si>
  <si>
    <t>H00305214</t>
  </si>
  <si>
    <t>BSc (Hons) in Construction Management - University of Hertfordshire - Construction Site Management Degree Apprenticeship</t>
  </si>
  <si>
    <t>305215</t>
  </si>
  <si>
    <t>H00305215</t>
  </si>
  <si>
    <t>BSc (Hons) in Digital and Technology Solutions - University Centre Calderdale College - Digital and Technology Solutions Professional (Integrated Degree) Standard</t>
  </si>
  <si>
    <t>305216</t>
  </si>
  <si>
    <t>H00305216</t>
  </si>
  <si>
    <t>BSc (Hons) in Motorsport Technology (Top Up) - Greater Brighton Metropolitan College</t>
  </si>
  <si>
    <t>305217</t>
  </si>
  <si>
    <t>H00305217</t>
  </si>
  <si>
    <t>BSc (Hons) in Responsible Business Management - University of Exeter - Chartered Manager Degree Apprenticeship</t>
  </si>
  <si>
    <t>305218</t>
  </si>
  <si>
    <t>H00305218</t>
  </si>
  <si>
    <t>FdSc in Computing - NCG</t>
  </si>
  <si>
    <t>305219</t>
  </si>
  <si>
    <t>H00305219</t>
  </si>
  <si>
    <t>BA (Hons) in Digital Marketing Management - Staffordshire University - Digital Marketer (Integrated Degree) Apprenticeship Standard</t>
  </si>
  <si>
    <t>305220</t>
  </si>
  <si>
    <t>H00305220</t>
  </si>
  <si>
    <t>MSc in Clinical Associate Psychologist (CAP) - University of Plymouth - Clinical Associate in Psychology (CAP) Degree Apprenticeship</t>
  </si>
  <si>
    <t>305221</t>
  </si>
  <si>
    <t>H00305221</t>
  </si>
  <si>
    <t>Cert HE in Health and Social Care - DN College Group</t>
  </si>
  <si>
    <t>305222</t>
  </si>
  <si>
    <t>H00305222</t>
  </si>
  <si>
    <t>BSc (Hons) in Operating Department Practice - University of Gloucestershire - Operating Department Practitioner Degree Apprenticeship</t>
  </si>
  <si>
    <t>305223</t>
  </si>
  <si>
    <t>H00305223</t>
  </si>
  <si>
    <t>BSc (Hons) in Applied Artificial Intelligence - University of Gloucestershire - Data Scientist Degree Apprenticeship</t>
  </si>
  <si>
    <t>305224</t>
  </si>
  <si>
    <t>H00305224</t>
  </si>
  <si>
    <t>BSc (Hons) in Digital Technology Solutions - University of Gloucestershire - Digital and Technology Solutions Professional Degree Apprenticeship</t>
  </si>
  <si>
    <t>305225</t>
  </si>
  <si>
    <t>H00305225</t>
  </si>
  <si>
    <t>Higher Education Diploma in Education and Training - University of Gloucester - Learning and Skills Teacher Apprenticeship Standard</t>
  </si>
  <si>
    <t>305226</t>
  </si>
  <si>
    <t>H00305226</t>
  </si>
  <si>
    <t>BSc (Hons) in Nursing (Learning Disabilities) - University of Gloucestershire - Registered Nurse (NMC 2018) Degree Apprenticeship</t>
  </si>
  <si>
    <t>305227</t>
  </si>
  <si>
    <t>H00305227</t>
  </si>
  <si>
    <t>BA (Hons) in Project Management - University of Gloucestershire - Project Manager Degree Apprenticeship</t>
  </si>
  <si>
    <t>305228</t>
  </si>
  <si>
    <t>H00305228</t>
  </si>
  <si>
    <t>BA (Hons) in Leadership and Management in Integrated Services (Top-up) - DN Colleges Group</t>
  </si>
  <si>
    <t>305229</t>
  </si>
  <si>
    <t>H00305229</t>
  </si>
  <si>
    <t>BSc (Hons) in Quantity Surveying (Construction) - University of Northumbria at Newcastle - Construction Quantity Surveyor Degree Apprenticeship</t>
  </si>
  <si>
    <t>305230</t>
  </si>
  <si>
    <t>H00305230</t>
  </si>
  <si>
    <t>BA (Hons) in Social Work - Liverpool John Moores University - Social Worker Degree Apprenticeship</t>
  </si>
  <si>
    <t>305232</t>
  </si>
  <si>
    <t>H00305232</t>
  </si>
  <si>
    <t>BA (Hons) in Professional Creative Practice - Solihull College</t>
  </si>
  <si>
    <t>305233</t>
  </si>
  <si>
    <t>H00305233</t>
  </si>
  <si>
    <t>Postgraduate Diploma in District Nursing - University of Cumbria - District Nurse Apprenticeship Standard</t>
  </si>
  <si>
    <t>305234</t>
  </si>
  <si>
    <t>H00305234</t>
  </si>
  <si>
    <t>BSc (Hons) in Project Management - Aston University - Project Manager Apprenticeship</t>
  </si>
  <si>
    <t>305235</t>
  </si>
  <si>
    <t>H00305235</t>
  </si>
  <si>
    <t>BSc (Hons) in Digital Marketing - Aston University -  Digital Marketer Apprenticeship</t>
  </si>
  <si>
    <t>305236</t>
  </si>
  <si>
    <t>H00305236</t>
  </si>
  <si>
    <t>BSc (Hons) in Business to Business Sales Professional - Aston University -Business to Business Sales Professional Apprenticeship</t>
  </si>
  <si>
    <t>305237</t>
  </si>
  <si>
    <t>H00305237</t>
  </si>
  <si>
    <t>BEng (Hons) in Professional Engineering (Manufacturing Engineer) - Aston University - Manufacturing Engineer Degree Apprenticeship</t>
  </si>
  <si>
    <t>305238</t>
  </si>
  <si>
    <t>H00305238</t>
  </si>
  <si>
    <t>BA (Hons) in Photography and Social Practice (FT) - LTE Group</t>
  </si>
  <si>
    <t>305239</t>
  </si>
  <si>
    <t>H00305239</t>
  </si>
  <si>
    <t>FdA in Performing Arts - Bradford College</t>
  </si>
  <si>
    <t>305240</t>
  </si>
  <si>
    <t>H00305240</t>
  </si>
  <si>
    <t>FdA in Textiles Practice - Bradford College</t>
  </si>
  <si>
    <t>305241</t>
  </si>
  <si>
    <t>H00305241</t>
  </si>
  <si>
    <t>FdA in Supporting and Managing Learning in Early Years - Bradford College</t>
  </si>
  <si>
    <t>305242</t>
  </si>
  <si>
    <t>H00305242</t>
  </si>
  <si>
    <t>Postgraduate Diploma in Leadership Practice - The Open University</t>
  </si>
  <si>
    <t>305243</t>
  </si>
  <si>
    <t>H00305243</t>
  </si>
  <si>
    <t>FdSc in Nursing Associate - University Centre Weston - Nursing Associate (NMC 2018)</t>
  </si>
  <si>
    <t>305244</t>
  </si>
  <si>
    <t>H00305244</t>
  </si>
  <si>
    <t>BA (Hons) in Business and Entrepreneurship (Top-up) - North East Surrey College of Technology</t>
  </si>
  <si>
    <t>305245</t>
  </si>
  <si>
    <t>H00305245</t>
  </si>
  <si>
    <t>BSc (Hons) in Nursing (Child) - University of Brighton - Registered Nurse (NMC 2018) Degree Apprenticeship</t>
  </si>
  <si>
    <t>305246</t>
  </si>
  <si>
    <t>H00305246</t>
  </si>
  <si>
    <t>BSc (Hons) in Nursing (Mental Health)  - University of Brighton - Registered Nurse (NMC 2018) Degree Apprenticeship</t>
  </si>
  <si>
    <t>305247</t>
  </si>
  <si>
    <t>H00305247</t>
  </si>
  <si>
    <t>BSc (Hons) in Nursing (Adult)  - University of Brighton - Registered Nurse (NMC 2018) Degree Apprenticeship</t>
  </si>
  <si>
    <t>305248</t>
  </si>
  <si>
    <t>H00305248</t>
  </si>
  <si>
    <t>MSc in Advanced Clinical Practice (Musculoskeletal Physiotherapy) - University of Birmingham - Advanced Clinical Practitioner Degree Apprenticeship standard</t>
  </si>
  <si>
    <t>305249</t>
  </si>
  <si>
    <t>H00305249</t>
  </si>
  <si>
    <t>BA (Hons) in Professional Practice in Business Management - The University of Hull</t>
  </si>
  <si>
    <t>305250</t>
  </si>
  <si>
    <t>H00305250</t>
  </si>
  <si>
    <t>BA (Hons) in Business (Top-Up) - Chichester College Group</t>
  </si>
  <si>
    <t>305251</t>
  </si>
  <si>
    <t>H00305251</t>
  </si>
  <si>
    <t>BA (Hons) in Early Childhood Studies (Top-Up) - Chichester College Group</t>
  </si>
  <si>
    <t>305252</t>
  </si>
  <si>
    <t>H00305252</t>
  </si>
  <si>
    <t>FdA in Teaching Dance in the Private Sector - Chichester College Group</t>
  </si>
  <si>
    <t>305253</t>
  </si>
  <si>
    <t>H00305253</t>
  </si>
  <si>
    <t>FdA in Early Years - Chichester College Group</t>
  </si>
  <si>
    <t>305254</t>
  </si>
  <si>
    <t>H00305254</t>
  </si>
  <si>
    <t>Bachelor of Nursing (Single Honours) Children's - University of Chester - Registered Nurse (NMC 2018) Degree Apprenticeship</t>
  </si>
  <si>
    <t>305255</t>
  </si>
  <si>
    <t>H00305255</t>
  </si>
  <si>
    <t>Bachelor of Nursing (Single Honours) Children's - University of Chester</t>
  </si>
  <si>
    <t>305256</t>
  </si>
  <si>
    <t>H00305256</t>
  </si>
  <si>
    <t>Bachelor of Nursing (Single Honours) Learning Disability - University of Chester - Registered Nurse (NMC 2018) Degree Apprenticeship</t>
  </si>
  <si>
    <t>305257</t>
  </si>
  <si>
    <t>H00305257</t>
  </si>
  <si>
    <t>Bachelor of Nursing (Single Honours) Learning Disability - University of Chester</t>
  </si>
  <si>
    <t>305258</t>
  </si>
  <si>
    <t>H00305258</t>
  </si>
  <si>
    <t>Bachelor of Nursing (Single Honours) Mental Health - University of Chester - Registered Nurse (NMC 2018) Degree Apprenticeship</t>
  </si>
  <si>
    <t>305259</t>
  </si>
  <si>
    <t>H00305259</t>
  </si>
  <si>
    <t>Bachelor of Nursing (Single Honours) Mental Health - University of Chester</t>
  </si>
  <si>
    <t>305260</t>
  </si>
  <si>
    <t>H00305260</t>
  </si>
  <si>
    <t>BSc (Hons) in Healthcare Management - Teesside University - Chartered Management Degree Apprenticeship</t>
  </si>
  <si>
    <t>305261</t>
  </si>
  <si>
    <t>H00305261</t>
  </si>
  <si>
    <t>FdSc in 3D Computer Generated Imagery - The Bournemouth and Poole College</t>
  </si>
  <si>
    <t>305262</t>
  </si>
  <si>
    <t>H00305262</t>
  </si>
  <si>
    <t>BSc (Hons) in (Top Up) 3D Computer Generated Imagery - The Bournemouth and Poole College</t>
  </si>
  <si>
    <t>305263</t>
  </si>
  <si>
    <t>H00305263</t>
  </si>
  <si>
    <t>BSc (Hons) in Construction Quantity Surveyor - Leeds Beckett University - Construction Quantity Surveyor Degree Apprenticeship</t>
  </si>
  <si>
    <t>305265</t>
  </si>
  <si>
    <t>H00305265</t>
  </si>
  <si>
    <t>BA (Hons) in Professional Policing Practice - York St John University - Police Constable Integrated Degree Apprenticeship (PCDA)</t>
  </si>
  <si>
    <t>305266</t>
  </si>
  <si>
    <t>H00305266</t>
  </si>
  <si>
    <t>Mres in Research Scientist - Aston university - Research Scientist Degree Apprenticeship programme</t>
  </si>
  <si>
    <t>305267</t>
  </si>
  <si>
    <t>H00305267</t>
  </si>
  <si>
    <t>BSc (Hons) in Occupational Therapy - University of Wolverhampton - Occupational Therapist Degree Apprenticeship</t>
  </si>
  <si>
    <t>305268</t>
  </si>
  <si>
    <t>H00305268</t>
  </si>
  <si>
    <t>FdSc in Digital and Technology Solutions (online variant) -  TEC Partnership</t>
  </si>
  <si>
    <t>305269</t>
  </si>
  <si>
    <t>H00305269</t>
  </si>
  <si>
    <t>FdSc in 3D Visualisation - Grimsby Institute of Further &amp; Higher Education</t>
  </si>
  <si>
    <t>305270</t>
  </si>
  <si>
    <t>H00305270</t>
  </si>
  <si>
    <t>BA(Hons) in Education - Burton and South Derbyshire College</t>
  </si>
  <si>
    <t>305271</t>
  </si>
  <si>
    <t>H00305271</t>
  </si>
  <si>
    <t>BA(Hons) in Sports Coaching and sport development - Burton and South Derbyshire College</t>
  </si>
  <si>
    <t>305272</t>
  </si>
  <si>
    <t>H00305272</t>
  </si>
  <si>
    <t>FdA in Contemporary Creative Practice - Burton and South Derbyshire College</t>
  </si>
  <si>
    <t>305273</t>
  </si>
  <si>
    <t>H00305273</t>
  </si>
  <si>
    <t>FdA in Education - Burton and South Derbyshire College</t>
  </si>
  <si>
    <t>305274</t>
  </si>
  <si>
    <t>H00305274</t>
  </si>
  <si>
    <t>Fdsc in Sports Coaching and Physical Education - Burton and South Derbyshire College</t>
  </si>
  <si>
    <t>305275</t>
  </si>
  <si>
    <t>H00305275</t>
  </si>
  <si>
    <t>BSc (Hons) in Veterinary Physiotherapy - Plumpton College</t>
  </si>
  <si>
    <t>305276</t>
  </si>
  <si>
    <t>H00305276</t>
  </si>
  <si>
    <t>Cert HE in Children, Young People and Families - Blackburn College</t>
  </si>
  <si>
    <t>305277</t>
  </si>
  <si>
    <t>H00305277</t>
  </si>
  <si>
    <t>PG Dip in Community Specialist Practitioner - District Nursing - Leeds Beckett University - District Nursing (Higher Apprenticeship)</t>
  </si>
  <si>
    <t>305278</t>
  </si>
  <si>
    <t>H00305278</t>
  </si>
  <si>
    <t>Professional Graduate Certificate in Psychological Wellbeing Practitioner - University of Essex - Psychological Wellbeing Practitioner Apprenticeship Standard</t>
  </si>
  <si>
    <t>305279</t>
  </si>
  <si>
    <t>H00305279</t>
  </si>
  <si>
    <t>MSc in Advanced Clinical Practitioner (Sexual Health) - University of Northumbria at Newcastle -Advanced Clinical Practitioner Degree Apprenticeship</t>
  </si>
  <si>
    <t>305280</t>
  </si>
  <si>
    <t>H00305280</t>
  </si>
  <si>
    <t>MSc in Advanced Clinical Practitioner (Advanced Critical Care Practitioner) - University of Northumbria at Newcastle - Advanced Clinical Practitioner Degree Apprenticeship</t>
  </si>
  <si>
    <t>305281</t>
  </si>
  <si>
    <t>H00305281</t>
  </si>
  <si>
    <t>BSc (Hons) in Facilities and Built Asset Management - University of Bolton - Senior and Head of Facilities Management (integrated degree)</t>
  </si>
  <si>
    <t>305282</t>
  </si>
  <si>
    <t>H00305282</t>
  </si>
  <si>
    <t>BSc (Hons) in Digital Construction and Surveying - University of Bolton - Geospatial Mapping and Science</t>
  </si>
  <si>
    <t>305283</t>
  </si>
  <si>
    <t>H00305283</t>
  </si>
  <si>
    <t>BSc (Hons) in Construction Project Management - University of Bolton - Project Manager (degree) apprenticeship standard</t>
  </si>
  <si>
    <t>305284</t>
  </si>
  <si>
    <t>H00305284</t>
  </si>
  <si>
    <t>BSc (Hons) in Environmental Science &amp; Management - University of Bolton - Environmental Practitioner (Degree) apprenticeship standard</t>
  </si>
  <si>
    <t>305285</t>
  </si>
  <si>
    <t>H00305285</t>
  </si>
  <si>
    <t>MSc in Mechanical Engineering - University of Bolton - Engineer apprenticeship standard</t>
  </si>
  <si>
    <t>305286</t>
  </si>
  <si>
    <t>H00305286</t>
  </si>
  <si>
    <t>PgDip in District Nursing with Integrated Nurse Prescribing DA - University of Bolton - District Nurse apprenticeship standard</t>
  </si>
  <si>
    <t>305287</t>
  </si>
  <si>
    <t>H00305287</t>
  </si>
  <si>
    <t>BSc (Hons) in Nursing (Mental Health) - University of Bolton - Registered Nurse Degree (NMC 2018) apprenticeship standard</t>
  </si>
  <si>
    <t>305288</t>
  </si>
  <si>
    <t>H00305288</t>
  </si>
  <si>
    <t>Postgraduate Diploma in District Nursing with Integrated Independent Prescribing - University of Central Lancashire - District Nurse Degree Apprenticeship</t>
  </si>
  <si>
    <t>305289</t>
  </si>
  <si>
    <t>H00305289</t>
  </si>
  <si>
    <t>PGD in Engineering Competence (Sustainable Automotive Electrification) - University of Warwick - Postgraduate Engineer (DA) Standard</t>
  </si>
  <si>
    <t>305290</t>
  </si>
  <si>
    <t>H00305290</t>
  </si>
  <si>
    <t>PGD in Engineering Competence (Smart, Connected and Autonomous Vehicles) - University of Warwick - Postgraduate Engineer (DA) Standard</t>
  </si>
  <si>
    <t>305291</t>
  </si>
  <si>
    <t>H00305291</t>
  </si>
  <si>
    <t>Cert HE in Professional Practice in Working with Children, Young People and Families within the Community - Leeds Trinity University - Children, Young People and Families Practitioner Apprenticeship</t>
  </si>
  <si>
    <t>305292</t>
  </si>
  <si>
    <t>H00305292</t>
  </si>
  <si>
    <t>PGCert in Higher and Professional Education - Staffordshire University - Academic Professional Apprenticeship Standard</t>
  </si>
  <si>
    <t>305293</t>
  </si>
  <si>
    <t>H00305293</t>
  </si>
  <si>
    <t>BSc (Hons) in Healthcare Science - Staffordshire University - Healthcare Science Practitioner (integrated degree) Apprenticeship Standard</t>
  </si>
  <si>
    <t>305294</t>
  </si>
  <si>
    <t>H00305294</t>
  </si>
  <si>
    <t>Advanced Diploma Marine Electro-Technology</t>
  </si>
  <si>
    <t>305295</t>
  </si>
  <si>
    <t>H00305295</t>
  </si>
  <si>
    <t>PGDip in Faith Leadership - University of Birmingham - Senior Leader Apprenticeship Standard</t>
  </si>
  <si>
    <t>305296</t>
  </si>
  <si>
    <t>H00305296</t>
  </si>
  <si>
    <t>BSc (Hons) in Diagnostic Radiography - Sheffield Hallam University</t>
  </si>
  <si>
    <t>305297</t>
  </si>
  <si>
    <t>H00305297</t>
  </si>
  <si>
    <t>BSc (Hons) in Strength and Conditioning - Burnley College</t>
  </si>
  <si>
    <t>305298</t>
  </si>
  <si>
    <t>H00305298</t>
  </si>
  <si>
    <t>BSc (Hons) in Strength and Conditioning with Foundation Year - Burnley College</t>
  </si>
  <si>
    <t>305299</t>
  </si>
  <si>
    <t>H00305299</t>
  </si>
  <si>
    <t>305300</t>
  </si>
  <si>
    <t>H00305300</t>
  </si>
  <si>
    <t>Postgraduate Certificate in Research and Innovation Leadership - University of Cambridge - Academic Professional Standard</t>
  </si>
  <si>
    <t>305301</t>
  </si>
  <si>
    <t>H00305301</t>
  </si>
  <si>
    <t>BSc (Hons) in Project Management - University of Bedfordshire - Project Manager Degree Apprenticeship</t>
  </si>
  <si>
    <t>305302</t>
  </si>
  <si>
    <t>H00305302</t>
  </si>
  <si>
    <t>BA (Hons) in Criminology and Social Justice - Selby College</t>
  </si>
  <si>
    <t>305303</t>
  </si>
  <si>
    <t>H00305303</t>
  </si>
  <si>
    <t>BSc (Hons) in Data Science - University of Exeter - Data Scientist Degree Apprenticeship</t>
  </si>
  <si>
    <t>305304</t>
  </si>
  <si>
    <t>H00305304</t>
  </si>
  <si>
    <t>BEng (Hons) in Rail and Rail Systems Engineering (Telecom, Networks and Digital) - London South Bank University - Rail and Rail Systems Senior Engineer Degree Apprenticeship</t>
  </si>
  <si>
    <t>305305</t>
  </si>
  <si>
    <t>H00305305</t>
  </si>
  <si>
    <t>CertEd in Post 16 and Further Education - Sheffield College - Learning and Skills Teacher Apprenticeship Standard</t>
  </si>
  <si>
    <t>305306</t>
  </si>
  <si>
    <t>H00305306</t>
  </si>
  <si>
    <t>BA (Hons) Commercial Illustration</t>
  </si>
  <si>
    <t>305307</t>
  </si>
  <si>
    <t>H00305307</t>
  </si>
  <si>
    <t>FdA in Music Performance - Leicester College</t>
  </si>
  <si>
    <t>305308</t>
  </si>
  <si>
    <t>H00305308</t>
  </si>
  <si>
    <t>BEng (Hons) in Manufacturing Engineering - Mid-Kent College - Manufacturing Engineer Degree Apprenticeship</t>
  </si>
  <si>
    <t>305309</t>
  </si>
  <si>
    <t>H00305309</t>
  </si>
  <si>
    <t>Master of Business Administration - Teesside University - Senior Leader Apprenticeship Standard</t>
  </si>
  <si>
    <t>305310</t>
  </si>
  <si>
    <t>H00305310</t>
  </si>
  <si>
    <t>FdA in Early Childhood Studies - New College Durham</t>
  </si>
  <si>
    <t>305311</t>
  </si>
  <si>
    <t>H00305311</t>
  </si>
  <si>
    <t>University Professional Certificate in Psychological Wellbeing Practice - Staffordshire University - Psychological Wellbeing Practitioner Apprenticeship Standard</t>
  </si>
  <si>
    <t>305312</t>
  </si>
  <si>
    <t>H00305312</t>
  </si>
  <si>
    <t>BA (Hons) in Public Health and Social Care - Croydon College</t>
  </si>
  <si>
    <t>305313</t>
  </si>
  <si>
    <t>H00305313</t>
  </si>
  <si>
    <t>BA (Hons) in Early Childhood Studies - Croydon College</t>
  </si>
  <si>
    <t>305314</t>
  </si>
  <si>
    <t>H00305314</t>
  </si>
  <si>
    <t>BA (Hons) in Criminology, Psychology and Social Justice - Croydon College</t>
  </si>
  <si>
    <t>305315</t>
  </si>
  <si>
    <t>H00305315</t>
  </si>
  <si>
    <t>BA (Hons) in Business and Management - Croydon College</t>
  </si>
  <si>
    <t>305316</t>
  </si>
  <si>
    <t>H00305316</t>
  </si>
  <si>
    <t>BSc (Hons) in Nursing with Registered Nurse (RN) (Learning Disabilities) - University of Central Lancashire - Registered Nurse (NMC 2018) Degree Apprenticeship</t>
  </si>
  <si>
    <t>305317</t>
  </si>
  <si>
    <t>H00305317</t>
  </si>
  <si>
    <t>BSc (Hons) In Occupational Therapy - Teesside University - Occupational Therapist Degree Apprenticeship</t>
  </si>
  <si>
    <t>305318</t>
  </si>
  <si>
    <t>H00305318</t>
  </si>
  <si>
    <t>BSc (Hons) In Physiotherapy - Teesside University - Physiotherapist Degree Apprenticeship</t>
  </si>
  <si>
    <t>305319</t>
  </si>
  <si>
    <t>H00305319</t>
  </si>
  <si>
    <t>PG Dip in Specialist Community Public Health Nursing (Health Visiting/School Nursing) - Teesside University - Specialist Community Public Health Nurse Apprenticeship Standard</t>
  </si>
  <si>
    <t>305320</t>
  </si>
  <si>
    <t>H00305320</t>
  </si>
  <si>
    <t>PG Dip in Specialist Practice in District Nursing - Teesside University - District Nurse Apprenticeship Standard</t>
  </si>
  <si>
    <t>305321</t>
  </si>
  <si>
    <t>H00305321</t>
  </si>
  <si>
    <t>Certificate in Advanced Veterinary Nursing (Dentistry) - Myerscough College</t>
  </si>
  <si>
    <t>305322</t>
  </si>
  <si>
    <t>H00305322</t>
  </si>
  <si>
    <t>Certificate in Advanced Veterinary Nursing (Teaching, Coaching and Mentoring) - Myerscough College</t>
  </si>
  <si>
    <t>305323</t>
  </si>
  <si>
    <t>H00305323</t>
  </si>
  <si>
    <t>BA (Hons) in Performing Arts (Top Up) - South Essex College of Further and Higher Education</t>
  </si>
  <si>
    <t>305324</t>
  </si>
  <si>
    <t>H00305324</t>
  </si>
  <si>
    <t>FdA in Hair and Make Up Design and Application for Production - South Essex College of Further and Higher Education</t>
  </si>
  <si>
    <t>305326</t>
  </si>
  <si>
    <t>H00305326</t>
  </si>
  <si>
    <t>Foundation Degree in Equine Management, Training and Coaching - City of Sunderland College</t>
  </si>
  <si>
    <t>305327</t>
  </si>
  <si>
    <t>H00305327</t>
  </si>
  <si>
    <t>Foundation Degree in Animal Welfare and Management - City of Sunderland College</t>
  </si>
  <si>
    <t>305328</t>
  </si>
  <si>
    <t>H00305328</t>
  </si>
  <si>
    <t>Foundation Degree in Wildlife Conservation - City of Sunderland College</t>
  </si>
  <si>
    <t>305329</t>
  </si>
  <si>
    <t>H00305329</t>
  </si>
  <si>
    <t>FdSc in Media Production - University of Central Lancashire</t>
  </si>
  <si>
    <t>305330</t>
  </si>
  <si>
    <t>H00305330</t>
  </si>
  <si>
    <t>BSc (Hons) in Digital Technologies - Bedford College</t>
  </si>
  <si>
    <t>305331</t>
  </si>
  <si>
    <t>H00305331</t>
  </si>
  <si>
    <t>MSc in Strategic Leadership - University of Hertfordshire</t>
  </si>
  <si>
    <t>305332</t>
  </si>
  <si>
    <t>H00305332</t>
  </si>
  <si>
    <t>BA (Hons) in Business Entrepreneurship - South Essex College of Further and Higher Education</t>
  </si>
  <si>
    <t>305333</t>
  </si>
  <si>
    <t>H00305333</t>
  </si>
  <si>
    <t>BSc (Hons) in Sustainability and Global Citizenship - South Essex College of Further and Higher Education</t>
  </si>
  <si>
    <t>305334</t>
  </si>
  <si>
    <t>H00305334</t>
  </si>
  <si>
    <t>FD in Business Management - Middlesbrough College</t>
  </si>
  <si>
    <t>305335</t>
  </si>
  <si>
    <t>H00305335</t>
  </si>
  <si>
    <t>BA (Hons) in Business Management (Top up) - Middlesbrough College</t>
  </si>
  <si>
    <t>305336</t>
  </si>
  <si>
    <t>H00305336</t>
  </si>
  <si>
    <t>BSc (Hons) in Product Design and Development Engineer - London South Bank University</t>
  </si>
  <si>
    <t>305337</t>
  </si>
  <si>
    <t>H00305337</t>
  </si>
  <si>
    <t>Foundation Degree in Creative Arts - Boston College</t>
  </si>
  <si>
    <t>305338</t>
  </si>
  <si>
    <t>H00305338</t>
  </si>
  <si>
    <t>BA (Hons) in Creative Arts (Top Up) - Boston College</t>
  </si>
  <si>
    <t>305339</t>
  </si>
  <si>
    <t>H00305339</t>
  </si>
  <si>
    <t>BSc (Hons) in Sport, Health and Exercise Science - City College Norwich</t>
  </si>
  <si>
    <t>305340</t>
  </si>
  <si>
    <t>H00305340</t>
  </si>
  <si>
    <t>FdA in Tourism and Event Management - New College Durham</t>
  </si>
  <si>
    <t>305341</t>
  </si>
  <si>
    <t>H00305341</t>
  </si>
  <si>
    <t>BSc (Hons) in Business and Management - Cranfield University</t>
  </si>
  <si>
    <t>305342</t>
  </si>
  <si>
    <t>H00305342</t>
  </si>
  <si>
    <t>Postgraduate Diploma in Strategic Leadership - Staffordshire University - Senior Leader Apprenticeship Standard</t>
  </si>
  <si>
    <t>305343</t>
  </si>
  <si>
    <t>H00305343</t>
  </si>
  <si>
    <t>Postgraduate Diploma in Strategic Healthcare Leadership - Staffordshire University - Senior Leader Apprenticeship Standard</t>
  </si>
  <si>
    <t>305344</t>
  </si>
  <si>
    <t>H00305344</t>
  </si>
  <si>
    <t>BA (Hons) in Professional Management- Staffordshire University - Chartered Manager Degree Apprenticeship Standard</t>
  </si>
  <si>
    <t>305345</t>
  </si>
  <si>
    <t>H00305345</t>
  </si>
  <si>
    <t>MSc in Explosives Ordnance Engineering - Cranfield University</t>
  </si>
  <si>
    <t>305346</t>
  </si>
  <si>
    <t>H00305346</t>
  </si>
  <si>
    <t>BEng (Hons) in Mechanical Engineering - Staffordshire University - Manufacturing Engineer (Degree) Apprenticeship Standard</t>
  </si>
  <si>
    <t>305347</t>
  </si>
  <si>
    <t>H00305347</t>
  </si>
  <si>
    <t>BEng (Hons) in Electrical and Electronic Engineering - Staffordshire University - Embedded Electronic Systems Design and Development (Degree) Apprenticeship Standard</t>
  </si>
  <si>
    <t>305348</t>
  </si>
  <si>
    <t>H00305348</t>
  </si>
  <si>
    <t>Postgraduate Diploma in Professional Practice in Higher Education - University of Wolverhampton - Academic Professional Apprenticeship Standard</t>
  </si>
  <si>
    <t>305349</t>
  </si>
  <si>
    <t>H00305349</t>
  </si>
  <si>
    <t>Post Graduate Diploma in District Nursing  - University of Wolverhampton - Specialist Community Public Health Nurse Apprenticeship</t>
  </si>
  <si>
    <t>305350</t>
  </si>
  <si>
    <t>H00305350</t>
  </si>
  <si>
    <t>Post Graduate Diploma in School Nurse - University of Wolverhampton - Specialist Community Public Health Nurse Apprenticeship</t>
  </si>
  <si>
    <t>305351</t>
  </si>
  <si>
    <t>H00305351</t>
  </si>
  <si>
    <t>Post Graduate Diploma in Health Visitor - University of Wolverhampton - Specialist Community Public Health Nurse Apprenticeship</t>
  </si>
  <si>
    <t>305352</t>
  </si>
  <si>
    <t>H00305352</t>
  </si>
  <si>
    <t>BSc (Hons) in Sport Coaching Top Up - Chesterfield College</t>
  </si>
  <si>
    <t>305353</t>
  </si>
  <si>
    <t>H00305353</t>
  </si>
  <si>
    <t>BA (Hons) in Contemporary Music, Performance and Production - Loughborough College</t>
  </si>
  <si>
    <t>305354</t>
  </si>
  <si>
    <t>H00305354</t>
  </si>
  <si>
    <t>BEng (Hons) in Sustainable Engineering - Loughborough College</t>
  </si>
  <si>
    <t>305355</t>
  </si>
  <si>
    <t>H00305355</t>
  </si>
  <si>
    <t>PGDIP in District Nurse - The Manchester Metropolitan University - Specialist Community Public Health Nurse</t>
  </si>
  <si>
    <t>305356</t>
  </si>
  <si>
    <t>H00305356</t>
  </si>
  <si>
    <t>PGDIP in Specialist Community Public Health Nurse -The Manchester Metropolitan University - Specialist Community Public Health Nurse Standard</t>
  </si>
  <si>
    <t>305357</t>
  </si>
  <si>
    <t>H00305357</t>
  </si>
  <si>
    <t>MSc in Advanced Clinical Practice - University of Exeter - Advanced Clinical Practitioner Degree Apprenticeship</t>
  </si>
  <si>
    <t>305358</t>
  </si>
  <si>
    <t>H00305358</t>
  </si>
  <si>
    <t>MSc in Diagnostic Radiography - University of Exeter - Diagnostic Radiographer Degree Apprenticeship</t>
  </si>
  <si>
    <t>305359</t>
  </si>
  <si>
    <t>H00305359</t>
  </si>
  <si>
    <t>BSc (Hons) in Psychology of Human Behaviour - Strode College</t>
  </si>
  <si>
    <t>305360</t>
  </si>
  <si>
    <t>H00305360</t>
  </si>
  <si>
    <t>BSc (Hons) Maritime Operations Management (Electro-Technical)</t>
  </si>
  <si>
    <t>305361</t>
  </si>
  <si>
    <t>H00305361</t>
  </si>
  <si>
    <t>BSc (Hons) Maritime Operations Management (Marine Engineering)</t>
  </si>
  <si>
    <t>305362</t>
  </si>
  <si>
    <t>H00305362</t>
  </si>
  <si>
    <t>BSc (Hons) Maritime Operations Management (Nautical Science)</t>
  </si>
  <si>
    <t>305363</t>
  </si>
  <si>
    <t>H00305363</t>
  </si>
  <si>
    <t>FdSc Project Controls Professional</t>
  </si>
  <si>
    <t>305364</t>
  </si>
  <si>
    <t>H00305364</t>
  </si>
  <si>
    <t>BSc (Hons) Project Controls Professional (Top Up)</t>
  </si>
  <si>
    <t>305365</t>
  </si>
  <si>
    <t>H00305365</t>
  </si>
  <si>
    <t>305366</t>
  </si>
  <si>
    <t>H00305366</t>
  </si>
  <si>
    <t>FdSc in Games Development - Petroc</t>
  </si>
  <si>
    <t>305367</t>
  </si>
  <si>
    <t>H00305367</t>
  </si>
  <si>
    <t>FdSc in Embedded Systems Design - Petroc</t>
  </si>
  <si>
    <t>305368</t>
  </si>
  <si>
    <t>H00305368</t>
  </si>
  <si>
    <t>HNC in Electronics - Petroc</t>
  </si>
  <si>
    <t>305369</t>
  </si>
  <si>
    <t>H00305369</t>
  </si>
  <si>
    <t>BA (Hons) in Animation and Game Arts - Blackburn College</t>
  </si>
  <si>
    <t>305370</t>
  </si>
  <si>
    <t>H00305370</t>
  </si>
  <si>
    <t>BA (Hons) in Graphic Design - Blackburn College</t>
  </si>
  <si>
    <t>305371</t>
  </si>
  <si>
    <t>H00305371</t>
  </si>
  <si>
    <t>FdA in Social Care and Wellbeing - Blackburn College</t>
  </si>
  <si>
    <t>305372</t>
  </si>
  <si>
    <t>H00305372</t>
  </si>
  <si>
    <t>BA (Hons) in Social Care and Wellbeing Top-up - Blackburn College</t>
  </si>
  <si>
    <t>305373</t>
  </si>
  <si>
    <t>H00305373</t>
  </si>
  <si>
    <t>BSc (Hons) in Software Development - Blackburn College</t>
  </si>
  <si>
    <t>305374</t>
  </si>
  <si>
    <t>H00305374</t>
  </si>
  <si>
    <t>BSc (Hons) in Networking and Cyber Security - Blackburn College</t>
  </si>
  <si>
    <t>305375</t>
  </si>
  <si>
    <t>H00305375</t>
  </si>
  <si>
    <t>BA (Hons) in Fine Art - Blackburn College</t>
  </si>
  <si>
    <t>305376</t>
  </si>
  <si>
    <t>H00305376</t>
  </si>
  <si>
    <t>FdA in Education and Childhood - South Devon College</t>
  </si>
  <si>
    <t>305377</t>
  </si>
  <si>
    <t>H00305377</t>
  </si>
  <si>
    <t>FdSc in Health Studies - South Devon College</t>
  </si>
  <si>
    <t>305378</t>
  </si>
  <si>
    <t>H00305378</t>
  </si>
  <si>
    <t>Foundation Degree in Outdoor Leadership - South Devon College</t>
  </si>
  <si>
    <t>305379</t>
  </si>
  <si>
    <t>H00305379</t>
  </si>
  <si>
    <t>FdSc in Nursing Associate - South Devon College</t>
  </si>
  <si>
    <t>305380</t>
  </si>
  <si>
    <t>H00305380</t>
  </si>
  <si>
    <t>BA (Hons) in Professional Practice in Management - Middlesex University - Chartered Manager Apprenticeship Standard</t>
  </si>
  <si>
    <t>305381</t>
  </si>
  <si>
    <t>H00305381</t>
  </si>
  <si>
    <t>Diploma in Coaching Professional - Middlesex University - Coaching Professional Apprenticeship Standard</t>
  </si>
  <si>
    <t>305382</t>
  </si>
  <si>
    <t>H00305382</t>
  </si>
  <si>
    <t>BSc (Hons) in Digital Technologies (Networking and CyberSecurity) - Bedford College</t>
  </si>
  <si>
    <t>305383</t>
  </si>
  <si>
    <t>H00305383</t>
  </si>
  <si>
    <t>BSc (Hons) in Digital Technologies (Software Development) - Bedford College</t>
  </si>
  <si>
    <t>305384</t>
  </si>
  <si>
    <t>H00305384</t>
  </si>
  <si>
    <t>FdSc in Mental Health and Well Being - South Essex College of Further and Higher Education</t>
  </si>
  <si>
    <t>305386</t>
  </si>
  <si>
    <t>H00305386</t>
  </si>
  <si>
    <t>BSc in Building Control Surveying - University of Westminster - Building Control Surveyor Degree Apprenticeship</t>
  </si>
  <si>
    <t>305387</t>
  </si>
  <si>
    <t>H00305387</t>
  </si>
  <si>
    <t>BSc in Project Management - University of Westminster - Project Manager Degree Apprenticeship</t>
  </si>
  <si>
    <t>305388</t>
  </si>
  <si>
    <t>H00305388</t>
  </si>
  <si>
    <t>CertHE in Project Management - University of Westminster - Associate Project Manager Apprenticeship Standard</t>
  </si>
  <si>
    <t>305389</t>
  </si>
  <si>
    <t>H00305389</t>
  </si>
  <si>
    <t>MA in Urban and Regional Planning (RTPI Professional Apprenticeship) - University of Westminster - Chartered Town Planner Apprenticeship Standard</t>
  </si>
  <si>
    <t>305390</t>
  </si>
  <si>
    <t>H00305390</t>
  </si>
  <si>
    <t>CertHE in Quantity Surveying and Commercial Management - University of Westminster - Construction Quantity Surveying Technician Apprenticeship Standard</t>
  </si>
  <si>
    <t>305391</t>
  </si>
  <si>
    <t>H00305391</t>
  </si>
  <si>
    <t>CertHE in Construction Management -University of Westminster - Construction Site Supervisor Apprenticeship Standard</t>
  </si>
  <si>
    <t>305392</t>
  </si>
  <si>
    <t>H00305392</t>
  </si>
  <si>
    <t>MSc in Advanced Clinical Practice - University of Chester - Advanced Clinical Practitioner Degree Apprenticeship</t>
  </si>
  <si>
    <t>305393</t>
  </si>
  <si>
    <t>H00305393</t>
  </si>
  <si>
    <t>FdA in Digital Media Content - Warwickshire College</t>
  </si>
  <si>
    <t>305394</t>
  </si>
  <si>
    <t>H00305394</t>
  </si>
  <si>
    <t>Postgraduate Diploma in Business Administration (Executive) - University of Central Lancashire - Senior Leader Apprenticeship Standard</t>
  </si>
  <si>
    <t>305395</t>
  </si>
  <si>
    <t>H00305395</t>
  </si>
  <si>
    <t>BA (Hons) in Arts Practice - West Suffolk College</t>
  </si>
  <si>
    <t>305396</t>
  </si>
  <si>
    <t>H00305396</t>
  </si>
  <si>
    <t>BA (Hons) in Counselling (Integrative) - West Suffolk College</t>
  </si>
  <si>
    <t>305397</t>
  </si>
  <si>
    <t>H00305397</t>
  </si>
  <si>
    <t>BA (Hons) in Graphic Communication - West Suffolk College</t>
  </si>
  <si>
    <t>305398</t>
  </si>
  <si>
    <t>H00305398</t>
  </si>
  <si>
    <t>BA (Hons) in Early Childhood Studies - West Suffolk College</t>
  </si>
  <si>
    <t>305399</t>
  </si>
  <si>
    <t>H00305399</t>
  </si>
  <si>
    <t>BA (Hons) in English and History - West Suffolk College</t>
  </si>
  <si>
    <t>305400</t>
  </si>
  <si>
    <t>H00305400</t>
  </si>
  <si>
    <t>BA (Hons) in Video Games Design - West Suffolk College</t>
  </si>
  <si>
    <t>305401</t>
  </si>
  <si>
    <t>H00305401</t>
  </si>
  <si>
    <t>BSc (Hons) in Psychology - West Suffolk College</t>
  </si>
  <si>
    <t>305402</t>
  </si>
  <si>
    <t>H00305402</t>
  </si>
  <si>
    <t>BSc (Hons) in Psychology and Criminology - West Suffolk College</t>
  </si>
  <si>
    <t>305403</t>
  </si>
  <si>
    <t>H00305403</t>
  </si>
  <si>
    <t>BSc (Hons) in Applied Sociology - West Suffolk College</t>
  </si>
  <si>
    <t>305404</t>
  </si>
  <si>
    <t>H00305404</t>
  </si>
  <si>
    <t>BSc (Hons) in Applied Sociology and Criminology - West Suffolk College</t>
  </si>
  <si>
    <t>305405</t>
  </si>
  <si>
    <t>H00305405</t>
  </si>
  <si>
    <t>BSc (Hons) in Environmental Sciences - University of Brighton - Environmental Practitioner Degree Apprenticeship</t>
  </si>
  <si>
    <t>305406</t>
  </si>
  <si>
    <t>H00305406</t>
  </si>
  <si>
    <t>305407</t>
  </si>
  <si>
    <t>H00305407</t>
  </si>
  <si>
    <t>305408</t>
  </si>
  <si>
    <t>H00305408</t>
  </si>
  <si>
    <t>HNC in Mechanical and Manufacturing Engineering - University of Central Lancashire</t>
  </si>
  <si>
    <t>305409</t>
  </si>
  <si>
    <t>H00305409</t>
  </si>
  <si>
    <t>HND in Mechanical and Manufacturing Engineering - University of Central Lancashire</t>
  </si>
  <si>
    <t>305410</t>
  </si>
  <si>
    <t>H00305410</t>
  </si>
  <si>
    <t>HNC in Mechatronics Engineering - University of Central Lancashire</t>
  </si>
  <si>
    <t>305411</t>
  </si>
  <si>
    <t>H00305411</t>
  </si>
  <si>
    <t>HND in Mechatronics Engineering - University of Central Lancashire</t>
  </si>
  <si>
    <t>305412</t>
  </si>
  <si>
    <t>H00305412</t>
  </si>
  <si>
    <t>HNC in Electrical and Electronic Engineering - University of Central Lancashire</t>
  </si>
  <si>
    <t>305413</t>
  </si>
  <si>
    <t>H00305413</t>
  </si>
  <si>
    <t>HND in Electrical and Electronic Engineering - University of Central Lancashire</t>
  </si>
  <si>
    <t>305414</t>
  </si>
  <si>
    <t>H00305414</t>
  </si>
  <si>
    <t>FdSC in Person Centred Counselling and Psychotherapy -University of Central Lancashire</t>
  </si>
  <si>
    <t>305415</t>
  </si>
  <si>
    <t>H00305415</t>
  </si>
  <si>
    <t>BSc (Hons) in Person Centred Counselling &amp; Psychotherapy (Top-Up) - University of Central Lancashire</t>
  </si>
  <si>
    <t>305416</t>
  </si>
  <si>
    <t>H00305416</t>
  </si>
  <si>
    <t>305417</t>
  </si>
  <si>
    <t>H00305417</t>
  </si>
  <si>
    <t>Certificate in Education (Education and Training) - University of Central Lancashire</t>
  </si>
  <si>
    <t>305418</t>
  </si>
  <si>
    <t>H00305418</t>
  </si>
  <si>
    <t>BA (Hons) in Dance Performance, Teaching and Choreography - University of Central Lancashire</t>
  </si>
  <si>
    <t>305419</t>
  </si>
  <si>
    <t>H00305419</t>
  </si>
  <si>
    <t>BSc (Hons) in Animal Science - City College Norwich</t>
  </si>
  <si>
    <t>305420</t>
  </si>
  <si>
    <t>H00305420</t>
  </si>
  <si>
    <t>BA (Hons) in Professional Practice in Digital Marketing - Leeds Trinity University - Digital Marketer Degree Apprenticeship</t>
  </si>
  <si>
    <t>305421</t>
  </si>
  <si>
    <t>H00305421</t>
  </si>
  <si>
    <t>BA (Hons) in Additional Needs and Disabilities (Children and Young People) - City College Norwich</t>
  </si>
  <si>
    <t>305422</t>
  </si>
  <si>
    <t>H00305422</t>
  </si>
  <si>
    <t>BEng (Hons) in Embedded Electronic Systems - University of Wales Trinity Saint David - : Embedded Electronic Systems Design and Development Engineer (degree) standard</t>
  </si>
  <si>
    <t>305423</t>
  </si>
  <si>
    <t>H00305423</t>
  </si>
  <si>
    <t>BSc (Hons) in Nursing Practice (Adult) - Staffordshire University - Registered Nurse Degree (NMC2018) Apprenticeship</t>
  </si>
  <si>
    <t>305424</t>
  </si>
  <si>
    <t>H00305424</t>
  </si>
  <si>
    <t>BSc (Hons) in Nursing Practice (Child) - Staffordshire University - Registered Nurse Degree (NMC2018) Apprenticeship</t>
  </si>
  <si>
    <t>305425</t>
  </si>
  <si>
    <t>H00305425</t>
  </si>
  <si>
    <t>BSc (Hons) in Nursing Practice (Mental Health) - Staffordshire University - Registered Nurse Degree (NMC2018) Apprenticeship</t>
  </si>
  <si>
    <t>305426</t>
  </si>
  <si>
    <t>H00305426</t>
  </si>
  <si>
    <t>305427</t>
  </si>
  <si>
    <t>H00305427</t>
  </si>
  <si>
    <t>PGDip in Management and Strategic Leadership - University of Sheffield -Senior Leader Apprenticeship</t>
  </si>
  <si>
    <t>305428</t>
  </si>
  <si>
    <t>H00305428</t>
  </si>
  <si>
    <t>FdSc in Animals and Horticulture as Therapy - Myerscough College</t>
  </si>
  <si>
    <t>305429</t>
  </si>
  <si>
    <t>H00305429</t>
  </si>
  <si>
    <t>BSc (Hons) in Animals and Horticulture as Therapy (Top-up) - Myerscough College</t>
  </si>
  <si>
    <t>305430</t>
  </si>
  <si>
    <t>H00305430</t>
  </si>
  <si>
    <t>BSc (Hons) in Data Scientist - Cranfield University - Data Scientist(Integrated Degree Apprenticeship)</t>
  </si>
  <si>
    <t>305431</t>
  </si>
  <si>
    <t>H00305431</t>
  </si>
  <si>
    <t>BSc (Hons) in Cyber Security Technical Professional - Cranfield University - Cyber Security Technical Professional (Degree Apprenticeship)</t>
  </si>
  <si>
    <t>305432</t>
  </si>
  <si>
    <t>H00305432</t>
  </si>
  <si>
    <t>BSc (Hons) Digital and Technology Solutions - Cranfield University - Digital and Technology Solutions (Apprenticeship</t>
  </si>
  <si>
    <t>305433</t>
  </si>
  <si>
    <t>H00305433</t>
  </si>
  <si>
    <t>FdED in Early Childhood Studies -  TEC Partnership</t>
  </si>
  <si>
    <t>305434</t>
  </si>
  <si>
    <t>H00305434</t>
  </si>
  <si>
    <t>FdSc in Cyber Security -  TEC Partnership</t>
  </si>
  <si>
    <t>305435</t>
  </si>
  <si>
    <t>H00305435</t>
  </si>
  <si>
    <t>FdSc in Digital Design -  TEC Partnership</t>
  </si>
  <si>
    <t>305436</t>
  </si>
  <si>
    <t>H00305436</t>
  </si>
  <si>
    <t>BEng (Hons) in Electrical Engineering - Warwickshire College</t>
  </si>
  <si>
    <t>305437</t>
  </si>
  <si>
    <t>H00305437</t>
  </si>
  <si>
    <t>BEng (Hons) in Manufacturing Engineering - Warwickshire College</t>
  </si>
  <si>
    <t>305438</t>
  </si>
  <si>
    <t>H00305438</t>
  </si>
  <si>
    <t>BEng (Hons) in General Engineering - Warwickshire College</t>
  </si>
  <si>
    <t>305439</t>
  </si>
  <si>
    <t>H00305439</t>
  </si>
  <si>
    <t>FdA in Games Art - Warwickshire College</t>
  </si>
  <si>
    <t>305440</t>
  </si>
  <si>
    <t>H00305440</t>
  </si>
  <si>
    <t>305441</t>
  </si>
  <si>
    <t>H00305441</t>
  </si>
  <si>
    <t>FdA in Digital Film Production - Warwickshire College</t>
  </si>
  <si>
    <t>305442</t>
  </si>
  <si>
    <t>H00305442</t>
  </si>
  <si>
    <t>305443</t>
  </si>
  <si>
    <t>H00305443</t>
  </si>
  <si>
    <t>FdA in Business and Management - Warwickshire College</t>
  </si>
  <si>
    <t>305444</t>
  </si>
  <si>
    <t>H00305444</t>
  </si>
  <si>
    <t>BA (Hons) in Business and Management - Warwickshire College</t>
  </si>
  <si>
    <t>305445</t>
  </si>
  <si>
    <t>H00305445</t>
  </si>
  <si>
    <t>FdSc in Counselling and Psychotherapy - Warwickshire College</t>
  </si>
  <si>
    <t>305446</t>
  </si>
  <si>
    <t>H00305446</t>
  </si>
  <si>
    <t>BSc (Hons) in Counselling and Psychotherapy - Warwickshire College</t>
  </si>
  <si>
    <t>305447</t>
  </si>
  <si>
    <t>H00305447</t>
  </si>
  <si>
    <t>FdSc in Computer Networks and Cyber Security - Warwickshire College</t>
  </si>
  <si>
    <t>305448</t>
  </si>
  <si>
    <t>H00305448</t>
  </si>
  <si>
    <t>BSc (Hons) in Computer Networks and Cyber Security - Warwickshire College</t>
  </si>
  <si>
    <t>305449</t>
  </si>
  <si>
    <t>H00305449</t>
  </si>
  <si>
    <t>PGDip in Healthcare Leadership - University of Manchester - Senior Leader Apprenticeship</t>
  </si>
  <si>
    <t>305450</t>
  </si>
  <si>
    <t>H00305450</t>
  </si>
  <si>
    <t>Certificate of Higher Education in Sound and Music Production - East Surrey College</t>
  </si>
  <si>
    <t>305451</t>
  </si>
  <si>
    <t>H00305451</t>
  </si>
  <si>
    <t>Foundation Degree in Graphic and Digital Design - East Surrey College</t>
  </si>
  <si>
    <t>305452</t>
  </si>
  <si>
    <t>H00305452</t>
  </si>
  <si>
    <t>Foundation Degree in Photography - East Surrey College</t>
  </si>
  <si>
    <t>305453</t>
  </si>
  <si>
    <t>H00305453</t>
  </si>
  <si>
    <t>Postgraduate Diploma (Strategic Leadership) - Bishop Grosseteste University - Senior Leader Apprenticeship</t>
  </si>
  <si>
    <t>305454</t>
  </si>
  <si>
    <t>H00305454</t>
  </si>
  <si>
    <t>BSc (Hons) in Occupational Therapy - University of East London - Occupational Therapist Apprenticeship</t>
  </si>
  <si>
    <t>305455</t>
  </si>
  <si>
    <t>H00305455</t>
  </si>
  <si>
    <t>BSc (Hons) in Project Management - University of Plymouth - Project Manager Degree Apprenticeship</t>
  </si>
  <si>
    <t>305456</t>
  </si>
  <si>
    <t>H00305456</t>
  </si>
  <si>
    <t>BEng (Hons) in Manufacturing Engineering - University of Plymouth - Manufacturing Engineering Degree Apprenticeship</t>
  </si>
  <si>
    <t>305457</t>
  </si>
  <si>
    <t>H00305457</t>
  </si>
  <si>
    <t>FdSc in Ecology and Wildlife Conservation -Moulton College</t>
  </si>
  <si>
    <t>305458</t>
  </si>
  <si>
    <t>H00305458</t>
  </si>
  <si>
    <t>BSc (Hons) in Ecology and Wildlife Conservation - Moulton College</t>
  </si>
  <si>
    <t>305459</t>
  </si>
  <si>
    <t>H00305459</t>
  </si>
  <si>
    <t>BSc (Hons) in Ecology and Wildlife Conservation (Top Up) - Moulton College</t>
  </si>
  <si>
    <t>305460</t>
  </si>
  <si>
    <t>H00305460</t>
  </si>
  <si>
    <t>FdSc in Applied Zoology - Moulton College</t>
  </si>
  <si>
    <t>305461</t>
  </si>
  <si>
    <t>H00305461</t>
  </si>
  <si>
    <t>BSc (Hons) in Applied Zoology (Top Up)</t>
  </si>
  <si>
    <t>305462</t>
  </si>
  <si>
    <t>H00305462</t>
  </si>
  <si>
    <t>BSc (Hons) in Physiotherapy - University of Huddersfield - Physiotherapist Degree Apprenticeship</t>
  </si>
  <si>
    <t>305463</t>
  </si>
  <si>
    <t>H00305463</t>
  </si>
  <si>
    <t>BSc (Hons) in Midwifery Studies - University of Huddersfield - Midwife (2019 NMC Standards) Degree Apprenticeship</t>
  </si>
  <si>
    <t>305464</t>
  </si>
  <si>
    <t>H00305464</t>
  </si>
  <si>
    <t>BA (Hons) in Film Production and Content Creation - LTE Group</t>
  </si>
  <si>
    <t>305465</t>
  </si>
  <si>
    <t>H00305465</t>
  </si>
  <si>
    <t>BA (Hons) in 3D Game Art and VFX - LTE Group</t>
  </si>
  <si>
    <t>305466</t>
  </si>
  <si>
    <t>H00305466</t>
  </si>
  <si>
    <t>BA (Hons) in Graphic Design and Branding - LTE Group</t>
  </si>
  <si>
    <t>305467</t>
  </si>
  <si>
    <t>H00305467</t>
  </si>
  <si>
    <t>BA (Hons) in Design for Digital Media - LTE Group</t>
  </si>
  <si>
    <t>305468</t>
  </si>
  <si>
    <t>H00305468</t>
  </si>
  <si>
    <t>FdSc in Counselling and Psychotherapeutic Skills - Oldham College</t>
  </si>
  <si>
    <t>305469</t>
  </si>
  <si>
    <t>H00305469</t>
  </si>
  <si>
    <t>BSc (Top Up) in Counselling and Psychotherapeutic Skills - Oldham College</t>
  </si>
  <si>
    <t>305470</t>
  </si>
  <si>
    <t>H00305470</t>
  </si>
  <si>
    <t>PG Diploma in District Nursing - University of Derby - Registered Nurse (NMC 2018) Apprenticeship</t>
  </si>
  <si>
    <t>305471</t>
  </si>
  <si>
    <t>H00305471</t>
  </si>
  <si>
    <t>MSc in Nursing (Adult) - University of Derby - Registered Nurse (NMC 2018) Apprenticeship</t>
  </si>
  <si>
    <t>305472</t>
  </si>
  <si>
    <t>H00305472</t>
  </si>
  <si>
    <t>MSc in Nursing (Learning Disabilities) - University of Derby - Registered Nurse (NMC 2018) Apprenticeship</t>
  </si>
  <si>
    <t>305473</t>
  </si>
  <si>
    <t>H00305473</t>
  </si>
  <si>
    <t>BSc (Hons) in Wildlife and Conservation - City College Norwich</t>
  </si>
  <si>
    <t>305474</t>
  </si>
  <si>
    <t>H00305474</t>
  </si>
  <si>
    <t>MSc in Digital and Technology Solutions - Unversity of East London - Digital and Technology Solutions Specialist Degree Apprenticeship</t>
  </si>
  <si>
    <t>305475</t>
  </si>
  <si>
    <t>H00305475</t>
  </si>
  <si>
    <t>Postgraduate Diploma in Systems Thinking in Practice - Open University - Systems Thinking Practitioner Apprenticeship</t>
  </si>
  <si>
    <t>305476</t>
  </si>
  <si>
    <t>H00305476</t>
  </si>
  <si>
    <t>Bachelor of Midwifery (Hons) - University of Wolverhampton - Midwife (2019 NMC Standards) Degree Apprenticeship</t>
  </si>
  <si>
    <t>305477</t>
  </si>
  <si>
    <t>H00305477</t>
  </si>
  <si>
    <t>BA (Hons) in Business Management and Sustainability - University Centre Weston</t>
  </si>
  <si>
    <t>305478</t>
  </si>
  <si>
    <t>H00305478</t>
  </si>
  <si>
    <t>MBA (Executive) - Staffordshire University - Senior Leader Apprenticeship Standard</t>
  </si>
  <si>
    <t>305479</t>
  </si>
  <si>
    <t>H00305479</t>
  </si>
  <si>
    <t>Postgraduate Diploma in Management Studies (Senior Business Leader) - University of Wolverhampton - Senior Leader Apprenticeship</t>
  </si>
  <si>
    <t>305480</t>
  </si>
  <si>
    <t>H00305480</t>
  </si>
  <si>
    <t>Postgraduate Diploma in Management Studies (Arts and Culture Senior Business Leader) - University of Wolverhampton - Senior Leader Apprenticeship</t>
  </si>
  <si>
    <t>305481</t>
  </si>
  <si>
    <t>H00305481</t>
  </si>
  <si>
    <t>Postgraduate Diploma in Management Studies (Healthcare Senior Business Leader) - University of Wolverhampton - Senior Leader Apprenticeship</t>
  </si>
  <si>
    <t>305482</t>
  </si>
  <si>
    <t>H00305482</t>
  </si>
  <si>
    <t>Cert HE in Chemistry - University of Greenwich - Laboratory Technician Apprenticeship Standard</t>
  </si>
  <si>
    <t>305483</t>
  </si>
  <si>
    <t>H00305483</t>
  </si>
  <si>
    <t>FdSc in Criminology, Communities and Criminal Justice - Barnsley College</t>
  </si>
  <si>
    <t>305484</t>
  </si>
  <si>
    <t>H00305484</t>
  </si>
  <si>
    <t>BA in Leadership and Management (Top Up) - Barnsley College</t>
  </si>
  <si>
    <t>305485</t>
  </si>
  <si>
    <t>H00305485</t>
  </si>
  <si>
    <t>FdA in Organisational Leadership and Management - Barnsley College</t>
  </si>
  <si>
    <t>305486</t>
  </si>
  <si>
    <t>H00305486</t>
  </si>
  <si>
    <t>BA (Hons) in Leadership and Management in the Public Services - Barnsley College</t>
  </si>
  <si>
    <t>305487</t>
  </si>
  <si>
    <t>H00305487</t>
  </si>
  <si>
    <t>BSc (Hons) in Occupational Therapy - University of Huddersfield - Occupational Therapist Degree Apprenticeship</t>
  </si>
  <si>
    <t>305488</t>
  </si>
  <si>
    <t>H00305488</t>
  </si>
  <si>
    <t>BSc in Diagnostic Radiography - Teesside University - Diagnostic Radiographer Degree Apprenticeship</t>
  </si>
  <si>
    <t>305489</t>
  </si>
  <si>
    <t>H00305489</t>
  </si>
  <si>
    <t>Certificate of Higher Education in Community Policing Practice - Open University - Police Community Support Officer Apprenticeship</t>
  </si>
  <si>
    <t>305490</t>
  </si>
  <si>
    <t>H00305490</t>
  </si>
  <si>
    <t>Postgraduate Diploma in Senior Leadership - Sheffield Hallam University</t>
  </si>
  <si>
    <t>305491</t>
  </si>
  <si>
    <t>H00305491</t>
  </si>
  <si>
    <t>BSc (Hons) in Professional Practice in Architectural Technology and Design Management - Sheffield Hallam University</t>
  </si>
  <si>
    <t>305492</t>
  </si>
  <si>
    <t>H00305492</t>
  </si>
  <si>
    <t>FdSc in Materials Science</t>
  </si>
  <si>
    <t>305493</t>
  </si>
  <si>
    <t>H00305493</t>
  </si>
  <si>
    <t>BSc (Hons) in Materials Science</t>
  </si>
  <si>
    <t>305494</t>
  </si>
  <si>
    <t>H00305494</t>
  </si>
  <si>
    <t>FdA in Sports Management - SGS College</t>
  </si>
  <si>
    <t>305495</t>
  </si>
  <si>
    <t>H00305495</t>
  </si>
  <si>
    <t>FdA in Prosthetics, Model Making and Digital Design - SGS College</t>
  </si>
  <si>
    <t>305496</t>
  </si>
  <si>
    <t>H00305496</t>
  </si>
  <si>
    <t>BA (Hons) in Prosthetics, Model Making and Digital Design - SGS College</t>
  </si>
  <si>
    <t>305497</t>
  </si>
  <si>
    <t>H00305497</t>
  </si>
  <si>
    <t>FdA in Sports Media - SGS College</t>
  </si>
  <si>
    <t>305498</t>
  </si>
  <si>
    <t>H00305498</t>
  </si>
  <si>
    <t>BA (Hons) in Media Production - SGS College</t>
  </si>
  <si>
    <t>305499</t>
  </si>
  <si>
    <t>H00305499</t>
  </si>
  <si>
    <t>FdA in Live Events Production - SGS College</t>
  </si>
  <si>
    <t>305500</t>
  </si>
  <si>
    <t>H00305500</t>
  </si>
  <si>
    <t>BA (Hons) in Game Art and Production - SGS College</t>
  </si>
  <si>
    <t>305501</t>
  </si>
  <si>
    <t>H00305501</t>
  </si>
  <si>
    <t>Foundation Degree in Health and Social Care (Social Care) - Oldham College</t>
  </si>
  <si>
    <t>305502</t>
  </si>
  <si>
    <t>H00305502</t>
  </si>
  <si>
    <t>FdA in Health and Social Care (Mental Health) - Oldham College</t>
  </si>
  <si>
    <t>305503</t>
  </si>
  <si>
    <t>H00305503</t>
  </si>
  <si>
    <t>BSc (Hons) in Construction Management - University of Brighton - Construction Site Management Degree Apprenticeship</t>
  </si>
  <si>
    <t>305504</t>
  </si>
  <si>
    <t>H00305504</t>
  </si>
  <si>
    <t>BSc (Hons) in Quantity Surveying and Project Management - University of Brighton - Chartered Surveyor Degree Apprenticeship</t>
  </si>
  <si>
    <t>305505</t>
  </si>
  <si>
    <t>H00305505</t>
  </si>
  <si>
    <t>BSc (Hons) in Building Surveying - University of Brighton - Chartered Surveyor Degree Apprenticeship</t>
  </si>
  <si>
    <t>305506</t>
  </si>
  <si>
    <t>H00305506</t>
  </si>
  <si>
    <t>Foundation Degree in Early Years Pedagogy (0-8 Years) - North East Surrey College of Technology</t>
  </si>
  <si>
    <t>305507</t>
  </si>
  <si>
    <t>H00305507</t>
  </si>
  <si>
    <t>BEng (Hons) in Engineering - Dyson Institute of Engineering and Technology - Product Design and Development Engineer Apprenticeship</t>
  </si>
  <si>
    <t>305508</t>
  </si>
  <si>
    <t>H00305508</t>
  </si>
  <si>
    <t>MSc in Advanced Clinical Practice (General) - University of Hull</t>
  </si>
  <si>
    <t>305509</t>
  </si>
  <si>
    <t>H00305509</t>
  </si>
  <si>
    <t>BA (Hons) in Nursing Degree Apprenticeship (Adult) - The University of Winchester - Registered Nursing Degree Apprenticeship</t>
  </si>
  <si>
    <t>305510</t>
  </si>
  <si>
    <t>H00305510</t>
  </si>
  <si>
    <t>BA (Hons) in Nursing Degree Apprenticeship (Child) - The University of Winchester - Registered Nursing Degree Apprenticeship</t>
  </si>
  <si>
    <t>305511</t>
  </si>
  <si>
    <t>H00305511</t>
  </si>
  <si>
    <t>BA (Hons) in Nursing Degree Apprenticeship (Mental Health) - The University of Winchester - Registered Nursing Degree Apprenticeship</t>
  </si>
  <si>
    <t>305512</t>
  </si>
  <si>
    <t>H00305512</t>
  </si>
  <si>
    <t>FdSc in Nursing - The University of Winchester - Nursing Associate Apprenticeship</t>
  </si>
  <si>
    <t>305513</t>
  </si>
  <si>
    <t>H00305513</t>
  </si>
  <si>
    <t>BA (Hons) in Professional Policing - City College Norwich</t>
  </si>
  <si>
    <t>305514</t>
  </si>
  <si>
    <t>H00305514</t>
  </si>
  <si>
    <t>HNC in Computing - Nelson and Colne College</t>
  </si>
  <si>
    <t>305515</t>
  </si>
  <si>
    <t>H00305515</t>
  </si>
  <si>
    <t>FdScs in Computing - Nelson and Colne College</t>
  </si>
  <si>
    <t>305516</t>
  </si>
  <si>
    <t>H00305516</t>
  </si>
  <si>
    <t>305517</t>
  </si>
  <si>
    <t>H00305517</t>
  </si>
  <si>
    <t>305518</t>
  </si>
  <si>
    <t>H00305518</t>
  </si>
  <si>
    <t>HNCs in Sustainable Construction -Nelson and Colne College</t>
  </si>
  <si>
    <t>305519</t>
  </si>
  <si>
    <t>H00305519</t>
  </si>
  <si>
    <t>HNDs in Sustainable Construction - Nelson and Colne College</t>
  </si>
  <si>
    <t>305520</t>
  </si>
  <si>
    <t>H00305520</t>
  </si>
  <si>
    <t>CertHEs in Professional Healthcare Management - Nelson and Colne College</t>
  </si>
  <si>
    <t>305521</t>
  </si>
  <si>
    <t>H00305521</t>
  </si>
  <si>
    <t>FDAs in Professional Healthcare Management  - Nelson and Colne College</t>
  </si>
  <si>
    <t>305522</t>
  </si>
  <si>
    <t>H00305522</t>
  </si>
  <si>
    <t>HNCs in Sustainable Business - Nelson and Colne College</t>
  </si>
  <si>
    <t>305523</t>
  </si>
  <si>
    <t>H00305523</t>
  </si>
  <si>
    <t>FdAs in Sustainable Business - Nelson and Colne College</t>
  </si>
  <si>
    <t>305524</t>
  </si>
  <si>
    <t>H00305524</t>
  </si>
  <si>
    <t>BA (Hons) in Art and Design - University Centre Weston</t>
  </si>
  <si>
    <t>305525</t>
  </si>
  <si>
    <t>H00305525</t>
  </si>
  <si>
    <t>BA (Hons) in Film and Media Arts Production - University Centre Weston</t>
  </si>
  <si>
    <t>305526</t>
  </si>
  <si>
    <t>H00305526</t>
  </si>
  <si>
    <t>BA (Hons) in Photography and Visual Cultures - University Centre Weston</t>
  </si>
  <si>
    <t>305527</t>
  </si>
  <si>
    <t>H00305527</t>
  </si>
  <si>
    <t>BSc (Hons) in Nursing - Adult - Bridgwater and Taunton College</t>
  </si>
  <si>
    <t>305528</t>
  </si>
  <si>
    <t>H00305528</t>
  </si>
  <si>
    <t>BSc (Hons) in Nursing - Mental Health - Bridgwater and Taunton College</t>
  </si>
  <si>
    <t>305529</t>
  </si>
  <si>
    <t>H00305529</t>
  </si>
  <si>
    <t>FdA in Art and Design Practice - Weymouth College</t>
  </si>
  <si>
    <t>305530</t>
  </si>
  <si>
    <t>H00305530</t>
  </si>
  <si>
    <t>BSc (Hons) in Real Estate Development and Management - University of Salford - Chartered Surveyor Apprenticeship Standard</t>
  </si>
  <si>
    <t>305531</t>
  </si>
  <si>
    <t>H00305531</t>
  </si>
  <si>
    <t>MSc in Technical Leadership (Biomedical Science) - Keele University - Research Scientist Apprenticeship Standard</t>
  </si>
  <si>
    <t>305532</t>
  </si>
  <si>
    <t>H00305532</t>
  </si>
  <si>
    <t>Postgraduate Certificate in Higher Education Teaching - Keele University</t>
  </si>
  <si>
    <t>305533</t>
  </si>
  <si>
    <t>H00305533</t>
  </si>
  <si>
    <t>FD in Dance - Hull College</t>
  </si>
  <si>
    <t>305534</t>
  </si>
  <si>
    <t>H00305534</t>
  </si>
  <si>
    <t>Certificate in Higher Education in Social Care and Wellbeing - Blackburn College</t>
  </si>
  <si>
    <t>305535</t>
  </si>
  <si>
    <t>H00305535</t>
  </si>
  <si>
    <t>BSc in Psychology with Criminology - DN Colleges Group</t>
  </si>
  <si>
    <t>305536</t>
  </si>
  <si>
    <t>H00305536</t>
  </si>
  <si>
    <t>BA (Hons) in Professional Business and Management Practice - Solihull College</t>
  </si>
  <si>
    <t>305537</t>
  </si>
  <si>
    <t>H00305537</t>
  </si>
  <si>
    <t>FdSc in Youth, Social and Community Studies - Truro and Penwith College</t>
  </si>
  <si>
    <t>305538</t>
  </si>
  <si>
    <t>H00305538</t>
  </si>
  <si>
    <t>FdSc in Law with Business - Truro and Penwith College</t>
  </si>
  <si>
    <t>305539</t>
  </si>
  <si>
    <t>H00305539</t>
  </si>
  <si>
    <t>FdSc in Law with Criminology and Criminal Justice - Truro and Penwith College</t>
  </si>
  <si>
    <t>305540</t>
  </si>
  <si>
    <t>H00305540</t>
  </si>
  <si>
    <t>FdA in Design, Craft, Maker - Truro and Penwith College</t>
  </si>
  <si>
    <t>305541</t>
  </si>
  <si>
    <t>H00305541</t>
  </si>
  <si>
    <t>FdA in Teaching and Learning - Truro and Penwith College</t>
  </si>
  <si>
    <t>305542</t>
  </si>
  <si>
    <t>H00305542</t>
  </si>
  <si>
    <t>BA (Hons) in Craft and Design - Truro and Penwith College</t>
  </si>
  <si>
    <t>305543</t>
  </si>
  <si>
    <t>H00305543</t>
  </si>
  <si>
    <t>MA in Creative Practice - Hull College</t>
  </si>
  <si>
    <t>305544</t>
  </si>
  <si>
    <t>H00305544</t>
  </si>
  <si>
    <t>BSc (Hons) in Public Health Practitioner (Apprenticeship) - University of Sunderland - Public Health Practitioner Standard</t>
  </si>
  <si>
    <t>305545</t>
  </si>
  <si>
    <t>H00305545</t>
  </si>
  <si>
    <t>CertHE in Digital Learning Design - Lincoln College</t>
  </si>
  <si>
    <t>305546</t>
  </si>
  <si>
    <t>H00305546</t>
  </si>
  <si>
    <t>DipHE in Complementary Therapies - Lincoln College</t>
  </si>
  <si>
    <t>305547</t>
  </si>
  <si>
    <t>H00305547</t>
  </si>
  <si>
    <t>BA (Hons) in Commercial Photography with Digital Media - Lincoln College</t>
  </si>
  <si>
    <t>305548</t>
  </si>
  <si>
    <t>H00305548</t>
  </si>
  <si>
    <t>BA (Hons) in Commercial Photography with Digital Media (Top-up) - Lincoln College</t>
  </si>
  <si>
    <t>305549</t>
  </si>
  <si>
    <t>H00305549</t>
  </si>
  <si>
    <t>BSc (Hons) in Electrical Engineering (Control and Network Connected Devices) - Lincoln College</t>
  </si>
  <si>
    <t>305550</t>
  </si>
  <si>
    <t>H00305550</t>
  </si>
  <si>
    <t>BSc (Hons) in Electrical Engineering (Production Automation) - Lincoln College</t>
  </si>
  <si>
    <t>305551</t>
  </si>
  <si>
    <t>H00305551</t>
  </si>
  <si>
    <t>BSc (Hons) in Electrical Engineering (Sustainable Energy) - Lincoln College</t>
  </si>
  <si>
    <t>305552</t>
  </si>
  <si>
    <t>H00305552</t>
  </si>
  <si>
    <t>CertHE in Computer Automation and Internet of Things Development - Lincoln College</t>
  </si>
  <si>
    <t>305553</t>
  </si>
  <si>
    <t>H00305553</t>
  </si>
  <si>
    <t>DipHE in Mobile, Web, Virtual and Streaming Technologies - Lincoln College</t>
  </si>
  <si>
    <t>305554</t>
  </si>
  <si>
    <t>H00305554</t>
  </si>
  <si>
    <t>BA (Hons) in Performance (Musical Theatre) - (Top Up) - Hull College</t>
  </si>
  <si>
    <t>305555</t>
  </si>
  <si>
    <t>H00305555</t>
  </si>
  <si>
    <t>BA (Hons) in Criminology with Psychology - (Top Up) - Hull College</t>
  </si>
  <si>
    <t>305556</t>
  </si>
  <si>
    <t>H00305556</t>
  </si>
  <si>
    <t>BA (Hons) in Young Children's Learning and Development (Top Up) - Hull College</t>
  </si>
  <si>
    <t>305557</t>
  </si>
  <si>
    <t>H00305557</t>
  </si>
  <si>
    <t>BA (Hons) Performance (Dance) - (Top Up) - Hull College</t>
  </si>
  <si>
    <t>305558</t>
  </si>
  <si>
    <t>H00305558</t>
  </si>
  <si>
    <t>BA (Hons) in Art and Design - Cheshire College South and West</t>
  </si>
  <si>
    <t>305559</t>
  </si>
  <si>
    <t>H00305559</t>
  </si>
  <si>
    <t>BA (Hons) in Business Management (top up) - Cheshire College South and West</t>
  </si>
  <si>
    <t>305560</t>
  </si>
  <si>
    <t>H00305560</t>
  </si>
  <si>
    <t>BSc (Hons) in Computing - Yeovil College</t>
  </si>
  <si>
    <t>305561</t>
  </si>
  <si>
    <t>H00305561</t>
  </si>
  <si>
    <t>FdA in Digital Design and Media - Yeovil College</t>
  </si>
  <si>
    <t>305562</t>
  </si>
  <si>
    <t>H00305562</t>
  </si>
  <si>
    <t>305563</t>
  </si>
  <si>
    <t>H00305563</t>
  </si>
  <si>
    <t>HND in Project and Quality Management - University of Central Lancashire</t>
  </si>
  <si>
    <t>305564</t>
  </si>
  <si>
    <t>H00305564</t>
  </si>
  <si>
    <t>BSC (Hons) in Hons Project Management - York St John University - Project Manager Degree Apprenticeship</t>
  </si>
  <si>
    <t>305565</t>
  </si>
  <si>
    <t>H00305565</t>
  </si>
  <si>
    <t>Postgraduate Diploma in Business Administration - York St John University - Business Administration Degree Apprenticeship</t>
  </si>
  <si>
    <t>305566</t>
  </si>
  <si>
    <t>H00305566</t>
  </si>
  <si>
    <t>MA in Education (Teaching and Learning) - Oldham College</t>
  </si>
  <si>
    <t>305567</t>
  </si>
  <si>
    <t>H00305567</t>
  </si>
  <si>
    <t>BA (Hons) in Professional Business and Management - Wiltshire College and University Centre</t>
  </si>
  <si>
    <t>305568</t>
  </si>
  <si>
    <t>H00305568</t>
  </si>
  <si>
    <t>FdA in 3D Garment Design and Product Development -NCG</t>
  </si>
  <si>
    <t>305569</t>
  </si>
  <si>
    <t>H00305569</t>
  </si>
  <si>
    <t>FdA in Airline and Airport Management - NCG</t>
  </si>
  <si>
    <t>305570</t>
  </si>
  <si>
    <t>H00305570</t>
  </si>
  <si>
    <t>CertHE in Mechanical Manufacturing - NCG</t>
  </si>
  <si>
    <t>305571</t>
  </si>
  <si>
    <t>H00305571</t>
  </si>
  <si>
    <t>FdSc in Software Engineering - NCG</t>
  </si>
  <si>
    <t>305572</t>
  </si>
  <si>
    <t>H00305572</t>
  </si>
  <si>
    <t>BA (Hons) in Creative Digital Design - NCG</t>
  </si>
  <si>
    <t>305573</t>
  </si>
  <si>
    <t>H00305573</t>
  </si>
  <si>
    <t>FdSc in Games Technologies - NCG</t>
  </si>
  <si>
    <t>305574</t>
  </si>
  <si>
    <t>H00305574</t>
  </si>
  <si>
    <t>BSc (Hons) in Counselling Skills and Therapeutic Practices (Top Up) - NCG</t>
  </si>
  <si>
    <t>305575</t>
  </si>
  <si>
    <t>H00305575</t>
  </si>
  <si>
    <t>BSc (Hons) in Computing - NCG</t>
  </si>
  <si>
    <t>305576</t>
  </si>
  <si>
    <t>H00305576</t>
  </si>
  <si>
    <t>FdA in Tourism and Hospitality Management - NCG</t>
  </si>
  <si>
    <t>305577</t>
  </si>
  <si>
    <t>H00305577</t>
  </si>
  <si>
    <t>CertHE in Tourism and Hospitality Management - NCG</t>
  </si>
  <si>
    <t>305578</t>
  </si>
  <si>
    <t>H00305578</t>
  </si>
  <si>
    <t>FdA in Advanced Techniques in Media and Semi Permanent Makeup - NCG</t>
  </si>
  <si>
    <t>305579</t>
  </si>
  <si>
    <t>H00305579</t>
  </si>
  <si>
    <t>DipHE in Education and Training - NCG</t>
  </si>
  <si>
    <t>305580</t>
  </si>
  <si>
    <t>H00305580</t>
  </si>
  <si>
    <t>Postgraduate Certificate of Education - NCG</t>
  </si>
  <si>
    <t>305582</t>
  </si>
  <si>
    <t>H00305582</t>
  </si>
  <si>
    <t>BSc (Hons) in Sport and Exercise Therapy and Rehabilitation - Bishop Burton College</t>
  </si>
  <si>
    <t>305583</t>
  </si>
  <si>
    <t>H00305583</t>
  </si>
  <si>
    <t>BSc (Hons) in Equine Business Management - Bishop Burton College</t>
  </si>
  <si>
    <t>305584</t>
  </si>
  <si>
    <t>H00305584</t>
  </si>
  <si>
    <t>BSc (Hons) in Equine Science - Bishop Burton College</t>
  </si>
  <si>
    <t>305585</t>
  </si>
  <si>
    <t>H00305585</t>
  </si>
  <si>
    <t>305586</t>
  </si>
  <si>
    <t>H00305586</t>
  </si>
  <si>
    <t>BSc (Hons) in Equine Sports Science and Coaching - Bishop Burton College</t>
  </si>
  <si>
    <t>305587</t>
  </si>
  <si>
    <t>H00305587</t>
  </si>
  <si>
    <t>305588</t>
  </si>
  <si>
    <t>H00305588</t>
  </si>
  <si>
    <t>FdSc in Applied Equine Management (Coaching) - Bishop Burton College</t>
  </si>
  <si>
    <t>305589</t>
  </si>
  <si>
    <t>H00305589</t>
  </si>
  <si>
    <t>FdSc in Applied Equine Management (Therapy) - Bishop Burton College</t>
  </si>
  <si>
    <t>305590</t>
  </si>
  <si>
    <t>H00305590</t>
  </si>
  <si>
    <t>FdSc in Farm Business Management - Bishop Burton College</t>
  </si>
  <si>
    <t>305591</t>
  </si>
  <si>
    <t>H00305591</t>
  </si>
  <si>
    <t>BSc (Hons) in Applied Sports Coaching (Fast Track) - SGS College</t>
  </si>
  <si>
    <t>305592</t>
  </si>
  <si>
    <t>H00305592</t>
  </si>
  <si>
    <t>BSc (Hons) in Applied Sports Conditioning and Exercise (L6) - SGS College</t>
  </si>
  <si>
    <t>305593</t>
  </si>
  <si>
    <t>H00305593</t>
  </si>
  <si>
    <t>FdSc in Applied Sports Conditioning and Exercise - SGS College</t>
  </si>
  <si>
    <t>305594</t>
  </si>
  <si>
    <t>H00305594</t>
  </si>
  <si>
    <t>FdSc in Applied Sports Coaching and Physical Education - SGS College</t>
  </si>
  <si>
    <t>305595</t>
  </si>
  <si>
    <t>H00305595</t>
  </si>
  <si>
    <t>FdA in Social Care (Mental Health) - TEC Partnership</t>
  </si>
  <si>
    <t>305596</t>
  </si>
  <si>
    <t>H00305596</t>
  </si>
  <si>
    <t>BA (Hons) in Fashion, Innovation and Entrepreneurship (Top-up) - TEC Partnership</t>
  </si>
  <si>
    <t>305597</t>
  </si>
  <si>
    <t>H00305597</t>
  </si>
  <si>
    <t>Post Graduate Certificate in Zoo Management and Conservation - University Centre Askham Bryan</t>
  </si>
  <si>
    <t>305598</t>
  </si>
  <si>
    <t>H00305598</t>
  </si>
  <si>
    <t>Post Graduate Diploma in Zoo Management and Conservation - University Centre Askham Bryan</t>
  </si>
  <si>
    <t>305599</t>
  </si>
  <si>
    <t>H00305599</t>
  </si>
  <si>
    <t>Post Graduate Certificate in Applied Animal Behaviour and Welfare - University Centre Askham Bryan</t>
  </si>
  <si>
    <t>305600</t>
  </si>
  <si>
    <t>H00305600</t>
  </si>
  <si>
    <t>Post Graduate Diploma in Applied Animal Behaviour and Welfare - University Centre Askham Bryan</t>
  </si>
  <si>
    <t>305602</t>
  </si>
  <si>
    <t>H00305602</t>
  </si>
  <si>
    <t>FdA in Performing Arts - Warwickshire College</t>
  </si>
  <si>
    <t>305603</t>
  </si>
  <si>
    <t>H00305603</t>
  </si>
  <si>
    <t>BA (Hons) in Performing Arts - Warwickshire College</t>
  </si>
  <si>
    <t>305604</t>
  </si>
  <si>
    <t>H00305604</t>
  </si>
  <si>
    <t>BSc (Hons) in Football Coaching - Reaseheath College / University Centre</t>
  </si>
  <si>
    <t>305605</t>
  </si>
  <si>
    <t>H00305605</t>
  </si>
  <si>
    <t>BSc (Hons) in Environmental Conservation (Top-up) - Reaseheath College / University Centre</t>
  </si>
  <si>
    <t>305606</t>
  </si>
  <si>
    <t>H00305606</t>
  </si>
  <si>
    <t>FdSc in Environmental Conservation - Reaseheath College / University Centre</t>
  </si>
  <si>
    <t>305607</t>
  </si>
  <si>
    <t>H00305607</t>
  </si>
  <si>
    <t>BA (Hons) in Acting and Touring Theatre - SGS College</t>
  </si>
  <si>
    <t>305608</t>
  </si>
  <si>
    <t>H00305608</t>
  </si>
  <si>
    <t>PGDip in Business Administration - University of Birmingham - Senior Leader Standard</t>
  </si>
  <si>
    <t>305609</t>
  </si>
  <si>
    <t>H00305609</t>
  </si>
  <si>
    <t>PGDip in Public Management and Leadership - University of Birmingham - Senior Leader Standard</t>
  </si>
  <si>
    <t>305610</t>
  </si>
  <si>
    <t>H00305610</t>
  </si>
  <si>
    <t>PGDip in Educational Leadership - University of Birmingham - Senior Leader Standard</t>
  </si>
  <si>
    <t>305611</t>
  </si>
  <si>
    <t>H00305611</t>
  </si>
  <si>
    <t>PGDip in Health and Social Care Leadership - University of Birmingham - Senior Leader Standard</t>
  </si>
  <si>
    <t>305612</t>
  </si>
  <si>
    <t>H00305612</t>
  </si>
  <si>
    <t>PGDip in Social Work and Social Care Leadership - University of Birmingham - Senior Leader Standard</t>
  </si>
  <si>
    <t>305613</t>
  </si>
  <si>
    <t>H00305613</t>
  </si>
  <si>
    <t>FD (Sci) in Bakery and Patisserie Technology - City of Wolverhampton College</t>
  </si>
  <si>
    <t>305615</t>
  </si>
  <si>
    <t>H00305615</t>
  </si>
  <si>
    <t>BA (Hons) in Media Make-Up Special Effects and Hair Design - York College</t>
  </si>
  <si>
    <t>305616</t>
  </si>
  <si>
    <t>H00305616</t>
  </si>
  <si>
    <t>FD in Media Make-Up Special Effects and Hair Design - York College</t>
  </si>
  <si>
    <t>305617</t>
  </si>
  <si>
    <t>H00305617</t>
  </si>
  <si>
    <t>FD in Digital Technologies (Cyber Security) - York College</t>
  </si>
  <si>
    <t>305618</t>
  </si>
  <si>
    <t>H00305618</t>
  </si>
  <si>
    <t>BA (Hons) in Acting for Stage and Screen ALRA - York College</t>
  </si>
  <si>
    <t>305619</t>
  </si>
  <si>
    <t>H00305619</t>
  </si>
  <si>
    <t>BA (Hons) in Fashion Design and Garment Technology - York College</t>
  </si>
  <si>
    <t>305620</t>
  </si>
  <si>
    <t>H00305620</t>
  </si>
  <si>
    <t>BA (Hons) in 3D Creative Practice - York College</t>
  </si>
  <si>
    <t>305621</t>
  </si>
  <si>
    <t>H00305621</t>
  </si>
  <si>
    <t>BA (Hons) in Leading Children's Development and Learning (Top-up) - York College</t>
  </si>
  <si>
    <t>305622</t>
  </si>
  <si>
    <t>H00305622</t>
  </si>
  <si>
    <t>BA (Hons) in Graphic Communication and Design - York College</t>
  </si>
  <si>
    <t>305623</t>
  </si>
  <si>
    <t>H00305623</t>
  </si>
  <si>
    <t>FD in Leading Children's Development and Learning - York College</t>
  </si>
  <si>
    <t>305624</t>
  </si>
  <si>
    <t>H00305624</t>
  </si>
  <si>
    <t>FdSc in Healthcare Studies - TEC Partnership</t>
  </si>
  <si>
    <t>305625</t>
  </si>
  <si>
    <t>H00305625</t>
  </si>
  <si>
    <t>MSc Digital and Technology Solutions Specialist (Data Analytics) - Brunel University London - Digital and Technology Solutions Specialist Degree Apprenticeship</t>
  </si>
  <si>
    <t>305626</t>
  </si>
  <si>
    <t>H00305626</t>
  </si>
  <si>
    <t>BSc (Hons) in Data Science - University of Nottingham - Data Scientist Degree Apprenticeship</t>
  </si>
  <si>
    <t>305627</t>
  </si>
  <si>
    <t>H00305627</t>
  </si>
  <si>
    <t>BEng (Hons) in Electro-Mechanical Engineering - University of Nottingham - Electro-Mechanical Engineer Degree Apprenticeship</t>
  </si>
  <si>
    <t>305628</t>
  </si>
  <si>
    <t>H00305628</t>
  </si>
  <si>
    <t>CertHE in Fashion and Media Make-up with Business Management - NCG</t>
  </si>
  <si>
    <t>305629</t>
  </si>
  <si>
    <t>H00305629</t>
  </si>
  <si>
    <t>BA (Hons) in Acting (Top-up) - Leeds City College</t>
  </si>
  <si>
    <t>305630</t>
  </si>
  <si>
    <t>H00305630</t>
  </si>
  <si>
    <t>BA (Hons) in Learning and Teaching (Secondary Education) (Top-up) - Leeds City College</t>
  </si>
  <si>
    <t>305631</t>
  </si>
  <si>
    <t>H00305631</t>
  </si>
  <si>
    <t>BA (Hons) in Travel and Tourism Management (Top-up) - Leeds City College</t>
  </si>
  <si>
    <t>305632</t>
  </si>
  <si>
    <t>H00305632</t>
  </si>
  <si>
    <t>BSc (Hons) in Biomedical and Pharmaceutical Science (Top-up) - Leeds City College</t>
  </si>
  <si>
    <t>305633</t>
  </si>
  <si>
    <t>H00305633</t>
  </si>
  <si>
    <t>FD in Health Play Specialism - Leeds City College</t>
  </si>
  <si>
    <t>305634</t>
  </si>
  <si>
    <t>H00305634</t>
  </si>
  <si>
    <t>FD in Photography - Leeds City College</t>
  </si>
  <si>
    <t>305635</t>
  </si>
  <si>
    <t>H00305635</t>
  </si>
  <si>
    <t>BSc (Hons) in Integrated Technologies Engineering - South Devon College</t>
  </si>
  <si>
    <t>305636</t>
  </si>
  <si>
    <t>H00305636</t>
  </si>
  <si>
    <t>FdSc in Tourism, Hospitality and Events Management - South Devon College</t>
  </si>
  <si>
    <t>305637</t>
  </si>
  <si>
    <t>H00305637</t>
  </si>
  <si>
    <t>Certificate in Higher Education in Tourism, Hospitality and Events Management - South Devon College</t>
  </si>
  <si>
    <t>305638</t>
  </si>
  <si>
    <t>H00305638</t>
  </si>
  <si>
    <t>Master of Science in Clinical Associate in Psychology - University of East Anglia - Psychology Degree Apprenticeship</t>
  </si>
  <si>
    <t>305639</t>
  </si>
  <si>
    <t>H00305639</t>
  </si>
  <si>
    <t>BSc (Hons) in Occupational Therapy - University of Northumbria at Newcastle - Occupational Therapist Degree Apprenticeship</t>
  </si>
  <si>
    <t>305640</t>
  </si>
  <si>
    <t>H00305640</t>
  </si>
  <si>
    <t>BSc (Hons) in Equestrian Sports Performance - Reasehath College/University Centre Reaseheath</t>
  </si>
  <si>
    <t>305641</t>
  </si>
  <si>
    <t>H00305641</t>
  </si>
  <si>
    <t>BSc (Hons) in Construction and Sustainability Management - South And City College Birmingham</t>
  </si>
  <si>
    <t>305642</t>
  </si>
  <si>
    <t>H00305642</t>
  </si>
  <si>
    <t>BSc (Hons) in Civil Engineering - South And City College Birmingham</t>
  </si>
  <si>
    <t>305643</t>
  </si>
  <si>
    <t>H00305643</t>
  </si>
  <si>
    <t>BSc (Hons) in Building Services Engineering - South And City College Birmingham</t>
  </si>
  <si>
    <t>305644</t>
  </si>
  <si>
    <t>H00305644</t>
  </si>
  <si>
    <t>MA in Curating - Hereford College of Arts</t>
  </si>
  <si>
    <t>305645</t>
  </si>
  <si>
    <t>H00305645</t>
  </si>
  <si>
    <t>BSc (Hons) in Precision Agriculture - Bishop Burton College</t>
  </si>
  <si>
    <t>305646</t>
  </si>
  <si>
    <t>H00305646</t>
  </si>
  <si>
    <t>305647</t>
  </si>
  <si>
    <t>H00305647</t>
  </si>
  <si>
    <t>305648</t>
  </si>
  <si>
    <t>H00305648</t>
  </si>
  <si>
    <t>FdA in Film and Media Production for the Creative Industries - Bradford Colleges</t>
  </si>
  <si>
    <t>305649</t>
  </si>
  <si>
    <t>H00305649</t>
  </si>
  <si>
    <t>PGDip in Strategic Leadership -The Manchester Metropolitan University - Senior Leader Standard</t>
  </si>
  <si>
    <t>305650</t>
  </si>
  <si>
    <t>H00305650</t>
  </si>
  <si>
    <t>CertHE in Professional Practice in Technical and Design Management - Sheffield Hallam University</t>
  </si>
  <si>
    <t>305651</t>
  </si>
  <si>
    <t>H00305651</t>
  </si>
  <si>
    <t>BA (Hons) in Creative Digital and Graphic Design - Bridgwater and Taunton College</t>
  </si>
  <si>
    <t>305652</t>
  </si>
  <si>
    <t>H00305652</t>
  </si>
  <si>
    <t>FD in Creative Digital and Graphic Design - Bridgwater and Taunton College</t>
  </si>
  <si>
    <t>305653</t>
  </si>
  <si>
    <t>H00305653</t>
  </si>
  <si>
    <t>BA (Hons) in Primary Education with QTS - Bradford College</t>
  </si>
  <si>
    <t>305654</t>
  </si>
  <si>
    <t>H00305654</t>
  </si>
  <si>
    <t>PGCE in Secondary (Science with Physical Education) - Bradford College</t>
  </si>
  <si>
    <t>305655</t>
  </si>
  <si>
    <t>H00305655</t>
  </si>
  <si>
    <t>PGCE in Secondary (Health and Social Care) - Bradford College</t>
  </si>
  <si>
    <t>305656</t>
  </si>
  <si>
    <t>H00305656</t>
  </si>
  <si>
    <t>MA in Leadership and Management - Bradford College</t>
  </si>
  <si>
    <t>305657</t>
  </si>
  <si>
    <t>H00305657</t>
  </si>
  <si>
    <t>BA (Hons) in Business, Management and Entrepreneurship - Bradford College</t>
  </si>
  <si>
    <t>305658</t>
  </si>
  <si>
    <t>H00305658</t>
  </si>
  <si>
    <t>BSc (Hons) in Networking Infrastructure and Security - Bradford College</t>
  </si>
  <si>
    <t>305659</t>
  </si>
  <si>
    <t>H00305659</t>
  </si>
  <si>
    <t>BSc (Hons) in Software Engineering - Bradford College</t>
  </si>
  <si>
    <t>305660</t>
  </si>
  <si>
    <t>H00305660</t>
  </si>
  <si>
    <t>PGDip in Management Practice - University of Manchester - Senior Leader Apprenticeship Standard</t>
  </si>
  <si>
    <t>305661</t>
  </si>
  <si>
    <t>H00305661</t>
  </si>
  <si>
    <t>BSc (Hons) in Architectural Design Technology - University of Wolverhampton - Design and Construction Management Degree Apprenticeship</t>
  </si>
  <si>
    <t>305662</t>
  </si>
  <si>
    <t>H00305662</t>
  </si>
  <si>
    <t>Certificate in Education - Buckinghamshire College Group</t>
  </si>
  <si>
    <t>305663</t>
  </si>
  <si>
    <t>H00305663</t>
  </si>
  <si>
    <t>BSC (Hons) in Environmental Management - University of the West of England, Bristol (UWE, BRISTOL) - Environmental Management Apprenticeship</t>
  </si>
  <si>
    <t>305664</t>
  </si>
  <si>
    <t>H00305664</t>
  </si>
  <si>
    <t>BSC (Hons) in Public Health -University of the West of England, Bristol (UWE, BRISTOL) - Public Health Practitioner (Integrated Degree) Apprenticeship Standard</t>
  </si>
  <si>
    <t>305665</t>
  </si>
  <si>
    <t>H00305665</t>
  </si>
  <si>
    <t>BSC (Hons) in Therapeutic Radiography - University of the West of England, Bristol (UWE, BRISTOL) - Therapeutic Radiography Apprenticeship</t>
  </si>
  <si>
    <t>305666</t>
  </si>
  <si>
    <t>H00305666</t>
  </si>
  <si>
    <t>MMedSci in Nursing (Adult) - University of Sheffield - Registered Nurse Degree (NMC 2018)</t>
  </si>
  <si>
    <t>305667</t>
  </si>
  <si>
    <t>H00305667</t>
  </si>
  <si>
    <t>FD in Travel and Tourism Management - Leeds City College</t>
  </si>
  <si>
    <t>305668</t>
  </si>
  <si>
    <t>H00305668</t>
  </si>
  <si>
    <t>FD in Leadership and Management - Leeds City College</t>
  </si>
  <si>
    <t>305669</t>
  </si>
  <si>
    <t>H00305669</t>
  </si>
  <si>
    <t>CertHE in Building Services Engineering - South And City College Birmingham</t>
  </si>
  <si>
    <t>305670</t>
  </si>
  <si>
    <t>H00305670</t>
  </si>
  <si>
    <t>CertHE in Construction Management and Sustainability - South and City College Birmingham</t>
  </si>
  <si>
    <t>305671</t>
  </si>
  <si>
    <t>H00305671</t>
  </si>
  <si>
    <t>CertHE in Civil Engineering - South and City College Birmingham</t>
  </si>
  <si>
    <t>305672</t>
  </si>
  <si>
    <t>H00305672</t>
  </si>
  <si>
    <t>PGDIP in Business Administration - University of Essex - Senior Leader Apprenticeship</t>
  </si>
  <si>
    <t>305673</t>
  </si>
  <si>
    <t>H00305673</t>
  </si>
  <si>
    <t>BSc (Hons) in Professional Policing Practice - University of Salford - Police Constable Degree Apprenticeship Standard</t>
  </si>
  <si>
    <t>305674</t>
  </si>
  <si>
    <t>H00305674</t>
  </si>
  <si>
    <t>BSc (Hons) in Agribusiness Management - City College Norwich</t>
  </si>
  <si>
    <t>305675</t>
  </si>
  <si>
    <t>H00305675</t>
  </si>
  <si>
    <t>FdSc in Bakery, Confectionery and Patisserie Science  (FT) - The Sheffield College</t>
  </si>
  <si>
    <t>305676</t>
  </si>
  <si>
    <t>H00305676</t>
  </si>
  <si>
    <t>BSc (Hons) in Nursing (Learning Disabilities) - Nottingham Trent University - Registered Nurse Degree (NMC 2018)</t>
  </si>
  <si>
    <t>305677</t>
  </si>
  <si>
    <t>H00305677</t>
  </si>
  <si>
    <t>BSc (Hons) in Equine Bioveterinary Science - Reaseheath College/University Centre Reaseheath</t>
  </si>
  <si>
    <t>305678</t>
  </si>
  <si>
    <t>H00305678</t>
  </si>
  <si>
    <t>BSc (Hons) in Operating Department Practice - London South Bank University - Operating Department Practice (Integrated Degree Apprenticeship) (PT)</t>
  </si>
  <si>
    <t>305680</t>
  </si>
  <si>
    <t>H00305680</t>
  </si>
  <si>
    <t>Post Graduate Diploma in Engineering Competence (Broadcast Systems Integration Engineer)- Birmingham City University - Post Graduate Engineer Apprenticeship Standard</t>
  </si>
  <si>
    <t>305681</t>
  </si>
  <si>
    <t>H00305681</t>
  </si>
  <si>
    <t>BSc (Hons) in Chemistry -Nottingham Trent University - Laboratory Scientist Degree Apprenticeship</t>
  </si>
  <si>
    <t>305682</t>
  </si>
  <si>
    <t>H00305682</t>
  </si>
  <si>
    <t>BSc (Hons) in Data Science -Nottingham Trent University - Data Scientist Degree Apprenticeship</t>
  </si>
  <si>
    <t>305683</t>
  </si>
  <si>
    <t>H00305683</t>
  </si>
  <si>
    <t>March in Architecture in Practice - Nottingham Trent University -Architect Degree Apprenticeship</t>
  </si>
  <si>
    <t>305684</t>
  </si>
  <si>
    <t>H00305684</t>
  </si>
  <si>
    <t>Post Graduate Diploma in Management and Leadership - Nottingham Trent University - Senior Leader Degree Apprenticeship</t>
  </si>
  <si>
    <t>305685</t>
  </si>
  <si>
    <t>H00305685</t>
  </si>
  <si>
    <t>Certificate of Higher Education in Hygiene Specialist - Nottingham Trent University - Hygiene Specialist Apprenticeship</t>
  </si>
  <si>
    <t>305686</t>
  </si>
  <si>
    <t>H00305686</t>
  </si>
  <si>
    <t>BEng (Hons) in Fire Engineering - Birmingham City University - Fire Safety Engineer (Degree) apprenticeship</t>
  </si>
  <si>
    <t>305687</t>
  </si>
  <si>
    <t>H00305687</t>
  </si>
  <si>
    <t>305688</t>
  </si>
  <si>
    <t>H00305688</t>
  </si>
  <si>
    <t>FdA in Art and Contemporary Craft - Petroc</t>
  </si>
  <si>
    <t>305689</t>
  </si>
  <si>
    <t>H00305689</t>
  </si>
  <si>
    <t>BSc (Hons) in Diagnostic Radiography - University of Cumbria - Diagnostic Radiographer (Integrated Degree) Apprenticeship</t>
  </si>
  <si>
    <t>305690</t>
  </si>
  <si>
    <t>H00305690</t>
  </si>
  <si>
    <t>HNC in Construction - Petroc</t>
  </si>
  <si>
    <t>305691</t>
  </si>
  <si>
    <t>H00305691</t>
  </si>
  <si>
    <t>FdA in Business - Petroc</t>
  </si>
  <si>
    <t>305692</t>
  </si>
  <si>
    <t>H00305692</t>
  </si>
  <si>
    <t>BEng (Hons) in Electromechanical Engineering - University of Warwick - Electromechanical Engineer (DA) Standard</t>
  </si>
  <si>
    <t>305693</t>
  </si>
  <si>
    <t>H00305693</t>
  </si>
  <si>
    <t>PgDip in Marketing and Leadership - Cranfield University - Senior Leader Apprenticeship</t>
  </si>
  <si>
    <t>305694</t>
  </si>
  <si>
    <t>H00305694</t>
  </si>
  <si>
    <t>PgDip in Management and Leadership - Cranfield University - Senior Leader Apprenticeship</t>
  </si>
  <si>
    <t>305695</t>
  </si>
  <si>
    <t>H00305695</t>
  </si>
  <si>
    <t>PgDip in Business Administration - Cranfield University - Senior Leader Apprenticeship</t>
  </si>
  <si>
    <t>305696</t>
  </si>
  <si>
    <t>H00305696</t>
  </si>
  <si>
    <t>PgDip in Defence and Security - Cranfield University - Senior Leader Apprenticeship</t>
  </si>
  <si>
    <t>305697</t>
  </si>
  <si>
    <t>H00305697</t>
  </si>
  <si>
    <t>FdSc in Animal Conservation - Petroc</t>
  </si>
  <si>
    <t>305698</t>
  </si>
  <si>
    <t>H00305698</t>
  </si>
  <si>
    <t>Advanced Certificate in Accounting</t>
  </si>
  <si>
    <t>305699</t>
  </si>
  <si>
    <t>H00305699</t>
  </si>
  <si>
    <t>BA (Hons) in Business Management - Bury College</t>
  </si>
  <si>
    <t>305700</t>
  </si>
  <si>
    <t>H00305700</t>
  </si>
  <si>
    <t>BA (Hons) in Education (Supporting Teaching and Learning) - Bury College</t>
  </si>
  <si>
    <t>305701</t>
  </si>
  <si>
    <t>H00305701</t>
  </si>
  <si>
    <t>FdSc in Salon Management - Bury College</t>
  </si>
  <si>
    <t>305702</t>
  </si>
  <si>
    <t>H00305702</t>
  </si>
  <si>
    <t>FdSc in International Tourism Management - Bury College</t>
  </si>
  <si>
    <t>305703</t>
  </si>
  <si>
    <t>H00305703</t>
  </si>
  <si>
    <t>BSc (Hons) in Salon Management (Top Up) - Bury College</t>
  </si>
  <si>
    <t>305704</t>
  </si>
  <si>
    <t>H00305704</t>
  </si>
  <si>
    <t>BA (Hons) in Film and Media Enterprise (Top-up) - New College Durham</t>
  </si>
  <si>
    <t>305705</t>
  </si>
  <si>
    <t>H00305705</t>
  </si>
  <si>
    <t>BSc (Hons) in Computer Science (Top-Up) - Walsall College</t>
  </si>
  <si>
    <t>305706</t>
  </si>
  <si>
    <t>H00305706</t>
  </si>
  <si>
    <t>BA (Hons) in Working with Children and Families (Top Up)- South And City College Birmingham</t>
  </si>
  <si>
    <t>305707</t>
  </si>
  <si>
    <t>H00305707</t>
  </si>
  <si>
    <t>BSc (Hons) in Nursing -De Montfort University - Registered Nurse Degree Apprenticeship</t>
  </si>
  <si>
    <t>305708</t>
  </si>
  <si>
    <t>H00305708</t>
  </si>
  <si>
    <t>PGDIP in Senior Leader - De Montfort University - Senior Leader Apprenticeship</t>
  </si>
  <si>
    <t>305709</t>
  </si>
  <si>
    <t>H00305709</t>
  </si>
  <si>
    <t>CertHE in Data Analyst - De Montfort University - Data Analyst Apprenticeship</t>
  </si>
  <si>
    <t>305710</t>
  </si>
  <si>
    <t>H00305710</t>
  </si>
  <si>
    <t>BSC (Hons) in Data Scientist  - De Montfort University -Data Scientist Apprenticeship</t>
  </si>
  <si>
    <t>305711</t>
  </si>
  <si>
    <t>H00305711</t>
  </si>
  <si>
    <t>BSc (Hons) Events Management (Final Year Top Up) - Barnet and Southgate College</t>
  </si>
  <si>
    <t>305712</t>
  </si>
  <si>
    <t>H00305712</t>
  </si>
  <si>
    <t>MSC in Digital and Technology Solutions Specialist - Queen Mary University London - Digital and Technology Solutions Specialist</t>
  </si>
  <si>
    <t>305713</t>
  </si>
  <si>
    <t>H00305713</t>
  </si>
  <si>
    <t>BSc (Hons) in Business Management - Queen Mary University London - Chartered Manager Standard</t>
  </si>
  <si>
    <t>305714</t>
  </si>
  <si>
    <t>H00305714</t>
  </si>
  <si>
    <t>BA (Hons) in Early Years - Wirral Metropolitan College</t>
  </si>
  <si>
    <t>305715</t>
  </si>
  <si>
    <t>H00305715</t>
  </si>
  <si>
    <t>BA (Hons) in Photography (Top-up) - Wirral Metropolitan College</t>
  </si>
  <si>
    <t>305716</t>
  </si>
  <si>
    <t>H00305716</t>
  </si>
  <si>
    <t>BA (Hons) in Sociology with Criminology - Wirral Metropolitan College</t>
  </si>
  <si>
    <t>305717</t>
  </si>
  <si>
    <t>H00305717</t>
  </si>
  <si>
    <t>CoPD in Business Administration - Liverpool John Moores University - Senior Leader Apprenticeship</t>
  </si>
  <si>
    <t>305718</t>
  </si>
  <si>
    <t>H00305718</t>
  </si>
  <si>
    <t>CoPD in Business Administration Scale Up - Liverpool John Moores University - Senior Leader Apprenticeship</t>
  </si>
  <si>
    <t>305719</t>
  </si>
  <si>
    <t>H00305719</t>
  </si>
  <si>
    <t>CoPD in Leadership and Management Practice -Liverpool John Moores University - Senior Leader Apprenticeship</t>
  </si>
  <si>
    <t>305720</t>
  </si>
  <si>
    <t>H00305720</t>
  </si>
  <si>
    <t>BEng (Hons) in Applied Professional Engineering (Electrical / Electronic Engineer) - University of Warwick - Electrical or Electronic Technical Support Engineer Standard</t>
  </si>
  <si>
    <t>305721</t>
  </si>
  <si>
    <t>H00305721</t>
  </si>
  <si>
    <t>BEng (Hons) in Applied Professional Engineering (Manufacturing Engineer) - University of Warwick - Manufacturing Engineer Standard</t>
  </si>
  <si>
    <t>305722</t>
  </si>
  <si>
    <t>H00305722</t>
  </si>
  <si>
    <t>BEng (Hons) in Applied Professional Engineering (Electrical / Electronic Engineer) - University of Warwick - Control Technical Support Engineer Standard</t>
  </si>
  <si>
    <t>305723</t>
  </si>
  <si>
    <t>H00305723</t>
  </si>
  <si>
    <t>BEng (Hons) in Applied Professional Engineering (Electrical / Electronic Engineer) - University of Warwick - Product Design and Development Engineer Standard</t>
  </si>
  <si>
    <t>305724</t>
  </si>
  <si>
    <t>H00305724</t>
  </si>
  <si>
    <t>PGCert in Education (Clinical ) - Queen Mary University London - Academic Professional Standard</t>
  </si>
  <si>
    <t>305725</t>
  </si>
  <si>
    <t>H00305725</t>
  </si>
  <si>
    <t>BSC (Hons) in Digital and Technology Solutions - Queen Mary University London - Digital and Technology Solutions Professional (integrated degree)</t>
  </si>
  <si>
    <t>305726</t>
  </si>
  <si>
    <t>H00305726</t>
  </si>
  <si>
    <t>MSc in Digital and Technology Solutions -Queen Mary University London - Digital and Technology Solutions Specialist Standard</t>
  </si>
  <si>
    <t>305727</t>
  </si>
  <si>
    <t>H00305727</t>
  </si>
  <si>
    <t>MSc in Professional Economist - Queen Mary University London - Senior Professional Economist (integrated degree)</t>
  </si>
  <si>
    <t>305728</t>
  </si>
  <si>
    <t>H00305728</t>
  </si>
  <si>
    <t>Foundation Degree in Health and Social Care - Burton and South Derbyshire College</t>
  </si>
  <si>
    <t>305729</t>
  </si>
  <si>
    <t>H00305729</t>
  </si>
  <si>
    <t>BA (Hons) in Performance - Bradford College</t>
  </si>
  <si>
    <t>305730</t>
  </si>
  <si>
    <t>H00305730</t>
  </si>
  <si>
    <t>BA (Hons) in Youth Work and Community Development - Bradford College</t>
  </si>
  <si>
    <t>305731</t>
  </si>
  <si>
    <t>H00305731</t>
  </si>
  <si>
    <t>Certificate in Education and Training - Bradford College</t>
  </si>
  <si>
    <t>305732</t>
  </si>
  <si>
    <t>H00305732</t>
  </si>
  <si>
    <t>FdA in Music for the Creative Industries - Bradford College</t>
  </si>
  <si>
    <t>305733</t>
  </si>
  <si>
    <t>H00305733</t>
  </si>
  <si>
    <t>MSc in Business Analytics - University of Kent - Operational Research Specialist Degree Apprenticeship</t>
  </si>
  <si>
    <t>305734</t>
  </si>
  <si>
    <t>H00305734</t>
  </si>
  <si>
    <t>BSc (Hons) in Nursing (Mental Health) - Keele University - Registered Nurse Degree Apprenticeship</t>
  </si>
  <si>
    <t>305735</t>
  </si>
  <si>
    <t>H00305735</t>
  </si>
  <si>
    <t>PGDip in Specialist Community Nursing (District Nursing) - Keele University - District Nurse Apprenticeship</t>
  </si>
  <si>
    <t>305736</t>
  </si>
  <si>
    <t>H00305736</t>
  </si>
  <si>
    <t>PGDip in Healthcare Leadership - University of Birmingham - Senior Leader standard</t>
  </si>
  <si>
    <t>305737</t>
  </si>
  <si>
    <t>H00305737</t>
  </si>
  <si>
    <t>BSc (Hons) in Sports Business Management (Work-Based) - University Of Hertfordshire</t>
  </si>
  <si>
    <t>305738</t>
  </si>
  <si>
    <t>H00305738</t>
  </si>
  <si>
    <t>305739</t>
  </si>
  <si>
    <t>H00305739</t>
  </si>
  <si>
    <t>FdA Business Management - Craven College</t>
  </si>
  <si>
    <t>305740</t>
  </si>
  <si>
    <t>H00305740</t>
  </si>
  <si>
    <t>FdA Business with Event Management - Craven College</t>
  </si>
  <si>
    <t>305741</t>
  </si>
  <si>
    <t>H00305741</t>
  </si>
  <si>
    <t>FdSc Aviation Management and Operations - Craven College</t>
  </si>
  <si>
    <t>305742</t>
  </si>
  <si>
    <t>H00305742</t>
  </si>
  <si>
    <t>FdSc Aviation Management and Operations (with Pilot Studies) - Craven College</t>
  </si>
  <si>
    <t>305743</t>
  </si>
  <si>
    <t>H00305743</t>
  </si>
  <si>
    <t>BSc (Hons) Air Transport Management - Craven College</t>
  </si>
  <si>
    <t>305744</t>
  </si>
  <si>
    <t>H00305744</t>
  </si>
  <si>
    <t>305745</t>
  </si>
  <si>
    <t>H00305745</t>
  </si>
  <si>
    <t>305746</t>
  </si>
  <si>
    <t>H00305746</t>
  </si>
  <si>
    <t>CertHE in Healthcare Science (Cardiorespiratory Associate Practitioner) - Middlesex University - Healthcare Science Associate apprenticeship standard</t>
  </si>
  <si>
    <t>305747</t>
  </si>
  <si>
    <t>H00305747</t>
  </si>
  <si>
    <t>Foundation Degree in Furniture Production for Industry - Chichester College Group</t>
  </si>
  <si>
    <t>305748</t>
  </si>
  <si>
    <t>H00305748</t>
  </si>
  <si>
    <t>BSc (Hons) in Games Design - University of Central Lancashire</t>
  </si>
  <si>
    <t>305749</t>
  </si>
  <si>
    <t>H00305749</t>
  </si>
  <si>
    <t>PG Cert in Academic Professional - University of Greenwich - Academic Professional (Degree Apprenticeship)</t>
  </si>
  <si>
    <t>305750</t>
  </si>
  <si>
    <t>H00305750</t>
  </si>
  <si>
    <t>MA in Human Resource Management -Teesside University - Senior People Professional Apprenticeship</t>
  </si>
  <si>
    <t>305751</t>
  </si>
  <si>
    <t>H00305751</t>
  </si>
  <si>
    <t>305752</t>
  </si>
  <si>
    <t>H00305752</t>
  </si>
  <si>
    <t>MSc in Clinical Associate in Psychology - University of Kent - Clinical Associate in Psychology Apprenticeship</t>
  </si>
  <si>
    <t>305753</t>
  </si>
  <si>
    <t>H00305753</t>
  </si>
  <si>
    <t>BSC (Hons) in Nursing (Adult) (NIDA) - University of Bolton - Reg Nurse Degree Apprenticeship</t>
  </si>
  <si>
    <t>305754</t>
  </si>
  <si>
    <t>H00305754</t>
  </si>
  <si>
    <t>BEng (Hons) in Civil Eng (NIDA) - University of Bolton -Site Management Degree Apprenticeship</t>
  </si>
  <si>
    <t>305755</t>
  </si>
  <si>
    <t>H00305755</t>
  </si>
  <si>
    <t>BSc (Hons) in Construction Project Management (IDA) - University of Bolton - Design and Construction Management Degree Apprenticeship</t>
  </si>
  <si>
    <t>305756</t>
  </si>
  <si>
    <t>H00305756</t>
  </si>
  <si>
    <t>BSc (Hons) in Construction Project Management (NIDA) - University of Bolton -Construction Site Management Degree Apprenticeship</t>
  </si>
  <si>
    <t>305757</t>
  </si>
  <si>
    <t>H00305757</t>
  </si>
  <si>
    <t>MSc in Electrical &amp; Electronic Engineering (NIDA) - University of Bolton -Post Graduate Engineer Degree Apprenticeship</t>
  </si>
  <si>
    <t>305758</t>
  </si>
  <si>
    <t>H00305758</t>
  </si>
  <si>
    <t>Mres in Eng Management (NIDA)  - University of Bolton - PG Engineer Apprenticeship Route</t>
  </si>
  <si>
    <t>305759</t>
  </si>
  <si>
    <t>H00305759</t>
  </si>
  <si>
    <t>MSc Electric Vehicle Technology (NIDA) - University of Bolton -PG Graduate Engineer Degree Apprenticeship</t>
  </si>
  <si>
    <t>305760</t>
  </si>
  <si>
    <t>H00305760</t>
  </si>
  <si>
    <t>MSc in Biomedical Engineering (NIDA) - University of Bolton - Post Graduate Engineer Degree Apprenticeship</t>
  </si>
  <si>
    <t>305761</t>
  </si>
  <si>
    <t>H00305761</t>
  </si>
  <si>
    <t>PgDip in Senior Leader Health and Social care - University of Bolton - Senior Leader Health and Social care(Degree Apprenticeship)</t>
  </si>
  <si>
    <t>305762</t>
  </si>
  <si>
    <t>H00305762</t>
  </si>
  <si>
    <t>FdSc in Podiatry and Orthotics Practitioner - South Devon College</t>
  </si>
  <si>
    <t>305763</t>
  </si>
  <si>
    <t>H00305763</t>
  </si>
  <si>
    <t>MA in Human Resource Management - Senior Human Resources (HR) - Teesside University - Senior People Professional Apprenticeship</t>
  </si>
  <si>
    <t>305764</t>
  </si>
  <si>
    <t>H00305764</t>
  </si>
  <si>
    <t>MA in Human Resource Management - Professional Duties, Senior Learning and Development (L and D) - Teesside University - Senior People Professional Apprenticeship</t>
  </si>
  <si>
    <t>305765</t>
  </si>
  <si>
    <t>H00305765</t>
  </si>
  <si>
    <t>MA in Human Resource Management - Senior Organisation Development (OD) Professional Duties - Teesside University - Senior People Professional Apprenticeship</t>
  </si>
  <si>
    <t>305766</t>
  </si>
  <si>
    <t>H00305766</t>
  </si>
  <si>
    <t>MSc (Hons) in Nursing Studies (Adult) - Teesside University - Registered Nurse (NMC 2018) Degree Apprenticeship</t>
  </si>
  <si>
    <t>305767</t>
  </si>
  <si>
    <t>H00305767</t>
  </si>
  <si>
    <t>MSc (Hons) in Nursing Studies (Mental Health) - Teesside University - Registered Nurse (NMC 2018) Degree Apprenticeship</t>
  </si>
  <si>
    <t>305768</t>
  </si>
  <si>
    <t>H00305768</t>
  </si>
  <si>
    <t>MSc (Hons) in Nursing Studies (Learning Disabilities) - Teesside University - Registered Nurse (NMC 2018) Degree Apprenticeship</t>
  </si>
  <si>
    <t>305769</t>
  </si>
  <si>
    <t>H00305769</t>
  </si>
  <si>
    <t>MSc (Hons) in Nursing Studies (Children) - Teesside University - Registered Nurse (NMC 2018) Degree Apprenticeship</t>
  </si>
  <si>
    <t>305770</t>
  </si>
  <si>
    <t>H00305770</t>
  </si>
  <si>
    <t>Postgraduate Diploma in Management - University of Derby - Senior Leader Apprenticeship</t>
  </si>
  <si>
    <t>305771</t>
  </si>
  <si>
    <t>H00305771</t>
  </si>
  <si>
    <t>305772</t>
  </si>
  <si>
    <t>H00305772</t>
  </si>
  <si>
    <t>MSc in Digital and Technology Solutions (Data Analytics Specialist) - NCH at Northeasten Limited T/a New College of the Humanities - Digital and Technology Solutions Specialist (Integrated Degree)</t>
  </si>
  <si>
    <t>305773</t>
  </si>
  <si>
    <t>H00305773</t>
  </si>
  <si>
    <t>MSc in Digital and Technology Solutions (IT Business Analysis Specialist) - NCH at Northeasten Limited T/a New College of the Humanities - Digital and Technology Solutions Specialist (Integrated Degree)</t>
  </si>
  <si>
    <t>305774</t>
  </si>
  <si>
    <t>H00305774</t>
  </si>
  <si>
    <t>MSc in Digital and Technology Solutions (IT Project Management Specialist) - NCH at Northeasten Limited T/a New College of the Humanities - Digital and Technology Solutions Specialist (Integrated Degree)</t>
  </si>
  <si>
    <t>305775</t>
  </si>
  <si>
    <t>H00305775</t>
  </si>
  <si>
    <t>MSc in Digital and Technology Solutions (IT Strategy Specialist) - NCH at Northeasten Limited T/a New College of the Humanities Digital and Technology Solutions Specialist (Integrated Degree)</t>
  </si>
  <si>
    <t>305776</t>
  </si>
  <si>
    <t>H00305776</t>
  </si>
  <si>
    <t>MSc in Digital and Technology Solutions (Software Engineering Specialist)  - NCH at Northeasten Limited T/a New College of the Humanities - Digital and Technology Solutions Specialist (Integrated Degree)</t>
  </si>
  <si>
    <t>305777</t>
  </si>
  <si>
    <t>H00305777</t>
  </si>
  <si>
    <t>MSc in Artificial Intelligence and Data Science - NCH at Northeasten Limited T/a New College of the Humanities -Artificial Intelligence (AI) Data Specialist</t>
  </si>
  <si>
    <t>305778</t>
  </si>
  <si>
    <t>H00305778</t>
  </si>
  <si>
    <t>BSc (Hons) in Project Management with Digital Technologies -NCH at Northeasten Limited T/a New College of the Humanities - Project Manager (Integrated Degree)</t>
  </si>
  <si>
    <t>305779</t>
  </si>
  <si>
    <t>H00305779</t>
  </si>
  <si>
    <t>BSc (Hons) in Bioscience with Digital Technologies - NCH at Northeasten Limited T/a New College of the Humanities - Laboratory Scientist (Degree)</t>
  </si>
  <si>
    <t>305780</t>
  </si>
  <si>
    <t>H00305780</t>
  </si>
  <si>
    <t>DipHE in Bioscience with Digital Technologies - NCH at Northeasten Limited T/a New College of the Humanities - Technician Scientist Standard</t>
  </si>
  <si>
    <t>305781</t>
  </si>
  <si>
    <t>H00305781</t>
  </si>
  <si>
    <t>BSc (Hons) in Public Health Practitioner - University of East London - Public Health Practitioner Degree Apprenticeship</t>
  </si>
  <si>
    <t>305782</t>
  </si>
  <si>
    <t>H00305782</t>
  </si>
  <si>
    <t>PgDip in Engineer - De Montfort University - Post Graduate Engineer Apprenticeship</t>
  </si>
  <si>
    <t>305783</t>
  </si>
  <si>
    <t>H00305783</t>
  </si>
  <si>
    <t>MA in Directing and Performance Practice - The Northern School of Art - Arts University Bournemouth</t>
  </si>
  <si>
    <t>305784</t>
  </si>
  <si>
    <t>H00305784</t>
  </si>
  <si>
    <t>Certificate of Higher Education in Community Policing Practice - University of South Wales - Police Community Support Officer Apprenticeship</t>
  </si>
  <si>
    <t>305785</t>
  </si>
  <si>
    <t>H00305785</t>
  </si>
  <si>
    <t>FdA in Games Design for Industry - Cornwall College</t>
  </si>
  <si>
    <t>305786</t>
  </si>
  <si>
    <t>H00305786</t>
  </si>
  <si>
    <t>PG Diploma in Business Administration - The University of Winchester - Senior Leader Apprenticeship - Class based</t>
  </si>
  <si>
    <t>305787</t>
  </si>
  <si>
    <t>H00305787</t>
  </si>
  <si>
    <t>PG Diploma in Business Administration - The University of Winchester - Senior Leader Apprenticeship - Distance Learning</t>
  </si>
  <si>
    <t>305788</t>
  </si>
  <si>
    <t>H00305788</t>
  </si>
  <si>
    <t>BSc(Hons) in Construction Project Management - University of Bolton - Construction Project Management(Degree Apprenticeship)</t>
  </si>
  <si>
    <t>305789</t>
  </si>
  <si>
    <t>H00305789</t>
  </si>
  <si>
    <t>Graduate Diploma in Professional Policing Practice (DHEP) Fast Track Detective - Middlesex University</t>
  </si>
  <si>
    <t>305790</t>
  </si>
  <si>
    <t>H00305790</t>
  </si>
  <si>
    <t>Graduate Diploma in Professional Policing Practice (DHEP) - Middlesex University</t>
  </si>
  <si>
    <t>305791</t>
  </si>
  <si>
    <t>H00305791</t>
  </si>
  <si>
    <t>FdA in Child and Family Studies (Full Time) - Cornwall College</t>
  </si>
  <si>
    <t>305792</t>
  </si>
  <si>
    <t>H00305792</t>
  </si>
  <si>
    <t>BSc (Hons) in Diagnostic Radiography - University of Plymouth - Diagnostic Radiographer Degree Apprenticeship</t>
  </si>
  <si>
    <t>305793</t>
  </si>
  <si>
    <t>H00305793</t>
  </si>
  <si>
    <t>BSc (Hons) in Occupational Therapy - University of Plymouth - Occupational Therapist Degree Apprenticeship</t>
  </si>
  <si>
    <t>305794</t>
  </si>
  <si>
    <t>H00305794</t>
  </si>
  <si>
    <t>MA in Human Resource Management - University of Plymouth - Senior People Professional Apprenticeship</t>
  </si>
  <si>
    <t>305795</t>
  </si>
  <si>
    <t>H00305795</t>
  </si>
  <si>
    <t>MSc in Sustainability - Cranfield University</t>
  </si>
  <si>
    <t>H00305796</t>
  </si>
  <si>
    <t>Pre-Service Professional Graduate Certificate in Education (Lifelong Learning) - Selby College</t>
  </si>
  <si>
    <t>H00305797</t>
  </si>
  <si>
    <t>CPD in Psychological Wellbeing Practitioner - Liverpool John Moores University - Psychological Wellbeing Practitioner Standard</t>
  </si>
  <si>
    <t>H00305798</t>
  </si>
  <si>
    <t>FdSc in Applied Environmental Land Management - SMB Group</t>
  </si>
  <si>
    <t>H00305799</t>
  </si>
  <si>
    <t>FdSc in Equine Performance with Rehabilitation - SMB Group</t>
  </si>
  <si>
    <t>H00305800</t>
  </si>
  <si>
    <t>FdSc in Equine Performance with Coaching - SMB Group</t>
  </si>
  <si>
    <t>H00305801</t>
  </si>
  <si>
    <t>FdSc in Animal Management (Rehabilitation) - SMB Group</t>
  </si>
  <si>
    <t>H00305802</t>
  </si>
  <si>
    <t>BSc (Hons) in Equine Performance with Rehabilitation (Top up) - SMB Group</t>
  </si>
  <si>
    <t>H00305803</t>
  </si>
  <si>
    <t>BSc (Hons) in Equine Performance with Coaching (Top up) - SMB Group</t>
  </si>
  <si>
    <t>H00305804</t>
  </si>
  <si>
    <t>FdSc in Equine Performance with Business - SMB Group</t>
  </si>
  <si>
    <t>H00305805</t>
  </si>
  <si>
    <t>BSc (Hons) in Animal Management (Rehabilitation) (Top up) - SMB Group</t>
  </si>
  <si>
    <t>H00305806</t>
  </si>
  <si>
    <t>BSc (Hons) in Sports Science (Coaching and Performance) (Top up) - SMB Group</t>
  </si>
  <si>
    <t>H00305807</t>
  </si>
  <si>
    <t>BSc (Hons) in Sports Science (Strength and Conditioning) (Top up) - SMB Group</t>
  </si>
  <si>
    <t>H00305808</t>
  </si>
  <si>
    <t>Certificate in Education - Newcastle and Stafford Colleges Group</t>
  </si>
  <si>
    <t>H00305809</t>
  </si>
  <si>
    <t>Professional Graduate Certificate in Education - Newcastle and Stafford Colleges Group</t>
  </si>
  <si>
    <t>H00305810</t>
  </si>
  <si>
    <t>Postgraduate Diploma in Engineering Competence (Design and Development Engineer (Automotive)) - Birmingham City University - Post Graduate Engineer Apprenticeship</t>
  </si>
  <si>
    <t>H00305811</t>
  </si>
  <si>
    <t>Postgraduate Diploma in Engineering Competence (Design and Development Engineer (Mechanical)) - Birmingham City University - Post Graduate Engineer Apprenticeship</t>
  </si>
  <si>
    <t>H00305812</t>
  </si>
  <si>
    <t>Postgraduate Diploma in Engineering Competence (Engineering Business Manager) - Birmingham City University - Post Graduate Engineer Apprenticeship</t>
  </si>
  <si>
    <t>H00305813</t>
  </si>
  <si>
    <t>Postgraduate Diploma in Engineering Competence (Logistics and Supply Chain / Procurement Management) - Birmingham City University - Post Graduate Engineer Apprenticeship</t>
  </si>
  <si>
    <t>H00305814</t>
  </si>
  <si>
    <t>MA in Advanced Educational Practice - New City College</t>
  </si>
  <si>
    <t>H00305815</t>
  </si>
  <si>
    <t>BA (Hons) in Integrative Counselling - New City College</t>
  </si>
  <si>
    <t>H00305816</t>
  </si>
  <si>
    <t>PG Diploma in Business Administration (Executive) - Leeds Beckett University - Business Administration Apprenticeship</t>
  </si>
  <si>
    <t>H00305817</t>
  </si>
  <si>
    <t>Certificate in Higher Education in Accounting - Blackburn College</t>
  </si>
  <si>
    <t>H00305818</t>
  </si>
  <si>
    <t>Certificate in Higher Education in Early Childhood Studies - Blackburn College</t>
  </si>
  <si>
    <t>H00305819</t>
  </si>
  <si>
    <t>Certificate in Higher Education in Working with Children and Young People - Blackburn College</t>
  </si>
  <si>
    <t>H00305820</t>
  </si>
  <si>
    <t>Postgraduate Diploma in Executive Leadership - Leeds Trinity University - Senior Leader Apprenticeship</t>
  </si>
  <si>
    <t>H00305821</t>
  </si>
  <si>
    <t>BSC (Hons) in Nursing (Adult) - University of the West of England - Registered Nurse Degree (NMC 2018) Standard</t>
  </si>
  <si>
    <t>H00305822</t>
  </si>
  <si>
    <t>BSC (Hons) in Applied Physiotherapy - University of the West of England - Physiotherapist (integrated degree) Standard</t>
  </si>
  <si>
    <t>H00305823</t>
  </si>
  <si>
    <t>PGDip in Business Administration - University of the West of England - Senior Leader Standard</t>
  </si>
  <si>
    <t>H00305824</t>
  </si>
  <si>
    <t>CertHE in Animation - University of the West of England - Junior Animator Apprenticeship</t>
  </si>
  <si>
    <t>H00305825</t>
  </si>
  <si>
    <t>BSc (Hons) Diagnostic Imaging Practice - University of the West of England - Diagnostic Radiographer (integrated degree) Standard</t>
  </si>
  <si>
    <t>H00305826</t>
  </si>
  <si>
    <t>MA in Curator - Teesside University - Curator Apprenticeship</t>
  </si>
  <si>
    <t>H00305827</t>
  </si>
  <si>
    <t>MA in Directing (Theatre Directing) (Musical Direction) - The Manchester College (Trading name of LTE Group)</t>
  </si>
  <si>
    <t>H00305828</t>
  </si>
  <si>
    <t>BA (Hons) in Technical Theatre and Stage Management - The Manchester College (Trading name of LTE Group)</t>
  </si>
  <si>
    <t>H00305829</t>
  </si>
  <si>
    <t>BA (Hons) in Illustration - Oxford Brookes University</t>
  </si>
  <si>
    <t>H00305830</t>
  </si>
  <si>
    <t>BA (Hons) in Education and Lifelong Learning - Oxford Brookes University</t>
  </si>
  <si>
    <t>H00305831</t>
  </si>
  <si>
    <t>BA (Hons) in Professional and Creative Writing - TEC Partnership</t>
  </si>
  <si>
    <t>H00305832</t>
  </si>
  <si>
    <t>MA in Journalism - University of Portsmouth - Senior Journalist Standard</t>
  </si>
  <si>
    <t>H00305833</t>
  </si>
  <si>
    <t>FdSc in Health and Social Care - Shrewsbury College Group</t>
  </si>
  <si>
    <t>H00305834</t>
  </si>
  <si>
    <t>BA (Hons) in Creative Digital Design - The Manchester Metropolitan University - Creative Digital Design Professional (Integrated Degree) Standard</t>
  </si>
  <si>
    <t>H00305835</t>
  </si>
  <si>
    <t>BSc (Hons) in Therapeutic Radiography - Sheffield Hallam University</t>
  </si>
  <si>
    <t>H00305836</t>
  </si>
  <si>
    <t>H00305837</t>
  </si>
  <si>
    <t>Graduate Diploma in Professional Policing Practice (DHEP) Fast Track Detective - Canterbury Christ Church University</t>
  </si>
  <si>
    <t>H00305838</t>
  </si>
  <si>
    <t>Graduate Diploma in Professional Policing Practice (DHEP) - Canterbury Christ Church University</t>
  </si>
  <si>
    <t>H00305839</t>
  </si>
  <si>
    <t>BSc (Hons) in Sports Therapy - Exeter College</t>
  </si>
  <si>
    <t>H00305840</t>
  </si>
  <si>
    <t>FdA in Business - Exeter College</t>
  </si>
  <si>
    <t>H00305841</t>
  </si>
  <si>
    <t>BSc (Hons) in Professional Development in Health and Social Care - University of Oxford Brookes</t>
  </si>
  <si>
    <t>H00305842</t>
  </si>
  <si>
    <t>MSc in Clinical Associate Psychologist (Children and Young People) - Royal Holloway and Bedford New College - Clinical Associate in Psychology (CAP) Degree Apprenticeship</t>
  </si>
  <si>
    <t>H00305843</t>
  </si>
  <si>
    <t>BA (Hons) Mental Health and Resilience</t>
  </si>
  <si>
    <t>H00305844</t>
  </si>
  <si>
    <t>BEng (Hons) Electromechanical Engineering</t>
  </si>
  <si>
    <t>H00305845</t>
  </si>
  <si>
    <t>FdA Mental Health and Resilience</t>
  </si>
  <si>
    <t>H00305846</t>
  </si>
  <si>
    <t>BA (Hons) in Games Art and Concept Design - Oldham College</t>
  </si>
  <si>
    <t>H00305847</t>
  </si>
  <si>
    <t>BA (Hons) in Performance and Entertainment - Oldham College</t>
  </si>
  <si>
    <t>H00305848</t>
  </si>
  <si>
    <t>BA (Hons) in Illustration - Oldham College</t>
  </si>
  <si>
    <t>H00305849</t>
  </si>
  <si>
    <t>BSc (Hons) in Healthcare Science (Life Sciences) - Staffordshire University - Healthcare Science Practitioner (Integrated Degree) Apprenticeship</t>
  </si>
  <si>
    <t>H00305850</t>
  </si>
  <si>
    <t>MSc in Landscape Management (DL) - Myerscough College</t>
  </si>
  <si>
    <t>H00305851</t>
  </si>
  <si>
    <t>BSc (Hons) in Business and Management (Top up) - Bedford College</t>
  </si>
  <si>
    <t>H00305852</t>
  </si>
  <si>
    <t>FDA in Business - Exeter College</t>
  </si>
  <si>
    <t>H00305853</t>
  </si>
  <si>
    <t>CPD in Short Course Photonics - South Devon College</t>
  </si>
  <si>
    <t>H00305854</t>
  </si>
  <si>
    <t>FdSc in Marine Biology with Oceanography (Part time) - Cornwall College</t>
  </si>
  <si>
    <t>H00305855</t>
  </si>
  <si>
    <t>FdSc in Marine Biology with Oceanography (Full time) - Cornwall College</t>
  </si>
  <si>
    <t>H00305856</t>
  </si>
  <si>
    <t>FdSc in Marine Biology with Conservation (Part time) - Cornwall College</t>
  </si>
  <si>
    <t>H00305857</t>
  </si>
  <si>
    <t>FdSc in Marine Biology with Conservation (Full time) - Cornwall College</t>
  </si>
  <si>
    <t>H00305858</t>
  </si>
  <si>
    <t>FdSc in Animal Behaviour and Welfare (Part time) - Cornwall College</t>
  </si>
  <si>
    <t>H00305859</t>
  </si>
  <si>
    <t>FdSc in Animal Behaviour and Welfare (Full time) - Cornwall College</t>
  </si>
  <si>
    <t>H00305860</t>
  </si>
  <si>
    <t>FdSc in Zoology with Ecology and Conservation (Part time) - Cornwall College</t>
  </si>
  <si>
    <t>H00305861</t>
  </si>
  <si>
    <t>FdSc in Zoology with Ecology and Conservation (Full time) - Cornwall College</t>
  </si>
  <si>
    <t>H00305862</t>
  </si>
  <si>
    <t>FdSc in Surf Science (Part time) - Cornwall College</t>
  </si>
  <si>
    <t>H00305863</t>
  </si>
  <si>
    <t>FdSc in Surf Science (Full time) - Cornwall College</t>
  </si>
  <si>
    <t>H00305864</t>
  </si>
  <si>
    <t>BSc (Hons) in Midwifery - University of Cumbria - Midwife (2019 NMC Standards) Degree Apprenticeship</t>
  </si>
  <si>
    <t>H00305865</t>
  </si>
  <si>
    <t>H00305866</t>
  </si>
  <si>
    <t>BA (Hons) in Journalism - University of Gloucestershire - Journalism apprenticeship</t>
  </si>
  <si>
    <t>H00305867</t>
  </si>
  <si>
    <t>MSc in Advanced Clinical Practice - University of Gloucestershire -Advanced Clinical Practitioner Degree Apprenticeship</t>
  </si>
  <si>
    <t>H00305868</t>
  </si>
  <si>
    <t>H00305869</t>
  </si>
  <si>
    <t>BSc (Hons) in Social Work- University of Gloucestershire - Social Work apprenticeship</t>
  </si>
  <si>
    <t>H00305870</t>
  </si>
  <si>
    <t>BSc (Hons) in Diagnostic Radiography - University of Gloucestershire - Diagnostic Radiography apprenticeship</t>
  </si>
  <si>
    <t>H00305871</t>
  </si>
  <si>
    <t>BSc (Hons) in Bioscience - The Manchester Metropolitan University - Laboratory Scientist (Degree)</t>
  </si>
  <si>
    <t>H00305872</t>
  </si>
  <si>
    <t>PGCert for Career Development Professional  - University of Warwick - Career Development Professional Standard</t>
  </si>
  <si>
    <t>H00305873</t>
  </si>
  <si>
    <t>Foundation Degree in Nuclear Manufacturing - University of Sheffield - Nuclear Scientist and Nuclear Engineer (integrated degree) apprenticeship</t>
  </si>
  <si>
    <t>H00305875</t>
  </si>
  <si>
    <t>BA(Hons) in Education, Childhood and Youth - Cheshire College South and West</t>
  </si>
  <si>
    <t>H00305876</t>
  </si>
  <si>
    <t>Foundation Degree Science (FdSc) in Sports Coaching and Fitness - South Devon College</t>
  </si>
  <si>
    <t>H00305877</t>
  </si>
  <si>
    <t>Certificate of Higher Education (CertHE) in Sports Coaching - South Devon College</t>
  </si>
  <si>
    <t>H00305878</t>
  </si>
  <si>
    <t>Cert HE in Construction Management - Anglia Ruskin University - Construction Site Supervisor Apprenticeship</t>
  </si>
  <si>
    <t>H00305879</t>
  </si>
  <si>
    <t>Cert HE in Quantity Surveying - Anglia Ruskin University - Construction Quantity Surveying Technician Apprenticeship</t>
  </si>
  <si>
    <t>H00305880</t>
  </si>
  <si>
    <t>BSc (Hons) in Construction Management - Anglia Ruskin University - Construction Site Management Degree Apprenticeship</t>
  </si>
  <si>
    <t>H00305881</t>
  </si>
  <si>
    <t>BSc (Hons) in Professional Policing Practice - Anglia Ruskin University - Police Constable Degree Apprenticeship</t>
  </si>
  <si>
    <t>H00305882</t>
  </si>
  <si>
    <t>BA (Hons) in Management and Leadership - Anglia Ruskin University - Chartered Manager Degree Apprenticeship</t>
  </si>
  <si>
    <t>H00305883</t>
  </si>
  <si>
    <t>BSc (Hons) in Project Management - Anglia Ruskin University - Project Manager Degree Apprenticeship</t>
  </si>
  <si>
    <t>H00305884</t>
  </si>
  <si>
    <t>Cert HE in Working with Children, Young People and Families - Yeovil College</t>
  </si>
  <si>
    <t>H00305885</t>
  </si>
  <si>
    <t>Advanced Certificate in Professional Dance Performance</t>
  </si>
  <si>
    <t>H00305886</t>
  </si>
  <si>
    <t>Advanced Diploma in Professional Dance Performance</t>
  </si>
  <si>
    <t>H00305887</t>
  </si>
  <si>
    <t>Advanced Certificate in 3D Computer Animation</t>
  </si>
  <si>
    <t>H00305888</t>
  </si>
  <si>
    <t>Advanced Diploma in 3D Computer Animation</t>
  </si>
  <si>
    <t>H00305889</t>
  </si>
  <si>
    <t>Advanced Certificate in Administration and Information Technology</t>
  </si>
  <si>
    <t>H00305890</t>
  </si>
  <si>
    <t>Advanced Diploma in Administration and Information Technology</t>
  </si>
  <si>
    <t>H00305891</t>
  </si>
  <si>
    <t>Advanced Certificate in Architectural Technology</t>
  </si>
  <si>
    <t>H00305892</t>
  </si>
  <si>
    <t>Advanced Diploma in Architectural Technology</t>
  </si>
  <si>
    <t>H00305893</t>
  </si>
  <si>
    <t>Advanced Certificate in Art and Design</t>
  </si>
  <si>
    <t>H00305894</t>
  </si>
  <si>
    <t>Advanced Diploma in Art and Design</t>
  </si>
  <si>
    <t>H00305895</t>
  </si>
  <si>
    <t>Advanced Certificate in Built Environment</t>
  </si>
  <si>
    <t>H00305896</t>
  </si>
  <si>
    <t>Advanced Certificate in Civil Engineering</t>
  </si>
  <si>
    <t>H00305897</t>
  </si>
  <si>
    <t>Advanced Diploma in Civil Engineering</t>
  </si>
  <si>
    <t>H00305898</t>
  </si>
  <si>
    <t>Advanced Certificate in Computer Aided Architectural Design and Technology</t>
  </si>
  <si>
    <t>H00305899</t>
  </si>
  <si>
    <t>Advanced Diploma in Computer Aided Architectural Design and Technology</t>
  </si>
  <si>
    <t>H00305900</t>
  </si>
  <si>
    <t>Advanced Certificate in Computer Aided Draughting and Design</t>
  </si>
  <si>
    <t>H00305901</t>
  </si>
  <si>
    <t>Advanced Diploma in Computer Science</t>
  </si>
  <si>
    <t>H00305902</t>
  </si>
  <si>
    <t>Advanced Certificate in Computing</t>
  </si>
  <si>
    <t>H00305903</t>
  </si>
  <si>
    <t>Advanced Diploma in Computing: Networking</t>
  </si>
  <si>
    <t>H00305904</t>
  </si>
  <si>
    <t>Advanced Diploma in Computing: Software Development</t>
  </si>
  <si>
    <t>H00305905</t>
  </si>
  <si>
    <t>Advanced Diploma in Computing: Technical Support</t>
  </si>
  <si>
    <t>H00305906</t>
  </si>
  <si>
    <t>Advanced Diploma in Construction Management</t>
  </si>
  <si>
    <t>H00305907</t>
  </si>
  <si>
    <t>Advanced Certificate in Electrical Engineering</t>
  </si>
  <si>
    <t>H00305908</t>
  </si>
  <si>
    <t>Advanced Diploma in Electrical Engineering</t>
  </si>
  <si>
    <t>H00305909</t>
  </si>
  <si>
    <t>Advanced Diploma in Electronic Engineering</t>
  </si>
  <si>
    <t>H00305910</t>
  </si>
  <si>
    <t>Advanced Diploma in Electronics</t>
  </si>
  <si>
    <t>H00305911</t>
  </si>
  <si>
    <t>Advanced Certificate in Engineering Systems</t>
  </si>
  <si>
    <t>H00305912</t>
  </si>
  <si>
    <t>Advanced Diploma in Engineering Systems</t>
  </si>
  <si>
    <t>H00305913</t>
  </si>
  <si>
    <t>Advanced Certificate in Events</t>
  </si>
  <si>
    <t>H00305914</t>
  </si>
  <si>
    <t>Advanced Diploma in Events Management</t>
  </si>
  <si>
    <t>H00305915</t>
  </si>
  <si>
    <t>Advanced Diploma in Financial Services</t>
  </si>
  <si>
    <t>H00305916</t>
  </si>
  <si>
    <t>Advanced Diploma in Hospitality Management</t>
  </si>
  <si>
    <t>H00305917</t>
  </si>
  <si>
    <t>Advanced Certificate in Hospitality Operations</t>
  </si>
  <si>
    <t>H00305918</t>
  </si>
  <si>
    <t>Advanced Certificate in Mechanical Engineering</t>
  </si>
  <si>
    <t>H00305919</t>
  </si>
  <si>
    <t>Advanced Diploma in Mechanical Engineering</t>
  </si>
  <si>
    <t>H00305920</t>
  </si>
  <si>
    <t>Advanced Certificate in Musical Theatre</t>
  </si>
  <si>
    <t>H00305921</t>
  </si>
  <si>
    <t>Advanced Certificate in Occupational Therapy Support</t>
  </si>
  <si>
    <t>H00305922</t>
  </si>
  <si>
    <t>Advanced Certificate in Petroleum Engineering</t>
  </si>
  <si>
    <t>H00305923</t>
  </si>
  <si>
    <t>Advanced Diploma in Petroleum Engineering</t>
  </si>
  <si>
    <t>H00305924</t>
  </si>
  <si>
    <t>Advanced Certificate in Professional Cookery</t>
  </si>
  <si>
    <t>H00305925</t>
  </si>
  <si>
    <t>Advanced Diploma in Professional Cookery with Management</t>
  </si>
  <si>
    <t>H00305926</t>
  </si>
  <si>
    <t>Advanced Certificate in Quantity Surveying</t>
  </si>
  <si>
    <t>H00305927</t>
  </si>
  <si>
    <t>Advanced Diploma in Quantity Surveying</t>
  </si>
  <si>
    <t>H00305928</t>
  </si>
  <si>
    <t>Advanced Diploma in Retail Management</t>
  </si>
  <si>
    <t>H00305929</t>
  </si>
  <si>
    <t>Advanced Diploma in Supply Chain Management</t>
  </si>
  <si>
    <t>H00305930</t>
  </si>
  <si>
    <t>Advanced Certificate in Travel and Tourism</t>
  </si>
  <si>
    <t>H00305931</t>
  </si>
  <si>
    <t>Advanced Diploma in Travel and Tourism</t>
  </si>
  <si>
    <t>H00305932</t>
  </si>
  <si>
    <t>Advanced Certificate in Visual Communication</t>
  </si>
  <si>
    <t>H00305933</t>
  </si>
  <si>
    <t>Advanced Diploma in Visual Communication</t>
  </si>
  <si>
    <t>H00305934</t>
  </si>
  <si>
    <t>BSc (Hons) in Osteopathy Top-up - NESCOT</t>
  </si>
  <si>
    <t>H00305935</t>
  </si>
  <si>
    <t>H00305936</t>
  </si>
  <si>
    <t>FdSc in Hearing Aid Audiology - Anglia Ruskin University - Hearing Aid Dispenser Apprenticeship Standard</t>
  </si>
  <si>
    <t>H00305937</t>
  </si>
  <si>
    <t>CPD in Operations and Departmental Manager - De Montfort University - Operations or Departmental Manager Apprenticeship</t>
  </si>
  <si>
    <t>H00305938</t>
  </si>
  <si>
    <t>HNC in Electrical and Electronic Engineering - University of Central Lancashire - Engineering Manufacturing Technician standard</t>
  </si>
  <si>
    <t>H00305939</t>
  </si>
  <si>
    <t>HNC in Mechanical and Computer Aided Engineering - University of Central Lancashire - Engineering Manufacturing Technician standard</t>
  </si>
  <si>
    <t>H00305940</t>
  </si>
  <si>
    <t>BSc (Hons) in Strength and Conditioning - Bishop Burton College</t>
  </si>
  <si>
    <t>H00305941</t>
  </si>
  <si>
    <t>BSc (Hons) in Sport, Coaching and Development - Bishop Burton College</t>
  </si>
  <si>
    <t>H00305942</t>
  </si>
  <si>
    <t>FdA in Nursing Associate - University College Birmingham</t>
  </si>
  <si>
    <t>H00305943</t>
  </si>
  <si>
    <t>Graduate Diploma in Teaching and Learning - Leicester College</t>
  </si>
  <si>
    <t>H00305944</t>
  </si>
  <si>
    <t>Graduate Diploma in Professional Policing Practice (DHEP) Fast Track Detective - University of Portsmouth</t>
  </si>
  <si>
    <t>H00305945</t>
  </si>
  <si>
    <t>Graduate Diploma in Professional Policing Practice (DHEP) - University of Portsmouth</t>
  </si>
  <si>
    <t>H00305946</t>
  </si>
  <si>
    <t>FdSc in Computing - University Centre South Devon (UCSD) - South Devon College</t>
  </si>
  <si>
    <t>H00305947</t>
  </si>
  <si>
    <t>FdSc in Computer Science - Staffordshire University</t>
  </si>
  <si>
    <t>H00305948</t>
  </si>
  <si>
    <t>DipHE in Network Engineering - The Open University</t>
  </si>
  <si>
    <t>H00305949</t>
  </si>
  <si>
    <t>DipHE in Software and Development - The Open University</t>
  </si>
  <si>
    <t>H00305950</t>
  </si>
  <si>
    <t>FdSc in Computing with Networking - New College Durham</t>
  </si>
  <si>
    <t>H00305951</t>
  </si>
  <si>
    <t>CertHE in Software Development - Nottingham Trent University</t>
  </si>
  <si>
    <t>H00305952</t>
  </si>
  <si>
    <t>BSc (Hons) in Psychology with Criminology - DN Colleges Group</t>
  </si>
  <si>
    <t>H00305953</t>
  </si>
  <si>
    <t>FDSC in Health and Social Care - Exeter College</t>
  </si>
  <si>
    <t>H00305954</t>
  </si>
  <si>
    <t>BSc (Hons) in Midwifery - University of Bedfordshire - Midwife (2019 NMC Standards) Degree Apprenticeship</t>
  </si>
  <si>
    <t>H00305955</t>
  </si>
  <si>
    <t>MSc in Midwifery - University of Bedfordshire - Midwife (2019 NMC Standards) Degree Apprenticeship</t>
  </si>
  <si>
    <t>H00305956</t>
  </si>
  <si>
    <t>BA (Hons) in Golf Club Management - Cornwall College</t>
  </si>
  <si>
    <t>H00305957</t>
  </si>
  <si>
    <t>FdSc in Food Manufacturing - Petroc</t>
  </si>
  <si>
    <t>H00305958</t>
  </si>
  <si>
    <t>BEng (Hons) in Fire Engineering - University of Central Lancashire - Fire Safety Engineer Apprenticeship</t>
  </si>
  <si>
    <t>H00305959</t>
  </si>
  <si>
    <t>FdSc in Management of Animal Collections with Conservation - Askham Bryan College</t>
  </si>
  <si>
    <t>H00305960</t>
  </si>
  <si>
    <t>FdSc in Management of Aquatics and Conservation of Oceans - Askham Bryan College</t>
  </si>
  <si>
    <t>H00305961</t>
  </si>
  <si>
    <t>FdSc in Wildlife and Environmental Conservation - Askham Bryan College</t>
  </si>
  <si>
    <t>H00305962</t>
  </si>
  <si>
    <t>Extended FdSc in Animal Science with Management - Askham Bryan College</t>
  </si>
  <si>
    <t>H00305963</t>
  </si>
  <si>
    <t>Extended FdSc in Management of Animal Collections with Conservation - Askham Bryan College</t>
  </si>
  <si>
    <t>H00305964</t>
  </si>
  <si>
    <t>Extended FdSc in Management of Aquatics and Conservation of Oceans - Askham Bryan College</t>
  </si>
  <si>
    <t>H00305965</t>
  </si>
  <si>
    <t>Extended FdSc in Wildlife and Environmental Conservation - Askham Bryan College</t>
  </si>
  <si>
    <t>H00305966</t>
  </si>
  <si>
    <t>Certificate of Higher Education in Animal Science with Management - Askham Bryan College</t>
  </si>
  <si>
    <t>H00305967</t>
  </si>
  <si>
    <t>Certificate of Higher Education in Management of Animal Collections with Conservation - Askham Bryan College</t>
  </si>
  <si>
    <t>H00305968</t>
  </si>
  <si>
    <t>Certificate of Higher Education in Management of Aquatics and Conservation of Oceans - Askham Bryan College</t>
  </si>
  <si>
    <t>H00305969</t>
  </si>
  <si>
    <t>Certificate of Higher Education in Wildlife and Environmental Conservation - Askham Bryan College</t>
  </si>
  <si>
    <t>H00305970</t>
  </si>
  <si>
    <t>FdSc in Animal Science with Management - Askham Bryan College</t>
  </si>
  <si>
    <t>H00305971</t>
  </si>
  <si>
    <t>DipHE in Business Management Practice - Leeds Beckett University - Operations or Departmental Manager Apprenticeship</t>
  </si>
  <si>
    <t>H00305972</t>
  </si>
  <si>
    <t>Masters (MA) in Applied Management - North East Surrey College of Technology</t>
  </si>
  <si>
    <t>H00305973</t>
  </si>
  <si>
    <t>BA (Hons) Top-Up in Professional Practice Working with Children and Young People - North East Surrey College of Technology</t>
  </si>
  <si>
    <t>H00305974</t>
  </si>
  <si>
    <t>Academic Professional (Research) Certificate - Canterbury Christ Church University - Academic Professional Apprenticeship</t>
  </si>
  <si>
    <t>H00305976</t>
  </si>
  <si>
    <t>PgDip in Leadership and Management (Public Sector) - University of Salford - Senior Leader Apprenticeship</t>
  </si>
  <si>
    <t>H00305977</t>
  </si>
  <si>
    <t>FdSc in Electronics and Robotic Control Engineering - University of Plymouth</t>
  </si>
  <si>
    <t>H00305978</t>
  </si>
  <si>
    <t>Certificate in Higher Education Biological Science - York St John University - Laboratory Technician apprenticeship standard</t>
  </si>
  <si>
    <t>H00305979</t>
  </si>
  <si>
    <t>FdA in Illustration and Concept Art - DN Colleges Group</t>
  </si>
  <si>
    <t>H00305980</t>
  </si>
  <si>
    <t>BA (Hons) in Illustration and Concept Art (Top-Up) -DN Colleges Group</t>
  </si>
  <si>
    <t>H00305981</t>
  </si>
  <si>
    <t>BSc (Hons) in Health Care Management - Arden University - Chartered  Manager Degree Apprenticeship</t>
  </si>
  <si>
    <t>H00305982</t>
  </si>
  <si>
    <t>BSc (Hons) in Project Management - Arden University - Project Manager Degree Apprenticeship</t>
  </si>
  <si>
    <t>H00305983</t>
  </si>
  <si>
    <t>BSc (Hons) in Supply Chain Management (Professional Practice) - Arden University - Supply Chain Leadership Professional Degree Apprenticeship</t>
  </si>
  <si>
    <t>H00305984</t>
  </si>
  <si>
    <t>BA (Hons) in Games Design and Production (Top Up) - Sunderland College</t>
  </si>
  <si>
    <t>H00305985</t>
  </si>
  <si>
    <t>FdA in Games Design and Production - Sunderland College</t>
  </si>
  <si>
    <t>H00305986</t>
  </si>
  <si>
    <t>Foundation Degree in Performing Arts (Performance Practitioners) - SMB Group</t>
  </si>
  <si>
    <t>H00305987</t>
  </si>
  <si>
    <t>BA (Hons) in Performing Arts (Performance Practitioners) Top Up - SMB Group</t>
  </si>
  <si>
    <t>H00305988</t>
  </si>
  <si>
    <t>Foundation Degree in Childhood, Education and SEND - SMB Group</t>
  </si>
  <si>
    <t>H00305989</t>
  </si>
  <si>
    <t>BA (Hons) in Childhood, Education and SEND (Top Up) - SMB Group</t>
  </si>
  <si>
    <t>H00305990</t>
  </si>
  <si>
    <t>FdSc in Sports Coaching - Sandwell College</t>
  </si>
  <si>
    <t>H00305991</t>
  </si>
  <si>
    <t>Foundation Degree in (Arts) Primary Education - Burnley College</t>
  </si>
  <si>
    <t>H00305992</t>
  </si>
  <si>
    <t>BA (Hons) in Early Childhood and Education Studies - Burnley College</t>
  </si>
  <si>
    <t>H00305993</t>
  </si>
  <si>
    <t>BA (Hons) in Early Childhood and Education Studies with Foundation Year - Burnley College</t>
  </si>
  <si>
    <t>H00305994</t>
  </si>
  <si>
    <t>BA (Hons) in Digital Marketing - University of Gloucestershire - Digital Marketer Degree Apprenticeship</t>
  </si>
  <si>
    <t>H00305995</t>
  </si>
  <si>
    <t>MSc in Spatial Planning - Oxford Brookes University - Chartered Town Planner Degree Apprenticeship</t>
  </si>
  <si>
    <t>H00305996</t>
  </si>
  <si>
    <t>PGDip in District Nursing - Oxford Brookes University - District Nurse Apprenticeship</t>
  </si>
  <si>
    <t>H00305997</t>
  </si>
  <si>
    <t>PGDip in Specialist Community Public Health Nursing - Oxford Brookes University - Specialist Community Public Health Nurse Degree Apprenticeship</t>
  </si>
  <si>
    <t>H00305998</t>
  </si>
  <si>
    <t>PGDip in Human Resource Management - Oxford Brookes University - Senior People Professional Degree Apprenticeship (HR Specialism)</t>
  </si>
  <si>
    <t>H00305999</t>
  </si>
  <si>
    <t>PGCert in Senior Leaders Business Administration - Oxford Brookes University - Senior Leader Degree Apprenticeship</t>
  </si>
  <si>
    <t>H00306000</t>
  </si>
  <si>
    <t>MSc in Digital and Technology Solutions (Data Analytics) - Keele University - Digital and Technology Solutions Specialist Degree Apprenticeship</t>
  </si>
  <si>
    <t>H00306001</t>
  </si>
  <si>
    <t>H00306002</t>
  </si>
  <si>
    <t>H00306003</t>
  </si>
  <si>
    <t>H00306004</t>
  </si>
  <si>
    <t>BSc (Hons) in Nursing with Registered Nurse Status (Adult) - Liverpool John Moores University</t>
  </si>
  <si>
    <t>H00306005</t>
  </si>
  <si>
    <t>BSc (Hons) in Nursing with Registered Nurse Status (Child) - Liverpool John Moores University</t>
  </si>
  <si>
    <t>H00306006</t>
  </si>
  <si>
    <t>BSc (Hons) in Environmental Science (Practitioner) - Keele University - Environmental Practitioner Standard</t>
  </si>
  <si>
    <t>H00306007</t>
  </si>
  <si>
    <t>BSc (Hons) in Prosthetics and Orthotics - University of Derby - Prosthetist and Orthotist Degree Apprenticeship</t>
  </si>
  <si>
    <t>H00306008</t>
  </si>
  <si>
    <t>BSc (Hons) in Zoological Management and Conservation - South Gloucestershire and Stroud College</t>
  </si>
  <si>
    <t>H00306009</t>
  </si>
  <si>
    <t>FdA Children, Young People and Families</t>
  </si>
  <si>
    <t>H00306010</t>
  </si>
  <si>
    <t>BA (Hons) Children, Young People and Families</t>
  </si>
  <si>
    <t>H00306011</t>
  </si>
  <si>
    <t>FdSc Software Engineering (Systems Development)</t>
  </si>
  <si>
    <t>H00306012</t>
  </si>
  <si>
    <t>BSc (Hons) Software Engineering (Systems Development)</t>
  </si>
  <si>
    <t>H00306013</t>
  </si>
  <si>
    <t>Cert HE Health and Social Care</t>
  </si>
  <si>
    <t>H00306014</t>
  </si>
  <si>
    <t>BEng (Hons) Engineering (Robotics and Automation Engineering)</t>
  </si>
  <si>
    <t>H00306015</t>
  </si>
  <si>
    <t>FdA Protective Services</t>
  </si>
  <si>
    <t>H00306016</t>
  </si>
  <si>
    <t>BA (Hons) Protective Services</t>
  </si>
  <si>
    <t>H00306017</t>
  </si>
  <si>
    <t>Graduate Diploma in Professional Policing (DHEP) - University of Cumbria - Police Constable Degree Apprenticeship</t>
  </si>
  <si>
    <t>H00306018</t>
  </si>
  <si>
    <t>BSc(Hons) in Digital and Technology Solutions Top Up -TEC Partnership</t>
  </si>
  <si>
    <t>H00306019</t>
  </si>
  <si>
    <t>BSc (Hons) in Digital and Technology Solutions Top Up (Software) - TEC Partnership</t>
  </si>
  <si>
    <t>H00306020</t>
  </si>
  <si>
    <t>BSc (Hons) in Digital and Technology Solutions Top Up (Data Analytics) - TEC Partnership</t>
  </si>
  <si>
    <t>H00306021</t>
  </si>
  <si>
    <t>BSc (Hons) in Digital and Technology Solutions Top Up (Networking) - TEC Partnership</t>
  </si>
  <si>
    <t>H00306022</t>
  </si>
  <si>
    <t>BSc (Hons) in Engineering Top-Up (Mechanical Engineering) - TEC Partnership</t>
  </si>
  <si>
    <t>H00306023</t>
  </si>
  <si>
    <t>BSc (Hons) in Engineering Top-Up (Electrical and Electronic Engineering) - TEC Partnership</t>
  </si>
  <si>
    <t>H00306024</t>
  </si>
  <si>
    <t>Certificate in Education (Lifelong Learning Sector)</t>
  </si>
  <si>
    <t>H00306025</t>
  </si>
  <si>
    <t>Professional Graduate Certificate in Education (Lifelong Learning Sector)</t>
  </si>
  <si>
    <t>H00306026</t>
  </si>
  <si>
    <t>Certificate in Education (Lifelong Learning) - In-Service - Bedford College</t>
  </si>
  <si>
    <t>H00306027</t>
  </si>
  <si>
    <t>Professional Graduate Certificate in Education (Lifelong Learning) - In-Service - Bedford College</t>
  </si>
  <si>
    <t>H00306028</t>
  </si>
  <si>
    <t>Postgraduate Certificate in Education (Lifelong Learning) - In-Service - Bedford College</t>
  </si>
  <si>
    <t>H00306029</t>
  </si>
  <si>
    <t>FdSc in Nursing Associate - University of Essex -Nursing Associate Apprenticeship</t>
  </si>
  <si>
    <t>H00306030</t>
  </si>
  <si>
    <t>BSc in Speech and Language Therapy - University of Essex - Speech and Language Therapy Degree Apprenticeship</t>
  </si>
  <si>
    <t>H00306031</t>
  </si>
  <si>
    <t>BSc in Occupational Therapy - University of Essex - Occupational Therapy Degree Apprenticeship</t>
  </si>
  <si>
    <t>H00306032</t>
  </si>
  <si>
    <t>BSc in Physiotherapy - University of Essex - Physiotherapy Degree Apprenticeship</t>
  </si>
  <si>
    <t>H00306033</t>
  </si>
  <si>
    <t>BSc (Hons) in Construction Project Management - University of Salford - Construction Site Management Apprenticeship</t>
  </si>
  <si>
    <t>H00306034</t>
  </si>
  <si>
    <t>CertHE in Marine Biology with Oceanography (Full Time) - Cornwall College</t>
  </si>
  <si>
    <t>H00306035</t>
  </si>
  <si>
    <t>CertHE in Marine Biology with Oceanography (Part Time) - Cornwall College</t>
  </si>
  <si>
    <t>H00306036</t>
  </si>
  <si>
    <t>CertHE in Marine Biology with Conservation (Full Time) - Cornwall College</t>
  </si>
  <si>
    <t>H00306037</t>
  </si>
  <si>
    <t>CertHE in Marine Biology with Conservation (Part Time) - Cornwall College</t>
  </si>
  <si>
    <t>H00306038</t>
  </si>
  <si>
    <t>CertHE in Animal Behaviour and Welfare (full Time) - Cornwall College</t>
  </si>
  <si>
    <t>H00306039</t>
  </si>
  <si>
    <t>CertHE in Animal Behaviour and Welfare (Part Time) - Cornwall College</t>
  </si>
  <si>
    <t>H00306040</t>
  </si>
  <si>
    <t>CertHE in Zoology with Ecology and Conservation (Full Time) - Cornwall College</t>
  </si>
  <si>
    <t>H00306041</t>
  </si>
  <si>
    <t>CertHE in Zoology with Ecology and Conservation (Part Time) - Cornwall College</t>
  </si>
  <si>
    <t>H00306042</t>
  </si>
  <si>
    <t>CertHE in Surf Science (Full Time) - Cornwall College</t>
  </si>
  <si>
    <t>H00306043</t>
  </si>
  <si>
    <t>CertHE in Surf Science (Part Time) - Cornwall College</t>
  </si>
  <si>
    <t>H00306044</t>
  </si>
  <si>
    <t>Cert HE in Public Health and Social Care - Croydon College</t>
  </si>
  <si>
    <t>H00306045</t>
  </si>
  <si>
    <t>Cert HE in Early Childhood Studies - Croydon College</t>
  </si>
  <si>
    <t>H00306046</t>
  </si>
  <si>
    <t>Cert HE in Criminology, Psychology and Social Justice - Croydon College</t>
  </si>
  <si>
    <t>H00306047</t>
  </si>
  <si>
    <t>H00306048</t>
  </si>
  <si>
    <t>BA (Hons) in Photography (Top Up) - Morley College London</t>
  </si>
  <si>
    <t>H00306049</t>
  </si>
  <si>
    <t>BSc (Hons) in Sport, Exercise and Health (Top-Up) - New College Durham</t>
  </si>
  <si>
    <t>H00306050</t>
  </si>
  <si>
    <t>MSc in Applied Human Resource Management - University of Exeter</t>
  </si>
  <si>
    <t>H00306051</t>
  </si>
  <si>
    <t>Postgraduate Diploma in Senior Leader - University of Exeter</t>
  </si>
  <si>
    <t>H00306052</t>
  </si>
  <si>
    <t>BSc (Hons) in Applied Finance - University of Exeter</t>
  </si>
  <si>
    <t>H00306053</t>
  </si>
  <si>
    <t>MSc in Systems Thinking in the Public Sector - University of Exeter</t>
  </si>
  <si>
    <t>H00306054</t>
  </si>
  <si>
    <t>Postgraduate Diploma in Healthcare Leadership and Management - University of Exeter</t>
  </si>
  <si>
    <t>H00306055</t>
  </si>
  <si>
    <t>FD in Sports Coaching, Development and Fitness - Middlesbrough College</t>
  </si>
  <si>
    <t>H00306056</t>
  </si>
  <si>
    <t>BSc (Hons) in Sports Coaching, Development and Fitness (Top up) - Middlesbrough College</t>
  </si>
  <si>
    <t>H00306057</t>
  </si>
  <si>
    <t>BSc (Hons) in Occupational Therapy - University of Sunderland - Occupational Therapist (integrated degree)</t>
  </si>
  <si>
    <t>H00306058</t>
  </si>
  <si>
    <t>Graduate Diploma Enhanced Clinical Practice (Apprenticeship) - University of Greenwich - Enhanced Clinical Practitioner</t>
  </si>
  <si>
    <t>H00306059</t>
  </si>
  <si>
    <t>BA (Hons) in Art and Design (Top-up) - Heart of Yorkshire Education Group</t>
  </si>
  <si>
    <t>H00306060</t>
  </si>
  <si>
    <t>BSc (Hons) in Mental Health and Well-Being (Top-up) - DN Colleges Group</t>
  </si>
  <si>
    <t>H00306061</t>
  </si>
  <si>
    <t>Pcert in Senior Leadership Development - Durham University - Senior Leadership Apprenticeship</t>
  </si>
  <si>
    <t>H00306062</t>
  </si>
  <si>
    <t>BA (Hons) in Criminology and Psychology - Solihull College</t>
  </si>
  <si>
    <t>H00306064</t>
  </si>
  <si>
    <t>PGCE in Primary and Early Years Education with QTS (Learners First) - University of Huddersfield - Teacher Apprenticeship</t>
  </si>
  <si>
    <t>H00306065</t>
  </si>
  <si>
    <t>BSc (Hons) in Sport, Health and Exercise Science (Coaching and Development) - City College Norwich</t>
  </si>
  <si>
    <t>H00306066</t>
  </si>
  <si>
    <t>BSc (Hons) in Sport, Health and Exercise Science (Fitness, Strength and Conditioning) - City College Norwich</t>
  </si>
  <si>
    <t>H00306067</t>
  </si>
  <si>
    <t>FdSc in Wildlife and Conservation Management - Craven College</t>
  </si>
  <si>
    <t>H00306068</t>
  </si>
  <si>
    <t>BSc in Conservation Management (Top-up) - Craven College</t>
  </si>
  <si>
    <t>H00306069</t>
  </si>
  <si>
    <t>FdSc in Animal Husbandry and Welfare - Craven College</t>
  </si>
  <si>
    <t>H00306070</t>
  </si>
  <si>
    <t>BSc in Animal Husbandry and Welfare (Top-up) - Craven College</t>
  </si>
  <si>
    <t>H00306071</t>
  </si>
  <si>
    <t>Certificate in Higher Education in Criminology and Criminal Justice - Blackburn College</t>
  </si>
  <si>
    <t>H00306072</t>
  </si>
  <si>
    <t>BSc (Hons) in Nursing (Adult) - University College Birmingham - Nursing Associate Apprenticeship</t>
  </si>
  <si>
    <t>H00306073</t>
  </si>
  <si>
    <t>BSc (Hons) in Nursing (Mental Health) - University College Birmingham - Nursing Associate Apprenticeship</t>
  </si>
  <si>
    <t>H00306074</t>
  </si>
  <si>
    <t>FdSc in Medical Bioscience - DN Colleges Group</t>
  </si>
  <si>
    <t>H00306075</t>
  </si>
  <si>
    <t>BEng (Hons) in Engineering Management (Top Up) - Sunderland College</t>
  </si>
  <si>
    <t>H00350678</t>
  </si>
  <si>
    <t>BSc (Hons) in Operating Department Practice- London South Bank University - Operating Department Practice (Integrated Degree Apprenticeship)</t>
  </si>
  <si>
    <t>H00350679</t>
  </si>
  <si>
    <t>BSc (Hons) in Adult Nursing - London South Bank University - Adult Nursing (Apprenticeship)</t>
  </si>
  <si>
    <t>H00465459</t>
  </si>
  <si>
    <t>Foundation Degree in Chemical Science</t>
  </si>
  <si>
    <t>H10030487</t>
  </si>
  <si>
    <t>BTEC Higher National Certificate in Construction</t>
  </si>
  <si>
    <t>H10030499</t>
  </si>
  <si>
    <t>BTEC Higher National Diploma in Construction</t>
  </si>
  <si>
    <t>H10030505</t>
  </si>
  <si>
    <t>BTEC Higher National Certificate in Civil Engineering</t>
  </si>
  <si>
    <t>H10030517</t>
  </si>
  <si>
    <t>BTEC Higher National Diploma in Civil Engineering</t>
  </si>
  <si>
    <t>H10030529</t>
  </si>
  <si>
    <t>BTEC Higher National Certificate in Building Services Engineering</t>
  </si>
  <si>
    <t>H10030530</t>
  </si>
  <si>
    <t>BTEC Higher National Diploma in Building Services Engineering</t>
  </si>
  <si>
    <t>H10030542</t>
  </si>
  <si>
    <t>BTEC Higher National Certificate in Public Services</t>
  </si>
  <si>
    <t>H10030554</t>
  </si>
  <si>
    <t>BTEC Higher National Certificate in Electrical/Electronic Engineering</t>
  </si>
  <si>
    <t>H10030566</t>
  </si>
  <si>
    <t>BTEC Higher National Diploma in Electrical/Electronic Engineering</t>
  </si>
  <si>
    <t>H10030578</t>
  </si>
  <si>
    <t>BTEC Higher National Certificate in Mechanical Engineering</t>
  </si>
  <si>
    <t>1003058X</t>
  </si>
  <si>
    <t>H1003058X</t>
  </si>
  <si>
    <t>BTEC Higher National Diploma in Mechanical Engineering</t>
  </si>
  <si>
    <t>H10030591</t>
  </si>
  <si>
    <t>BTEC Higher National Diploma in Public Services</t>
  </si>
  <si>
    <t>H10031157</t>
  </si>
  <si>
    <t>BTEC Higher National Diploma in Applied Biology</t>
  </si>
  <si>
    <t>H10031169</t>
  </si>
  <si>
    <t>BTEC Higher National Certificate in Applied Biology</t>
  </si>
  <si>
    <t>H10031194</t>
  </si>
  <si>
    <t>BTEC Higher National Diploma in Applied Chemistry</t>
  </si>
  <si>
    <t>H10031200</t>
  </si>
  <si>
    <t>BTEC Higher National Certificate in Applied Chemistry</t>
  </si>
  <si>
    <t>H10031224</t>
  </si>
  <si>
    <t>BTEC Higher National Certificate in Biomedical Science</t>
  </si>
  <si>
    <t>H10031261</t>
  </si>
  <si>
    <t>BTEC Higher National Diploma in Performing Arts</t>
  </si>
  <si>
    <t>H10031273</t>
  </si>
  <si>
    <t>BTEC Higher National Certificate in Performing Arts</t>
  </si>
  <si>
    <t>H10032575</t>
  </si>
  <si>
    <t>BTEC Higher National Certificate in Computing (General)</t>
  </si>
  <si>
    <t>H10032587</t>
  </si>
  <si>
    <t>BTEC Higher National Certificate in Computing (ICT Systems Support)</t>
  </si>
  <si>
    <t>H10032599</t>
  </si>
  <si>
    <t>BTEC Higher National Certificate in Computing (Software Development)</t>
  </si>
  <si>
    <t>H10032605</t>
  </si>
  <si>
    <t>BTEC Higher National Diploma in Computing (General)</t>
  </si>
  <si>
    <t>H10032617</t>
  </si>
  <si>
    <t>BTEC Higher National Diploma in Computing (ICT Systems Support)</t>
  </si>
  <si>
    <t>H10032629</t>
  </si>
  <si>
    <t>BTEC Higher National Diploma in Computing (Software Development)</t>
  </si>
  <si>
    <t>H10032897</t>
  </si>
  <si>
    <t>BTEC Higher National Certificate in Media</t>
  </si>
  <si>
    <t>H10032903</t>
  </si>
  <si>
    <t>BTEC Higher National Diploma in Media</t>
  </si>
  <si>
    <t>H10033671</t>
  </si>
  <si>
    <t>BTEC Higher National Diploma in Business</t>
  </si>
  <si>
    <t>H10033683</t>
  </si>
  <si>
    <t>BTEC Higher National Certificate in Business</t>
  </si>
  <si>
    <t>H10033695</t>
  </si>
  <si>
    <t>BTEC Higher National Certificate in Sport and Exercise Sciences</t>
  </si>
  <si>
    <t>H10033701</t>
  </si>
  <si>
    <t>BTEC Higher National Diploma in Sport and Exercise Sciences</t>
  </si>
  <si>
    <t>H10033919</t>
  </si>
  <si>
    <t>BTEC Higher National Certificate in Operations Engineering</t>
  </si>
  <si>
    <t>H10033920</t>
  </si>
  <si>
    <t>BTEC Higher National Diploma in Operations Engineering</t>
  </si>
  <si>
    <t>H10033932</t>
  </si>
  <si>
    <t>BTEC Higher National Certificate in Vehicle Operations Management</t>
  </si>
  <si>
    <t>H10033944</t>
  </si>
  <si>
    <t>BTEC Higher National Diploma in Vehicle Operations Management</t>
  </si>
  <si>
    <t>H10033956</t>
  </si>
  <si>
    <t>BTEC Higher National Certificate in Manufacturing Engineering</t>
  </si>
  <si>
    <t>H10033968</t>
  </si>
  <si>
    <t>BTEC Higher National Diploma in Manufacturing Engineering</t>
  </si>
  <si>
    <t>1003481X</t>
  </si>
  <si>
    <t>H1003481X</t>
  </si>
  <si>
    <t>BTEC Higher National Diploma in Music Performance</t>
  </si>
  <si>
    <t>H10034821</t>
  </si>
  <si>
    <t>BTEC Higher National Certificate in Music Performance</t>
  </si>
  <si>
    <t>H10034997</t>
  </si>
  <si>
    <t>BTEC Higher National Certificate in Graphic Design</t>
  </si>
  <si>
    <t>H10035047</t>
  </si>
  <si>
    <t>BTEC Higher National Diploma in Graphic Design</t>
  </si>
  <si>
    <t>H10035059</t>
  </si>
  <si>
    <t>BTEC Higher National Diploma in Music Production</t>
  </si>
  <si>
    <t>H10035060</t>
  </si>
  <si>
    <t>BTEC Higher National Certificate in Music Production</t>
  </si>
  <si>
    <t>H10035679</t>
  </si>
  <si>
    <t>BTEC Higher National Diploma in Marine Engineering</t>
  </si>
  <si>
    <t>H10035680</t>
  </si>
  <si>
    <t>BTEC Higher National Certificate in Marine Engineering</t>
  </si>
  <si>
    <t>H10035837</t>
  </si>
  <si>
    <t>BTEC Higher National Diploma in Aerospace Engineering</t>
  </si>
  <si>
    <t>H10035849</t>
  </si>
  <si>
    <t>BTEC Higher National Certificate in Aerospace Engineering</t>
  </si>
  <si>
    <t>H10036647</t>
  </si>
  <si>
    <t>BTEC Higher National Certificate in Animal Management</t>
  </si>
  <si>
    <t>H10036659</t>
  </si>
  <si>
    <t>BTEC Higher National Diploma in Animal Management</t>
  </si>
  <si>
    <t>H10036684</t>
  </si>
  <si>
    <t>BTEC Higher National Certificate in Horticulture</t>
  </si>
  <si>
    <t>H10036696</t>
  </si>
  <si>
    <t>BTEC Higher National Diploma in Horticulture</t>
  </si>
  <si>
    <t>H10036702</t>
  </si>
  <si>
    <t>BTEC Higher National Certificate in Environmental Conservation</t>
  </si>
  <si>
    <t>H10036714</t>
  </si>
  <si>
    <t>BTEC Higher National Diploma in Environmental Conservation</t>
  </si>
  <si>
    <t>H10038929</t>
  </si>
  <si>
    <t>BTEC Higher National Certificate in Fashion and Textiles</t>
  </si>
  <si>
    <t>H10038930</t>
  </si>
  <si>
    <t>BTEC Higher National Diploma in Fashion and Textiles</t>
  </si>
  <si>
    <t>H10039065</t>
  </si>
  <si>
    <t>BTEC Higher National Certificate in Sport and Leisure Management</t>
  </si>
  <si>
    <t>H10039077</t>
  </si>
  <si>
    <t>BTEC Higher National Diploma in Sport and Leisure Management</t>
  </si>
  <si>
    <t>H10040626</t>
  </si>
  <si>
    <t>BTEC Higher National Certificate in Advanced Practice in Work with Children and Families</t>
  </si>
  <si>
    <t>H10040638</t>
  </si>
  <si>
    <t>BTEC Higher National Diploma in Advanced Practice in Work with Children and Families</t>
  </si>
  <si>
    <t>1004064X</t>
  </si>
  <si>
    <t>H1004064X</t>
  </si>
  <si>
    <t>BTEC Higher National Certificate in Health and Social Care</t>
  </si>
  <si>
    <t>H10040651</t>
  </si>
  <si>
    <t>BTEC Higher National Diploma in Health and Social Care</t>
  </si>
  <si>
    <t>H10041485</t>
  </si>
  <si>
    <t>BTEC Higher National Certificate in Photography</t>
  </si>
  <si>
    <t>H10041497</t>
  </si>
  <si>
    <t>BTEC Higher National Diploma in Photography</t>
  </si>
  <si>
    <t>H10041503</t>
  </si>
  <si>
    <t>BTEC Higher National Certificate in 3D Design</t>
  </si>
  <si>
    <t>H10041515</t>
  </si>
  <si>
    <t>BTEC Higher National Diploma in 3D Design</t>
  </si>
  <si>
    <t>H10042519</t>
  </si>
  <si>
    <t>BTEC Higher National Diploma in Equine Management</t>
  </si>
  <si>
    <t>H10042520</t>
  </si>
  <si>
    <t>BTEC Higher National Certificate in Travel and Tourism Management</t>
  </si>
  <si>
    <t>H10042647</t>
  </si>
  <si>
    <t>BTEC Higher National Certificate in Equine Management</t>
  </si>
  <si>
    <t>H10042659</t>
  </si>
  <si>
    <t>BTEC Higher National Diploma in Travel and Tourism Management</t>
  </si>
  <si>
    <t>H10043135</t>
  </si>
  <si>
    <t>BTEC Higher National Diploma in Nautical Science</t>
  </si>
  <si>
    <t>H10043226</t>
  </si>
  <si>
    <t>BTEC Higher National Certificate in Fine Arts</t>
  </si>
  <si>
    <t>H10043238</t>
  </si>
  <si>
    <t>BTEC Higher National Diploma in Fine Arts</t>
  </si>
  <si>
    <t>H10047335</t>
  </si>
  <si>
    <t>BTEC Higher National Certificate in Interactive Media</t>
  </si>
  <si>
    <t>H10047347</t>
  </si>
  <si>
    <t>BTEC Higher National Diploma in Interactive Media</t>
  </si>
  <si>
    <t>H10048042</t>
  </si>
  <si>
    <t>BTEC Higher National Certificate in Beauty Therapy Sciences</t>
  </si>
  <si>
    <t>H10048054</t>
  </si>
  <si>
    <t>BTEC Higher National Diploma in Beauty Therapy Sciences</t>
  </si>
  <si>
    <t>1004906X</t>
  </si>
  <si>
    <t>H1004906X</t>
  </si>
  <si>
    <t>BTEC Higher National Certificate in Hospitality Management</t>
  </si>
  <si>
    <t>H10049071</t>
  </si>
  <si>
    <t>BTEC Higher National Diploma in Hospitality Management</t>
  </si>
  <si>
    <t>H50029861</t>
  </si>
  <si>
    <t>BTEC Higher National Diploma in Specialist Makeup (Film and Television)</t>
  </si>
  <si>
    <t>H50082073</t>
  </si>
  <si>
    <t>BTEC HNC Diploma in Music</t>
  </si>
  <si>
    <t>H50082395</t>
  </si>
  <si>
    <t>BTEC HND Diploma in Business (QCF)</t>
  </si>
  <si>
    <t>H50082413</t>
  </si>
  <si>
    <t>BTEC HNC Diploma in Business (QCF)</t>
  </si>
  <si>
    <t>H50082449</t>
  </si>
  <si>
    <t>BTEC HNC Diploma in Applied Chemistry</t>
  </si>
  <si>
    <t>H50082450</t>
  </si>
  <si>
    <t>BTEC HNC Diploma in Hospitality Management</t>
  </si>
  <si>
    <t>H50082462</t>
  </si>
  <si>
    <t>BTEC HND Diploma in Applied Biology</t>
  </si>
  <si>
    <t>H50082474</t>
  </si>
  <si>
    <t>BTEC HND Diploma in Applied Chemistry</t>
  </si>
  <si>
    <t>H50082486</t>
  </si>
  <si>
    <t>BTEC HNC Diploma in Applied Biology</t>
  </si>
  <si>
    <t>5008253X</t>
  </si>
  <si>
    <t>H5008253X</t>
  </si>
  <si>
    <t>BTEC HND Diploma in Computing and Systems Development (QCF)</t>
  </si>
  <si>
    <t>H50082541</t>
  </si>
  <si>
    <t>BTEC HNC Diploma in Computing and Systems Development (QCF)</t>
  </si>
  <si>
    <t>H50082553</t>
  </si>
  <si>
    <t>BTEC HND Diploma in Electrical Engineering</t>
  </si>
  <si>
    <t>H50082565</t>
  </si>
  <si>
    <t>BTEC HND Diploma in Music</t>
  </si>
  <si>
    <t>H50082577</t>
  </si>
  <si>
    <t>BTEC HNC Diploma in Electrical Engineering</t>
  </si>
  <si>
    <t>H50082747</t>
  </si>
  <si>
    <t>BTEC HND Diploma in Construction and the Built Environment</t>
  </si>
  <si>
    <t>H50082760</t>
  </si>
  <si>
    <t>BTEC HNC Diploma in Construction and the Built Environment</t>
  </si>
  <si>
    <t>H50082978</t>
  </si>
  <si>
    <t>BTEC HNC Diploma in Sport and Exercise Sciences</t>
  </si>
  <si>
    <t>5008298X</t>
  </si>
  <si>
    <t>H5008298X</t>
  </si>
  <si>
    <t>BTEC HND Diploma in Sport and Exercise Sciences</t>
  </si>
  <si>
    <t>H50082991</t>
  </si>
  <si>
    <t>BTEC HNC Diploma in Sport</t>
  </si>
  <si>
    <t>H50083004</t>
  </si>
  <si>
    <t>BTEC HND Diploma in Sport</t>
  </si>
  <si>
    <t>H50083338</t>
  </si>
  <si>
    <t>BTEC HND Diploma in Travel and Tourism Management</t>
  </si>
  <si>
    <t>5008334X</t>
  </si>
  <si>
    <t>H5008334X</t>
  </si>
  <si>
    <t>BTEC HND Diploma in Hospitality Management</t>
  </si>
  <si>
    <t>H50083351</t>
  </si>
  <si>
    <t>BTEC HNC Diploma in Travel and Tourism Management</t>
  </si>
  <si>
    <t>H50083612</t>
  </si>
  <si>
    <t>BTEC HNC Diploma in Health and Social Care</t>
  </si>
  <si>
    <t>H50083624</t>
  </si>
  <si>
    <t>BTEC HND Diploma in Health and Social Care</t>
  </si>
  <si>
    <t>H50086017</t>
  </si>
  <si>
    <t>BTEC HNC Diploma in Automotive Engineering</t>
  </si>
  <si>
    <t>H50088245</t>
  </si>
  <si>
    <t>BTEC HNC Diploma in Mechanical Engineering</t>
  </si>
  <si>
    <t>H50088257</t>
  </si>
  <si>
    <t>BTEC HND Diploma in General Engineering</t>
  </si>
  <si>
    <t>H50088269</t>
  </si>
  <si>
    <t>BTEC HND Diploma in Mechanical Engineering</t>
  </si>
  <si>
    <t>H50088270</t>
  </si>
  <si>
    <t>BTEC HNC Diploma in General Engineering</t>
  </si>
  <si>
    <t>H50088282</t>
  </si>
  <si>
    <t>BTEC HND Diploma in Manufacturing Engineering</t>
  </si>
  <si>
    <t>H50088294</t>
  </si>
  <si>
    <t>BTEC HNC Diploma in Manufacturing Engineering</t>
  </si>
  <si>
    <t>H50088300</t>
  </si>
  <si>
    <t>BTEC HNC Diploma in Electronic Engineering</t>
  </si>
  <si>
    <t>H50088312</t>
  </si>
  <si>
    <t>BTEC HNC Diploma in Electrical and Electronic Engineering</t>
  </si>
  <si>
    <t>H50088324</t>
  </si>
  <si>
    <t>BTEC HND Diploma in Automotive Engineering</t>
  </si>
  <si>
    <t>H50088336</t>
  </si>
  <si>
    <t>BTEC HND Diploma in Electronic Engineering</t>
  </si>
  <si>
    <t>H50088348</t>
  </si>
  <si>
    <t>BTEC HND Diploma in Electrical and Electronic Engineering</t>
  </si>
  <si>
    <t>H50089596</t>
  </si>
  <si>
    <t>BTEC HND Diploma in Operations Engineering</t>
  </si>
  <si>
    <t>H50089602</t>
  </si>
  <si>
    <t>BTEC HNC Diploma in Operations Engineering (QCF)</t>
  </si>
  <si>
    <t>H50089912</t>
  </si>
  <si>
    <t>BTEC HND Diploma in Aeronautical Engineering</t>
  </si>
  <si>
    <t>H50089924</t>
  </si>
  <si>
    <t>BTEC HNC Diploma in Aeronautical Engineering</t>
  </si>
  <si>
    <t>H50092200</t>
  </si>
  <si>
    <t>BTEC HNC Diploma in Art and Design (QCF)</t>
  </si>
  <si>
    <t>H50092212</t>
  </si>
  <si>
    <t>BTEC HND Diploma in Art and Design (QCF)</t>
  </si>
  <si>
    <t>H50092224</t>
  </si>
  <si>
    <t>BTEC HNC Diploma in 3D Design (QCF)</t>
  </si>
  <si>
    <t>H50092236</t>
  </si>
  <si>
    <t>BTEC HND Diploma in 3D Design (QCF)</t>
  </si>
  <si>
    <t>H50092273</t>
  </si>
  <si>
    <t>BTEC HND Diploma in Interactive Media</t>
  </si>
  <si>
    <t>H50092285</t>
  </si>
  <si>
    <t>BTEC HNC Diploma in Performing Arts</t>
  </si>
  <si>
    <t>H50092297</t>
  </si>
  <si>
    <t>BTEC HND Diploma in Performing Arts</t>
  </si>
  <si>
    <t>H50092339</t>
  </si>
  <si>
    <t>BTEC HND Diploma in Photography (QCF)</t>
  </si>
  <si>
    <t>H50092388</t>
  </si>
  <si>
    <t>BTEC HNC Diploma in Graphic Design (QCF)</t>
  </si>
  <si>
    <t>5009239X</t>
  </si>
  <si>
    <t>H5009239X</t>
  </si>
  <si>
    <t>BTEC HNC Diploma in Photography (QCF)</t>
  </si>
  <si>
    <t>H50092406</t>
  </si>
  <si>
    <t>BTEC HNC Diploma in Interactive Media</t>
  </si>
  <si>
    <t>H50092479</t>
  </si>
  <si>
    <t>BTEC HND Diploma in Graphic Design (QCF)</t>
  </si>
  <si>
    <t>H50092480</t>
  </si>
  <si>
    <t>BTEC HND Diploma in Fashion and Textiles (QCF)</t>
  </si>
  <si>
    <t>H50092492</t>
  </si>
  <si>
    <t>BTEC HND Diploma in Fine Art (QCF)</t>
  </si>
  <si>
    <t>H50092509</t>
  </si>
  <si>
    <t>BTEC HNC Diploma in Fine Art (QCF)</t>
  </si>
  <si>
    <t>H50092510</t>
  </si>
  <si>
    <t>BTEC HNC Diploma in Fashion and Textiles (QCF)</t>
  </si>
  <si>
    <t>H50097441</t>
  </si>
  <si>
    <t>BTEC HND Diploma in Creative Media Production</t>
  </si>
  <si>
    <t>H50102680</t>
  </si>
  <si>
    <t>BTEC HNC Diploma in Creative Media Production</t>
  </si>
  <si>
    <t>H60009378</t>
  </si>
  <si>
    <t>BTEC HNC Diploma in Hair and Beauty Management</t>
  </si>
  <si>
    <t>H60010873</t>
  </si>
  <si>
    <t>BTEC HNC Diploma in Public Services</t>
  </si>
  <si>
    <t>H60010885</t>
  </si>
  <si>
    <t>BTEC HND Diploma in Public Services</t>
  </si>
  <si>
    <t>H60011129</t>
  </si>
  <si>
    <t>BTEC HND Diploma in Hair and Beauty Management</t>
  </si>
  <si>
    <t>H60017193</t>
  </si>
  <si>
    <t>BTEC HND Diploma in Horticulture</t>
  </si>
  <si>
    <t>H60020805</t>
  </si>
  <si>
    <t>BTEC HNC Diploma in Marine Engineering (QCF)</t>
  </si>
  <si>
    <t>H60020817</t>
  </si>
  <si>
    <t>BTEC HND Diploma in Marine Engineering (QCF)</t>
  </si>
  <si>
    <t>H60021329</t>
  </si>
  <si>
    <t>BTEC HNC Diploma in Horticulture</t>
  </si>
  <si>
    <t>H60021573</t>
  </si>
  <si>
    <t>BTEC HNC Diploma in Animal Management</t>
  </si>
  <si>
    <t>H60021585</t>
  </si>
  <si>
    <t>BTEC HND Diploma in Animal Management</t>
  </si>
  <si>
    <t>H60021597</t>
  </si>
  <si>
    <t>BTEC HNC Diploma in Equine Management (QCF)</t>
  </si>
  <si>
    <t>H60021603</t>
  </si>
  <si>
    <t>BTEC HND Diploma in Equine Management (QCF)</t>
  </si>
  <si>
    <t>H60021615</t>
  </si>
  <si>
    <t>BTEC HND Diploma in Environmental Conservation (QCF)</t>
  </si>
  <si>
    <t>H60022796</t>
  </si>
  <si>
    <t>BTEC HNC Diploma in Environmental Conservation</t>
  </si>
  <si>
    <t>H60029407</t>
  </si>
  <si>
    <t>BTEC HNC Diploma in Vehicle Operations Management (QCF)</t>
  </si>
  <si>
    <t>H60029444</t>
  </si>
  <si>
    <t>BTEC HND Diploma in Vehicle Operations Management (QCF)</t>
  </si>
  <si>
    <t>H60042680</t>
  </si>
  <si>
    <t>Diploma in Teaching in the Lifelong Learning Sector (QCF)</t>
  </si>
  <si>
    <t>H60051255</t>
  </si>
  <si>
    <t>BTEC HND Diploma in Biological Sciences for Industry</t>
  </si>
  <si>
    <t>H60051267</t>
  </si>
  <si>
    <t>BTEC HND Diploma in Chemical Science for Industry</t>
  </si>
  <si>
    <t>6005136X</t>
  </si>
  <si>
    <t>H6005136X</t>
  </si>
  <si>
    <t>H60052028</t>
  </si>
  <si>
    <t>H60054372</t>
  </si>
  <si>
    <t>BTEC HNC Diploma in Chemical Science for Industry</t>
  </si>
  <si>
    <t>H60054840</t>
  </si>
  <si>
    <t>BTEC HNC Diploma in Biological Sciences for Industry</t>
  </si>
  <si>
    <t>H60055194</t>
  </si>
  <si>
    <t>Diploma in Teaching in the Lifelong Learning Sector (English: ESOL) (QCF)</t>
  </si>
  <si>
    <t>H60056265</t>
  </si>
  <si>
    <t>Diploma in Teaching in the Lifelong Learning Sector (Disabled Learners) (QCF)</t>
  </si>
  <si>
    <t>H60056368</t>
  </si>
  <si>
    <t>BTEC HNC Diploma in Automotive Diagnostics and Management Principles (QCF)</t>
  </si>
  <si>
    <t>H60056599</t>
  </si>
  <si>
    <t>Diploma in Teaching in the Lifelong Learning Sector (English: Literacy) (QCF)</t>
  </si>
  <si>
    <t>H60056617</t>
  </si>
  <si>
    <t>Diploma in Teaching in the Lifelong Learning Sector (Mathematics: Numeracy) (QCF)</t>
  </si>
  <si>
    <t>H60062484</t>
  </si>
  <si>
    <t>H60063002</t>
  </si>
  <si>
    <t>H60063014</t>
  </si>
  <si>
    <t>H60065989</t>
  </si>
  <si>
    <t>H60102548</t>
  </si>
  <si>
    <t>H60104077</t>
  </si>
  <si>
    <t>Diploma in Education and Training (including Teaching English: Literacy and ESOL) (QCF)</t>
  </si>
  <si>
    <t>H60104089</t>
  </si>
  <si>
    <t>Diploma in Education and Training (including Teaching Disabled Learners) (QCF)</t>
  </si>
  <si>
    <t>H60104624</t>
  </si>
  <si>
    <t>H60104636</t>
  </si>
  <si>
    <t>H60105185</t>
  </si>
  <si>
    <t>6010580X</t>
  </si>
  <si>
    <t>H6010580X</t>
  </si>
  <si>
    <t>H60105872</t>
  </si>
  <si>
    <t>Diploma in Education and Training (including Teaching English: ESOL) (QCF)</t>
  </si>
  <si>
    <t>H60105902</t>
  </si>
  <si>
    <t>Diploma in Education and Training (including Teaching English: Literacy) (QCF)</t>
  </si>
  <si>
    <t>H60110508</t>
  </si>
  <si>
    <t>Diploma in Education and Training (including Teaching Mathematics: Numeracy) (QCF)</t>
  </si>
  <si>
    <t>H60112281</t>
  </si>
  <si>
    <t>BTEC Diploma in Education and Training</t>
  </si>
  <si>
    <t>H60114629</t>
  </si>
  <si>
    <t>H60116225</t>
  </si>
  <si>
    <t>H60123825</t>
  </si>
  <si>
    <t>H60123837</t>
  </si>
  <si>
    <t>Diploma in Education and Training (QCF</t>
  </si>
  <si>
    <t>H60123849</t>
  </si>
  <si>
    <t>H60123850</t>
  </si>
  <si>
    <t>H60123862</t>
  </si>
  <si>
    <t>H60123874</t>
  </si>
  <si>
    <t>H60124453</t>
  </si>
  <si>
    <t>H60125032</t>
  </si>
  <si>
    <t>Diploma in Education and Training (QCF)</t>
  </si>
  <si>
    <t>6012717X</t>
  </si>
  <si>
    <t>H6012717X</t>
  </si>
  <si>
    <t>Diploma in Education and Training (RQF)</t>
  </si>
  <si>
    <t>H60132644</t>
  </si>
  <si>
    <t>H60137277</t>
  </si>
  <si>
    <t>Diploma in Education and Training (including Teaching English: Literacy) (RQF)</t>
  </si>
  <si>
    <t>H60137289</t>
  </si>
  <si>
    <t>Diploma in Education and Training (including Teaching Mathematics: Numeracy) (RQF)</t>
  </si>
  <si>
    <t>H60153507</t>
  </si>
  <si>
    <t>H60161413</t>
  </si>
  <si>
    <t>H60161991</t>
  </si>
  <si>
    <t>H60181229</t>
  </si>
  <si>
    <t>Diploma In Education and Training</t>
  </si>
  <si>
    <t>H60182222</t>
  </si>
  <si>
    <t>BTEC HNC Diploma in Advanced Practice in Early Years Education</t>
  </si>
  <si>
    <t>H60183640</t>
  </si>
  <si>
    <t>H60183652</t>
  </si>
  <si>
    <t>6018811X</t>
  </si>
  <si>
    <t>H6018811X</t>
  </si>
  <si>
    <t>BTEC HND Diploma in Advanced Practice in Early Years Education</t>
  </si>
  <si>
    <t>H60304509</t>
  </si>
  <si>
    <t>BTEC Higher National Certificate in Engineering</t>
  </si>
  <si>
    <t>H60304510</t>
  </si>
  <si>
    <t>BTEC Higher National Diploma in Engineering</t>
  </si>
  <si>
    <t>H60304649</t>
  </si>
  <si>
    <t>BTEC Higher National Diploma in Construction and the Built Environment</t>
  </si>
  <si>
    <t>H60304650</t>
  </si>
  <si>
    <t>BTEC Higher National Certificate in Construction and the Built Environment</t>
  </si>
  <si>
    <t>H60304716</t>
  </si>
  <si>
    <t>BTEC Higher National Diploma in Computing</t>
  </si>
  <si>
    <t>H60304728</t>
  </si>
  <si>
    <t>BTEC Higher National Certificate in Computing</t>
  </si>
  <si>
    <t>H60304844</t>
  </si>
  <si>
    <t>BTEC Higher National Diploma in Aeronautical Engineering</t>
  </si>
  <si>
    <t>H60304856</t>
  </si>
  <si>
    <t>BTEC Higher National Certificate in Aeronautical Engineering</t>
  </si>
  <si>
    <t>H60304911</t>
  </si>
  <si>
    <t>BTEC Higher National Certificate in Nuclear Reactor Operations Engineering</t>
  </si>
  <si>
    <t>H60304960</t>
  </si>
  <si>
    <t>BTEC Higher National Diploma in Nuclear Reactor Operations Engineering</t>
  </si>
  <si>
    <t>H60305575</t>
  </si>
  <si>
    <t>BTEC Higher National Certificate in Emergency and Unscheduled Care</t>
  </si>
  <si>
    <t>H60305587</t>
  </si>
  <si>
    <t>BTEC Higher National Diploma in Paramedic Science</t>
  </si>
  <si>
    <t>H60305757</t>
  </si>
  <si>
    <t>H60309088</t>
  </si>
  <si>
    <t>BTEC Higher National Certificate in Art and Design</t>
  </si>
  <si>
    <t>6030909X</t>
  </si>
  <si>
    <t>H6030909X</t>
  </si>
  <si>
    <t>BTEC Higher National Diploma in Art and Design</t>
  </si>
  <si>
    <t>H60322743</t>
  </si>
  <si>
    <t>BTEC Higher National Diploma in Music</t>
  </si>
  <si>
    <t>H60322755</t>
  </si>
  <si>
    <t>BTEC Higher National Certificate in Music</t>
  </si>
  <si>
    <t>H60322767</t>
  </si>
  <si>
    <t>BTEC Higher National Certificate in Sport &amp; Exercise Science</t>
  </si>
  <si>
    <t>H60322779</t>
  </si>
  <si>
    <t>BTEC Higher National Diploma in Sport &amp; Exercise Science</t>
  </si>
  <si>
    <t>H60322780</t>
  </si>
  <si>
    <t>H60322792</t>
  </si>
  <si>
    <t>H60322809</t>
  </si>
  <si>
    <t>BTEC Higher National Certificate in International Travel and Tourism Management</t>
  </si>
  <si>
    <t>H60322810</t>
  </si>
  <si>
    <t>BTEC Higher National Diploma in International Travel and Tourism Management</t>
  </si>
  <si>
    <t>H60322822</t>
  </si>
  <si>
    <t>BTEC Higher National Diploma in Creative Media Production</t>
  </si>
  <si>
    <t>H60322846</t>
  </si>
  <si>
    <t>BTEC Higher National Certificate in Healthcare Practice for England</t>
  </si>
  <si>
    <t>H60322858</t>
  </si>
  <si>
    <t>BTEC Higher National Diploma in Healthcare Practice for England</t>
  </si>
  <si>
    <t>6032286X</t>
  </si>
  <si>
    <t>H6032286X</t>
  </si>
  <si>
    <t>BTEC Higher National Certificate in Creative Media Production</t>
  </si>
  <si>
    <t>H60322937</t>
  </si>
  <si>
    <t>BTEC Higher National Certificate in Healthcare Practice</t>
  </si>
  <si>
    <t>H60322949</t>
  </si>
  <si>
    <t>BTEC Higher National Diploma in Healthcare Practice</t>
  </si>
  <si>
    <t>H60323085</t>
  </si>
  <si>
    <t>BTEC Higher National Certificate in Sport</t>
  </si>
  <si>
    <t>H60323097</t>
  </si>
  <si>
    <t>BTEC Higher National Diploma in Sport</t>
  </si>
  <si>
    <t>H60323401</t>
  </si>
  <si>
    <t>BTEC Higher National Diploma in Policing</t>
  </si>
  <si>
    <t>H60323413</t>
  </si>
  <si>
    <t>BTEC Higher National Certificate in Policing</t>
  </si>
  <si>
    <t>H60323759</t>
  </si>
  <si>
    <t>H60323772</t>
  </si>
  <si>
    <t>BTEC HIgher National Certificate in Performing Arts</t>
  </si>
  <si>
    <t>H60324922</t>
  </si>
  <si>
    <t>BTEC Higher National Certificate in Social and Community Work</t>
  </si>
  <si>
    <t>H60324934</t>
  </si>
  <si>
    <t>BTEC Higher National Diploma in Social and Community Work</t>
  </si>
  <si>
    <t>H60327716</t>
  </si>
  <si>
    <t>H60327728</t>
  </si>
  <si>
    <t>6032773X</t>
  </si>
  <si>
    <t>H6032773X</t>
  </si>
  <si>
    <t>H60327741</t>
  </si>
  <si>
    <t>H60327947</t>
  </si>
  <si>
    <t>BTEC Higher National Diploma in Agriculture</t>
  </si>
  <si>
    <t>H60327960</t>
  </si>
  <si>
    <t>BTEC Higher National Certificate in Agriculture</t>
  </si>
  <si>
    <t>H60328526</t>
  </si>
  <si>
    <t>H60328538</t>
  </si>
  <si>
    <t>H60334162</t>
  </si>
  <si>
    <t>Higher National Certificate in Construction</t>
  </si>
  <si>
    <t>H60334174</t>
  </si>
  <si>
    <t>Higher National Diploma in Construction</t>
  </si>
  <si>
    <t>H60338994</t>
  </si>
  <si>
    <t>BTEC Higher National Certificate in Early Childhood Education and Care</t>
  </si>
  <si>
    <t>H60339007</t>
  </si>
  <si>
    <t>BTEC Higher National Diploma in Early Childhood Education and Care</t>
  </si>
  <si>
    <t>H60339330</t>
  </si>
  <si>
    <t>BTEC Higher National Certificate in Rail Engineering</t>
  </si>
  <si>
    <t>6033938X</t>
  </si>
  <si>
    <t>H6033938X</t>
  </si>
  <si>
    <t>BTEC Higher National Certificate in Manufacturing Operations</t>
  </si>
  <si>
    <t>H60342468</t>
  </si>
  <si>
    <t>Diploma in Education and Training Management</t>
  </si>
  <si>
    <t>6034247X</t>
  </si>
  <si>
    <t>H6034247X</t>
  </si>
  <si>
    <t>H60345706</t>
  </si>
  <si>
    <t>BTEC Higher National Certificate in Applied Sciences</t>
  </si>
  <si>
    <t>H60345743</t>
  </si>
  <si>
    <t>BTEC Higher National Diploma in Applied Sciences</t>
  </si>
  <si>
    <t>H60346826</t>
  </si>
  <si>
    <t>H60360550</t>
  </si>
  <si>
    <t>H60360690</t>
  </si>
  <si>
    <t>H60363137</t>
  </si>
  <si>
    <t>BTEC Higher National Certificate in Quantity Surveying</t>
  </si>
  <si>
    <t>H60363150</t>
  </si>
  <si>
    <t>BTEC Higher National Diploma in Quantity Surveying</t>
  </si>
  <si>
    <t>H60366746</t>
  </si>
  <si>
    <t>BTEC Higher National Certificate in Cloud Computing</t>
  </si>
  <si>
    <t>H60366758</t>
  </si>
  <si>
    <t>BTEC Higher National Diploma in Cloud Computing</t>
  </si>
  <si>
    <t>H60368378</t>
  </si>
  <si>
    <t>6036838X</t>
  </si>
  <si>
    <t>H6036838X</t>
  </si>
  <si>
    <t>H60371663</t>
  </si>
  <si>
    <t>BTEC Higher National Certificate in Digital Technologies</t>
  </si>
  <si>
    <t>H60371675</t>
  </si>
  <si>
    <t>BTEC Higher National Diploma in Digital Technologies</t>
  </si>
  <si>
    <t>H60373726</t>
  </si>
  <si>
    <t>H60375954</t>
  </si>
  <si>
    <t>H60375966</t>
  </si>
  <si>
    <t>H61005800</t>
  </si>
  <si>
    <t>BTEC Higher National Certificate in Computing for England</t>
  </si>
  <si>
    <t>H61005812</t>
  </si>
  <si>
    <t>BTEC Higher National Diploma in Computing for England</t>
  </si>
  <si>
    <t>H61012129</t>
  </si>
  <si>
    <t>BTEC Higher National Certificate in Electrical Systems Engineering</t>
  </si>
  <si>
    <t>H61012130</t>
  </si>
  <si>
    <t>BTEC Higher National Certificate in Automation and Control Engineering</t>
  </si>
  <si>
    <t>H61012142</t>
  </si>
  <si>
    <t>BTEC Higher National Certificate in Space Technologies</t>
  </si>
  <si>
    <t>H61012154</t>
  </si>
  <si>
    <t>BTEC Higher National Diploma in Space Technologies</t>
  </si>
  <si>
    <t>H61012610</t>
  </si>
  <si>
    <t>BTEC Higher National Certificate in Computer Systems Engineering</t>
  </si>
  <si>
    <t>H61012622</t>
  </si>
  <si>
    <t>BTEC Higher National Diploma in Computer Systems Engineering</t>
  </si>
  <si>
    <t>H61012634</t>
  </si>
  <si>
    <t>BTEC Higher National Diploma in Electronic and Electrical Systems Engineering</t>
  </si>
  <si>
    <t>H61012646</t>
  </si>
  <si>
    <t>BTEC Higher National Certificate in Electronic Systems Engineering</t>
  </si>
  <si>
    <t>Validation and credibility checks are described in full detail below the table.</t>
  </si>
  <si>
    <t>Column 1</t>
  </si>
  <si>
    <t>Column 2</t>
  </si>
  <si>
    <t>Automatically populated</t>
  </si>
  <si>
    <t>(a)</t>
  </si>
  <si>
    <t>(b)</t>
  </si>
  <si>
    <t>(c)</t>
  </si>
  <si>
    <t>S</t>
  </si>
  <si>
    <t>UG_45</t>
  </si>
  <si>
    <t>UG_OTH</t>
  </si>
  <si>
    <t>PGT_UGF</t>
  </si>
  <si>
    <t>PGT_ML</t>
  </si>
  <si>
    <t>PGT_OTH</t>
  </si>
  <si>
    <t>L</t>
  </si>
  <si>
    <t>C11</t>
  </si>
  <si>
    <t>C12</t>
  </si>
  <si>
    <t>All price groups</t>
  </si>
  <si>
    <t>All lengths</t>
  </si>
  <si>
    <t>Total</t>
  </si>
  <si>
    <t>1a</t>
  </si>
  <si>
    <t>1b</t>
  </si>
  <si>
    <t>vars</t>
  </si>
  <si>
    <t>[HOMEF]</t>
  </si>
  <si>
    <t>[HOMENF]</t>
  </si>
  <si>
    <t>[ISOV]</t>
  </si>
  <si>
    <t>Validation checks for Table 1 (see Appendix 2 for full definitions of the underlying formulas)</t>
  </si>
  <si>
    <t>Credibility checks for Table 1 (see Appendix 3 for full definitions of the underlying formulas)</t>
  </si>
  <si>
    <t>Table 1 validation and credibility checks</t>
  </si>
  <si>
    <t>1. Total not whole numbers</t>
  </si>
  <si>
    <t>FEC Price group A</t>
  </si>
  <si>
    <t>FEC PGR</t>
  </si>
  <si>
    <t>Conditional formatting</t>
  </si>
  <si>
    <t>Column 1 manual</t>
  </si>
  <si>
    <t>Column 1 auto</t>
  </si>
  <si>
    <t>Val. Check 1 - Total not whole number</t>
  </si>
  <si>
    <t>Validation checks are described in full detail below the table.</t>
  </si>
  <si>
    <t>HOMEF</t>
  </si>
  <si>
    <t>HOMENF</t>
  </si>
  <si>
    <t>ISOV</t>
  </si>
  <si>
    <t>Validation checks for Table 2 (see Appendix 2 for full definitions of the underlying formulas)</t>
  </si>
  <si>
    <t>Table 2 validation and credibility checks</t>
  </si>
  <si>
    <t>These cells are used for the conditional formatting to make cells appear red when a validation check is triggered</t>
  </si>
  <si>
    <t>PG (UG fee)</t>
  </si>
  <si>
    <t>PG (Masters' loan)</t>
  </si>
  <si>
    <t>PG (Other)</t>
  </si>
  <si>
    <t>Val. Check 2 - Not whole num</t>
  </si>
  <si>
    <t>Val. Check 3 - Neg nums</t>
  </si>
  <si>
    <t>Validation checks for Table 3 (see Appendix 2 for full definitions of the underlying formulas)</t>
  </si>
  <si>
    <t>Credibility checks for Table 3 (see Appendix 3 for full definitions of the underlying formulas)</t>
  </si>
  <si>
    <t>Table 3 validation and credibility checks</t>
  </si>
  <si>
    <t>1. Tot not whole numbers</t>
  </si>
  <si>
    <t>1. Non-comp = 0</t>
  </si>
  <si>
    <t>2. Col 3 = col1+2</t>
  </si>
  <si>
    <t>3. col 4a % (UG, PG_UGF)</t>
  </si>
  <si>
    <t>4. col4a % (PGT_ML, PGT_OTH)</t>
  </si>
  <si>
    <t>5. FEC - Price group A</t>
  </si>
  <si>
    <t>6. FEC - PGR</t>
  </si>
  <si>
    <t>For conditional formatting</t>
  </si>
  <si>
    <t>Val. Check 1 - totals not whole numbers</t>
  </si>
  <si>
    <t>Cred. Check 5 - FEC Only - Price group A recorded</t>
  </si>
  <si>
    <t>Cred. Check 6 - FEC Only - PGR recorded</t>
  </si>
  <si>
    <t>%</t>
  </si>
  <si>
    <t>(a) Full-time</t>
  </si>
  <si>
    <t>(b) Sandwich year out</t>
  </si>
  <si>
    <t>Type of year abroad</t>
  </si>
  <si>
    <t>YEARABR</t>
  </si>
  <si>
    <t>ERAS</t>
  </si>
  <si>
    <t>Other study years abroad</t>
  </si>
  <si>
    <t>NON_ERAS</t>
  </si>
  <si>
    <t>FTS</t>
  </si>
  <si>
    <t>SWOUT</t>
  </si>
  <si>
    <t>Vars</t>
  </si>
  <si>
    <t>Validation checks for Table 4 (see Appendix 2 for full definitions of the underlying formulas)</t>
  </si>
  <si>
    <t>Table 4 validation and credibility checks</t>
  </si>
  <si>
    <t>Validation flags</t>
  </si>
  <si>
    <t>1. Not whole number</t>
  </si>
  <si>
    <t>2. Negative number</t>
  </si>
  <si>
    <t>3. Wrong totals</t>
  </si>
  <si>
    <t>Credibility flags</t>
  </si>
  <si>
    <t>Val. Check 1 - Not whole numbers</t>
  </si>
  <si>
    <t>Full-time, OfS-fundable</t>
  </si>
  <si>
    <t>Full-time, Non-fundable</t>
  </si>
  <si>
    <t>Sandwich year out, OfS-fundable</t>
  </si>
  <si>
    <t>Sandwich year out, Non-fundable</t>
  </si>
  <si>
    <t>Val. Check 2 - Negative numbers</t>
  </si>
  <si>
    <t>Val. check 3 - totals</t>
  </si>
  <si>
    <t>Section A: All years</t>
  </si>
  <si>
    <t>Section B: New entrants</t>
  </si>
  <si>
    <t>New entrants included in Section A of this table</t>
  </si>
  <si>
    <t>PT</t>
  </si>
  <si>
    <t>All modes</t>
  </si>
  <si>
    <t>All UG</t>
  </si>
  <si>
    <t>All PG</t>
  </si>
  <si>
    <t>[SECTION]</t>
  </si>
  <si>
    <t>A1a</t>
  </si>
  <si>
    <t>A1b</t>
  </si>
  <si>
    <t>A2</t>
  </si>
  <si>
    <t>B1</t>
  </si>
  <si>
    <t>HOMEF_UK</t>
  </si>
  <si>
    <t>HOMEF_OTH</t>
  </si>
  <si>
    <t>HOMENF_UK</t>
  </si>
  <si>
    <t>HOMENF_OTH</t>
  </si>
  <si>
    <t>Validation checks for Table 5 (see Appendix 2 for full definitions of the underlying formulas)</t>
  </si>
  <si>
    <t>Credibility checks for Table 5 (see Appendix 3 for full definitions of the underlying formulas)</t>
  </si>
  <si>
    <t>2. All of the students in Section A: All years have been returned as new entrants in Section B: New entrants:</t>
  </si>
  <si>
    <t>3. For home fee, all undergraduate, full-time and sandwich year out students, Section B: New entrants expressed as a percentage of Section A: All years is greater than or equal to 70%:</t>
  </si>
  <si>
    <t>4. For home fee, all undergraduate, full-time and sandwich year out students, Section B: New entrants expressed as a percentage of Section A: All years is less than or equal to 25%:</t>
  </si>
  <si>
    <t>5. For home fee, all postgraduate taught, full-time and sandwich year out students, Section B: New entrants expressed as a percentage of Section A: All years is less than or equal to 50%:</t>
  </si>
  <si>
    <t>6. For home fee, all undergraduate, part-time students, Section B: New entrants expressed as a percentage of Section A: All years is greater than or equal to 70%:</t>
  </si>
  <si>
    <t>7. For home fee, all undergraduate, part-time students, Section B: New entrants expressed as a percentage of Section A: All years is less than or equal to 15%:</t>
  </si>
  <si>
    <t>8. For home fee, all postgraduate taught, part-time students, Section B: New entrants expressed as a percentage of Section A: All years is greater than or equal to 70%:</t>
  </si>
  <si>
    <t>9. For home fee, all postgraduate taught, part-time students, Section B: New entrants expressed as a percentage of Section A: All years is less than or equal to 25%:</t>
  </si>
  <si>
    <t>10. For all overseas, all undergraduate and postgraduate taught students, Section B: New entrants expressed as a percentage of Section A: All years is greater than or equal to 70%:</t>
  </si>
  <si>
    <t>11. For all overseas, all undergraduate and postgraduate taught students, Section B: New entrants expressed as a percentage of Section A: All years is less than or equal to 25%:</t>
  </si>
  <si>
    <t>Table 5 validation and credibility checks</t>
  </si>
  <si>
    <t>A1</t>
  </si>
  <si>
    <t>1. Whole numbers</t>
  </si>
  <si>
    <t>2. Negative numbers</t>
  </si>
  <si>
    <t>3. Table comparison</t>
  </si>
  <si>
    <t>4. B &gt; A</t>
  </si>
  <si>
    <t>1. No entrants</t>
  </si>
  <si>
    <t>2. All years = Entrants</t>
  </si>
  <si>
    <t>3. UG FTS &gt; 70%</t>
  </si>
  <si>
    <t>4. UG FTS &lt; 25%</t>
  </si>
  <si>
    <t>5. PG FTS &lt; 50%</t>
  </si>
  <si>
    <t>6. UG PT &gt; 70%</t>
  </si>
  <si>
    <t>7. UG PT &lt; 15%</t>
  </si>
  <si>
    <t>8. PG PT &gt; 70%</t>
  </si>
  <si>
    <t>9. PG PT &lt; 25%</t>
  </si>
  <si>
    <t>10. ISOV &gt; 70%</t>
  </si>
  <si>
    <t>11. ISOV &lt; 25%</t>
  </si>
  <si>
    <t>Row headings</t>
  </si>
  <si>
    <t>Column headings</t>
  </si>
  <si>
    <t>OfS-fundable, UK-domiciled</t>
  </si>
  <si>
    <t>OfS-fundable, Other</t>
  </si>
  <si>
    <t>Non-fundable, UK-domiciled</t>
  </si>
  <si>
    <t>Non-fundable, Other</t>
  </si>
  <si>
    <t>(c) Island and overseas</t>
  </si>
  <si>
    <t>Other Home and EU</t>
  </si>
  <si>
    <t>Val. Check 1 - whole nums</t>
  </si>
  <si>
    <t>Val. Check 2 - negative nums</t>
  </si>
  <si>
    <t xml:space="preserve">Column 1 </t>
  </si>
  <si>
    <t xml:space="preserve">Val. Check 3 - A = T1,2,3 </t>
  </si>
  <si>
    <t>T1-3</t>
  </si>
  <si>
    <t>Diff</t>
  </si>
  <si>
    <t>Tables 1 and 2</t>
  </si>
  <si>
    <t>Val. Check 4 - Entrants &gt; All years</t>
  </si>
  <si>
    <t>Cred. Check 1 - No Entrants</t>
  </si>
  <si>
    <t>UG</t>
  </si>
  <si>
    <t>PG</t>
  </si>
  <si>
    <t>Cred. Check 2 - Entrants = All years</t>
  </si>
  <si>
    <t>Cred. Check 3 - UG FTS &gt; 70%</t>
  </si>
  <si>
    <t>Cred. Check 4 - UG FTS &lt; 25%</t>
  </si>
  <si>
    <t>Cred. Check 5 - PGT FTS &lt; 50%</t>
  </si>
  <si>
    <t>Cred. Check 6 - UG PT &gt; 70%</t>
  </si>
  <si>
    <t>Cred. Check 7 - UG PT &lt; 15%</t>
  </si>
  <si>
    <t>Cred. Check 8 - PGT PT &gt; 70%</t>
  </si>
  <si>
    <t>Cred. Check 9 - PGT PT &lt; 25%</t>
  </si>
  <si>
    <t>Cred. Check 10 - ISOV &gt; 70%</t>
  </si>
  <si>
    <t>Cred. Check 11 - ISOV &lt; 25%</t>
  </si>
  <si>
    <t>OfS-fundable
(a)</t>
  </si>
  <si>
    <t>Non-fundable
(b)</t>
  </si>
  <si>
    <t>Profession (price group)</t>
  </si>
  <si>
    <t>PROF</t>
  </si>
  <si>
    <t>Dental hygiene (A)</t>
  </si>
  <si>
    <t>DENHYG</t>
  </si>
  <si>
    <t>Dental therapy (A)</t>
  </si>
  <si>
    <t>DENTHE</t>
  </si>
  <si>
    <t>Dental therapy (B)</t>
  </si>
  <si>
    <t>Dietetics (B)</t>
  </si>
  <si>
    <t>DIETET</t>
  </si>
  <si>
    <t>Midwifery (B)</t>
  </si>
  <si>
    <t>MIDWIF</t>
  </si>
  <si>
    <t>Nursing - adult (C1.1)</t>
  </si>
  <si>
    <t>NURSAD</t>
  </si>
  <si>
    <t>Nursing - children (C1.1)</t>
  </si>
  <si>
    <t>NURSCH</t>
  </si>
  <si>
    <t>Nursing - learning disability (C1.1)</t>
  </si>
  <si>
    <t>NURSLD</t>
  </si>
  <si>
    <t>Nursing - mental health (C1.1)</t>
  </si>
  <si>
    <t>NURSMH</t>
  </si>
  <si>
    <t>Nursing - unclassified (C1.1)</t>
  </si>
  <si>
    <t>NURSUN</t>
  </si>
  <si>
    <t>Occupational therapy (B)</t>
  </si>
  <si>
    <t>OCCTHE</t>
  </si>
  <si>
    <t>Operating department practice (B)</t>
  </si>
  <si>
    <t>OPDEPT</t>
  </si>
  <si>
    <t>Orthoptics (B)</t>
  </si>
  <si>
    <t>ORTHOP</t>
  </si>
  <si>
    <t>Orthotics and prosthetics (B)</t>
  </si>
  <si>
    <t>ORTPRO</t>
  </si>
  <si>
    <t>Physiotherapy (B)</t>
  </si>
  <si>
    <t>PHYSIO</t>
  </si>
  <si>
    <t>Podiatry (B)</t>
  </si>
  <si>
    <t>PODCHI</t>
  </si>
  <si>
    <t>Radiography (diagnostic) (B)</t>
  </si>
  <si>
    <t>RADDIA</t>
  </si>
  <si>
    <t>Radiography (therapeutic) (B)</t>
  </si>
  <si>
    <t>RADTHE</t>
  </si>
  <si>
    <t>Speech and language therapy (B)</t>
  </si>
  <si>
    <t>SPELAN</t>
  </si>
  <si>
    <t>All professions</t>
  </si>
  <si>
    <t>All PGT</t>
  </si>
  <si>
    <t>Validation checks for Table 6a (see Appendix 2 for full definitions of the underlying formulas)</t>
  </si>
  <si>
    <t>Credibility checks for Table 6a (see Appendix 3 for full definitions of the underlying formulas)</t>
  </si>
  <si>
    <t>Table 6a validation and credibility checks</t>
  </si>
  <si>
    <t>D G I L N Q S V</t>
  </si>
  <si>
    <t>Starters in 2022-23</t>
  </si>
  <si>
    <t>Cred. Check 4 - Long</t>
  </si>
  <si>
    <t>Dental hygiene</t>
  </si>
  <si>
    <t>Standard length</t>
  </si>
  <si>
    <t>Level UG</t>
  </si>
  <si>
    <t>Nursing Unc</t>
  </si>
  <si>
    <t>Level PGT (UG fee)</t>
  </si>
  <si>
    <t>Long length</t>
  </si>
  <si>
    <t>Dental therapy</t>
  </si>
  <si>
    <t>Level PGT (Masters' loan)</t>
  </si>
  <si>
    <t>Dietetics</t>
  </si>
  <si>
    <t>Midwifery</t>
  </si>
  <si>
    <t>Nursing - adult</t>
  </si>
  <si>
    <t>Nursing - children</t>
  </si>
  <si>
    <t>Nursing - learning disability</t>
  </si>
  <si>
    <t>Nursing - mental health</t>
  </si>
  <si>
    <t>Difference</t>
  </si>
  <si>
    <t>Nursing - unclassified</t>
  </si>
  <si>
    <t>Occupational therapy</t>
  </si>
  <si>
    <t>Operating department practice</t>
  </si>
  <si>
    <t>Orthoptics</t>
  </si>
  <si>
    <t>Orthotics and prosthetics</t>
  </si>
  <si>
    <t>Check 5</t>
  </si>
  <si>
    <t>Check 6</t>
  </si>
  <si>
    <t>Physiotherapy</t>
  </si>
  <si>
    <t>Podiatry</t>
  </si>
  <si>
    <t>Radiography (diagnostic)</t>
  </si>
  <si>
    <t>Radiography (therapeutic)</t>
  </si>
  <si>
    <t>Speech and language therapy</t>
  </si>
  <si>
    <t>All UG levels</t>
  </si>
  <si>
    <t>All PGT levels</t>
  </si>
  <si>
    <t>Formula in Starters column is different to others</t>
  </si>
  <si>
    <t>Validation checks for Table 6c (see Appendix 2 for full definitions of the underlying formulas)</t>
  </si>
  <si>
    <t>Credibility checks for Table 6c (see Appendix 3 for full definitions of the underlying formulas)</t>
  </si>
  <si>
    <t>Table 6c validation and credibility checks</t>
  </si>
  <si>
    <t>Col 1</t>
  </si>
  <si>
    <t>Col 2</t>
  </si>
  <si>
    <t>F</t>
  </si>
  <si>
    <t>NF</t>
  </si>
  <si>
    <t>H</t>
  </si>
  <si>
    <t>I</t>
  </si>
  <si>
    <t>C</t>
  </si>
  <si>
    <t>Automatic check highlighting is carried out on all tables on this sheet.</t>
  </si>
  <si>
    <t>Table A totals</t>
  </si>
  <si>
    <t>Proportion of total</t>
  </si>
  <si>
    <t>Change in proportion between</t>
  </si>
  <si>
    <t>Percentage change between</t>
  </si>
  <si>
    <t>Fundability status</t>
  </si>
  <si>
    <t>HEADCOUNT</t>
  </si>
  <si>
    <t>FUNDABILITY</t>
  </si>
  <si>
    <t>Fundable</t>
  </si>
  <si>
    <t>TOTAL12</t>
  </si>
  <si>
    <t>TOTAL</t>
  </si>
  <si>
    <t>Change in proportion</t>
  </si>
  <si>
    <t>Zero/threshold</t>
  </si>
  <si>
    <t>TABLENAME</t>
  </si>
  <si>
    <t>MODE</t>
  </si>
  <si>
    <t>Percentage change, large abs - small %</t>
  </si>
  <si>
    <t>Percentage change, small abs  - large %</t>
  </si>
  <si>
    <t>E</t>
  </si>
  <si>
    <t>G</t>
  </si>
  <si>
    <t>Percentage point difference between</t>
  </si>
  <si>
    <t>PGT</t>
  </si>
  <si>
    <t>Percentage change</t>
  </si>
  <si>
    <t>All PGT is the sum of PGT (UG fee), PGT (Masters' loan) and PGT (Other).</t>
  </si>
  <si>
    <t>Proportion long</t>
  </si>
  <si>
    <t>Percentage difference between</t>
  </si>
  <si>
    <t>Residential
status</t>
  </si>
  <si>
    <t>All years</t>
  </si>
  <si>
    <t>New entrants</t>
  </si>
  <si>
    <t>Proportion new entrants</t>
  </si>
  <si>
    <t>DOMICILE</t>
  </si>
  <si>
    <t>Full-time and sandwich
year out</t>
  </si>
  <si>
    <t>HOMEEU</t>
  </si>
  <si>
    <t>Percentage point difference</t>
  </si>
  <si>
    <t xml:space="preserve">Full-time </t>
  </si>
  <si>
    <t xml:space="preserve"> </t>
  </si>
  <si>
    <t>Zero/Threshold</t>
  </si>
  <si>
    <t>Yes</t>
  </si>
  <si>
    <t>No</t>
  </si>
  <si>
    <t>Date</t>
  </si>
  <si>
    <t>The Courses table is only accessible for further education and sixth-form colleges and academies. For all other providers the link will not work.</t>
  </si>
  <si>
    <t>sp_T6ac_T123</t>
  </si>
  <si>
    <t>This worksheet contains four tables, each separated vertically by one blank row.</t>
  </si>
  <si>
    <t>This worksheet contains two tables, separated vertically by one blank row.</t>
  </si>
  <si>
    <t>All UG is the sum of UG (Level 4 and 5) and UG (Other).</t>
  </si>
  <si>
    <t>This workbook collects data from providers in the Approved (fee cap) category of the Office for Students (OfS) register.</t>
  </si>
  <si>
    <t xml:space="preserve">All UG </t>
  </si>
  <si>
    <t>Completed workbooks can be uploaded any number of times until the deadline for submission. When the deadline passes, the latest uploaded version will be taken as the</t>
  </si>
  <si>
    <t>final workbook for submission.</t>
  </si>
  <si>
    <t>If there are credibility warnings in your workbook, please check to ensure that the data is correct and meets the guidance and definitions set out in the relevant section of the</t>
  </si>
  <si>
    <t>Columns equals those adjacent for conditional formatting to work</t>
  </si>
  <si>
    <t>Fund - H8</t>
  </si>
  <si>
    <t>NF - I8</t>
  </si>
  <si>
    <t>Fund = H8</t>
  </si>
  <si>
    <t>NF = I8</t>
  </si>
  <si>
    <t>2. In the following rows, the level entered does not match the level for the course on the Learning Aim Reference Service (LARS) database:</t>
  </si>
  <si>
    <t>3. The following rows should have price group proportions entered:</t>
  </si>
  <si>
    <t>11. The following rows have a learning aim reference but no countable years:</t>
  </si>
  <si>
    <t>Formula for overseas columns negates row 11</t>
  </si>
  <si>
    <t>For providers with no previous data, comparison tables will not be displayed and the links to them on this sheet will not work.</t>
  </si>
  <si>
    <t>BSc (Hons) in Data Science De Montfort University - Data Scientist (integrated degree)</t>
  </si>
  <si>
    <t>FdSc in Production and Manufacture Engineering - Petroc</t>
  </si>
  <si>
    <t>BSc (Hons) in Applied Biomedical Science - University of East Anglia - Healthcare Science Practitioner Standard</t>
  </si>
  <si>
    <t>HNC in Project and Quality Management - University of Central Lancashire</t>
  </si>
  <si>
    <t>H00306076</t>
  </si>
  <si>
    <t>BA (Hons) in Education Studies - DN Colleges Group</t>
  </si>
  <si>
    <t>H00306077</t>
  </si>
  <si>
    <t>FdA in Supporting Children and Young People's Mental Health and Wellbeing - DN Colleges Group</t>
  </si>
  <si>
    <t>H00306078</t>
  </si>
  <si>
    <t>BSc (Hons) in Radiography (Diagnostic Imaging) - Keele University - Diagnostic Radiography Degree Apprenticeship</t>
  </si>
  <si>
    <t>H00306079</t>
  </si>
  <si>
    <t>FdA in Digital Media Development - The Trafford College Group</t>
  </si>
  <si>
    <t>H00306080</t>
  </si>
  <si>
    <t>MSc in Clinical Associate in Psychology - Keele University - Clinical Associate in Psychology Apprenticeship</t>
  </si>
  <si>
    <t>H00306082</t>
  </si>
  <si>
    <t>BSc (Hons) in Medical Bioscience - DN Colleges Group</t>
  </si>
  <si>
    <t>H00306083</t>
  </si>
  <si>
    <t>BSc (Hons) in Environmental Management - Anglia Ruskin University</t>
  </si>
  <si>
    <t>H00306084</t>
  </si>
  <si>
    <t>BSc (Hons) in Laboratory Science - Anglia Ruskin University</t>
  </si>
  <si>
    <t>H00306085</t>
  </si>
  <si>
    <t>BEng (Hons) in Manufacturing Engineering - Anglia Ruskin University</t>
  </si>
  <si>
    <t>H00306086</t>
  </si>
  <si>
    <t>BSc (Hons) in Enhanced Clinical Practitioner (Child and Adolescent Mental Health Services) - Keele University - Enhanced Clinical Practitioner Degree Apprenticeship</t>
  </si>
  <si>
    <t>H00306087</t>
  </si>
  <si>
    <t>BSc (Hons) in Enhanced Clinical Practitioner (Neonatal Intensive Care) - Keele University - Enhanced Clinical Practitioner Degree Apprenticeship</t>
  </si>
  <si>
    <t>H00306088</t>
  </si>
  <si>
    <t>BSc (Hons) in Enhanced Clinical Practitioner (Generic) - Keele University - Enhanced Clinical Practitioner Degree Apprenticeship</t>
  </si>
  <si>
    <t>H00306089</t>
  </si>
  <si>
    <t>BEng (Hons) in Engineering (Aeronautical) (Top Up) - University Centre Farnborough - Engineering Degree Apprenticeship</t>
  </si>
  <si>
    <t>H00306090</t>
  </si>
  <si>
    <t>BEng (Hons) in Engineering (Electrical/Electronic) (Top Up) - University Centre Farnborough - Engineering Degree Apprenticeship</t>
  </si>
  <si>
    <t>H00306091</t>
  </si>
  <si>
    <t>BA (Hons) in Chartered Manager - University Centre Farnborough - Chatered Manager Degree Apprenticeship</t>
  </si>
  <si>
    <t>H00306092</t>
  </si>
  <si>
    <t>BA (Hons) Business and Event Management - University Centre Farnborough</t>
  </si>
  <si>
    <t>H00306093</t>
  </si>
  <si>
    <t>BEng (Hons) in Engineering (Mechanical) (Top Up) - University Centre Farnborough - Engineering Degree Apprenticeship</t>
  </si>
  <si>
    <t>H00306094</t>
  </si>
  <si>
    <t>BSc (Hons) in Enhanced Clinical Practitioner (Mental Health Practice) - Keele University - Enhanced Clinical Practitioner Apprenticeship</t>
  </si>
  <si>
    <t>H00306095</t>
  </si>
  <si>
    <t>PGDIP in Enhanced Clinical Practitioner (Child and Adolescent Mental Health Services) - KEELE UNIVERSITY - Enhanced Clinical Practitioner Apprenticeship</t>
  </si>
  <si>
    <t>H00306096</t>
  </si>
  <si>
    <t>BSc (Hons) in Enhanced Clinical Practitioner (Contemporary Rheumatology) - Keele University - Enhanced Clinical Practitioner Apprenticeship</t>
  </si>
  <si>
    <t>H00306097</t>
  </si>
  <si>
    <t>Postgraduate Diploma in Enhanced Clinical Practitioner (Neonatal Intensive Care) - Keele University - Enhanced Clinical Practitioner Apprenticeship</t>
  </si>
  <si>
    <t>H00306098</t>
  </si>
  <si>
    <t>PGDIP Enhanced Clinical Practitioner (Critical Care) - KEELE UNIVERSITY - Enhanced Clinical Practitioner Apprenticeship</t>
  </si>
  <si>
    <t>H00306099</t>
  </si>
  <si>
    <t>PGDIP Enhanced Clinical Practitioner (Contemporary Rheumatology) - KEELE UNIVERSITY -Enhanced Clinical Practitioner Apprenticeship</t>
  </si>
  <si>
    <t>H00306100</t>
  </si>
  <si>
    <t>PGDIP Enhanced Clinical Practitioner (Generic) - KEELE UNIVERSITY - Enhanced Clinical Practitioner Apprenticeship</t>
  </si>
  <si>
    <t>H00306101</t>
  </si>
  <si>
    <t>FdSc Applied Animal Management - Lincoln College</t>
  </si>
  <si>
    <t>H00306103</t>
  </si>
  <si>
    <t>BA (Hons) Sociology and Criminology - Open University</t>
  </si>
  <si>
    <t>H00306104</t>
  </si>
  <si>
    <t>FdA in Early Years Development and Education - Warwickshire College University Centre</t>
  </si>
  <si>
    <t>H00306105</t>
  </si>
  <si>
    <t>BA (Hons) in Early Years Development and Education - Warwickshire College University Centre</t>
  </si>
  <si>
    <t>H00306106</t>
  </si>
  <si>
    <t>FdA in Graphic Design with Photography - Warwickshire College University Centre</t>
  </si>
  <si>
    <t>H00306107</t>
  </si>
  <si>
    <t>BA (Hons) in Graphic Design with Photography - Warwickshire College University Centre</t>
  </si>
  <si>
    <t>H00306108</t>
  </si>
  <si>
    <t>FdA in Animation - Warwickshire College University Centre</t>
  </si>
  <si>
    <t>H00306109</t>
  </si>
  <si>
    <t>BA (Hons) in Animation - Warwickshire College University Centre</t>
  </si>
  <si>
    <t>H00306110</t>
  </si>
  <si>
    <t>Higher National Diploma in Applied Computing Higher - Leicester College</t>
  </si>
  <si>
    <t>H00306111</t>
  </si>
  <si>
    <t>Postgraduate Diploma in Leadership Practice - Lancaster University - Senior Leader Apprenticeship</t>
  </si>
  <si>
    <t>H00306112</t>
  </si>
  <si>
    <t>BSc in Criminology Communities and Criminal Justice (Top Up) - Barnsley College</t>
  </si>
  <si>
    <t>H00306113</t>
  </si>
  <si>
    <t>Cert HE in Professional Practice in Health and Social Care - Barnsley College</t>
  </si>
  <si>
    <t>H00306114</t>
  </si>
  <si>
    <t>BA (Hons) in Education and Professional Practice - New City College</t>
  </si>
  <si>
    <t>H00306115</t>
  </si>
  <si>
    <t>PGCE in Post Compulsory Education - New City College</t>
  </si>
  <si>
    <t>H00306116</t>
  </si>
  <si>
    <t>Foundation Degree in Creative Arts (Graphic Media Communication) - Calderdale College</t>
  </si>
  <si>
    <t>H00306117</t>
  </si>
  <si>
    <t>BA in Creative Arts (Graphic Media Communication)(Top-Up) - Calderdale College</t>
  </si>
  <si>
    <t>H00306118</t>
  </si>
  <si>
    <t>Foundation Degree in Creative Arts (Contemporary Art and Design Practice) - Calderdale College</t>
  </si>
  <si>
    <t>H00306119</t>
  </si>
  <si>
    <t>BA in Creative Arts (Contemporary Art and Design Practice) (Top Up) - Calderdale College</t>
  </si>
  <si>
    <t>H00306120</t>
  </si>
  <si>
    <t>MSc in Clinical Associate in Psychology (Adult Mental Health and Child and Adolescents pathways) - Nottingham Trent University - Clinical Associate in Psychology Degree Apprenticeship</t>
  </si>
  <si>
    <t>H00306121</t>
  </si>
  <si>
    <t>PGDIP in Higher Education - Staffordshire University - Academic Professional</t>
  </si>
  <si>
    <t>H00306122</t>
  </si>
  <si>
    <t>Foundation Degree in Make-Up, Special Effects and Hair for Media and Performance - University of Chichester</t>
  </si>
  <si>
    <t>H00306123</t>
  </si>
  <si>
    <t>Foundation Degree in Arts, Integrative Counselling - New College Durham</t>
  </si>
  <si>
    <t>H00306124</t>
  </si>
  <si>
    <t>BEng in Manufacturing Engineering - Oxford Brookes University</t>
  </si>
  <si>
    <t>H00306125</t>
  </si>
  <si>
    <t>BSc (Hons) in Applied Physical Education and Sports Coaching  - NCG</t>
  </si>
  <si>
    <t>H00306126</t>
  </si>
  <si>
    <t>BA (Hons) in Business Management (Top Up) - NCG</t>
  </si>
  <si>
    <t>H00306127</t>
  </si>
  <si>
    <t>BA (Hons) in Business Management (UG) - NCG</t>
  </si>
  <si>
    <t>H00306128</t>
  </si>
  <si>
    <t>Foundation Degree in Business Management - NCG</t>
  </si>
  <si>
    <t>H00306129</t>
  </si>
  <si>
    <t>Foundation Degree in Engineering - NCG</t>
  </si>
  <si>
    <t>H00306130</t>
  </si>
  <si>
    <t>Postgraduate Certificate of Education in English Literacy and Language Specialists - NCG</t>
  </si>
  <si>
    <t>H00306131</t>
  </si>
  <si>
    <t>BSc (Hons) in Integrated Health, Social Care and Well-Being - NCG</t>
  </si>
  <si>
    <t>H00306132</t>
  </si>
  <si>
    <t>FdSC in Integrated Health, Social Care and Well-Being - NCG</t>
  </si>
  <si>
    <t>H00306133</t>
  </si>
  <si>
    <t>CertHe in Integrated Health, Social Care and Well-Being - NCG</t>
  </si>
  <si>
    <t>H00306134</t>
  </si>
  <si>
    <t>Postgraduate Certificate of in Mathematics and Numeracy Specialists - NCG</t>
  </si>
  <si>
    <t>H00306135</t>
  </si>
  <si>
    <t>BA (Hons) in Musical Theatre - NCG</t>
  </si>
  <si>
    <t>H00306136</t>
  </si>
  <si>
    <t>CertHe in Musical Theatre - NCG</t>
  </si>
  <si>
    <t>H00306137</t>
  </si>
  <si>
    <t>FdSC in Psychology and Sociology - NCG</t>
  </si>
  <si>
    <t>H00306138</t>
  </si>
  <si>
    <t>PGCE in Special Educational Needs and Disabilities - NCG</t>
  </si>
  <si>
    <t>H00306139</t>
  </si>
  <si>
    <t>H00306140</t>
  </si>
  <si>
    <t>PGCE in Young People and Adult Learning Specialists - NCG</t>
  </si>
  <si>
    <t>H00306141</t>
  </si>
  <si>
    <t>MSc in Geotechnical Engineering  - University of Birmingham -  Engineering Degree Apprenticeship</t>
  </si>
  <si>
    <t>H00306142</t>
  </si>
  <si>
    <t>PGDip in Systems Thinking and Leadership Practitioner - The University of Birmingham - Systems Thinking Practitioner Standard</t>
  </si>
  <si>
    <t>H00306143</t>
  </si>
  <si>
    <t>BEng (Hons) in Mechanical Engineering - University of Wales Trinity Saint David - Manufacturing Standard</t>
  </si>
  <si>
    <t>H00306144</t>
  </si>
  <si>
    <t>BA (Hons) in Games Development and Visual Effects Top-Up - Hull University</t>
  </si>
  <si>
    <t>H00306145</t>
  </si>
  <si>
    <t>BA (Hons) in Art - Leeds City College</t>
  </si>
  <si>
    <t>H00306146</t>
  </si>
  <si>
    <t>BA (Hons) in Graphic Design and Illustration - Leeds City College</t>
  </si>
  <si>
    <t>H00306147</t>
  </si>
  <si>
    <t>BSc (Hons) in Computer Science - Leeds City College</t>
  </si>
  <si>
    <t>H00306148</t>
  </si>
  <si>
    <t>BSc (Hons) in Software Development - Leeds City College</t>
  </si>
  <si>
    <t>H00306149</t>
  </si>
  <si>
    <t>BSc (Hons) in Cyber Security - Leeds City College</t>
  </si>
  <si>
    <t>H00306150</t>
  </si>
  <si>
    <t>FD in Animation - Leeds City College</t>
  </si>
  <si>
    <t>H00306151</t>
  </si>
  <si>
    <t>BSc in (Hons) Game Programming - Leeds City College</t>
  </si>
  <si>
    <t>H00306152</t>
  </si>
  <si>
    <t>H00306153</t>
  </si>
  <si>
    <t>FD in Early Years Care and Education - Leeds City College</t>
  </si>
  <si>
    <t>H00306154</t>
  </si>
  <si>
    <t>MSc in Process Automation - Lancaster University</t>
  </si>
  <si>
    <t>H00306155</t>
  </si>
  <si>
    <t>BSc (Hons) in Healthcare Science (Ophthalmic Imaging) - University of Gloucestershire - Healthcare Science Practitioner Degree Apprenticeship</t>
  </si>
  <si>
    <t>H00306156</t>
  </si>
  <si>
    <t>Foundation Degree in Professional Practice in Health and Social Care - The Windsor Forest Colleges Group</t>
  </si>
  <si>
    <t>H00306157</t>
  </si>
  <si>
    <t>BA in Education Society and Childhood - University Centre Weston</t>
  </si>
  <si>
    <t>H00306158</t>
  </si>
  <si>
    <t>BA (Hons) in Special Educational Needs, Disability and Inclusive Practice - University Centre Weston</t>
  </si>
  <si>
    <t>H00306159</t>
  </si>
  <si>
    <t>Extended FdSc in Equine Science and Management - Askham Bryan College</t>
  </si>
  <si>
    <t>H00306160</t>
  </si>
  <si>
    <t>Certificate of Higher Education in Equine Science and Management - Askham Bryan College</t>
  </si>
  <si>
    <t>H00306161</t>
  </si>
  <si>
    <t>FdSc in Equine Science and Management - Askham Bryan College</t>
  </si>
  <si>
    <t>H00306162</t>
  </si>
  <si>
    <t>MSC in Clinical Associate in Psychology (Adult Mental Health) - Nottingham Trent University - Clinical Associate in Psychology (CAP) Degree Apprenticeship</t>
  </si>
  <si>
    <t>H00306163</t>
  </si>
  <si>
    <t>MSC in Clinical Associate in Psychology (Child and Adolescents) - Nottingham Trent University - Clinical Associate in Psychology (CAP) Degree Apprenticeship</t>
  </si>
  <si>
    <t>H00306164</t>
  </si>
  <si>
    <t>BA (Hons) in Games Design - Hugh Baird College</t>
  </si>
  <si>
    <t>H00306165</t>
  </si>
  <si>
    <t>BA (Hons) in Applied Education Studies - Nottingham College</t>
  </si>
  <si>
    <t>H00306166</t>
  </si>
  <si>
    <t>BA (Hons) in Business and Management - Nottingham College</t>
  </si>
  <si>
    <t>H00306167</t>
  </si>
  <si>
    <t>FD in Community, Public Health and Social Care - Calderdale College</t>
  </si>
  <si>
    <t>H00306168</t>
  </si>
  <si>
    <t>BSc (Hons) in Information Systems Management - Bradford College</t>
  </si>
  <si>
    <t>H00306170</t>
  </si>
  <si>
    <t>BSc (Hons) in Professional Forester - University of Cumbria - Professional Forester (integrated degree)</t>
  </si>
  <si>
    <t>H00306171</t>
  </si>
  <si>
    <t>Extended FdSc in Canine and Feline Behaviour and Training - Askham Bryan College</t>
  </si>
  <si>
    <t>H00306172</t>
  </si>
  <si>
    <t>Certificate in Higher Education in Canine and Feline Behaviour and Training - Askham Bryan College</t>
  </si>
  <si>
    <t>H00306173</t>
  </si>
  <si>
    <t>FdSc in Canine and Feline Behaviour and Training - Askham Bryan College</t>
  </si>
  <si>
    <t>H00306174</t>
  </si>
  <si>
    <t>BSc (Hons) in Physiotherapy - University College Birmingham</t>
  </si>
  <si>
    <t>H00306175</t>
  </si>
  <si>
    <t>BEng (Hons) in Instrumentation and Control Engineering - Teesside University - Instrumentation and Control Engineering (Apprenticeship)</t>
  </si>
  <si>
    <t>H00306176</t>
  </si>
  <si>
    <t>BA (Hons) in Business and Management - University of Gloucestershire - Chartered Manager Degree Apprenticeship</t>
  </si>
  <si>
    <t>H00306177</t>
  </si>
  <si>
    <t>Foundation Degree in Animal Welfare and Management - NESCOT</t>
  </si>
  <si>
    <t>H00306178</t>
  </si>
  <si>
    <t>BSc (Hons) in Animal Management and Conservation (Top-up) - NESCOT</t>
  </si>
  <si>
    <t>H00306179</t>
  </si>
  <si>
    <t>Fd in Early Childhood Education and Care - Bridgwater and Taunton College</t>
  </si>
  <si>
    <t>H00306180</t>
  </si>
  <si>
    <t>BA (Hons) in Early Childhood Education and Care - Bridgwater and Taunton College</t>
  </si>
  <si>
    <t>H00306181</t>
  </si>
  <si>
    <t>MSc in Physician Associate Studies - Queen Mary University of London - Physician Associate Degree Apprenticeship</t>
  </si>
  <si>
    <t>H00306182</t>
  </si>
  <si>
    <t>BA (Hons) in Social Work - University of Bradford - Social Worker Degree Apprenticeship</t>
  </si>
  <si>
    <t>H00306183</t>
  </si>
  <si>
    <t>BSc (Hons) in Nursing (Child) - Edge Hill University - Registered Nurse (NMC 2018) Degree Apprenticeship</t>
  </si>
  <si>
    <t>H00306184</t>
  </si>
  <si>
    <t>MA in Education and Professional Development - RNN Group</t>
  </si>
  <si>
    <t>H00306185</t>
  </si>
  <si>
    <t>Certificate in Education in (Lifelong Learning) In-Service (PT) - RNN Group</t>
  </si>
  <si>
    <t>H00306186</t>
  </si>
  <si>
    <t>Certificate in Education in (Lifelong Learning) Pre-Service (FT) - RNN Group</t>
  </si>
  <si>
    <t>H00306187</t>
  </si>
  <si>
    <t>Professional Graduate Certificate in Education in (Lifelong Learning) - In-Service (PT) - RNN Group</t>
  </si>
  <si>
    <t>H00306188</t>
  </si>
  <si>
    <t>Professional Graduate Certificate in Education in (Lifelong Learning) - Pre-Service (FT) -RNN Group</t>
  </si>
  <si>
    <t>H00306189</t>
  </si>
  <si>
    <t>H00306190</t>
  </si>
  <si>
    <t>H00306191</t>
  </si>
  <si>
    <t>BEng (Hons) in Rail and Rail Systems Engineering - London South Bank University - Rail and Rail Systems Senior Engineer Integrated Degree Apprenticeship</t>
  </si>
  <si>
    <t>H00306192</t>
  </si>
  <si>
    <t>BSc (Hons) in Diagnostic Radiography - London South Bank University - Diagnostic Radiographer Integrated Degree Apprenticeship</t>
  </si>
  <si>
    <t>H00306193</t>
  </si>
  <si>
    <t>BSc (Hons) in Occupational Therapy - London South Bank University - Occupational Therapist Integrated Degree Apprenticeship</t>
  </si>
  <si>
    <t>H00306194</t>
  </si>
  <si>
    <t>BSc (Hons) in Therapeutic Radiography - London South Bank University - Therapeutic Radiographer Integrated Degree Apprenticeship</t>
  </si>
  <si>
    <t>H00306195</t>
  </si>
  <si>
    <t>HNC in Engineering - Petroc</t>
  </si>
  <si>
    <t>H00306196</t>
  </si>
  <si>
    <t>Foundation Degree in Music - The Bournemouth and Poole College</t>
  </si>
  <si>
    <t>H00306198</t>
  </si>
  <si>
    <t>Cert HE in Applied Finance - Queen Mary University London - Investment Operations Specialist Apprenticeship</t>
  </si>
  <si>
    <t>H00306199</t>
  </si>
  <si>
    <t>CertHE Fashion and Costume with Sustainable Practice</t>
  </si>
  <si>
    <t>H00306200</t>
  </si>
  <si>
    <t>CertHE Commercial Illustration</t>
  </si>
  <si>
    <t>H00306201</t>
  </si>
  <si>
    <t>CertHE Fine Art Professional Practice</t>
  </si>
  <si>
    <t>H00306202</t>
  </si>
  <si>
    <t>CertHE Photography</t>
  </si>
  <si>
    <t>H00306203</t>
  </si>
  <si>
    <t>CertHE Acting</t>
  </si>
  <si>
    <t>H00306204</t>
  </si>
  <si>
    <t>CertHE Musical Theatre</t>
  </si>
  <si>
    <t>H00306206</t>
  </si>
  <si>
    <t>Certificate in Education, Learning and Skills Teacher - Teesside University - Learning and Skills Teacher Apprenticeship</t>
  </si>
  <si>
    <t>H00306207</t>
  </si>
  <si>
    <t>BA (Hons) in Creative Digital Design - Sheffield Hallam University</t>
  </si>
  <si>
    <t>H00306208</t>
  </si>
  <si>
    <t>BSc (Hons) in Digital User Experience (UX) - Sheffield Hallam University</t>
  </si>
  <si>
    <t>H00306209</t>
  </si>
  <si>
    <t>FD Audiovisual Technology - Middlesbrough College</t>
  </si>
  <si>
    <t xml:space="preserve">3. The following countable years are greater than the equivalent undergraduate totals in Tables 1 and 2: </t>
  </si>
  <si>
    <t>Proportion 
new entrants</t>
  </si>
  <si>
    <t>Proportion
long</t>
  </si>
  <si>
    <t>Year</t>
  </si>
  <si>
    <t>ACYEAR</t>
  </si>
  <si>
    <t>If you require an accessible version of this workbook please contact heses@officeforstudents.org.uk</t>
  </si>
  <si>
    <t>STARTER_23</t>
  </si>
  <si>
    <t>HESAILR22a</t>
  </si>
  <si>
    <t>HES23a</t>
  </si>
  <si>
    <t>HES23b</t>
  </si>
  <si>
    <t>HESAILR22b</t>
  </si>
  <si>
    <t>Table 1: Full-time counts of years of engagement</t>
  </si>
  <si>
    <t>Table 2: Sandwich year out counts of years of engagement</t>
  </si>
  <si>
    <t>Table 4: Home-fee undegraduate years of engagement abroad</t>
  </si>
  <si>
    <t>Table 6a: Full-time counts of years of engagement for home fee students on pre-registration health courses</t>
  </si>
  <si>
    <t>Total years of engagement</t>
  </si>
  <si>
    <t>Long years of engagement</t>
  </si>
  <si>
    <t xml:space="preserve">(a) OfS-fundable </t>
  </si>
  <si>
    <t>C1</t>
  </si>
  <si>
    <t>2. The following cells contain values entered to more than two decimal places:</t>
  </si>
  <si>
    <t>Val. Check 2 - More than 2dp</t>
  </si>
  <si>
    <t>2. 2 decimal places</t>
  </si>
  <si>
    <t>Val. Check 3 - negative numbers</t>
  </si>
  <si>
    <t>3. Negative numbers</t>
  </si>
  <si>
    <t>1. Students have been recorded as price group A in the following cells:</t>
  </si>
  <si>
    <t>2. Students have been recorded as PGR level in the following cells:</t>
  </si>
  <si>
    <t>Cred. Check 1 - FEC Only - Price group A recorded</t>
  </si>
  <si>
    <t>Cred. Check 2 - FEC Only - PGR recorded</t>
  </si>
  <si>
    <t>Column 1+2</t>
  </si>
  <si>
    <t>No checks in total row</t>
  </si>
  <si>
    <t>Column 1 + 2</t>
  </si>
  <si>
    <t>1. Cells not whole numbers</t>
  </si>
  <si>
    <t>2. Negative cells</t>
  </si>
  <si>
    <t>Info sheet triggers</t>
  </si>
  <si>
    <t>3. The following cells contain negative values:</t>
  </si>
  <si>
    <t>2. The following cells contain negative values:</t>
  </si>
  <si>
    <t>Val. Check 2 - more than 2dp</t>
  </si>
  <si>
    <t>PGR rows excluded (don't drag across from the above cell)</t>
  </si>
  <si>
    <t>Students on higher technical qualifications (HTQs) included in Section A of this table</t>
  </si>
  <si>
    <t>Section C: HTQs</t>
  </si>
  <si>
    <t>12. All years = HTQs</t>
  </si>
  <si>
    <t>Val. Check 5 - Entrants &gt; HTQs</t>
  </si>
  <si>
    <t>5. The following cells in Section C: HTQs are greater than the equivalent cells in Section A: All years:</t>
  </si>
  <si>
    <t>All</t>
  </si>
  <si>
    <t>1. Negative numbers</t>
  </si>
  <si>
    <t>2. Whole numbers</t>
  </si>
  <si>
    <t>3. Multiple 0.5</t>
  </si>
  <si>
    <t>4. Greater than Table 1 - F</t>
  </si>
  <si>
    <t>5. Greater than Table 1 - NF</t>
  </si>
  <si>
    <t>6. starters&lt;total</t>
  </si>
  <si>
    <t>Val. Check 1 - Negative</t>
  </si>
  <si>
    <t>Val. Check 2 - Whole</t>
  </si>
  <si>
    <t>Val. Check 3 - 0.5</t>
  </si>
  <si>
    <t>Val. Check 4 &amp; 5 - Greater than T1</t>
  </si>
  <si>
    <t>Val check 6 - starters less than total</t>
  </si>
  <si>
    <t>Starters in 2023-24</t>
  </si>
  <si>
    <t>Starters in 2023-24 included in (a) and (b)</t>
  </si>
  <si>
    <t>1, 2, 3, 4</t>
  </si>
  <si>
    <t>1, 2, 3, 5</t>
  </si>
  <si>
    <t>1, 2, 3, 6</t>
  </si>
  <si>
    <t>Check 2 only</t>
  </si>
  <si>
    <t>3. The following cells contain values not entered as a multiple of 0.5:</t>
  </si>
  <si>
    <t>4. For the following cells, the absolute number of OfS-fundable countable years is greater than the equivalent absolute total in Table 1:</t>
  </si>
  <si>
    <t>5. For the following cells, the absolute number of non-fundable countable years is greater than the equivalent absolute total in Table 1:</t>
  </si>
  <si>
    <t>Cred. Check 1 - Nursing unclassified</t>
  </si>
  <si>
    <t>1. Nursing (unclassified)</t>
  </si>
  <si>
    <t>2. Long</t>
  </si>
  <si>
    <t>2. Students on a long year of engagement have been entered for the following professions:</t>
  </si>
  <si>
    <t>If either Col 1 or 2 are triggered</t>
  </si>
  <si>
    <t>4. For the following cells, the absolute number of OfS-fundable countable years is greater than the equivalent absolute total in Table 3:</t>
  </si>
  <si>
    <t>5. For the following cells, the absolute number of non-fundable countable years is greater than the equivalent absolute total in Table 3:</t>
  </si>
  <si>
    <t>Val. Check 4 &amp; 5 - Greater than T3</t>
  </si>
  <si>
    <t>Val check 6
Starters &gt; all</t>
  </si>
  <si>
    <t>4. Greater than Table 3 - F</t>
  </si>
  <si>
    <t>5. Greater than Table 3 - NF</t>
  </si>
  <si>
    <t>6. Starters greater than total</t>
  </si>
  <si>
    <t>Cred. Check 2 - Long</t>
  </si>
  <si>
    <t>ALL</t>
  </si>
  <si>
    <t>5. C &gt; A</t>
  </si>
  <si>
    <t>Total countable years 
(Column 1 + 2)</t>
  </si>
  <si>
    <t>Table E: Proportion of fundable countable years of engagement recorded as long</t>
  </si>
  <si>
    <t xml:space="preserve">Table F: Home fee undergraduate years of engagement abroad </t>
  </si>
  <si>
    <t xml:space="preserve">Table G: Proportion of new entrants </t>
  </si>
  <si>
    <t>Table H: Countable years of engagement for home fee starters on pre-registration nursing, midwifery and allied health profession courses</t>
  </si>
  <si>
    <t>Table I: Total countable years of engagement for home fee students on pre-registration nursing, midwifery and allied health profession courses</t>
  </si>
  <si>
    <t>21-22 no longer used for highlighting</t>
  </si>
  <si>
    <t>Table Z: Countable fundable years of engagement by mode, level and price group</t>
  </si>
  <si>
    <t>Z</t>
  </si>
  <si>
    <t>This worksheet contains three tables, each separated vertically by one blank row.</t>
  </si>
  <si>
    <t>Comparison 2: Tables E to G</t>
  </si>
  <si>
    <t>Comparison 3: Tables H and I</t>
  </si>
  <si>
    <t>Other comparisons: Table Z</t>
  </si>
  <si>
    <t>Turing years</t>
  </si>
  <si>
    <t>Cred. Check 12 - HTQ = All years</t>
  </si>
  <si>
    <t>12. Students have been recorded as on a higher technical qualification in Section C: HTQs in the following cells:</t>
  </si>
  <si>
    <t>Table 3: Part-time counts of years of engagement</t>
  </si>
  <si>
    <t>1. The following cells in Columns 1 and 2 contain negative values:</t>
  </si>
  <si>
    <t>Table 6c: Part-time counts of years of engagement for home fee students on pre-registration health courses</t>
  </si>
  <si>
    <t>sp_T5_secAsecC</t>
  </si>
  <si>
    <t>sp_T6ac_starter23</t>
  </si>
  <si>
    <t>1. The following cells contain negative values:</t>
  </si>
  <si>
    <t>BA (Hons) in Fine Art and Crafts</t>
  </si>
  <si>
    <t>BA (Hons) in Business Management &amp; Strategy - Yeovil College</t>
  </si>
  <si>
    <t>FdSc in Sport, Coaching, Health and Fitness - Weymouth College</t>
  </si>
  <si>
    <t>FdSc in Health and Social Care -Weymouth College</t>
  </si>
  <si>
    <t>FdA in Childhood Studies, Care and Education - Yeovil College</t>
  </si>
  <si>
    <t>BA (Hons) in Childhood Studies, Care and Education - Yeovil College</t>
  </si>
  <si>
    <t>BA (Hons) in Acting - The Manchester College (Trading name of LTE Group)</t>
  </si>
  <si>
    <t>BSc (Hons) in Paramedic Science (Medway) - University of Greenwich -Paramedic Science Degree Apprenticeship</t>
  </si>
  <si>
    <t>BSc (Hons) in Paramedic Science (London) - University of Greenwich -Paramedic Science Degree Apprenticeship</t>
  </si>
  <si>
    <t>FdSc Computer Science and Digital Technologies</t>
  </si>
  <si>
    <t>PG Dip in Specialist Community Public Health Nursing (Apprenticeship) - University of Greenwich - Specialist Community and Public Health Nurse (ST0697)</t>
  </si>
  <si>
    <t>BA (Hons) in Music Production and Composition - The Manchester College (Trading name of LTE Group)</t>
  </si>
  <si>
    <t>MSc in Applied Drug Discovery and Development - University of Kent - Research Scientist Apprenticeship Standard</t>
  </si>
  <si>
    <t>305325</t>
  </si>
  <si>
    <t>H00305325</t>
  </si>
  <si>
    <t>BA (Hons) in Hair and Make Up Design and Application for Production (Top Up) - South Essex College of Further and Higher Education</t>
  </si>
  <si>
    <t>305385</t>
  </si>
  <si>
    <t>H00305385</t>
  </si>
  <si>
    <t>BSc (Hons) in Mental Health and Well Being (Top Up) - South Essex College of Further and Higher Education</t>
  </si>
  <si>
    <t>BSc (Hons) in Operating Department Practitioner (Degree Apprenticeship) - University of Greenwich - Operating Department Practitioner (Integrated Degree)</t>
  </si>
  <si>
    <t>BSc (Hons) in Operating Department Practitioner (Medway) (Degree Apprenticeship) - University of Greenwich - Operating Department Practitioner (Integrated Degree)</t>
  </si>
  <si>
    <t>Post Graduate Certificate in Education(Education and Training) - University of Central Lancashire</t>
  </si>
  <si>
    <t>HNC in Engineering - Nelson and Colne College</t>
  </si>
  <si>
    <t>HND in Engineering -Nelson and Colne College</t>
  </si>
  <si>
    <t>FdA Young Childrens Learning and Development - Craven College</t>
  </si>
  <si>
    <t>BA (Hons) Young Childrens Learning and Development (Top up) - Craven College</t>
  </si>
  <si>
    <t>PGDip in Leadership - University of Brighton - Senior Leader Apprenticeship</t>
  </si>
  <si>
    <t>BSc (Hons) in Diagnostic Radiography - Canterbury Christ Church University - Diagnostic Radiographer (Integrated Degree) Standard</t>
  </si>
  <si>
    <t>BA (Hons) in Social Work - University of East Anglia - Social Worker Degree Apprenticeship</t>
  </si>
  <si>
    <t>BSc (Hons) in Applied Management - University of Westminster - Chartered Manager Standard</t>
  </si>
  <si>
    <t>BA (Hons) in Facilities Management - University of Gloucestershire - Senior and Head of Facilities Management Degree Apprenticeship</t>
  </si>
  <si>
    <t>Certificate in Higher Education in Evidence Based Low Intensity Cognitive Behavioural Therapy - University of East Anglia - Psychological Wellbeing Practitioner Apprenticeship</t>
  </si>
  <si>
    <t>PgDip in Specialist Community Public Health Nurse (SCPHN) School Nurse - University of Salford - Specialist Community Public Health Nurse Apprenticeship</t>
  </si>
  <si>
    <t>PgDip in Specialist Community Public Health Nurse (SCPHN) Health Visiting - University of Salford - Specialist Community Public Health Nurse Apprenticeship</t>
  </si>
  <si>
    <t>PgDip in Specialist Practitioner  District Nurse - University of Salford - District Nurse Apprenticeship</t>
  </si>
  <si>
    <t>H00306102</t>
  </si>
  <si>
    <t>BSc Applied Animal Management (Top up) - Lincoln College</t>
  </si>
  <si>
    <t>BSc (Hons) in Game Development and Production - Leeds City College</t>
  </si>
  <si>
    <t>Postgraduate Certificate in Education in (Lifelong Learning) In-Service (PT) - RNN Group</t>
  </si>
  <si>
    <t>Postgraduate Certificate in Education in (Lifelong Learning) Pre-Service (FT) - RNN Group</t>
  </si>
  <si>
    <t>H00306197</t>
  </si>
  <si>
    <t>BSc in Applied Finance - Queen Mary University London - Financial Services Professional Apprenticeship</t>
  </si>
  <si>
    <t>H00306205</t>
  </si>
  <si>
    <t>BSc (Hons) in Applied Biomedical Science - University of Wolverhampton</t>
  </si>
  <si>
    <t>H00306210</t>
  </si>
  <si>
    <t>HNC in Construction - City College Plymouth</t>
  </si>
  <si>
    <t>H00306211</t>
  </si>
  <si>
    <t>FdSc in Civil Engineering - City College Plymouth</t>
  </si>
  <si>
    <t>H00306212</t>
  </si>
  <si>
    <t>FdSc in Engineering (Mechanical) - City College Plymouth</t>
  </si>
  <si>
    <t>H00306213</t>
  </si>
  <si>
    <t>HNC in Civil Engineering - City College Plymouth</t>
  </si>
  <si>
    <t>H00306214</t>
  </si>
  <si>
    <t>Bachelor of Osteopathic Medicine - North East Surrey College of Technology</t>
  </si>
  <si>
    <t>H00306215</t>
  </si>
  <si>
    <t>Masters of Osteopathic Medicine - North East Surrey College of Technology</t>
  </si>
  <si>
    <t>H00306216</t>
  </si>
  <si>
    <t>BA (Hons) in Social Work - University of Sheffield - Social Worker (integrated degree apprenticeship)</t>
  </si>
  <si>
    <t>H00306217</t>
  </si>
  <si>
    <t>HND in Applied Computing - Exeter College</t>
  </si>
  <si>
    <t>H00306218</t>
  </si>
  <si>
    <t>HNC in Applied Computing - Exeter College</t>
  </si>
  <si>
    <t>H00306219</t>
  </si>
  <si>
    <t>FdSc in Computing - TEC Partnership</t>
  </si>
  <si>
    <t>H00306220</t>
  </si>
  <si>
    <t>BA (Hons) in Public Sector Management (Top-up) - TEC Partnership</t>
  </si>
  <si>
    <t>H00306221</t>
  </si>
  <si>
    <t>BA (Hons) in Contemporary Approaches to Counselling (Top-up) - TEC Partnership</t>
  </si>
  <si>
    <t>H00306222</t>
  </si>
  <si>
    <t>FdA in Business - Truro and Penwith College</t>
  </si>
  <si>
    <t>H00306223</t>
  </si>
  <si>
    <t>BA (Hons) in Education and Training - Truro and Penwith College</t>
  </si>
  <si>
    <t>H00306224</t>
  </si>
  <si>
    <t>LLB (Hons) in Law - Truro and Penwith College</t>
  </si>
  <si>
    <t>H00306225</t>
  </si>
  <si>
    <t>Short Course: Study Skills for Higher Education - Truro and Penwith College</t>
  </si>
  <si>
    <t>H00306226</t>
  </si>
  <si>
    <t>Short Course: Critical and Contextual Studies - Truro and Penwith College</t>
  </si>
  <si>
    <t>H00306227</t>
  </si>
  <si>
    <t>Short Course: The Digital Marketing Opportunity - Truro and Penwith College</t>
  </si>
  <si>
    <t>H00306228</t>
  </si>
  <si>
    <t>Short Course: Project Management for Business - Truro and Penwith College</t>
  </si>
  <si>
    <t>H00306229</t>
  </si>
  <si>
    <t>Short Course: Event Management - Truro and Penwith College</t>
  </si>
  <si>
    <t>H00306230</t>
  </si>
  <si>
    <t>Short Course: Photographic Techniques - Truro and Penwith College</t>
  </si>
  <si>
    <t>H00306231</t>
  </si>
  <si>
    <t>Short Course: Sports Massage - Truro and Penwith College</t>
  </si>
  <si>
    <t>H00306232</t>
  </si>
  <si>
    <t>Short Course: Business Management and Human Resources - Truro and Penwith College</t>
  </si>
  <si>
    <t>H00306233</t>
  </si>
  <si>
    <t>Short Course: Moving Image Techniques - Truro and Penwith College</t>
  </si>
  <si>
    <t>H00306234</t>
  </si>
  <si>
    <t>Short Course: Visual and Graphic Design Techniques - Truro and Penwith College</t>
  </si>
  <si>
    <t>H00306235</t>
  </si>
  <si>
    <t>Short Course: Nutrition for Performance and Health - Truro and Penwith College</t>
  </si>
  <si>
    <t>H00306236</t>
  </si>
  <si>
    <t>Short Course: Marketing and Public Relations - Truro and Penwith College</t>
  </si>
  <si>
    <t>H00306237</t>
  </si>
  <si>
    <t>MA in Arts Practice - The Northern School of Art</t>
  </si>
  <si>
    <t>H00306238</t>
  </si>
  <si>
    <t>MA in Design Practice - The Northern School of Art</t>
  </si>
  <si>
    <t>H00306239</t>
  </si>
  <si>
    <t>BA (Hons) in Animation - The Northern School of Art</t>
  </si>
  <si>
    <t>H00306240</t>
  </si>
  <si>
    <t>BSc (Hons) in Adult Nursing - Kingston University - Registered Nurse (NMC 2018) Integrated Degree Apprenticeship</t>
  </si>
  <si>
    <t>H00306241</t>
  </si>
  <si>
    <t>BA (Hons) in Early Years - University Centre Weston</t>
  </si>
  <si>
    <t>H00306242</t>
  </si>
  <si>
    <t>BA (Hons) Public Sector Leadership (Crime, Strategy and International Relations) - City College Norwich</t>
  </si>
  <si>
    <t>H00306243</t>
  </si>
  <si>
    <t>BA (Hons) Public Sector Leadership (Management and Strategy) - City College Norwich</t>
  </si>
  <si>
    <t>H00306244</t>
  </si>
  <si>
    <t>BA (Hons) Public Sector Leadership (Crime and Policing) - City College Norwich</t>
  </si>
  <si>
    <t>H00306245</t>
  </si>
  <si>
    <t>BA (Hons) Film Production and Professional Practice - York College</t>
  </si>
  <si>
    <t>H00306246</t>
  </si>
  <si>
    <t>BA (Hons) in Acting for Stage and Screen - NCG</t>
  </si>
  <si>
    <t>H00306247</t>
  </si>
  <si>
    <t>H00306248</t>
  </si>
  <si>
    <t>Beng (Hons) in Energy Engineering - NCG</t>
  </si>
  <si>
    <t>H00306249</t>
  </si>
  <si>
    <t>FdEng in Energy Engineering - NCG</t>
  </si>
  <si>
    <t>H00306250</t>
  </si>
  <si>
    <t>FdA in Surface Design Practitioner - NCG</t>
  </si>
  <si>
    <t>H00306251</t>
  </si>
  <si>
    <t>FdA in Tourism and Events Management - NCG</t>
  </si>
  <si>
    <t>H00306252</t>
  </si>
  <si>
    <t>BSc (Hons) in Enhanced Clinical Practitioner (Critical Care) - Keele University</t>
  </si>
  <si>
    <t>H00306253</t>
  </si>
  <si>
    <t>PGDip in Enhanced Clinical Practitioner (Mental Health Practice) - Keele University</t>
  </si>
  <si>
    <t>H00306254</t>
  </si>
  <si>
    <t>Certificate in Higher Education in Computer Science - Barking and Dagenham College</t>
  </si>
  <si>
    <t>H00306255</t>
  </si>
  <si>
    <t>Diploma in Higher Education Computing - Barking and Dagenham College</t>
  </si>
  <si>
    <t>H00306256</t>
  </si>
  <si>
    <t>Certificate in Higher Education in Photography and Moving Image - Barking and Dagenham College</t>
  </si>
  <si>
    <t>H00306257</t>
  </si>
  <si>
    <t>Certificate in Higher Education in 3D Design - Barking and Dagenham College</t>
  </si>
  <si>
    <t>H00306258</t>
  </si>
  <si>
    <t>Diploma in Higher Education Mechatronics and Computer Systems Engineering - Barking and Dagenham College</t>
  </si>
  <si>
    <t>H00306259</t>
  </si>
  <si>
    <t>Certificate in Higher Education Surveying and Mapping Sciences - Barking and Dagenham College</t>
  </si>
  <si>
    <t>H00306260</t>
  </si>
  <si>
    <t>Diploma in Higher Education in Cyber Security - Barking and Dagenham College</t>
  </si>
  <si>
    <t>H00306261</t>
  </si>
  <si>
    <t>Diploma in Higher Education Photography &amp; Moving Image - Barking &amp; Dagenham College</t>
  </si>
  <si>
    <t>H00306262</t>
  </si>
  <si>
    <t>Diploma in Higher Education 3D Design - Barking and Dagenham College</t>
  </si>
  <si>
    <t>H00306263</t>
  </si>
  <si>
    <t>Diploma in Higher Education General Engineering - Barking &amp; Dagenham College</t>
  </si>
  <si>
    <t>H00306264</t>
  </si>
  <si>
    <t>Certificate in Higher Education in General Engineering - Barking and Dagenham College</t>
  </si>
  <si>
    <t>H00306265</t>
  </si>
  <si>
    <t>Certificate in Higher Education in Construction Management - Barking and Dagenham College</t>
  </si>
  <si>
    <t>H00306266</t>
  </si>
  <si>
    <t>MSc in Nursing with Registered Nurse Status (Adult) - Liverpool John Moores University</t>
  </si>
  <si>
    <t>H00306267</t>
  </si>
  <si>
    <t>MSc in Nursing with Registered Nurse Status (Child) - Liverpool John Moores University</t>
  </si>
  <si>
    <t>H00306268</t>
  </si>
  <si>
    <t>MSc in Nursing with Registered Nurse Status (Mental Health) - Liverpool John Moores University</t>
  </si>
  <si>
    <t>H00306269</t>
  </si>
  <si>
    <t>FdSc in Sustainable Agriculture with Crop Management - University Centre Reaseheath</t>
  </si>
  <si>
    <t>H00306270</t>
  </si>
  <si>
    <t>FdSc in Sustainable Agriculture with Dairy Herd Management - University Centre Reaseheath</t>
  </si>
  <si>
    <t>H00306271</t>
  </si>
  <si>
    <t>BA (HONS) in Uniformed Protective Services - University Centre Farnborough</t>
  </si>
  <si>
    <t>H00306272</t>
  </si>
  <si>
    <t>BA (HONS) in Environmental Science and Sustainability - University Centre Farnborough</t>
  </si>
  <si>
    <t>H00306273</t>
  </si>
  <si>
    <t>Professional Certificate in Education (PCE) - University Centre Farnborough</t>
  </si>
  <si>
    <t>H00306274</t>
  </si>
  <si>
    <t>Professional Graduate Certificate in Education - University Centre Farnborough</t>
  </si>
  <si>
    <t>H00306275</t>
  </si>
  <si>
    <t>FdA in Esports Education: Coaching, Health and Wellbeing - Barnsley College</t>
  </si>
  <si>
    <t>H00306276</t>
  </si>
  <si>
    <t>BSc (Hons) in Physical Activity, Health and Exercise [Level 6 Top-Up] - Barnsley College</t>
  </si>
  <si>
    <t>H00306277</t>
  </si>
  <si>
    <t>FdSc in Sustainable Agriculture with Livestock Management - University Centre Reaseheath</t>
  </si>
  <si>
    <t>H00306278</t>
  </si>
  <si>
    <t>BSc (Hons) in Sustainable Agriculture - University Centre Reaseheath</t>
  </si>
  <si>
    <t>H00306279</t>
  </si>
  <si>
    <t>Professional Graduate Certificate in Education (Post-compulsory Education) - Barnsley College</t>
  </si>
  <si>
    <t>H00306280</t>
  </si>
  <si>
    <t>H00306281</t>
  </si>
  <si>
    <t>Foundation Degree in Healthcare Assistant Practitioner - Leeds City College</t>
  </si>
  <si>
    <t>H00306282</t>
  </si>
  <si>
    <t>Foundation Degree in Creative Hair and Makeup - Leeds City College</t>
  </si>
  <si>
    <t>H00306283</t>
  </si>
  <si>
    <t>Foundation Degree in Creative Hair and Makeup (Fashion and Editorial) - Leeds City College</t>
  </si>
  <si>
    <t>H00306284</t>
  </si>
  <si>
    <t>Foundation Degree in Creative Hair and Makeup (Film and TV and Prosthetics) - Leeds City College</t>
  </si>
  <si>
    <t>H00306285</t>
  </si>
  <si>
    <t>BSc (Hons) Equine Behaviour and Welfare - University Centre Reaseheath</t>
  </si>
  <si>
    <t>H00306286</t>
  </si>
  <si>
    <t>BA (Hons) in Rural Business Management - University Centre Reaseheath</t>
  </si>
  <si>
    <t>H00306287</t>
  </si>
  <si>
    <t>Certificate in Advanced Veterinary Nursing (Surgical Nursing Care) - Myerscough College</t>
  </si>
  <si>
    <t>H00306288</t>
  </si>
  <si>
    <t>Certificate in Advanced Veterinary Nursing (Anaesthesia and Analgesia) - Myerscough College</t>
  </si>
  <si>
    <t>H00306289</t>
  </si>
  <si>
    <t>Foundation Degree in Education and Special Education Needs - London South East Colleges</t>
  </si>
  <si>
    <t>H00306290</t>
  </si>
  <si>
    <t>BSc (Hons) in Physiotherapy - University of Central Lancashire - Physiotherapist Degree Apprenticeship</t>
  </si>
  <si>
    <t>H00306291</t>
  </si>
  <si>
    <t>FdSc in Counselling - Activate Learning</t>
  </si>
  <si>
    <t>H00306292</t>
  </si>
  <si>
    <t>BSc (Hons) in Counselling (Top Up) - Activate Learning</t>
  </si>
  <si>
    <t>H00306293</t>
  </si>
  <si>
    <t>CertHE in High Performance Coach - University of Gloucestershire - Sports Coach Apprenticeship Standard</t>
  </si>
  <si>
    <t>H00306294</t>
  </si>
  <si>
    <t>CertHE in School Coach - University of Gloucestershire - Sports Coach Apprenticeship Standard</t>
  </si>
  <si>
    <t>H00306295</t>
  </si>
  <si>
    <t>CertHE in Community Coach - University of Gloucestershire - Sports Coach Apprenticeship Standard</t>
  </si>
  <si>
    <t>H00306296</t>
  </si>
  <si>
    <t>FDSc Assistant Practitioner (Radiography) - Keele University - Healthcare Assistant Practitioner apprenticeship</t>
  </si>
  <si>
    <t>H00306297</t>
  </si>
  <si>
    <t>BSc (Hons) in Speech and Language Therapy - Birmingham City University - Speech and Language Therapist Degree Apprenticeship</t>
  </si>
  <si>
    <t>H00306298</t>
  </si>
  <si>
    <t>BEng in Ordnance, Munitions and Explosives - University of Wales Trinity Saint David - Ordnance Munitions and Explosives (OME) Professional Degree Apprenticeship</t>
  </si>
  <si>
    <t>H00306299</t>
  </si>
  <si>
    <t>FdA in Business and Management - South Devon College</t>
  </si>
  <si>
    <t>H00306300</t>
  </si>
  <si>
    <t>FdSc in Engineering (Photonics and Optical Electronics) - South Devon College</t>
  </si>
  <si>
    <t>H00306301</t>
  </si>
  <si>
    <t>FdSc in Engineering (Manufacturing) - South Devon College</t>
  </si>
  <si>
    <t>H00306302</t>
  </si>
  <si>
    <t>FdSc in Engineering (Marine Technologies) - South Devon College</t>
  </si>
  <si>
    <t>H00306303</t>
  </si>
  <si>
    <t>FdSc in Engineering (Design and Development) - South Devon College</t>
  </si>
  <si>
    <t>H00306304</t>
  </si>
  <si>
    <t>HNC in Engineering (Manufacturing) - South Devon College</t>
  </si>
  <si>
    <t>H00306305</t>
  </si>
  <si>
    <t>HNC in Engineering (Marine Technologies) South Devon College</t>
  </si>
  <si>
    <t>H00306306</t>
  </si>
  <si>
    <t>BA (Hons) in Childhood and Youth Studies - South Devon College</t>
  </si>
  <si>
    <t>H00306307</t>
  </si>
  <si>
    <t>BSc (Hons) in Social and Therapeutic Interventions - South Devon College</t>
  </si>
  <si>
    <t>H00306308</t>
  </si>
  <si>
    <t>HNC in Business and Management - South Devon College</t>
  </si>
  <si>
    <t>H00306309</t>
  </si>
  <si>
    <t>MSc in Physician Associate - University of Greenwich - Physician Associate Degree Apprenticeship</t>
  </si>
  <si>
    <t>H00306310</t>
  </si>
  <si>
    <t>BSc (Hons) in Physiotherapy - University of Greenwich - Physiotherapist Degree Apprenticeship</t>
  </si>
  <si>
    <t>H00306311</t>
  </si>
  <si>
    <t>MPhil in Research Scientist - University of Greenwich - Research Scientist Degree Apprenticeship</t>
  </si>
  <si>
    <t>H00306312</t>
  </si>
  <si>
    <t>MSc in Research Scientist - University of Greenwich - Research Scientist Degree Apprenticeship</t>
  </si>
  <si>
    <t>H00306313</t>
  </si>
  <si>
    <t>MSc by Research (Research Scientist) - University of Greenwich - Research Scientist Degree Apprenticeship</t>
  </si>
  <si>
    <t>H00306314</t>
  </si>
  <si>
    <t>FdA in Education and Learning Support (PT) - Chesterfield College</t>
  </si>
  <si>
    <t>H00306315</t>
  </si>
  <si>
    <t>MSc in Digital and Technology Solutions Specialist - Newcastle University - Integrated Degree Apprenticeship (Cyber Security)</t>
  </si>
  <si>
    <t>H00306316</t>
  </si>
  <si>
    <t>MSc in Digital and Technology Solutions Specialist - Newcastle University - Integrated Degree Apprenticeship (Data Analytics)</t>
  </si>
  <si>
    <t>H00306317</t>
  </si>
  <si>
    <t>MSc in Digital and Technology Solutions Specialist - Newcastle University - Integrated Degree Apprenticeship (Software Engineering)</t>
  </si>
  <si>
    <t>H00306318</t>
  </si>
  <si>
    <t>MEng in Power Engineer - Newcastle University - Integrated Degree Apprenticeship</t>
  </si>
  <si>
    <t>H00306319</t>
  </si>
  <si>
    <t>Post Graduate Diploma in Management Studies - Newcastle University</t>
  </si>
  <si>
    <t>H00306320</t>
  </si>
  <si>
    <t>Post Graduate Diploma in Strategic Leadership and Management - Newcastle University</t>
  </si>
  <si>
    <t>H00306321</t>
  </si>
  <si>
    <t>MSc in Digital and Technological Solutions Specialist The University of Warwick - Degree Apprenticeship</t>
  </si>
  <si>
    <t>H00306322</t>
  </si>
  <si>
    <t>BSc (Hons) in Applied Biomedical Science - University of Central Lancashire - Healthcare Science Practitioner Degree Apprenticeship</t>
  </si>
  <si>
    <t>H00306323</t>
  </si>
  <si>
    <t>FdSc in Engineering (Electrical Electronics) - South Devon College</t>
  </si>
  <si>
    <t>H00306324</t>
  </si>
  <si>
    <t>HNC in Engineering (Electrical Electronics) - South Devon College</t>
  </si>
  <si>
    <t>H00306325</t>
  </si>
  <si>
    <t>Aptitude Test - South Devon College</t>
  </si>
  <si>
    <t>H00306326</t>
  </si>
  <si>
    <t>Module: Working together to safeguard young people - University Centre Weston</t>
  </si>
  <si>
    <t>H00306327</t>
  </si>
  <si>
    <t>Module: Healthy development through childhood and beyond - University Centre Weston</t>
  </si>
  <si>
    <t>H00306328</t>
  </si>
  <si>
    <t>Module: Disability, inclusion and social justice - University Centre Weston</t>
  </si>
  <si>
    <t>H00306329</t>
  </si>
  <si>
    <t>Module: Play, learning and pedagogy - University Centre Weston</t>
  </si>
  <si>
    <t>H00306330</t>
  </si>
  <si>
    <t>Mental and Emotional Health, attachment, and trauma - University Centre Weston</t>
  </si>
  <si>
    <t>H00306331</t>
  </si>
  <si>
    <t>Module: Contributing to the support of people on the autism spectrum - University Centre Weston</t>
  </si>
  <si>
    <t>H00306332</t>
  </si>
  <si>
    <t>Module: Enabling Independence through maths development, literacy, speech development and communication - University Centre Weston</t>
  </si>
  <si>
    <t>H00306333</t>
  </si>
  <si>
    <t>BEng (Hons) in Manufacturing Engineering - UCLAN - Manufacturing Engineer Degree Apprenticeship</t>
  </si>
  <si>
    <t>H00306334</t>
  </si>
  <si>
    <t>MSc in Applied Strategic Leadership and Management - University of Exeter</t>
  </si>
  <si>
    <t>H00306335</t>
  </si>
  <si>
    <t>PG Cert in Financial Services Professional - University of Exeter</t>
  </si>
  <si>
    <t>H00306336</t>
  </si>
  <si>
    <t>Foundation Degree in Graphic Design - Hugh Baird College</t>
  </si>
  <si>
    <t>H00306337</t>
  </si>
  <si>
    <t>BA (Honours) in Graphic Design - Hugh Baird College</t>
  </si>
  <si>
    <t>H00306338</t>
  </si>
  <si>
    <t>MSc in Geotechnical Engineering - University of Leeds - Geotechnical Engineer Degree Apprenticeship</t>
  </si>
  <si>
    <t>H00306339</t>
  </si>
  <si>
    <t>MSc in Registered Nurse (Adult) - Nottingham Trent University - Registered Nurse Degree Apprenticeship</t>
  </si>
  <si>
    <t>H00306340</t>
  </si>
  <si>
    <t>MSc in Registered Nurse (Mental Health) - Nottingham Trent University - Registered Nurse Degree Apprenticeship</t>
  </si>
  <si>
    <t>H00306341</t>
  </si>
  <si>
    <t>MSc in Registered Nurse (Learning Disabilities) - Nottingham Trent University - Registered Nurse Degree Apprenticeship</t>
  </si>
  <si>
    <t>H00306342</t>
  </si>
  <si>
    <t>MSc in Advanced Clinical Practice - Nottingham Trent University - Advanced Clinical Practitioner Integrated Degree Apprenticeship</t>
  </si>
  <si>
    <t>H00306343</t>
  </si>
  <si>
    <t>Foundation Degree in 3D Animation and Visualisation for Film and Games - The Bournemouth and Poole College</t>
  </si>
  <si>
    <t>H00306344</t>
  </si>
  <si>
    <t>Foundation Degree in Health, Nutrition and Exercise Science - The Bournemouth and Poole College</t>
  </si>
  <si>
    <t>H00306345</t>
  </si>
  <si>
    <t>BSc Hons in Diagnostic Radiography - University of Brighton - Diagnostic Radiographer Degree Apprenticeship</t>
  </si>
  <si>
    <t>H00306346</t>
  </si>
  <si>
    <t>FdSc in Applied Management of Animal Collections - Cornwall College</t>
  </si>
  <si>
    <t>H00306347</t>
  </si>
  <si>
    <t>CertEd in Post 16 and Further Education - Chesterfield College</t>
  </si>
  <si>
    <t>H00306348</t>
  </si>
  <si>
    <t>PGCE in Post 16 and Further Education - Chesterfield College</t>
  </si>
  <si>
    <t>H00306349</t>
  </si>
  <si>
    <t>FdA in Music Performance and Production - The Sheffield College</t>
  </si>
  <si>
    <t>H00306350</t>
  </si>
  <si>
    <t>BA (Hons) in Music Performance and Production (Top up) - The Sheffield College</t>
  </si>
  <si>
    <t>H00306351</t>
  </si>
  <si>
    <t>FdA in Performance in Practice - The Sheffield College</t>
  </si>
  <si>
    <t>H00306352</t>
  </si>
  <si>
    <t>BA (Hons) in Performance in Practice (Top up) - The Sheffield College</t>
  </si>
  <si>
    <t>H00306353</t>
  </si>
  <si>
    <t>Postgraduate Diploma in Enhanced Clinical Practitioner (Heart Failure Practice) - Keele University - Enhanced Clinical Practitioner Apprenticeship</t>
  </si>
  <si>
    <t>H00306354</t>
  </si>
  <si>
    <t>FdA in Community Care in Practice - TEC Partnership</t>
  </si>
  <si>
    <t>H00306355</t>
  </si>
  <si>
    <t>BA (Hons) in Integrative Counselling - TEC Partnership</t>
  </si>
  <si>
    <t>H00306356</t>
  </si>
  <si>
    <t>BA (Hons) in Integrative Counselling Theory - TEC Partnership</t>
  </si>
  <si>
    <t>H00306357</t>
  </si>
  <si>
    <t>BA (Hons) in Counselling Top Up - TEC Partnership</t>
  </si>
  <si>
    <t>H00306358</t>
  </si>
  <si>
    <t>BA (Hons) in Counselling Theory Top Up - TEC Partnership</t>
  </si>
  <si>
    <t>H00306359</t>
  </si>
  <si>
    <t>BA (Hons) in Digital Film Production - TEC Partnership</t>
  </si>
  <si>
    <t>H00306360</t>
  </si>
  <si>
    <t>BA (Hons) in Early Childhood Studies Top-Up - TEC Partnership</t>
  </si>
  <si>
    <t>H00306361</t>
  </si>
  <si>
    <t>BA (Hons) in Tourism and Business Management Top-up - TEC Partnership</t>
  </si>
  <si>
    <t>H00306362</t>
  </si>
  <si>
    <t>BA (Hons) in Applied Art and Design - TEC Partnership</t>
  </si>
  <si>
    <t>H00306363</t>
  </si>
  <si>
    <t>BSC (Hons) in Health and Social Care Top Up - TEC Partnership</t>
  </si>
  <si>
    <t>H00306364</t>
  </si>
  <si>
    <t>BEng (Hons) in Electronic and Electrical Engineering - College South and West</t>
  </si>
  <si>
    <t>H00306365</t>
  </si>
  <si>
    <t>BSc (Hons) in Digital and Technology Solutions (Cyber) - The  University of Warwick - Digital and Technology Solutions Professional (integrated degree) Standard</t>
  </si>
  <si>
    <t>H00306366</t>
  </si>
  <si>
    <t>BEng (Hons) in Mining Engineering - University of Exeter</t>
  </si>
  <si>
    <t>H00306367</t>
  </si>
  <si>
    <t>CertHE Automotive and Motorsport Engineering and Technology</t>
  </si>
  <si>
    <t>H00306368</t>
  </si>
  <si>
    <t>CertHE Criminology and Criminal Justice</t>
  </si>
  <si>
    <t>H00306369</t>
  </si>
  <si>
    <t>CertHE English: Language, Literature and Writing</t>
  </si>
  <si>
    <t>H00306370</t>
  </si>
  <si>
    <t>Cert HE Children, Young People and Families</t>
  </si>
  <si>
    <t>H00306371</t>
  </si>
  <si>
    <t>Post Graduate Diploma in Management for Future Leaders  - University of Reading - Senior Leader Apprenticeship Standard</t>
  </si>
  <si>
    <t>H00306372</t>
  </si>
  <si>
    <t>MSc in Digital and Technology Solutions - University of Reading - Digital and Technology Solutions Specialist Integrated Degree Standard</t>
  </si>
  <si>
    <t>H00306373</t>
  </si>
  <si>
    <t>Post Graduate Diploma in Business Administration - University of Reading - Senior Leader Apprenticeship Standard</t>
  </si>
  <si>
    <t>H00306374</t>
  </si>
  <si>
    <t>Post Graduate Diploma in Leadership  - University of Reading - Senior Leader Apprenticeship Standard</t>
  </si>
  <si>
    <t>H00306375</t>
  </si>
  <si>
    <t>Certificate in Education (Lifelong Learning) - In-Service - Bishop Burton College</t>
  </si>
  <si>
    <t>H00306376</t>
  </si>
  <si>
    <t>Certificate in Education (Lifelong Learning) - Pre-Service - Bishop Burton College</t>
  </si>
  <si>
    <t>H00306377</t>
  </si>
  <si>
    <t>Postgraduate Certificate in Education (PGCE) (Lifelong Learning) - In-Service - Bishop Burton College</t>
  </si>
  <si>
    <t>H00306378</t>
  </si>
  <si>
    <t>Postgraduate Certificate in Education (PGCE) (Lifelong Learning) - Pre-Service - Bishop Burton College</t>
  </si>
  <si>
    <t>H00306379</t>
  </si>
  <si>
    <t>Professional Graduate Certificate in Education (Lifelong Learning) - In-Service - Bishop Burton College</t>
  </si>
  <si>
    <t>H00306380</t>
  </si>
  <si>
    <t>Professional Graduate Certificate in Education (Lifelong Learning) - Pre-Service - Bishop Burton College</t>
  </si>
  <si>
    <t>H00306381</t>
  </si>
  <si>
    <t>Foundation Degree in Dental Technology - Nottingham College</t>
  </si>
  <si>
    <t>H00306382</t>
  </si>
  <si>
    <t>FdSc in Assistant Practitioner (Health) - University of St Mark and St John - Assistant Practitioner Higher Level Apprenticeship</t>
  </si>
  <si>
    <t>H00306383</t>
  </si>
  <si>
    <t>PGCert in Enhanced Clinical Practitioner - University of St Mark and St John</t>
  </si>
  <si>
    <t>H00306384</t>
  </si>
  <si>
    <t>FdSc in Nursing Associate - University of St Mark and St John - Nursing Associate Higher Level Apprenticeship</t>
  </si>
  <si>
    <t>H00306385</t>
  </si>
  <si>
    <t>BSc in Dietetics - Sheffield Hallam University</t>
  </si>
  <si>
    <t>H00306386</t>
  </si>
  <si>
    <t>BSc in Medical Ultrasound - Sheffield Hallam University</t>
  </si>
  <si>
    <t>H00306387</t>
  </si>
  <si>
    <t>BSc in Operating Department Practice - Sheffield Hallam University</t>
  </si>
  <si>
    <t>H00306388</t>
  </si>
  <si>
    <t>BA (Hons) in Commercial Dance for Stage and Screen - South Gloucestershire and Stroud College</t>
  </si>
  <si>
    <t>H00306389</t>
  </si>
  <si>
    <t>Foundation Degree (FdSc) in Sustainable Horticultural Technology (Agritech) - Warwickshire College</t>
  </si>
  <si>
    <t>H00306390</t>
  </si>
  <si>
    <t>BSc (Hons) in Sustainable Horticultural Technology (Agritech) - Warwickshire College</t>
  </si>
  <si>
    <t>H00306391</t>
  </si>
  <si>
    <t>Initial Teacher Training Leading to QTS - Leigh Academies Trust</t>
  </si>
  <si>
    <t>H00306392</t>
  </si>
  <si>
    <t>FdSc in Assistant Practitioner - Health and Care with Foundation Year - TEC Partnership</t>
  </si>
  <si>
    <t>H00306393</t>
  </si>
  <si>
    <t>FdSc in Assistant Practitioner - Health and Care - TEC Partnership</t>
  </si>
  <si>
    <t>H00306394</t>
  </si>
  <si>
    <t>FdSc in Assistant Practitioner - Health (Apprenticeship) - TEC Partnership</t>
  </si>
  <si>
    <t>H00306395</t>
  </si>
  <si>
    <t>FdSc in Assistant Practitioner - Health - TEC Partnership</t>
  </si>
  <si>
    <t>H00306396</t>
  </si>
  <si>
    <t>BA (Hons) in Early Childhood Studies (Graduate Practitioner Competencies) (TOP UP) - TEC Partnership</t>
  </si>
  <si>
    <t>H00306397</t>
  </si>
  <si>
    <t>Certificate in Education (Professional Diploma in Teaching - Further Education and Skills) - TEC Partnership</t>
  </si>
  <si>
    <t>H00306398</t>
  </si>
  <si>
    <t>Professional Graduate Certificate in Education (Professional Diploma in Teaching - Further Education and Skills) - TEC Partnership</t>
  </si>
  <si>
    <t>H00306399</t>
  </si>
  <si>
    <t>BEng (Hons) in Civil Engineering - Kingston University - Civil Engineering Degree Apprenticeship</t>
  </si>
  <si>
    <t>H00306400</t>
  </si>
  <si>
    <t>College Award of Higher Education in Animal Science and Management - Askham Bryan College</t>
  </si>
  <si>
    <t>H00306401</t>
  </si>
  <si>
    <t>College Award of Higher Education in Management of Animal Collections with Conservation - Askham Bryan College</t>
  </si>
  <si>
    <t>H00306402</t>
  </si>
  <si>
    <t>College Award of Higher Education of Aquatics and Conservation of Oceans - Askham Bryan College</t>
  </si>
  <si>
    <t>H00306403</t>
  </si>
  <si>
    <t>College Award of Higher Education in Wildlife and Environmental Conservation - Askham Bryan College</t>
  </si>
  <si>
    <t>H00306404</t>
  </si>
  <si>
    <t>CertHE Business Management</t>
  </si>
  <si>
    <t>H00306405</t>
  </si>
  <si>
    <t>FdA Business Management</t>
  </si>
  <si>
    <t>H00306406</t>
  </si>
  <si>
    <t>BA (Hons) Business Management</t>
  </si>
  <si>
    <t>H00306408</t>
  </si>
  <si>
    <t>FdSc in Nursing Associate - University of Chichester - Nursing Associate (NMC 2018) Higher Apprenticeship</t>
  </si>
  <si>
    <t>H00306409</t>
  </si>
  <si>
    <t>BSc (Hons) in Applied Zoology - University Centre Reaseheath</t>
  </si>
  <si>
    <t>H00306410</t>
  </si>
  <si>
    <t>BSc (Hons) in Counselling Children and Young People (top-up) - Riverside College Halton</t>
  </si>
  <si>
    <t>H00306411</t>
  </si>
  <si>
    <t>Postgraduate Diploma in Senior People Professional - The Manchester Metropolitan University</t>
  </si>
  <si>
    <t>H00306412</t>
  </si>
  <si>
    <t>BA (Hons) in Youth Work - Leeds Beckett University - Youth Worker Degree Apprenticeship</t>
  </si>
  <si>
    <t>H00306413</t>
  </si>
  <si>
    <t>BSc (Hons) in Food Science and Technology - Harper Adams University - Food Industry Technical Professional Degree Apprenticeship</t>
  </si>
  <si>
    <t>H00306414</t>
  </si>
  <si>
    <t>BEng (Hons) in Food Engineering - Harper Adams University - Food and Drink Advanced Engineer Degree Apprenticeship</t>
  </si>
  <si>
    <t>H00306415</t>
  </si>
  <si>
    <t>BSc (Hons) in Rural Enterprise and Land Management - Harper Adams University - Chartered Surveyor Degree Apprenticeship</t>
  </si>
  <si>
    <t>H00306416</t>
  </si>
  <si>
    <t>MProf in Rural Estate and Land Management - Harper Adams University - Chartered Surveyor Degree Apprenticeship</t>
  </si>
  <si>
    <t>H00306417</t>
  </si>
  <si>
    <t>PgD in Engineering Business Management - Harper Adams University - Postgraduate Engineer Degree Apprenticeship</t>
  </si>
  <si>
    <t>H00306418</t>
  </si>
  <si>
    <t>MSc in Food Industry Management - Harper Adams University - Senior Leader Master's Degree Apprenticeship</t>
  </si>
  <si>
    <t>H00306419</t>
  </si>
  <si>
    <t>H00306420</t>
  </si>
  <si>
    <t>BSc (Hons) in Data Science - Blackburn College</t>
  </si>
  <si>
    <t>H00306421</t>
  </si>
  <si>
    <t>FdA in Youth Justice and Youth Studies - South Devon College</t>
  </si>
  <si>
    <t>H00306422</t>
  </si>
  <si>
    <t>Introduction to teaching - South Devon College</t>
  </si>
  <si>
    <t>H00306423</t>
  </si>
  <si>
    <t>BA (Hons) in Youth Work and Community Practice - UCLAN - Youth Worker ST0522 Apprenticeship</t>
  </si>
  <si>
    <t>H00306424</t>
  </si>
  <si>
    <t>Diploma in Orthodontic Therapy - UCLAN - Orthodontic Therapist ST0701 Apprenticeship</t>
  </si>
  <si>
    <t>H00306425</t>
  </si>
  <si>
    <t>BSc (Hons) in Speech and Language Therapy - The University of Sheffield - Speech and Language Therapist (integrated degree) apprenticeship</t>
  </si>
  <si>
    <t>H00306426</t>
  </si>
  <si>
    <t>PGDip in Senior Leader - University of Huddersfield - Senior Leader Apprenticeship</t>
  </si>
  <si>
    <t>H00306427</t>
  </si>
  <si>
    <t>Certificate of Higher Education in Professional Manager - University of Huddersfield - Operations or Departmental Manager Apprenticeship Standard</t>
  </si>
  <si>
    <t>H00306428</t>
  </si>
  <si>
    <t>FdSc in Assistant Practitioner - University of Essex - Assistant Practitioner in Higher Apprenticeship</t>
  </si>
  <si>
    <t>H00306429</t>
  </si>
  <si>
    <t>CertHE Adult Health and Social Care</t>
  </si>
  <si>
    <t>H00306430</t>
  </si>
  <si>
    <t>FdA Adult Health and Social Care</t>
  </si>
  <si>
    <t>H00306431</t>
  </si>
  <si>
    <t>BA (Hons) Adult Health and Social Care</t>
  </si>
  <si>
    <t>H00306432</t>
  </si>
  <si>
    <t>BSc (Hons) in Counselling - University Centre Weston</t>
  </si>
  <si>
    <t>H00306433</t>
  </si>
  <si>
    <t>PG Dip in Leadership in Health and Care - University of Essex - Senior Leader (Health and Social Care) Apprenticeship</t>
  </si>
  <si>
    <t>H00306434</t>
  </si>
  <si>
    <t>FdA in Dance Performance - New College Durham</t>
  </si>
  <si>
    <t>H00306435</t>
  </si>
  <si>
    <t>BSc (Hons) in Digital and Technology Solutions (Software Engineer) - Teesside University - Digital and Technology Solutions Professional (Integrated Degree)</t>
  </si>
  <si>
    <t>H00306436</t>
  </si>
  <si>
    <t>BSc (Hons) in Digital and Technology Solutions (Cyber Security Analyst) - Teesside University - Digital and Technology Solutions Professional (Integrated Degree)</t>
  </si>
  <si>
    <t>H00306437</t>
  </si>
  <si>
    <t>CertHE Early Childhood Studies</t>
  </si>
  <si>
    <t>H00306438</t>
  </si>
  <si>
    <t>Foundation Degree in Veterinary Nursing - Askham Bryan College</t>
  </si>
  <si>
    <t>H00306439</t>
  </si>
  <si>
    <t>Certificate of Higher Education in Health and Animal Care - Askham Bryan College</t>
  </si>
  <si>
    <t>H00306440</t>
  </si>
  <si>
    <t>FdSc in Assistant Practitioner (Health) - University of Cumbria - Assistant Healthcare Practitioner</t>
  </si>
  <si>
    <t>H00306441</t>
  </si>
  <si>
    <t>FdSc in Assistant Practitioner (Health) (Radiography) - University of Cumbria - Assistant Healthcare Practitioner</t>
  </si>
  <si>
    <t>H00306442</t>
  </si>
  <si>
    <t>FdSc in Assistant Practitioner (Health) (Midwifery) - University of Cumbria - Assistant Healthcare Practitioner</t>
  </si>
  <si>
    <t>H00306443</t>
  </si>
  <si>
    <t>FdSc in Assistant Practitioner (Health) (Occupational Therapy) - University of Cumbria - Assistant Healthcare Practitioner</t>
  </si>
  <si>
    <t>H00306444</t>
  </si>
  <si>
    <t>FdSc in Assistant Practitioner (Health) (Physiotherapy) - University of Cumbria - Assistant Healthcare Practitioner</t>
  </si>
  <si>
    <t>H00306445</t>
  </si>
  <si>
    <t>BA (Hons) in Applied Hospitality Management - University of Gloucestershire - Chartered Manager Degree Apprenticeship Standard</t>
  </si>
  <si>
    <t>H00306446</t>
  </si>
  <si>
    <t>FdSc in Health and Social Care (Assistant Practioner) - Teesside University - Assistant Practitioner (Health) Apprenticeship</t>
  </si>
  <si>
    <t>H00306447</t>
  </si>
  <si>
    <t>BSc (Hons) in Project Management - University of Exeter - Project Management (Integrated Degree Apprenticeship)</t>
  </si>
  <si>
    <t>H00306448</t>
  </si>
  <si>
    <t>BSc Hons in Dietetics - Teesside University - Dietitian (Integrated Degree)Apprenticeship</t>
  </si>
  <si>
    <t>H00306449</t>
  </si>
  <si>
    <t>BSc (Hons) Healthcare Science (Vascular Science) - University of Gloucestershire - Healthcare Science Practitioner Degree Apprenticeship</t>
  </si>
  <si>
    <t>H00306450</t>
  </si>
  <si>
    <t>HND in Esports Production and Management - Exeter College</t>
  </si>
  <si>
    <t>H00306451</t>
  </si>
  <si>
    <t>HNC in Esports Production and Management - Exeter College</t>
  </si>
  <si>
    <t>H00306452</t>
  </si>
  <si>
    <t>HNC in Sustainable Technologies - Nelson and Colne College</t>
  </si>
  <si>
    <t>H00306453</t>
  </si>
  <si>
    <t>HND in Sustainable Technologies - Nelson and Colne College</t>
  </si>
  <si>
    <t>H00306454</t>
  </si>
  <si>
    <t>HND in Sustainable Transport - Nelson and Colne College</t>
  </si>
  <si>
    <t>H00306455</t>
  </si>
  <si>
    <t>HND in Industrial and Systems Sustainability - Nelson and Colne College</t>
  </si>
  <si>
    <t>H00306456</t>
  </si>
  <si>
    <t>HND in Sustainability in the Built Environment - Nelson and Colne College</t>
  </si>
  <si>
    <t>H00306457</t>
  </si>
  <si>
    <t>CertHE Cyber Security</t>
  </si>
  <si>
    <t>H00306458</t>
  </si>
  <si>
    <t>University Certificate in Project Controls</t>
  </si>
  <si>
    <t>H00306459</t>
  </si>
  <si>
    <t>HNC in Construction - University of Salford - Construction Site Supervisor Apprenticeship</t>
  </si>
  <si>
    <t>H00306460</t>
  </si>
  <si>
    <t>Certificate in Education (Lifelong Learning) - Pre-Service - TEC Partnership</t>
  </si>
  <si>
    <t>H00306461</t>
  </si>
  <si>
    <t>Professional Graduate Certificate in Education (Lifelong Learning) - Pre-Service - TEC Partnership</t>
  </si>
  <si>
    <t>H00306462</t>
  </si>
  <si>
    <t>Postgraduate Certificate in Education (Lifelong Learning) - Pre-Service - TEC Partnership</t>
  </si>
  <si>
    <t>H00306463</t>
  </si>
  <si>
    <t>Postgraduate Diploma in Education (Advanced PGCE in Lifelong Learning) - Pre-Service - TEC Partnership</t>
  </si>
  <si>
    <t>H00306464</t>
  </si>
  <si>
    <t>Certificate of Higher Education in Sport Coaching and Performance - Nelson and Colne College</t>
  </si>
  <si>
    <t>H00306465</t>
  </si>
  <si>
    <t>Diploma of Higher Education in Sport Coaching and Performance - Nelson and Colne College</t>
  </si>
  <si>
    <t>H00306466</t>
  </si>
  <si>
    <t>BSc (Hons) in Football Industry - LTE Group</t>
  </si>
  <si>
    <t>H00306467</t>
  </si>
  <si>
    <t>FdSc in Assistant Practitioner - Teesside University -  Assistant Practitioner (Health) Apprenticeship Standard</t>
  </si>
  <si>
    <t>H00306468</t>
  </si>
  <si>
    <t>BSc (Hons) in Project Management - University Centre Weston - Project Manager Apprenticeship (integrated degree)</t>
  </si>
  <si>
    <t>H00306469</t>
  </si>
  <si>
    <t>BSc (Hons) in Digital User Experience - University - Centre Weston - UX Professional (Integrated Degree)</t>
  </si>
  <si>
    <t>H00306470</t>
  </si>
  <si>
    <t>FdA in Health and Social Care - Burnley College</t>
  </si>
  <si>
    <t>H00306471</t>
  </si>
  <si>
    <t>FdSc in Assistant Practitioner - University College Birmingham</t>
  </si>
  <si>
    <t>H00306472</t>
  </si>
  <si>
    <t>PG Diploma in Architectural Practice - University of Kent - Architect Apprenticeship</t>
  </si>
  <si>
    <t>H00306473</t>
  </si>
  <si>
    <t>Master of Architecture - University of Kent - Architect Apprenticeship</t>
  </si>
  <si>
    <t>H00306474</t>
  </si>
  <si>
    <t>BA (Hons) in Education (Early Years) (top-up) - University of Cumbria</t>
  </si>
  <si>
    <t>H00306475</t>
  </si>
  <si>
    <t>BA (Hons) in Education (Teaching and Learning) (top-up) - University of Cumbria</t>
  </si>
  <si>
    <t>H00306476</t>
  </si>
  <si>
    <t>PG Cert in ACCA Professional Accountant - University of Brighton - Professional Accounting or Taxation Technician Apprenticeship</t>
  </si>
  <si>
    <t>H00306477</t>
  </si>
  <si>
    <t>BSc (Hons) in Wildlife Conservation (Top Up) - City of Sunderland College</t>
  </si>
  <si>
    <t>H00306478</t>
  </si>
  <si>
    <t>BSc (Hons) in Animal Welfare and Management (Top Up) - City of Sunderland College</t>
  </si>
  <si>
    <t>H00306479</t>
  </si>
  <si>
    <t>BSc (Hons) in Equine Management, Training and Coaching (Top Up) - City of Sunderland College</t>
  </si>
  <si>
    <t>H00306480</t>
  </si>
  <si>
    <t>FdA in Health and Social Care - Blackburn College</t>
  </si>
  <si>
    <t>H00306481</t>
  </si>
  <si>
    <t>BA (Hons) in Business Management (Top up) - Blackburn College</t>
  </si>
  <si>
    <t>H00306482</t>
  </si>
  <si>
    <t>FdSc in Precision Livestock Farming - Askham Bryan College</t>
  </si>
  <si>
    <t>H00306483</t>
  </si>
  <si>
    <t>College Award of Higher Education in Precision Livestock Farming -</t>
  </si>
  <si>
    <t>H00306484</t>
  </si>
  <si>
    <t>Certificate in Higher Education in Precision Livestock Farming - Askham Bryan College</t>
  </si>
  <si>
    <t>H00306485</t>
  </si>
  <si>
    <t>FdSc in Agriculture - Askham Bryan Colleg</t>
  </si>
  <si>
    <t>H00306486</t>
  </si>
  <si>
    <t>MSc in Advanced Clinical Practice - University of Cumbria - Advanced Clinical Practitioner Degree Apprenticeship</t>
  </si>
  <si>
    <t>H00306487</t>
  </si>
  <si>
    <t>University Diploma in Veterinary Technician - Harper Adams University - Vet Technician (Livestock) Higher Apprenticeship</t>
  </si>
  <si>
    <t>H00306488</t>
  </si>
  <si>
    <t>H00306489</t>
  </si>
  <si>
    <t>H00306490</t>
  </si>
  <si>
    <t>H00306491</t>
  </si>
  <si>
    <t>H00306492</t>
  </si>
  <si>
    <t>H00306493</t>
  </si>
  <si>
    <t>H00306494</t>
  </si>
  <si>
    <t>FdSc in Veterinary Nursing - Plumpton College</t>
  </si>
  <si>
    <t>H00306495</t>
  </si>
  <si>
    <t>H00306496</t>
  </si>
  <si>
    <t>FdSc in Sustainable Horticulture Management - Plumpton College</t>
  </si>
  <si>
    <t>H00306497</t>
  </si>
  <si>
    <t>FdSc in Sustainable Land Management - Plumpton College</t>
  </si>
  <si>
    <t>H00306498</t>
  </si>
  <si>
    <t>Foundation Degree in The Internet of Things - North East Surrey College of Technology</t>
  </si>
  <si>
    <t>H00306499</t>
  </si>
  <si>
    <t>Bachelor of Science (Honours) in Applied Bioscience - North East Surrey College of Technology</t>
  </si>
  <si>
    <t>H00306500</t>
  </si>
  <si>
    <t>MA in Psychotherapy Studies - Bishop Auckland College</t>
  </si>
  <si>
    <t>H00306501</t>
  </si>
  <si>
    <t>BSc (Hons) in Food Science and Technology - University Centre Reaseheath</t>
  </si>
  <si>
    <t>H00306502</t>
  </si>
  <si>
    <t>H00306503</t>
  </si>
  <si>
    <t>H00306504</t>
  </si>
  <si>
    <t>H00306505</t>
  </si>
  <si>
    <t>Postgraduate Diploma in Physician Associate Practice - Keele University - Physician Associate - Integrated degree</t>
  </si>
  <si>
    <t>H00306506</t>
  </si>
  <si>
    <t>BSc(Hons) in Animal Management, Ecology and Conservation - Bridgwater and Taunton College</t>
  </si>
  <si>
    <t>H00306507</t>
  </si>
  <si>
    <t>Foundation Degree in Animal Management, Ecology and Conservation - Bridgwater and Taunton College</t>
  </si>
  <si>
    <t>H00306508</t>
  </si>
  <si>
    <t>H00306509</t>
  </si>
  <si>
    <t>FdA in Media Make-up for fashion - Salford City College</t>
  </si>
  <si>
    <t>H00306510</t>
  </si>
  <si>
    <t>FdA in Media Production - Salford City College</t>
  </si>
  <si>
    <t>H00306511</t>
  </si>
  <si>
    <t>BA(Hons) in Media Make-up Artistry - Salford City College</t>
  </si>
  <si>
    <t>H00306512</t>
  </si>
  <si>
    <t>BA(Hons) in Media Production - Salford City College</t>
  </si>
  <si>
    <t>H00306513</t>
  </si>
  <si>
    <t>H00306514</t>
  </si>
  <si>
    <t>MSc in Human Resource Management -Keele University - Senior People Professional Standard</t>
  </si>
  <si>
    <t>H00306515</t>
  </si>
  <si>
    <t>BA (Hons) in Business Management - University College Isle of Man</t>
  </si>
  <si>
    <t>H00306516</t>
  </si>
  <si>
    <t>PGDip in Human Resource Management - Keele University - Senior People Professional Standard</t>
  </si>
  <si>
    <t>H00306517</t>
  </si>
  <si>
    <t>H00306518</t>
  </si>
  <si>
    <t>Fd in Sports Coaching - Bishop Auckland College</t>
  </si>
  <si>
    <t>H00306519</t>
  </si>
  <si>
    <t>BSc (Hons) in Computer Science (Single Honours) - University College Isle of Man</t>
  </si>
  <si>
    <t>H00306520</t>
  </si>
  <si>
    <t>Diploma in Healthcare Science - University of Sunderland - Healthcare Science Associate Standard</t>
  </si>
  <si>
    <t>H00306521</t>
  </si>
  <si>
    <t>BSc (Hons) in Enhanced Clinical Practitioner (Critical Care Outreach) - Keele University - Enhanced Clinical Practitioner Apprenticeship</t>
  </si>
  <si>
    <t>H00306522</t>
  </si>
  <si>
    <t>BSc (Hons) in Sport and Exercise Science (Top Up) - Loughborough College</t>
  </si>
  <si>
    <t>H00306523</t>
  </si>
  <si>
    <t>BSc (Hons) in Sport Coaching (Top Up) - Loughborough College</t>
  </si>
  <si>
    <t>H00306524</t>
  </si>
  <si>
    <t>CertHE in Applied Sports Conditioning and Exercise - SGS College</t>
  </si>
  <si>
    <t>H00306525</t>
  </si>
  <si>
    <t>CertHE in Applied Sports Coaching and Physical Exercise - SGS College</t>
  </si>
  <si>
    <t>H00306526</t>
  </si>
  <si>
    <t>CertHE in Sports Management - SGS College</t>
  </si>
  <si>
    <t>H00306527</t>
  </si>
  <si>
    <t>CertHE in Sports Media - SGS College</t>
  </si>
  <si>
    <t>H00306528</t>
  </si>
  <si>
    <t>CertHE in Media Production - SGS College</t>
  </si>
  <si>
    <t>H00306529</t>
  </si>
  <si>
    <t>BEng (Hons) in Engineering (Mechatronics) (Top up) - West Suffolk College</t>
  </si>
  <si>
    <t>H00306530</t>
  </si>
  <si>
    <t>BEng (Hons) in Engineering (Design) (Top up) - West Suffolk College</t>
  </si>
  <si>
    <t>H00306531</t>
  </si>
  <si>
    <t>BSc (Hons) in Computing and Digital Technology - West Suffolk College</t>
  </si>
  <si>
    <t>H00306532</t>
  </si>
  <si>
    <t>BA (Hons) in Commercial Music Production - West Suffolk College</t>
  </si>
  <si>
    <t>H00306533</t>
  </si>
  <si>
    <t>BA (Hons) in Business and Management - West Suffolk College</t>
  </si>
  <si>
    <t>H00306534</t>
  </si>
  <si>
    <t>BSc (Hons) in Registered Nurse - University of Worcester - Registered Nurse Degree (NMC 2018) Apprenticeship</t>
  </si>
  <si>
    <t>H00306535</t>
  </si>
  <si>
    <t>MSc in Digital Technology Solutions -Cranfield University - Digital and Technology Solutions Specialist (integrated degree) Apprenticeship</t>
  </si>
  <si>
    <t>H00306536</t>
  </si>
  <si>
    <t>FdSc in Health Care Practice and Intervention - New College Durham</t>
  </si>
  <si>
    <t>H00306539</t>
  </si>
  <si>
    <t>BA (Hons) in Digital Design and Media - Yeovil College</t>
  </si>
  <si>
    <t>H00306540</t>
  </si>
  <si>
    <t>BA (Hons) in Visual Communication Through Digital Media - University College Isle of Man</t>
  </si>
  <si>
    <t>H00306541</t>
  </si>
  <si>
    <t>CertEd in Teaching in the Post 14 Sector - University College Isle of Man</t>
  </si>
  <si>
    <t>H00306542</t>
  </si>
  <si>
    <t>BA (Hons) in History and Heritage (Combined Honours) - University College Isle of Man</t>
  </si>
  <si>
    <t>H00306543</t>
  </si>
  <si>
    <t>BSc (Hons) in Computer Science (Combined Honours) - University College Isle of Man</t>
  </si>
  <si>
    <t>H00306544</t>
  </si>
  <si>
    <t>CertEd in Teaching in the Lifelong Learning Sector - University College Isle of Man</t>
  </si>
  <si>
    <t>H00306545</t>
  </si>
  <si>
    <t>MA in Education - TEC Partnership</t>
  </si>
  <si>
    <t>H00306546</t>
  </si>
  <si>
    <t>FdSc in Sport, Physical Education and Coaching - TEC Partnership</t>
  </si>
  <si>
    <t>H00306547</t>
  </si>
  <si>
    <t>BSc (Hons) in Cybersecurity - University College Isle of Man</t>
  </si>
  <si>
    <t>H00306549</t>
  </si>
  <si>
    <t>BSc (Hons) in Accounting and Finance - University College Isle of Man</t>
  </si>
  <si>
    <t>H00306550</t>
  </si>
  <si>
    <t>BA (Hons) in History and Heritage (Single Honours) - University College Isle of Man</t>
  </si>
  <si>
    <t>H00306551</t>
  </si>
  <si>
    <t>BA (Hons) in Community and Youth Work - University of Sunderland - Community and Youth Work (Integrated Degree Apprenticeship)</t>
  </si>
  <si>
    <t>H00306552</t>
  </si>
  <si>
    <t>BSc (Hons) in Sport Science and Performance Therapy - University Centre Farnborough</t>
  </si>
  <si>
    <t>H00306553</t>
  </si>
  <si>
    <t>BA (Hons) in Fashion and Textiles - University Centre Farnborough</t>
  </si>
  <si>
    <t>H00306554</t>
  </si>
  <si>
    <t>BSc (Hons) in Esports - University Centre Farnborough</t>
  </si>
  <si>
    <t>H00306555</t>
  </si>
  <si>
    <t>BSc (Hons) in Environmental Science, Sustainability and Business - University Centre Farnborough</t>
  </si>
  <si>
    <t>H00306556</t>
  </si>
  <si>
    <t>MA in Creative Practice - University Centre Farnborough</t>
  </si>
  <si>
    <t>H00306557</t>
  </si>
  <si>
    <t>MA in Social Science (Sociology of Crime) - University Centre Farnborough</t>
  </si>
  <si>
    <t>H00306558</t>
  </si>
  <si>
    <t>MA in Social Science (Psychology of Crime) - University Centre Farnborough</t>
  </si>
  <si>
    <t>H00306559</t>
  </si>
  <si>
    <t>BA (Hons) in Social and Community Studies - Middlesbrough College</t>
  </si>
  <si>
    <t>H00306560</t>
  </si>
  <si>
    <t>FD in Social and Community Studies - Middlesbrough College</t>
  </si>
  <si>
    <t>H00306561</t>
  </si>
  <si>
    <t>Non-Degree Qualification in Systems Thinking Practitioner - University of Strathclyde - Systems Thinking Practitioner Standard</t>
  </si>
  <si>
    <t>H00306562</t>
  </si>
  <si>
    <t>BA (Hons) in Audio and Music Production (Top up) - Middlesbrough College</t>
  </si>
  <si>
    <t>H00306563</t>
  </si>
  <si>
    <t>FD in Audio and Music Production - Middlesbrough College</t>
  </si>
  <si>
    <t>H60334319</t>
  </si>
  <si>
    <t>BTEC Higher National Certificate in Future Homes Design and Construction</t>
  </si>
  <si>
    <t>H60334320</t>
  </si>
  <si>
    <t>BTEC Higher National Diploma in Future Homes Design and Construction</t>
  </si>
  <si>
    <t>H60378578</t>
  </si>
  <si>
    <t>BTEC Higher National Certificate in Community Coaching for England</t>
  </si>
  <si>
    <t>6037858X</t>
  </si>
  <si>
    <t>H6037858X</t>
  </si>
  <si>
    <t>BTEC Higher National Certificate in Construction Management for England</t>
  </si>
  <si>
    <t>H60378591</t>
  </si>
  <si>
    <t>BTEC Higher National Diploma in Construction Management for England</t>
  </si>
  <si>
    <t>6037861X</t>
  </si>
  <si>
    <t>H6037861X</t>
  </si>
  <si>
    <t>BTEC Higher National Certificate in Quantity Surveying for England</t>
  </si>
  <si>
    <t>H60378633</t>
  </si>
  <si>
    <t>BTEC Higher National Diploma in Quantity Surveying for England</t>
  </si>
  <si>
    <t>H60378645</t>
  </si>
  <si>
    <t>BTEC Higher National Certificate in Modern Methods of Construction for England</t>
  </si>
  <si>
    <t>H60378657</t>
  </si>
  <si>
    <t>BTEC Higher National Diploma in Modern Methods of Construction for England</t>
  </si>
  <si>
    <t>H60378669</t>
  </si>
  <si>
    <t>BTEC Higher National Certificate in Architectural Technology for England</t>
  </si>
  <si>
    <t>H60378670</t>
  </si>
  <si>
    <t>BTEC Higher National Diploma in Architectural Technology for England</t>
  </si>
  <si>
    <t>H60378682</t>
  </si>
  <si>
    <t>BTEC Higher National Certificate in Digital Technologies for England</t>
  </si>
  <si>
    <t>H60378694</t>
  </si>
  <si>
    <t>BTEC Higher National Diploma in Digital Technologies for England</t>
  </si>
  <si>
    <t>H60378797</t>
  </si>
  <si>
    <t>BTEC Higher National Certificate in Healthcare Professions' Support for England</t>
  </si>
  <si>
    <t>H60378803</t>
  </si>
  <si>
    <t>BTEC Higher National Diploma in Healthcare Professions' Support for England</t>
  </si>
  <si>
    <t>H61009246</t>
  </si>
  <si>
    <t>BTEC Higher National Certificate in Civil Engineering for England</t>
  </si>
  <si>
    <t>H61009258</t>
  </si>
  <si>
    <t>Higher National Diploma in Civil Engineering for England</t>
  </si>
  <si>
    <t>6100926X</t>
  </si>
  <si>
    <t>H6100926X</t>
  </si>
  <si>
    <t>Higher National Certificate in Building Services Engineering for England</t>
  </si>
  <si>
    <t>H61009271</t>
  </si>
  <si>
    <t>Higher National Diploma in Building Services Engineering for England</t>
  </si>
  <si>
    <t>H61009283</t>
  </si>
  <si>
    <t>Higher National Certificate in Construction Management</t>
  </si>
  <si>
    <t>H61009295</t>
  </si>
  <si>
    <t>Higher National Diploma in Construction Management</t>
  </si>
  <si>
    <t>H61009301</t>
  </si>
  <si>
    <t>Higher National Certificate in Architectural Technology</t>
  </si>
  <si>
    <t>H61009313</t>
  </si>
  <si>
    <t>Higher National Diploma in Architectural Technology</t>
  </si>
  <si>
    <t>H61009325</t>
  </si>
  <si>
    <t>Higher National Certificate in Modern Methods of Construction</t>
  </si>
  <si>
    <t>H61009337</t>
  </si>
  <si>
    <t>Higher National Diploma in Modern Methods of Construction</t>
  </si>
  <si>
    <t>H61009350</t>
  </si>
  <si>
    <t>Higher National Certificate in Civil Engineering</t>
  </si>
  <si>
    <t>H61009374</t>
  </si>
  <si>
    <t>Higher National Diploma in Civil Engineering</t>
  </si>
  <si>
    <t>H61009386</t>
  </si>
  <si>
    <t>Higher National Certificate in Quantity Surveying</t>
  </si>
  <si>
    <t>H61009398</t>
  </si>
  <si>
    <t>Higher National Diploma in Quantity Surveying</t>
  </si>
  <si>
    <t>H61009404</t>
  </si>
  <si>
    <t>Higher National Certificate in Building Services Engineering</t>
  </si>
  <si>
    <t>H61009416</t>
  </si>
  <si>
    <t>Higher National Diploma in Building Services Engineering</t>
  </si>
  <si>
    <t>H61012099</t>
  </si>
  <si>
    <t>H61012105</t>
  </si>
  <si>
    <t>H61017267</t>
  </si>
  <si>
    <t>BTEC Higher National Certificate in Counselling and Applied Psychology</t>
  </si>
  <si>
    <t>H61017279</t>
  </si>
  <si>
    <t>BTEC Higher National Diploma in Counselling and Applied Psychology</t>
  </si>
  <si>
    <t>H61017905</t>
  </si>
  <si>
    <t>H61017917</t>
  </si>
  <si>
    <t>H61017929</t>
  </si>
  <si>
    <t>BTEC Higher National Certificate in Film and Television</t>
  </si>
  <si>
    <t>H61017930</t>
  </si>
  <si>
    <t>BTEC Higher National Diploma in Film and Television</t>
  </si>
  <si>
    <t>H61017942</t>
  </si>
  <si>
    <t>BTEC Higher National Certificate in Fine Art</t>
  </si>
  <si>
    <t>H61017954</t>
  </si>
  <si>
    <t>BTEC Higher National Diploma in Fine Art</t>
  </si>
  <si>
    <t>H61017966</t>
  </si>
  <si>
    <t>H61017978</t>
  </si>
  <si>
    <t>6101798X</t>
  </si>
  <si>
    <t>H6101798X</t>
  </si>
  <si>
    <t>BTEC Higher National Certificate in Interior Design</t>
  </si>
  <si>
    <t>H61017991</t>
  </si>
  <si>
    <t>BTEC Higher National Diploma in Interior Design</t>
  </si>
  <si>
    <t>H61018004</t>
  </si>
  <si>
    <t>BTEC Higher National Certificate in Journalism</t>
  </si>
  <si>
    <t>H61018016</t>
  </si>
  <si>
    <t>BTEC Higher National Diploma in Journalism</t>
  </si>
  <si>
    <t>H61018028</t>
  </si>
  <si>
    <t>6101803X</t>
  </si>
  <si>
    <t>H6101803X</t>
  </si>
  <si>
    <t>H61018041</t>
  </si>
  <si>
    <t>BTEC Higher National Certificate in Product Design</t>
  </si>
  <si>
    <t>H61018053</t>
  </si>
  <si>
    <t>BTEC Higher National Diploma in Product Design</t>
  </si>
  <si>
    <t>H61018065</t>
  </si>
  <si>
    <t>BTEC Higher National Certificate in Sound Media</t>
  </si>
  <si>
    <t>H61018077</t>
  </si>
  <si>
    <t>BTEC Higher National Diploma in Sound Media</t>
  </si>
  <si>
    <t>H61018089</t>
  </si>
  <si>
    <t>BTEC Higher National Certificate in The Animation Industry</t>
  </si>
  <si>
    <t>H61018090</t>
  </si>
  <si>
    <t>BTEC Higher National Diploma in The Animation Industry</t>
  </si>
  <si>
    <t>H61018107</t>
  </si>
  <si>
    <t>BTEC Higher National Certificate in Visual Effects</t>
  </si>
  <si>
    <t>H61018119</t>
  </si>
  <si>
    <t>BTEC Higher National Diploma in Visual Effects</t>
  </si>
  <si>
    <t>H61018120</t>
  </si>
  <si>
    <t>BTEC Higher National Certificate in Web Design</t>
  </si>
  <si>
    <t>H61018132</t>
  </si>
  <si>
    <t>BTEC Higher National Diploma in Web Design</t>
  </si>
  <si>
    <t>H61024752</t>
  </si>
  <si>
    <t>BTEC Higher National Certificate in Game Development</t>
  </si>
  <si>
    <t>H61024776</t>
  </si>
  <si>
    <t>BTEC Higher National Diploma in Game Development</t>
  </si>
  <si>
    <t>The workbook is organised into two sections, each consisting of several sheets.</t>
  </si>
  <si>
    <t>data returns from previous years.</t>
  </si>
  <si>
    <t>2. The following cells in Nursing - unclassified or non-nursing subjects contain values that are not whole numbers:</t>
  </si>
  <si>
    <t>3. The following cells in nursing subjects excluding Nursing - unclassified contain values not entered as a multiple of 0.5:</t>
  </si>
  <si>
    <r>
      <rPr>
        <sz val="11"/>
        <rFont val="Arial"/>
        <family val="2"/>
      </rPr>
      <t xml:space="preserve">Please see </t>
    </r>
    <r>
      <rPr>
        <u/>
        <sz val="11"/>
        <color theme="10"/>
        <rFont val="Arial"/>
        <family val="2"/>
      </rPr>
      <t>Appendix 4</t>
    </r>
    <r>
      <rPr>
        <sz val="11"/>
        <rFont val="Arial"/>
        <family val="2"/>
      </rPr>
      <t xml:space="preserve"> for additional information about these tables and descriptions for any highlighting.</t>
    </r>
  </si>
  <si>
    <t>Threshold for FT was different prior to HESES23, hence blank box</t>
  </si>
  <si>
    <t>nursing (except uncliassified) has check 3 but not 2</t>
  </si>
  <si>
    <t>nursing (except unclassified) has check 3 but not 2</t>
  </si>
  <si>
    <t>1. Students have been entered for the 'Nursing - unclassified' profession in the following columns:</t>
  </si>
  <si>
    <t>HND in Applied Computing - University of Plymouth</t>
  </si>
  <si>
    <t>PGDip in Enhanced Clinical Practitioner (Critical Care Outreach) - Keele University - Enhanced Clinical Practitioner</t>
  </si>
  <si>
    <t>H00306548</t>
  </si>
  <si>
    <t>BA (Hons) in English with Creative Writing - Strode College</t>
  </si>
  <si>
    <t>H00306564</t>
  </si>
  <si>
    <t>BA (Hons) in Advanced Principles in Media Makeup (Top up) - NCG</t>
  </si>
  <si>
    <t>H00306565</t>
  </si>
  <si>
    <t>BA (Hons) in Design Practice (Top up) - NCG</t>
  </si>
  <si>
    <t>H00306566</t>
  </si>
  <si>
    <t>BSc (Hons) in Integrated Health, Social Care and Wellbeing (OLC) - NCG</t>
  </si>
  <si>
    <t>H00306567</t>
  </si>
  <si>
    <t>BSc (Hons) in Public Health and Health Improvement (Top up) - NCG</t>
  </si>
  <si>
    <t>H00306568</t>
  </si>
  <si>
    <t>CertHE in Animal Management - NCG</t>
  </si>
  <si>
    <t>H00306569</t>
  </si>
  <si>
    <t>CertHE in Business Management (ESL) - NCG</t>
  </si>
  <si>
    <t>H00306570</t>
  </si>
  <si>
    <t>CertHE in Computing (ESL) - NCG</t>
  </si>
  <si>
    <t>H00306571</t>
  </si>
  <si>
    <t>CertHE in Integrated Health, Social Care and Wellbeing (ESL) - NCG</t>
  </si>
  <si>
    <t>H00306572</t>
  </si>
  <si>
    <t>CertCE in Software Engineering - NCG</t>
  </si>
  <si>
    <t>H00306573</t>
  </si>
  <si>
    <t>FdA in Animal Management - NCG</t>
  </si>
  <si>
    <t>H00306574</t>
  </si>
  <si>
    <t>FdA in Business Management (ESL) - NCG</t>
  </si>
  <si>
    <t>H00306575</t>
  </si>
  <si>
    <t>FdA in Integrated Health, Social Care and Wellbeing (ESL) - NCG</t>
  </si>
  <si>
    <t>H00306576</t>
  </si>
  <si>
    <t>FdA in Live Performance Technical Production - NCG</t>
  </si>
  <si>
    <t>H00306577</t>
  </si>
  <si>
    <t>FdA in Music and Sound Production - NCG</t>
  </si>
  <si>
    <t>H00306578</t>
  </si>
  <si>
    <t>FdA in Musical Theatre - NCG</t>
  </si>
  <si>
    <t>H00306579</t>
  </si>
  <si>
    <t>FdSc in Computing (ESL) - NCG</t>
  </si>
  <si>
    <t>H00306580</t>
  </si>
  <si>
    <t>FdSc in Physical Education and Sports Coaching (Carlisle College) - NCG</t>
  </si>
  <si>
    <t>H00306581</t>
  </si>
  <si>
    <t>FdSc in Sports Performance, Conditioning and Rehabilitation - NCG</t>
  </si>
  <si>
    <t>H00306582</t>
  </si>
  <si>
    <t>Foundation Year in Business (OLC) - NCG</t>
  </si>
  <si>
    <t>H00306583</t>
  </si>
  <si>
    <t>Foundation Year in Health and Social Care (OLC) - NCG</t>
  </si>
  <si>
    <t>H00306584</t>
  </si>
  <si>
    <t>MA in Business Management - NCG</t>
  </si>
  <si>
    <t>H00306585</t>
  </si>
  <si>
    <t>Masters in Business Administration - NCG</t>
  </si>
  <si>
    <t>H00306586</t>
  </si>
  <si>
    <t>FdA in Aesthetic Principles and Clinical Practice - NCG</t>
  </si>
  <si>
    <t>H00306587</t>
  </si>
  <si>
    <t>Foundation Degree in Children's Learning and Development (Full-Time) - DN Colleges Group</t>
  </si>
  <si>
    <t>H00306588</t>
  </si>
  <si>
    <t>CertHE in Applied Finance - University of Exeter</t>
  </si>
  <si>
    <t>H00306589</t>
  </si>
  <si>
    <t>Foundation Degree in Creative Media - Petroc</t>
  </si>
  <si>
    <t>H00306590</t>
  </si>
  <si>
    <t>Foundation Degree in Software Engineering - Petroc</t>
  </si>
  <si>
    <t>H00306591</t>
  </si>
  <si>
    <t>FdA in Media Content Creation - Warwickshire College</t>
  </si>
  <si>
    <t>H00306592</t>
  </si>
  <si>
    <t>BA (Hons) in Media Content Creation - Warwickshire College</t>
  </si>
  <si>
    <t>H00306593</t>
  </si>
  <si>
    <t>Certificate in Education (Lifelong Learning) - In-Service - West Herts College</t>
  </si>
  <si>
    <t>H00306594</t>
  </si>
  <si>
    <t>Certificate in Education (Lifelong Learning) Pre-Service Part Time - West Herts College</t>
  </si>
  <si>
    <t>H00306595</t>
  </si>
  <si>
    <t>Certificate in Education (Lifelong Learning) - Pre-Service - West Herts College</t>
  </si>
  <si>
    <t>H00306596</t>
  </si>
  <si>
    <t>Professional Graduate Certificate in Education (Lifelong Learning) - In-Service - West Herts College</t>
  </si>
  <si>
    <t>H00306597</t>
  </si>
  <si>
    <t>Professional Graduate Certificate in Education (Lifelong Learning) - Pre-Service Part Time - West Herts College</t>
  </si>
  <si>
    <t>H00306598</t>
  </si>
  <si>
    <t>Professional Graduate Certificate in Education (Lifelong Learning) - Pre-Service full time - West Herts College</t>
  </si>
  <si>
    <t>H00306599</t>
  </si>
  <si>
    <t>Postgraduate Certificate in Education (Lifelong Learning) - In-Service - West Herts College</t>
  </si>
  <si>
    <t>H00306600</t>
  </si>
  <si>
    <t>Postgraduate Certificate in Education (Lifelong Learning) - Pre-Service Part Time - West Herts College</t>
  </si>
  <si>
    <t>H00306601</t>
  </si>
  <si>
    <t>Postgraduate Certificate in Education (Lifelong Learning) - Pre-Service - West Herts College</t>
  </si>
  <si>
    <t>H00306602</t>
  </si>
  <si>
    <t>Postgraduate Diploma in Education (Advanced PGCE in Lifelong Learning) - Pre-Service - West Herts College</t>
  </si>
  <si>
    <t>H00306603</t>
  </si>
  <si>
    <t>Postgraduate Diploma in Education (Advanced PGCE in Lifelong Learning) - In-Service - West Herts College</t>
  </si>
  <si>
    <t>H00306604</t>
  </si>
  <si>
    <t>Postgraduate Diploma in Education (Advanced PGCE in Lifelong Learning) - Pre-Service Part Time - West Herts College</t>
  </si>
  <si>
    <t>H00306605</t>
  </si>
  <si>
    <t>BA (Hons) in Music Production and Creative Recording - East Sussex College Group</t>
  </si>
  <si>
    <t>H00306606</t>
  </si>
  <si>
    <t>BA (Hons) in Design - East Sussex College Group</t>
  </si>
  <si>
    <t>H00306607</t>
  </si>
  <si>
    <t>BA (Hons) (Top Up) in Design - East Sussex College Group</t>
  </si>
  <si>
    <t>H00306608</t>
  </si>
  <si>
    <t>FdSc in Person-Centred Counselling - East Sussex College Group</t>
  </si>
  <si>
    <t>H00306609</t>
  </si>
  <si>
    <t>BSc (Hons) (Top Up) in Person-Centred Counselling - East Sussex College Group</t>
  </si>
  <si>
    <t>H00306610</t>
  </si>
  <si>
    <t>BSc (Hons) in Paramedic Science - University of Cumbria - Paramedic (degree) Standard (2023)</t>
  </si>
  <si>
    <t>H00306611</t>
  </si>
  <si>
    <t>Foundation Degree in Healthcare Studies - Bishop Auckland College</t>
  </si>
  <si>
    <t>H00306612</t>
  </si>
  <si>
    <t>BSc (Hons) in Healthcare Studies (Top-up) - Bishop Auckland College</t>
  </si>
  <si>
    <t>H00306613</t>
  </si>
  <si>
    <t>Foundation Degree in Tourism and Hospitality Management - St Helens College</t>
  </si>
  <si>
    <t>H00306614</t>
  </si>
  <si>
    <t>PGCert in Professional Practice, Knowledge, Skills and Management in Architecture - University of the West of England - Architect Apprenticeship Standard</t>
  </si>
  <si>
    <t>H00306615</t>
  </si>
  <si>
    <t>BSc (Hons) in Supply Chain and Logistics - University of Wales Trinity Saint David - Supply Chain Leadership Professional Apprenticeship</t>
  </si>
  <si>
    <t>H00306616</t>
  </si>
  <si>
    <t>FdSc in Applied Equine Management - Craven College</t>
  </si>
  <si>
    <t>H00306617</t>
  </si>
  <si>
    <t>BSc in Applied Equine Management (Top-up) - Craven College</t>
  </si>
  <si>
    <t>H00306618</t>
  </si>
  <si>
    <t>BA (Hons) in Education (Supporting and Teaching and Learning) - Tameside College</t>
  </si>
  <si>
    <t>H00306619</t>
  </si>
  <si>
    <t>BA (Hons) in Acting - Nottingham College</t>
  </si>
  <si>
    <t>H00306620</t>
  </si>
  <si>
    <t>BA (Hons) in Musical Theatre - Nottingham College</t>
  </si>
  <si>
    <t>H00306621</t>
  </si>
  <si>
    <t>BA (Hons) in Digital Graphics for Games Production - Nottingham College</t>
  </si>
  <si>
    <t>H00306622</t>
  </si>
  <si>
    <t>BA (Hons) in Film and Digital Broadcast Production - Nottingham College</t>
  </si>
  <si>
    <t>H00306623</t>
  </si>
  <si>
    <t>Executive Diploma in Managing Business Transformation - University of Reading - Improvement Leader Apprenticeship Standard</t>
  </si>
  <si>
    <t>H00306624</t>
  </si>
  <si>
    <t>BA (Hons) in Management Practice - University of Reading - Chartered Manager Degree Apprenticeship Standard</t>
  </si>
  <si>
    <t>H00306625</t>
  </si>
  <si>
    <t>FdSc in Criminology, Policing and Criminal Law - NCG</t>
  </si>
  <si>
    <t>H00306631</t>
  </si>
  <si>
    <t>BA (Hons) in Applied Business Studies - DN Colleges Group</t>
  </si>
  <si>
    <t>H00306632</t>
  </si>
  <si>
    <t>MSc in Advanced Clinical Practice (Primary Care and Community) - The University of Winchester - Advanced Clinical Practitioner Degree Apprenticeship</t>
  </si>
  <si>
    <t>H00306633</t>
  </si>
  <si>
    <t>FdA in Fashion Design and Innovative Technologies - NCG</t>
  </si>
  <si>
    <t>H00306634</t>
  </si>
  <si>
    <t>FdA in Contemporary Business - Strode College</t>
  </si>
  <si>
    <t>H00306635</t>
  </si>
  <si>
    <t>FdSc in Software Development - Derby College Group</t>
  </si>
  <si>
    <t>H00306636</t>
  </si>
  <si>
    <t>BSc (Hons) in Forensic Science - Nottingham College</t>
  </si>
  <si>
    <t>H00306637</t>
  </si>
  <si>
    <t>Postgraduate Diploma in Strategic Human Resource Practice - University of Gloucestershire - Senior People Professional Apprenticeship Standard</t>
  </si>
  <si>
    <t>H00306638</t>
  </si>
  <si>
    <t>BSc (Hons) in Animal Conservation, Behaviour and Welfare - University Centre Weston</t>
  </si>
  <si>
    <t>H00306640</t>
  </si>
  <si>
    <t>BA (Hons) in Photographic Practice - Nottingham College</t>
  </si>
  <si>
    <t>H00306641</t>
  </si>
  <si>
    <t>BSc in Animal Behaviour and Wildlife Conservation - Bishop Burton College</t>
  </si>
  <si>
    <t>H00306642</t>
  </si>
  <si>
    <t>FdEng in Software Engineering - Truro and Penwith College</t>
  </si>
  <si>
    <t>H00306643</t>
  </si>
  <si>
    <t>FdSc in Health and Wellbeing - Truro and Penwith College</t>
  </si>
  <si>
    <t>H00306644</t>
  </si>
  <si>
    <t>Postgraduate Diploma in Engineering Competence - Buckinghamshire New University - Post Graduate Engineer Apprenticeship Standard</t>
  </si>
  <si>
    <t>H00306648</t>
  </si>
  <si>
    <t>BSc (Hons) in Health and Social Care - Burnley College</t>
  </si>
  <si>
    <t>H00306649</t>
  </si>
  <si>
    <t>BSc (Hons) in Health and Social Care (Top-Up) - Burnley College</t>
  </si>
  <si>
    <t>H00306650</t>
  </si>
  <si>
    <t>H00306651</t>
  </si>
  <si>
    <t>H00306652</t>
  </si>
  <si>
    <t>BA (Hons) in Games Art - Burnley College</t>
  </si>
  <si>
    <t>H61031240</t>
  </si>
  <si>
    <t>Higher National Certificate in Esports</t>
  </si>
  <si>
    <t>H61031252</t>
  </si>
  <si>
    <t>Higher National Diploma in Esports</t>
  </si>
  <si>
    <t>H61031550</t>
  </si>
  <si>
    <t>Diploma in Education and Training (Outdoor Learning Specialist)</t>
  </si>
  <si>
    <t>H61031562</t>
  </si>
  <si>
    <t>Diploma in Education and Training (Specialist Education)</t>
  </si>
  <si>
    <t>H61031574</t>
  </si>
  <si>
    <t>Diploma in Education and Training (Special Educational Needs)</t>
  </si>
  <si>
    <t>H61031586</t>
  </si>
  <si>
    <t>Diploma in Education and Training (Literacy Specialist)</t>
  </si>
  <si>
    <t>H61031598</t>
  </si>
  <si>
    <t>Diploma in Education and Training (Numeracy Specialist)</t>
  </si>
  <si>
    <t>REL2</t>
  </si>
  <si>
    <t>This table is for information only and will not be routinely questioned by OfS during the data verification process.</t>
  </si>
  <si>
    <t>4. For the following cells, the number of OfS-fundable countable years is greater than the equivalent total in Table 1:</t>
  </si>
  <si>
    <t>5. For the following cells, the number of non-fundable countable years is greater than the equivalent total in Table 1:</t>
  </si>
  <si>
    <t>4. For the following cells, the number of OfS-fundable countable years is greater than the equivalent total in Table 3:</t>
  </si>
  <si>
    <t>5. For the following cells, the number of non-fundable countable years is greater than the equivalent total in Table 3:</t>
  </si>
  <si>
    <t>NOTES</t>
  </si>
  <si>
    <t>Template Version</t>
  </si>
  <si>
    <t>Validation checks for Table 1 (see Appendix 1 for full definitions of the underlying formulas)</t>
  </si>
  <si>
    <t>PANEL_NOTES</t>
  </si>
  <si>
    <t>PANEL_MF</t>
  </si>
  <si>
    <t>PANEL_DEC</t>
  </si>
  <si>
    <t>EXPL</t>
  </si>
  <si>
    <t>APP_PROV_MF</t>
  </si>
  <si>
    <t>MF_FINAL</t>
  </si>
  <si>
    <t>MF</t>
  </si>
  <si>
    <t>(2000 character limit)</t>
  </si>
  <si>
    <t>Original, appealed or a new rate depending on the decision</t>
  </si>
  <si>
    <t>Yes, No or 
Yes with different rate</t>
  </si>
  <si>
    <t>Notes on decision</t>
  </si>
  <si>
    <t>Final multiplication factor</t>
  </si>
  <si>
    <t>Representation panel decision</t>
  </si>
  <si>
    <t>Explanation</t>
  </si>
  <si>
    <t>Multiplication
factor level</t>
  </si>
  <si>
    <t xml:space="preserve">Multiplication factor </t>
  </si>
  <si>
    <t>Validation checks for Table 2 (see Appendix 1 for full definitions of the underlying formulas)</t>
  </si>
  <si>
    <t>Price Group</t>
  </si>
  <si>
    <t>Validation checks for Table 3 (see Appendix 1 for full definitions of the underlying formulas)</t>
  </si>
  <si>
    <t>Validation checks for Table 6a (see Appendix 1 for full definitions of the underlying formulas)</t>
  </si>
  <si>
    <t>GRANT_DIFF</t>
  </si>
  <si>
    <t>GRANT</t>
  </si>
  <si>
    <t>T_TOT</t>
  </si>
  <si>
    <t>Total funding</t>
  </si>
  <si>
    <t>SP_SUM</t>
  </si>
  <si>
    <t>Subtotal: funding for student access and success</t>
  </si>
  <si>
    <t>SP_MH</t>
  </si>
  <si>
    <t>Premium for student transitions and mental health</t>
  </si>
  <si>
    <t>DISABLED</t>
  </si>
  <si>
    <t>Disabled students' premium</t>
  </si>
  <si>
    <t>SP_PT</t>
  </si>
  <si>
    <t>Premium to support successful student outcomes: part-time</t>
  </si>
  <si>
    <t>SP_FT</t>
  </si>
  <si>
    <t>Premium to support successful student outcomes: full-time</t>
  </si>
  <si>
    <t>Section 2: Funding for student access and success</t>
  </si>
  <si>
    <t>HIGHCOST_SUM</t>
  </si>
  <si>
    <t>Subtotal: funding for high-cost courses</t>
  </si>
  <si>
    <t>Not applicable</t>
  </si>
  <si>
    <t>Not available</t>
  </si>
  <si>
    <t>Level 4 and 5 provision [note 1]</t>
  </si>
  <si>
    <t>NHS_TA</t>
  </si>
  <si>
    <t>NHS pensions scheme compensation</t>
  </si>
  <si>
    <t>SAGP_TA</t>
  </si>
  <si>
    <t>Senior academic GPs' pay</t>
  </si>
  <si>
    <t>CCPAY_TA</t>
  </si>
  <si>
    <t>Clinical consultants' pay</t>
  </si>
  <si>
    <t>ACCL_TA</t>
  </si>
  <si>
    <t>Accelerated full-time undergraduate provision</t>
  </si>
  <si>
    <t>INT_TA</t>
  </si>
  <si>
    <t>Intensive postgraduate provision</t>
  </si>
  <si>
    <t>PGTS_TA</t>
  </si>
  <si>
    <t>Postgraduate taught supplement</t>
  </si>
  <si>
    <t>ERAS_TA</t>
  </si>
  <si>
    <t>Overseas study programmes</t>
  </si>
  <si>
    <t>VHCSS_TA</t>
  </si>
  <si>
    <t>Very high-cost STEM subjects</t>
  </si>
  <si>
    <t>HEALTH_TA</t>
  </si>
  <si>
    <t>Nursing, midwifery and allied health supplement</t>
  </si>
  <si>
    <t>HIGHCOST</t>
  </si>
  <si>
    <t>High-cost subject funding</t>
  </si>
  <si>
    <t>Section 1: Funding for high-cost courses</t>
  </si>
  <si>
    <t>ALLOC</t>
  </si>
  <si>
    <t>Difference (£)</t>
  </si>
  <si>
    <t>Name of allocation</t>
  </si>
  <si>
    <r>
      <t>Appendix 4</t>
    </r>
    <r>
      <rPr>
        <sz val="11"/>
        <rFont val="Arial"/>
        <family val="2"/>
      </rPr>
      <t xml:space="preserve"> contains additional information about this table.</t>
    </r>
  </si>
  <si>
    <t>T</t>
  </si>
  <si>
    <t>PGT (Master's loan)</t>
  </si>
  <si>
    <t>All price groups and modes</t>
  </si>
  <si>
    <t>High-cost subject funding (£)</t>
  </si>
  <si>
    <t>HEALTHTAFTETOT</t>
  </si>
  <si>
    <t>HOMEF_HEALTH</t>
  </si>
  <si>
    <t>Nursing, midwifery and allied health supplement (£)</t>
  </si>
  <si>
    <t>Total FTEs for NMAH supplement</t>
  </si>
  <si>
    <t>OfS-fundable FTEs
(Part-time)</t>
  </si>
  <si>
    <t>OfS-fundable FTEs
(Full-time)</t>
  </si>
  <si>
    <t>Profession</t>
  </si>
  <si>
    <t>Note that PGT (Masters' loan) FTEs are not included in this table.</t>
  </si>
  <si>
    <t>ERASSTU</t>
  </si>
  <si>
    <t>Outgoing other study years abroad</t>
  </si>
  <si>
    <t>Outgoing Erasmus+ and Turing years</t>
  </si>
  <si>
    <t>Overseas study programmes (£)</t>
  </si>
  <si>
    <t>Total years countable for overseas study programmes</t>
  </si>
  <si>
    <t>Sandwich year out years abroad
(Non-fundable)</t>
  </si>
  <si>
    <t>Sandwich year out years abroad
(OfS-fundable)</t>
  </si>
  <si>
    <t>Full-time years abroad
(Non-fundable)</t>
  </si>
  <si>
    <t>Full-time years abroad
(OfS-fundable)</t>
  </si>
  <si>
    <t>Total years countable for  overseas study programmes</t>
  </si>
  <si>
    <t>UG (Other))</t>
  </si>
  <si>
    <t>Accelerated 
full-time undergraduate provision (£)</t>
  </si>
  <si>
    <t>Intensive postgraduate provision (£)</t>
  </si>
  <si>
    <t>Postgraduate taught supplement (£)</t>
  </si>
  <si>
    <t>d = (a + b) × c</t>
  </si>
  <si>
    <t>Premium for student transitions and mental health (£)</t>
  </si>
  <si>
    <t>MH_RATE</t>
  </si>
  <si>
    <t>c</t>
  </si>
  <si>
    <t>Funding rate per entrant (£)</t>
  </si>
  <si>
    <t>TRANSHEADCOUNT</t>
  </si>
  <si>
    <t>b</t>
  </si>
  <si>
    <t>Adjustments to entrants</t>
  </si>
  <si>
    <t>HOMEF_ENTRANTS</t>
  </si>
  <si>
    <t>a</t>
  </si>
  <si>
    <t>Headcount of OfS-fundable undergraduate entrants [note 2]</t>
  </si>
  <si>
    <t>Label or formula</t>
  </si>
  <si>
    <t>Entity</t>
  </si>
  <si>
    <t>Table F4: Calculation of 'Premium for student transitions and mental health' allocation</t>
  </si>
  <si>
    <t>j = max (g × h, i)</t>
  </si>
  <si>
    <t>Disabled students' premium (£)</t>
  </si>
  <si>
    <t>i</t>
  </si>
  <si>
    <t>Minimum allocation (£)</t>
  </si>
  <si>
    <t>DIS_RATE</t>
  </si>
  <si>
    <t>h</t>
  </si>
  <si>
    <t>Funding rate per weighted FTE (£)</t>
  </si>
  <si>
    <t>DIS_WFTE</t>
  </si>
  <si>
    <t>g = e × f</t>
  </si>
  <si>
    <t>Weighted FTEs</t>
  </si>
  <si>
    <t>DISFTE</t>
  </si>
  <si>
    <t>f</t>
  </si>
  <si>
    <t>DIS_WGT</t>
  </si>
  <si>
    <t>e = c ÷ d</t>
  </si>
  <si>
    <t>Disabled students' premium weighting</t>
  </si>
  <si>
    <t>SPDISPOP</t>
  </si>
  <si>
    <t>d</t>
  </si>
  <si>
    <t>Total headcount</t>
  </si>
  <si>
    <t>DIS_WHCOUNT</t>
  </si>
  <si>
    <t>c = (2 × a) + b</t>
  </si>
  <si>
    <t>Weighted headcount of disabled students</t>
  </si>
  <si>
    <t>Table F3.B: Calculation of 'Disabled students' premium' allocation</t>
  </si>
  <si>
    <t>SPSDALLOC</t>
  </si>
  <si>
    <t>Self-declared disability, not in receipt of DSA</t>
  </si>
  <si>
    <t>SPDSAALLOC</t>
  </si>
  <si>
    <t>In receipt of DSA</t>
  </si>
  <si>
    <t>Disability status</t>
  </si>
  <si>
    <t>Table F3.A: Headcounts for 'Disabled students' premium' allocation</t>
  </si>
  <si>
    <t>c = a × b</t>
  </si>
  <si>
    <t>Premium to support successful student outcomes: part-time (£)</t>
  </si>
  <si>
    <t>SP_PT_Rate</t>
  </si>
  <si>
    <t>PT_UG_FTE</t>
  </si>
  <si>
    <t>Table F2: Calculation of 'Premium to support successful student outcomes: part-time' allocation</t>
  </si>
  <si>
    <t>SP_FT_SUPP</t>
  </si>
  <si>
    <t>cc = aa × bb</t>
  </si>
  <si>
    <t>Premium to support successful student outcomes: full-time (supplement) (£)</t>
  </si>
  <si>
    <t>SP_FT_SUPP_Rate</t>
  </si>
  <si>
    <t>bb</t>
  </si>
  <si>
    <t>SP_FT_SUPP_WFTE</t>
  </si>
  <si>
    <t>aa = y × z × l</t>
  </si>
  <si>
    <t>FT_UG_FTE</t>
  </si>
  <si>
    <t>l</t>
  </si>
  <si>
    <t>SP_FT_SUPP_MHWEIGHT</t>
  </si>
  <si>
    <t>z = (a + b + c + d + e + f + g + h) ÷ j</t>
  </si>
  <si>
    <t>Medium and high risk students weighting</t>
  </si>
  <si>
    <t>SP_FT_SUPP_WEIGHT</t>
  </si>
  <si>
    <t>y = x ÷ j</t>
  </si>
  <si>
    <t>Full-time student premium (supplement) weighting</t>
  </si>
  <si>
    <t>SP_FT_SUPP_HCOUNT</t>
  </si>
  <si>
    <t>j</t>
  </si>
  <si>
    <t>SP_FT_SUPP_WHCOUNT</t>
  </si>
  <si>
    <t>x = p + q + r + s + t + u + v + w</t>
  </si>
  <si>
    <t>Headcount of at-risk and underrepresented students</t>
  </si>
  <si>
    <t>Table F1.2.B: Calculation of supplement of 'Premium to support successful student outcomes: full-time'</t>
  </si>
  <si>
    <t>M_O_H_1_2</t>
  </si>
  <si>
    <t>w</t>
  </si>
  <si>
    <t>Other UG / Mature / High</t>
  </si>
  <si>
    <t>M_O_M_1_2</t>
  </si>
  <si>
    <t>v</t>
  </si>
  <si>
    <t>Other UG / Mature / Medium</t>
  </si>
  <si>
    <t>Y_O_H_1_2</t>
  </si>
  <si>
    <t>u</t>
  </si>
  <si>
    <t>Other UG / Young / High</t>
  </si>
  <si>
    <t>Y_O_M_1_2</t>
  </si>
  <si>
    <t>t</t>
  </si>
  <si>
    <t>Other UG / Young / Medium</t>
  </si>
  <si>
    <t>M_F_H_1_2</t>
  </si>
  <si>
    <t>s</t>
  </si>
  <si>
    <t>First degree / Mature / High</t>
  </si>
  <si>
    <t>M_F_M_1_2</t>
  </si>
  <si>
    <t>r</t>
  </si>
  <si>
    <t>First degree / Mature / Medium</t>
  </si>
  <si>
    <t>Y_F_H_1_2</t>
  </si>
  <si>
    <t>q</t>
  </si>
  <si>
    <t>First degree / Young / High</t>
  </si>
  <si>
    <t>Y_F_M_1_2</t>
  </si>
  <si>
    <t>p</t>
  </si>
  <si>
    <t>First degree / Young / Medium</t>
  </si>
  <si>
    <t>Label</t>
  </si>
  <si>
    <t>Group
(Qualification Aim / Age / Risk Category)</t>
  </si>
  <si>
    <t>Table F1.2.A: Headcounts for supplement of 'Premium to support successful student outcomes: full-time'</t>
  </si>
  <si>
    <t>SP_FT_MAIN</t>
  </si>
  <si>
    <r>
      <t xml:space="preserve">o = m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n</t>
    </r>
  </si>
  <si>
    <t>Premium to support successful student outcomes: full-time (main allocation) (£)</t>
  </si>
  <si>
    <t>SP_FT_MAIN_Rate</t>
  </si>
  <si>
    <t>n</t>
  </si>
  <si>
    <t>SP_FT_MAIN_WFTE</t>
  </si>
  <si>
    <r>
      <t xml:space="preserve">m = k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l</t>
    </r>
  </si>
  <si>
    <t>SP_FT_MAIN_WEIGHT</t>
  </si>
  <si>
    <r>
      <t xml:space="preserve">k = i </t>
    </r>
    <r>
      <rPr>
        <sz val="11"/>
        <rFont val="Calibri"/>
        <family val="2"/>
      </rPr>
      <t>÷</t>
    </r>
    <r>
      <rPr>
        <sz val="11"/>
        <rFont val="Arial"/>
        <family val="2"/>
      </rPr>
      <t xml:space="preserve"> j</t>
    </r>
  </si>
  <si>
    <t>Full-time student premium (main allocation) weighting</t>
  </si>
  <si>
    <t>PROPEXCL</t>
  </si>
  <si>
    <t>Proportion excluded for reason related to qualifications on entry data</t>
  </si>
  <si>
    <t>SP_FT_MAIN_HCOUNT</t>
  </si>
  <si>
    <t>SP_FT_MAIN_WHCOUNT</t>
  </si>
  <si>
    <r>
      <t xml:space="preserve">i = a + (2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b) + (1.5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c) + (2.5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d) + (1.5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e) + (3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f) + (1.5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g) + (2.5 </t>
    </r>
    <r>
      <rPr>
        <sz val="11"/>
        <rFont val="Calibri"/>
        <family val="2"/>
      </rPr>
      <t>×</t>
    </r>
    <r>
      <rPr>
        <sz val="11"/>
        <rFont val="Arial"/>
        <family val="2"/>
      </rPr>
      <t xml:space="preserve"> h)</t>
    </r>
  </si>
  <si>
    <t>Weighted headcount of at-risk students</t>
  </si>
  <si>
    <t>Table F1.1.B: Calculation of main allocation of 'Premium to support successful student outcomes: full-time'</t>
  </si>
  <si>
    <t>M_O_H</t>
  </si>
  <si>
    <t>M_O_M</t>
  </si>
  <si>
    <t>g</t>
  </si>
  <si>
    <t>Y_O_H</t>
  </si>
  <si>
    <t>Y_O_M</t>
  </si>
  <si>
    <t>e</t>
  </si>
  <si>
    <t>M_F_H</t>
  </si>
  <si>
    <t>M_F_M</t>
  </si>
  <si>
    <t>Y_F_H</t>
  </si>
  <si>
    <t>Y_F_M</t>
  </si>
  <si>
    <t>Table F1.1.A: Headcounts for main allocation of 'Premium to support successful student outcomes: full-time'</t>
  </si>
  <si>
    <t>This worksheet contains eight tables, each separated vertically by one blank row.</t>
  </si>
  <si>
    <t>C1.1, C1.2 and C2</t>
  </si>
  <si>
    <t>Rate of funding</t>
  </si>
  <si>
    <t>Rate of funding
PGT (UG fee)</t>
  </si>
  <si>
    <t>Rate of funding
UG</t>
  </si>
  <si>
    <t>Scaling factor [note 1]</t>
  </si>
  <si>
    <t>[note 1] Scaling factor is not applied to C1.2</t>
  </si>
  <si>
    <t>Table A: Summary of indicative allocations</t>
  </si>
  <si>
    <t>Table B: Indicative high-cost subject funding</t>
  </si>
  <si>
    <t>Table C: Indicative nursing, midwifery and allied health supplement</t>
  </si>
  <si>
    <t>Table D: Indicative overseas study programmes</t>
  </si>
  <si>
    <t>Table E: Indicative other high-cost targeted allocations</t>
  </si>
  <si>
    <t>Table F: Indicative student access and success</t>
  </si>
  <si>
    <t>Section 4: Funding tables</t>
  </si>
  <si>
    <t>Explanation is too long</t>
  </si>
  <si>
    <t>Explanation is blank</t>
  </si>
  <si>
    <t>Multiplication factor has been entered to more than two decimal places</t>
  </si>
  <si>
    <t>Cell I39 (not shown)</t>
  </si>
  <si>
    <t>Funding difference is less than required threshold</t>
  </si>
  <si>
    <t>Own rate</t>
  </si>
  <si>
    <t>Level 6</t>
  </si>
  <si>
    <t>Level 5</t>
  </si>
  <si>
    <t>Yes - Category 5</t>
  </si>
  <si>
    <t>Level 4</t>
  </si>
  <si>
    <t>Yes - Category 4</t>
  </si>
  <si>
    <t>Level 3</t>
  </si>
  <si>
    <t>Yes - Category 3</t>
  </si>
  <si>
    <t>Yes with different rate</t>
  </si>
  <si>
    <t>Level 2</t>
  </si>
  <si>
    <t>Yes - Category 2</t>
  </si>
  <si>
    <t>Level 1</t>
  </si>
  <si>
    <t>Yes - Category 1</t>
  </si>
  <si>
    <t>Panel_Dec</t>
  </si>
  <si>
    <t>AppLvl</t>
  </si>
  <si>
    <t>AppCat</t>
  </si>
  <si>
    <t>Val check 5</t>
  </si>
  <si>
    <t>Val check 4</t>
  </si>
  <si>
    <t>Val check 3</t>
  </si>
  <si>
    <t>Val check 2</t>
  </si>
  <si>
    <t>Val check 1</t>
  </si>
  <si>
    <t>Yes - Other</t>
  </si>
  <si>
    <t>new FTE</t>
  </si>
  <si>
    <t>Manual Factor</t>
  </si>
  <si>
    <t>Appeal Category</t>
  </si>
  <si>
    <t>Expl</t>
  </si>
  <si>
    <t>Manual rate</t>
  </si>
  <si>
    <t>Appeal level</t>
  </si>
  <si>
    <t>Appeal cat</t>
  </si>
  <si>
    <t>Val check # in each</t>
  </si>
  <si>
    <t>Rates</t>
  </si>
  <si>
    <t>Table 1 validation checks</t>
  </si>
  <si>
    <t>New FTE</t>
  </si>
  <si>
    <t>Table 2 validation checks</t>
  </si>
  <si>
    <t>Table 3 validation checks</t>
  </si>
  <si>
    <t>Table 6a validation checks</t>
  </si>
  <si>
    <t>Table 6c validation checks</t>
  </si>
  <si>
    <t>H801</t>
  </si>
  <si>
    <t>H802</t>
  </si>
  <si>
    <t>H803</t>
  </si>
  <si>
    <t>H804</t>
  </si>
  <si>
    <t>H805</t>
  </si>
  <si>
    <t>MF TABLE 123</t>
  </si>
  <si>
    <t>MF TABLE 6</t>
  </si>
  <si>
    <t>H901</t>
  </si>
  <si>
    <t>H902</t>
  </si>
  <si>
    <t>H903</t>
  </si>
  <si>
    <t>H904</t>
  </si>
  <si>
    <t>H905</t>
  </si>
  <si>
    <t>24-25</t>
  </si>
  <si>
    <t>Whole WB</t>
  </si>
  <si>
    <t>FTEs for 
2025-26 funding</t>
  </si>
  <si>
    <t>Representation FTEs for 
2025-26 funding</t>
  </si>
  <si>
    <t>FTEs for use in calculation of 2025-26 funding</t>
  </si>
  <si>
    <t>Table 2: Calculation of estimated completed sandwich year out FTEs for 2025-26 funding</t>
  </si>
  <si>
    <t>Table 3: Calculation of estimated completed part-time FTEs for 2025-26 funding</t>
  </si>
  <si>
    <t>Table 6a: Calculation of estimated completed full-time pre-registration health courses FTEs for 2025-26 funding</t>
  </si>
  <si>
    <t>Funding modelled using FTEs for 2025-26 funding (£)</t>
  </si>
  <si>
    <t>Calculations modelled from 
FTEs for 2025-26 funding</t>
  </si>
  <si>
    <t>Calculations modelled from FTEs for 2025-26 funding</t>
  </si>
  <si>
    <t>Total FTEs for 2025-26 other targeted allocations</t>
  </si>
  <si>
    <t>Table 1: Calculation of estimated completed full-time FTEs for 2025-26 funding</t>
  </si>
  <si>
    <t>Table 6a: Calculation of estimated completed part-time pre-registration health courses FTEs for 2025-26 funding</t>
  </si>
  <si>
    <t>Multiplication factor used to calculate 
FTEs for 
2025-26 funding</t>
  </si>
  <si>
    <t>6. For the following cells, the absolute value of ‘Starters in 2024-25 included in (a) and (b)’ is greater than the absolute total of OfS-fundable and non-fundable countable years in columns (a) and (b):</t>
  </si>
  <si>
    <t>H700</t>
  </si>
  <si>
    <t>sp_MF_funding_threshold</t>
  </si>
  <si>
    <t>sp_MF_T123_Incomplete</t>
  </si>
  <si>
    <t>sp_MF_T123_ExplLong</t>
  </si>
  <si>
    <t>sp_MF_T6_Incomplete</t>
  </si>
  <si>
    <t>sp_MF_T6_ExplLong</t>
  </si>
  <si>
    <t>sp_MF_T6_2dp</t>
  </si>
  <si>
    <t>sp_MF_T123_2dp</t>
  </si>
  <si>
    <t>sp_MF_T123_threshold</t>
  </si>
  <si>
    <t>sp_MF_T6_threshold</t>
  </si>
  <si>
    <t>MF_Table123</t>
  </si>
  <si>
    <t>MF_Table6</t>
  </si>
  <si>
    <t>MF_Table 1</t>
  </si>
  <si>
    <t>MF_Table 2</t>
  </si>
  <si>
    <t>MF_Table 3</t>
  </si>
  <si>
    <t>MF_Table 6a</t>
  </si>
  <si>
    <t>MF_Table 6c</t>
  </si>
  <si>
    <t>MF_DEADLINE</t>
  </si>
  <si>
    <t>Section 3: Multiplication factor and FTE tables</t>
  </si>
  <si>
    <t>HESES24 Column 1 and 2</t>
  </si>
  <si>
    <t>Multiplication factor check</t>
  </si>
  <si>
    <t>STARTER_24</t>
  </si>
  <si>
    <t>HESES23 v 
HESES24</t>
  </si>
  <si>
    <t>HESES23 v HESES24</t>
  </si>
  <si>
    <t>HESES23 v
HESES24 FT</t>
  </si>
  <si>
    <t>HESES23 v
HESES24 PT</t>
  </si>
  <si>
    <t>HESAILR23 v 
HESES24</t>
  </si>
  <si>
    <t>HESAILR23 v 
HESES2</t>
  </si>
  <si>
    <t>HESAILR23a</t>
  </si>
  <si>
    <t>HESAILR23b</t>
  </si>
  <si>
    <t>HESAILR23c</t>
  </si>
  <si>
    <t xml:space="preserve">HESAILR23 v HESES24 FT </t>
  </si>
  <si>
    <t xml:space="preserve">HESAILR23 v HESES24 PT </t>
  </si>
  <si>
    <t xml:space="preserve">HESAILR23 v
HESES24
FT </t>
  </si>
  <si>
    <t xml:space="preserve">HESAILR23 v
HESES24
PT </t>
  </si>
  <si>
    <t>HES24a</t>
  </si>
  <si>
    <t>HES24b</t>
  </si>
  <si>
    <t>HES23c</t>
  </si>
  <si>
    <t xml:space="preserve">HESAILR22v
HESES24
FT </t>
  </si>
  <si>
    <t xml:space="preserve">HESAILR22v
HESES24
PT </t>
  </si>
  <si>
    <t>H24_HOMEF_4a</t>
  </si>
  <si>
    <t>FTE24</t>
  </si>
  <si>
    <t>HIGHCOST24</t>
  </si>
  <si>
    <t>HEALTH_TA24</t>
  </si>
  <si>
    <t>ERAS_TA24</t>
  </si>
  <si>
    <t>TA_FTE24</t>
  </si>
  <si>
    <t>PGTS_TA24</t>
  </si>
  <si>
    <t>INT_TA24</t>
  </si>
  <si>
    <t>ACCL_TA24</t>
  </si>
  <si>
    <t>SP_MH_24</t>
  </si>
  <si>
    <t>MF_Lvl_Final</t>
  </si>
  <si>
    <t>MF_Lvl</t>
  </si>
  <si>
    <t>Representation multiplication factor</t>
  </si>
  <si>
    <t>Multiplication factor where representations are being made</t>
  </si>
  <si>
    <t>MF rate</t>
  </si>
  <si>
    <t>2. MF change threshold</t>
  </si>
  <si>
    <t>MF 2dp</t>
  </si>
  <si>
    <t>MF thresh</t>
  </si>
  <si>
    <t>5. MF entered where no students</t>
  </si>
  <si>
    <t>3. Explanation exceeds chars.</t>
  </si>
  <si>
    <t>4. Explanation or MF missing</t>
  </si>
  <si>
    <t>Expl or MF blank</t>
  </si>
  <si>
    <t>3, 4, 5</t>
  </si>
  <si>
    <t>1, 2, 4, 5</t>
  </si>
  <si>
    <t>1. MF exceeds 2 d.p.</t>
  </si>
  <si>
    <t>3. 'Explanation' exceeds the 2000 character limit in the following rows:</t>
  </si>
  <si>
    <t>4. 'Representation multiplication factor' or 'Explanation' have not been entered in the following rows:</t>
  </si>
  <si>
    <t>Reason for representation against multiplication factor
(2000 character limit)</t>
  </si>
  <si>
    <t>FTEs for use in calculation of 
2025-26 funding using the representation multiplication factor</t>
  </si>
  <si>
    <t>1. 'Representation multiplication factor' contains more than two decimal places:</t>
  </si>
  <si>
    <t>5. 'Representation multiplication factor' or 'Explanation' have been entered on a row without countable years in the following rows:</t>
  </si>
  <si>
    <t>Val check 2 - A</t>
  </si>
  <si>
    <t>Val check 2 - not A</t>
  </si>
  <si>
    <t>2. 'Representation multiplication factor' does not meet the change threshold (0.02 for price group A, 0.05 for other price groups) in the following rows:</t>
  </si>
  <si>
    <t>FTEs for use in calculation of
2025-26 funding using the representation multiplication factor</t>
  </si>
  <si>
    <t>2. 'Representation multiplication factor' does not meet the change threshold of 0.05 in the following rows:</t>
  </si>
  <si>
    <t>1,2,4,5</t>
  </si>
  <si>
    <t>3,4,5</t>
  </si>
  <si>
    <t>Validation checks for Table 6c (see Appendix 1 for full definitions of the underlying formulas)</t>
  </si>
  <si>
    <t>Multiplication factor representations validation checks:</t>
  </si>
  <si>
    <t>Multiplication factor entered is below the change threshold of 0.05 (or 0.02 for price group A)</t>
  </si>
  <si>
    <t>so_MF_T123_no_years</t>
  </si>
  <si>
    <t>Explanation or multiplication factor added to a row with no countable years</t>
  </si>
  <si>
    <t>so_MF_T6_no_years</t>
  </si>
  <si>
    <t>A, B and C1.1</t>
  </si>
  <si>
    <t>Table H7: Level 4 and 5 provision parameters</t>
  </si>
  <si>
    <t>Not yet announced</t>
  </si>
  <si>
    <t>Table H1: High-cost subject funding parameters</t>
  </si>
  <si>
    <t>Table H2: Overseas study programmes parameters</t>
  </si>
  <si>
    <t>Table H3: Nursing, midwifery and allied health supplement parameters</t>
  </si>
  <si>
    <t>Table H4: Postgraduate taught supplement parameters</t>
  </si>
  <si>
    <t>Table H5: Intensive postgraduate provision parameters</t>
  </si>
  <si>
    <t>Table H6: Accelerated full-time undergraduate provision parameters</t>
  </si>
  <si>
    <t>This worksheet contains seven tables, each separated vertically by one blank row.</t>
  </si>
  <si>
    <t>Table H: 2024-25 Parameters used in the indicative funding models</t>
  </si>
  <si>
    <t>SAMPLE TABLES - Office for Students: Higher Education Students Early Statistics Survey 2024-25</t>
  </si>
  <si>
    <t>HESES24 template version: SAMPLE - Other providers</t>
  </si>
  <si>
    <t>Template version notes: These sample tables contain all of the worksheets needed to complete HESES24 and multiplication factor representations, but cannot be used as a valid submission.</t>
  </si>
  <si>
    <t xml:space="preserve">                                        We do not expect the structure of the workbook to change for the 'release' version, but there may be adjustments to the validation and credibility checks as the workbooks are finalised.</t>
  </si>
  <si>
    <t>SAMPLE TABLES - Table of contents</t>
  </si>
  <si>
    <t>SAMPLE TABLES - Courses table: Countable years of engagement between 1 August 2024 and census date at course level</t>
  </si>
  <si>
    <t>SAMPLE TABLES - Table 1: Full-time counts of years of engagement</t>
  </si>
  <si>
    <t>SAMPLE TABLES - Table 2: Sandwich year out counts of years of engagement</t>
  </si>
  <si>
    <t>SAMPLE TABLES - Table 3: Part-time counts of years of engagement</t>
  </si>
  <si>
    <t>SAMPLE TABLES - Table 4: Home fee undergraduate years abroad</t>
  </si>
  <si>
    <t xml:space="preserve">SAMPLE TABLES - Table 5: Further student analysis for planning purposes </t>
  </si>
  <si>
    <t>SAMPLE TABLES - Table 6a: Full-time counts of years of engagement for home fee students on pre-registration health courses</t>
  </si>
  <si>
    <t>SAMPLE TABLES - Table 6c: Part-time counts of years of engagement and for home fee students on pre-registration health courses</t>
  </si>
  <si>
    <t>SAMPLE TABLES - Summary comparisons 1</t>
  </si>
  <si>
    <t>SAMPLE TABLES - Summary comparisons 2</t>
  </si>
  <si>
    <t>SAMPLE TABLES - Summary comparisons 3</t>
  </si>
  <si>
    <t>SAMPLE TABLES - Summary comparisons for information</t>
  </si>
  <si>
    <t>SAMPLE TABLES - Table 1: Calculation of estimated completed full-time FTEs for 2025-26 funding</t>
  </si>
  <si>
    <t>SAMPLE TABLES - Table 2: Calculation of estimated completed sandwich year out FTEs for 2025-26 funding</t>
  </si>
  <si>
    <t>SAMPLE TABLES - Table 3: Calculation of estimated completed part-time FTEs for 2025-26 funding</t>
  </si>
  <si>
    <t>SAMPLE TABLES - Table 6a: Calculation of estimated completed full-time pre-registration health courses FTEs for 2025-26 funding</t>
  </si>
  <si>
    <t>SAMPLE TABLES - Table 6c: Calculation of estimated completed part-time pre-registration health courses FTEs for 2025-26 funding</t>
  </si>
  <si>
    <t>SAMPLE TABLES - Table A: Summary of indicative allocations</t>
  </si>
  <si>
    <t>SAMPLE TABLES - Table B: Indicative high-cost subject funding</t>
  </si>
  <si>
    <t>SAMPLE TABLES - Table C: Indicative nursing, midwifery and allied health supplement</t>
  </si>
  <si>
    <t>SAMPLE TABLES - Table D: Indicative overseas study programmes</t>
  </si>
  <si>
    <t>SAMPLE TABLES - Table E: Indicative other high-cost targeted allocations</t>
  </si>
  <si>
    <t>SAMPLE TABLES - Table F: Indicative student access and success</t>
  </si>
  <si>
    <t>SAMPLE TABLES - Table H: 2024-25 Parameters used in the indicative funding models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</si>
</sst>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164" formatCode="_(&quot;£&quot;* #,##0.00_);_(&quot;£&quot;* \(#,##0.00\);_(&quot;£&quot;* &quot;-&quot;??_);_(@_)"/>
    <numFmt numFmtId="165" formatCode="_(* #,##0.00_);_(* \(#,##0.00\);_(* &quot;-&quot;??_);_(@_)"/>
    <numFmt numFmtId="166" formatCode="_-&quot;£&quot;* #,##0_-;\-&quot;£&quot;* #,##0_-;_-&quot;£&quot;* &quot;-&quot;??_-;_-@_-"/>
    <numFmt numFmtId="167" formatCode="0.0%"/>
    <numFmt numFmtId="168" formatCode="[$£-809]#,##0"/>
    <numFmt numFmtId="169" formatCode="#,##0.0"/>
    <numFmt numFmtId="170" formatCode="_-* #,##0.00_-;\-* #,##0.00_-;_-* \-??_-;_-@_-"/>
    <numFmt numFmtId="171" formatCode="00000000"/>
    <numFmt numFmtId="172" formatCode="0.0"/>
    <numFmt numFmtId="173" formatCode="General_)"/>
    <numFmt numFmtId="174" formatCode="[$-809]dd\ mmmm\ yyyy;@"/>
    <numFmt numFmtId="175" formatCode="0_ ;\-0\ "/>
    <numFmt numFmtId="176" formatCode=";\ ;\ ;"/>
    <numFmt numFmtId="177" formatCode="0.00000000000"/>
    <numFmt numFmtId="178" formatCode="#,##0.00000"/>
    <numFmt numFmtId="179" formatCode="&quot;£&quot;#,##0.00"/>
    <numFmt numFmtId="180" formatCode="#,##0_ ;[Red]\-#,##0\ "/>
    <numFmt numFmtId="181" formatCode="#,##0.0_ ;[Red]\-#,##0.0\ "/>
    <numFmt numFmtId="182" formatCode="&quot;£&quot;#,##0"/>
    <numFmt numFmtId="183" formatCode="0.000"/>
    <numFmt numFmtId="184" formatCode="0.0000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b/>
      <sz val="14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22"/>
      <name val="Arial"/>
      <family val="2"/>
    </font>
    <font>
      <sz val="10.5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990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.5"/>
      <color rgb="FFFF0000"/>
      <name val="Arial"/>
      <family val="2"/>
    </font>
    <font>
      <u/>
      <sz val="10.5"/>
      <color rgb="FFFF0000"/>
      <name val="Arial"/>
      <family val="2"/>
    </font>
    <font>
      <b/>
      <u/>
      <sz val="10.5"/>
      <color rgb="FFFF0000"/>
      <name val="Arial"/>
      <family val="2"/>
    </font>
    <font>
      <b/>
      <sz val="10.5"/>
      <name val="Arial"/>
      <family val="2"/>
    </font>
    <font>
      <sz val="10.5"/>
      <color theme="1"/>
      <name val="Arial"/>
      <family val="2"/>
    </font>
    <font>
      <sz val="10.5"/>
      <color theme="0"/>
      <name val="Arial"/>
      <family val="2"/>
    </font>
    <font>
      <b/>
      <sz val="10.5"/>
      <name val="Helvetica"/>
      <family val="2"/>
    </font>
    <font>
      <sz val="20"/>
      <name val="Arial"/>
      <family val="2"/>
    </font>
    <font>
      <sz val="10"/>
      <name val="MS Sans Serif"/>
    </font>
    <font>
      <sz val="10.5"/>
      <color theme="0" tint="-0.14999847407452621"/>
      <name val="Arial"/>
      <family val="2"/>
    </font>
    <font>
      <u/>
      <sz val="10.5"/>
      <color theme="10"/>
      <name val="Arial"/>
      <family val="2"/>
    </font>
    <font>
      <b/>
      <sz val="10"/>
      <color rgb="FFFF0000"/>
      <name val="Arial"/>
      <family val="2"/>
    </font>
    <font>
      <sz val="24"/>
      <name val="Arial"/>
      <family val="2"/>
    </font>
    <font>
      <sz val="11"/>
      <name val="Calibri"/>
      <family val="2"/>
      <scheme val="minor"/>
    </font>
    <font>
      <b/>
      <sz val="11"/>
      <color indexed="8"/>
      <name val="Arial"/>
      <family val="2"/>
    </font>
    <font>
      <b/>
      <sz val="11"/>
      <color indexed="9"/>
      <name val="Calibri"/>
      <family val="2"/>
    </font>
    <font>
      <sz val="11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.5"/>
      <color theme="0" tint="-0.249977111117893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u/>
      <sz val="10"/>
      <color theme="10"/>
      <name val="MS Sans Serif"/>
    </font>
    <font>
      <u/>
      <sz val="11"/>
      <color theme="1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20"/>
      <color rgb="FF002554"/>
      <name val="Arial"/>
      <family val="2"/>
    </font>
    <font>
      <b/>
      <sz val="14"/>
      <color rgb="FF002554"/>
      <name val="Arial"/>
      <family val="2"/>
    </font>
    <font>
      <b/>
      <sz val="12"/>
      <color rgb="FF002554"/>
      <name val="Arial"/>
      <family val="2"/>
    </font>
    <font>
      <u/>
      <sz val="11"/>
      <name val="Arial"/>
      <family val="2"/>
    </font>
    <font>
      <sz val="8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11"/>
      <color theme="9" tint="-0.249977111117893"/>
      <name val="Arial"/>
      <family val="2"/>
    </font>
    <font>
      <sz val="11"/>
      <color theme="0" tint="-0.24994659260841701"/>
      <name val="Arial"/>
      <family val="2"/>
    </font>
    <font>
      <sz val="11"/>
      <color theme="0"/>
      <name val="Arial"/>
      <family val="2"/>
    </font>
    <font>
      <sz val="11"/>
      <color theme="8" tint="-0.249977111117893"/>
      <name val="Arial"/>
      <family val="2"/>
    </font>
    <font>
      <sz val="11"/>
      <color indexed="10"/>
      <name val="Arial"/>
      <family val="2"/>
    </font>
    <font>
      <sz val="11"/>
      <color indexed="14"/>
      <name val="Arial"/>
      <family val="2"/>
    </font>
    <font>
      <sz val="11"/>
      <color indexed="8"/>
      <name val="Arial"/>
      <family val="2"/>
    </font>
    <font>
      <sz val="11"/>
      <name val="Helvetica"/>
      <family val="2"/>
    </font>
    <font>
      <sz val="11"/>
      <color theme="0" tint="-0.249977111117893"/>
      <name val="Arial"/>
      <family val="2"/>
    </font>
    <font>
      <b/>
      <sz val="11"/>
      <name val="Helvetica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  <font>
      <sz val="11"/>
      <color theme="8" tint="0.79998168889431442"/>
      <name val="Arial"/>
      <family val="2"/>
    </font>
    <font>
      <b/>
      <sz val="11"/>
      <color rgb="FF002554"/>
      <name val="Arial"/>
      <family val="2"/>
    </font>
    <font>
      <sz val="11"/>
      <color theme="0" tint="-0.14999847407452621"/>
      <name val="Arial"/>
      <family val="2"/>
    </font>
    <font>
      <b/>
      <sz val="11"/>
      <color theme="0" tint="-0.14999847407452621"/>
      <name val="Arial"/>
      <family val="2"/>
    </font>
    <font>
      <b/>
      <sz val="10.5"/>
      <color rgb="FF002554"/>
      <name val="Arial"/>
      <family val="2"/>
    </font>
    <font>
      <sz val="5"/>
      <name val="Arial"/>
      <family val="2"/>
    </font>
    <font>
      <sz val="10"/>
      <color theme="0"/>
      <name val="Arial"/>
      <family val="2"/>
    </font>
    <font>
      <b/>
      <u/>
      <sz val="11"/>
      <name val="Arial"/>
      <family val="2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</fills>
  <borders count="63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 style="thin">
        <color rgb="FFFFC000"/>
      </right>
      <top/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/>
      <top style="thin">
        <color rgb="FFFFC000"/>
      </top>
      <bottom/>
      <diagonal/>
    </border>
    <border>
      <left/>
      <right/>
      <top style="thin">
        <color rgb="FFFFC000"/>
      </top>
      <bottom/>
      <diagonal/>
    </border>
    <border>
      <left style="thin">
        <color rgb="FFFFC000"/>
      </left>
      <right/>
      <top/>
      <bottom/>
      <diagonal/>
    </border>
    <border>
      <left/>
      <right/>
      <top style="thin">
        <color rgb="FFFF9900"/>
      </top>
      <bottom/>
      <diagonal/>
    </border>
    <border>
      <left/>
      <right style="thin">
        <color rgb="FFFF9900"/>
      </right>
      <top/>
      <bottom/>
      <diagonal/>
    </border>
    <border>
      <left style="thin">
        <color rgb="FFFF990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FF9900"/>
      </left>
      <right/>
      <top style="thin">
        <color rgb="FFFF9900"/>
      </top>
      <bottom/>
      <diagonal/>
    </border>
    <border>
      <left/>
      <right style="thin">
        <color rgb="FFFF9900"/>
      </right>
      <top style="thin">
        <color rgb="FFFF9900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auto="1"/>
      </left>
      <right style="thin">
        <color theme="0" tint="-0.1499679555650502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/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medium">
        <color indexed="64"/>
      </bottom>
      <diagonal/>
    </border>
    <border>
      <left style="thin">
        <color theme="0" tint="-0.14996795556505021"/>
      </left>
      <right/>
      <top/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hair">
        <color indexed="64"/>
      </left>
      <right/>
      <top/>
      <bottom style="thin">
        <color theme="0" tint="-0.14996795556505021"/>
      </bottom>
      <diagonal/>
    </border>
    <border>
      <left style="hair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FF9900"/>
      </left>
      <right/>
      <top/>
      <bottom style="thin">
        <color rgb="FFFF9900"/>
      </bottom>
      <diagonal/>
    </border>
    <border>
      <left/>
      <right/>
      <top/>
      <bottom style="thin">
        <color rgb="FFFF9900"/>
      </bottom>
      <diagonal/>
    </border>
    <border>
      <left/>
      <right style="thin">
        <color rgb="FFFF9900"/>
      </right>
      <top/>
      <bottom style="thin">
        <color rgb="FFFF9900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/>
      <bottom/>
      <diagonal/>
    </border>
    <border>
      <left style="thin">
        <color theme="0" tint="-0.14996795556505021"/>
      </left>
      <right style="hair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 style="hair">
        <color auto="1"/>
      </left>
      <right style="thin">
        <color theme="0" tint="-0.14996795556505021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thin">
        <color theme="0" tint="-0.14996795556505021"/>
      </right>
      <top/>
      <bottom style="hair">
        <color auto="1"/>
      </bottom>
      <diagonal/>
    </border>
    <border>
      <left style="double">
        <color auto="1"/>
      </left>
      <right style="thin">
        <color theme="0" tint="-0.14996795556505021"/>
      </right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auto="1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auto="1"/>
      </right>
      <top style="double">
        <color indexed="64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theme="0" tint="-0.14996795556505021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double">
        <color indexed="64"/>
      </top>
      <bottom style="thin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medium">
        <color auto="1"/>
      </bottom>
      <diagonal/>
    </border>
    <border>
      <left style="hair">
        <color auto="1"/>
      </left>
      <right style="thin">
        <color theme="0" tint="-0.14996795556505021"/>
      </right>
      <top/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 style="hair">
        <color indexed="64"/>
      </right>
      <top/>
      <bottom style="thin">
        <color auto="1"/>
      </bottom>
      <diagonal/>
    </border>
    <border>
      <left/>
      <right style="thin">
        <color theme="0" tint="-0.1499679555650502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theme="0" tint="-0.14996795556505021"/>
      </right>
      <top style="hair">
        <color auto="1"/>
      </top>
      <bottom style="thin">
        <color theme="0" tint="-0.14996795556505021"/>
      </bottom>
      <diagonal/>
    </border>
    <border>
      <left/>
      <right/>
      <top style="hair">
        <color indexed="64"/>
      </top>
      <bottom style="thin">
        <color theme="0" tint="-0.14996795556505021"/>
      </bottom>
      <diagonal/>
    </border>
    <border>
      <left/>
      <right/>
      <top style="double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hair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rgb="FFFF0000"/>
      </left>
      <right style="thin">
        <color rgb="FFFFC000"/>
      </right>
      <top/>
      <bottom/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hair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hair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9847407452621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/>
      <right style="thin">
        <color theme="0" tint="-0.14996795556505021"/>
      </right>
      <top style="hair">
        <color indexed="64"/>
      </top>
      <bottom/>
      <diagonal/>
    </border>
    <border>
      <left/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hair">
        <color theme="1"/>
      </right>
      <top style="hair">
        <color indexed="64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 style="double">
        <color indexed="64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 style="thin">
        <color auto="1"/>
      </bottom>
      <diagonal/>
    </border>
    <border>
      <left style="thin">
        <color auto="1"/>
      </left>
      <right style="hair">
        <color theme="1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theme="1"/>
      </right>
      <top/>
      <bottom/>
      <diagonal/>
    </border>
    <border>
      <left/>
      <right style="hair">
        <color theme="1"/>
      </right>
      <top style="hair">
        <color indexed="64"/>
      </top>
      <bottom style="thin">
        <color theme="0" tint="-0.14996795556505021"/>
      </bottom>
      <diagonal/>
    </border>
    <border>
      <left/>
      <right style="hair">
        <color theme="1"/>
      </right>
      <top/>
      <bottom style="thin">
        <color theme="0" tint="-0.14996795556505021"/>
      </bottom>
      <diagonal/>
    </border>
    <border>
      <left/>
      <right style="hair">
        <color theme="1"/>
      </right>
      <top style="double">
        <color indexed="64"/>
      </top>
      <bottom style="thin">
        <color theme="0" tint="-0.14996795556505021"/>
      </bottom>
      <diagonal/>
    </border>
    <border>
      <left/>
      <right style="hair">
        <color theme="1"/>
      </right>
      <top/>
      <bottom style="thin">
        <color auto="1"/>
      </bottom>
      <diagonal/>
    </border>
    <border>
      <left/>
      <right style="hair">
        <color theme="1"/>
      </right>
      <top/>
      <bottom style="medium">
        <color indexed="64"/>
      </bottom>
      <diagonal/>
    </border>
    <border>
      <left style="thin">
        <color theme="0" tint="-0.14999847407452621"/>
      </left>
      <right style="hair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 style="hair">
        <color indexed="64"/>
      </right>
      <top/>
      <bottom/>
      <diagonal/>
    </border>
    <border>
      <left style="thin">
        <color theme="0" tint="-0.14999847407452621"/>
      </left>
      <right style="hair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/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/>
      <bottom style="thin">
        <color rgb="FFFF0000"/>
      </bottom>
      <diagonal/>
    </border>
    <border>
      <left/>
      <right style="thin">
        <color rgb="FFFFC000"/>
      </right>
      <top style="thin">
        <color rgb="FFFF9900"/>
      </top>
      <bottom/>
      <diagonal/>
    </border>
    <border>
      <left/>
      <right style="thin">
        <color rgb="FFFFC000"/>
      </right>
      <top/>
      <bottom style="thin">
        <color rgb="FFFF9900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 style="hair">
        <color indexed="64"/>
      </bottom>
      <diagonal/>
    </border>
    <border>
      <left/>
      <right style="hair">
        <color indexed="64"/>
      </right>
      <top style="medium">
        <color auto="1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hair">
        <color indexed="64"/>
      </left>
      <right/>
      <top style="medium">
        <color auto="1"/>
      </top>
      <bottom/>
      <diagonal/>
    </border>
    <border>
      <left style="hair">
        <color indexed="64"/>
      </left>
      <right style="thin">
        <color indexed="64"/>
      </right>
      <top style="medium">
        <color auto="1"/>
      </top>
      <bottom/>
      <diagonal/>
    </border>
    <border>
      <left style="thin">
        <color auto="1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auto="1"/>
      </left>
      <right/>
      <top style="double">
        <color auto="1"/>
      </top>
      <bottom style="medium">
        <color auto="1"/>
      </bottom>
      <diagonal/>
    </border>
    <border>
      <left style="thin">
        <color indexed="64"/>
      </left>
      <right style="hair">
        <color indexed="64"/>
      </right>
      <top style="medium">
        <color auto="1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 style="thin">
        <color auto="1"/>
      </left>
      <right/>
      <top style="double">
        <color auto="1"/>
      </top>
      <bottom style="thick">
        <color auto="1"/>
      </bottom>
      <diagonal/>
    </border>
    <border>
      <left/>
      <right style="thin">
        <color auto="1"/>
      </right>
      <top style="double">
        <color auto="1"/>
      </top>
      <bottom style="thick">
        <color auto="1"/>
      </bottom>
      <diagonal/>
    </border>
    <border>
      <left style="hair">
        <color indexed="64"/>
      </left>
      <right/>
      <top style="double">
        <color auto="1"/>
      </top>
      <bottom style="thick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 style="double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hair">
        <color indexed="64"/>
      </bottom>
      <diagonal/>
    </border>
    <border>
      <left/>
      <right/>
      <top style="thin">
        <color theme="0" tint="-0.14996795556505021"/>
      </top>
      <bottom style="hair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thin">
        <color auto="1"/>
      </left>
      <right style="thin">
        <color theme="0" tint="-0.14999847407452621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hair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double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/>
      <diagonal/>
    </border>
    <border>
      <left style="hair">
        <color indexed="64"/>
      </left>
      <right/>
      <top style="thin">
        <color theme="0" tint="-0.14996795556505021"/>
      </top>
      <bottom/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double">
        <color auto="1"/>
      </right>
      <top style="thin">
        <color theme="0" tint="-0.14996795556505021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hair">
        <color indexed="64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double">
        <color auto="1"/>
      </right>
      <top/>
      <bottom style="thin">
        <color theme="0" tint="-0.14996795556505021"/>
      </bottom>
      <diagonal/>
    </border>
    <border>
      <left style="double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double">
        <color indexed="64"/>
      </top>
      <bottom/>
      <diagonal/>
    </border>
    <border>
      <left style="hair">
        <color auto="1"/>
      </left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theme="0" tint="-0.14996795556505021"/>
      </right>
      <top style="double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/>
      <right style="double">
        <color auto="1"/>
      </right>
      <top style="double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/>
      <right style="double">
        <color auto="1"/>
      </right>
      <top style="thin">
        <color theme="0" tint="-0.14996795556505021"/>
      </top>
      <bottom style="thin">
        <color auto="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theme="0" tint="-0.14996795556505021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/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thin">
        <color indexed="64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34998626667073579"/>
      </top>
      <bottom style="double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34998626667073579"/>
      </top>
      <bottom style="double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double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14996795556505021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double">
        <color indexed="64"/>
      </bottom>
      <diagonal/>
    </border>
    <border>
      <left/>
      <right style="hair">
        <color indexed="64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10"/>
      </left>
      <right/>
      <top/>
      <bottom style="thin">
        <color rgb="FFFF0000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/>
      <bottom/>
      <diagonal/>
    </border>
    <border>
      <left style="thin">
        <color rgb="FFFF0000"/>
      </left>
      <right style="thin">
        <color theme="0" tint="-0.34998626667073579"/>
      </right>
      <top/>
      <bottom/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auto="1"/>
      </left>
      <right style="hair">
        <color theme="1"/>
      </right>
      <top style="thin">
        <color indexed="64"/>
      </top>
      <bottom style="hair">
        <color indexed="64"/>
      </bottom>
      <diagonal/>
    </border>
    <border>
      <left style="thin">
        <color theme="0" tint="-0.1499984740745262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double">
        <color indexed="64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hair">
        <color auto="1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hair">
        <color auto="1"/>
      </bottom>
      <diagonal/>
    </border>
    <border>
      <left/>
      <right style="hair">
        <color auto="1"/>
      </right>
      <top style="thin">
        <color theme="0" tint="-0.14996795556505021"/>
      </top>
      <bottom style="hair">
        <color auto="1"/>
      </bottom>
      <diagonal/>
    </border>
    <border>
      <left style="hair">
        <color auto="1"/>
      </left>
      <right/>
      <top style="thin">
        <color theme="0" tint="-0.14996795556505021"/>
      </top>
      <bottom style="hair">
        <color auto="1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rgb="FFFF0000"/>
      </left>
      <right/>
      <top/>
      <bottom style="thin">
        <color rgb="FFFFC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10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auto="1"/>
      </left>
      <right style="thin">
        <color theme="0" tint="-0.14996795556505021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theme="0" tint="-0.1499679555650502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rgb="FFFFC000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indexed="64"/>
      </right>
      <top/>
      <bottom/>
      <diagonal/>
    </border>
    <border>
      <left style="hair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hair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10"/>
      </top>
      <bottom/>
      <diagonal/>
    </border>
    <border>
      <left/>
      <right style="thin">
        <color rgb="FFFF0000"/>
      </right>
      <top style="thin">
        <color indexed="10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hair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 tint="-0.14996795556505021"/>
      </right>
      <top style="thin">
        <color auto="1"/>
      </top>
      <bottom/>
      <diagonal/>
    </border>
    <border>
      <left style="hair">
        <color indexed="64"/>
      </left>
      <right style="thin">
        <color theme="0" tint="-0.14996795556505021"/>
      </right>
      <top style="thin">
        <color auto="1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theme="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 style="hair">
        <color theme="1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rgb="FFFFC000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0" tint="-0.14996795556505021"/>
      </left>
      <right/>
      <top style="thin">
        <color auto="1"/>
      </top>
      <bottom/>
      <diagonal/>
    </border>
    <border>
      <left style="thin">
        <color theme="0" tint="-0.14996795556505021"/>
      </left>
      <right/>
      <top/>
      <bottom style="hair">
        <color auto="1"/>
      </bottom>
      <diagonal/>
    </border>
    <border>
      <left style="thin">
        <color theme="0" tint="-0.14996795556505021"/>
      </left>
      <right/>
      <top style="double">
        <color indexed="64"/>
      </top>
      <bottom/>
      <diagonal/>
    </border>
    <border>
      <left style="thin">
        <color theme="0" tint="-0.14996795556505021"/>
      </left>
      <right/>
      <top style="thin">
        <color auto="1"/>
      </top>
      <bottom style="medium">
        <color indexed="64"/>
      </bottom>
      <diagonal/>
    </border>
    <border>
      <left style="thin">
        <color rgb="FFFFC000"/>
      </left>
      <right/>
      <top style="thin">
        <color rgb="FFFF0000"/>
      </top>
      <bottom/>
      <diagonal/>
    </border>
    <border>
      <left style="hair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rgb="FFFFC000"/>
      </left>
      <right style="thin">
        <color auto="1"/>
      </right>
      <top/>
      <bottom/>
      <diagonal/>
    </border>
    <border>
      <left style="thin">
        <color theme="0" tint="-0.34998626667073579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hair">
        <color indexed="64"/>
      </right>
      <top/>
      <bottom style="thin">
        <color theme="0" tint="-0.34998626667073579"/>
      </bottom>
      <diagonal/>
    </border>
    <border>
      <left style="hair">
        <color indexed="64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double">
        <color auto="1"/>
      </left>
      <right/>
      <top style="thin">
        <color theme="0" tint="-0.14996795556505021"/>
      </top>
      <bottom/>
      <diagonal/>
    </border>
    <border>
      <left style="double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/>
      <top/>
      <bottom style="thin">
        <color theme="0" tint="-0.1499679555650502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hair">
        <color indexed="64"/>
      </bottom>
      <diagonal/>
    </border>
    <border>
      <left style="double">
        <color auto="1"/>
      </left>
      <right/>
      <top style="double">
        <color indexed="64"/>
      </top>
      <bottom/>
      <diagonal/>
    </border>
    <border>
      <left style="double">
        <color auto="1"/>
      </left>
      <right/>
      <top style="thin">
        <color theme="0" tint="-0.1499679555650502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hair">
        <color auto="1"/>
      </right>
      <top/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auto="1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/>
      <diagonal/>
    </border>
    <border>
      <left style="thick">
        <color indexed="64"/>
      </left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/>
      <bottom style="thin">
        <color theme="0" tint="-0.14996795556505021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ck">
        <color indexed="64"/>
      </left>
      <right/>
      <top style="dotted">
        <color indexed="64"/>
      </top>
      <bottom/>
      <diagonal/>
    </border>
    <border>
      <left/>
      <right style="thin">
        <color theme="0" tint="-0.14996795556505021"/>
      </right>
      <top style="dotted">
        <color indexed="64"/>
      </top>
      <bottom style="thin">
        <color theme="0" tint="-0.14996795556505021"/>
      </bottom>
      <diagonal/>
    </border>
    <border>
      <left/>
      <right/>
      <top style="dotted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dotted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dotted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dotted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ck">
        <color indexed="64"/>
      </right>
      <top/>
      <bottom/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/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dotted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dotted">
        <color indexed="64"/>
      </bottom>
      <diagonal/>
    </border>
    <border>
      <left/>
      <right/>
      <top style="thin">
        <color theme="0" tint="-0.14996795556505021"/>
      </top>
      <bottom style="dott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dotted">
        <color indexed="64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dott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dott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dott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ck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ck">
        <color indexed="64"/>
      </right>
      <top/>
      <bottom style="thin">
        <color auto="1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ck">
        <color indexed="64"/>
      </top>
      <bottom/>
      <diagonal/>
    </border>
    <border>
      <left style="thin">
        <color theme="0" tint="-0.14996795556505021"/>
      </left>
      <right style="thick">
        <color indexed="64"/>
      </right>
      <top style="medium">
        <color indexed="64"/>
      </top>
      <bottom/>
      <diagonal/>
    </border>
    <border>
      <left style="thin">
        <color theme="0" tint="-0.14996795556505021"/>
      </left>
      <right/>
      <top style="medium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n">
        <color theme="0" tint="-0.14996795556505021"/>
      </left>
      <right style="thick">
        <color indexed="64"/>
      </right>
      <top/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theme="0" tint="-0.14996795556505021"/>
      </left>
      <right style="thick">
        <color indexed="64"/>
      </right>
      <top/>
      <bottom style="double">
        <color indexed="64"/>
      </bottom>
      <diagonal/>
    </border>
    <border>
      <left style="thin">
        <color theme="0" tint="-0.14996795556505021"/>
      </left>
      <right/>
      <top/>
      <bottom style="double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dotted">
        <color indexed="64"/>
      </top>
      <bottom style="thin">
        <color theme="0" tint="-0.249977111117893"/>
      </bottom>
      <diagonal/>
    </border>
    <border>
      <left style="thin">
        <color theme="0" tint="-0.14996795556505021"/>
      </left>
      <right/>
      <top style="dotted">
        <color indexed="64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dotted">
        <color indexed="64"/>
      </top>
      <bottom style="thin">
        <color theme="0" tint="-0.249977111117893"/>
      </bottom>
      <diagonal/>
    </border>
    <border>
      <left style="thin">
        <color theme="0" tint="-0.14996795556505021"/>
      </left>
      <right style="thick">
        <color indexed="64"/>
      </right>
      <top/>
      <bottom style="dotted">
        <color indexed="64"/>
      </bottom>
      <diagonal/>
    </border>
    <border>
      <left style="thin">
        <color theme="0" tint="-0.14996795556505021"/>
      </left>
      <right/>
      <top/>
      <bottom style="dott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dott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ck">
        <color indexed="64"/>
      </right>
      <top/>
      <bottom style="dashed">
        <color indexed="64"/>
      </bottom>
      <diagonal/>
    </border>
    <border>
      <left style="thin">
        <color theme="0" tint="-0.14996795556505021"/>
      </left>
      <right/>
      <top/>
      <bottom style="dashed">
        <color indexed="64"/>
      </bottom>
      <diagonal/>
    </border>
    <border>
      <left style="thick">
        <color indexed="64"/>
      </left>
      <right/>
      <top/>
      <bottom style="dash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dash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ck">
        <color indexed="64"/>
      </right>
      <top style="thin">
        <color auto="1"/>
      </top>
      <bottom style="thin">
        <color theme="0" tint="-0.249977111117893"/>
      </bottom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auto="1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ck">
        <color indexed="64"/>
      </right>
      <top/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hair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14996795556505021"/>
      </top>
      <bottom style="dashed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dashed">
        <color indexed="64"/>
      </bottom>
      <diagonal/>
    </border>
    <border>
      <left/>
      <right/>
      <top style="thin">
        <color theme="0" tint="-0.14996795556505021"/>
      </top>
      <bottom style="dashed">
        <color indexed="64"/>
      </bottom>
      <diagonal/>
    </border>
    <border>
      <left style="thin">
        <color theme="0" tint="-0.14996795556505021"/>
      </left>
      <right style="thick">
        <color indexed="64"/>
      </right>
      <top style="thin">
        <color theme="0" tint="-0.24994659260841701"/>
      </top>
      <bottom style="dashed">
        <color indexed="64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dash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dashed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hair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hair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hair">
        <color auto="1"/>
      </right>
      <top style="double">
        <color indexed="64"/>
      </top>
      <bottom style="thin">
        <color theme="0" tint="-0.14996795556505021"/>
      </bottom>
      <diagonal/>
    </border>
    <border>
      <left style="hair">
        <color auto="1"/>
      </left>
      <right style="thin">
        <color auto="1"/>
      </right>
      <top style="double">
        <color indexed="64"/>
      </top>
      <bottom style="thin">
        <color theme="0" tint="-0.14996795556505021"/>
      </bottom>
      <diagonal/>
    </border>
    <border>
      <left style="hair">
        <color auto="1"/>
      </left>
      <right style="thin">
        <color auto="1"/>
      </right>
      <top style="hair">
        <color indexed="64"/>
      </top>
      <bottom style="thin">
        <color theme="0" tint="-0.1499679555650502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theme="0" tint="-0.14996795556505021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indexed="64"/>
      </top>
      <bottom style="thin">
        <color theme="0" tint="-0.14996795556505021"/>
      </bottom>
      <diagonal/>
    </border>
    <border>
      <left style="hair">
        <color indexed="64"/>
      </left>
      <right style="thin">
        <color indexed="64"/>
      </right>
      <top style="thin">
        <color theme="0" tint="-0.1499984740745262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theme="0" tint="-0.1499984740745262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/>
      <right style="double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hair">
        <color indexed="64"/>
      </right>
      <top style="thin">
        <color theme="0" tint="-0.14996795556505021"/>
      </top>
      <bottom style="double">
        <color indexed="64"/>
      </bottom>
      <diagonal/>
    </border>
    <border>
      <left style="double">
        <color indexed="64"/>
      </left>
      <right/>
      <top style="thin">
        <color theme="0" tint="-0.14996795556505021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double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medium">
        <color indexed="64"/>
      </bottom>
      <diagonal/>
    </border>
    <border>
      <left style="double">
        <color auto="1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ashed">
        <color auto="1"/>
      </bottom>
      <diagonal/>
    </border>
    <border>
      <left style="double">
        <color auto="1"/>
      </left>
      <right/>
      <top style="hair">
        <color indexed="64"/>
      </top>
      <bottom style="dashed">
        <color auto="1"/>
      </bottom>
      <diagonal/>
    </border>
    <border>
      <left/>
      <right style="double">
        <color indexed="64"/>
      </right>
      <top style="hair">
        <color indexed="64"/>
      </top>
      <bottom style="dashed">
        <color auto="1"/>
      </bottom>
      <diagonal/>
    </border>
    <border>
      <left style="thin">
        <color indexed="64"/>
      </left>
      <right/>
      <top style="hair">
        <color indexed="64"/>
      </top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ouble">
        <color indexed="64"/>
      </right>
      <top style="hair">
        <color indexed="64"/>
      </top>
      <bottom style="thin">
        <color theme="0" tint="-0.14996795556505021"/>
      </bottom>
      <diagonal/>
    </border>
    <border>
      <left style="double">
        <color auto="1"/>
      </left>
      <right/>
      <top style="thin">
        <color theme="0" tint="-0.14996795556505021"/>
      </top>
      <bottom style="hair">
        <color indexed="64"/>
      </bottom>
      <diagonal/>
    </border>
    <border>
      <left/>
      <right style="double">
        <color indexed="64"/>
      </right>
      <top style="thin">
        <color theme="0" tint="-0.14996795556505021"/>
      </top>
      <bottom style="hair">
        <color indexed="64"/>
      </bottom>
      <diagonal/>
    </border>
    <border>
      <left style="double">
        <color auto="1"/>
      </left>
      <right/>
      <top style="thin">
        <color theme="0" tint="-0.14996795556505021"/>
      </top>
      <bottom style="dashed">
        <color indexed="64"/>
      </bottom>
      <diagonal/>
    </border>
    <border>
      <left/>
      <right style="double">
        <color indexed="64"/>
      </right>
      <top style="thin">
        <color theme="0" tint="-0.14996795556505021"/>
      </top>
      <bottom style="dashed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dashed">
        <color indexed="64"/>
      </bottom>
      <diagonal/>
    </border>
    <border>
      <left/>
      <right style="double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/>
      <top style="dashed">
        <color indexed="64"/>
      </top>
      <bottom style="hair">
        <color indexed="64"/>
      </bottom>
      <diagonal/>
    </border>
    <border>
      <left style="double">
        <color auto="1"/>
      </left>
      <right/>
      <top style="dashed">
        <color indexed="64"/>
      </top>
      <bottom style="hair">
        <color indexed="64"/>
      </bottom>
      <diagonal/>
    </border>
    <border>
      <left style="double">
        <color auto="1"/>
      </left>
      <right/>
      <top style="hair">
        <color indexed="64"/>
      </top>
      <bottom style="thin">
        <color theme="0" tint="-0.14996795556505021"/>
      </bottom>
      <diagonal/>
    </border>
    <border>
      <left style="double">
        <color auto="1"/>
      </left>
      <right/>
      <top style="thin">
        <color auto="1"/>
      </top>
      <bottom style="thin">
        <color theme="0" tint="-0.14996795556505021"/>
      </bottom>
      <diagonal/>
    </border>
    <border>
      <left style="double">
        <color auto="1"/>
      </left>
      <right/>
      <top/>
      <bottom style="dashed">
        <color auto="1"/>
      </bottom>
      <diagonal/>
    </border>
    <border>
      <left/>
      <right/>
      <top style="dashed">
        <color indexed="64"/>
      </top>
      <bottom style="thin">
        <color theme="0" tint="-0.14996795556505021"/>
      </bottom>
      <diagonal/>
    </border>
    <border>
      <left style="double">
        <color auto="1"/>
      </left>
      <right/>
      <top style="dashed">
        <color indexed="64"/>
      </top>
      <bottom style="thin">
        <color theme="0" tint="-0.14996795556505021"/>
      </bottom>
      <diagonal/>
    </border>
    <border>
      <left style="double">
        <color auto="1"/>
      </left>
      <right/>
      <top style="hair">
        <color indexed="64"/>
      </top>
      <bottom/>
      <diagonal/>
    </border>
    <border>
      <left style="double">
        <color auto="1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rgb="FFFF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indexed="64"/>
      </left>
      <right style="thin">
        <color theme="0" tint="-0.1499679555650502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dotted">
        <color indexed="64"/>
      </bottom>
      <diagonal/>
    </border>
    <border>
      <left style="thin">
        <color indexed="64"/>
      </left>
      <right style="thin">
        <color theme="0" tint="-0.14996795556505021"/>
      </right>
      <top style="dotted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dashed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 style="hair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auto="1"/>
      </top>
      <bottom/>
      <diagonal/>
    </border>
    <border>
      <left style="thin">
        <color indexed="64"/>
      </left>
      <right style="thin">
        <color theme="0" tint="-0.14996795556505021"/>
      </right>
      <top/>
      <bottom style="dashed">
        <color indexed="64"/>
      </bottom>
      <diagonal/>
    </border>
    <border>
      <left style="thin">
        <color indexed="64"/>
      </left>
      <right style="thin">
        <color theme="0" tint="-0.14996795556505021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 style="dott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theme="0" tint="-0.14999847407452621"/>
      </bottom>
      <diagonal/>
    </border>
  </borders>
  <cellStyleXfs count="99">
    <xf numFmtId="168" fontId="0" fillId="0" borderId="0"/>
    <xf numFmtId="168" fontId="19" fillId="0" borderId="0"/>
    <xf numFmtId="168" fontId="20" fillId="0" borderId="0"/>
    <xf numFmtId="168" fontId="19" fillId="0" borderId="0"/>
    <xf numFmtId="168" fontId="20" fillId="0" borderId="0"/>
    <xf numFmtId="9" fontId="18" fillId="0" borderId="0" applyFont="0" applyFill="0" applyBorder="0" applyAlignment="0" applyProtection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168" fontId="30" fillId="0" borderId="0" applyNumberFormat="0" applyFill="0" applyBorder="0" applyAlignment="0" applyProtection="0">
      <alignment vertical="top"/>
      <protection locked="0"/>
    </xf>
    <xf numFmtId="9" fontId="29" fillId="0" borderId="0" applyFont="0" applyFill="0" applyBorder="0" applyAlignment="0" applyProtection="0"/>
    <xf numFmtId="168" fontId="28" fillId="0" borderId="0"/>
    <xf numFmtId="168" fontId="31" fillId="0" borderId="0"/>
    <xf numFmtId="168" fontId="18" fillId="0" borderId="0"/>
    <xf numFmtId="168" fontId="18" fillId="0" borderId="0"/>
    <xf numFmtId="0" fontId="35" fillId="0" borderId="0"/>
    <xf numFmtId="170" fontId="35" fillId="0" borderId="0" applyFill="0" applyBorder="0" applyAlignment="0" applyProtection="0"/>
    <xf numFmtId="0" fontId="36" fillId="0" borderId="0"/>
    <xf numFmtId="168" fontId="39" fillId="0" borderId="0" applyNumberFormat="0" applyFill="0" applyBorder="0" applyAlignment="0" applyProtection="0"/>
    <xf numFmtId="0" fontId="48" fillId="0" borderId="0"/>
    <xf numFmtId="168" fontId="19" fillId="0" borderId="0"/>
    <xf numFmtId="0" fontId="18" fillId="0" borderId="0"/>
    <xf numFmtId="0" fontId="19" fillId="0" borderId="0"/>
    <xf numFmtId="0" fontId="16" fillId="0" borderId="0"/>
    <xf numFmtId="0" fontId="64" fillId="0" borderId="0" applyNumberFormat="0" applyFill="0" applyBorder="0" applyAlignment="0" applyProtection="0"/>
    <xf numFmtId="168" fontId="18" fillId="0" borderId="0"/>
    <xf numFmtId="9" fontId="18" fillId="0" borderId="0" applyFont="0" applyFill="0" applyBorder="0" applyAlignment="0" applyProtection="0"/>
    <xf numFmtId="168" fontId="18" fillId="0" borderId="0"/>
    <xf numFmtId="0" fontId="18" fillId="0" borderId="0"/>
    <xf numFmtId="168" fontId="18" fillId="0" borderId="0"/>
    <xf numFmtId="0" fontId="48" fillId="0" borderId="0"/>
    <xf numFmtId="0" fontId="66" fillId="0" borderId="0" applyNumberFormat="0" applyFill="0" applyBorder="0" applyAlignment="0" applyProtection="0"/>
    <xf numFmtId="0" fontId="15" fillId="0" borderId="0"/>
    <xf numFmtId="0" fontId="35" fillId="0" borderId="0"/>
    <xf numFmtId="0" fontId="18" fillId="0" borderId="0"/>
    <xf numFmtId="0" fontId="14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5" borderId="0" applyNumberFormat="0" applyBorder="0" applyAlignment="0" applyProtection="0"/>
    <xf numFmtId="0" fontId="35" fillId="37" borderId="0" applyNumberFormat="0" applyBorder="0" applyAlignment="0" applyProtection="0"/>
    <xf numFmtId="0" fontId="35" fillId="34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37" borderId="0" applyNumberFormat="0" applyBorder="0" applyAlignment="0" applyProtection="0"/>
    <xf numFmtId="0" fontId="35" fillId="35" borderId="0" applyNumberFormat="0" applyBorder="0" applyAlignment="0" applyProtection="0"/>
    <xf numFmtId="0" fontId="58" fillId="37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39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45" borderId="0" applyNumberFormat="0" applyBorder="0" applyAlignment="0" applyProtection="0"/>
    <xf numFmtId="0" fontId="70" fillId="46" borderId="0" applyNumberFormat="0" applyBorder="0" applyAlignment="0" applyProtection="0"/>
    <xf numFmtId="0" fontId="71" fillId="47" borderId="326" applyNumberFormat="0" applyAlignment="0" applyProtection="0"/>
    <xf numFmtId="0" fontId="55" fillId="48" borderId="327" applyNumberFormat="0" applyAlignment="0" applyProtection="0"/>
    <xf numFmtId="0" fontId="72" fillId="0" borderId="0" applyNumberFormat="0" applyFill="0" applyBorder="0" applyAlignment="0" applyProtection="0"/>
    <xf numFmtId="0" fontId="73" fillId="37" borderId="0" applyNumberFormat="0" applyBorder="0" applyAlignment="0" applyProtection="0"/>
    <xf numFmtId="0" fontId="74" fillId="0" borderId="328" applyNumberFormat="0" applyFill="0" applyAlignment="0" applyProtection="0"/>
    <xf numFmtId="0" fontId="75" fillId="0" borderId="329" applyNumberFormat="0" applyFill="0" applyAlignment="0" applyProtection="0"/>
    <xf numFmtId="0" fontId="76" fillId="0" borderId="330" applyNumberFormat="0" applyFill="0" applyAlignment="0" applyProtection="0"/>
    <xf numFmtId="0" fontId="76" fillId="0" borderId="0" applyNumberFormat="0" applyFill="0" applyBorder="0" applyAlignment="0" applyProtection="0"/>
    <xf numFmtId="0" fontId="77" fillId="38" borderId="326" applyNumberFormat="0" applyAlignment="0" applyProtection="0"/>
    <xf numFmtId="0" fontId="78" fillId="0" borderId="331" applyNumberFormat="0" applyFill="0" applyAlignment="0" applyProtection="0"/>
    <xf numFmtId="0" fontId="79" fillId="38" borderId="0" applyNumberFormat="0" applyBorder="0" applyAlignment="0" applyProtection="0"/>
    <xf numFmtId="0" fontId="20" fillId="35" borderId="332" applyNumberFormat="0" applyFont="0" applyAlignment="0" applyProtection="0"/>
    <xf numFmtId="0" fontId="80" fillId="47" borderId="333" applyNumberFormat="0" applyAlignment="0" applyProtection="0"/>
    <xf numFmtId="0" fontId="81" fillId="0" borderId="0" applyNumberFormat="0" applyFill="0" applyBorder="0" applyAlignment="0" applyProtection="0"/>
    <xf numFmtId="0" fontId="57" fillId="0" borderId="334" applyNumberFormat="0" applyFill="0" applyAlignment="0" applyProtection="0"/>
    <xf numFmtId="0" fontId="78" fillId="0" borderId="0" applyNumberFormat="0" applyFill="0" applyBorder="0" applyAlignment="0" applyProtection="0"/>
    <xf numFmtId="0" fontId="12" fillId="0" borderId="0"/>
    <xf numFmtId="0" fontId="18" fillId="0" borderId="0"/>
    <xf numFmtId="0" fontId="38" fillId="0" borderId="0"/>
    <xf numFmtId="0" fontId="82" fillId="0" borderId="0">
      <alignment vertical="center"/>
    </xf>
    <xf numFmtId="0" fontId="83" fillId="0" borderId="0">
      <alignment vertical="center"/>
    </xf>
    <xf numFmtId="0" fontId="84" fillId="0" borderId="0">
      <alignment vertical="center"/>
    </xf>
    <xf numFmtId="0" fontId="18" fillId="0" borderId="0"/>
    <xf numFmtId="0" fontId="85" fillId="0" borderId="0">
      <alignment vertical="center" wrapText="1"/>
    </xf>
    <xf numFmtId="0" fontId="9" fillId="0" borderId="0"/>
    <xf numFmtId="0" fontId="5" fillId="0" borderId="0"/>
    <xf numFmtId="9" fontId="5" fillId="0" borderId="0" applyFont="0" applyFill="0" applyBorder="0" applyAlignment="0" applyProtection="0"/>
    <xf numFmtId="168" fontId="39" fillId="0" borderId="0" applyNumberFormat="0" applyFill="0" applyBorder="0" applyAlignment="0" applyProtection="0"/>
    <xf numFmtId="0" fontId="20" fillId="0" borderId="0"/>
    <xf numFmtId="0" fontId="20" fillId="0" borderId="0"/>
    <xf numFmtId="168" fontId="20" fillId="0" borderId="0"/>
    <xf numFmtId="0" fontId="18" fillId="0" borderId="0"/>
    <xf numFmtId="0" fontId="18" fillId="0" borderId="0"/>
    <xf numFmtId="168" fontId="18" fillId="0" borderId="0"/>
  </cellStyleXfs>
  <cellXfs count="3533">
    <xf numFmtId="168" fontId="0" fillId="0" borderId="0" xfId="0"/>
    <xf numFmtId="168" fontId="21" fillId="0" borderId="0" xfId="3" applyFont="1"/>
    <xf numFmtId="3" fontId="22" fillId="0" borderId="0" xfId="0" applyNumberFormat="1" applyFont="1"/>
    <xf numFmtId="3" fontId="0" fillId="0" borderId="0" xfId="0" applyNumberFormat="1"/>
    <xf numFmtId="3" fontId="23" fillId="0" borderId="0" xfId="4" quotePrefix="1" applyNumberFormat="1" applyFont="1"/>
    <xf numFmtId="3" fontId="21" fillId="0" borderId="0" xfId="0" applyNumberFormat="1" applyFont="1"/>
    <xf numFmtId="168" fontId="17" fillId="0" borderId="0" xfId="0" applyFont="1"/>
    <xf numFmtId="3" fontId="18" fillId="0" borderId="0" xfId="0" applyNumberFormat="1" applyFont="1"/>
    <xf numFmtId="3" fontId="18" fillId="0" borderId="0" xfId="0" applyNumberFormat="1" applyFont="1" applyAlignment="1">
      <alignment wrapText="1"/>
    </xf>
    <xf numFmtId="168" fontId="28" fillId="0" borderId="0" xfId="0" applyFont="1"/>
    <xf numFmtId="3" fontId="0" fillId="0" borderId="0" xfId="0" applyNumberFormat="1" applyAlignment="1">
      <alignment horizontal="right"/>
    </xf>
    <xf numFmtId="168" fontId="18" fillId="0" borderId="0" xfId="0" applyFont="1"/>
    <xf numFmtId="3" fontId="18" fillId="0" borderId="6" xfId="0" applyNumberFormat="1" applyFont="1" applyBorder="1" applyAlignment="1">
      <alignment horizontal="right"/>
    </xf>
    <xf numFmtId="3" fontId="18" fillId="0" borderId="0" xfId="0" applyNumberFormat="1" applyFont="1" applyAlignment="1">
      <alignment horizontal="right"/>
    </xf>
    <xf numFmtId="3" fontId="17" fillId="0" borderId="0" xfId="0" applyNumberFormat="1" applyFont="1"/>
    <xf numFmtId="168" fontId="0" fillId="0" borderId="24" xfId="0" applyBorder="1"/>
    <xf numFmtId="168" fontId="0" fillId="0" borderId="19" xfId="0" applyBorder="1"/>
    <xf numFmtId="168" fontId="0" fillId="0" borderId="22" xfId="0" applyBorder="1"/>
    <xf numFmtId="3" fontId="18" fillId="0" borderId="19" xfId="0" applyNumberFormat="1" applyFont="1" applyBorder="1" applyAlignment="1">
      <alignment horizontal="left"/>
    </xf>
    <xf numFmtId="3" fontId="18" fillId="0" borderId="18" xfId="0" applyNumberFormat="1" applyFont="1" applyBorder="1"/>
    <xf numFmtId="3" fontId="18" fillId="0" borderId="21" xfId="0" applyNumberFormat="1" applyFont="1" applyBorder="1" applyAlignment="1">
      <alignment horizontal="right"/>
    </xf>
    <xf numFmtId="3" fontId="18" fillId="0" borderId="19" xfId="0" applyNumberFormat="1" applyFont="1" applyBorder="1"/>
    <xf numFmtId="3" fontId="18" fillId="0" borderId="21" xfId="0" applyNumberFormat="1" applyFont="1" applyBorder="1" applyAlignment="1">
      <alignment horizontal="left"/>
    </xf>
    <xf numFmtId="168" fontId="0" fillId="0" borderId="18" xfId="0" applyBorder="1"/>
    <xf numFmtId="168" fontId="18" fillId="0" borderId="21" xfId="0" applyFont="1" applyBorder="1"/>
    <xf numFmtId="168" fontId="0" fillId="0" borderId="25" xfId="0" applyBorder="1"/>
    <xf numFmtId="168" fontId="18" fillId="0" borderId="24" xfId="0" applyFont="1" applyBorder="1"/>
    <xf numFmtId="3" fontId="18" fillId="0" borderId="22" xfId="0" applyNumberFormat="1" applyFont="1" applyBorder="1"/>
    <xf numFmtId="3" fontId="18" fillId="0" borderId="28" xfId="0" applyNumberFormat="1" applyFont="1" applyBorder="1"/>
    <xf numFmtId="3" fontId="18" fillId="0" borderId="0" xfId="0" applyNumberFormat="1" applyFont="1" applyAlignment="1">
      <alignment horizontal="right" wrapText="1"/>
    </xf>
    <xf numFmtId="3" fontId="18" fillId="0" borderId="37" xfId="0" applyNumberFormat="1" applyFont="1" applyBorder="1" applyAlignment="1">
      <alignment horizontal="right"/>
    </xf>
    <xf numFmtId="168" fontId="0" fillId="0" borderId="43" xfId="0" applyBorder="1"/>
    <xf numFmtId="3" fontId="18" fillId="0" borderId="1" xfId="0" applyNumberFormat="1" applyFont="1" applyBorder="1"/>
    <xf numFmtId="3" fontId="17" fillId="0" borderId="2" xfId="0" applyNumberFormat="1" applyFont="1" applyBorder="1" applyAlignment="1">
      <alignment horizontal="left"/>
    </xf>
    <xf numFmtId="3" fontId="18" fillId="0" borderId="7" xfId="0" applyNumberFormat="1" applyFont="1" applyBorder="1"/>
    <xf numFmtId="3" fontId="18" fillId="0" borderId="41" xfId="0" applyNumberFormat="1" applyFont="1" applyBorder="1" applyAlignment="1">
      <alignment horizontal="right" wrapText="1"/>
    </xf>
    <xf numFmtId="3" fontId="17" fillId="0" borderId="1" xfId="0" applyNumberFormat="1" applyFont="1" applyBorder="1" applyAlignment="1">
      <alignment horizontal="left"/>
    </xf>
    <xf numFmtId="3" fontId="18" fillId="0" borderId="3" xfId="0" applyNumberFormat="1" applyFont="1" applyBorder="1"/>
    <xf numFmtId="3" fontId="18" fillId="0" borderId="47" xfId="0" applyNumberFormat="1" applyFont="1" applyBorder="1" applyAlignment="1">
      <alignment horizontal="right" wrapText="1"/>
    </xf>
    <xf numFmtId="168" fontId="32" fillId="0" borderId="0" xfId="0" applyFont="1"/>
    <xf numFmtId="1" fontId="0" fillId="0" borderId="0" xfId="0" applyNumberFormat="1"/>
    <xf numFmtId="4" fontId="0" fillId="0" borderId="0" xfId="0" applyNumberFormat="1"/>
    <xf numFmtId="168" fontId="18" fillId="0" borderId="42" xfId="0" applyFont="1" applyBorder="1"/>
    <xf numFmtId="3" fontId="0" fillId="0" borderId="42" xfId="0" applyNumberFormat="1" applyBorder="1"/>
    <xf numFmtId="4" fontId="18" fillId="0" borderId="52" xfId="0" applyNumberFormat="1" applyFont="1" applyBorder="1" applyAlignment="1">
      <alignment horizontal="right"/>
    </xf>
    <xf numFmtId="4" fontId="18" fillId="0" borderId="58" xfId="0" applyNumberFormat="1" applyFont="1" applyBorder="1" applyAlignment="1">
      <alignment horizontal="right"/>
    </xf>
    <xf numFmtId="4" fontId="18" fillId="0" borderId="59" xfId="0" applyNumberFormat="1" applyFont="1" applyBorder="1" applyAlignment="1">
      <alignment horizontal="right"/>
    </xf>
    <xf numFmtId="4" fontId="18" fillId="0" borderId="61" xfId="0" applyNumberFormat="1" applyFont="1" applyBorder="1" applyAlignment="1">
      <alignment horizontal="right"/>
    </xf>
    <xf numFmtId="4" fontId="18" fillId="0" borderId="62" xfId="0" applyNumberFormat="1" applyFont="1" applyBorder="1" applyAlignment="1">
      <alignment horizontal="right"/>
    </xf>
    <xf numFmtId="4" fontId="18" fillId="0" borderId="63" xfId="0" applyNumberFormat="1" applyFont="1" applyBorder="1" applyAlignment="1">
      <alignment horizontal="right"/>
    </xf>
    <xf numFmtId="4" fontId="18" fillId="0" borderId="65" xfId="0" applyNumberFormat="1" applyFont="1" applyBorder="1" applyAlignment="1">
      <alignment horizontal="right"/>
    </xf>
    <xf numFmtId="4" fontId="18" fillId="0" borderId="67" xfId="0" applyNumberFormat="1" applyFont="1" applyBorder="1" applyAlignment="1">
      <alignment horizontal="right"/>
    </xf>
    <xf numFmtId="3" fontId="18" fillId="0" borderId="42" xfId="0" applyNumberFormat="1" applyFont="1" applyBorder="1" applyAlignment="1">
      <alignment wrapText="1"/>
    </xf>
    <xf numFmtId="3" fontId="18" fillId="0" borderId="0" xfId="0" applyNumberFormat="1" applyFont="1" applyAlignment="1">
      <alignment horizontal="left"/>
    </xf>
    <xf numFmtId="168" fontId="18" fillId="0" borderId="37" xfId="0" applyFont="1" applyBorder="1"/>
    <xf numFmtId="3" fontId="17" fillId="0" borderId="41" xfId="0" applyNumberFormat="1" applyFont="1" applyBorder="1"/>
    <xf numFmtId="168" fontId="18" fillId="0" borderId="43" xfId="0" applyFont="1" applyBorder="1"/>
    <xf numFmtId="168" fontId="18" fillId="0" borderId="41" xfId="0" applyFont="1" applyBorder="1"/>
    <xf numFmtId="168" fontId="18" fillId="0" borderId="18" xfId="0" applyFont="1" applyBorder="1"/>
    <xf numFmtId="168" fontId="18" fillId="0" borderId="19" xfId="0" applyFont="1" applyBorder="1"/>
    <xf numFmtId="168" fontId="18" fillId="0" borderId="20" xfId="0" applyFont="1" applyBorder="1"/>
    <xf numFmtId="3" fontId="18" fillId="0" borderId="32" xfId="0" applyNumberFormat="1" applyFont="1" applyBorder="1"/>
    <xf numFmtId="3" fontId="18" fillId="0" borderId="33" xfId="0" applyNumberFormat="1" applyFont="1" applyBorder="1"/>
    <xf numFmtId="3" fontId="18" fillId="4" borderId="17" xfId="0" applyNumberFormat="1" applyFont="1" applyFill="1" applyBorder="1" applyAlignment="1">
      <alignment horizontal="right"/>
    </xf>
    <xf numFmtId="3" fontId="18" fillId="4" borderId="48" xfId="0" applyNumberFormat="1" applyFont="1" applyFill="1" applyBorder="1" applyAlignment="1">
      <alignment horizontal="right"/>
    </xf>
    <xf numFmtId="3" fontId="18" fillId="4" borderId="1" xfId="0" applyNumberFormat="1" applyFont="1" applyFill="1" applyBorder="1" applyAlignment="1">
      <alignment horizontal="right"/>
    </xf>
    <xf numFmtId="3" fontId="18" fillId="4" borderId="15" xfId="0" applyNumberFormat="1" applyFont="1" applyFill="1" applyBorder="1" applyAlignment="1">
      <alignment horizontal="right" wrapText="1"/>
    </xf>
    <xf numFmtId="3" fontId="18" fillId="4" borderId="0" xfId="0" applyNumberFormat="1" applyFont="1" applyFill="1" applyAlignment="1">
      <alignment horizontal="right" wrapText="1"/>
    </xf>
    <xf numFmtId="3" fontId="18" fillId="4" borderId="16" xfId="0" applyNumberFormat="1" applyFont="1" applyFill="1" applyBorder="1" applyAlignment="1">
      <alignment horizontal="left" wrapText="1"/>
    </xf>
    <xf numFmtId="3" fontId="18" fillId="4" borderId="46" xfId="0" applyNumberFormat="1" applyFont="1" applyFill="1" applyBorder="1" applyAlignment="1">
      <alignment horizontal="left" wrapText="1"/>
    </xf>
    <xf numFmtId="3" fontId="18" fillId="4" borderId="15" xfId="0" applyNumberFormat="1" applyFont="1" applyFill="1" applyBorder="1" applyAlignment="1">
      <alignment horizontal="left"/>
    </xf>
    <xf numFmtId="3" fontId="18" fillId="4" borderId="0" xfId="0" applyNumberFormat="1" applyFont="1" applyFill="1" applyAlignment="1">
      <alignment horizontal="left"/>
    </xf>
    <xf numFmtId="3" fontId="18" fillId="0" borderId="78" xfId="0" applyNumberFormat="1" applyFont="1" applyBorder="1" applyAlignment="1">
      <alignment horizontal="right" wrapText="1"/>
    </xf>
    <xf numFmtId="3" fontId="37" fillId="0" borderId="0" xfId="0" applyNumberFormat="1" applyFont="1"/>
    <xf numFmtId="3" fontId="34" fillId="0" borderId="0" xfId="0" applyNumberFormat="1" applyFont="1"/>
    <xf numFmtId="168" fontId="38" fillId="0" borderId="0" xfId="0" applyFont="1"/>
    <xf numFmtId="168" fontId="38" fillId="0" borderId="42" xfId="0" applyFont="1" applyBorder="1"/>
    <xf numFmtId="1" fontId="38" fillId="0" borderId="0" xfId="0" applyNumberFormat="1" applyFont="1" applyAlignment="1">
      <alignment horizontal="left"/>
    </xf>
    <xf numFmtId="168" fontId="42" fillId="0" borderId="0" xfId="0" applyFont="1"/>
    <xf numFmtId="168" fontId="40" fillId="0" borderId="0" xfId="0" applyFont="1"/>
    <xf numFmtId="3" fontId="18" fillId="0" borderId="93" xfId="0" applyNumberFormat="1" applyFont="1" applyBorder="1" applyAlignment="1">
      <alignment horizontal="right" wrapText="1"/>
    </xf>
    <xf numFmtId="3" fontId="18" fillId="0" borderId="95" xfId="0" applyNumberFormat="1" applyFont="1" applyBorder="1" applyAlignment="1">
      <alignment horizontal="right" wrapText="1"/>
    </xf>
    <xf numFmtId="3" fontId="18" fillId="0" borderId="42" xfId="0" applyNumberFormat="1" applyFont="1" applyBorder="1" applyAlignment="1">
      <alignment horizontal="left" wrapText="1"/>
    </xf>
    <xf numFmtId="3" fontId="18" fillId="0" borderId="0" xfId="0" applyNumberFormat="1" applyFont="1" applyAlignment="1">
      <alignment horizontal="left" wrapText="1"/>
    </xf>
    <xf numFmtId="3" fontId="17" fillId="0" borderId="0" xfId="0" applyNumberFormat="1" applyFont="1" applyAlignment="1">
      <alignment horizontal="left" vertical="top"/>
    </xf>
    <xf numFmtId="3" fontId="17" fillId="0" borderId="0" xfId="0" applyNumberFormat="1" applyFont="1" applyAlignment="1">
      <alignment horizontal="right" wrapText="1"/>
    </xf>
    <xf numFmtId="3" fontId="17" fillId="0" borderId="37" xfId="0" applyNumberFormat="1" applyFont="1" applyBorder="1" applyAlignment="1">
      <alignment horizontal="right" wrapText="1"/>
    </xf>
    <xf numFmtId="4" fontId="18" fillId="0" borderId="0" xfId="0" applyNumberFormat="1" applyFont="1"/>
    <xf numFmtId="4" fontId="18" fillId="0" borderId="37" xfId="0" applyNumberFormat="1" applyFont="1" applyBorder="1"/>
    <xf numFmtId="4" fontId="18" fillId="0" borderId="68" xfId="0" applyNumberFormat="1" applyFont="1" applyBorder="1" applyAlignment="1">
      <alignment horizontal="right"/>
    </xf>
    <xf numFmtId="4" fontId="18" fillId="0" borderId="69" xfId="0" applyNumberFormat="1" applyFont="1" applyBorder="1" applyAlignment="1">
      <alignment horizontal="right"/>
    </xf>
    <xf numFmtId="4" fontId="18" fillId="0" borderId="70" xfId="0" applyNumberFormat="1" applyFont="1" applyBorder="1" applyAlignment="1">
      <alignment horizontal="right"/>
    </xf>
    <xf numFmtId="3" fontId="17" fillId="0" borderId="1" xfId="0" applyNumberFormat="1" applyFont="1" applyBorder="1" applyAlignment="1">
      <alignment horizontal="left" wrapText="1"/>
    </xf>
    <xf numFmtId="3" fontId="17" fillId="0" borderId="3" xfId="0" applyNumberFormat="1" applyFont="1" applyBorder="1" applyAlignment="1">
      <alignment horizontal="left" wrapText="1"/>
    </xf>
    <xf numFmtId="3" fontId="17" fillId="0" borderId="5" xfId="0" applyNumberFormat="1" applyFont="1" applyBorder="1" applyAlignment="1">
      <alignment horizontal="right" wrapText="1"/>
    </xf>
    <xf numFmtId="3" fontId="18" fillId="0" borderId="44" xfId="0" applyNumberFormat="1" applyFont="1" applyBorder="1" applyAlignment="1">
      <alignment horizontal="left" wrapText="1"/>
    </xf>
    <xf numFmtId="3" fontId="18" fillId="0" borderId="4" xfId="0" applyNumberFormat="1" applyFont="1" applyBorder="1"/>
    <xf numFmtId="4" fontId="18" fillId="0" borderId="127" xfId="0" applyNumberFormat="1" applyFont="1" applyBorder="1" applyAlignment="1">
      <alignment horizontal="right"/>
    </xf>
    <xf numFmtId="4" fontId="18" fillId="0" borderId="128" xfId="0" applyNumberFormat="1" applyFont="1" applyBorder="1" applyAlignment="1">
      <alignment horizontal="right"/>
    </xf>
    <xf numFmtId="3" fontId="24" fillId="0" borderId="4" xfId="0" applyNumberFormat="1" applyFont="1" applyBorder="1"/>
    <xf numFmtId="4" fontId="18" fillId="0" borderId="129" xfId="0" applyNumberFormat="1" applyFont="1" applyBorder="1" applyAlignment="1">
      <alignment horizontal="right"/>
    </xf>
    <xf numFmtId="4" fontId="18" fillId="0" borderId="130" xfId="0" applyNumberFormat="1" applyFont="1" applyBorder="1" applyAlignment="1">
      <alignment horizontal="right"/>
    </xf>
    <xf numFmtId="168" fontId="25" fillId="0" borderId="0" xfId="0" applyFont="1"/>
    <xf numFmtId="3" fontId="18" fillId="0" borderId="44" xfId="0" applyNumberFormat="1" applyFont="1" applyBorder="1" applyAlignment="1">
      <alignment wrapText="1"/>
    </xf>
    <xf numFmtId="3" fontId="24" fillId="0" borderId="4" xfId="0" applyNumberFormat="1" applyFont="1" applyBorder="1" applyAlignment="1">
      <alignment vertical="center"/>
    </xf>
    <xf numFmtId="4" fontId="0" fillId="0" borderId="37" xfId="0" applyNumberFormat="1" applyBorder="1"/>
    <xf numFmtId="4" fontId="0" fillId="0" borderId="5" xfId="0" applyNumberFormat="1" applyBorder="1"/>
    <xf numFmtId="168" fontId="21" fillId="0" borderId="0" xfId="3" applyFont="1" applyAlignment="1">
      <alignment horizontal="right"/>
    </xf>
    <xf numFmtId="169" fontId="18" fillId="0" borderId="98" xfId="0" applyNumberFormat="1" applyFont="1" applyBorder="1" applyAlignment="1">
      <alignment horizontal="right"/>
    </xf>
    <xf numFmtId="169" fontId="18" fillId="0" borderId="72" xfId="0" applyNumberFormat="1" applyFont="1" applyBorder="1" applyAlignment="1">
      <alignment horizontal="right"/>
    </xf>
    <xf numFmtId="169" fontId="18" fillId="0" borderId="132" xfId="0" applyNumberFormat="1" applyFont="1" applyBorder="1" applyAlignment="1">
      <alignment horizontal="right"/>
    </xf>
    <xf numFmtId="169" fontId="18" fillId="0" borderId="133" xfId="0" applyNumberFormat="1" applyFont="1" applyBorder="1" applyAlignment="1">
      <alignment horizontal="right"/>
    </xf>
    <xf numFmtId="169" fontId="18" fillId="6" borderId="98" xfId="0" applyNumberFormat="1" applyFont="1" applyFill="1" applyBorder="1" applyAlignment="1">
      <alignment horizontal="right"/>
    </xf>
    <xf numFmtId="169" fontId="18" fillId="6" borderId="72" xfId="0" applyNumberFormat="1" applyFont="1" applyFill="1" applyBorder="1" applyAlignment="1">
      <alignment horizontal="right"/>
    </xf>
    <xf numFmtId="169" fontId="18" fillId="6" borderId="132" xfId="0" applyNumberFormat="1" applyFont="1" applyFill="1" applyBorder="1" applyAlignment="1">
      <alignment horizontal="right"/>
    </xf>
    <xf numFmtId="169" fontId="18" fillId="6" borderId="133" xfId="0" applyNumberFormat="1" applyFont="1" applyFill="1" applyBorder="1" applyAlignment="1">
      <alignment horizontal="right"/>
    </xf>
    <xf numFmtId="169" fontId="18" fillId="6" borderId="87" xfId="0" applyNumberFormat="1" applyFont="1" applyFill="1" applyBorder="1" applyAlignment="1">
      <alignment horizontal="right"/>
    </xf>
    <xf numFmtId="168" fontId="0" fillId="0" borderId="20" xfId="0" applyBorder="1"/>
    <xf numFmtId="168" fontId="0" fillId="0" borderId="21" xfId="0" applyBorder="1"/>
    <xf numFmtId="168" fontId="0" fillId="0" borderId="23" xfId="0" applyBorder="1"/>
    <xf numFmtId="169" fontId="18" fillId="0" borderId="86" xfId="0" applyNumberFormat="1" applyFont="1" applyBorder="1" applyAlignment="1">
      <alignment horizontal="right"/>
    </xf>
    <xf numFmtId="169" fontId="18" fillId="6" borderId="86" xfId="0" applyNumberFormat="1" applyFont="1" applyFill="1" applyBorder="1" applyAlignment="1">
      <alignment horizontal="right"/>
    </xf>
    <xf numFmtId="169" fontId="18" fillId="6" borderId="88" xfId="0" applyNumberFormat="1" applyFont="1" applyFill="1" applyBorder="1" applyAlignment="1">
      <alignment horizontal="right"/>
    </xf>
    <xf numFmtId="169" fontId="18" fillId="6" borderId="140" xfId="0" applyNumberFormat="1" applyFont="1" applyFill="1" applyBorder="1" applyAlignment="1">
      <alignment horizontal="right"/>
    </xf>
    <xf numFmtId="169" fontId="18" fillId="0" borderId="53" xfId="0" applyNumberFormat="1" applyFont="1" applyBorder="1" applyAlignment="1">
      <alignment horizontal="right"/>
    </xf>
    <xf numFmtId="169" fontId="18" fillId="0" borderId="139" xfId="0" applyNumberFormat="1" applyFont="1" applyBorder="1" applyAlignment="1">
      <alignment horizontal="right"/>
    </xf>
    <xf numFmtId="169" fontId="18" fillId="0" borderId="140" xfId="0" applyNumberFormat="1" applyFont="1" applyBorder="1" applyAlignment="1">
      <alignment horizontal="right"/>
    </xf>
    <xf numFmtId="168" fontId="0" fillId="0" borderId="31" xfId="0" applyBorder="1"/>
    <xf numFmtId="168" fontId="0" fillId="0" borderId="32" xfId="0" applyBorder="1"/>
    <xf numFmtId="168" fontId="0" fillId="0" borderId="30" xfId="0" applyBorder="1"/>
    <xf numFmtId="168" fontId="0" fillId="0" borderId="33" xfId="0" applyBorder="1"/>
    <xf numFmtId="168" fontId="0" fillId="0" borderId="26" xfId="0" applyBorder="1"/>
    <xf numFmtId="168" fontId="0" fillId="0" borderId="27" xfId="0" applyBorder="1"/>
    <xf numFmtId="168" fontId="0" fillId="0" borderId="28" xfId="0" applyBorder="1"/>
    <xf numFmtId="168" fontId="0" fillId="0" borderId="29" xfId="0" applyBorder="1"/>
    <xf numFmtId="3" fontId="43" fillId="0" borderId="0" xfId="0" applyNumberFormat="1" applyFont="1"/>
    <xf numFmtId="168" fontId="27" fillId="0" borderId="0" xfId="0" applyFont="1"/>
    <xf numFmtId="3" fontId="27" fillId="5" borderId="61" xfId="0" applyNumberFormat="1" applyFont="1" applyFill="1" applyBorder="1"/>
    <xf numFmtId="3" fontId="27" fillId="5" borderId="62" xfId="0" applyNumberFormat="1" applyFont="1" applyFill="1" applyBorder="1"/>
    <xf numFmtId="3" fontId="27" fillId="5" borderId="71" xfId="0" applyNumberFormat="1" applyFont="1" applyFill="1" applyBorder="1"/>
    <xf numFmtId="3" fontId="27" fillId="0" borderId="61" xfId="0" applyNumberFormat="1" applyFont="1" applyBorder="1" applyProtection="1">
      <protection locked="0"/>
    </xf>
    <xf numFmtId="3" fontId="27" fillId="0" borderId="62" xfId="0" applyNumberFormat="1" applyFont="1" applyBorder="1" applyProtection="1">
      <protection locked="0"/>
    </xf>
    <xf numFmtId="3" fontId="27" fillId="0" borderId="71" xfId="0" applyNumberFormat="1" applyFont="1" applyBorder="1" applyProtection="1">
      <protection locked="0"/>
    </xf>
    <xf numFmtId="3" fontId="27" fillId="5" borderId="58" xfId="0" applyNumberFormat="1" applyFont="1" applyFill="1" applyBorder="1"/>
    <xf numFmtId="3" fontId="27" fillId="5" borderId="67" xfId="0" applyNumberFormat="1" applyFont="1" applyFill="1" applyBorder="1"/>
    <xf numFmtId="3" fontId="27" fillId="5" borderId="60" xfId="0" applyNumberFormat="1" applyFont="1" applyFill="1" applyBorder="1"/>
    <xf numFmtId="3" fontId="27" fillId="0" borderId="58" xfId="0" applyNumberFormat="1" applyFont="1" applyBorder="1" applyProtection="1">
      <protection locked="0"/>
    </xf>
    <xf numFmtId="3" fontId="27" fillId="0" borderId="67" xfId="0" applyNumberFormat="1" applyFont="1" applyBorder="1" applyProtection="1">
      <protection locked="0"/>
    </xf>
    <xf numFmtId="3" fontId="27" fillId="0" borderId="60" xfId="0" applyNumberFormat="1" applyFont="1" applyBorder="1" applyProtection="1">
      <protection locked="0"/>
    </xf>
    <xf numFmtId="3" fontId="27" fillId="5" borderId="97" xfId="0" applyNumberFormat="1" applyFont="1" applyFill="1" applyBorder="1"/>
    <xf numFmtId="3" fontId="27" fillId="5" borderId="102" xfId="0" applyNumberFormat="1" applyFont="1" applyFill="1" applyBorder="1"/>
    <xf numFmtId="3" fontId="27" fillId="5" borderId="0" xfId="0" applyNumberFormat="1" applyFont="1" applyFill="1"/>
    <xf numFmtId="3" fontId="27" fillId="5" borderId="114" xfId="0" applyNumberFormat="1" applyFont="1" applyFill="1" applyBorder="1"/>
    <xf numFmtId="3" fontId="27" fillId="5" borderId="115" xfId="0" applyNumberFormat="1" applyFont="1" applyFill="1" applyBorder="1"/>
    <xf numFmtId="3" fontId="27" fillId="5" borderId="113" xfId="0" applyNumberFormat="1" applyFont="1" applyFill="1" applyBorder="1"/>
    <xf numFmtId="3" fontId="27" fillId="5" borderId="116" xfId="0" applyNumberFormat="1" applyFont="1" applyFill="1" applyBorder="1"/>
    <xf numFmtId="3" fontId="27" fillId="5" borderId="117" xfId="0" applyNumberFormat="1" applyFont="1" applyFill="1" applyBorder="1"/>
    <xf numFmtId="3" fontId="27" fillId="5" borderId="118" xfId="0" applyNumberFormat="1" applyFont="1" applyFill="1" applyBorder="1"/>
    <xf numFmtId="3" fontId="27" fillId="5" borderId="119" xfId="0" applyNumberFormat="1" applyFont="1" applyFill="1" applyBorder="1"/>
    <xf numFmtId="3" fontId="27" fillId="5" borderId="78" xfId="0" applyNumberFormat="1" applyFont="1" applyFill="1" applyBorder="1"/>
    <xf numFmtId="3" fontId="27" fillId="5" borderId="108" xfId="0" applyNumberFormat="1" applyFont="1" applyFill="1" applyBorder="1"/>
    <xf numFmtId="3" fontId="27" fillId="5" borderId="107" xfId="0" applyNumberFormat="1" applyFont="1" applyFill="1" applyBorder="1"/>
    <xf numFmtId="3" fontId="27" fillId="5" borderId="80" xfId="0" applyNumberFormat="1" applyFont="1" applyFill="1" applyBorder="1"/>
    <xf numFmtId="3" fontId="37" fillId="0" borderId="40" xfId="0" applyNumberFormat="1" applyFont="1" applyBorder="1" applyAlignment="1">
      <alignment vertical="center"/>
    </xf>
    <xf numFmtId="3" fontId="37" fillId="0" borderId="12" xfId="0" applyNumberFormat="1" applyFont="1" applyBorder="1" applyAlignment="1">
      <alignment vertical="center"/>
    </xf>
    <xf numFmtId="3" fontId="37" fillId="0" borderId="12" xfId="0" applyNumberFormat="1" applyFont="1" applyBorder="1" applyAlignment="1">
      <alignment horizontal="center" vertical="center" wrapText="1"/>
    </xf>
    <xf numFmtId="2" fontId="45" fillId="0" borderId="0" xfId="0" applyNumberFormat="1" applyFont="1"/>
    <xf numFmtId="168" fontId="32" fillId="0" borderId="0" xfId="0" applyFont="1" applyAlignment="1">
      <alignment wrapText="1"/>
    </xf>
    <xf numFmtId="168" fontId="41" fillId="0" borderId="0" xfId="17" applyFont="1" applyAlignment="1" applyProtection="1">
      <alignment horizontal="left" wrapText="1"/>
    </xf>
    <xf numFmtId="168" fontId="40" fillId="0" borderId="0" xfId="0" applyFont="1" applyAlignment="1">
      <alignment horizontal="left" wrapText="1"/>
    </xf>
    <xf numFmtId="3" fontId="34" fillId="0" borderId="0" xfId="4" applyNumberFormat="1" applyFont="1"/>
    <xf numFmtId="168" fontId="34" fillId="0" borderId="12" xfId="0" applyFont="1" applyBorder="1" applyAlignment="1">
      <alignment horizontal="center" vertical="center" wrapText="1"/>
    </xf>
    <xf numFmtId="168" fontId="34" fillId="0" borderId="0" xfId="0" applyFont="1" applyAlignment="1">
      <alignment horizontal="right"/>
    </xf>
    <xf numFmtId="168" fontId="18" fillId="0" borderId="0" xfId="0" applyFont="1" applyAlignment="1">
      <alignment horizontal="right"/>
    </xf>
    <xf numFmtId="168" fontId="43" fillId="0" borderId="0" xfId="0" applyFont="1" applyAlignment="1">
      <alignment wrapText="1"/>
    </xf>
    <xf numFmtId="1" fontId="32" fillId="0" borderId="0" xfId="0" applyNumberFormat="1" applyFont="1" applyAlignment="1">
      <alignment horizontal="left"/>
    </xf>
    <xf numFmtId="1" fontId="18" fillId="0" borderId="44" xfId="0" applyNumberFormat="1" applyFont="1" applyBorder="1" applyAlignment="1">
      <alignment horizontal="left" wrapText="1"/>
    </xf>
    <xf numFmtId="168" fontId="0" fillId="0" borderId="34" xfId="0" applyBorder="1"/>
    <xf numFmtId="168" fontId="0" fillId="0" borderId="39" xfId="0" applyBorder="1"/>
    <xf numFmtId="168" fontId="0" fillId="0" borderId="38" xfId="0" applyBorder="1"/>
    <xf numFmtId="168" fontId="0" fillId="0" borderId="35" xfId="0" applyBorder="1"/>
    <xf numFmtId="168" fontId="0" fillId="0" borderId="36" xfId="0" applyBorder="1"/>
    <xf numFmtId="168" fontId="0" fillId="0" borderId="0" xfId="0" applyAlignment="1">
      <alignment wrapText="1"/>
    </xf>
    <xf numFmtId="168" fontId="0" fillId="0" borderId="37" xfId="0" applyBorder="1"/>
    <xf numFmtId="168" fontId="18" fillId="0" borderId="0" xfId="0" applyFont="1" applyAlignment="1">
      <alignment wrapText="1"/>
    </xf>
    <xf numFmtId="168" fontId="0" fillId="0" borderId="142" xfId="0" applyBorder="1"/>
    <xf numFmtId="1" fontId="0" fillId="0" borderId="21" xfId="0" applyNumberFormat="1" applyBorder="1"/>
    <xf numFmtId="168" fontId="0" fillId="0" borderId="46" xfId="0" applyBorder="1"/>
    <xf numFmtId="168" fontId="0" fillId="0" borderId="41" xfId="0" applyBorder="1"/>
    <xf numFmtId="168" fontId="0" fillId="0" borderId="42" xfId="0" applyBorder="1"/>
    <xf numFmtId="168" fontId="0" fillId="0" borderId="91" xfId="0" applyBorder="1"/>
    <xf numFmtId="168" fontId="0" fillId="0" borderId="92" xfId="0" applyBorder="1"/>
    <xf numFmtId="168" fontId="0" fillId="0" borderId="90" xfId="0" applyBorder="1"/>
    <xf numFmtId="168" fontId="18" fillId="0" borderId="21" xfId="0" applyFont="1" applyBorder="1" applyAlignment="1">
      <alignment horizontal="left" wrapText="1"/>
    </xf>
    <xf numFmtId="168" fontId="21" fillId="0" borderId="0" xfId="0" applyFont="1"/>
    <xf numFmtId="168" fontId="18" fillId="0" borderId="0" xfId="0" applyFont="1" applyAlignment="1">
      <alignment vertical="top" wrapText="1"/>
    </xf>
    <xf numFmtId="168" fontId="27" fillId="0" borderId="0" xfId="0" applyFont="1" applyAlignment="1">
      <alignment wrapText="1"/>
    </xf>
    <xf numFmtId="3" fontId="28" fillId="0" borderId="0" xfId="0" applyNumberFormat="1" applyFont="1" applyAlignment="1">
      <alignment horizontal="right" wrapText="1"/>
    </xf>
    <xf numFmtId="168" fontId="18" fillId="0" borderId="142" xfId="0" applyFont="1" applyBorder="1" applyAlignment="1">
      <alignment textRotation="90"/>
    </xf>
    <xf numFmtId="168" fontId="33" fillId="0" borderId="41" xfId="0" applyFont="1" applyBorder="1"/>
    <xf numFmtId="3" fontId="0" fillId="0" borderId="37" xfId="0" applyNumberFormat="1" applyBorder="1"/>
    <xf numFmtId="3" fontId="0" fillId="0" borderId="41" xfId="0" applyNumberFormat="1" applyBorder="1"/>
    <xf numFmtId="3" fontId="0" fillId="0" borderId="43" xfId="0" applyNumberFormat="1" applyBorder="1"/>
    <xf numFmtId="168" fontId="18" fillId="0" borderId="33" xfId="0" applyFont="1" applyBorder="1"/>
    <xf numFmtId="4" fontId="18" fillId="0" borderId="0" xfId="0" applyNumberFormat="1" applyFont="1" applyAlignment="1">
      <alignment horizontal="right"/>
    </xf>
    <xf numFmtId="168" fontId="18" fillId="0" borderId="0" xfId="0" applyFont="1" applyAlignment="1">
      <alignment horizontal="left"/>
    </xf>
    <xf numFmtId="168" fontId="0" fillId="0" borderId="28" xfId="0" applyBorder="1" applyAlignment="1">
      <alignment horizontal="right"/>
    </xf>
    <xf numFmtId="2" fontId="0" fillId="0" borderId="0" xfId="0" applyNumberFormat="1"/>
    <xf numFmtId="168" fontId="0" fillId="0" borderId="0" xfId="0" applyAlignment="1">
      <alignment horizontal="left"/>
    </xf>
    <xf numFmtId="1" fontId="0" fillId="0" borderId="24" xfId="0" applyNumberFormat="1" applyBorder="1"/>
    <xf numFmtId="169" fontId="18" fillId="0" borderId="73" xfId="0" applyNumberFormat="1" applyFont="1" applyBorder="1" applyAlignment="1">
      <alignment horizontal="right"/>
    </xf>
    <xf numFmtId="3" fontId="18" fillId="0" borderId="37" xfId="0" applyNumberFormat="1" applyFont="1" applyBorder="1"/>
    <xf numFmtId="169" fontId="18" fillId="6" borderId="139" xfId="0" applyNumberFormat="1" applyFont="1" applyFill="1" applyBorder="1" applyAlignment="1">
      <alignment horizontal="right"/>
    </xf>
    <xf numFmtId="169" fontId="18" fillId="0" borderId="101" xfId="0" applyNumberFormat="1" applyFont="1" applyBorder="1" applyAlignment="1">
      <alignment horizontal="right"/>
    </xf>
    <xf numFmtId="168" fontId="0" fillId="0" borderId="0" xfId="0" applyAlignment="1">
      <alignment horizontal="left" wrapText="1"/>
    </xf>
    <xf numFmtId="168" fontId="0" fillId="0" borderId="154" xfId="0" applyBorder="1"/>
    <xf numFmtId="168" fontId="0" fillId="0" borderId="22" xfId="0" applyBorder="1" applyAlignment="1">
      <alignment horizontal="left" wrapText="1"/>
    </xf>
    <xf numFmtId="1" fontId="0" fillId="0" borderId="46" xfId="0" applyNumberFormat="1" applyBorder="1"/>
    <xf numFmtId="3" fontId="27" fillId="5" borderId="156" xfId="0" applyNumberFormat="1" applyFont="1" applyFill="1" applyBorder="1"/>
    <xf numFmtId="3" fontId="27" fillId="5" borderId="157" xfId="0" applyNumberFormat="1" applyFont="1" applyFill="1" applyBorder="1"/>
    <xf numFmtId="3" fontId="27" fillId="5" borderId="6" xfId="0" applyNumberFormat="1" applyFont="1" applyFill="1" applyBorder="1"/>
    <xf numFmtId="3" fontId="27" fillId="0" borderId="89" xfId="0" applyNumberFormat="1" applyFont="1" applyBorder="1" applyProtection="1">
      <protection locked="0"/>
    </xf>
    <xf numFmtId="3" fontId="27" fillId="0" borderId="156" xfId="0" applyNumberFormat="1" applyFont="1" applyBorder="1" applyProtection="1">
      <protection locked="0"/>
    </xf>
    <xf numFmtId="3" fontId="27" fillId="0" borderId="136" xfId="0" applyNumberFormat="1" applyFont="1" applyBorder="1" applyProtection="1">
      <protection locked="0"/>
    </xf>
    <xf numFmtId="3" fontId="27" fillId="0" borderId="137" xfId="0" applyNumberFormat="1" applyFont="1" applyBorder="1" applyProtection="1">
      <protection locked="0"/>
    </xf>
    <xf numFmtId="3" fontId="27" fillId="0" borderId="158" xfId="0" applyNumberFormat="1" applyFont="1" applyBorder="1" applyProtection="1">
      <protection locked="0"/>
    </xf>
    <xf numFmtId="3" fontId="27" fillId="0" borderId="157" xfId="0" applyNumberFormat="1" applyFont="1" applyBorder="1" applyProtection="1">
      <protection locked="0"/>
    </xf>
    <xf numFmtId="3" fontId="27" fillId="0" borderId="6" xfId="0" applyNumberFormat="1" applyFont="1" applyBorder="1" applyProtection="1">
      <protection locked="0"/>
    </xf>
    <xf numFmtId="3" fontId="27" fillId="0" borderId="97" xfId="0" applyNumberFormat="1" applyFont="1" applyBorder="1" applyProtection="1">
      <protection locked="0"/>
    </xf>
    <xf numFmtId="3" fontId="27" fillId="0" borderId="78" xfId="0" applyNumberFormat="1" applyFont="1" applyBorder="1" applyProtection="1">
      <protection locked="0"/>
    </xf>
    <xf numFmtId="3" fontId="27" fillId="0" borderId="108" xfId="0" applyNumberFormat="1" applyFont="1" applyBorder="1" applyProtection="1">
      <protection locked="0"/>
    </xf>
    <xf numFmtId="3" fontId="27" fillId="0" borderId="107" xfId="0" applyNumberFormat="1" applyFont="1" applyBorder="1" applyProtection="1">
      <protection locked="0"/>
    </xf>
    <xf numFmtId="3" fontId="27" fillId="0" borderId="102" xfId="0" applyNumberFormat="1" applyFont="1" applyBorder="1" applyProtection="1">
      <protection locked="0"/>
    </xf>
    <xf numFmtId="3" fontId="27" fillId="0" borderId="0" xfId="0" applyNumberFormat="1" applyFont="1" applyProtection="1">
      <protection locked="0"/>
    </xf>
    <xf numFmtId="3" fontId="18" fillId="0" borderId="9" xfId="0" applyNumberFormat="1" applyFont="1" applyBorder="1" applyAlignment="1">
      <alignment vertical="center"/>
    </xf>
    <xf numFmtId="168" fontId="0" fillId="0" borderId="4" xfId="0" applyBorder="1"/>
    <xf numFmtId="168" fontId="18" fillId="9" borderId="0" xfId="0" applyFont="1" applyFill="1"/>
    <xf numFmtId="3" fontId="18" fillId="0" borderId="6" xfId="0" applyNumberFormat="1" applyFont="1" applyBorder="1" applyAlignment="1">
      <alignment vertical="center"/>
    </xf>
    <xf numFmtId="3" fontId="27" fillId="5" borderId="37" xfId="0" applyNumberFormat="1" applyFont="1" applyFill="1" applyBorder="1"/>
    <xf numFmtId="3" fontId="27" fillId="5" borderId="159" xfId="0" applyNumberFormat="1" applyFont="1" applyFill="1" applyBorder="1"/>
    <xf numFmtId="3" fontId="27" fillId="5" borderId="160" xfId="0" applyNumberFormat="1" applyFont="1" applyFill="1" applyBorder="1"/>
    <xf numFmtId="3" fontId="27" fillId="5" borderId="82" xfId="0" applyNumberFormat="1" applyFont="1" applyFill="1" applyBorder="1"/>
    <xf numFmtId="3" fontId="27" fillId="0" borderId="141" xfId="0" applyNumberFormat="1" applyFont="1" applyBorder="1" applyProtection="1">
      <protection locked="0"/>
    </xf>
    <xf numFmtId="3" fontId="27" fillId="0" borderId="159" xfId="0" applyNumberFormat="1" applyFont="1" applyBorder="1" applyProtection="1">
      <protection locked="0"/>
    </xf>
    <xf numFmtId="3" fontId="27" fillId="0" borderId="161" xfId="0" applyNumberFormat="1" applyFont="1" applyBorder="1" applyProtection="1">
      <protection locked="0"/>
    </xf>
    <xf numFmtId="3" fontId="27" fillId="0" borderId="162" xfId="0" applyNumberFormat="1" applyFont="1" applyBorder="1" applyProtection="1">
      <protection locked="0"/>
    </xf>
    <xf numFmtId="3" fontId="27" fillId="0" borderId="163" xfId="0" applyNumberFormat="1" applyFont="1" applyBorder="1" applyProtection="1">
      <protection locked="0"/>
    </xf>
    <xf numFmtId="3" fontId="27" fillId="0" borderId="160" xfId="0" applyNumberFormat="1" applyFont="1" applyBorder="1" applyProtection="1">
      <protection locked="0"/>
    </xf>
    <xf numFmtId="3" fontId="27" fillId="0" borderId="82" xfId="0" applyNumberFormat="1" applyFont="1" applyBorder="1" applyProtection="1">
      <protection locked="0"/>
    </xf>
    <xf numFmtId="3" fontId="27" fillId="0" borderId="164" xfId="0" applyNumberFormat="1" applyFont="1" applyBorder="1" applyProtection="1">
      <protection locked="0"/>
    </xf>
    <xf numFmtId="3" fontId="27" fillId="0" borderId="165" xfId="0" applyNumberFormat="1" applyFont="1" applyBorder="1" applyProtection="1">
      <protection locked="0"/>
    </xf>
    <xf numFmtId="3" fontId="27" fillId="0" borderId="167" xfId="0" applyNumberFormat="1" applyFont="1" applyBorder="1" applyProtection="1">
      <protection locked="0"/>
    </xf>
    <xf numFmtId="3" fontId="27" fillId="5" borderId="164" xfId="0" applyNumberFormat="1" applyFont="1" applyFill="1" applyBorder="1"/>
    <xf numFmtId="3" fontId="27" fillId="5" borderId="165" xfId="0" applyNumberFormat="1" applyFont="1" applyFill="1" applyBorder="1"/>
    <xf numFmtId="3" fontId="27" fillId="5" borderId="166" xfId="0" applyNumberFormat="1" applyFont="1" applyFill="1" applyBorder="1"/>
    <xf numFmtId="3" fontId="27" fillId="5" borderId="167" xfId="0" applyNumberFormat="1" applyFont="1" applyFill="1" applyBorder="1"/>
    <xf numFmtId="3" fontId="27" fillId="5" borderId="173" xfId="0" applyNumberFormat="1" applyFont="1" applyFill="1" applyBorder="1"/>
    <xf numFmtId="3" fontId="27" fillId="5" borderId="174" xfId="0" applyNumberFormat="1" applyFont="1" applyFill="1" applyBorder="1"/>
    <xf numFmtId="3" fontId="27" fillId="5" borderId="171" xfId="0" applyNumberFormat="1" applyFont="1" applyFill="1" applyBorder="1"/>
    <xf numFmtId="3" fontId="27" fillId="0" borderId="175" xfId="0" applyNumberFormat="1" applyFont="1" applyBorder="1" applyProtection="1">
      <protection locked="0"/>
    </xf>
    <xf numFmtId="3" fontId="27" fillId="0" borderId="173" xfId="0" applyNumberFormat="1" applyFont="1" applyBorder="1" applyProtection="1">
      <protection locked="0"/>
    </xf>
    <xf numFmtId="3" fontId="27" fillId="0" borderId="176" xfId="0" applyNumberFormat="1" applyFont="1" applyBorder="1" applyProtection="1">
      <protection locked="0"/>
    </xf>
    <xf numFmtId="3" fontId="27" fillId="0" borderId="177" xfId="0" applyNumberFormat="1" applyFont="1" applyBorder="1" applyProtection="1">
      <protection locked="0"/>
    </xf>
    <xf numFmtId="3" fontId="27" fillId="0" borderId="178" xfId="0" applyNumberFormat="1" applyFont="1" applyBorder="1" applyProtection="1">
      <protection locked="0"/>
    </xf>
    <xf numFmtId="3" fontId="27" fillId="0" borderId="174" xfId="0" applyNumberFormat="1" applyFont="1" applyBorder="1" applyProtection="1">
      <protection locked="0"/>
    </xf>
    <xf numFmtId="3" fontId="27" fillId="0" borderId="171" xfId="0" applyNumberFormat="1" applyFont="1" applyBorder="1" applyProtection="1">
      <protection locked="0"/>
    </xf>
    <xf numFmtId="3" fontId="27" fillId="11" borderId="173" xfId="0" applyNumberFormat="1" applyFont="1" applyFill="1" applyBorder="1"/>
    <xf numFmtId="3" fontId="27" fillId="5" borderId="179" xfId="0" applyNumberFormat="1" applyFont="1" applyFill="1" applyBorder="1"/>
    <xf numFmtId="3" fontId="27" fillId="5" borderId="85" xfId="0" applyNumberFormat="1" applyFont="1" applyFill="1" applyBorder="1"/>
    <xf numFmtId="3" fontId="27" fillId="5" borderId="180" xfId="0" applyNumberFormat="1" applyFont="1" applyFill="1" applyBorder="1"/>
    <xf numFmtId="3" fontId="27" fillId="5" borderId="181" xfId="0" applyNumberFormat="1" applyFont="1" applyFill="1" applyBorder="1"/>
    <xf numFmtId="3" fontId="27" fillId="11" borderId="181" xfId="0" applyNumberFormat="1" applyFont="1" applyFill="1" applyBorder="1"/>
    <xf numFmtId="3" fontId="27" fillId="0" borderId="182" xfId="0" applyNumberFormat="1" applyFont="1" applyBorder="1" applyProtection="1">
      <protection locked="0"/>
    </xf>
    <xf numFmtId="3" fontId="27" fillId="0" borderId="183" xfId="0" applyNumberFormat="1" applyFont="1" applyBorder="1" applyProtection="1">
      <protection locked="0"/>
    </xf>
    <xf numFmtId="3" fontId="27" fillId="0" borderId="184" xfId="0" applyNumberFormat="1" applyFont="1" applyBorder="1" applyProtection="1">
      <protection locked="0"/>
    </xf>
    <xf numFmtId="3" fontId="27" fillId="0" borderId="185" xfId="0" applyNumberFormat="1" applyFont="1" applyBorder="1" applyProtection="1">
      <protection locked="0"/>
    </xf>
    <xf numFmtId="3" fontId="27" fillId="0" borderId="186" xfId="0" applyNumberFormat="1" applyFont="1" applyBorder="1" applyProtection="1">
      <protection locked="0"/>
    </xf>
    <xf numFmtId="3" fontId="27" fillId="5" borderId="187" xfId="0" applyNumberFormat="1" applyFont="1" applyFill="1" applyBorder="1"/>
    <xf numFmtId="3" fontId="27" fillId="5" borderId="188" xfId="0" applyNumberFormat="1" applyFont="1" applyFill="1" applyBorder="1"/>
    <xf numFmtId="3" fontId="27" fillId="5" borderId="183" xfId="0" applyNumberFormat="1" applyFont="1" applyFill="1" applyBorder="1"/>
    <xf numFmtId="4" fontId="49" fillId="0" borderId="189" xfId="0" applyNumberFormat="1" applyFont="1" applyBorder="1" applyAlignment="1">
      <alignment horizontal="right"/>
    </xf>
    <xf numFmtId="4" fontId="49" fillId="0" borderId="202" xfId="0" applyNumberFormat="1" applyFont="1" applyBorder="1" applyAlignment="1">
      <alignment horizontal="right"/>
    </xf>
    <xf numFmtId="4" fontId="49" fillId="0" borderId="203" xfId="0" applyNumberFormat="1" applyFont="1" applyBorder="1" applyAlignment="1" applyProtection="1">
      <alignment horizontal="right"/>
      <protection locked="0"/>
    </xf>
    <xf numFmtId="168" fontId="0" fillId="0" borderId="208" xfId="0" applyBorder="1"/>
    <xf numFmtId="168" fontId="18" fillId="13" borderId="0" xfId="0" applyFont="1" applyFill="1" applyAlignment="1">
      <alignment textRotation="90"/>
    </xf>
    <xf numFmtId="168" fontId="18" fillId="13" borderId="0" xfId="0" applyFont="1" applyFill="1" applyAlignment="1">
      <alignment textRotation="90" wrapText="1"/>
    </xf>
    <xf numFmtId="168" fontId="0" fillId="7" borderId="0" xfId="0" applyFill="1"/>
    <xf numFmtId="3" fontId="17" fillId="7" borderId="0" xfId="0" applyNumberFormat="1" applyFont="1" applyFill="1" applyAlignment="1">
      <alignment horizontal="right"/>
    </xf>
    <xf numFmtId="168" fontId="18" fillId="7" borderId="0" xfId="0" applyFont="1" applyFill="1" applyAlignment="1">
      <alignment textRotation="90"/>
    </xf>
    <xf numFmtId="168" fontId="0" fillId="0" borderId="209" xfId="0" applyBorder="1"/>
    <xf numFmtId="168" fontId="0" fillId="0" borderId="210" xfId="0" applyBorder="1"/>
    <xf numFmtId="0" fontId="27" fillId="0" borderId="0" xfId="0" applyNumberFormat="1" applyFont="1"/>
    <xf numFmtId="0" fontId="18" fillId="0" borderId="0" xfId="0" applyNumberFormat="1" applyFont="1"/>
    <xf numFmtId="3" fontId="18" fillId="0" borderId="4" xfId="0" applyNumberFormat="1" applyFont="1" applyBorder="1" applyAlignment="1">
      <alignment vertical="center" wrapText="1"/>
    </xf>
    <xf numFmtId="3" fontId="18" fillId="0" borderId="171" xfId="0" applyNumberFormat="1" applyFont="1" applyBorder="1" applyAlignment="1">
      <alignment vertical="center"/>
    </xf>
    <xf numFmtId="3" fontId="18" fillId="0" borderId="212" xfId="0" applyNumberFormat="1" applyFont="1" applyBorder="1" applyAlignment="1">
      <alignment horizontal="left"/>
    </xf>
    <xf numFmtId="3" fontId="18" fillId="0" borderId="214" xfId="0" applyNumberFormat="1" applyFont="1" applyBorder="1"/>
    <xf numFmtId="168" fontId="0" fillId="0" borderId="5" xfId="0" applyBorder="1"/>
    <xf numFmtId="4" fontId="18" fillId="0" borderId="215" xfId="0" applyNumberFormat="1" applyFont="1" applyBorder="1" applyAlignment="1">
      <alignment horizontal="right"/>
    </xf>
    <xf numFmtId="4" fontId="18" fillId="0" borderId="216" xfId="0" applyNumberFormat="1" applyFont="1" applyBorder="1" applyAlignment="1">
      <alignment horizontal="right"/>
    </xf>
    <xf numFmtId="4" fontId="18" fillId="0" borderId="145" xfId="0" applyNumberFormat="1" applyFont="1" applyBorder="1" applyAlignment="1">
      <alignment horizontal="right"/>
    </xf>
    <xf numFmtId="4" fontId="18" fillId="0" borderId="142" xfId="0" applyNumberFormat="1" applyFont="1" applyBorder="1"/>
    <xf numFmtId="168" fontId="0" fillId="0" borderId="81" xfId="0" applyBorder="1"/>
    <xf numFmtId="168" fontId="0" fillId="0" borderId="13" xfId="0" applyBorder="1"/>
    <xf numFmtId="4" fontId="18" fillId="11" borderId="58" xfId="0" applyNumberFormat="1" applyFont="1" applyFill="1" applyBorder="1" applyAlignment="1">
      <alignment horizontal="right"/>
    </xf>
    <xf numFmtId="4" fontId="18" fillId="11" borderId="67" xfId="0" applyNumberFormat="1" applyFont="1" applyFill="1" applyBorder="1" applyAlignment="1">
      <alignment horizontal="right"/>
    </xf>
    <xf numFmtId="4" fontId="18" fillId="11" borderId="59" xfId="0" applyNumberFormat="1" applyFont="1" applyFill="1" applyBorder="1" applyAlignment="1">
      <alignment horizontal="right"/>
    </xf>
    <xf numFmtId="3" fontId="18" fillId="0" borderId="0" xfId="0" applyNumberFormat="1" applyFont="1" applyAlignment="1">
      <alignment vertical="center"/>
    </xf>
    <xf numFmtId="0" fontId="34" fillId="0" borderId="0" xfId="0" applyNumberFormat="1" applyFont="1"/>
    <xf numFmtId="0" fontId="34" fillId="0" borderId="0" xfId="0" applyNumberFormat="1" applyFont="1" applyAlignment="1">
      <alignment horizontal="right"/>
    </xf>
    <xf numFmtId="0" fontId="0" fillId="0" borderId="0" xfId="0" applyNumberFormat="1"/>
    <xf numFmtId="0" fontId="0" fillId="0" borderId="142" xfId="0" applyNumberFormat="1" applyBorder="1"/>
    <xf numFmtId="0" fontId="0" fillId="0" borderId="37" xfId="0" applyNumberFormat="1" applyBorder="1"/>
    <xf numFmtId="0" fontId="0" fillId="0" borderId="9" xfId="0" applyNumberFormat="1" applyBorder="1"/>
    <xf numFmtId="0" fontId="0" fillId="11" borderId="10" xfId="0" applyNumberFormat="1" applyFill="1" applyBorder="1"/>
    <xf numFmtId="0" fontId="0" fillId="0" borderId="11" xfId="0" applyNumberFormat="1" applyBorder="1"/>
    <xf numFmtId="0" fontId="0" fillId="11" borderId="41" xfId="0" applyNumberFormat="1" applyFill="1" applyBorder="1"/>
    <xf numFmtId="0" fontId="0" fillId="0" borderId="43" xfId="0" applyNumberFormat="1" applyBorder="1"/>
    <xf numFmtId="168" fontId="27" fillId="0" borderId="28" xfId="0" applyFont="1" applyBorder="1" applyAlignment="1">
      <alignment wrapText="1"/>
    </xf>
    <xf numFmtId="3" fontId="0" fillId="0" borderId="28" xfId="0" applyNumberFormat="1" applyBorder="1"/>
    <xf numFmtId="3" fontId="18" fillId="0" borderId="142" xfId="0" applyNumberFormat="1" applyFont="1" applyBorder="1" applyAlignment="1">
      <alignment textRotation="90"/>
    </xf>
    <xf numFmtId="1" fontId="18" fillId="0" borderId="0" xfId="0" applyNumberFormat="1" applyFont="1"/>
    <xf numFmtId="0" fontId="0" fillId="11" borderId="142" xfId="0" applyNumberFormat="1" applyFill="1" applyBorder="1"/>
    <xf numFmtId="0" fontId="0" fillId="11" borderId="0" xfId="0" applyNumberFormat="1" applyFill="1"/>
    <xf numFmtId="0" fontId="0" fillId="11" borderId="37" xfId="0" applyNumberFormat="1" applyFill="1" applyBorder="1"/>
    <xf numFmtId="3" fontId="18" fillId="0" borderId="33" xfId="0" applyNumberFormat="1" applyFont="1" applyBorder="1" applyAlignment="1">
      <alignment horizontal="right"/>
    </xf>
    <xf numFmtId="3" fontId="18" fillId="0" borderId="21" xfId="0" quotePrefix="1" applyNumberFormat="1" applyFont="1" applyBorder="1" applyAlignment="1">
      <alignment horizontal="right" wrapText="1"/>
    </xf>
    <xf numFmtId="3" fontId="18" fillId="0" borderId="18" xfId="0" applyNumberFormat="1" applyFont="1" applyBorder="1" applyAlignment="1">
      <alignment horizontal="left"/>
    </xf>
    <xf numFmtId="168" fontId="18" fillId="0" borderId="37" xfId="0" applyFont="1" applyBorder="1" applyAlignment="1">
      <alignment horizontal="left" wrapText="1"/>
    </xf>
    <xf numFmtId="0" fontId="0" fillId="0" borderId="42" xfId="0" applyNumberFormat="1" applyBorder="1"/>
    <xf numFmtId="3" fontId="0" fillId="0" borderId="142" xfId="0" applyNumberFormat="1" applyBorder="1"/>
    <xf numFmtId="168" fontId="18" fillId="0" borderId="142" xfId="0" applyFont="1" applyBorder="1"/>
    <xf numFmtId="169" fontId="18" fillId="6" borderId="42" xfId="0" applyNumberFormat="1" applyFont="1" applyFill="1" applyBorder="1" applyAlignment="1">
      <alignment horizontal="right"/>
    </xf>
    <xf numFmtId="169" fontId="18" fillId="0" borderId="220" xfId="0" applyNumberFormat="1" applyFont="1" applyBorder="1" applyAlignment="1">
      <alignment horizontal="right"/>
    </xf>
    <xf numFmtId="169" fontId="18" fillId="0" borderId="221" xfId="0" applyNumberFormat="1" applyFont="1" applyBorder="1" applyAlignment="1">
      <alignment horizontal="right"/>
    </xf>
    <xf numFmtId="169" fontId="18" fillId="0" borderId="222" xfId="0" applyNumberFormat="1" applyFont="1" applyBorder="1" applyAlignment="1">
      <alignment horizontal="right"/>
    </xf>
    <xf numFmtId="168" fontId="0" fillId="5" borderId="0" xfId="0" applyFill="1"/>
    <xf numFmtId="169" fontId="18" fillId="6" borderId="219" xfId="0" applyNumberFormat="1" applyFont="1" applyFill="1" applyBorder="1" applyAlignment="1">
      <alignment horizontal="right"/>
    </xf>
    <xf numFmtId="169" fontId="18" fillId="6" borderId="220" xfId="0" applyNumberFormat="1" applyFont="1" applyFill="1" applyBorder="1" applyAlignment="1">
      <alignment horizontal="right"/>
    </xf>
    <xf numFmtId="169" fontId="18" fillId="6" borderId="194" xfId="0" applyNumberFormat="1" applyFont="1" applyFill="1" applyBorder="1" applyAlignment="1">
      <alignment horizontal="right"/>
    </xf>
    <xf numFmtId="4" fontId="49" fillId="0" borderId="192" xfId="0" applyNumberFormat="1" applyFont="1" applyBorder="1" applyAlignment="1">
      <alignment horizontal="right"/>
    </xf>
    <xf numFmtId="4" fontId="49" fillId="0" borderId="201" xfId="0" applyNumberFormat="1" applyFont="1" applyBorder="1" applyAlignment="1">
      <alignment horizontal="right"/>
    </xf>
    <xf numFmtId="168" fontId="18" fillId="0" borderId="33" xfId="0" applyFont="1" applyBorder="1" applyAlignment="1">
      <alignment horizontal="left" wrapText="1"/>
    </xf>
    <xf numFmtId="3" fontId="18" fillId="0" borderId="0" xfId="0" applyNumberFormat="1" applyFont="1" applyAlignment="1">
      <alignment textRotation="90"/>
    </xf>
    <xf numFmtId="168" fontId="18" fillId="21" borderId="0" xfId="0" applyFont="1" applyFill="1"/>
    <xf numFmtId="168" fontId="18" fillId="10" borderId="0" xfId="0" applyFont="1" applyFill="1"/>
    <xf numFmtId="168" fontId="34" fillId="0" borderId="0" xfId="0" applyFont="1"/>
    <xf numFmtId="168" fontId="27" fillId="12" borderId="0" xfId="0" applyFont="1" applyFill="1"/>
    <xf numFmtId="3" fontId="27" fillId="11" borderId="175" xfId="0" applyNumberFormat="1" applyFont="1" applyFill="1" applyBorder="1"/>
    <xf numFmtId="3" fontId="27" fillId="11" borderId="178" xfId="0" applyNumberFormat="1" applyFont="1" applyFill="1" applyBorder="1"/>
    <xf numFmtId="4" fontId="27" fillId="5" borderId="193" xfId="0" applyNumberFormat="1" applyFont="1" applyFill="1" applyBorder="1" applyAlignment="1">
      <alignment horizontal="right"/>
    </xf>
    <xf numFmtId="4" fontId="27" fillId="5" borderId="206" xfId="0" applyNumberFormat="1" applyFont="1" applyFill="1" applyBorder="1" applyAlignment="1">
      <alignment horizontal="right"/>
    </xf>
    <xf numFmtId="4" fontId="27" fillId="5" borderId="13" xfId="0" applyNumberFormat="1" applyFont="1" applyFill="1" applyBorder="1" applyAlignment="1">
      <alignment horizontal="right"/>
    </xf>
    <xf numFmtId="4" fontId="27" fillId="5" borderId="200" xfId="0" applyNumberFormat="1" applyFont="1" applyFill="1" applyBorder="1" applyAlignment="1">
      <alignment horizontal="right"/>
    </xf>
    <xf numFmtId="168" fontId="25" fillId="0" borderId="0" xfId="19" applyFont="1" applyAlignment="1">
      <alignment horizontal="left"/>
    </xf>
    <xf numFmtId="0" fontId="18" fillId="0" borderId="0" xfId="20"/>
    <xf numFmtId="0" fontId="43" fillId="0" borderId="0" xfId="24" applyNumberFormat="1" applyFont="1"/>
    <xf numFmtId="0" fontId="53" fillId="14" borderId="0" xfId="20" applyFont="1" applyFill="1"/>
    <xf numFmtId="0" fontId="53" fillId="12" borderId="0" xfId="20" applyFont="1" applyFill="1"/>
    <xf numFmtId="0" fontId="53" fillId="0" borderId="0" xfId="20" applyFont="1"/>
    <xf numFmtId="0" fontId="53" fillId="14" borderId="0" xfId="20" applyFont="1" applyFill="1" applyAlignment="1">
      <alignment horizontal="left"/>
    </xf>
    <xf numFmtId="0" fontId="53" fillId="12" borderId="0" xfId="20" applyFont="1" applyFill="1" applyAlignment="1">
      <alignment horizontal="left"/>
    </xf>
    <xf numFmtId="0" fontId="27" fillId="0" borderId="0" xfId="21" applyFont="1"/>
    <xf numFmtId="0" fontId="27" fillId="0" borderId="0" xfId="20" applyFont="1"/>
    <xf numFmtId="0" fontId="18" fillId="0" borderId="0" xfId="21" applyFont="1"/>
    <xf numFmtId="0" fontId="43" fillId="0" borderId="0" xfId="20" applyFont="1"/>
    <xf numFmtId="0" fontId="17" fillId="0" borderId="0" xfId="20" applyFont="1"/>
    <xf numFmtId="0" fontId="53" fillId="14" borderId="0" xfId="20" applyFont="1" applyFill="1" applyAlignment="1">
      <alignment horizontal="left" vertical="center"/>
    </xf>
    <xf numFmtId="0" fontId="53" fillId="12" borderId="0" xfId="20" applyFont="1" applyFill="1" applyAlignment="1">
      <alignment horizontal="left" vertical="center"/>
    </xf>
    <xf numFmtId="0" fontId="53" fillId="12" borderId="0" xfId="21" applyFont="1" applyFill="1" applyAlignment="1">
      <alignment horizontal="left" vertical="center"/>
    </xf>
    <xf numFmtId="0" fontId="53" fillId="0" borderId="0" xfId="21" quotePrefix="1" applyFont="1" applyAlignment="1">
      <alignment horizontal="left" vertical="center"/>
    </xf>
    <xf numFmtId="0" fontId="53" fillId="12" borderId="0" xfId="21" applyFont="1" applyFill="1" applyAlignment="1">
      <alignment horizontal="left"/>
    </xf>
    <xf numFmtId="0" fontId="61" fillId="0" borderId="0" xfId="22" applyFont="1" applyAlignment="1">
      <alignment horizontal="right" wrapText="1"/>
    </xf>
    <xf numFmtId="0" fontId="60" fillId="0" borderId="0" xfId="22" applyFont="1" applyAlignment="1">
      <alignment horizontal="left"/>
    </xf>
    <xf numFmtId="0" fontId="60" fillId="0" borderId="0" xfId="22" applyFont="1"/>
    <xf numFmtId="167" fontId="18" fillId="0" borderId="0" xfId="20" applyNumberFormat="1" applyAlignment="1">
      <alignment horizontal="right"/>
    </xf>
    <xf numFmtId="168" fontId="0" fillId="0" borderId="0" xfId="27" applyNumberFormat="1" applyFont="1"/>
    <xf numFmtId="168" fontId="0" fillId="25" borderId="0" xfId="0" applyFill="1"/>
    <xf numFmtId="3" fontId="27" fillId="0" borderId="58" xfId="0" applyNumberFormat="1" applyFont="1" applyBorder="1" applyAlignment="1" applyProtection="1">
      <alignment horizontal="right"/>
      <protection locked="0"/>
    </xf>
    <xf numFmtId="3" fontId="27" fillId="0" borderId="67" xfId="0" applyNumberFormat="1" applyFont="1" applyBorder="1" applyAlignment="1" applyProtection="1">
      <alignment horizontal="right"/>
      <protection locked="0"/>
    </xf>
    <xf numFmtId="3" fontId="27" fillId="0" borderId="59" xfId="0" applyNumberFormat="1" applyFont="1" applyBorder="1" applyAlignment="1" applyProtection="1">
      <alignment horizontal="right"/>
      <protection locked="0"/>
    </xf>
    <xf numFmtId="3" fontId="27" fillId="0" borderId="49" xfId="0" applyNumberFormat="1" applyFont="1" applyBorder="1" applyAlignment="1" applyProtection="1">
      <alignment horizontal="right"/>
      <protection locked="0"/>
    </xf>
    <xf numFmtId="3" fontId="27" fillId="0" borderId="64" xfId="0" applyNumberFormat="1" applyFont="1" applyBorder="1" applyAlignment="1" applyProtection="1">
      <alignment horizontal="right"/>
      <protection locked="0"/>
    </xf>
    <xf numFmtId="3" fontId="27" fillId="0" borderId="50" xfId="0" applyNumberFormat="1" applyFont="1" applyBorder="1" applyAlignment="1" applyProtection="1">
      <alignment horizontal="right"/>
      <protection locked="0"/>
    </xf>
    <xf numFmtId="3" fontId="27" fillId="11" borderId="58" xfId="0" applyNumberFormat="1" applyFont="1" applyFill="1" applyBorder="1" applyAlignment="1">
      <alignment horizontal="right"/>
    </xf>
    <xf numFmtId="3" fontId="27" fillId="0" borderId="51" xfId="0" applyNumberFormat="1" applyFont="1" applyBorder="1" applyAlignment="1" applyProtection="1">
      <alignment horizontal="right"/>
      <protection locked="0"/>
    </xf>
    <xf numFmtId="3" fontId="27" fillId="0" borderId="65" xfId="0" applyNumberFormat="1" applyFont="1" applyBorder="1" applyAlignment="1" applyProtection="1">
      <alignment horizontal="right"/>
      <protection locked="0"/>
    </xf>
    <xf numFmtId="3" fontId="27" fillId="0" borderId="52" xfId="0" applyNumberFormat="1" applyFont="1" applyBorder="1" applyAlignment="1" applyProtection="1">
      <alignment horizontal="right"/>
      <protection locked="0"/>
    </xf>
    <xf numFmtId="3" fontId="27" fillId="0" borderId="61" xfId="0" applyNumberFormat="1" applyFont="1" applyBorder="1" applyAlignment="1" applyProtection="1">
      <alignment horizontal="right"/>
      <protection locked="0"/>
    </xf>
    <xf numFmtId="3" fontId="27" fillId="0" borderId="62" xfId="0" applyNumberFormat="1" applyFont="1" applyBorder="1" applyAlignment="1" applyProtection="1">
      <alignment horizontal="right"/>
      <protection locked="0"/>
    </xf>
    <xf numFmtId="3" fontId="27" fillId="0" borderId="63" xfId="0" applyNumberFormat="1" applyFont="1" applyBorder="1" applyAlignment="1" applyProtection="1">
      <alignment horizontal="right"/>
      <protection locked="0"/>
    </xf>
    <xf numFmtId="3" fontId="27" fillId="5" borderId="58" xfId="0" applyNumberFormat="1" applyFont="1" applyFill="1" applyBorder="1" applyAlignment="1">
      <alignment horizontal="right"/>
    </xf>
    <xf numFmtId="3" fontId="27" fillId="5" borderId="67" xfId="0" applyNumberFormat="1" applyFont="1" applyFill="1" applyBorder="1" applyAlignment="1">
      <alignment horizontal="right"/>
    </xf>
    <xf numFmtId="3" fontId="27" fillId="5" borderId="59" xfId="0" applyNumberFormat="1" applyFont="1" applyFill="1" applyBorder="1" applyAlignment="1">
      <alignment horizontal="right"/>
    </xf>
    <xf numFmtId="3" fontId="27" fillId="5" borderId="49" xfId="0" applyNumberFormat="1" applyFont="1" applyFill="1" applyBorder="1" applyAlignment="1">
      <alignment horizontal="right"/>
    </xf>
    <xf numFmtId="3" fontId="27" fillId="5" borderId="64" xfId="0" applyNumberFormat="1" applyFont="1" applyFill="1" applyBorder="1" applyAlignment="1">
      <alignment horizontal="right"/>
    </xf>
    <xf numFmtId="3" fontId="27" fillId="5" borderId="50" xfId="0" applyNumberFormat="1" applyFont="1" applyFill="1" applyBorder="1" applyAlignment="1">
      <alignment horizontal="right"/>
    </xf>
    <xf numFmtId="3" fontId="27" fillId="5" borderId="51" xfId="0" applyNumberFormat="1" applyFont="1" applyFill="1" applyBorder="1" applyAlignment="1">
      <alignment horizontal="right"/>
    </xf>
    <xf numFmtId="3" fontId="27" fillId="5" borderId="65" xfId="0" applyNumberFormat="1" applyFont="1" applyFill="1" applyBorder="1" applyAlignment="1">
      <alignment horizontal="right"/>
    </xf>
    <xf numFmtId="3" fontId="27" fillId="5" borderId="52" xfId="0" applyNumberFormat="1" applyFont="1" applyFill="1" applyBorder="1" applyAlignment="1">
      <alignment horizontal="right"/>
    </xf>
    <xf numFmtId="3" fontId="27" fillId="11" borderId="53" xfId="0" applyNumberFormat="1" applyFont="1" applyFill="1" applyBorder="1" applyAlignment="1">
      <alignment horizontal="right"/>
    </xf>
    <xf numFmtId="3" fontId="27" fillId="0" borderId="66" xfId="0" applyNumberFormat="1" applyFont="1" applyBorder="1" applyAlignment="1" applyProtection="1">
      <alignment horizontal="right"/>
      <protection locked="0"/>
    </xf>
    <xf numFmtId="3" fontId="27" fillId="0" borderId="54" xfId="0" applyNumberFormat="1" applyFont="1" applyBorder="1" applyAlignment="1" applyProtection="1">
      <alignment horizontal="right"/>
      <protection locked="0"/>
    </xf>
    <xf numFmtId="3" fontId="27" fillId="5" borderId="66" xfId="0" applyNumberFormat="1" applyFont="1" applyFill="1" applyBorder="1" applyAlignment="1">
      <alignment horizontal="right"/>
    </xf>
    <xf numFmtId="3" fontId="27" fillId="5" borderId="61" xfId="0" applyNumberFormat="1" applyFont="1" applyFill="1" applyBorder="1" applyAlignment="1">
      <alignment horizontal="right"/>
    </xf>
    <xf numFmtId="3" fontId="27" fillId="5" borderId="62" xfId="0" applyNumberFormat="1" applyFont="1" applyFill="1" applyBorder="1" applyAlignment="1">
      <alignment horizontal="right"/>
    </xf>
    <xf numFmtId="3" fontId="27" fillId="5" borderId="63" xfId="0" applyNumberFormat="1" applyFont="1" applyFill="1" applyBorder="1" applyAlignment="1">
      <alignment horizontal="right"/>
    </xf>
    <xf numFmtId="3" fontId="27" fillId="5" borderId="121" xfId="0" applyNumberFormat="1" applyFont="1" applyFill="1" applyBorder="1" applyAlignment="1">
      <alignment horizontal="right"/>
    </xf>
    <xf numFmtId="3" fontId="27" fillId="5" borderId="122" xfId="0" applyNumberFormat="1" applyFont="1" applyFill="1" applyBorder="1" applyAlignment="1">
      <alignment horizontal="right"/>
    </xf>
    <xf numFmtId="3" fontId="27" fillId="5" borderId="123" xfId="0" applyNumberFormat="1" applyFont="1" applyFill="1" applyBorder="1" applyAlignment="1">
      <alignment horizontal="right"/>
    </xf>
    <xf numFmtId="3" fontId="27" fillId="5" borderId="164" xfId="0" applyNumberFormat="1" applyFont="1" applyFill="1" applyBorder="1" applyAlignment="1">
      <alignment horizontal="right"/>
    </xf>
    <xf numFmtId="3" fontId="27" fillId="5" borderId="165" xfId="0" applyNumberFormat="1" applyFont="1" applyFill="1" applyBorder="1" applyAlignment="1">
      <alignment horizontal="right"/>
    </xf>
    <xf numFmtId="3" fontId="27" fillId="5" borderId="166" xfId="0" applyNumberFormat="1" applyFont="1" applyFill="1" applyBorder="1" applyAlignment="1">
      <alignment horizontal="right"/>
    </xf>
    <xf numFmtId="3" fontId="27" fillId="5" borderId="84" xfId="0" applyNumberFormat="1" applyFont="1" applyFill="1" applyBorder="1" applyAlignment="1">
      <alignment horizontal="right"/>
    </xf>
    <xf numFmtId="3" fontId="27" fillId="5" borderId="83" xfId="0" applyNumberFormat="1" applyFont="1" applyFill="1" applyBorder="1" applyAlignment="1">
      <alignment horizontal="right"/>
    </xf>
    <xf numFmtId="3" fontId="27" fillId="11" borderId="168" xfId="0" applyNumberFormat="1" applyFont="1" applyFill="1" applyBorder="1" applyAlignment="1">
      <alignment horizontal="right"/>
    </xf>
    <xf numFmtId="3" fontId="27" fillId="5" borderId="169" xfId="0" applyNumberFormat="1" applyFont="1" applyFill="1" applyBorder="1" applyAlignment="1">
      <alignment horizontal="right"/>
    </xf>
    <xf numFmtId="3" fontId="44" fillId="0" borderId="58" xfId="0" applyNumberFormat="1" applyFont="1" applyBorder="1" applyAlignment="1" applyProtection="1">
      <alignment horizontal="right"/>
      <protection locked="0"/>
    </xf>
    <xf numFmtId="3" fontId="44" fillId="0" borderId="67" xfId="0" applyNumberFormat="1" applyFont="1" applyBorder="1" applyAlignment="1" applyProtection="1">
      <alignment horizontal="right"/>
      <protection locked="0"/>
    </xf>
    <xf numFmtId="3" fontId="44" fillId="0" borderId="59" xfId="0" applyNumberFormat="1" applyFont="1" applyBorder="1" applyAlignment="1" applyProtection="1">
      <alignment horizontal="right"/>
      <protection locked="0"/>
    </xf>
    <xf numFmtId="3" fontId="44" fillId="11" borderId="58" xfId="0" applyNumberFormat="1" applyFont="1" applyFill="1" applyBorder="1" applyAlignment="1">
      <alignment horizontal="right"/>
    </xf>
    <xf numFmtId="3" fontId="44" fillId="0" borderId="51" xfId="0" applyNumberFormat="1" applyFont="1" applyBorder="1" applyAlignment="1" applyProtection="1">
      <alignment horizontal="right"/>
      <protection locked="0"/>
    </xf>
    <xf numFmtId="3" fontId="44" fillId="0" borderId="65" xfId="0" applyNumberFormat="1" applyFont="1" applyBorder="1" applyAlignment="1" applyProtection="1">
      <alignment horizontal="right"/>
      <protection locked="0"/>
    </xf>
    <xf numFmtId="3" fontId="44" fillId="0" borderId="52" xfId="0" applyNumberFormat="1" applyFont="1" applyBorder="1" applyAlignment="1" applyProtection="1">
      <alignment horizontal="right"/>
      <protection locked="0"/>
    </xf>
    <xf numFmtId="3" fontId="44" fillId="5" borderId="121" xfId="0" applyNumberFormat="1" applyFont="1" applyFill="1" applyBorder="1" applyAlignment="1">
      <alignment horizontal="right"/>
    </xf>
    <xf numFmtId="3" fontId="44" fillId="5" borderId="122" xfId="0" applyNumberFormat="1" applyFont="1" applyFill="1" applyBorder="1" applyAlignment="1">
      <alignment horizontal="right"/>
    </xf>
    <xf numFmtId="3" fontId="44" fillId="5" borderId="123" xfId="0" applyNumberFormat="1" applyFont="1" applyFill="1" applyBorder="1" applyAlignment="1">
      <alignment horizontal="right"/>
    </xf>
    <xf numFmtId="3" fontId="44" fillId="5" borderId="61" xfId="0" applyNumberFormat="1" applyFont="1" applyFill="1" applyBorder="1" applyAlignment="1">
      <alignment horizontal="right"/>
    </xf>
    <xf numFmtId="3" fontId="44" fillId="5" borderId="62" xfId="0" applyNumberFormat="1" applyFont="1" applyFill="1" applyBorder="1" applyAlignment="1">
      <alignment horizontal="right"/>
    </xf>
    <xf numFmtId="3" fontId="44" fillId="5" borderId="63" xfId="0" applyNumberFormat="1" applyFont="1" applyFill="1" applyBorder="1" applyAlignment="1">
      <alignment horizontal="right"/>
    </xf>
    <xf numFmtId="3" fontId="44" fillId="5" borderId="58" xfId="0" applyNumberFormat="1" applyFont="1" applyFill="1" applyBorder="1" applyAlignment="1">
      <alignment horizontal="right"/>
    </xf>
    <xf numFmtId="3" fontId="44" fillId="5" borderId="67" xfId="0" applyNumberFormat="1" applyFont="1" applyFill="1" applyBorder="1" applyAlignment="1">
      <alignment horizontal="right"/>
    </xf>
    <xf numFmtId="3" fontId="44" fillId="5" borderId="59" xfId="0" applyNumberFormat="1" applyFont="1" applyFill="1" applyBorder="1" applyAlignment="1">
      <alignment horizontal="right"/>
    </xf>
    <xf numFmtId="3" fontId="44" fillId="5" borderId="164" xfId="0" applyNumberFormat="1" applyFont="1" applyFill="1" applyBorder="1" applyAlignment="1">
      <alignment horizontal="right"/>
    </xf>
    <xf numFmtId="3" fontId="44" fillId="5" borderId="165" xfId="0" applyNumberFormat="1" applyFont="1" applyFill="1" applyBorder="1" applyAlignment="1">
      <alignment horizontal="right"/>
    </xf>
    <xf numFmtId="3" fontId="44" fillId="5" borderId="166" xfId="0" applyNumberFormat="1" applyFont="1" applyFill="1" applyBorder="1" applyAlignment="1">
      <alignment horizontal="right"/>
    </xf>
    <xf numFmtId="3" fontId="44" fillId="5" borderId="84" xfId="0" applyNumberFormat="1" applyFont="1" applyFill="1" applyBorder="1" applyAlignment="1">
      <alignment horizontal="right"/>
    </xf>
    <xf numFmtId="3" fontId="44" fillId="5" borderId="83" xfId="0" applyNumberFormat="1" applyFont="1" applyFill="1" applyBorder="1" applyAlignment="1">
      <alignment horizontal="right"/>
    </xf>
    <xf numFmtId="3" fontId="44" fillId="5" borderId="51" xfId="0" applyNumberFormat="1" applyFont="1" applyFill="1" applyBorder="1" applyAlignment="1">
      <alignment horizontal="right"/>
    </xf>
    <xf numFmtId="3" fontId="44" fillId="5" borderId="65" xfId="0" applyNumberFormat="1" applyFont="1" applyFill="1" applyBorder="1" applyAlignment="1">
      <alignment horizontal="right"/>
    </xf>
    <xf numFmtId="3" fontId="44" fillId="5" borderId="52" xfId="0" applyNumberFormat="1" applyFont="1" applyFill="1" applyBorder="1" applyAlignment="1">
      <alignment horizontal="right"/>
    </xf>
    <xf numFmtId="3" fontId="27" fillId="11" borderId="0" xfId="0" applyNumberFormat="1" applyFont="1" applyFill="1" applyAlignment="1">
      <alignment horizontal="right"/>
    </xf>
    <xf numFmtId="3" fontId="27" fillId="11" borderId="230" xfId="0" applyNumberFormat="1" applyFont="1" applyFill="1" applyBorder="1" applyAlignment="1">
      <alignment horizontal="right"/>
    </xf>
    <xf numFmtId="3" fontId="27" fillId="11" borderId="37" xfId="0" applyNumberFormat="1" applyFont="1" applyFill="1" applyBorder="1" applyAlignment="1">
      <alignment horizontal="right"/>
    </xf>
    <xf numFmtId="3" fontId="27" fillId="11" borderId="195" xfId="0" applyNumberFormat="1" applyFont="1" applyFill="1" applyBorder="1" applyAlignment="1">
      <alignment horizontal="right"/>
    </xf>
    <xf numFmtId="3" fontId="27" fillId="0" borderId="189" xfId="0" applyNumberFormat="1" applyFont="1" applyBorder="1" applyAlignment="1" applyProtection="1">
      <alignment horizontal="right"/>
      <protection locked="0"/>
    </xf>
    <xf numFmtId="3" fontId="27" fillId="0" borderId="203" xfId="0" applyNumberFormat="1" applyFont="1" applyBorder="1" applyAlignment="1" applyProtection="1">
      <alignment horizontal="right"/>
      <protection locked="0"/>
    </xf>
    <xf numFmtId="3" fontId="27" fillId="0" borderId="148" xfId="0" applyNumberFormat="1" applyFont="1" applyBorder="1" applyAlignment="1" applyProtection="1">
      <alignment horizontal="right"/>
      <protection locked="0"/>
    </xf>
    <xf numFmtId="3" fontId="27" fillId="0" borderId="196" xfId="0" applyNumberFormat="1" applyFont="1" applyBorder="1" applyAlignment="1" applyProtection="1">
      <alignment horizontal="right"/>
      <protection locked="0"/>
    </xf>
    <xf numFmtId="3" fontId="27" fillId="22" borderId="203" xfId="0" applyNumberFormat="1" applyFont="1" applyFill="1" applyBorder="1" applyAlignment="1" applyProtection="1">
      <alignment horizontal="right"/>
      <protection locked="0"/>
    </xf>
    <xf numFmtId="3" fontId="27" fillId="22" borderId="146" xfId="0" applyNumberFormat="1" applyFont="1" applyFill="1" applyBorder="1" applyAlignment="1" applyProtection="1">
      <alignment horizontal="right"/>
      <protection locked="0"/>
    </xf>
    <xf numFmtId="3" fontId="27" fillId="5" borderId="189" xfId="0" applyNumberFormat="1" applyFont="1" applyFill="1" applyBorder="1" applyAlignment="1">
      <alignment horizontal="right"/>
    </xf>
    <xf numFmtId="3" fontId="27" fillId="5" borderId="203" xfId="0" applyNumberFormat="1" applyFont="1" applyFill="1" applyBorder="1" applyAlignment="1">
      <alignment horizontal="right"/>
    </xf>
    <xf numFmtId="3" fontId="27" fillId="5" borderId="146" xfId="0" applyNumberFormat="1" applyFont="1" applyFill="1" applyBorder="1" applyAlignment="1">
      <alignment horizontal="right"/>
    </xf>
    <xf numFmtId="3" fontId="27" fillId="11" borderId="190" xfId="0" applyNumberFormat="1" applyFont="1" applyFill="1" applyBorder="1" applyAlignment="1">
      <alignment horizontal="right"/>
    </xf>
    <xf numFmtId="3" fontId="27" fillId="11" borderId="229" xfId="0" applyNumberFormat="1" applyFont="1" applyFill="1" applyBorder="1" applyAlignment="1">
      <alignment horizontal="right"/>
    </xf>
    <xf numFmtId="3" fontId="27" fillId="11" borderId="149" xfId="0" applyNumberFormat="1" applyFont="1" applyFill="1" applyBorder="1" applyAlignment="1">
      <alignment horizontal="right"/>
    </xf>
    <xf numFmtId="3" fontId="27" fillId="11" borderId="197" xfId="0" applyNumberFormat="1" applyFont="1" applyFill="1" applyBorder="1" applyAlignment="1">
      <alignment horizontal="right"/>
    </xf>
    <xf numFmtId="3" fontId="27" fillId="11" borderId="86" xfId="0" applyNumberFormat="1" applyFont="1" applyFill="1" applyBorder="1" applyAlignment="1">
      <alignment horizontal="right"/>
    </xf>
    <xf numFmtId="3" fontId="27" fillId="11" borderId="150" xfId="0" applyNumberFormat="1" applyFont="1" applyFill="1" applyBorder="1" applyAlignment="1">
      <alignment horizontal="right"/>
    </xf>
    <xf numFmtId="3" fontId="27" fillId="0" borderId="202" xfId="0" applyNumberFormat="1" applyFont="1" applyBorder="1" applyAlignment="1" applyProtection="1">
      <alignment horizontal="right"/>
      <protection locked="0"/>
    </xf>
    <xf numFmtId="3" fontId="27" fillId="0" borderId="37" xfId="0" applyNumberFormat="1" applyFont="1" applyBorder="1" applyAlignment="1" applyProtection="1">
      <alignment horizontal="right"/>
      <protection locked="0"/>
    </xf>
    <xf numFmtId="3" fontId="27" fillId="0" borderId="195" xfId="0" applyNumberFormat="1" applyFont="1" applyBorder="1" applyAlignment="1" applyProtection="1">
      <alignment horizontal="right"/>
      <protection locked="0"/>
    </xf>
    <xf numFmtId="3" fontId="27" fillId="0" borderId="0" xfId="0" applyNumberFormat="1" applyFont="1" applyAlignment="1" applyProtection="1">
      <alignment horizontal="right"/>
      <protection locked="0"/>
    </xf>
    <xf numFmtId="3" fontId="27" fillId="5" borderId="202" xfId="0" applyNumberFormat="1" applyFont="1" applyFill="1" applyBorder="1" applyAlignment="1">
      <alignment horizontal="right"/>
    </xf>
    <xf numFmtId="3" fontId="27" fillId="5" borderId="0" xfId="0" applyNumberFormat="1" applyFont="1" applyFill="1" applyAlignment="1">
      <alignment horizontal="right"/>
    </xf>
    <xf numFmtId="3" fontId="27" fillId="0" borderId="146" xfId="0" applyNumberFormat="1" applyFont="1" applyBorder="1" applyAlignment="1" applyProtection="1">
      <alignment horizontal="right"/>
      <protection locked="0"/>
    </xf>
    <xf numFmtId="3" fontId="27" fillId="0" borderId="190" xfId="0" applyNumberFormat="1" applyFont="1" applyBorder="1" applyAlignment="1" applyProtection="1">
      <alignment horizontal="right"/>
      <protection locked="0"/>
    </xf>
    <xf numFmtId="3" fontId="27" fillId="0" borderId="204" xfId="0" applyNumberFormat="1" applyFont="1" applyBorder="1" applyAlignment="1" applyProtection="1">
      <alignment horizontal="right"/>
      <protection locked="0"/>
    </xf>
    <xf numFmtId="3" fontId="27" fillId="0" borderId="149" xfId="0" applyNumberFormat="1" applyFont="1" applyBorder="1" applyAlignment="1" applyProtection="1">
      <alignment horizontal="right"/>
      <protection locked="0"/>
    </xf>
    <xf numFmtId="3" fontId="27" fillId="0" borderId="197" xfId="0" applyNumberFormat="1" applyFont="1" applyBorder="1" applyAlignment="1" applyProtection="1">
      <alignment horizontal="right"/>
      <protection locked="0"/>
    </xf>
    <xf numFmtId="3" fontId="27" fillId="0" borderId="86" xfId="0" applyNumberFormat="1" applyFont="1" applyBorder="1" applyAlignment="1" applyProtection="1">
      <alignment horizontal="right"/>
      <protection locked="0"/>
    </xf>
    <xf numFmtId="3" fontId="27" fillId="5" borderId="86" xfId="0" applyNumberFormat="1" applyFont="1" applyFill="1" applyBorder="1" applyAlignment="1">
      <alignment horizontal="right"/>
    </xf>
    <xf numFmtId="3" fontId="27" fillId="0" borderId="192" xfId="0" applyNumberFormat="1" applyFont="1" applyBorder="1" applyAlignment="1" applyProtection="1">
      <alignment horizontal="right"/>
      <protection locked="0"/>
    </xf>
    <xf numFmtId="3" fontId="27" fillId="0" borderId="201" xfId="0" applyNumberFormat="1" applyFont="1" applyBorder="1" applyAlignment="1" applyProtection="1">
      <alignment horizontal="right"/>
      <protection locked="0"/>
    </xf>
    <xf numFmtId="3" fontId="27" fillId="0" borderId="43" xfId="0" applyNumberFormat="1" applyFont="1" applyBorder="1" applyAlignment="1" applyProtection="1">
      <alignment horizontal="right"/>
      <protection locked="0"/>
    </xf>
    <xf numFmtId="3" fontId="27" fillId="0" borderId="199" xfId="0" applyNumberFormat="1" applyFont="1" applyBorder="1" applyAlignment="1" applyProtection="1">
      <alignment horizontal="right"/>
      <protection locked="0"/>
    </xf>
    <xf numFmtId="3" fontId="27" fillId="0" borderId="42" xfId="0" applyNumberFormat="1" applyFont="1" applyBorder="1" applyAlignment="1" applyProtection="1">
      <alignment horizontal="right"/>
      <protection locked="0"/>
    </xf>
    <xf numFmtId="3" fontId="27" fillId="5" borderId="192" xfId="0" applyNumberFormat="1" applyFont="1" applyFill="1" applyBorder="1" applyAlignment="1">
      <alignment horizontal="right"/>
    </xf>
    <xf numFmtId="3" fontId="27" fillId="5" borderId="201" xfId="0" applyNumberFormat="1" applyFont="1" applyFill="1" applyBorder="1" applyAlignment="1">
      <alignment horizontal="right"/>
    </xf>
    <xf numFmtId="3" fontId="27" fillId="5" borderId="42" xfId="0" applyNumberFormat="1" applyFont="1" applyFill="1" applyBorder="1" applyAlignment="1">
      <alignment horizontal="right"/>
    </xf>
    <xf numFmtId="169" fontId="18" fillId="6" borderId="73" xfId="0" applyNumberFormat="1" applyFont="1" applyFill="1" applyBorder="1" applyAlignment="1">
      <alignment horizontal="right"/>
    </xf>
    <xf numFmtId="169" fontId="18" fillId="6" borderId="101" xfId="0" applyNumberFormat="1" applyFont="1" applyFill="1" applyBorder="1" applyAlignment="1">
      <alignment horizontal="right"/>
    </xf>
    <xf numFmtId="169" fontId="18" fillId="6" borderId="264" xfId="0" applyNumberFormat="1" applyFont="1" applyFill="1" applyBorder="1" applyAlignment="1">
      <alignment horizontal="right"/>
    </xf>
    <xf numFmtId="169" fontId="18" fillId="0" borderId="264" xfId="0" applyNumberFormat="1" applyFont="1" applyBorder="1" applyAlignment="1">
      <alignment horizontal="right"/>
    </xf>
    <xf numFmtId="169" fontId="18" fillId="6" borderId="259" xfId="0" applyNumberFormat="1" applyFont="1" applyFill="1" applyBorder="1" applyAlignment="1">
      <alignment horizontal="right"/>
    </xf>
    <xf numFmtId="169" fontId="18" fillId="6" borderId="41" xfId="0" applyNumberFormat="1" applyFont="1" applyFill="1" applyBorder="1" applyAlignment="1">
      <alignment horizontal="right"/>
    </xf>
    <xf numFmtId="3" fontId="27" fillId="5" borderId="191" xfId="0" applyNumberFormat="1" applyFont="1" applyFill="1" applyBorder="1" applyAlignment="1">
      <alignment horizontal="right"/>
    </xf>
    <xf numFmtId="3" fontId="27" fillId="5" borderId="205" xfId="0" applyNumberFormat="1" applyFont="1" applyFill="1" applyBorder="1" applyAlignment="1">
      <alignment horizontal="right"/>
    </xf>
    <xf numFmtId="3" fontId="27" fillId="5" borderId="207" xfId="0" applyNumberFormat="1" applyFont="1" applyFill="1" applyBorder="1" applyAlignment="1">
      <alignment horizontal="right"/>
    </xf>
    <xf numFmtId="3" fontId="27" fillId="5" borderId="198" xfId="0" applyNumberFormat="1" applyFont="1" applyFill="1" applyBorder="1" applyAlignment="1">
      <alignment horizontal="right"/>
    </xf>
    <xf numFmtId="3" fontId="27" fillId="5" borderId="147" xfId="0" applyNumberFormat="1" applyFont="1" applyFill="1" applyBorder="1" applyAlignment="1">
      <alignment horizontal="right"/>
    </xf>
    <xf numFmtId="3" fontId="27" fillId="5" borderId="37" xfId="0" applyNumberFormat="1" applyFont="1" applyFill="1" applyBorder="1" applyAlignment="1">
      <alignment horizontal="right"/>
    </xf>
    <xf numFmtId="3" fontId="27" fillId="5" borderId="195" xfId="0" applyNumberFormat="1" applyFont="1" applyFill="1" applyBorder="1" applyAlignment="1">
      <alignment horizontal="right"/>
    </xf>
    <xf numFmtId="3" fontId="27" fillId="5" borderId="148" xfId="0" applyNumberFormat="1" applyFont="1" applyFill="1" applyBorder="1" applyAlignment="1">
      <alignment horizontal="right"/>
    </xf>
    <xf numFmtId="3" fontId="27" fillId="5" borderId="196" xfId="0" applyNumberFormat="1" applyFont="1" applyFill="1" applyBorder="1" applyAlignment="1">
      <alignment horizontal="right"/>
    </xf>
    <xf numFmtId="3" fontId="27" fillId="5" borderId="43" xfId="0" applyNumberFormat="1" applyFont="1" applyFill="1" applyBorder="1" applyAlignment="1">
      <alignment horizontal="right"/>
    </xf>
    <xf numFmtId="3" fontId="27" fillId="5" borderId="199" xfId="0" applyNumberFormat="1" applyFont="1" applyFill="1" applyBorder="1" applyAlignment="1">
      <alignment horizontal="right"/>
    </xf>
    <xf numFmtId="169" fontId="18" fillId="6" borderId="61" xfId="0" applyNumberFormat="1" applyFont="1" applyFill="1" applyBorder="1" applyAlignment="1">
      <alignment horizontal="right"/>
    </xf>
    <xf numFmtId="169" fontId="18" fillId="6" borderId="222" xfId="0" applyNumberFormat="1" applyFont="1" applyFill="1" applyBorder="1" applyAlignment="1">
      <alignment horizontal="right"/>
    </xf>
    <xf numFmtId="168" fontId="17" fillId="0" borderId="19" xfId="0" applyFont="1" applyBorder="1"/>
    <xf numFmtId="3" fontId="0" fillId="0" borderId="272" xfId="0" applyNumberFormat="1" applyBorder="1"/>
    <xf numFmtId="3" fontId="0" fillId="11" borderId="0" xfId="0" applyNumberFormat="1" applyFill="1"/>
    <xf numFmtId="3" fontId="0" fillId="11" borderId="42" xfId="0" applyNumberFormat="1" applyFill="1" applyBorder="1"/>
    <xf numFmtId="3" fontId="0" fillId="11" borderId="41" xfId="0" applyNumberFormat="1" applyFill="1" applyBorder="1"/>
    <xf numFmtId="168" fontId="0" fillId="11" borderId="42" xfId="0" applyFill="1" applyBorder="1"/>
    <xf numFmtId="49" fontId="27" fillId="10" borderId="142" xfId="0" applyNumberFormat="1" applyFont="1" applyFill="1" applyBorder="1" applyAlignment="1">
      <alignment wrapText="1"/>
    </xf>
    <xf numFmtId="3" fontId="27" fillId="12" borderId="142" xfId="0" applyNumberFormat="1" applyFont="1" applyFill="1" applyBorder="1" applyAlignment="1">
      <alignment wrapText="1"/>
    </xf>
    <xf numFmtId="3" fontId="27" fillId="12" borderId="142" xfId="0" applyNumberFormat="1" applyFont="1" applyFill="1" applyBorder="1" applyAlignment="1">
      <alignment horizontal="right" wrapText="1"/>
    </xf>
    <xf numFmtId="1" fontId="0" fillId="0" borderId="37" xfId="0" applyNumberFormat="1" applyBorder="1"/>
    <xf numFmtId="1" fontId="0" fillId="0" borderId="41" xfId="0" applyNumberFormat="1" applyBorder="1"/>
    <xf numFmtId="1" fontId="0" fillId="0" borderId="42" xfId="0" applyNumberFormat="1" applyBorder="1"/>
    <xf numFmtId="1" fontId="0" fillId="0" borderId="43" xfId="0" applyNumberFormat="1" applyBorder="1"/>
    <xf numFmtId="169" fontId="18" fillId="0" borderId="273" xfId="0" applyNumberFormat="1" applyFont="1" applyBorder="1" applyAlignment="1">
      <alignment horizontal="right"/>
    </xf>
    <xf numFmtId="169" fontId="18" fillId="0" borderId="274" xfId="0" applyNumberFormat="1" applyFont="1" applyBorder="1" applyAlignment="1">
      <alignment horizontal="right"/>
    </xf>
    <xf numFmtId="0" fontId="67" fillId="0" borderId="0" xfId="17" applyNumberFormat="1" applyFont="1" applyBorder="1" applyAlignment="1">
      <alignment horizontal="left"/>
    </xf>
    <xf numFmtId="0" fontId="34" fillId="0" borderId="0" xfId="20" applyFont="1"/>
    <xf numFmtId="168" fontId="18" fillId="0" borderId="0" xfId="0" applyFont="1" applyAlignment="1">
      <alignment textRotation="90"/>
    </xf>
    <xf numFmtId="3" fontId="0" fillId="0" borderId="0" xfId="0" applyNumberFormat="1" applyAlignment="1">
      <alignment horizontal="left"/>
    </xf>
    <xf numFmtId="3" fontId="45" fillId="0" borderId="0" xfId="0" applyNumberFormat="1" applyFont="1" applyAlignment="1">
      <alignment horizontal="left" vertical="top"/>
    </xf>
    <xf numFmtId="168" fontId="0" fillId="0" borderId="44" xfId="0" applyBorder="1"/>
    <xf numFmtId="4" fontId="18" fillId="0" borderId="51" xfId="0" applyNumberFormat="1" applyFont="1" applyBorder="1" applyAlignment="1">
      <alignment horizontal="right"/>
    </xf>
    <xf numFmtId="4" fontId="18" fillId="0" borderId="53" xfId="0" applyNumberFormat="1" applyFont="1" applyBorder="1" applyAlignment="1">
      <alignment horizontal="right"/>
    </xf>
    <xf numFmtId="4" fontId="18" fillId="0" borderId="66" xfId="0" applyNumberFormat="1" applyFont="1" applyBorder="1" applyAlignment="1">
      <alignment horizontal="right"/>
    </xf>
    <xf numFmtId="4" fontId="0" fillId="0" borderId="4" xfId="0" applyNumberFormat="1" applyBorder="1"/>
    <xf numFmtId="3" fontId="18" fillId="0" borderId="142" xfId="0" applyNumberFormat="1" applyFont="1" applyBorder="1" applyAlignment="1">
      <alignment horizontal="right"/>
    </xf>
    <xf numFmtId="4" fontId="18" fillId="0" borderId="310" xfId="0" applyNumberFormat="1" applyFont="1" applyBorder="1" applyAlignment="1">
      <alignment horizontal="right"/>
    </xf>
    <xf numFmtId="3" fontId="24" fillId="0" borderId="4" xfId="0" applyNumberFormat="1" applyFont="1" applyBorder="1" applyAlignment="1">
      <alignment wrapText="1"/>
    </xf>
    <xf numFmtId="49" fontId="0" fillId="0" borderId="0" xfId="0" applyNumberFormat="1"/>
    <xf numFmtId="1" fontId="51" fillId="0" borderId="0" xfId="0" applyNumberFormat="1" applyFont="1" applyAlignment="1">
      <alignment horizontal="left"/>
    </xf>
    <xf numFmtId="14" fontId="51" fillId="0" borderId="0" xfId="0" applyNumberFormat="1" applyFont="1"/>
    <xf numFmtId="0" fontId="60" fillId="0" borderId="0" xfId="21" quotePrefix="1" applyFont="1" applyAlignment="1">
      <alignment horizontal="left" vertical="center"/>
    </xf>
    <xf numFmtId="0" fontId="60" fillId="0" borderId="0" xfId="20" applyFont="1"/>
    <xf numFmtId="3" fontId="43" fillId="0" borderId="0" xfId="0" applyNumberFormat="1" applyFont="1" applyAlignment="1">
      <alignment wrapText="1"/>
    </xf>
    <xf numFmtId="168" fontId="0" fillId="0" borderId="0" xfId="0" applyAlignment="1">
      <alignment horizontal="center"/>
    </xf>
    <xf numFmtId="168" fontId="69" fillId="28" borderId="0" xfId="0" applyFont="1" applyFill="1" applyAlignment="1">
      <alignment horizontal="center" wrapText="1"/>
    </xf>
    <xf numFmtId="168" fontId="0" fillId="27" borderId="0" xfId="0" applyFill="1" applyAlignment="1">
      <alignment wrapText="1"/>
    </xf>
    <xf numFmtId="168" fontId="46" fillId="0" borderId="0" xfId="0" applyFont="1" applyAlignment="1">
      <alignment wrapText="1"/>
    </xf>
    <xf numFmtId="168" fontId="17" fillId="0" borderId="0" xfId="0" applyFont="1" applyAlignment="1">
      <alignment wrapText="1"/>
    </xf>
    <xf numFmtId="168" fontId="43" fillId="0" borderId="0" xfId="0" applyFont="1" applyAlignment="1">
      <alignment horizontal="left" vertical="top" wrapText="1"/>
    </xf>
    <xf numFmtId="0" fontId="40" fillId="0" borderId="0" xfId="20" applyFont="1"/>
    <xf numFmtId="3" fontId="18" fillId="0" borderId="41" xfId="0" applyNumberFormat="1" applyFont="1" applyBorder="1"/>
    <xf numFmtId="3" fontId="0" fillId="0" borderId="19" xfId="0" applyNumberFormat="1" applyBorder="1"/>
    <xf numFmtId="3" fontId="0" fillId="0" borderId="19" xfId="0" applyNumberFormat="1" applyBorder="1" applyAlignment="1">
      <alignment horizontal="right"/>
    </xf>
    <xf numFmtId="3" fontId="28" fillId="0" borderId="19" xfId="0" applyNumberFormat="1" applyFont="1" applyBorder="1" applyAlignment="1">
      <alignment horizontal="right" wrapText="1"/>
    </xf>
    <xf numFmtId="3" fontId="26" fillId="0" borderId="19" xfId="0" applyNumberFormat="1" applyFont="1" applyBorder="1" applyAlignment="1">
      <alignment horizontal="right" wrapText="1"/>
    </xf>
    <xf numFmtId="3" fontId="28" fillId="0" borderId="20" xfId="0" applyNumberFormat="1" applyFont="1" applyBorder="1" applyAlignment="1">
      <alignment horizontal="right" wrapText="1"/>
    </xf>
    <xf numFmtId="3" fontId="28" fillId="0" borderId="22" xfId="0" applyNumberFormat="1" applyFont="1" applyBorder="1" applyAlignment="1">
      <alignment horizontal="right" wrapText="1"/>
    </xf>
    <xf numFmtId="3" fontId="27" fillId="0" borderId="316" xfId="0" applyNumberFormat="1" applyFont="1" applyBorder="1" applyAlignment="1" applyProtection="1">
      <alignment horizontal="right" wrapText="1"/>
      <protection locked="0"/>
    </xf>
    <xf numFmtId="3" fontId="27" fillId="0" borderId="317" xfId="0" applyNumberFormat="1" applyFont="1" applyBorder="1" applyAlignment="1" applyProtection="1">
      <alignment horizontal="right" wrapText="1"/>
      <protection locked="0"/>
    </xf>
    <xf numFmtId="3" fontId="27" fillId="0" borderId="318" xfId="0" applyNumberFormat="1" applyFont="1" applyBorder="1" applyAlignment="1" applyProtection="1">
      <alignment horizontal="right" wrapText="1"/>
      <protection locked="0"/>
    </xf>
    <xf numFmtId="3" fontId="27" fillId="0" borderId="319" xfId="0" applyNumberFormat="1" applyFont="1" applyBorder="1" applyAlignment="1" applyProtection="1">
      <alignment horizontal="right" wrapText="1"/>
      <protection locked="0"/>
    </xf>
    <xf numFmtId="3" fontId="27" fillId="5" borderId="74" xfId="0" applyNumberFormat="1" applyFont="1" applyFill="1" applyBorder="1"/>
    <xf numFmtId="3" fontId="27" fillId="5" borderId="75" xfId="0" applyNumberFormat="1" applyFont="1" applyFill="1" applyBorder="1"/>
    <xf numFmtId="3" fontId="27" fillId="5" borderId="131" xfId="0" applyNumberFormat="1" applyFont="1" applyFill="1" applyBorder="1"/>
    <xf numFmtId="3" fontId="27" fillId="5" borderId="77" xfId="0" applyNumberFormat="1" applyFont="1" applyFill="1" applyBorder="1"/>
    <xf numFmtId="168" fontId="24" fillId="0" borderId="0" xfId="0" applyFont="1" applyAlignment="1">
      <alignment horizontal="right"/>
    </xf>
    <xf numFmtId="168" fontId="24" fillId="0" borderId="24" xfId="0" applyFont="1" applyBorder="1" applyAlignment="1">
      <alignment horizontal="right"/>
    </xf>
    <xf numFmtId="3" fontId="0" fillId="0" borderId="23" xfId="0" applyNumberFormat="1" applyBorder="1"/>
    <xf numFmtId="3" fontId="0" fillId="0" borderId="20" xfId="0" applyNumberFormat="1" applyBorder="1"/>
    <xf numFmtId="0" fontId="53" fillId="12" borderId="0" xfId="22" applyFont="1" applyFill="1"/>
    <xf numFmtId="0" fontId="53" fillId="12" borderId="0" xfId="22" applyFont="1" applyFill="1" applyAlignment="1">
      <alignment horizontal="left"/>
    </xf>
    <xf numFmtId="169" fontId="18" fillId="0" borderId="228" xfId="0" applyNumberFormat="1" applyFont="1" applyBorder="1" applyAlignment="1">
      <alignment horizontal="right"/>
    </xf>
    <xf numFmtId="169" fontId="18" fillId="0" borderId="223" xfId="0" applyNumberFormat="1" applyFont="1" applyBorder="1" applyAlignment="1">
      <alignment horizontal="right"/>
    </xf>
    <xf numFmtId="168" fontId="0" fillId="13" borderId="0" xfId="0" applyFill="1" applyAlignment="1">
      <alignment textRotation="90"/>
    </xf>
    <xf numFmtId="168" fontId="0" fillId="7" borderId="0" xfId="0" applyFill="1" applyAlignment="1">
      <alignment wrapText="1"/>
    </xf>
    <xf numFmtId="168" fontId="18" fillId="7" borderId="0" xfId="0" applyFont="1" applyFill="1" applyAlignment="1">
      <alignment wrapText="1"/>
    </xf>
    <xf numFmtId="168" fontId="0" fillId="5" borderId="0" xfId="0" applyFill="1" applyAlignment="1">
      <alignment wrapText="1"/>
    </xf>
    <xf numFmtId="168" fontId="18" fillId="5" borderId="0" xfId="0" applyFont="1" applyFill="1" applyAlignment="1">
      <alignment wrapText="1"/>
    </xf>
    <xf numFmtId="169" fontId="18" fillId="0" borderId="263" xfId="0" applyNumberFormat="1" applyFont="1" applyBorder="1" applyAlignment="1">
      <alignment horizontal="right"/>
    </xf>
    <xf numFmtId="3" fontId="18" fillId="19" borderId="0" xfId="0" applyNumberFormat="1" applyFont="1" applyFill="1"/>
    <xf numFmtId="3" fontId="18" fillId="15" borderId="0" xfId="0" applyNumberFormat="1" applyFont="1" applyFill="1"/>
    <xf numFmtId="3" fontId="18" fillId="25" borderId="0" xfId="0" applyNumberFormat="1" applyFont="1" applyFill="1"/>
    <xf numFmtId="3" fontId="18" fillId="11" borderId="0" xfId="0" applyNumberFormat="1" applyFont="1" applyFill="1"/>
    <xf numFmtId="3" fontId="18" fillId="16" borderId="0" xfId="0" applyNumberFormat="1" applyFont="1" applyFill="1"/>
    <xf numFmtId="168" fontId="18" fillId="19" borderId="0" xfId="0" applyFont="1" applyFill="1"/>
    <xf numFmtId="168" fontId="18" fillId="15" borderId="0" xfId="0" applyFont="1" applyFill="1"/>
    <xf numFmtId="168" fontId="18" fillId="25" borderId="0" xfId="0" applyFont="1" applyFill="1"/>
    <xf numFmtId="168" fontId="18" fillId="16" borderId="0" xfId="0" applyFont="1" applyFill="1"/>
    <xf numFmtId="168" fontId="18" fillId="29" borderId="0" xfId="0" applyFont="1" applyFill="1"/>
    <xf numFmtId="168" fontId="18" fillId="30" borderId="0" xfId="0" applyFont="1" applyFill="1"/>
    <xf numFmtId="168" fontId="18" fillId="31" borderId="0" xfId="0" applyFont="1" applyFill="1"/>
    <xf numFmtId="168" fontId="18" fillId="18" borderId="0" xfId="0" applyFont="1" applyFill="1"/>
    <xf numFmtId="168" fontId="18" fillId="11" borderId="0" xfId="0" applyFont="1" applyFill="1"/>
    <xf numFmtId="3" fontId="18" fillId="32" borderId="0" xfId="0" applyNumberFormat="1" applyFont="1" applyFill="1"/>
    <xf numFmtId="3" fontId="18" fillId="29" borderId="0" xfId="0" applyNumberFormat="1" applyFont="1" applyFill="1"/>
    <xf numFmtId="3" fontId="18" fillId="18" borderId="0" xfId="0" applyNumberFormat="1" applyFont="1" applyFill="1"/>
    <xf numFmtId="3" fontId="18" fillId="31" borderId="0" xfId="0" applyNumberFormat="1" applyFont="1" applyFill="1"/>
    <xf numFmtId="168" fontId="28" fillId="19" borderId="0" xfId="0" applyFont="1" applyFill="1"/>
    <xf numFmtId="168" fontId="28" fillId="15" borderId="0" xfId="0" applyFont="1" applyFill="1"/>
    <xf numFmtId="168" fontId="19" fillId="11" borderId="0" xfId="3" applyFill="1"/>
    <xf numFmtId="168" fontId="18" fillId="32" borderId="0" xfId="0" applyFont="1" applyFill="1"/>
    <xf numFmtId="168" fontId="18" fillId="0" borderId="0" xfId="0" applyFont="1" applyAlignment="1">
      <alignment horizontal="left" wrapText="1"/>
    </xf>
    <xf numFmtId="3" fontId="0" fillId="13" borderId="0" xfId="0" applyNumberFormat="1" applyFill="1" applyAlignment="1">
      <alignment wrapText="1"/>
    </xf>
    <xf numFmtId="1" fontId="0" fillId="13" borderId="0" xfId="0" applyNumberFormat="1" applyFill="1" applyAlignment="1">
      <alignment wrapText="1"/>
    </xf>
    <xf numFmtId="3" fontId="0" fillId="7" borderId="0" xfId="0" applyNumberFormat="1" applyFill="1" applyAlignment="1">
      <alignment wrapText="1"/>
    </xf>
    <xf numFmtId="168" fontId="18" fillId="8" borderId="0" xfId="0" applyFont="1" applyFill="1" applyAlignment="1">
      <alignment wrapText="1"/>
    </xf>
    <xf numFmtId="3" fontId="17" fillId="0" borderId="41" xfId="0" applyNumberFormat="1" applyFont="1" applyBorder="1" applyAlignment="1">
      <alignment wrapText="1"/>
    </xf>
    <xf numFmtId="168" fontId="18" fillId="0" borderId="42" xfId="0" applyFont="1" applyBorder="1" applyAlignment="1">
      <alignment wrapText="1"/>
    </xf>
    <xf numFmtId="168" fontId="18" fillId="0" borderId="43" xfId="0" applyFont="1" applyBorder="1" applyAlignment="1">
      <alignment wrapText="1"/>
    </xf>
    <xf numFmtId="168" fontId="18" fillId="0" borderId="41" xfId="0" applyFont="1" applyBorder="1" applyAlignment="1">
      <alignment wrapText="1"/>
    </xf>
    <xf numFmtId="3" fontId="17" fillId="0" borderId="0" xfId="0" applyNumberFormat="1" applyFont="1" applyAlignment="1">
      <alignment wrapText="1"/>
    </xf>
    <xf numFmtId="3" fontId="17" fillId="0" borderId="24" xfId="0" applyNumberFormat="1" applyFont="1" applyBorder="1" applyAlignment="1">
      <alignment wrapText="1"/>
    </xf>
    <xf numFmtId="3" fontId="0" fillId="0" borderId="0" xfId="0" applyNumberFormat="1" applyAlignment="1">
      <alignment wrapText="1"/>
    </xf>
    <xf numFmtId="3" fontId="0" fillId="0" borderId="142" xfId="0" applyNumberFormat="1" applyBorder="1" applyAlignment="1">
      <alignment horizontal="right"/>
    </xf>
    <xf numFmtId="3" fontId="0" fillId="0" borderId="4" xfId="0" applyNumberFormat="1" applyBorder="1"/>
    <xf numFmtId="4" fontId="0" fillId="0" borderId="215" xfId="0" applyNumberFormat="1" applyBorder="1" applyAlignment="1">
      <alignment horizontal="right"/>
    </xf>
    <xf numFmtId="4" fontId="0" fillId="0" borderId="62" xfId="0" applyNumberFormat="1" applyBorder="1" applyAlignment="1">
      <alignment horizontal="right"/>
    </xf>
    <xf numFmtId="4" fontId="0" fillId="0" borderId="63" xfId="0" applyNumberFormat="1" applyBorder="1" applyAlignment="1">
      <alignment horizontal="right"/>
    </xf>
    <xf numFmtId="4" fontId="0" fillId="0" borderId="127" xfId="0" applyNumberFormat="1" applyBorder="1" applyAlignment="1">
      <alignment horizontal="right"/>
    </xf>
    <xf numFmtId="4" fontId="0" fillId="0" borderId="216" xfId="0" applyNumberFormat="1" applyBorder="1" applyAlignment="1">
      <alignment horizontal="right"/>
    </xf>
    <xf numFmtId="4" fontId="0" fillId="0" borderId="67" xfId="0" applyNumberFormat="1" applyBorder="1" applyAlignment="1">
      <alignment horizontal="right"/>
    </xf>
    <xf numFmtId="4" fontId="0" fillId="0" borderId="59" xfId="0" applyNumberFormat="1" applyBorder="1" applyAlignment="1">
      <alignment horizontal="right"/>
    </xf>
    <xf numFmtId="4" fontId="0" fillId="0" borderId="128" xfId="0" applyNumberFormat="1" applyBorder="1" applyAlignment="1">
      <alignment horizontal="right"/>
    </xf>
    <xf numFmtId="3" fontId="0" fillId="0" borderId="6" xfId="0" applyNumberFormat="1" applyBorder="1" applyAlignment="1">
      <alignment horizontal="left"/>
    </xf>
    <xf numFmtId="3" fontId="0" fillId="0" borderId="6" xfId="0" applyNumberFormat="1" applyBorder="1" applyAlignment="1">
      <alignment horizontal="right"/>
    </xf>
    <xf numFmtId="4" fontId="0" fillId="0" borderId="145" xfId="0" applyNumberFormat="1" applyBorder="1" applyAlignment="1">
      <alignment horizontal="right"/>
    </xf>
    <xf numFmtId="4" fontId="0" fillId="0" borderId="65" xfId="0" applyNumberFormat="1" applyBorder="1" applyAlignment="1">
      <alignment horizontal="right"/>
    </xf>
    <xf numFmtId="4" fontId="0" fillId="0" borderId="52" xfId="0" applyNumberFormat="1" applyBorder="1" applyAlignment="1">
      <alignment horizontal="right"/>
    </xf>
    <xf numFmtId="4" fontId="0" fillId="0" borderId="129" xfId="0" applyNumberFormat="1" applyBorder="1" applyAlignment="1">
      <alignment horizontal="right"/>
    </xf>
    <xf numFmtId="4" fontId="0" fillId="0" borderId="58" xfId="0" applyNumberFormat="1" applyBorder="1" applyAlignment="1">
      <alignment horizontal="right"/>
    </xf>
    <xf numFmtId="3" fontId="18" fillId="0" borderId="33" xfId="0" applyNumberFormat="1" applyFont="1" applyBorder="1" applyAlignment="1">
      <alignment horizontal="right" wrapText="1"/>
    </xf>
    <xf numFmtId="3" fontId="18" fillId="0" borderId="33" xfId="0" applyNumberFormat="1" applyFont="1" applyBorder="1" applyAlignment="1">
      <alignment wrapText="1"/>
    </xf>
    <xf numFmtId="168" fontId="0" fillId="0" borderId="33" xfId="0" applyBorder="1" applyAlignment="1">
      <alignment wrapText="1"/>
    </xf>
    <xf numFmtId="168" fontId="0" fillId="0" borderId="26" xfId="0" applyBorder="1" applyAlignment="1">
      <alignment wrapText="1"/>
    </xf>
    <xf numFmtId="168" fontId="0" fillId="0" borderId="37" xfId="0" applyBorder="1" applyAlignment="1">
      <alignment wrapText="1"/>
    </xf>
    <xf numFmtId="0" fontId="0" fillId="11" borderId="142" xfId="0" applyNumberFormat="1" applyFill="1" applyBorder="1" applyAlignment="1">
      <alignment wrapText="1"/>
    </xf>
    <xf numFmtId="49" fontId="0" fillId="21" borderId="0" xfId="0" applyNumberFormat="1" applyFill="1"/>
    <xf numFmtId="168" fontId="34" fillId="0" borderId="325" xfId="0" applyFont="1" applyBorder="1" applyAlignment="1">
      <alignment horizontal="center" vertical="center" wrapText="1"/>
    </xf>
    <xf numFmtId="169" fontId="0" fillId="0" borderId="139" xfId="0" applyNumberFormat="1" applyBorder="1" applyAlignment="1">
      <alignment horizontal="right"/>
    </xf>
    <xf numFmtId="169" fontId="0" fillId="0" borderId="98" xfId="0" applyNumberFormat="1" applyBorder="1" applyAlignment="1">
      <alignment horizontal="right"/>
    </xf>
    <xf numFmtId="168" fontId="34" fillId="0" borderId="0" xfId="0" applyFont="1" applyAlignment="1">
      <alignment horizontal="left"/>
    </xf>
    <xf numFmtId="4" fontId="18" fillId="0" borderId="76" xfId="0" applyNumberFormat="1" applyFont="1" applyBorder="1" applyAlignment="1">
      <alignment horizontal="right"/>
    </xf>
    <xf numFmtId="4" fontId="18" fillId="0" borderId="99" xfId="0" applyNumberFormat="1" applyFont="1" applyBorder="1" applyAlignment="1">
      <alignment horizontal="right"/>
    </xf>
    <xf numFmtId="4" fontId="18" fillId="0" borderId="335" xfId="0" applyNumberFormat="1" applyFont="1" applyBorder="1" applyAlignment="1">
      <alignment horizontal="right"/>
    </xf>
    <xf numFmtId="4" fontId="18" fillId="0" borderId="217" xfId="0" applyNumberFormat="1" applyFont="1" applyBorder="1" applyAlignment="1">
      <alignment horizontal="right"/>
    </xf>
    <xf numFmtId="0" fontId="82" fillId="0" borderId="0" xfId="84">
      <alignment vertical="center"/>
    </xf>
    <xf numFmtId="0" fontId="83" fillId="0" borderId="0" xfId="85">
      <alignment vertical="center"/>
    </xf>
    <xf numFmtId="4" fontId="0" fillId="0" borderId="99" xfId="0" applyNumberFormat="1" applyBorder="1" applyAlignment="1">
      <alignment horizontal="right"/>
    </xf>
    <xf numFmtId="4" fontId="0" fillId="0" borderId="217" xfId="0" applyNumberFormat="1" applyBorder="1" applyAlignment="1">
      <alignment horizontal="right"/>
    </xf>
    <xf numFmtId="4" fontId="0" fillId="0" borderId="76" xfId="0" applyNumberFormat="1" applyBorder="1" applyAlignment="1">
      <alignment horizontal="right"/>
    </xf>
    <xf numFmtId="4" fontId="0" fillId="0" borderId="335" xfId="0" applyNumberFormat="1" applyBorder="1" applyAlignment="1">
      <alignment horizontal="right"/>
    </xf>
    <xf numFmtId="3" fontId="18" fillId="3" borderId="0" xfId="0" applyNumberFormat="1" applyFont="1" applyFill="1" applyAlignment="1">
      <alignment horizontal="left"/>
    </xf>
    <xf numFmtId="4" fontId="18" fillId="0" borderId="72" xfId="0" applyNumberFormat="1" applyFont="1" applyBorder="1" applyAlignment="1">
      <alignment horizontal="right"/>
    </xf>
    <xf numFmtId="3" fontId="18" fillId="0" borderId="4" xfId="0" applyNumberFormat="1" applyFont="1" applyBorder="1" applyAlignment="1">
      <alignment horizontal="left" vertical="top" wrapText="1"/>
    </xf>
    <xf numFmtId="3" fontId="18" fillId="3" borderId="6" xfId="0" applyNumberFormat="1" applyFont="1" applyFill="1" applyBorder="1" applyAlignment="1">
      <alignment horizontal="left"/>
    </xf>
    <xf numFmtId="3" fontId="0" fillId="3" borderId="0" xfId="0" applyNumberFormat="1" applyFill="1" applyAlignment="1">
      <alignment horizontal="left"/>
    </xf>
    <xf numFmtId="3" fontId="0" fillId="3" borderId="6" xfId="0" applyNumberFormat="1" applyFill="1" applyBorder="1" applyAlignment="1">
      <alignment horizontal="left"/>
    </xf>
    <xf numFmtId="4" fontId="0" fillId="0" borderId="72" xfId="0" applyNumberFormat="1" applyBorder="1" applyAlignment="1">
      <alignment horizontal="right"/>
    </xf>
    <xf numFmtId="4" fontId="0" fillId="0" borderId="61" xfId="0" applyNumberFormat="1" applyBorder="1" applyAlignment="1">
      <alignment horizontal="right"/>
    </xf>
    <xf numFmtId="4" fontId="0" fillId="0" borderId="51" xfId="0" applyNumberFormat="1" applyBorder="1" applyAlignment="1">
      <alignment horizontal="right"/>
    </xf>
    <xf numFmtId="3" fontId="18" fillId="0" borderId="142" xfId="0" applyNumberFormat="1" applyFont="1" applyBorder="1" applyAlignment="1">
      <alignment horizontal="left"/>
    </xf>
    <xf numFmtId="168" fontId="0" fillId="0" borderId="270" xfId="0" applyBorder="1"/>
    <xf numFmtId="3" fontId="27" fillId="0" borderId="264" xfId="0" applyNumberFormat="1" applyFont="1" applyBorder="1" applyAlignment="1" applyProtection="1">
      <alignment horizontal="right"/>
      <protection locked="0"/>
    </xf>
    <xf numFmtId="3" fontId="27" fillId="5" borderId="264" xfId="0" applyNumberFormat="1" applyFont="1" applyFill="1" applyBorder="1" applyAlignment="1">
      <alignment horizontal="right"/>
    </xf>
    <xf numFmtId="3" fontId="27" fillId="5" borderId="149" xfId="0" applyNumberFormat="1" applyFont="1" applyFill="1" applyBorder="1" applyAlignment="1">
      <alignment horizontal="right"/>
    </xf>
    <xf numFmtId="3" fontId="27" fillId="0" borderId="268" xfId="0" applyNumberFormat="1" applyFont="1" applyBorder="1" applyAlignment="1" applyProtection="1">
      <alignment horizontal="right"/>
      <protection locked="0"/>
    </xf>
    <xf numFmtId="0" fontId="84" fillId="0" borderId="0" xfId="86">
      <alignment vertical="center"/>
    </xf>
    <xf numFmtId="168" fontId="0" fillId="0" borderId="337" xfId="0" applyBorder="1"/>
    <xf numFmtId="168" fontId="0" fillId="0" borderId="338" xfId="0" applyBorder="1"/>
    <xf numFmtId="168" fontId="0" fillId="0" borderId="339" xfId="0" applyBorder="1"/>
    <xf numFmtId="3" fontId="34" fillId="0" borderId="337" xfId="0" applyNumberFormat="1" applyFont="1" applyBorder="1" applyAlignment="1">
      <alignment wrapText="1"/>
    </xf>
    <xf numFmtId="168" fontId="0" fillId="12" borderId="0" xfId="0" applyFill="1" applyAlignment="1">
      <alignment vertical="center"/>
    </xf>
    <xf numFmtId="168" fontId="0" fillId="49" borderId="0" xfId="0" applyFill="1" applyAlignment="1">
      <alignment vertical="center"/>
    </xf>
    <xf numFmtId="168" fontId="85" fillId="0" borderId="337" xfId="0" applyFont="1" applyBorder="1" applyAlignment="1">
      <alignment vertical="top"/>
    </xf>
    <xf numFmtId="168" fontId="32" fillId="0" borderId="0" xfId="0" applyFont="1" applyAlignment="1">
      <alignment vertical="center" wrapText="1"/>
    </xf>
    <xf numFmtId="0" fontId="34" fillId="20" borderId="0" xfId="0" applyNumberFormat="1" applyFont="1" applyFill="1"/>
    <xf numFmtId="0" fontId="37" fillId="20" borderId="0" xfId="0" applyNumberFormat="1" applyFont="1" applyFill="1"/>
    <xf numFmtId="0" fontId="34" fillId="12" borderId="0" xfId="0" applyNumberFormat="1" applyFont="1" applyFill="1"/>
    <xf numFmtId="168" fontId="63" fillId="0" borderId="0" xfId="0" applyFont="1" applyAlignment="1">
      <alignment wrapText="1"/>
    </xf>
    <xf numFmtId="168" fontId="34" fillId="0" borderId="0" xfId="0" applyFont="1" applyAlignment="1">
      <alignment wrapText="1"/>
    </xf>
    <xf numFmtId="168" fontId="37" fillId="0" borderId="0" xfId="0" applyFont="1" applyAlignment="1">
      <alignment horizontal="center" vertical="center" wrapText="1"/>
    </xf>
    <xf numFmtId="168" fontId="34" fillId="0" borderId="7" xfId="0" applyFont="1" applyBorder="1"/>
    <xf numFmtId="168" fontId="34" fillId="0" borderId="1" xfId="0" applyFont="1" applyBorder="1"/>
    <xf numFmtId="168" fontId="34" fillId="0" borderId="2" xfId="0" applyFont="1" applyBorder="1"/>
    <xf numFmtId="3" fontId="37" fillId="0" borderId="2" xfId="0" applyNumberFormat="1" applyFont="1" applyBorder="1" applyAlignment="1">
      <alignment horizontal="left"/>
    </xf>
    <xf numFmtId="3" fontId="37" fillId="0" borderId="1" xfId="0" applyNumberFormat="1" applyFont="1" applyBorder="1" applyAlignment="1">
      <alignment horizontal="left"/>
    </xf>
    <xf numFmtId="3" fontId="34" fillId="0" borderId="1" xfId="0" applyNumberFormat="1" applyFont="1" applyBorder="1"/>
    <xf numFmtId="168" fontId="34" fillId="0" borderId="37" xfId="0" applyFont="1" applyBorder="1" applyAlignment="1">
      <alignment vertical="center"/>
    </xf>
    <xf numFmtId="168" fontId="34" fillId="0" borderId="0" xfId="0" applyFont="1" applyAlignment="1">
      <alignment vertical="center"/>
    </xf>
    <xf numFmtId="3" fontId="34" fillId="0" borderId="0" xfId="0" applyNumberFormat="1" applyFont="1" applyAlignment="1">
      <alignment vertical="center"/>
    </xf>
    <xf numFmtId="168" fontId="34" fillId="0" borderId="37" xfId="0" applyFont="1" applyBorder="1" applyAlignment="1">
      <alignment wrapText="1"/>
    </xf>
    <xf numFmtId="49" fontId="34" fillId="0" borderId="0" xfId="0" applyNumberFormat="1" applyFont="1" applyAlignment="1">
      <alignment wrapText="1"/>
    </xf>
    <xf numFmtId="49" fontId="34" fillId="0" borderId="0" xfId="0" applyNumberFormat="1" applyFont="1" applyAlignment="1">
      <alignment horizontal="left" wrapText="1"/>
    </xf>
    <xf numFmtId="3" fontId="34" fillId="0" borderId="37" xfId="0" applyNumberFormat="1" applyFont="1" applyBorder="1" applyAlignment="1">
      <alignment wrapText="1"/>
    </xf>
    <xf numFmtId="3" fontId="34" fillId="0" borderId="110" xfId="0" applyNumberFormat="1" applyFont="1" applyBorder="1" applyAlignment="1">
      <alignment horizontal="left"/>
    </xf>
    <xf numFmtId="3" fontId="34" fillId="0" borderId="111" xfId="0" applyNumberFormat="1" applyFont="1" applyBorder="1" applyAlignment="1">
      <alignment horizontal="left" wrapText="1"/>
    </xf>
    <xf numFmtId="3" fontId="34" fillId="0" borderId="93" xfId="0" applyNumberFormat="1" applyFont="1" applyBorder="1" applyAlignment="1">
      <alignment horizontal="left"/>
    </xf>
    <xf numFmtId="3" fontId="34" fillId="0" borderId="78" xfId="0" applyNumberFormat="1" applyFont="1" applyBorder="1"/>
    <xf numFmtId="3" fontId="34" fillId="0" borderId="93" xfId="0" applyNumberFormat="1" applyFont="1" applyBorder="1"/>
    <xf numFmtId="3" fontId="34" fillId="0" borderId="0" xfId="0" applyNumberFormat="1" applyFont="1" applyAlignment="1">
      <alignment horizontal="right" wrapText="1"/>
    </xf>
    <xf numFmtId="3" fontId="34" fillId="0" borderId="93" xfId="0" applyNumberFormat="1" applyFont="1" applyBorder="1" applyAlignment="1">
      <alignment horizontal="right" wrapText="1"/>
    </xf>
    <xf numFmtId="3" fontId="34" fillId="0" borderId="78" xfId="0" applyNumberFormat="1" applyFont="1" applyBorder="1" applyAlignment="1">
      <alignment horizontal="right" wrapText="1"/>
    </xf>
    <xf numFmtId="3" fontId="34" fillId="0" borderId="43" xfId="0" applyNumberFormat="1" applyFont="1" applyBorder="1" applyAlignment="1">
      <alignment wrapText="1"/>
    </xf>
    <xf numFmtId="3" fontId="34" fillId="0" borderId="41" xfId="0" applyNumberFormat="1" applyFont="1" applyBorder="1" applyAlignment="1">
      <alignment wrapText="1"/>
    </xf>
    <xf numFmtId="3" fontId="34" fillId="0" borderId="41" xfId="0" applyNumberFormat="1" applyFont="1" applyBorder="1" applyAlignment="1">
      <alignment horizontal="right" wrapText="1"/>
    </xf>
    <xf numFmtId="3" fontId="34" fillId="0" borderId="95" xfId="0" applyNumberFormat="1" applyFont="1" applyBorder="1" applyAlignment="1">
      <alignment horizontal="right" wrapText="1"/>
    </xf>
    <xf numFmtId="3" fontId="34" fillId="0" borderId="79" xfId="0" applyNumberFormat="1" applyFont="1" applyBorder="1" applyAlignment="1">
      <alignment horizontal="right" wrapText="1"/>
    </xf>
    <xf numFmtId="3" fontId="34" fillId="0" borderId="42" xfId="0" applyNumberFormat="1" applyFont="1" applyBorder="1" applyAlignment="1">
      <alignment horizontal="right" wrapText="1"/>
    </xf>
    <xf numFmtId="168" fontId="34" fillId="0" borderId="37" xfId="0" applyFont="1" applyBorder="1" applyAlignment="1">
      <alignment horizontal="left" wrapText="1"/>
    </xf>
    <xf numFmtId="49" fontId="34" fillId="12" borderId="0" xfId="0" applyNumberFormat="1" applyFont="1" applyFill="1" applyAlignment="1">
      <alignment horizontal="left" wrapText="1"/>
    </xf>
    <xf numFmtId="49" fontId="34" fillId="10" borderId="0" xfId="0" applyNumberFormat="1" applyFont="1" applyFill="1" applyAlignment="1">
      <alignment wrapText="1"/>
    </xf>
    <xf numFmtId="3" fontId="34" fillId="12" borderId="0" xfId="0" applyNumberFormat="1" applyFont="1" applyFill="1" applyAlignment="1">
      <alignment wrapText="1"/>
    </xf>
    <xf numFmtId="3" fontId="34" fillId="12" borderId="37" xfId="0" applyNumberFormat="1" applyFont="1" applyFill="1" applyBorder="1" applyAlignment="1">
      <alignment horizontal="right" wrapText="1"/>
    </xf>
    <xf numFmtId="3" fontId="34" fillId="12" borderId="0" xfId="0" applyNumberFormat="1" applyFont="1" applyFill="1" applyAlignment="1">
      <alignment horizontal="left"/>
    </xf>
    <xf numFmtId="3" fontId="34" fillId="12" borderId="0" xfId="0" applyNumberFormat="1" applyFont="1" applyFill="1" applyAlignment="1">
      <alignment horizontal="right" wrapText="1"/>
    </xf>
    <xf numFmtId="3" fontId="34" fillId="18" borderId="0" xfId="0" applyNumberFormat="1" applyFont="1" applyFill="1" applyAlignment="1">
      <alignment horizontal="center" wrapText="1"/>
    </xf>
    <xf numFmtId="1" fontId="34" fillId="5" borderId="37" xfId="0" applyNumberFormat="1" applyFont="1" applyFill="1" applyBorder="1"/>
    <xf numFmtId="171" fontId="34" fillId="0" borderId="0" xfId="0" applyNumberFormat="1" applyFont="1" applyAlignment="1" applyProtection="1">
      <alignment horizontal="left" vertical="top"/>
      <protection locked="0"/>
    </xf>
    <xf numFmtId="171" fontId="34" fillId="5" borderId="0" xfId="0" applyNumberFormat="1" applyFont="1" applyFill="1" applyAlignment="1">
      <alignment horizontal="left" vertical="top"/>
    </xf>
    <xf numFmtId="9" fontId="34" fillId="0" borderId="0" xfId="0" applyNumberFormat="1" applyFont="1" applyProtection="1">
      <protection locked="0"/>
    </xf>
    <xf numFmtId="9" fontId="34" fillId="0" borderId="83" xfId="0" applyNumberFormat="1" applyFont="1" applyBorder="1" applyProtection="1">
      <protection locked="0"/>
    </xf>
    <xf numFmtId="3" fontId="34" fillId="0" borderId="0" xfId="0" applyNumberFormat="1" applyFont="1" applyProtection="1">
      <protection locked="0"/>
    </xf>
    <xf numFmtId="3" fontId="34" fillId="0" borderId="100" xfId="0" applyNumberFormat="1" applyFont="1" applyBorder="1" applyProtection="1">
      <protection locked="0"/>
    </xf>
    <xf numFmtId="3" fontId="34" fillId="0" borderId="84" xfId="0" applyNumberFormat="1" applyFont="1" applyBorder="1" applyProtection="1">
      <protection locked="0"/>
    </xf>
    <xf numFmtId="3" fontId="34" fillId="0" borderId="83" xfId="0" applyNumberFormat="1" applyFont="1" applyBorder="1" applyProtection="1">
      <protection locked="0"/>
    </xf>
    <xf numFmtId="4" fontId="34" fillId="0" borderId="0" xfId="0" applyNumberFormat="1" applyFont="1"/>
    <xf numFmtId="3" fontId="34" fillId="17" borderId="0" xfId="0" applyNumberFormat="1" applyFont="1" applyFill="1" applyAlignment="1">
      <alignment horizontal="center" wrapText="1"/>
    </xf>
    <xf numFmtId="3" fontId="34" fillId="0" borderId="0" xfId="0" applyNumberFormat="1" applyFont="1" applyAlignment="1">
      <alignment horizontal="center" wrapText="1"/>
    </xf>
    <xf numFmtId="1" fontId="34" fillId="0" borderId="0" xfId="0" applyNumberFormat="1" applyFont="1"/>
    <xf numFmtId="171" fontId="34" fillId="0" borderId="0" xfId="0" applyNumberFormat="1" applyFont="1" applyAlignment="1">
      <alignment horizontal="left" vertical="top"/>
    </xf>
    <xf numFmtId="4" fontId="34" fillId="0" borderId="0" xfId="0" applyNumberFormat="1" applyFont="1" applyAlignment="1" applyProtection="1">
      <alignment wrapText="1"/>
      <protection locked="0"/>
    </xf>
    <xf numFmtId="1" fontId="34" fillId="0" borderId="0" xfId="0" applyNumberFormat="1" applyFont="1" applyProtection="1">
      <protection locked="0"/>
    </xf>
    <xf numFmtId="168" fontId="87" fillId="0" borderId="0" xfId="0" applyFont="1" applyAlignment="1">
      <alignment vertical="top"/>
    </xf>
    <xf numFmtId="0" fontId="87" fillId="0" borderId="0" xfId="0" applyNumberFormat="1" applyFont="1" applyAlignment="1">
      <alignment vertical="top"/>
    </xf>
    <xf numFmtId="168" fontId="87" fillId="0" borderId="0" xfId="0" applyFont="1"/>
    <xf numFmtId="168" fontId="89" fillId="0" borderId="0" xfId="0" applyFont="1" applyAlignment="1">
      <alignment vertical="top"/>
    </xf>
    <xf numFmtId="168" fontId="34" fillId="0" borderId="0" xfId="0" applyFont="1" applyProtection="1">
      <protection locked="0"/>
    </xf>
    <xf numFmtId="168" fontId="34" fillId="0" borderId="0" xfId="0" applyFont="1" applyAlignment="1" applyProtection="1">
      <alignment wrapText="1"/>
      <protection locked="0"/>
    </xf>
    <xf numFmtId="171" fontId="34" fillId="0" borderId="0" xfId="0" applyNumberFormat="1" applyFont="1" applyAlignment="1">
      <alignment horizontal="left"/>
    </xf>
    <xf numFmtId="9" fontId="34" fillId="0" borderId="0" xfId="0" applyNumberFormat="1" applyFont="1"/>
    <xf numFmtId="3" fontId="34" fillId="0" borderId="0" xfId="4" quotePrefix="1" applyNumberFormat="1" applyFont="1"/>
    <xf numFmtId="3" fontId="34" fillId="0" borderId="0" xfId="0" applyNumberFormat="1" applyFont="1" applyAlignment="1">
      <alignment wrapText="1"/>
    </xf>
    <xf numFmtId="3" fontId="34" fillId="0" borderId="7" xfId="0" applyNumberFormat="1" applyFont="1" applyBorder="1"/>
    <xf numFmtId="3" fontId="34" fillId="0" borderId="1" xfId="0" applyNumberFormat="1" applyFont="1" applyBorder="1" applyAlignment="1">
      <alignment horizontal="left"/>
    </xf>
    <xf numFmtId="3" fontId="34" fillId="0" borderId="0" xfId="0" quotePrefix="1" applyNumberFormat="1" applyFont="1" applyAlignment="1">
      <alignment horizontal="center"/>
    </xf>
    <xf numFmtId="3" fontId="34" fillId="0" borderId="37" xfId="0" applyNumberFormat="1" applyFont="1" applyBorder="1"/>
    <xf numFmtId="3" fontId="92" fillId="0" borderId="0" xfId="0" applyNumberFormat="1" applyFont="1" applyAlignment="1">
      <alignment wrapText="1"/>
    </xf>
    <xf numFmtId="3" fontId="92" fillId="0" borderId="37" xfId="0" applyNumberFormat="1" applyFont="1" applyBorder="1" applyAlignment="1">
      <alignment wrapText="1"/>
    </xf>
    <xf numFmtId="3" fontId="34" fillId="0" borderId="0" xfId="0" applyNumberFormat="1" applyFont="1" applyAlignment="1">
      <alignment horizontal="left"/>
    </xf>
    <xf numFmtId="3" fontId="34" fillId="0" borderId="143" xfId="0" applyNumberFormat="1" applyFont="1" applyBorder="1" applyAlignment="1">
      <alignment horizontal="left"/>
    </xf>
    <xf numFmtId="3" fontId="34" fillId="0" borderId="144" xfId="0" applyNumberFormat="1" applyFont="1" applyBorder="1" applyAlignment="1">
      <alignment horizontal="left"/>
    </xf>
    <xf numFmtId="3" fontId="34" fillId="0" borderId="45" xfId="0" applyNumberFormat="1" applyFont="1" applyBorder="1" applyAlignment="1">
      <alignment horizontal="right" wrapText="1"/>
    </xf>
    <xf numFmtId="3" fontId="34" fillId="0" borderId="43" xfId="0" applyNumberFormat="1" applyFont="1" applyBorder="1" applyAlignment="1">
      <alignment horizontal="right"/>
    </xf>
    <xf numFmtId="3" fontId="34" fillId="0" borderId="0" xfId="0" applyNumberFormat="1" applyFont="1" applyAlignment="1">
      <alignment horizontal="right"/>
    </xf>
    <xf numFmtId="3" fontId="34" fillId="0" borderId="42" xfId="0" applyNumberFormat="1" applyFont="1" applyBorder="1"/>
    <xf numFmtId="0" fontId="34" fillId="18" borderId="0" xfId="0" applyNumberFormat="1" applyFont="1" applyFill="1" applyAlignment="1">
      <alignment horizontal="center" wrapText="1"/>
    </xf>
    <xf numFmtId="0" fontId="34" fillId="12" borderId="0" xfId="0" applyNumberFormat="1" applyFont="1" applyFill="1" applyAlignment="1">
      <alignment horizontal="center" wrapText="1"/>
    </xf>
    <xf numFmtId="0" fontId="34" fillId="12" borderId="0" xfId="0" applyNumberFormat="1" applyFont="1" applyFill="1" applyAlignment="1">
      <alignment horizontal="center"/>
    </xf>
    <xf numFmtId="3" fontId="34" fillId="0" borderId="72" xfId="0" applyNumberFormat="1" applyFont="1" applyBorder="1" applyProtection="1">
      <protection locked="0"/>
    </xf>
    <xf numFmtId="3" fontId="34" fillId="0" borderId="217" xfId="0" applyNumberFormat="1" applyFont="1" applyBorder="1" applyProtection="1">
      <protection locked="0"/>
    </xf>
    <xf numFmtId="3" fontId="34" fillId="0" borderId="73" xfId="0" applyNumberFormat="1" applyFont="1" applyBorder="1" applyProtection="1">
      <protection locked="0"/>
    </xf>
    <xf numFmtId="3" fontId="34" fillId="5" borderId="72" xfId="0" applyNumberFormat="1" applyFont="1" applyFill="1" applyBorder="1"/>
    <xf numFmtId="3" fontId="34" fillId="5" borderId="217" xfId="0" applyNumberFormat="1" applyFont="1" applyFill="1" applyBorder="1"/>
    <xf numFmtId="3" fontId="34" fillId="5" borderId="73" xfId="0" applyNumberFormat="1" applyFont="1" applyFill="1" applyBorder="1"/>
    <xf numFmtId="3" fontId="34" fillId="0" borderId="61" xfId="0" applyNumberFormat="1" applyFont="1" applyBorder="1" applyProtection="1">
      <protection locked="0"/>
    </xf>
    <xf numFmtId="3" fontId="34" fillId="0" borderId="62" xfId="0" applyNumberFormat="1" applyFont="1" applyBorder="1" applyProtection="1">
      <protection locked="0"/>
    </xf>
    <xf numFmtId="3" fontId="34" fillId="0" borderId="71" xfId="0" applyNumberFormat="1" applyFont="1" applyBorder="1" applyProtection="1">
      <protection locked="0"/>
    </xf>
    <xf numFmtId="3" fontId="34" fillId="5" borderId="61" xfId="0" applyNumberFormat="1" applyFont="1" applyFill="1" applyBorder="1"/>
    <xf numFmtId="3" fontId="34" fillId="5" borderId="62" xfId="0" applyNumberFormat="1" applyFont="1" applyFill="1" applyBorder="1"/>
    <xf numFmtId="3" fontId="34" fillId="5" borderId="71" xfId="0" applyNumberFormat="1" applyFont="1" applyFill="1" applyBorder="1"/>
    <xf numFmtId="3" fontId="34" fillId="0" borderId="58" xfId="0" applyNumberFormat="1" applyFont="1" applyBorder="1" applyProtection="1">
      <protection locked="0"/>
    </xf>
    <xf numFmtId="3" fontId="34" fillId="0" borderId="67" xfId="0" applyNumberFormat="1" applyFont="1" applyBorder="1" applyProtection="1">
      <protection locked="0"/>
    </xf>
    <xf numFmtId="3" fontId="34" fillId="0" borderId="60" xfId="0" applyNumberFormat="1" applyFont="1" applyBorder="1" applyProtection="1">
      <protection locked="0"/>
    </xf>
    <xf numFmtId="3" fontId="34" fillId="5" borderId="58" xfId="0" applyNumberFormat="1" applyFont="1" applyFill="1" applyBorder="1"/>
    <xf numFmtId="3" fontId="34" fillId="5" borderId="67" xfId="0" applyNumberFormat="1" applyFont="1" applyFill="1" applyBorder="1"/>
    <xf numFmtId="3" fontId="34" fillId="5" borderId="60" xfId="0" applyNumberFormat="1" applyFont="1" applyFill="1" applyBorder="1"/>
    <xf numFmtId="3" fontId="34" fillId="5" borderId="59" xfId="0" applyNumberFormat="1" applyFont="1" applyFill="1" applyBorder="1"/>
    <xf numFmtId="3" fontId="34" fillId="0" borderId="238" xfId="0" applyNumberFormat="1" applyFont="1" applyBorder="1"/>
    <xf numFmtId="3" fontId="34" fillId="5" borderId="306" xfId="0" applyNumberFormat="1" applyFont="1" applyFill="1" applyBorder="1"/>
    <xf numFmtId="3" fontId="34" fillId="5" borderId="307" xfId="0" applyNumberFormat="1" applyFont="1" applyFill="1" applyBorder="1"/>
    <xf numFmtId="3" fontId="34" fillId="5" borderId="308" xfId="0" applyNumberFormat="1" applyFont="1" applyFill="1" applyBorder="1"/>
    <xf numFmtId="3" fontId="34" fillId="5" borderId="309" xfId="0" applyNumberFormat="1" applyFont="1" applyFill="1" applyBorder="1"/>
    <xf numFmtId="3" fontId="93" fillId="0" borderId="0" xfId="4" quotePrefix="1" applyNumberFormat="1" applyFont="1"/>
    <xf numFmtId="0" fontId="34" fillId="18" borderId="0" xfId="0" applyNumberFormat="1" applyFont="1" applyFill="1"/>
    <xf numFmtId="0" fontId="34" fillId="12" borderId="0" xfId="0" applyNumberFormat="1" applyFont="1" applyFill="1" applyAlignment="1">
      <alignment horizontal="left"/>
    </xf>
    <xf numFmtId="0" fontId="34" fillId="0" borderId="0" xfId="0" applyNumberFormat="1" applyFont="1" applyAlignment="1">
      <alignment horizontal="left"/>
    </xf>
    <xf numFmtId="0" fontId="34" fillId="10" borderId="0" xfId="0" applyNumberFormat="1" applyFont="1" applyFill="1" applyAlignment="1">
      <alignment horizontal="left"/>
    </xf>
    <xf numFmtId="0" fontId="34" fillId="2" borderId="0" xfId="0" applyNumberFormat="1" applyFont="1" applyFill="1" applyAlignment="1">
      <alignment horizontal="left"/>
    </xf>
    <xf numFmtId="3" fontId="34" fillId="0" borderId="0" xfId="2" quotePrefix="1" applyNumberFormat="1" applyFont="1"/>
    <xf numFmtId="167" fontId="34" fillId="0" borderId="0" xfId="5" quotePrefix="1" applyNumberFormat="1" applyFont="1" applyBorder="1" applyAlignment="1" applyProtection="1">
      <alignment horizontal="center"/>
    </xf>
    <xf numFmtId="9" fontId="34" fillId="0" borderId="0" xfId="1" quotePrefix="1" applyNumberFormat="1" applyFont="1" applyAlignment="1">
      <alignment horizontal="right"/>
    </xf>
    <xf numFmtId="3" fontId="87" fillId="0" borderId="0" xfId="0" applyNumberFormat="1" applyFont="1" applyAlignment="1">
      <alignment vertical="top"/>
    </xf>
    <xf numFmtId="168" fontId="34" fillId="0" borderId="0" xfId="0" quotePrefix="1" applyFont="1" applyAlignment="1">
      <alignment horizontal="center" wrapText="1"/>
    </xf>
    <xf numFmtId="4" fontId="93" fillId="0" borderId="0" xfId="4" applyNumberFormat="1" applyFont="1"/>
    <xf numFmtId="3" fontId="93" fillId="0" borderId="0" xfId="0" applyNumberFormat="1" applyFont="1"/>
    <xf numFmtId="3" fontId="94" fillId="0" borderId="0" xfId="0" quotePrefix="1" applyNumberFormat="1" applyFont="1"/>
    <xf numFmtId="3" fontId="37" fillId="0" borderId="0" xfId="10" applyNumberFormat="1" applyFont="1"/>
    <xf numFmtId="3" fontId="34" fillId="0" borderId="0" xfId="0" applyNumberFormat="1" applyFont="1" applyAlignment="1">
      <alignment horizontal="centerContinuous"/>
    </xf>
    <xf numFmtId="168" fontId="34" fillId="0" borderId="1" xfId="0" applyFont="1" applyBorder="1" applyAlignment="1">
      <alignment horizontal="left"/>
    </xf>
    <xf numFmtId="168" fontId="34" fillId="0" borderId="0" xfId="0" applyFont="1" applyAlignment="1">
      <alignment horizontal="right" wrapText="1"/>
    </xf>
    <xf numFmtId="168" fontId="34" fillId="0" borderId="78" xfId="0" applyFont="1" applyBorder="1" applyAlignment="1">
      <alignment horizontal="right" wrapText="1"/>
    </xf>
    <xf numFmtId="168" fontId="34" fillId="0" borderId="37" xfId="0" applyFont="1" applyBorder="1" applyAlignment="1">
      <alignment horizontal="right" wrapText="1"/>
    </xf>
    <xf numFmtId="1" fontId="34" fillId="0" borderId="311" xfId="0" applyNumberFormat="1" applyFont="1" applyBorder="1" applyAlignment="1" applyProtection="1">
      <alignment horizontal="right" wrapText="1"/>
      <protection locked="0"/>
    </xf>
    <xf numFmtId="1" fontId="34" fillId="0" borderId="312" xfId="0" applyNumberFormat="1" applyFont="1" applyBorder="1" applyAlignment="1" applyProtection="1">
      <alignment horizontal="right" wrapText="1"/>
      <protection locked="0"/>
    </xf>
    <xf numFmtId="1" fontId="34" fillId="0" borderId="313" xfId="0" applyNumberFormat="1" applyFont="1" applyBorder="1" applyAlignment="1" applyProtection="1">
      <alignment horizontal="right" wrapText="1"/>
      <protection locked="0"/>
    </xf>
    <xf numFmtId="1" fontId="34" fillId="0" borderId="314" xfId="0" applyNumberFormat="1" applyFont="1" applyBorder="1" applyAlignment="1" applyProtection="1">
      <alignment horizontal="right" wrapText="1"/>
      <protection locked="0"/>
    </xf>
    <xf numFmtId="1" fontId="34" fillId="0" borderId="315" xfId="0" applyNumberFormat="1" applyFont="1" applyBorder="1" applyAlignment="1" applyProtection="1">
      <alignment horizontal="right" wrapText="1"/>
      <protection locked="0"/>
    </xf>
    <xf numFmtId="3" fontId="34" fillId="5" borderId="321" xfId="0" applyNumberFormat="1" applyFont="1" applyFill="1" applyBorder="1"/>
    <xf numFmtId="3" fontId="34" fillId="5" borderId="75" xfId="0" applyNumberFormat="1" applyFont="1" applyFill="1" applyBorder="1"/>
    <xf numFmtId="3" fontId="34" fillId="5" borderId="131" xfId="0" applyNumberFormat="1" applyFont="1" applyFill="1" applyBorder="1"/>
    <xf numFmtId="3" fontId="34" fillId="5" borderId="77" xfId="0" applyNumberFormat="1" applyFont="1" applyFill="1" applyBorder="1"/>
    <xf numFmtId="3" fontId="34" fillId="5" borderId="74" xfId="0" applyNumberFormat="1" applyFont="1" applyFill="1" applyBorder="1"/>
    <xf numFmtId="166" fontId="34" fillId="0" borderId="0" xfId="7" applyNumberFormat="1" applyFont="1" applyBorder="1" applyAlignment="1" applyProtection="1">
      <alignment horizontal="right"/>
    </xf>
    <xf numFmtId="168" fontId="54" fillId="0" borderId="0" xfId="0" applyFont="1"/>
    <xf numFmtId="168" fontId="95" fillId="0" borderId="0" xfId="0" applyFont="1"/>
    <xf numFmtId="168" fontId="96" fillId="0" borderId="0" xfId="3" applyFont="1"/>
    <xf numFmtId="3" fontId="34" fillId="0" borderId="12" xfId="0" applyNumberFormat="1" applyFont="1" applyBorder="1"/>
    <xf numFmtId="3" fontId="34" fillId="0" borderId="142" xfId="0" applyNumberFormat="1" applyFont="1" applyBorder="1"/>
    <xf numFmtId="3" fontId="34" fillId="0" borderId="142" xfId="0" applyNumberFormat="1" applyFont="1" applyBorder="1" applyAlignment="1">
      <alignment horizontal="left"/>
    </xf>
    <xf numFmtId="3" fontId="34" fillId="0" borderId="141" xfId="0" applyNumberFormat="1" applyFont="1" applyBorder="1" applyAlignment="1">
      <alignment horizontal="left"/>
    </xf>
    <xf numFmtId="3" fontId="34" fillId="0" borderId="82" xfId="0" applyNumberFormat="1" applyFont="1" applyBorder="1" applyAlignment="1">
      <alignment horizontal="left" wrapText="1"/>
    </xf>
    <xf numFmtId="3" fontId="34" fillId="0" borderId="142" xfId="0" applyNumberFormat="1" applyFont="1" applyBorder="1" applyAlignment="1">
      <alignment horizontal="left" wrapText="1"/>
    </xf>
    <xf numFmtId="3" fontId="34" fillId="0" borderId="155" xfId="0" applyNumberFormat="1" applyFont="1" applyBorder="1" applyAlignment="1">
      <alignment horizontal="left" wrapText="1"/>
    </xf>
    <xf numFmtId="3" fontId="34" fillId="0" borderId="82" xfId="0" applyNumberFormat="1" applyFont="1" applyBorder="1"/>
    <xf numFmtId="3" fontId="34" fillId="0" borderId="155" xfId="0" applyNumberFormat="1" applyFont="1" applyBorder="1" applyAlignment="1">
      <alignment horizontal="left"/>
    </xf>
    <xf numFmtId="3" fontId="34" fillId="0" borderId="135" xfId="0" applyNumberFormat="1" applyFont="1" applyBorder="1"/>
    <xf numFmtId="3" fontId="34" fillId="0" borderId="103" xfId="0" applyNumberFormat="1" applyFont="1" applyBorder="1" applyAlignment="1">
      <alignment horizontal="left"/>
    </xf>
    <xf numFmtId="3" fontId="34" fillId="0" borderId="103" xfId="0" applyNumberFormat="1" applyFont="1" applyBorder="1" applyAlignment="1">
      <alignment horizontal="right" wrapText="1"/>
    </xf>
    <xf numFmtId="3" fontId="34" fillId="0" borderId="109" xfId="0" applyNumberFormat="1" applyFont="1" applyBorder="1" applyAlignment="1">
      <alignment horizontal="right" wrapText="1"/>
    </xf>
    <xf numFmtId="3" fontId="34" fillId="0" borderId="104" xfId="0" applyNumberFormat="1" applyFont="1" applyBorder="1" applyAlignment="1">
      <alignment horizontal="right" wrapText="1"/>
    </xf>
    <xf numFmtId="3" fontId="34" fillId="0" borderId="97" xfId="0" applyNumberFormat="1" applyFont="1" applyBorder="1" applyProtection="1">
      <protection locked="0"/>
    </xf>
    <xf numFmtId="3" fontId="34" fillId="0" borderId="78" xfId="0" applyNumberFormat="1" applyFont="1" applyBorder="1" applyProtection="1">
      <protection locked="0"/>
    </xf>
    <xf numFmtId="3" fontId="34" fillId="0" borderId="183" xfId="0" applyNumberFormat="1" applyFont="1" applyBorder="1" applyProtection="1">
      <protection locked="0"/>
    </xf>
    <xf numFmtId="3" fontId="34" fillId="5" borderId="97" xfId="0" applyNumberFormat="1" applyFont="1" applyFill="1" applyBorder="1"/>
    <xf numFmtId="3" fontId="34" fillId="5" borderId="102" xfId="0" applyNumberFormat="1" applyFont="1" applyFill="1" applyBorder="1"/>
    <xf numFmtId="3" fontId="34" fillId="5" borderId="0" xfId="0" applyNumberFormat="1" applyFont="1" applyFill="1"/>
    <xf numFmtId="3" fontId="34" fillId="0" borderId="108" xfId="0" applyNumberFormat="1" applyFont="1" applyBorder="1" applyProtection="1">
      <protection locked="0"/>
    </xf>
    <xf numFmtId="3" fontId="34" fillId="0" borderId="107" xfId="0" applyNumberFormat="1" applyFont="1" applyBorder="1" applyProtection="1">
      <protection locked="0"/>
    </xf>
    <xf numFmtId="3" fontId="34" fillId="0" borderId="102" xfId="0" applyNumberFormat="1" applyFont="1" applyBorder="1" applyProtection="1">
      <protection locked="0"/>
    </xf>
    <xf numFmtId="3" fontId="34" fillId="0" borderId="265" xfId="0" applyNumberFormat="1" applyFont="1" applyBorder="1" applyProtection="1">
      <protection locked="0"/>
    </xf>
    <xf numFmtId="3" fontId="34" fillId="0" borderId="280" xfId="0" applyNumberFormat="1" applyFont="1" applyBorder="1" applyProtection="1">
      <protection locked="0"/>
    </xf>
    <xf numFmtId="3" fontId="34" fillId="0" borderId="281" xfId="0" applyNumberFormat="1" applyFont="1" applyBorder="1" applyProtection="1">
      <protection locked="0"/>
    </xf>
    <xf numFmtId="3" fontId="34" fillId="0" borderId="282" xfId="0" applyNumberFormat="1" applyFont="1" applyBorder="1" applyProtection="1">
      <protection locked="0"/>
    </xf>
    <xf numFmtId="3" fontId="34" fillId="5" borderId="216" xfId="0" applyNumberFormat="1" applyFont="1" applyFill="1" applyBorder="1"/>
    <xf numFmtId="3" fontId="34" fillId="5" borderId="280" xfId="0" applyNumberFormat="1" applyFont="1" applyFill="1" applyBorder="1"/>
    <xf numFmtId="3" fontId="34" fillId="5" borderId="283" xfId="0" applyNumberFormat="1" applyFont="1" applyFill="1" applyBorder="1"/>
    <xf numFmtId="3" fontId="34" fillId="5" borderId="268" xfId="0" applyNumberFormat="1" applyFont="1" applyFill="1" applyBorder="1"/>
    <xf numFmtId="3" fontId="34" fillId="0" borderId="284" xfId="0" applyNumberFormat="1" applyFont="1" applyBorder="1" applyProtection="1">
      <protection locked="0"/>
    </xf>
    <xf numFmtId="3" fontId="34" fillId="0" borderId="285" xfId="0" applyNumberFormat="1" applyFont="1" applyBorder="1" applyProtection="1">
      <protection locked="0"/>
    </xf>
    <xf numFmtId="3" fontId="34" fillId="0" borderId="283" xfId="0" applyNumberFormat="1" applyFont="1" applyBorder="1" applyProtection="1">
      <protection locked="0"/>
    </xf>
    <xf numFmtId="3" fontId="34" fillId="0" borderId="266" xfId="0" applyNumberFormat="1" applyFont="1" applyBorder="1" applyProtection="1">
      <protection locked="0"/>
    </xf>
    <xf numFmtId="3" fontId="34" fillId="0" borderId="259" xfId="0" applyNumberFormat="1" applyFont="1" applyBorder="1" applyProtection="1">
      <protection locked="0"/>
    </xf>
    <xf numFmtId="3" fontId="34" fillId="0" borderId="222" xfId="0" applyNumberFormat="1" applyFont="1" applyBorder="1" applyProtection="1">
      <protection locked="0"/>
    </xf>
    <xf numFmtId="3" fontId="34" fillId="0" borderId="271" xfId="0" applyNumberFormat="1" applyFont="1" applyBorder="1" applyProtection="1">
      <protection locked="0"/>
    </xf>
    <xf numFmtId="3" fontId="34" fillId="0" borderId="227" xfId="0" applyNumberFormat="1" applyFont="1" applyBorder="1" applyProtection="1">
      <protection locked="0"/>
    </xf>
    <xf numFmtId="3" fontId="34" fillId="5" borderId="215" xfId="0" applyNumberFormat="1" applyFont="1" applyFill="1" applyBorder="1"/>
    <xf numFmtId="3" fontId="34" fillId="5" borderId="222" xfId="0" applyNumberFormat="1" applyFont="1" applyFill="1" applyBorder="1"/>
    <xf numFmtId="3" fontId="34" fillId="5" borderId="289" xfId="0" applyNumberFormat="1" applyFont="1" applyFill="1" applyBorder="1"/>
    <xf numFmtId="3" fontId="34" fillId="5" borderId="219" xfId="0" applyNumberFormat="1" applyFont="1" applyFill="1" applyBorder="1"/>
    <xf numFmtId="3" fontId="34" fillId="0" borderId="290" xfId="0" applyNumberFormat="1" applyFont="1" applyBorder="1" applyProtection="1">
      <protection locked="0"/>
    </xf>
    <xf numFmtId="3" fontId="34" fillId="0" borderId="291" xfId="0" applyNumberFormat="1" applyFont="1" applyBorder="1" applyProtection="1">
      <protection locked="0"/>
    </xf>
    <xf numFmtId="3" fontId="34" fillId="0" borderId="289" xfId="0" applyNumberFormat="1" applyFont="1" applyBorder="1" applyProtection="1">
      <protection locked="0"/>
    </xf>
    <xf numFmtId="3" fontId="34" fillId="0" borderId="219" xfId="0" applyNumberFormat="1" applyFont="1" applyBorder="1" applyProtection="1">
      <protection locked="0"/>
    </xf>
    <xf numFmtId="3" fontId="34" fillId="0" borderId="264" xfId="0" applyNumberFormat="1" applyFont="1" applyBorder="1" applyProtection="1">
      <protection locked="0"/>
    </xf>
    <xf numFmtId="3" fontId="34" fillId="0" borderId="98" xfId="0" applyNumberFormat="1" applyFont="1" applyBorder="1" applyProtection="1">
      <protection locked="0"/>
    </xf>
    <xf numFmtId="3" fontId="34" fillId="0" borderId="87" xfId="0" applyNumberFormat="1" applyFont="1" applyBorder="1" applyProtection="1">
      <protection locked="0"/>
    </xf>
    <xf numFmtId="3" fontId="34" fillId="0" borderId="224" xfId="0" applyNumberFormat="1" applyFont="1" applyBorder="1" applyProtection="1">
      <protection locked="0"/>
    </xf>
    <xf numFmtId="3" fontId="34" fillId="5" borderId="99" xfId="0" applyNumberFormat="1" applyFont="1" applyFill="1" applyBorder="1"/>
    <xf numFmtId="3" fontId="34" fillId="5" borderId="98" xfId="0" applyNumberFormat="1" applyFont="1" applyFill="1" applyBorder="1"/>
    <xf numFmtId="3" fontId="34" fillId="5" borderId="286" xfId="0" applyNumberFormat="1" applyFont="1" applyFill="1" applyBorder="1"/>
    <xf numFmtId="3" fontId="34" fillId="5" borderId="86" xfId="0" applyNumberFormat="1" applyFont="1" applyFill="1" applyBorder="1"/>
    <xf numFmtId="3" fontId="34" fillId="0" borderId="287" xfId="0" applyNumberFormat="1" applyFont="1" applyBorder="1" applyProtection="1">
      <protection locked="0"/>
    </xf>
    <xf numFmtId="3" fontId="34" fillId="0" borderId="288" xfId="0" applyNumberFormat="1" applyFont="1" applyBorder="1" applyProtection="1">
      <protection locked="0"/>
    </xf>
    <xf numFmtId="3" fontId="34" fillId="0" borderId="286" xfId="0" applyNumberFormat="1" applyFont="1" applyBorder="1" applyProtection="1">
      <protection locked="0"/>
    </xf>
    <xf numFmtId="3" fontId="34" fillId="0" borderId="86" xfId="0" applyNumberFormat="1" applyFont="1" applyBorder="1" applyProtection="1">
      <protection locked="0"/>
    </xf>
    <xf numFmtId="3" fontId="34" fillId="11" borderId="41" xfId="0" applyNumberFormat="1" applyFont="1" applyFill="1" applyBorder="1"/>
    <xf numFmtId="3" fontId="97" fillId="11" borderId="133" xfId="0" applyNumberFormat="1" applyFont="1" applyFill="1" applyBorder="1"/>
    <xf numFmtId="3" fontId="34" fillId="0" borderId="79" xfId="0" applyNumberFormat="1" applyFont="1" applyBorder="1" applyProtection="1">
      <protection locked="0"/>
    </xf>
    <xf numFmtId="3" fontId="34" fillId="0" borderId="133" xfId="0" applyNumberFormat="1" applyFont="1" applyBorder="1" applyProtection="1">
      <protection locked="0"/>
    </xf>
    <xf numFmtId="3" fontId="34" fillId="0" borderId="225" xfId="0" applyNumberFormat="1" applyFont="1" applyBorder="1" applyProtection="1">
      <protection locked="0"/>
    </xf>
    <xf numFmtId="3" fontId="34" fillId="11" borderId="134" xfId="0" applyNumberFormat="1" applyFont="1" applyFill="1" applyBorder="1"/>
    <xf numFmtId="3" fontId="34" fillId="11" borderId="133" xfId="0" applyNumberFormat="1" applyFont="1" applyFill="1" applyBorder="1"/>
    <xf numFmtId="3" fontId="34" fillId="0" borderId="109" xfId="0" applyNumberFormat="1" applyFont="1" applyBorder="1" applyProtection="1">
      <protection locked="0"/>
    </xf>
    <xf numFmtId="3" fontId="34" fillId="11" borderId="279" xfId="0" applyNumberFormat="1" applyFont="1" applyFill="1" applyBorder="1"/>
    <xf numFmtId="3" fontId="34" fillId="0" borderId="278" xfId="0" applyNumberFormat="1" applyFont="1" applyBorder="1" applyProtection="1">
      <protection locked="0"/>
    </xf>
    <xf numFmtId="3" fontId="34" fillId="5" borderId="142" xfId="0" applyNumberFormat="1" applyFont="1" applyFill="1" applyBorder="1"/>
    <xf numFmtId="3" fontId="34" fillId="0" borderId="142" xfId="0" applyNumberFormat="1" applyFont="1" applyBorder="1" applyProtection="1">
      <protection locked="0"/>
    </xf>
    <xf numFmtId="3" fontId="34" fillId="5" borderId="218" xfId="0" applyNumberFormat="1" applyFont="1" applyFill="1" applyBorder="1"/>
    <xf numFmtId="3" fontId="34" fillId="11" borderId="10" xfId="0" applyNumberFormat="1" applyFont="1" applyFill="1" applyBorder="1"/>
    <xf numFmtId="3" fontId="34" fillId="11" borderId="105" xfId="0" applyNumberFormat="1" applyFont="1" applyFill="1" applyBorder="1"/>
    <xf numFmtId="3" fontId="34" fillId="0" borderId="96" xfId="0" applyNumberFormat="1" applyFont="1" applyBorder="1" applyProtection="1">
      <protection locked="0"/>
    </xf>
    <xf numFmtId="3" fontId="34" fillId="0" borderId="105" xfId="0" applyNumberFormat="1" applyFont="1" applyBorder="1" applyProtection="1">
      <protection locked="0"/>
    </xf>
    <xf numFmtId="3" fontId="34" fillId="0" borderId="247" xfId="0" applyNumberFormat="1" applyFont="1" applyBorder="1" applyProtection="1">
      <protection locked="0"/>
    </xf>
    <xf numFmtId="3" fontId="34" fillId="11" borderId="292" xfId="0" applyNumberFormat="1" applyFont="1" applyFill="1" applyBorder="1"/>
    <xf numFmtId="3" fontId="34" fillId="0" borderId="293" xfId="0" applyNumberFormat="1" applyFont="1" applyBorder="1" applyProtection="1">
      <protection locked="0"/>
    </xf>
    <xf numFmtId="3" fontId="34" fillId="11" borderId="294" xfId="0" applyNumberFormat="1" applyFont="1" applyFill="1" applyBorder="1"/>
    <xf numFmtId="3" fontId="34" fillId="0" borderId="106" xfId="0" applyNumberFormat="1" applyFont="1" applyBorder="1" applyProtection="1">
      <protection locked="0"/>
    </xf>
    <xf numFmtId="3" fontId="34" fillId="0" borderId="9" xfId="0" applyNumberFormat="1" applyFont="1" applyBorder="1" applyProtection="1">
      <protection locked="0"/>
    </xf>
    <xf numFmtId="3" fontId="34" fillId="5" borderId="295" xfId="0" applyNumberFormat="1" applyFont="1" applyFill="1" applyBorder="1"/>
    <xf numFmtId="3" fontId="34" fillId="5" borderId="296" xfId="0" applyNumberFormat="1" applyFont="1" applyFill="1" applyBorder="1"/>
    <xf numFmtId="3" fontId="34" fillId="5" borderId="297" xfId="0" applyNumberFormat="1" applyFont="1" applyFill="1" applyBorder="1"/>
    <xf numFmtId="3" fontId="34" fillId="5" borderId="298" xfId="0" applyNumberFormat="1" applyFont="1" applyFill="1" applyBorder="1"/>
    <xf numFmtId="3" fontId="34" fillId="5" borderId="299" xfId="0" applyNumberFormat="1" applyFont="1" applyFill="1" applyBorder="1"/>
    <xf numFmtId="3" fontId="34" fillId="5" borderId="300" xfId="0" applyNumberFormat="1" applyFont="1" applyFill="1" applyBorder="1"/>
    <xf numFmtId="3" fontId="34" fillId="5" borderId="112" xfId="0" applyNumberFormat="1" applyFont="1" applyFill="1" applyBorder="1"/>
    <xf numFmtId="3" fontId="34" fillId="5" borderId="301" xfId="0" applyNumberFormat="1" applyFont="1" applyFill="1" applyBorder="1"/>
    <xf numFmtId="3" fontId="34" fillId="5" borderId="302" xfId="0" applyNumberFormat="1" applyFont="1" applyFill="1" applyBorder="1"/>
    <xf numFmtId="3" fontId="34" fillId="5" borderId="263" xfId="0" applyNumberFormat="1" applyFont="1" applyFill="1" applyBorder="1"/>
    <xf numFmtId="3" fontId="34" fillId="5" borderId="139" xfId="0" applyNumberFormat="1" applyFont="1" applyFill="1" applyBorder="1"/>
    <xf numFmtId="3" fontId="34" fillId="5" borderId="88" xfId="0" applyNumberFormat="1" applyFont="1" applyFill="1" applyBorder="1"/>
    <xf numFmtId="3" fontId="34" fillId="5" borderId="226" xfId="0" applyNumberFormat="1" applyFont="1" applyFill="1" applyBorder="1"/>
    <xf numFmtId="3" fontId="34" fillId="5" borderId="153" xfId="0" applyNumberFormat="1" applyFont="1" applyFill="1" applyBorder="1"/>
    <xf numFmtId="3" fontId="34" fillId="5" borderId="303" xfId="0" applyNumberFormat="1" applyFont="1" applyFill="1" applyBorder="1"/>
    <xf numFmtId="3" fontId="34" fillId="5" borderId="140" xfId="0" applyNumberFormat="1" applyFont="1" applyFill="1" applyBorder="1"/>
    <xf numFmtId="3" fontId="34" fillId="5" borderId="304" xfId="0" applyNumberFormat="1" applyFont="1" applyFill="1" applyBorder="1"/>
    <xf numFmtId="3" fontId="34" fillId="5" borderId="305" xfId="0" applyNumberFormat="1" applyFont="1" applyFill="1" applyBorder="1"/>
    <xf numFmtId="3" fontId="34" fillId="5" borderId="80" xfId="0" applyNumberFormat="1" applyFont="1" applyFill="1" applyBorder="1"/>
    <xf numFmtId="3" fontId="37" fillId="0" borderId="0" xfId="0" applyNumberFormat="1" applyFont="1" applyAlignment="1">
      <alignment horizontal="left" vertical="top" wrapText="1"/>
    </xf>
    <xf numFmtId="3" fontId="34" fillId="0" borderId="0" xfId="0" applyNumberFormat="1" applyFont="1" applyAlignment="1">
      <alignment horizontal="left" vertical="center"/>
    </xf>
    <xf numFmtId="0" fontId="34" fillId="18" borderId="0" xfId="0" applyNumberFormat="1" applyFont="1" applyFill="1" applyAlignment="1">
      <alignment horizontal="left" vertical="center"/>
    </xf>
    <xf numFmtId="0" fontId="34" fillId="10" borderId="0" xfId="0" applyNumberFormat="1" applyFont="1" applyFill="1"/>
    <xf numFmtId="0" fontId="34" fillId="2" borderId="0" xfId="0" applyNumberFormat="1" applyFont="1" applyFill="1"/>
    <xf numFmtId="168" fontId="93" fillId="0" borderId="0" xfId="0" applyFont="1" applyAlignment="1">
      <alignment vertical="top"/>
    </xf>
    <xf numFmtId="2" fontId="87" fillId="0" borderId="0" xfId="0" applyNumberFormat="1" applyFont="1" applyAlignment="1">
      <alignment vertical="top"/>
    </xf>
    <xf numFmtId="2" fontId="93" fillId="0" borderId="0" xfId="0" applyNumberFormat="1" applyFont="1" applyAlignment="1">
      <alignment vertical="top"/>
    </xf>
    <xf numFmtId="168" fontId="89" fillId="0" borderId="0" xfId="0" applyFont="1"/>
    <xf numFmtId="168" fontId="89" fillId="0" borderId="0" xfId="0" applyFont="1" applyAlignment="1">
      <alignment horizontal="left" vertical="top"/>
    </xf>
    <xf numFmtId="168" fontId="89" fillId="0" borderId="0" xfId="0" applyFont="1" applyAlignment="1">
      <alignment horizontal="left"/>
    </xf>
    <xf numFmtId="3" fontId="37" fillId="0" borderId="0" xfId="0" applyNumberFormat="1" applyFont="1" applyAlignment="1">
      <alignment vertical="center" wrapText="1"/>
    </xf>
    <xf numFmtId="3" fontId="37" fillId="0" borderId="0" xfId="0" applyNumberFormat="1" applyFont="1" applyAlignment="1">
      <alignment horizontal="left"/>
    </xf>
    <xf numFmtId="3" fontId="37" fillId="0" borderId="37" xfId="0" applyNumberFormat="1" applyFont="1" applyBorder="1" applyAlignment="1">
      <alignment horizontal="left"/>
    </xf>
    <xf numFmtId="0" fontId="34" fillId="18" borderId="0" xfId="0" applyNumberFormat="1" applyFont="1" applyFill="1" applyAlignment="1">
      <alignment horizontal="right"/>
    </xf>
    <xf numFmtId="0" fontId="34" fillId="12" borderId="0" xfId="0" applyNumberFormat="1" applyFont="1" applyFill="1" applyAlignment="1">
      <alignment horizontal="center" vertical="center"/>
    </xf>
    <xf numFmtId="3" fontId="91" fillId="0" borderId="0" xfId="0" applyNumberFormat="1" applyFont="1" applyAlignment="1">
      <alignment horizontal="left" vertical="top"/>
    </xf>
    <xf numFmtId="3" fontId="91" fillId="0" borderId="0" xfId="0" applyNumberFormat="1" applyFont="1" applyAlignment="1">
      <alignment vertical="top"/>
    </xf>
    <xf numFmtId="4" fontId="34" fillId="11" borderId="230" xfId="0" applyNumberFormat="1" applyFont="1" applyFill="1" applyBorder="1" applyAlignment="1">
      <alignment horizontal="right"/>
    </xf>
    <xf numFmtId="4" fontId="34" fillId="11" borderId="37" xfId="0" applyNumberFormat="1" applyFont="1" applyFill="1" applyBorder="1" applyAlignment="1">
      <alignment horizontal="right"/>
    </xf>
    <xf numFmtId="4" fontId="34" fillId="11" borderId="0" xfId="0" applyNumberFormat="1" applyFont="1" applyFill="1" applyAlignment="1">
      <alignment horizontal="right"/>
    </xf>
    <xf numFmtId="3" fontId="34" fillId="0" borderId="6" xfId="0" applyNumberFormat="1" applyFont="1" applyBorder="1" applyAlignment="1">
      <alignment vertical="top"/>
    </xf>
    <xf numFmtId="4" fontId="34" fillId="0" borderId="189" xfId="0" applyNumberFormat="1" applyFont="1" applyBorder="1" applyAlignment="1" applyProtection="1">
      <alignment horizontal="right"/>
      <protection locked="0"/>
    </xf>
    <xf numFmtId="4" fontId="34" fillId="0" borderId="203" xfId="0" applyNumberFormat="1" applyFont="1" applyBorder="1" applyAlignment="1" applyProtection="1">
      <alignment horizontal="right"/>
      <protection locked="0"/>
    </xf>
    <xf numFmtId="4" fontId="34" fillId="0" borderId="148" xfId="0" applyNumberFormat="1" applyFont="1" applyBorder="1" applyAlignment="1" applyProtection="1">
      <alignment horizontal="right"/>
      <protection locked="0"/>
    </xf>
    <xf numFmtId="4" fontId="34" fillId="22" borderId="203" xfId="0" applyNumberFormat="1" applyFont="1" applyFill="1" applyBorder="1" applyAlignment="1" applyProtection="1">
      <alignment horizontal="right"/>
      <protection locked="0"/>
    </xf>
    <xf numFmtId="4" fontId="34" fillId="22" borderId="146" xfId="0" applyNumberFormat="1" applyFont="1" applyFill="1" applyBorder="1" applyAlignment="1" applyProtection="1">
      <alignment horizontal="right"/>
      <protection locked="0"/>
    </xf>
    <xf numFmtId="4" fontId="34" fillId="5" borderId="189" xfId="0" applyNumberFormat="1" applyFont="1" applyFill="1" applyBorder="1" applyAlignment="1">
      <alignment horizontal="right"/>
    </xf>
    <xf numFmtId="4" fontId="34" fillId="5" borderId="203" xfId="0" applyNumberFormat="1" applyFont="1" applyFill="1" applyBorder="1" applyAlignment="1">
      <alignment horizontal="right"/>
    </xf>
    <xf numFmtId="4" fontId="34" fillId="5" borderId="148" xfId="0" applyNumberFormat="1" applyFont="1" applyFill="1" applyBorder="1" applyAlignment="1">
      <alignment horizontal="right"/>
    </xf>
    <xf numFmtId="3" fontId="34" fillId="0" borderId="0" xfId="0" applyNumberFormat="1" applyFont="1" applyAlignment="1">
      <alignment horizontal="right" vertical="top"/>
    </xf>
    <xf numFmtId="4" fontId="34" fillId="11" borderId="190" xfId="0" applyNumberFormat="1" applyFont="1" applyFill="1" applyBorder="1" applyAlignment="1">
      <alignment horizontal="right"/>
    </xf>
    <xf numFmtId="4" fontId="34" fillId="11" borderId="229" xfId="0" applyNumberFormat="1" applyFont="1" applyFill="1" applyBorder="1" applyAlignment="1">
      <alignment horizontal="right"/>
    </xf>
    <xf numFmtId="4" fontId="34" fillId="11" borderId="149" xfId="0" applyNumberFormat="1" applyFont="1" applyFill="1" applyBorder="1" applyAlignment="1">
      <alignment horizontal="right"/>
    </xf>
    <xf numFmtId="4" fontId="34" fillId="11" borderId="86" xfId="0" applyNumberFormat="1" applyFont="1" applyFill="1" applyBorder="1" applyAlignment="1">
      <alignment horizontal="right"/>
    </xf>
    <xf numFmtId="4" fontId="34" fillId="11" borderId="263" xfId="0" applyNumberFormat="1" applyFont="1" applyFill="1" applyBorder="1" applyAlignment="1">
      <alignment horizontal="right"/>
    </xf>
    <xf numFmtId="4" fontId="34" fillId="11" borderId="152" xfId="0" applyNumberFormat="1" applyFont="1" applyFill="1" applyBorder="1" applyAlignment="1">
      <alignment horizontal="right"/>
    </xf>
    <xf numFmtId="4" fontId="34" fillId="0" borderId="202" xfId="0" applyNumberFormat="1" applyFont="1" applyBorder="1" applyAlignment="1" applyProtection="1">
      <alignment horizontal="right"/>
      <protection locked="0"/>
    </xf>
    <xf numFmtId="4" fontId="34" fillId="0" borderId="37" xfId="0" applyNumberFormat="1" applyFont="1" applyBorder="1" applyAlignment="1" applyProtection="1">
      <alignment horizontal="right"/>
      <protection locked="0"/>
    </xf>
    <xf numFmtId="4" fontId="34" fillId="0" borderId="0" xfId="0" applyNumberFormat="1" applyFont="1" applyAlignment="1" applyProtection="1">
      <alignment horizontal="right"/>
      <protection locked="0"/>
    </xf>
    <xf numFmtId="4" fontId="34" fillId="5" borderId="202" xfId="0" applyNumberFormat="1" applyFont="1" applyFill="1" applyBorder="1" applyAlignment="1">
      <alignment horizontal="right"/>
    </xf>
    <xf numFmtId="4" fontId="34" fillId="5" borderId="37" xfId="0" applyNumberFormat="1" applyFont="1" applyFill="1" applyBorder="1" applyAlignment="1">
      <alignment horizontal="right"/>
    </xf>
    <xf numFmtId="4" fontId="34" fillId="0" borderId="146" xfId="0" applyNumberFormat="1" applyFont="1" applyBorder="1" applyAlignment="1" applyProtection="1">
      <alignment horizontal="right"/>
      <protection locked="0"/>
    </xf>
    <xf numFmtId="4" fontId="34" fillId="0" borderId="275" xfId="0" applyNumberFormat="1" applyFont="1" applyBorder="1" applyAlignment="1" applyProtection="1">
      <alignment horizontal="right"/>
      <protection locked="0"/>
    </xf>
    <xf numFmtId="4" fontId="34" fillId="0" borderId="204" xfId="0" applyNumberFormat="1" applyFont="1" applyBorder="1" applyAlignment="1" applyProtection="1">
      <alignment horizontal="right"/>
      <protection locked="0"/>
    </xf>
    <xf numFmtId="4" fontId="34" fillId="0" borderId="149" xfId="0" applyNumberFormat="1" applyFont="1" applyBorder="1" applyAlignment="1" applyProtection="1">
      <alignment horizontal="right"/>
      <protection locked="0"/>
    </xf>
    <xf numFmtId="4" fontId="34" fillId="0" borderId="190" xfId="0" applyNumberFormat="1" applyFont="1" applyBorder="1" applyAlignment="1" applyProtection="1">
      <alignment horizontal="right"/>
      <protection locked="0"/>
    </xf>
    <xf numFmtId="4" fontId="34" fillId="0" borderId="86" xfId="0" applyNumberFormat="1" applyFont="1" applyBorder="1" applyAlignment="1" applyProtection="1">
      <alignment horizontal="right"/>
      <protection locked="0"/>
    </xf>
    <xf numFmtId="4" fontId="34" fillId="5" borderId="190" xfId="0" applyNumberFormat="1" applyFont="1" applyFill="1" applyBorder="1" applyAlignment="1">
      <alignment horizontal="right"/>
    </xf>
    <xf numFmtId="4" fontId="34" fillId="5" borderId="204" xfId="0" applyNumberFormat="1" applyFont="1" applyFill="1" applyBorder="1" applyAlignment="1">
      <alignment horizontal="right"/>
    </xf>
    <xf numFmtId="4" fontId="34" fillId="5" borderId="149" xfId="0" applyNumberFormat="1" applyFont="1" applyFill="1" applyBorder="1" applyAlignment="1">
      <alignment horizontal="right"/>
    </xf>
    <xf numFmtId="3" fontId="91" fillId="0" borderId="0" xfId="0" applyNumberFormat="1" applyFont="1" applyAlignment="1">
      <alignment horizontal="left" vertical="top" wrapText="1"/>
    </xf>
    <xf numFmtId="4" fontId="34" fillId="0" borderId="192" xfId="0" applyNumberFormat="1" applyFont="1" applyBorder="1" applyAlignment="1" applyProtection="1">
      <alignment horizontal="right"/>
      <protection locked="0"/>
    </xf>
    <xf numFmtId="4" fontId="34" fillId="0" borderId="201" xfId="0" applyNumberFormat="1" applyFont="1" applyBorder="1" applyAlignment="1" applyProtection="1">
      <alignment horizontal="right"/>
      <protection locked="0"/>
    </xf>
    <xf numFmtId="4" fontId="34" fillId="0" borderId="43" xfId="0" applyNumberFormat="1" applyFont="1" applyBorder="1" applyAlignment="1" applyProtection="1">
      <alignment horizontal="right"/>
      <protection locked="0"/>
    </xf>
    <xf numFmtId="4" fontId="34" fillId="5" borderId="192" xfId="0" applyNumberFormat="1" applyFont="1" applyFill="1" applyBorder="1" applyAlignment="1">
      <alignment horizontal="right"/>
    </xf>
    <xf numFmtId="4" fontId="34" fillId="5" borderId="201" xfId="0" applyNumberFormat="1" applyFont="1" applyFill="1" applyBorder="1" applyAlignment="1">
      <alignment horizontal="right"/>
    </xf>
    <xf numFmtId="4" fontId="34" fillId="5" borderId="43" xfId="0" applyNumberFormat="1" applyFont="1" applyFill="1" applyBorder="1" applyAlignment="1">
      <alignment horizontal="right"/>
    </xf>
    <xf numFmtId="3" fontId="91" fillId="0" borderId="125" xfId="0" applyNumberFormat="1" applyFont="1" applyBorder="1" applyAlignment="1">
      <alignment vertical="top"/>
    </xf>
    <xf numFmtId="3" fontId="37" fillId="0" borderId="112" xfId="0" applyNumberFormat="1" applyFont="1" applyBorder="1" applyAlignment="1">
      <alignment horizontal="left" vertical="top" wrapText="1"/>
    </xf>
    <xf numFmtId="3" fontId="34" fillId="0" borderId="0" xfId="0" applyNumberFormat="1" applyFont="1" applyAlignment="1">
      <alignment vertical="top"/>
    </xf>
    <xf numFmtId="4" fontId="34" fillId="5" borderId="191" xfId="0" applyNumberFormat="1" applyFont="1" applyFill="1" applyBorder="1" applyAlignment="1">
      <alignment horizontal="right"/>
    </xf>
    <xf numFmtId="4" fontId="34" fillId="5" borderId="205" xfId="0" applyNumberFormat="1" applyFont="1" applyFill="1" applyBorder="1" applyAlignment="1">
      <alignment horizontal="right"/>
    </xf>
    <xf numFmtId="4" fontId="34" fillId="5" borderId="207" xfId="0" applyNumberFormat="1" applyFont="1" applyFill="1" applyBorder="1" applyAlignment="1">
      <alignment horizontal="right"/>
    </xf>
    <xf numFmtId="4" fontId="34" fillId="5" borderId="147" xfId="0" applyNumberFormat="1" applyFont="1" applyFill="1" applyBorder="1" applyAlignment="1">
      <alignment horizontal="right"/>
    </xf>
    <xf numFmtId="4" fontId="34" fillId="5" borderId="0" xfId="0" applyNumberFormat="1" applyFont="1" applyFill="1" applyAlignment="1">
      <alignment horizontal="right"/>
    </xf>
    <xf numFmtId="3" fontId="91" fillId="0" borderId="0" xfId="0" applyNumberFormat="1" applyFont="1" applyAlignment="1">
      <alignment horizontal="left"/>
    </xf>
    <xf numFmtId="4" fontId="34" fillId="5" borderId="146" xfId="0" applyNumberFormat="1" applyFont="1" applyFill="1" applyBorder="1" applyAlignment="1">
      <alignment horizontal="right"/>
    </xf>
    <xf numFmtId="4" fontId="34" fillId="5" borderId="193" xfId="0" applyNumberFormat="1" applyFont="1" applyFill="1" applyBorder="1" applyAlignment="1">
      <alignment horizontal="right"/>
    </xf>
    <xf numFmtId="4" fontId="34" fillId="5" borderId="206" xfId="0" applyNumberFormat="1" applyFont="1" applyFill="1" applyBorder="1" applyAlignment="1">
      <alignment horizontal="right"/>
    </xf>
    <xf numFmtId="4" fontId="34" fillId="5" borderId="13" xfId="0" applyNumberFormat="1" applyFont="1" applyFill="1" applyBorder="1" applyAlignment="1">
      <alignment horizontal="right"/>
    </xf>
    <xf numFmtId="3" fontId="91" fillId="0" borderId="1" xfId="0" applyNumberFormat="1" applyFont="1" applyBorder="1" applyAlignment="1">
      <alignment horizontal="left"/>
    </xf>
    <xf numFmtId="3" fontId="34" fillId="0" borderId="1" xfId="0" applyNumberFormat="1" applyFont="1" applyBorder="1" applyAlignment="1">
      <alignment horizontal="right"/>
    </xf>
    <xf numFmtId="4" fontId="34" fillId="0" borderId="1" xfId="0" applyNumberFormat="1" applyFont="1" applyBorder="1" applyAlignment="1">
      <alignment horizontal="right"/>
    </xf>
    <xf numFmtId="4" fontId="34" fillId="0" borderId="0" xfId="0" applyNumberFormat="1" applyFont="1" applyAlignment="1">
      <alignment horizontal="right"/>
    </xf>
    <xf numFmtId="3" fontId="93" fillId="0" borderId="0" xfId="0" applyNumberFormat="1" applyFont="1" applyAlignment="1">
      <alignment horizontal="right"/>
    </xf>
    <xf numFmtId="168" fontId="87" fillId="0" borderId="0" xfId="0" applyFont="1" applyAlignment="1">
      <alignment horizontal="left" vertical="top"/>
    </xf>
    <xf numFmtId="3" fontId="93" fillId="0" borderId="0" xfId="0" applyNumberFormat="1" applyFont="1" applyAlignment="1">
      <alignment horizontal="left"/>
    </xf>
    <xf numFmtId="49" fontId="87" fillId="0" borderId="0" xfId="0" applyNumberFormat="1" applyFont="1" applyAlignment="1">
      <alignment horizontal="left" vertical="top"/>
    </xf>
    <xf numFmtId="0" fontId="34" fillId="18" borderId="0" xfId="0" applyNumberFormat="1" applyFont="1" applyFill="1" applyAlignment="1">
      <alignment horizontal="center"/>
    </xf>
    <xf numFmtId="3" fontId="34" fillId="0" borderId="0" xfId="0" applyNumberFormat="1" applyFont="1" applyAlignment="1">
      <alignment horizontal="center"/>
    </xf>
    <xf numFmtId="4" fontId="34" fillId="11" borderId="195" xfId="0" applyNumberFormat="1" applyFont="1" applyFill="1" applyBorder="1" applyAlignment="1">
      <alignment horizontal="right"/>
    </xf>
    <xf numFmtId="4" fontId="34" fillId="0" borderId="196" xfId="0" applyNumberFormat="1" applyFont="1" applyBorder="1" applyAlignment="1" applyProtection="1">
      <alignment horizontal="right"/>
      <protection locked="0"/>
    </xf>
    <xf numFmtId="4" fontId="34" fillId="11" borderId="197" xfId="0" applyNumberFormat="1" applyFont="1" applyFill="1" applyBorder="1" applyAlignment="1">
      <alignment horizontal="right"/>
    </xf>
    <xf numFmtId="4" fontId="34" fillId="0" borderId="195" xfId="0" applyNumberFormat="1" applyFont="1" applyBorder="1" applyAlignment="1" applyProtection="1">
      <alignment horizontal="right"/>
      <protection locked="0"/>
    </xf>
    <xf numFmtId="4" fontId="34" fillId="0" borderId="197" xfId="0" applyNumberFormat="1" applyFont="1" applyBorder="1" applyAlignment="1" applyProtection="1">
      <alignment horizontal="right"/>
      <protection locked="0"/>
    </xf>
    <xf numFmtId="4" fontId="34" fillId="5" borderId="86" xfId="0" applyNumberFormat="1" applyFont="1" applyFill="1" applyBorder="1" applyAlignment="1">
      <alignment horizontal="right"/>
    </xf>
    <xf numFmtId="4" fontId="34" fillId="0" borderId="199" xfId="0" applyNumberFormat="1" applyFont="1" applyBorder="1" applyAlignment="1" applyProtection="1">
      <alignment horizontal="right"/>
      <protection locked="0"/>
    </xf>
    <xf numFmtId="4" fontId="34" fillId="5" borderId="198" xfId="0" applyNumberFormat="1" applyFont="1" applyFill="1" applyBorder="1" applyAlignment="1">
      <alignment horizontal="right"/>
    </xf>
    <xf numFmtId="4" fontId="34" fillId="5" borderId="195" xfId="0" applyNumberFormat="1" applyFont="1" applyFill="1" applyBorder="1" applyAlignment="1">
      <alignment horizontal="right"/>
    </xf>
    <xf numFmtId="4" fontId="34" fillId="5" borderId="196" xfId="0" applyNumberFormat="1" applyFont="1" applyFill="1" applyBorder="1" applyAlignment="1">
      <alignment horizontal="right"/>
    </xf>
    <xf numFmtId="4" fontId="34" fillId="5" borderId="199" xfId="0" applyNumberFormat="1" applyFont="1" applyFill="1" applyBorder="1" applyAlignment="1">
      <alignment horizontal="right"/>
    </xf>
    <xf numFmtId="4" fontId="34" fillId="5" borderId="200" xfId="0" applyNumberFormat="1" applyFont="1" applyFill="1" applyBorder="1" applyAlignment="1">
      <alignment horizontal="right"/>
    </xf>
    <xf numFmtId="0" fontId="34" fillId="0" borderId="2" xfId="13" applyNumberFormat="1" applyFont="1" applyBorder="1"/>
    <xf numFmtId="0" fontId="34" fillId="0" borderId="1" xfId="20" applyFont="1" applyBorder="1"/>
    <xf numFmtId="0" fontId="34" fillId="0" borderId="242" xfId="20" applyFont="1" applyBorder="1"/>
    <xf numFmtId="0" fontId="34" fillId="0" borderId="231" xfId="20" applyFont="1" applyBorder="1"/>
    <xf numFmtId="0" fontId="34" fillId="0" borderId="7" xfId="20" applyFont="1" applyBorder="1"/>
    <xf numFmtId="168" fontId="37" fillId="0" borderId="41" xfId="13" applyFont="1" applyBorder="1"/>
    <xf numFmtId="168" fontId="37" fillId="0" borderId="95" xfId="13" applyFont="1" applyBorder="1" applyAlignment="1">
      <alignment horizontal="right" wrapText="1"/>
    </xf>
    <xf numFmtId="168" fontId="37" fillId="0" borderId="43" xfId="13" applyFont="1" applyBorder="1" applyAlignment="1">
      <alignment horizontal="right" wrapText="1"/>
    </xf>
    <xf numFmtId="168" fontId="37" fillId="0" borderId="42" xfId="13" applyFont="1" applyBorder="1" applyAlignment="1">
      <alignment horizontal="right" wrapText="1"/>
    </xf>
    <xf numFmtId="0" fontId="37" fillId="0" borderId="236" xfId="20" applyFont="1" applyBorder="1" applyAlignment="1">
      <alignment horizontal="right" wrapText="1"/>
    </xf>
    <xf numFmtId="0" fontId="37" fillId="0" borderId="237" xfId="20" applyFont="1" applyBorder="1" applyAlignment="1">
      <alignment horizontal="right" wrapText="1"/>
    </xf>
    <xf numFmtId="0" fontId="34" fillId="0" borderId="0" xfId="20" applyFont="1" applyAlignment="1">
      <alignment wrapText="1"/>
    </xf>
    <xf numFmtId="4" fontId="34" fillId="0" borderId="78" xfId="20" applyNumberFormat="1" applyFont="1" applyBorder="1"/>
    <xf numFmtId="4" fontId="34" fillId="0" borderId="93" xfId="20" applyNumberFormat="1" applyFont="1" applyBorder="1"/>
    <xf numFmtId="4" fontId="34" fillId="0" borderId="0" xfId="20" applyNumberFormat="1" applyFont="1"/>
    <xf numFmtId="9" fontId="88" fillId="0" borderId="0" xfId="25" applyFont="1" applyFill="1" applyBorder="1"/>
    <xf numFmtId="9" fontId="88" fillId="0" borderId="0" xfId="25" applyFont="1" applyFill="1"/>
    <xf numFmtId="1" fontId="88" fillId="0" borderId="142" xfId="25" applyNumberFormat="1" applyFont="1" applyFill="1" applyBorder="1"/>
    <xf numFmtId="9" fontId="88" fillId="0" borderId="93" xfId="25" applyFont="1" applyFill="1" applyBorder="1"/>
    <xf numFmtId="1" fontId="88" fillId="0" borderId="0" xfId="25" applyNumberFormat="1" applyFont="1" applyFill="1" applyBorder="1"/>
    <xf numFmtId="0" fontId="34" fillId="0" borderId="240" xfId="20" applyFont="1" applyBorder="1"/>
    <xf numFmtId="4" fontId="34" fillId="0" borderId="239" xfId="20" applyNumberFormat="1" applyFont="1" applyBorder="1"/>
    <xf numFmtId="4" fontId="34" fillId="0" borderId="248" xfId="20" applyNumberFormat="1" applyFont="1" applyBorder="1"/>
    <xf numFmtId="4" fontId="34" fillId="0" borderId="238" xfId="20" applyNumberFormat="1" applyFont="1" applyBorder="1"/>
    <xf numFmtId="9" fontId="88" fillId="11" borderId="244" xfId="25" applyFont="1" applyFill="1" applyBorder="1"/>
    <xf numFmtId="9" fontId="88" fillId="11" borderId="238" xfId="25" applyFont="1" applyFill="1" applyBorder="1"/>
    <xf numFmtId="9" fontId="88" fillId="11" borderId="239" xfId="25" applyFont="1" applyFill="1" applyBorder="1"/>
    <xf numFmtId="1" fontId="34" fillId="11" borderId="240" xfId="20" applyNumberFormat="1" applyFont="1" applyFill="1" applyBorder="1"/>
    <xf numFmtId="1" fontId="88" fillId="11" borderId="238" xfId="25" applyNumberFormat="1" applyFont="1" applyFill="1" applyBorder="1"/>
    <xf numFmtId="0" fontId="34" fillId="0" borderId="0" xfId="20" applyFont="1" applyAlignment="1">
      <alignment horizontal="left" vertical="center"/>
    </xf>
    <xf numFmtId="1" fontId="34" fillId="0" borderId="0" xfId="20" applyNumberFormat="1" applyFont="1"/>
    <xf numFmtId="0" fontId="34" fillId="0" borderId="243" xfId="20" applyFont="1" applyBorder="1"/>
    <xf numFmtId="0" fontId="37" fillId="0" borderId="42" xfId="20" applyFont="1" applyBorder="1"/>
    <xf numFmtId="168" fontId="37" fillId="0" borderId="0" xfId="13" applyFont="1" applyAlignment="1">
      <alignment horizontal="right" wrapText="1"/>
    </xf>
    <xf numFmtId="168" fontId="34" fillId="0" borderId="0" xfId="13" applyFont="1"/>
    <xf numFmtId="9" fontId="88" fillId="0" borderId="142" xfId="25" applyFont="1" applyFill="1" applyBorder="1"/>
    <xf numFmtId="9" fontId="34" fillId="0" borderId="0" xfId="25" applyFont="1" applyFill="1" applyBorder="1"/>
    <xf numFmtId="9" fontId="88" fillId="0" borderId="256" xfId="25" applyFont="1" applyFill="1" applyBorder="1"/>
    <xf numFmtId="0" fontId="34" fillId="0" borderId="238" xfId="20" applyFont="1" applyBorder="1"/>
    <xf numFmtId="9" fontId="88" fillId="0" borderId="14" xfId="25" applyFont="1" applyFill="1" applyBorder="1"/>
    <xf numFmtId="9" fontId="88" fillId="0" borderId="238" xfId="25" applyFont="1" applyFill="1" applyBorder="1"/>
    <xf numFmtId="0" fontId="37" fillId="0" borderId="42" xfId="20" applyFont="1" applyBorder="1" applyAlignment="1">
      <alignment horizontal="left"/>
    </xf>
    <xf numFmtId="168" fontId="37" fillId="0" borderId="0" xfId="13" applyFont="1"/>
    <xf numFmtId="0" fontId="34" fillId="0" borderId="0" xfId="20" applyFont="1" applyAlignment="1">
      <alignment horizontal="left"/>
    </xf>
    <xf numFmtId="0" fontId="34" fillId="0" borderId="238" xfId="20" applyFont="1" applyBorder="1" applyAlignment="1">
      <alignment horizontal="left"/>
    </xf>
    <xf numFmtId="0" fontId="34" fillId="0" borderId="0" xfId="20" applyFont="1" applyAlignment="1">
      <alignment horizontal="right"/>
    </xf>
    <xf numFmtId="9" fontId="34" fillId="0" borderId="0" xfId="20" applyNumberFormat="1" applyFont="1"/>
    <xf numFmtId="1" fontId="34" fillId="0" borderId="37" xfId="20" applyNumberFormat="1" applyFont="1" applyBorder="1"/>
    <xf numFmtId="0" fontId="37" fillId="0" borderId="0" xfId="20" applyFont="1"/>
    <xf numFmtId="168" fontId="34" fillId="0" borderId="0" xfId="19" applyFont="1"/>
    <xf numFmtId="0" fontId="37" fillId="0" borderId="1" xfId="20" applyFont="1" applyBorder="1"/>
    <xf numFmtId="0" fontId="37" fillId="0" borderId="42" xfId="20" applyFont="1" applyBorder="1" applyAlignment="1">
      <alignment horizontal="right" wrapText="1"/>
    </xf>
    <xf numFmtId="0" fontId="37" fillId="0" borderId="41" xfId="20" applyFont="1" applyBorder="1" applyAlignment="1">
      <alignment horizontal="right" wrapText="1"/>
    </xf>
    <xf numFmtId="0" fontId="37" fillId="0" borderId="43" xfId="20" applyFont="1" applyBorder="1" applyAlignment="1">
      <alignment horizontal="right" wrapText="1"/>
    </xf>
    <xf numFmtId="0" fontId="37" fillId="0" borderId="246" xfId="20" applyFont="1" applyBorder="1" applyAlignment="1">
      <alignment horizontal="right" wrapText="1"/>
    </xf>
    <xf numFmtId="3" fontId="34" fillId="0" borderId="0" xfId="20" applyNumberFormat="1" applyFont="1" applyAlignment="1">
      <alignment horizontal="right"/>
    </xf>
    <xf numFmtId="167" fontId="34" fillId="0" borderId="37" xfId="20" applyNumberFormat="1" applyFont="1" applyBorder="1" applyAlignment="1">
      <alignment horizontal="right"/>
    </xf>
    <xf numFmtId="167" fontId="34" fillId="0" borderId="0" xfId="20" applyNumberFormat="1" applyFont="1" applyAlignment="1">
      <alignment horizontal="right"/>
    </xf>
    <xf numFmtId="3" fontId="34" fillId="0" borderId="78" xfId="20" applyNumberFormat="1" applyFont="1" applyBorder="1" applyAlignment="1">
      <alignment horizontal="right"/>
    </xf>
    <xf numFmtId="167" fontId="34" fillId="0" borderId="78" xfId="20" applyNumberFormat="1" applyFont="1" applyBorder="1" applyAlignment="1">
      <alignment horizontal="right"/>
    </xf>
    <xf numFmtId="172" fontId="34" fillId="0" borderId="78" xfId="20" applyNumberFormat="1" applyFont="1" applyBorder="1" applyAlignment="1">
      <alignment horizontal="right"/>
    </xf>
    <xf numFmtId="0" fontId="34" fillId="0" borderId="6" xfId="20" applyFont="1" applyBorder="1"/>
    <xf numFmtId="3" fontId="34" fillId="0" borderId="89" xfId="20" applyNumberFormat="1" applyFont="1" applyBorder="1" applyAlignment="1">
      <alignment horizontal="right"/>
    </xf>
    <xf numFmtId="3" fontId="34" fillId="0" borderId="6" xfId="20" applyNumberFormat="1" applyFont="1" applyBorder="1" applyAlignment="1">
      <alignment horizontal="right"/>
    </xf>
    <xf numFmtId="167" fontId="34" fillId="0" borderId="8" xfId="20" applyNumberFormat="1" applyFont="1" applyBorder="1" applyAlignment="1">
      <alignment horizontal="right"/>
    </xf>
    <xf numFmtId="167" fontId="34" fillId="0" borderId="6" xfId="20" applyNumberFormat="1" applyFont="1" applyBorder="1" applyAlignment="1">
      <alignment horizontal="right"/>
    </xf>
    <xf numFmtId="3" fontId="34" fillId="0" borderId="136" xfId="20" applyNumberFormat="1" applyFont="1" applyBorder="1" applyAlignment="1">
      <alignment horizontal="right"/>
    </xf>
    <xf numFmtId="167" fontId="34" fillId="0" borderId="136" xfId="20" applyNumberFormat="1" applyFont="1" applyBorder="1" applyAlignment="1">
      <alignment horizontal="right"/>
    </xf>
    <xf numFmtId="172" fontId="34" fillId="0" borderId="89" xfId="20" applyNumberFormat="1" applyFont="1" applyBorder="1" applyAlignment="1">
      <alignment horizontal="right"/>
    </xf>
    <xf numFmtId="172" fontId="34" fillId="0" borderId="136" xfId="20" applyNumberFormat="1" applyFont="1" applyBorder="1" applyAlignment="1">
      <alignment horizontal="right"/>
    </xf>
    <xf numFmtId="0" fontId="34" fillId="0" borderId="252" xfId="20" applyFont="1" applyBorder="1"/>
    <xf numFmtId="3" fontId="34" fillId="0" borderId="253" xfId="20" applyNumberFormat="1" applyFont="1" applyBorder="1" applyAlignment="1">
      <alignment horizontal="right"/>
    </xf>
    <xf numFmtId="3" fontId="34" fillId="0" borderId="252" xfId="20" applyNumberFormat="1" applyFont="1" applyBorder="1" applyAlignment="1">
      <alignment horizontal="right"/>
    </xf>
    <xf numFmtId="167" fontId="34" fillId="0" borderId="254" xfId="20" applyNumberFormat="1" applyFont="1" applyBorder="1" applyAlignment="1">
      <alignment horizontal="right"/>
    </xf>
    <xf numFmtId="167" fontId="34" fillId="0" borderId="252" xfId="20" applyNumberFormat="1" applyFont="1" applyBorder="1" applyAlignment="1">
      <alignment horizontal="right"/>
    </xf>
    <xf numFmtId="3" fontId="34" fillId="0" borderId="255" xfId="20" applyNumberFormat="1" applyFont="1" applyBorder="1" applyAlignment="1">
      <alignment horizontal="right"/>
    </xf>
    <xf numFmtId="167" fontId="34" fillId="0" borderId="255" xfId="20" applyNumberFormat="1" applyFont="1" applyBorder="1" applyAlignment="1">
      <alignment horizontal="right"/>
    </xf>
    <xf numFmtId="172" fontId="34" fillId="0" borderId="253" xfId="20" applyNumberFormat="1" applyFont="1" applyBorder="1" applyAlignment="1">
      <alignment horizontal="right"/>
    </xf>
    <xf numFmtId="172" fontId="34" fillId="0" borderId="255" xfId="20" applyNumberFormat="1" applyFont="1" applyBorder="1" applyAlignment="1">
      <alignment horizontal="right"/>
    </xf>
    <xf numFmtId="0" fontId="34" fillId="0" borderId="0" xfId="21" applyFont="1"/>
    <xf numFmtId="0" fontId="87" fillId="0" borderId="0" xfId="20" applyFont="1"/>
    <xf numFmtId="0" fontId="88" fillId="0" borderId="0" xfId="22" applyFont="1"/>
    <xf numFmtId="0" fontId="34" fillId="0" borderId="249" xfId="20" applyFont="1" applyBorder="1"/>
    <xf numFmtId="0" fontId="99" fillId="22" borderId="42" xfId="20" applyFont="1" applyFill="1" applyBorder="1" applyAlignment="1">
      <alignment horizontal="right" vertical="top" wrapText="1"/>
    </xf>
    <xf numFmtId="0" fontId="100" fillId="22" borderId="42" xfId="20" applyFont="1" applyFill="1" applyBorder="1" applyAlignment="1">
      <alignment wrapText="1"/>
    </xf>
    <xf numFmtId="0" fontId="37" fillId="0" borderId="78" xfId="20" applyFont="1" applyBorder="1" applyAlignment="1">
      <alignment horizontal="right" wrapText="1"/>
    </xf>
    <xf numFmtId="0" fontId="37" fillId="0" borderId="93" xfId="20" applyFont="1" applyBorder="1" applyAlignment="1">
      <alignment horizontal="right" wrapText="1"/>
    </xf>
    <xf numFmtId="168" fontId="34" fillId="22" borderId="0" xfId="20" applyNumberFormat="1" applyFont="1" applyFill="1"/>
    <xf numFmtId="168" fontId="34" fillId="22" borderId="0" xfId="20" applyNumberFormat="1" applyFont="1" applyFill="1" applyAlignment="1">
      <alignment horizontal="right"/>
    </xf>
    <xf numFmtId="0" fontId="34" fillId="22" borderId="0" xfId="20" applyFont="1" applyFill="1"/>
    <xf numFmtId="0" fontId="34" fillId="0" borderId="1" xfId="21" applyFont="1" applyBorder="1"/>
    <xf numFmtId="168" fontId="34" fillId="0" borderId="0" xfId="20" applyNumberFormat="1" applyFont="1" applyAlignment="1">
      <alignment wrapText="1"/>
    </xf>
    <xf numFmtId="0" fontId="37" fillId="0" borderId="42" xfId="21" applyFont="1" applyBorder="1" applyAlignment="1">
      <alignment wrapText="1"/>
    </xf>
    <xf numFmtId="0" fontId="37" fillId="0" borderId="42" xfId="21" applyFont="1" applyBorder="1"/>
    <xf numFmtId="0" fontId="37" fillId="0" borderId="41" xfId="21" applyFont="1" applyBorder="1" applyAlignment="1">
      <alignment horizontal="right" wrapText="1"/>
    </xf>
    <xf numFmtId="0" fontId="37" fillId="0" borderId="42" xfId="21" applyFont="1" applyBorder="1" applyAlignment="1">
      <alignment horizontal="right" wrapText="1"/>
    </xf>
    <xf numFmtId="0" fontId="37" fillId="0" borderId="235" xfId="21" applyFont="1" applyBorder="1" applyAlignment="1">
      <alignment horizontal="right" wrapText="1"/>
    </xf>
    <xf numFmtId="0" fontId="37" fillId="0" borderId="269" xfId="21" applyFont="1" applyBorder="1" applyAlignment="1">
      <alignment horizontal="right" wrapText="1"/>
    </xf>
    <xf numFmtId="0" fontId="37" fillId="0" borderId="43" xfId="21" applyFont="1" applyBorder="1" applyAlignment="1">
      <alignment horizontal="right" wrapText="1"/>
    </xf>
    <xf numFmtId="0" fontId="34" fillId="0" borderId="0" xfId="21" applyFont="1" applyAlignment="1">
      <alignment horizontal="right"/>
    </xf>
    <xf numFmtId="1" fontId="34" fillId="0" borderId="0" xfId="20" applyNumberFormat="1" applyFont="1" applyAlignment="1">
      <alignment horizontal="right"/>
    </xf>
    <xf numFmtId="4" fontId="34" fillId="0" borderId="240" xfId="20" applyNumberFormat="1" applyFont="1" applyBorder="1" applyAlignment="1">
      <alignment horizontal="right" vertical="center"/>
    </xf>
    <xf numFmtId="4" fontId="34" fillId="0" borderId="238" xfId="21" applyNumberFormat="1" applyFont="1" applyBorder="1" applyAlignment="1">
      <alignment horizontal="right" vertical="center"/>
    </xf>
    <xf numFmtId="9" fontId="34" fillId="0" borderId="239" xfId="21" quotePrefix="1" applyNumberFormat="1" applyFont="1" applyBorder="1" applyAlignment="1">
      <alignment horizontal="right" vertical="center"/>
    </xf>
    <xf numFmtId="4" fontId="34" fillId="0" borderId="238" xfId="20" applyNumberFormat="1" applyFont="1" applyBorder="1" applyAlignment="1">
      <alignment horizontal="right" vertical="center"/>
    </xf>
    <xf numFmtId="9" fontId="34" fillId="0" borderId="238" xfId="21" quotePrefix="1" applyNumberFormat="1" applyFont="1" applyBorder="1" applyAlignment="1">
      <alignment horizontal="right" vertical="center"/>
    </xf>
    <xf numFmtId="9" fontId="34" fillId="0" borderId="241" xfId="21" quotePrefix="1" applyNumberFormat="1" applyFont="1" applyBorder="1" applyAlignment="1">
      <alignment horizontal="right" vertical="center"/>
    </xf>
    <xf numFmtId="0" fontId="34" fillId="0" borderId="0" xfId="20" applyFont="1" applyAlignment="1">
      <alignment horizontal="right" vertical="center"/>
    </xf>
    <xf numFmtId="4" fontId="34" fillId="0" borderId="0" xfId="20" applyNumberFormat="1" applyFont="1" applyAlignment="1">
      <alignment horizontal="right" vertical="center"/>
    </xf>
    <xf numFmtId="4" fontId="34" fillId="0" borderId="0" xfId="21" applyNumberFormat="1" applyFont="1" applyAlignment="1">
      <alignment horizontal="right" vertical="center"/>
    </xf>
    <xf numFmtId="9" fontId="34" fillId="0" borderId="0" xfId="21" quotePrefix="1" applyNumberFormat="1" applyFont="1" applyAlignment="1">
      <alignment horizontal="right" vertical="center"/>
    </xf>
    <xf numFmtId="172" fontId="34" fillId="0" borderId="0" xfId="25" quotePrefix="1" applyNumberFormat="1" applyFont="1" applyFill="1" applyBorder="1" applyAlignment="1" applyProtection="1">
      <alignment horizontal="right"/>
    </xf>
    <xf numFmtId="9" fontId="87" fillId="0" borderId="0" xfId="21" quotePrefix="1" applyNumberFormat="1" applyFont="1" applyAlignment="1">
      <alignment horizontal="right" vertical="center"/>
    </xf>
    <xf numFmtId="0" fontId="37" fillId="0" borderId="4" xfId="20" applyFont="1" applyBorder="1" applyAlignment="1">
      <alignment vertical="center"/>
    </xf>
    <xf numFmtId="0" fontId="37" fillId="0" borderId="0" xfId="20" applyFont="1" applyAlignment="1">
      <alignment vertical="center"/>
    </xf>
    <xf numFmtId="0" fontId="96" fillId="0" borderId="0" xfId="21" applyFont="1"/>
    <xf numFmtId="0" fontId="37" fillId="0" borderId="0" xfId="21" applyFont="1"/>
    <xf numFmtId="167" fontId="34" fillId="0" borderId="37" xfId="25" quotePrefix="1" applyNumberFormat="1" applyFont="1" applyBorder="1" applyAlignment="1" applyProtection="1">
      <alignment horizontal="right"/>
    </xf>
    <xf numFmtId="3" fontId="34" fillId="22" borderId="0" xfId="25" quotePrefix="1" applyNumberFormat="1" applyFont="1" applyFill="1" applyBorder="1" applyAlignment="1" applyProtection="1">
      <alignment horizontal="right"/>
    </xf>
    <xf numFmtId="172" fontId="34" fillId="0" borderId="0" xfId="25" quotePrefix="1" applyNumberFormat="1" applyFont="1" applyBorder="1" applyAlignment="1" applyProtection="1">
      <alignment horizontal="right"/>
    </xf>
    <xf numFmtId="167" fontId="34" fillId="0" borderId="43" xfId="25" quotePrefix="1" applyNumberFormat="1" applyFont="1" applyBorder="1" applyAlignment="1" applyProtection="1">
      <alignment horizontal="right"/>
    </xf>
    <xf numFmtId="167" fontId="34" fillId="0" borderId="0" xfId="25" quotePrefix="1" applyNumberFormat="1" applyFont="1" applyBorder="1" applyAlignment="1" applyProtection="1">
      <alignment horizontal="right"/>
    </xf>
    <xf numFmtId="3" fontId="34" fillId="0" borderId="0" xfId="25" quotePrefix="1" applyNumberFormat="1" applyFont="1" applyBorder="1" applyAlignment="1" applyProtection="1">
      <alignment horizontal="right"/>
    </xf>
    <xf numFmtId="0" fontId="62" fillId="0" borderId="1" xfId="22" applyFont="1" applyBorder="1"/>
    <xf numFmtId="0" fontId="88" fillId="0" borderId="1" xfId="22" applyFont="1" applyBorder="1"/>
    <xf numFmtId="0" fontId="88" fillId="0" borderId="1" xfId="22" applyFont="1" applyBorder="1" applyAlignment="1">
      <alignment horizontal="right"/>
    </xf>
    <xf numFmtId="0" fontId="11" fillId="0" borderId="0" xfId="22" applyFont="1"/>
    <xf numFmtId="0" fontId="62" fillId="0" borderId="0" xfId="22" applyFont="1"/>
    <xf numFmtId="0" fontId="62" fillId="0" borderId="0" xfId="22" applyFont="1" applyAlignment="1">
      <alignment horizontal="right"/>
    </xf>
    <xf numFmtId="3" fontId="62" fillId="0" borderId="37" xfId="22" applyNumberFormat="1" applyFont="1" applyBorder="1" applyAlignment="1">
      <alignment horizontal="right" wrapText="1"/>
    </xf>
    <xf numFmtId="3" fontId="62" fillId="0" borderId="42" xfId="22" applyNumberFormat="1" applyFont="1" applyBorder="1" applyAlignment="1">
      <alignment horizontal="right" wrapText="1"/>
    </xf>
    <xf numFmtId="4" fontId="88" fillId="0" borderId="142" xfId="22" applyNumberFormat="1" applyFont="1" applyBorder="1"/>
    <xf numFmtId="167" fontId="34" fillId="0" borderId="142" xfId="22" applyNumberFormat="1" applyFont="1" applyBorder="1"/>
    <xf numFmtId="167" fontId="88" fillId="0" borderId="142" xfId="22" applyNumberFormat="1" applyFont="1" applyBorder="1"/>
    <xf numFmtId="0" fontId="88" fillId="0" borderId="42" xfId="22" applyFont="1" applyBorder="1"/>
    <xf numFmtId="4" fontId="97" fillId="11" borderId="41" xfId="22" applyNumberFormat="1" applyFont="1" applyFill="1" applyBorder="1"/>
    <xf numFmtId="4" fontId="97" fillId="11" borderId="43" xfId="22" applyNumberFormat="1" applyFont="1" applyFill="1" applyBorder="1"/>
    <xf numFmtId="167" fontId="97" fillId="11" borderId="79" xfId="22" applyNumberFormat="1" applyFont="1" applyFill="1" applyBorder="1"/>
    <xf numFmtId="167" fontId="97" fillId="11" borderId="42" xfId="22" applyNumberFormat="1" applyFont="1" applyFill="1" applyBorder="1"/>
    <xf numFmtId="4" fontId="88" fillId="0" borderId="0" xfId="22" applyNumberFormat="1" applyFont="1"/>
    <xf numFmtId="4" fontId="88" fillId="0" borderId="37" xfId="22" applyNumberFormat="1" applyFont="1" applyBorder="1"/>
    <xf numFmtId="4" fontId="88" fillId="0" borderId="41" xfId="22" applyNumberFormat="1" applyFont="1" applyBorder="1"/>
    <xf numFmtId="4" fontId="88" fillId="0" borderId="43" xfId="22" applyNumberFormat="1" applyFont="1" applyBorder="1"/>
    <xf numFmtId="167" fontId="34" fillId="0" borderId="42" xfId="22" applyNumberFormat="1" applyFont="1" applyBorder="1"/>
    <xf numFmtId="167" fontId="88" fillId="0" borderId="42" xfId="22" applyNumberFormat="1" applyFont="1" applyBorder="1"/>
    <xf numFmtId="0" fontId="88" fillId="0" borderId="125" xfId="22" applyFont="1" applyBorder="1"/>
    <xf numFmtId="4" fontId="88" fillId="0" borderId="256" xfId="22" applyNumberFormat="1" applyFont="1" applyBorder="1"/>
    <xf numFmtId="4" fontId="88" fillId="0" borderId="138" xfId="22" applyNumberFormat="1" applyFont="1" applyBorder="1"/>
    <xf numFmtId="4" fontId="88" fillId="0" borderId="125" xfId="22" applyNumberFormat="1" applyFont="1" applyBorder="1"/>
    <xf numFmtId="167" fontId="34" fillId="0" borderId="125" xfId="22" applyNumberFormat="1" applyFont="1" applyBorder="1"/>
    <xf numFmtId="167" fontId="88" fillId="0" borderId="125" xfId="22" applyNumberFormat="1" applyFont="1" applyBorder="1"/>
    <xf numFmtId="0" fontId="88" fillId="0" borderId="0" xfId="22" applyFont="1" applyAlignment="1">
      <alignment horizontal="right"/>
    </xf>
    <xf numFmtId="167" fontId="34" fillId="0" borderId="0" xfId="22" applyNumberFormat="1" applyFont="1"/>
    <xf numFmtId="167" fontId="88" fillId="0" borderId="0" xfId="22" applyNumberFormat="1" applyFont="1"/>
    <xf numFmtId="3" fontId="88" fillId="0" borderId="0" xfId="22" applyNumberFormat="1" applyFont="1"/>
    <xf numFmtId="167" fontId="62" fillId="0" borderId="0" xfId="22" applyNumberFormat="1" applyFont="1" applyAlignment="1">
      <alignment horizontal="center"/>
    </xf>
    <xf numFmtId="3" fontId="62" fillId="0" borderId="0" xfId="22" applyNumberFormat="1" applyFont="1" applyAlignment="1">
      <alignment horizontal="center" wrapText="1"/>
    </xf>
    <xf numFmtId="3" fontId="62" fillId="0" borderId="78" xfId="22" applyNumberFormat="1" applyFont="1" applyBorder="1" applyAlignment="1">
      <alignment horizontal="right" wrapText="1"/>
    </xf>
    <xf numFmtId="4" fontId="90" fillId="11" borderId="41" xfId="22" applyNumberFormat="1" applyFont="1" applyFill="1" applyBorder="1"/>
    <xf numFmtId="4" fontId="90" fillId="11" borderId="43" xfId="22" applyNumberFormat="1" applyFont="1" applyFill="1" applyBorder="1"/>
    <xf numFmtId="3" fontId="34" fillId="0" borderId="37" xfId="0" applyNumberFormat="1" applyFont="1" applyBorder="1" applyAlignment="1">
      <alignment horizontal="left"/>
    </xf>
    <xf numFmtId="3" fontId="34" fillId="0" borderId="0" xfId="0" applyNumberFormat="1" applyFont="1" applyAlignment="1">
      <alignment horizontal="centerContinuous" vertical="center" wrapText="1"/>
    </xf>
    <xf numFmtId="3" fontId="34" fillId="0" borderId="42" xfId="0" applyNumberFormat="1" applyFont="1" applyBorder="1" applyAlignment="1">
      <alignment wrapText="1"/>
    </xf>
    <xf numFmtId="3" fontId="34" fillId="0" borderId="41" xfId="0" applyNumberFormat="1" applyFont="1" applyBorder="1" applyAlignment="1">
      <alignment horizontal="right"/>
    </xf>
    <xf numFmtId="3" fontId="34" fillId="0" borderId="42" xfId="0" applyNumberFormat="1" applyFont="1" applyBorder="1" applyAlignment="1">
      <alignment horizontal="right"/>
    </xf>
    <xf numFmtId="4" fontId="34" fillId="5" borderId="84" xfId="0" applyNumberFormat="1" applyFont="1" applyFill="1" applyBorder="1" applyAlignment="1">
      <alignment horizontal="right"/>
    </xf>
    <xf numFmtId="4" fontId="88" fillId="0" borderId="58" xfId="0" applyNumberFormat="1" applyFont="1" applyBorder="1" applyAlignment="1" applyProtection="1">
      <alignment horizontal="right"/>
      <protection locked="0"/>
    </xf>
    <xf numFmtId="4" fontId="88" fillId="0" borderId="67" xfId="0" applyNumberFormat="1" applyFont="1" applyBorder="1" applyAlignment="1" applyProtection="1">
      <alignment horizontal="right"/>
      <protection locked="0"/>
    </xf>
    <xf numFmtId="4" fontId="88" fillId="0" borderId="59" xfId="0" applyNumberFormat="1" applyFont="1" applyBorder="1" applyAlignment="1" applyProtection="1">
      <alignment horizontal="right"/>
      <protection locked="0"/>
    </xf>
    <xf numFmtId="4" fontId="34" fillId="5" borderId="67" xfId="0" applyNumberFormat="1" applyFont="1" applyFill="1" applyBorder="1" applyAlignment="1">
      <alignment horizontal="right"/>
    </xf>
    <xf numFmtId="4" fontId="34" fillId="5" borderId="59" xfId="0" applyNumberFormat="1" applyFont="1" applyFill="1" applyBorder="1" applyAlignment="1">
      <alignment horizontal="right"/>
    </xf>
    <xf numFmtId="4" fontId="34" fillId="0" borderId="58" xfId="0" applyNumberFormat="1" applyFont="1" applyBorder="1" applyAlignment="1" applyProtection="1">
      <alignment horizontal="right"/>
      <protection locked="0"/>
    </xf>
    <xf numFmtId="4" fontId="34" fillId="0" borderId="67" xfId="0" applyNumberFormat="1" applyFont="1" applyBorder="1" applyAlignment="1" applyProtection="1">
      <alignment horizontal="right"/>
      <protection locked="0"/>
    </xf>
    <xf numFmtId="4" fontId="34" fillId="0" borderId="59" xfId="0" applyNumberFormat="1" applyFont="1" applyBorder="1" applyAlignment="1" applyProtection="1">
      <alignment horizontal="right"/>
      <protection locked="0"/>
    </xf>
    <xf numFmtId="4" fontId="34" fillId="5" borderId="58" xfId="0" applyNumberFormat="1" applyFont="1" applyFill="1" applyBorder="1" applyAlignment="1">
      <alignment horizontal="right"/>
    </xf>
    <xf numFmtId="4" fontId="34" fillId="5" borderId="60" xfId="0" applyNumberFormat="1" applyFont="1" applyFill="1" applyBorder="1" applyAlignment="1">
      <alignment horizontal="right"/>
    </xf>
    <xf numFmtId="4" fontId="34" fillId="0" borderId="60" xfId="0" applyNumberFormat="1" applyFont="1" applyBorder="1" applyAlignment="1" applyProtection="1">
      <alignment horizontal="right"/>
      <protection locked="0"/>
    </xf>
    <xf numFmtId="3" fontId="91" fillId="0" borderId="0" xfId="0" applyNumberFormat="1" applyFont="1"/>
    <xf numFmtId="4" fontId="88" fillId="0" borderId="49" xfId="0" applyNumberFormat="1" applyFont="1" applyBorder="1" applyAlignment="1" applyProtection="1">
      <alignment horizontal="right"/>
      <protection locked="0"/>
    </xf>
    <xf numFmtId="4" fontId="88" fillId="0" borderId="64" xfId="0" applyNumberFormat="1" applyFont="1" applyBorder="1" applyAlignment="1" applyProtection="1">
      <alignment horizontal="right"/>
      <protection locked="0"/>
    </xf>
    <xf numFmtId="4" fontId="88" fillId="0" borderId="50" xfId="0" applyNumberFormat="1" applyFont="1" applyBorder="1" applyAlignment="1" applyProtection="1">
      <alignment horizontal="right"/>
      <protection locked="0"/>
    </xf>
    <xf numFmtId="4" fontId="34" fillId="0" borderId="49" xfId="0" applyNumberFormat="1" applyFont="1" applyBorder="1" applyAlignment="1" applyProtection="1">
      <alignment horizontal="right"/>
      <protection locked="0"/>
    </xf>
    <xf numFmtId="4" fontId="34" fillId="0" borderId="64" xfId="0" applyNumberFormat="1" applyFont="1" applyBorder="1" applyAlignment="1" applyProtection="1">
      <alignment horizontal="right"/>
      <protection locked="0"/>
    </xf>
    <xf numFmtId="4" fontId="34" fillId="0" borderId="50" xfId="0" applyNumberFormat="1" applyFont="1" applyBorder="1" applyAlignment="1" applyProtection="1">
      <alignment horizontal="right"/>
      <protection locked="0"/>
    </xf>
    <xf numFmtId="4" fontId="34" fillId="5" borderId="49" xfId="0" applyNumberFormat="1" applyFont="1" applyFill="1" applyBorder="1" applyAlignment="1">
      <alignment horizontal="right"/>
    </xf>
    <xf numFmtId="4" fontId="34" fillId="5" borderId="64" xfId="0" applyNumberFormat="1" applyFont="1" applyFill="1" applyBorder="1" applyAlignment="1">
      <alignment horizontal="right"/>
    </xf>
    <xf numFmtId="4" fontId="34" fillId="5" borderId="55" xfId="0" applyNumberFormat="1" applyFont="1" applyFill="1" applyBorder="1" applyAlignment="1">
      <alignment horizontal="right"/>
    </xf>
    <xf numFmtId="3" fontId="91" fillId="0" borderId="9" xfId="0" applyNumberFormat="1" applyFont="1" applyBorder="1" applyAlignment="1">
      <alignment horizontal="left"/>
    </xf>
    <xf numFmtId="4" fontId="88" fillId="11" borderId="58" xfId="0" applyNumberFormat="1" applyFont="1" applyFill="1" applyBorder="1" applyAlignment="1">
      <alignment horizontal="right"/>
    </xf>
    <xf numFmtId="4" fontId="34" fillId="11" borderId="58" xfId="0" applyNumberFormat="1" applyFont="1" applyFill="1" applyBorder="1" applyAlignment="1">
      <alignment horizontal="right"/>
    </xf>
    <xf numFmtId="4" fontId="34" fillId="11" borderId="49" xfId="0" applyNumberFormat="1" applyFont="1" applyFill="1" applyBorder="1" applyAlignment="1">
      <alignment horizontal="right"/>
    </xf>
    <xf numFmtId="4" fontId="88" fillId="0" borderId="51" xfId="0" applyNumberFormat="1" applyFont="1" applyBorder="1" applyAlignment="1" applyProtection="1">
      <alignment horizontal="right"/>
      <protection locked="0"/>
    </xf>
    <xf numFmtId="4" fontId="88" fillId="0" borderId="65" xfId="0" applyNumberFormat="1" applyFont="1" applyBorder="1" applyAlignment="1" applyProtection="1">
      <alignment horizontal="right"/>
      <protection locked="0"/>
    </xf>
    <xf numFmtId="4" fontId="88" fillId="0" borderId="52" xfId="0" applyNumberFormat="1" applyFont="1" applyBorder="1" applyAlignment="1" applyProtection="1">
      <alignment horizontal="right"/>
      <protection locked="0"/>
    </xf>
    <xf numFmtId="4" fontId="34" fillId="5" borderId="51" xfId="0" applyNumberFormat="1" applyFont="1" applyFill="1" applyBorder="1" applyAlignment="1">
      <alignment horizontal="right"/>
    </xf>
    <xf numFmtId="4" fontId="34" fillId="5" borderId="65" xfId="0" applyNumberFormat="1" applyFont="1" applyFill="1" applyBorder="1" applyAlignment="1">
      <alignment horizontal="right"/>
    </xf>
    <xf numFmtId="4" fontId="34" fillId="5" borderId="52" xfId="0" applyNumberFormat="1" applyFont="1" applyFill="1" applyBorder="1" applyAlignment="1">
      <alignment horizontal="right"/>
    </xf>
    <xf numFmtId="4" fontId="34" fillId="0" borderId="51" xfId="0" applyNumberFormat="1" applyFont="1" applyBorder="1" applyAlignment="1" applyProtection="1">
      <alignment horizontal="right"/>
      <protection locked="0"/>
    </xf>
    <xf numFmtId="4" fontId="34" fillId="0" borderId="65" xfId="0" applyNumberFormat="1" applyFont="1" applyBorder="1" applyAlignment="1" applyProtection="1">
      <alignment horizontal="right"/>
      <protection locked="0"/>
    </xf>
    <xf numFmtId="4" fontId="34" fillId="0" borderId="52" xfId="0" applyNumberFormat="1" applyFont="1" applyBorder="1" applyAlignment="1" applyProtection="1">
      <alignment horizontal="right"/>
      <protection locked="0"/>
    </xf>
    <xf numFmtId="4" fontId="34" fillId="0" borderId="72" xfId="0" applyNumberFormat="1" applyFont="1" applyBorder="1" applyAlignment="1" applyProtection="1">
      <alignment horizontal="right"/>
      <protection locked="0"/>
    </xf>
    <xf numFmtId="4" fontId="34" fillId="0" borderId="217" xfId="0" applyNumberFormat="1" applyFont="1" applyBorder="1" applyAlignment="1" applyProtection="1">
      <alignment horizontal="right"/>
      <protection locked="0"/>
    </xf>
    <xf numFmtId="4" fontId="34" fillId="0" borderId="76" xfId="0" applyNumberFormat="1" applyFont="1" applyBorder="1" applyAlignment="1" applyProtection="1">
      <alignment horizontal="right"/>
      <protection locked="0"/>
    </xf>
    <xf numFmtId="4" fontId="34" fillId="5" borderId="72" xfId="0" applyNumberFormat="1" applyFont="1" applyFill="1" applyBorder="1" applyAlignment="1">
      <alignment horizontal="right"/>
    </xf>
    <xf numFmtId="4" fontId="34" fillId="5" borderId="217" xfId="0" applyNumberFormat="1" applyFont="1" applyFill="1" applyBorder="1" applyAlignment="1">
      <alignment horizontal="right"/>
    </xf>
    <xf numFmtId="4" fontId="34" fillId="5" borderId="73" xfId="0" applyNumberFormat="1" applyFont="1" applyFill="1" applyBorder="1" applyAlignment="1">
      <alignment horizontal="right"/>
    </xf>
    <xf numFmtId="3" fontId="91" fillId="0" borderId="42" xfId="0" applyNumberFormat="1" applyFont="1" applyBorder="1" applyAlignment="1">
      <alignment horizontal="left"/>
    </xf>
    <xf numFmtId="4" fontId="34" fillId="11" borderId="53" xfId="0" applyNumberFormat="1" applyFont="1" applyFill="1" applyBorder="1" applyAlignment="1">
      <alignment horizontal="right"/>
    </xf>
    <xf numFmtId="4" fontId="34" fillId="5" borderId="66" xfId="0" applyNumberFormat="1" applyFont="1" applyFill="1" applyBorder="1" applyAlignment="1">
      <alignment horizontal="right"/>
    </xf>
    <xf numFmtId="4" fontId="34" fillId="5" borderId="57" xfId="0" applyNumberFormat="1" applyFont="1" applyFill="1" applyBorder="1" applyAlignment="1">
      <alignment horizontal="right"/>
    </xf>
    <xf numFmtId="4" fontId="91" fillId="0" borderId="0" xfId="0" applyNumberFormat="1" applyFont="1" applyAlignment="1">
      <alignment horizontal="right"/>
    </xf>
    <xf numFmtId="4" fontId="88" fillId="0" borderId="61" xfId="0" applyNumberFormat="1" applyFont="1" applyBorder="1" applyAlignment="1" applyProtection="1">
      <alignment horizontal="right"/>
      <protection locked="0"/>
    </xf>
    <xf numFmtId="4" fontId="88" fillId="0" borderId="62" xfId="0" applyNumberFormat="1" applyFont="1" applyBorder="1" applyAlignment="1" applyProtection="1">
      <alignment horizontal="right"/>
      <protection locked="0"/>
    </xf>
    <xf numFmtId="4" fontId="88" fillId="0" borderId="63" xfId="0" applyNumberFormat="1" applyFont="1" applyBorder="1" applyAlignment="1" applyProtection="1">
      <alignment horizontal="right"/>
      <protection locked="0"/>
    </xf>
    <xf numFmtId="4" fontId="34" fillId="5" borderId="61" xfId="0" applyNumberFormat="1" applyFont="1" applyFill="1" applyBorder="1" applyAlignment="1">
      <alignment horizontal="right"/>
    </xf>
    <xf numFmtId="4" fontId="34" fillId="5" borderId="62" xfId="0" applyNumberFormat="1" applyFont="1" applyFill="1" applyBorder="1" applyAlignment="1">
      <alignment horizontal="right"/>
    </xf>
    <xf numFmtId="4" fontId="34" fillId="5" borderId="63" xfId="0" applyNumberFormat="1" applyFont="1" applyFill="1" applyBorder="1" applyAlignment="1">
      <alignment horizontal="right"/>
    </xf>
    <xf numFmtId="4" fontId="34" fillId="0" borderId="61" xfId="0" applyNumberFormat="1" applyFont="1" applyBorder="1" applyAlignment="1" applyProtection="1">
      <alignment horizontal="right"/>
      <protection locked="0"/>
    </xf>
    <xf numFmtId="4" fontId="34" fillId="0" borderId="62" xfId="0" applyNumberFormat="1" applyFont="1" applyBorder="1" applyAlignment="1" applyProtection="1">
      <alignment horizontal="right"/>
      <protection locked="0"/>
    </xf>
    <xf numFmtId="4" fontId="34" fillId="0" borderId="63" xfId="0" applyNumberFormat="1" applyFont="1" applyBorder="1" applyAlignment="1" applyProtection="1">
      <alignment horizontal="right"/>
      <protection locked="0"/>
    </xf>
    <xf numFmtId="4" fontId="34" fillId="5" borderId="71" xfId="0" applyNumberFormat="1" applyFont="1" applyFill="1" applyBorder="1" applyAlignment="1">
      <alignment horizontal="right"/>
    </xf>
    <xf numFmtId="4" fontId="34" fillId="5" borderId="50" xfId="0" applyNumberFormat="1" applyFont="1" applyFill="1" applyBorder="1" applyAlignment="1">
      <alignment horizontal="right"/>
    </xf>
    <xf numFmtId="4" fontId="91" fillId="0" borderId="0" xfId="0" applyNumberFormat="1" applyFont="1"/>
    <xf numFmtId="3" fontId="91" fillId="0" borderId="0" xfId="0" applyNumberFormat="1" applyFont="1" applyAlignment="1">
      <alignment horizontal="left" wrapText="1"/>
    </xf>
    <xf numFmtId="3" fontId="37" fillId="0" borderId="112" xfId="0" applyNumberFormat="1" applyFont="1" applyBorder="1" applyAlignment="1">
      <alignment vertical="top" wrapText="1"/>
    </xf>
    <xf numFmtId="3" fontId="34" fillId="0" borderId="112" xfId="0" applyNumberFormat="1" applyFont="1" applyBorder="1"/>
    <xf numFmtId="4" fontId="34" fillId="5" borderId="121" xfId="0" applyNumberFormat="1" applyFont="1" applyFill="1" applyBorder="1" applyAlignment="1">
      <alignment horizontal="right"/>
    </xf>
    <xf numFmtId="4" fontId="34" fillId="5" borderId="122" xfId="0" applyNumberFormat="1" applyFont="1" applyFill="1" applyBorder="1" applyAlignment="1">
      <alignment horizontal="right"/>
    </xf>
    <xf numFmtId="4" fontId="34" fillId="5" borderId="123" xfId="0" applyNumberFormat="1" applyFont="1" applyFill="1" applyBorder="1" applyAlignment="1">
      <alignment horizontal="right"/>
    </xf>
    <xf numFmtId="4" fontId="34" fillId="5" borderId="124" xfId="0" applyNumberFormat="1" applyFont="1" applyFill="1" applyBorder="1" applyAlignment="1">
      <alignment horizontal="right"/>
    </xf>
    <xf numFmtId="3" fontId="91" fillId="0" borderId="0" xfId="0" applyNumberFormat="1" applyFont="1" applyAlignment="1">
      <alignment vertical="top" wrapText="1"/>
    </xf>
    <xf numFmtId="4" fontId="34" fillId="5" borderId="164" xfId="0" applyNumberFormat="1" applyFont="1" applyFill="1" applyBorder="1" applyAlignment="1">
      <alignment horizontal="right"/>
    </xf>
    <xf numFmtId="4" fontId="34" fillId="5" borderId="165" xfId="0" applyNumberFormat="1" applyFont="1" applyFill="1" applyBorder="1" applyAlignment="1">
      <alignment horizontal="right"/>
    </xf>
    <xf numFmtId="4" fontId="34" fillId="5" borderId="166" xfId="0" applyNumberFormat="1" applyFont="1" applyFill="1" applyBorder="1" applyAlignment="1">
      <alignment horizontal="right"/>
    </xf>
    <xf numFmtId="4" fontId="34" fillId="5" borderId="167" xfId="0" applyNumberFormat="1" applyFont="1" applyFill="1" applyBorder="1" applyAlignment="1">
      <alignment horizontal="right"/>
    </xf>
    <xf numFmtId="4" fontId="34" fillId="5" borderId="83" xfId="0" applyNumberFormat="1" applyFont="1" applyFill="1" applyBorder="1" applyAlignment="1">
      <alignment horizontal="right"/>
    </xf>
    <xf numFmtId="4" fontId="34" fillId="5" borderId="100" xfId="0" applyNumberFormat="1" applyFont="1" applyFill="1" applyBorder="1" applyAlignment="1">
      <alignment horizontal="right"/>
    </xf>
    <xf numFmtId="3" fontId="34" fillId="0" borderId="6" xfId="0" applyNumberFormat="1" applyFont="1" applyBorder="1" applyAlignment="1">
      <alignment horizontal="left"/>
    </xf>
    <xf numFmtId="4" fontId="34" fillId="5" borderId="56" xfId="0" applyNumberFormat="1" applyFont="1" applyFill="1" applyBorder="1" applyAlignment="1">
      <alignment horizontal="right"/>
    </xf>
    <xf numFmtId="4" fontId="34" fillId="26" borderId="168" xfId="0" applyNumberFormat="1" applyFont="1" applyFill="1" applyBorder="1" applyAlignment="1">
      <alignment horizontal="right"/>
    </xf>
    <xf numFmtId="4" fontId="34" fillId="5" borderId="169" xfId="0" applyNumberFormat="1" applyFont="1" applyFill="1" applyBorder="1" applyAlignment="1">
      <alignment horizontal="right"/>
    </xf>
    <xf numFmtId="4" fontId="34" fillId="5" borderId="170" xfId="0" applyNumberFormat="1" applyFont="1" applyFill="1" applyBorder="1" applyAlignment="1">
      <alignment horizontal="right"/>
    </xf>
    <xf numFmtId="4" fontId="34" fillId="0" borderId="1" xfId="0" applyNumberFormat="1" applyFont="1" applyBorder="1"/>
    <xf numFmtId="3" fontId="93" fillId="0" borderId="0" xfId="0" applyNumberFormat="1" applyFont="1" applyAlignment="1">
      <alignment vertical="top"/>
    </xf>
    <xf numFmtId="3" fontId="89" fillId="0" borderId="0" xfId="0" applyNumberFormat="1" applyFont="1" applyAlignment="1">
      <alignment vertical="top"/>
    </xf>
    <xf numFmtId="3" fontId="34" fillId="10" borderId="0" xfId="0" applyNumberFormat="1" applyFont="1" applyFill="1"/>
    <xf numFmtId="3" fontId="37" fillId="0" borderId="0" xfId="0" applyNumberFormat="1" applyFont="1" applyAlignment="1">
      <alignment horizontal="center" vertical="center" wrapText="1"/>
    </xf>
    <xf numFmtId="168" fontId="96" fillId="0" borderId="0" xfId="0" applyFont="1"/>
    <xf numFmtId="168" fontId="67" fillId="0" borderId="0" xfId="17" applyFont="1" applyProtection="1"/>
    <xf numFmtId="0" fontId="84" fillId="0" borderId="0" xfId="86" quotePrefix="1">
      <alignment vertical="center"/>
    </xf>
    <xf numFmtId="0" fontId="34" fillId="0" borderId="0" xfId="22" applyFont="1"/>
    <xf numFmtId="0" fontId="67" fillId="20" borderId="0" xfId="17" applyNumberFormat="1" applyFont="1" applyFill="1" applyBorder="1"/>
    <xf numFmtId="168" fontId="85" fillId="0" borderId="340" xfId="17" applyFont="1" applyFill="1" applyBorder="1" applyAlignment="1">
      <alignment vertical="top"/>
    </xf>
    <xf numFmtId="168" fontId="34" fillId="0" borderId="338" xfId="0" applyFont="1" applyBorder="1" applyAlignment="1">
      <alignment vertical="top" wrapText="1"/>
    </xf>
    <xf numFmtId="0" fontId="84" fillId="0" borderId="0" xfId="0" applyNumberFormat="1" applyFont="1" applyAlignment="1">
      <alignment vertical="center"/>
    </xf>
    <xf numFmtId="168" fontId="34" fillId="10" borderId="0" xfId="0" applyFont="1" applyFill="1"/>
    <xf numFmtId="3" fontId="93" fillId="0" borderId="0" xfId="2" quotePrefix="1" applyNumberFormat="1" applyFont="1" applyAlignment="1">
      <alignment horizontal="right"/>
    </xf>
    <xf numFmtId="3" fontId="92" fillId="0" borderId="0" xfId="0" applyNumberFormat="1" applyFont="1" applyAlignment="1">
      <alignment horizontal="left"/>
    </xf>
    <xf numFmtId="3" fontId="92" fillId="0" borderId="37" xfId="0" applyNumberFormat="1" applyFont="1" applyBorder="1" applyAlignment="1">
      <alignment horizontal="left"/>
    </xf>
    <xf numFmtId="3" fontId="91" fillId="0" borderId="37" xfId="0" applyNumberFormat="1" applyFont="1" applyBorder="1"/>
    <xf numFmtId="2" fontId="34" fillId="12" borderId="0" xfId="0" applyNumberFormat="1" applyFont="1" applyFill="1" applyAlignment="1">
      <alignment horizontal="center"/>
    </xf>
    <xf numFmtId="4" fontId="34" fillId="0" borderId="264" xfId="0" applyNumberFormat="1" applyFont="1" applyBorder="1" applyAlignment="1" applyProtection="1">
      <alignment horizontal="right"/>
      <protection locked="0"/>
    </xf>
    <xf numFmtId="4" fontId="34" fillId="5" borderId="264" xfId="0" applyNumberFormat="1" applyFont="1" applyFill="1" applyBorder="1" applyAlignment="1">
      <alignment horizontal="right"/>
    </xf>
    <xf numFmtId="4" fontId="34" fillId="26" borderId="58" xfId="0" applyNumberFormat="1" applyFont="1" applyFill="1" applyBorder="1" applyAlignment="1">
      <alignment horizontal="right"/>
    </xf>
    <xf numFmtId="4" fontId="34" fillId="26" borderId="49" xfId="0" applyNumberFormat="1" applyFont="1" applyFill="1" applyBorder="1" applyAlignment="1">
      <alignment horizontal="right"/>
    </xf>
    <xf numFmtId="4" fontId="34" fillId="26" borderId="53" xfId="0" applyNumberFormat="1" applyFont="1" applyFill="1" applyBorder="1" applyAlignment="1">
      <alignment horizontal="right"/>
    </xf>
    <xf numFmtId="4" fontId="34" fillId="5" borderId="76" xfId="0" applyNumberFormat="1" applyFont="1" applyFill="1" applyBorder="1" applyAlignment="1">
      <alignment horizontal="right"/>
    </xf>
    <xf numFmtId="2" fontId="34" fillId="12" borderId="0" xfId="0" applyNumberFormat="1" applyFont="1" applyFill="1" applyAlignment="1">
      <alignment horizontal="center" wrapText="1"/>
    </xf>
    <xf numFmtId="1" fontId="34" fillId="18" borderId="0" xfId="0" applyNumberFormat="1" applyFont="1" applyFill="1"/>
    <xf numFmtId="1" fontId="34" fillId="12" borderId="0" xfId="0" applyNumberFormat="1" applyFont="1" applyFill="1" applyAlignment="1">
      <alignment horizontal="left"/>
    </xf>
    <xf numFmtId="1" fontId="34" fillId="0" borderId="0" xfId="0" applyNumberFormat="1" applyFont="1" applyAlignment="1">
      <alignment horizontal="left"/>
    </xf>
    <xf numFmtId="3" fontId="87" fillId="0" borderId="0" xfId="4" quotePrefix="1" applyNumberFormat="1" applyFont="1"/>
    <xf numFmtId="168" fontId="85" fillId="0" borderId="0" xfId="0" applyFont="1"/>
    <xf numFmtId="168" fontId="34" fillId="0" borderId="0" xfId="0" applyFont="1" applyAlignment="1">
      <alignment horizontal="left" vertical="top"/>
    </xf>
    <xf numFmtId="168" fontId="34" fillId="0" borderId="0" xfId="0" applyFont="1" applyAlignment="1">
      <alignment vertical="top"/>
    </xf>
    <xf numFmtId="0" fontId="34" fillId="0" borderId="0" xfId="86" applyFont="1">
      <alignment vertical="center"/>
    </xf>
    <xf numFmtId="168" fontId="0" fillId="11" borderId="41" xfId="0" applyFill="1" applyBorder="1"/>
    <xf numFmtId="3" fontId="27" fillId="0" borderId="72" xfId="0" applyNumberFormat="1" applyFont="1" applyBorder="1" applyProtection="1">
      <protection locked="0"/>
    </xf>
    <xf numFmtId="3" fontId="27" fillId="0" borderId="217" xfId="0" applyNumberFormat="1" applyFont="1" applyBorder="1" applyProtection="1">
      <protection locked="0"/>
    </xf>
    <xf numFmtId="3" fontId="27" fillId="0" borderId="73" xfId="0" applyNumberFormat="1" applyFont="1" applyBorder="1" applyProtection="1">
      <protection locked="0"/>
    </xf>
    <xf numFmtId="3" fontId="27" fillId="5" borderId="72" xfId="0" applyNumberFormat="1" applyFont="1" applyFill="1" applyBorder="1"/>
    <xf numFmtId="3" fontId="27" fillId="5" borderId="217" xfId="0" applyNumberFormat="1" applyFont="1" applyFill="1" applyBorder="1"/>
    <xf numFmtId="3" fontId="27" fillId="5" borderId="73" xfId="0" applyNumberFormat="1" applyFont="1" applyFill="1" applyBorder="1"/>
    <xf numFmtId="3" fontId="18" fillId="0" borderId="21" xfId="0" applyNumberFormat="1" applyFont="1" applyBorder="1"/>
    <xf numFmtId="3" fontId="44" fillId="0" borderId="264" xfId="0" applyNumberFormat="1" applyFont="1" applyBorder="1" applyAlignment="1" applyProtection="1">
      <alignment horizontal="right"/>
      <protection locked="0"/>
    </xf>
    <xf numFmtId="3" fontId="44" fillId="0" borderId="86" xfId="0" applyNumberFormat="1" applyFont="1" applyBorder="1" applyAlignment="1" applyProtection="1">
      <alignment horizontal="right"/>
      <protection locked="0"/>
    </xf>
    <xf numFmtId="3" fontId="44" fillId="0" borderId="149" xfId="0" applyNumberFormat="1" applyFont="1" applyBorder="1" applyAlignment="1" applyProtection="1">
      <alignment horizontal="right"/>
      <protection locked="0"/>
    </xf>
    <xf numFmtId="3" fontId="44" fillId="11" borderId="53" xfId="0" applyNumberFormat="1" applyFont="1" applyFill="1" applyBorder="1" applyAlignment="1">
      <alignment horizontal="right"/>
    </xf>
    <xf numFmtId="3" fontId="44" fillId="0" borderId="66" xfId="0" applyNumberFormat="1" applyFont="1" applyBorder="1" applyAlignment="1" applyProtection="1">
      <alignment horizontal="right"/>
      <protection locked="0"/>
    </xf>
    <xf numFmtId="3" fontId="44" fillId="0" borderId="54" xfId="0" applyNumberFormat="1" applyFont="1" applyBorder="1" applyAlignment="1" applyProtection="1">
      <alignment horizontal="right"/>
      <protection locked="0"/>
    </xf>
    <xf numFmtId="3" fontId="27" fillId="5" borderId="54" xfId="0" applyNumberFormat="1" applyFont="1" applyFill="1" applyBorder="1" applyAlignment="1">
      <alignment horizontal="right"/>
    </xf>
    <xf numFmtId="3" fontId="59" fillId="0" borderId="259" xfId="0" applyNumberFormat="1" applyFont="1" applyBorder="1" applyAlignment="1">
      <alignment horizontal="right"/>
    </xf>
    <xf numFmtId="3" fontId="59" fillId="0" borderId="219" xfId="0" applyNumberFormat="1" applyFont="1" applyBorder="1" applyAlignment="1">
      <alignment horizontal="right"/>
    </xf>
    <xf numFmtId="3" fontId="59" fillId="0" borderId="218" xfId="0" applyNumberFormat="1" applyFont="1" applyBorder="1" applyAlignment="1">
      <alignment horizontal="right"/>
    </xf>
    <xf numFmtId="3" fontId="59" fillId="5" borderId="259" xfId="0" applyNumberFormat="1" applyFont="1" applyFill="1" applyBorder="1" applyAlignment="1">
      <alignment horizontal="right"/>
    </xf>
    <xf numFmtId="3" fontId="59" fillId="5" borderId="219" xfId="0" applyNumberFormat="1" applyFont="1" applyFill="1" applyBorder="1" applyAlignment="1">
      <alignment horizontal="right"/>
    </xf>
    <xf numFmtId="3" fontId="59" fillId="5" borderId="218" xfId="0" applyNumberFormat="1" applyFont="1" applyFill="1" applyBorder="1" applyAlignment="1">
      <alignment horizontal="right"/>
    </xf>
    <xf numFmtId="3" fontId="44" fillId="0" borderId="0" xfId="0" applyNumberFormat="1" applyFont="1" applyAlignment="1">
      <alignment horizontal="right"/>
    </xf>
    <xf numFmtId="3" fontId="27" fillId="0" borderId="0" xfId="0" applyNumberFormat="1" applyFont="1" applyAlignment="1">
      <alignment horizontal="right"/>
    </xf>
    <xf numFmtId="3" fontId="44" fillId="11" borderId="168" xfId="0" applyNumberFormat="1" applyFont="1" applyFill="1" applyBorder="1" applyAlignment="1">
      <alignment horizontal="right"/>
    </xf>
    <xf numFmtId="3" fontId="44" fillId="5" borderId="169" xfId="0" applyNumberFormat="1" applyFont="1" applyFill="1" applyBorder="1" applyAlignment="1">
      <alignment horizontal="right"/>
    </xf>
    <xf numFmtId="3" fontId="44" fillId="5" borderId="342" xfId="0" applyNumberFormat="1" applyFont="1" applyFill="1" applyBorder="1" applyAlignment="1">
      <alignment horizontal="right"/>
    </xf>
    <xf numFmtId="3" fontId="27" fillId="5" borderId="342" xfId="0" applyNumberFormat="1" applyFont="1" applyFill="1" applyBorder="1" applyAlignment="1">
      <alignment horizontal="right"/>
    </xf>
    <xf numFmtId="168" fontId="32" fillId="0" borderId="21" xfId="0" applyFont="1" applyBorder="1"/>
    <xf numFmtId="0" fontId="34" fillId="0" borderId="343" xfId="7" applyNumberFormat="1" applyFont="1" applyBorder="1" applyAlignment="1" applyProtection="1">
      <alignment horizontal="right" vertical="center"/>
    </xf>
    <xf numFmtId="0" fontId="34" fillId="0" borderId="344" xfId="7" applyNumberFormat="1" applyFont="1" applyBorder="1" applyAlignment="1" applyProtection="1">
      <alignment horizontal="right" vertical="center"/>
    </xf>
    <xf numFmtId="3" fontId="28" fillId="0" borderId="21" xfId="0" applyNumberFormat="1" applyFont="1" applyBorder="1" applyAlignment="1">
      <alignment horizontal="right" wrapText="1"/>
    </xf>
    <xf numFmtId="168" fontId="18" fillId="0" borderId="21" xfId="0" applyFont="1" applyBorder="1" applyAlignment="1">
      <alignment horizontal="right"/>
    </xf>
    <xf numFmtId="4" fontId="34" fillId="11" borderId="265" xfId="0" applyNumberFormat="1" applyFont="1" applyFill="1" applyBorder="1" applyAlignment="1">
      <alignment horizontal="right"/>
    </xf>
    <xf numFmtId="4" fontId="34" fillId="11" borderId="323" xfId="0" applyNumberFormat="1" applyFont="1" applyFill="1" applyBorder="1" applyAlignment="1">
      <alignment horizontal="right"/>
    </xf>
    <xf numFmtId="4" fontId="34" fillId="11" borderId="345" xfId="0" applyNumberFormat="1" applyFont="1" applyFill="1" applyBorder="1" applyAlignment="1">
      <alignment horizontal="right"/>
    </xf>
    <xf numFmtId="168" fontId="91" fillId="0" borderId="0" xfId="0" applyFont="1"/>
    <xf numFmtId="3" fontId="34" fillId="0" borderId="42" xfId="0" applyNumberFormat="1" applyFont="1" applyBorder="1" applyAlignment="1">
      <alignment vertical="top"/>
    </xf>
    <xf numFmtId="168" fontId="34" fillId="0" borderId="346" xfId="0" applyFont="1" applyBorder="1" applyAlignment="1">
      <alignment wrapText="1"/>
    </xf>
    <xf numFmtId="168" fontId="0" fillId="0" borderId="346" xfId="0" applyBorder="1"/>
    <xf numFmtId="3" fontId="34" fillId="0" borderId="82" xfId="0" applyNumberFormat="1" applyFont="1" applyBorder="1" applyAlignment="1">
      <alignment vertical="top"/>
    </xf>
    <xf numFmtId="4" fontId="34" fillId="0" borderId="347" xfId="0" applyNumberFormat="1" applyFont="1" applyBorder="1" applyAlignment="1" applyProtection="1">
      <alignment horizontal="right"/>
      <protection locked="0"/>
    </xf>
    <xf numFmtId="4" fontId="34" fillId="0" borderId="348" xfId="0" applyNumberFormat="1" applyFont="1" applyBorder="1" applyAlignment="1" applyProtection="1">
      <alignment horizontal="right"/>
      <protection locked="0"/>
    </xf>
    <xf numFmtId="4" fontId="34" fillId="0" borderId="211" xfId="0" applyNumberFormat="1" applyFont="1" applyBorder="1" applyAlignment="1" applyProtection="1">
      <alignment horizontal="right"/>
      <protection locked="0"/>
    </xf>
    <xf numFmtId="4" fontId="34" fillId="0" borderId="82" xfId="0" applyNumberFormat="1" applyFont="1" applyBorder="1" applyAlignment="1" applyProtection="1">
      <alignment horizontal="right"/>
      <protection locked="0"/>
    </xf>
    <xf numFmtId="4" fontId="34" fillId="5" borderId="347" xfId="0" applyNumberFormat="1" applyFont="1" applyFill="1" applyBorder="1" applyAlignment="1">
      <alignment horizontal="right"/>
    </xf>
    <xf numFmtId="4" fontId="34" fillId="5" borderId="348" xfId="0" applyNumberFormat="1" applyFont="1" applyFill="1" applyBorder="1" applyAlignment="1">
      <alignment horizontal="right"/>
    </xf>
    <xf numFmtId="4" fontId="34" fillId="5" borderId="349" xfId="0" applyNumberFormat="1" applyFont="1" applyFill="1" applyBorder="1" applyAlignment="1">
      <alignment horizontal="right"/>
    </xf>
    <xf numFmtId="4" fontId="34" fillId="5" borderId="150" xfId="0" applyNumberFormat="1" applyFont="1" applyFill="1" applyBorder="1" applyAlignment="1">
      <alignment horizontal="right"/>
    </xf>
    <xf numFmtId="4" fontId="34" fillId="5" borderId="87" xfId="0" applyNumberFormat="1" applyFont="1" applyFill="1" applyBorder="1" applyAlignment="1">
      <alignment horizontal="right"/>
    </xf>
    <xf numFmtId="4" fontId="34" fillId="0" borderId="350" xfId="0" applyNumberFormat="1" applyFont="1" applyBorder="1" applyAlignment="1" applyProtection="1">
      <alignment horizontal="right"/>
      <protection locked="0"/>
    </xf>
    <xf numFmtId="4" fontId="34" fillId="0" borderId="351" xfId="0" applyNumberFormat="1" applyFont="1" applyBorder="1" applyAlignment="1" applyProtection="1">
      <alignment horizontal="right"/>
      <protection locked="0"/>
    </xf>
    <xf numFmtId="4" fontId="34" fillId="0" borderId="267" xfId="0" applyNumberFormat="1" applyFont="1" applyBorder="1" applyAlignment="1" applyProtection="1">
      <alignment horizontal="right"/>
      <protection locked="0"/>
    </xf>
    <xf numFmtId="4" fontId="34" fillId="0" borderId="324" xfId="0" applyNumberFormat="1" applyFont="1" applyBorder="1" applyAlignment="1" applyProtection="1">
      <alignment horizontal="right"/>
      <protection locked="0"/>
    </xf>
    <xf numFmtId="4" fontId="34" fillId="5" borderId="350" xfId="0" applyNumberFormat="1" applyFont="1" applyFill="1" applyBorder="1" applyAlignment="1">
      <alignment horizontal="right"/>
    </xf>
    <xf numFmtId="4" fontId="34" fillId="5" borderId="351" xfId="0" applyNumberFormat="1" applyFont="1" applyFill="1" applyBorder="1" applyAlignment="1">
      <alignment horizontal="right"/>
    </xf>
    <xf numFmtId="4" fontId="34" fillId="5" borderId="352" xfId="0" applyNumberFormat="1" applyFont="1" applyFill="1" applyBorder="1" applyAlignment="1">
      <alignment horizontal="right"/>
    </xf>
    <xf numFmtId="4" fontId="34" fillId="5" borderId="353" xfId="0" applyNumberFormat="1" applyFont="1" applyFill="1" applyBorder="1" applyAlignment="1">
      <alignment horizontal="right"/>
    </xf>
    <xf numFmtId="4" fontId="34" fillId="5" borderId="262" xfId="0" applyNumberFormat="1" applyFont="1" applyFill="1" applyBorder="1" applyAlignment="1">
      <alignment horizontal="right"/>
    </xf>
    <xf numFmtId="4" fontId="34" fillId="5" borderId="261" xfId="0" applyNumberFormat="1" applyFont="1" applyFill="1" applyBorder="1" applyAlignment="1">
      <alignment horizontal="right"/>
    </xf>
    <xf numFmtId="4" fontId="34" fillId="5" borderId="260" xfId="0" applyNumberFormat="1" applyFont="1" applyFill="1" applyBorder="1" applyAlignment="1">
      <alignment horizontal="right"/>
    </xf>
    <xf numFmtId="4" fontId="34" fillId="5" borderId="354" xfId="0" applyNumberFormat="1" applyFont="1" applyFill="1" applyBorder="1" applyAlignment="1">
      <alignment horizontal="right"/>
    </xf>
    <xf numFmtId="4" fontId="34" fillId="5" borderId="355" xfId="0" applyNumberFormat="1" applyFont="1" applyFill="1" applyBorder="1" applyAlignment="1">
      <alignment horizontal="right"/>
    </xf>
    <xf numFmtId="4" fontId="34" fillId="5" borderId="356" xfId="0" applyNumberFormat="1" applyFont="1" applyFill="1" applyBorder="1" applyAlignment="1">
      <alignment horizontal="right"/>
    </xf>
    <xf numFmtId="4" fontId="34" fillId="5" borderId="151" xfId="0" applyNumberFormat="1" applyFont="1" applyFill="1" applyBorder="1" applyAlignment="1">
      <alignment horizontal="right"/>
    </xf>
    <xf numFmtId="4" fontId="34" fillId="5" borderId="140" xfId="0" applyNumberFormat="1" applyFont="1" applyFill="1" applyBorder="1" applyAlignment="1">
      <alignment horizontal="right"/>
    </xf>
    <xf numFmtId="4" fontId="34" fillId="5" borderId="263" xfId="0" applyNumberFormat="1" applyFont="1" applyFill="1" applyBorder="1" applyAlignment="1">
      <alignment horizontal="right"/>
    </xf>
    <xf numFmtId="4" fontId="34" fillId="5" borderId="152" xfId="0" applyNumberFormat="1" applyFont="1" applyFill="1" applyBorder="1" applyAlignment="1">
      <alignment horizontal="right"/>
    </xf>
    <xf numFmtId="4" fontId="34" fillId="5" borderId="88" xfId="0" applyNumberFormat="1" applyFont="1" applyFill="1" applyBorder="1" applyAlignment="1">
      <alignment horizontal="right"/>
    </xf>
    <xf numFmtId="3" fontId="91" fillId="0" borderId="42" xfId="0" applyNumberFormat="1" applyFont="1" applyBorder="1" applyAlignment="1">
      <alignment vertical="top"/>
    </xf>
    <xf numFmtId="168" fontId="34" fillId="0" borderId="0" xfId="0" applyFont="1" applyAlignment="1">
      <alignment horizontal="center"/>
    </xf>
    <xf numFmtId="0" fontId="34" fillId="0" borderId="0" xfId="0" applyNumberFormat="1" applyFont="1" applyAlignment="1">
      <alignment horizontal="center"/>
    </xf>
    <xf numFmtId="0" fontId="84" fillId="0" borderId="0" xfId="86" applyAlignment="1">
      <alignment horizontal="center" vertical="center"/>
    </xf>
    <xf numFmtId="0" fontId="11" fillId="0" borderId="0" xfId="22" applyFont="1" applyAlignment="1">
      <alignment horizontal="center"/>
    </xf>
    <xf numFmtId="0" fontId="34" fillId="0" borderId="0" xfId="20" applyFont="1" applyAlignment="1">
      <alignment horizontal="center"/>
    </xf>
    <xf numFmtId="4" fontId="88" fillId="0" borderId="120" xfId="22" applyNumberFormat="1" applyFont="1" applyBorder="1"/>
    <xf numFmtId="4" fontId="34" fillId="0" borderId="37" xfId="22" applyNumberFormat="1" applyFont="1" applyBorder="1"/>
    <xf numFmtId="0" fontId="53" fillId="12" borderId="0" xfId="0" applyNumberFormat="1" applyFont="1" applyFill="1" applyAlignment="1">
      <alignment horizontal="center"/>
    </xf>
    <xf numFmtId="0" fontId="53" fillId="0" borderId="0" xfId="22" applyFont="1"/>
    <xf numFmtId="3" fontId="59" fillId="11" borderId="97" xfId="0" applyNumberFormat="1" applyFont="1" applyFill="1" applyBorder="1"/>
    <xf numFmtId="3" fontId="27" fillId="11" borderId="85" xfId="0" applyNumberFormat="1" applyFont="1" applyFill="1" applyBorder="1"/>
    <xf numFmtId="3" fontId="27" fillId="11" borderId="97" xfId="0" applyNumberFormat="1" applyFont="1" applyFill="1" applyBorder="1"/>
    <xf numFmtId="3" fontId="27" fillId="11" borderId="107" xfId="0" applyNumberFormat="1" applyFont="1" applyFill="1" applyBorder="1"/>
    <xf numFmtId="168" fontId="18" fillId="0" borderId="23" xfId="0" applyFont="1" applyBorder="1"/>
    <xf numFmtId="168" fontId="0" fillId="11" borderId="0" xfId="0" applyFill="1"/>
    <xf numFmtId="168" fontId="0" fillId="11" borderId="142" xfId="0" applyFill="1" applyBorder="1"/>
    <xf numFmtId="168" fontId="0" fillId="11" borderId="37" xfId="0" applyFill="1" applyBorder="1"/>
    <xf numFmtId="168" fontId="0" fillId="11" borderId="43" xfId="0" applyFill="1" applyBorder="1"/>
    <xf numFmtId="168" fontId="0" fillId="0" borderId="42" xfId="0" applyBorder="1" applyAlignment="1">
      <alignment wrapText="1"/>
    </xf>
    <xf numFmtId="168" fontId="18" fillId="0" borderId="21" xfId="0" applyFont="1" applyBorder="1" applyAlignment="1">
      <alignment horizontal="center" wrapText="1"/>
    </xf>
    <xf numFmtId="168" fontId="18" fillId="0" borderId="37" xfId="0" applyFont="1" applyBorder="1" applyAlignment="1">
      <alignment horizontal="center" wrapText="1"/>
    </xf>
    <xf numFmtId="168" fontId="18" fillId="0" borderId="0" xfId="0" applyFont="1" applyAlignment="1">
      <alignment horizontal="center" wrapText="1"/>
    </xf>
    <xf numFmtId="168" fontId="18" fillId="0" borderId="21" xfId="0" applyFont="1" applyBorder="1" applyAlignment="1">
      <alignment wrapText="1"/>
    </xf>
    <xf numFmtId="168" fontId="18" fillId="0" borderId="37" xfId="0" applyFont="1" applyBorder="1" applyAlignment="1">
      <alignment wrapText="1"/>
    </xf>
    <xf numFmtId="169" fontId="18" fillId="6" borderId="221" xfId="0" applyNumberFormat="1" applyFont="1" applyFill="1" applyBorder="1" applyAlignment="1">
      <alignment horizontal="right"/>
    </xf>
    <xf numFmtId="168" fontId="0" fillId="0" borderId="21" xfId="0" applyBorder="1" applyAlignment="1">
      <alignment wrapText="1"/>
    </xf>
    <xf numFmtId="168" fontId="0" fillId="0" borderId="357" xfId="0" applyBorder="1"/>
    <xf numFmtId="169" fontId="18" fillId="6" borderId="228" xfId="0" applyNumberFormat="1" applyFont="1" applyFill="1" applyBorder="1" applyAlignment="1">
      <alignment horizontal="right"/>
    </xf>
    <xf numFmtId="169" fontId="18" fillId="6" borderId="223" xfId="0" applyNumberFormat="1" applyFont="1" applyFill="1" applyBorder="1" applyAlignment="1">
      <alignment horizontal="right"/>
    </xf>
    <xf numFmtId="3" fontId="27" fillId="0" borderId="142" xfId="0" applyNumberFormat="1" applyFont="1" applyBorder="1" applyAlignment="1">
      <alignment horizontal="left" vertical="top"/>
    </xf>
    <xf numFmtId="169" fontId="18" fillId="6" borderId="149" xfId="0" applyNumberFormat="1" applyFont="1" applyFill="1" applyBorder="1" applyAlignment="1">
      <alignment horizontal="right"/>
    </xf>
    <xf numFmtId="169" fontId="18" fillId="6" borderId="71" xfId="0" applyNumberFormat="1" applyFont="1" applyFill="1" applyBorder="1" applyAlignment="1">
      <alignment horizontal="right"/>
    </xf>
    <xf numFmtId="3" fontId="34" fillId="0" borderId="0" xfId="0" applyNumberFormat="1" applyFont="1" applyAlignment="1">
      <alignment horizontal="left" vertical="top"/>
    </xf>
    <xf numFmtId="169" fontId="18" fillId="6" borderId="274" xfId="0" applyNumberFormat="1" applyFont="1" applyFill="1" applyBorder="1" applyAlignment="1">
      <alignment horizontal="right"/>
    </xf>
    <xf numFmtId="169" fontId="18" fillId="6" borderId="53" xfId="0" applyNumberFormat="1" applyFont="1" applyFill="1" applyBorder="1" applyAlignment="1">
      <alignment horizontal="right"/>
    </xf>
    <xf numFmtId="169" fontId="18" fillId="6" borderId="57" xfId="0" applyNumberFormat="1" applyFont="1" applyFill="1" applyBorder="1" applyAlignment="1">
      <alignment horizontal="right"/>
    </xf>
    <xf numFmtId="169" fontId="18" fillId="6" borderId="263" xfId="0" applyNumberFormat="1" applyFont="1" applyFill="1" applyBorder="1" applyAlignment="1">
      <alignment horizontal="right"/>
    </xf>
    <xf numFmtId="168" fontId="0" fillId="0" borderId="343" xfId="0" applyBorder="1"/>
    <xf numFmtId="168" fontId="18" fillId="0" borderId="18" xfId="0" applyFont="1" applyBorder="1" applyAlignment="1">
      <alignment horizontal="center" wrapText="1"/>
    </xf>
    <xf numFmtId="0" fontId="83" fillId="0" borderId="0" xfId="85" applyAlignment="1">
      <alignment vertical="top"/>
    </xf>
    <xf numFmtId="169" fontId="18" fillId="0" borderId="57" xfId="0" applyNumberFormat="1" applyFont="1" applyBorder="1" applyAlignment="1">
      <alignment horizontal="right"/>
    </xf>
    <xf numFmtId="168" fontId="18" fillId="0" borderId="9" xfId="0" applyFont="1" applyBorder="1"/>
    <xf numFmtId="3" fontId="18" fillId="0" borderId="42" xfId="0" applyNumberFormat="1" applyFont="1" applyBorder="1" applyAlignment="1">
      <alignment horizontal="left"/>
    </xf>
    <xf numFmtId="168" fontId="18" fillId="0" borderId="32" xfId="0" applyFont="1" applyBorder="1"/>
    <xf numFmtId="0" fontId="18" fillId="0" borderId="0" xfId="20" applyAlignment="1">
      <alignment horizontal="right"/>
    </xf>
    <xf numFmtId="0" fontId="83" fillId="0" borderId="0" xfId="85" applyAlignment="1">
      <alignment horizontal="left" vertical="top"/>
    </xf>
    <xf numFmtId="0" fontId="82" fillId="0" borderId="338" xfId="86" applyFont="1" applyBorder="1" applyAlignment="1">
      <alignment horizontal="left" vertical="center"/>
    </xf>
    <xf numFmtId="0" fontId="82" fillId="0" borderId="0" xfId="84" applyAlignment="1">
      <alignment horizontal="left" vertical="center"/>
    </xf>
    <xf numFmtId="3" fontId="34" fillId="0" borderId="0" xfId="4" applyNumberFormat="1" applyFont="1" applyAlignment="1">
      <alignment vertical="top"/>
    </xf>
    <xf numFmtId="0" fontId="34" fillId="20" borderId="0" xfId="0" applyNumberFormat="1" applyFont="1" applyFill="1" applyAlignment="1">
      <alignment vertical="top"/>
    </xf>
    <xf numFmtId="0" fontId="10" fillId="0" borderId="0" xfId="22" applyFont="1"/>
    <xf numFmtId="3" fontId="34" fillId="0" borderId="142" xfId="0" applyNumberFormat="1" applyFont="1" applyBorder="1" applyAlignment="1">
      <alignment horizontal="left" vertical="top" wrapText="1"/>
    </xf>
    <xf numFmtId="0" fontId="37" fillId="20" borderId="42" xfId="0" applyNumberFormat="1" applyFont="1" applyFill="1" applyBorder="1" applyAlignment="1">
      <alignment wrapText="1"/>
    </xf>
    <xf numFmtId="0" fontId="37" fillId="20" borderId="42" xfId="0" applyNumberFormat="1" applyFont="1" applyFill="1" applyBorder="1" applyAlignment="1">
      <alignment horizontal="left" wrapText="1"/>
    </xf>
    <xf numFmtId="3" fontId="18" fillId="0" borderId="0" xfId="0" applyNumberFormat="1" applyFont="1" applyAlignment="1">
      <alignment vertical="top"/>
    </xf>
    <xf numFmtId="3" fontId="18" fillId="0" borderId="0" xfId="0" applyNumberFormat="1" applyFont="1" applyAlignment="1">
      <alignment horizontal="left" vertical="top"/>
    </xf>
    <xf numFmtId="3" fontId="18" fillId="0" borderId="126" xfId="0" applyNumberFormat="1" applyFont="1" applyBorder="1"/>
    <xf numFmtId="3" fontId="18" fillId="0" borderId="213" xfId="0" applyNumberFormat="1" applyFont="1" applyBorder="1" applyAlignment="1">
      <alignment horizontal="left"/>
    </xf>
    <xf numFmtId="3" fontId="18" fillId="0" borderId="213" xfId="0" applyNumberFormat="1" applyFont="1" applyBorder="1"/>
    <xf numFmtId="3" fontId="18" fillId="0" borderId="4" xfId="0" applyNumberFormat="1" applyFont="1" applyBorder="1" applyAlignment="1">
      <alignment horizontal="left" wrapText="1"/>
    </xf>
    <xf numFmtId="3" fontId="18" fillId="4" borderId="42" xfId="0" applyNumberFormat="1" applyFont="1" applyFill="1" applyBorder="1" applyAlignment="1">
      <alignment horizontal="left" wrapText="1"/>
    </xf>
    <xf numFmtId="3" fontId="18" fillId="0" borderId="42" xfId="0" applyNumberFormat="1" applyFont="1" applyBorder="1" applyAlignment="1">
      <alignment horizontal="right" wrapText="1"/>
    </xf>
    <xf numFmtId="3" fontId="18" fillId="0" borderId="43" xfId="0" applyNumberFormat="1" applyFont="1" applyBorder="1" applyAlignment="1">
      <alignment horizontal="right" wrapText="1"/>
    </xf>
    <xf numFmtId="3" fontId="18" fillId="0" borderId="42" xfId="0" applyNumberFormat="1" applyFont="1" applyBorder="1"/>
    <xf numFmtId="3" fontId="18" fillId="0" borderId="42" xfId="0" applyNumberFormat="1" applyFont="1" applyBorder="1" applyAlignment="1">
      <alignment horizontal="right"/>
    </xf>
    <xf numFmtId="3" fontId="18" fillId="0" borderId="79" xfId="0" applyNumberFormat="1" applyFont="1" applyBorder="1" applyAlignment="1">
      <alignment horizontal="right" wrapText="1"/>
    </xf>
    <xf numFmtId="3" fontId="18" fillId="0" borderId="142" xfId="0" applyNumberFormat="1" applyFont="1" applyBorder="1"/>
    <xf numFmtId="3" fontId="18" fillId="3" borderId="142" xfId="0" applyNumberFormat="1" applyFont="1" applyFill="1" applyBorder="1" applyAlignment="1">
      <alignment horizontal="left"/>
    </xf>
    <xf numFmtId="3" fontId="18" fillId="0" borderId="6" xfId="0" applyNumberFormat="1" applyFont="1" applyBorder="1" applyAlignment="1">
      <alignment horizontal="left"/>
    </xf>
    <xf numFmtId="3" fontId="0" fillId="3" borderId="142" xfId="0" applyNumberFormat="1" applyFill="1" applyBorder="1" applyAlignment="1">
      <alignment horizontal="left"/>
    </xf>
    <xf numFmtId="3" fontId="18" fillId="0" borderId="4" xfId="0" applyNumberFormat="1" applyFont="1" applyBorder="1" applyAlignment="1">
      <alignment horizontal="right"/>
    </xf>
    <xf numFmtId="3" fontId="17" fillId="0" borderId="0" xfId="0" applyNumberFormat="1" applyFont="1" applyAlignment="1">
      <alignment horizontal="right"/>
    </xf>
    <xf numFmtId="3" fontId="17" fillId="13" borderId="0" xfId="0" applyNumberFormat="1" applyFont="1" applyFill="1" applyAlignment="1">
      <alignment horizontal="right"/>
    </xf>
    <xf numFmtId="3" fontId="18" fillId="13" borderId="0" xfId="0" applyNumberFormat="1" applyFont="1" applyFill="1" applyAlignment="1">
      <alignment horizontal="right" wrapText="1"/>
    </xf>
    <xf numFmtId="3" fontId="18" fillId="7" borderId="0" xfId="0" applyNumberFormat="1" applyFont="1" applyFill="1" applyAlignment="1">
      <alignment horizontal="right" wrapText="1"/>
    </xf>
    <xf numFmtId="168" fontId="18" fillId="0" borderId="11" xfId="0" applyFont="1" applyBorder="1"/>
    <xf numFmtId="3" fontId="17" fillId="0" borderId="21" xfId="0" applyNumberFormat="1" applyFont="1" applyBorder="1"/>
    <xf numFmtId="3" fontId="18" fillId="0" borderId="23" xfId="0" applyNumberFormat="1" applyFont="1" applyBorder="1"/>
    <xf numFmtId="3" fontId="18" fillId="0" borderId="24" xfId="0" applyNumberFormat="1" applyFont="1" applyBorder="1"/>
    <xf numFmtId="3" fontId="18" fillId="0" borderId="24" xfId="0" applyNumberFormat="1" applyFont="1" applyBorder="1" applyAlignment="1">
      <alignment horizontal="right"/>
    </xf>
    <xf numFmtId="3" fontId="18" fillId="0" borderId="25" xfId="0" applyNumberFormat="1" applyFont="1" applyBorder="1"/>
    <xf numFmtId="3" fontId="18" fillId="0" borderId="19" xfId="0" applyNumberFormat="1" applyFont="1" applyBorder="1" applyAlignment="1">
      <alignment wrapText="1"/>
    </xf>
    <xf numFmtId="3" fontId="18" fillId="11" borderId="10" xfId="0" applyNumberFormat="1" applyFont="1" applyFill="1" applyBorder="1"/>
    <xf numFmtId="3" fontId="18" fillId="0" borderId="9" xfId="0" applyNumberFormat="1" applyFont="1" applyBorder="1"/>
    <xf numFmtId="3" fontId="18" fillId="0" borderId="11" xfId="0" applyNumberFormat="1" applyFont="1" applyBorder="1"/>
    <xf numFmtId="168" fontId="18" fillId="0" borderId="22" xfId="0" applyFont="1" applyBorder="1"/>
    <xf numFmtId="3" fontId="18" fillId="11" borderId="41" xfId="0" applyNumberFormat="1" applyFont="1" applyFill="1" applyBorder="1"/>
    <xf numFmtId="3" fontId="18" fillId="0" borderId="43" xfId="0" applyNumberFormat="1" applyFont="1" applyBorder="1"/>
    <xf numFmtId="3" fontId="18" fillId="0" borderId="19" xfId="0" applyNumberFormat="1" applyFont="1" applyBorder="1" applyAlignment="1">
      <alignment horizontal="center"/>
    </xf>
    <xf numFmtId="3" fontId="18" fillId="0" borderId="19" xfId="0" quotePrefix="1" applyNumberFormat="1" applyFont="1" applyBorder="1" applyAlignment="1">
      <alignment horizontal="center" wrapText="1"/>
    </xf>
    <xf numFmtId="0" fontId="18" fillId="0" borderId="9" xfId="0" applyNumberFormat="1" applyFont="1" applyBorder="1"/>
    <xf numFmtId="0" fontId="18" fillId="0" borderId="11" xfId="0" applyNumberFormat="1" applyFont="1" applyBorder="1"/>
    <xf numFmtId="3" fontId="18" fillId="0" borderId="27" xfId="0" applyNumberFormat="1" applyFont="1" applyBorder="1"/>
    <xf numFmtId="0" fontId="18" fillId="0" borderId="42" xfId="0" applyNumberFormat="1" applyFont="1" applyBorder="1"/>
    <xf numFmtId="0" fontId="18" fillId="0" borderId="43" xfId="0" applyNumberFormat="1" applyFont="1" applyBorder="1"/>
    <xf numFmtId="168" fontId="18" fillId="0" borderId="24" xfId="0" applyFont="1" applyBorder="1" applyAlignment="1">
      <alignment wrapText="1"/>
    </xf>
    <xf numFmtId="3" fontId="18" fillId="0" borderId="0" xfId="0" applyNumberFormat="1" applyFont="1" applyAlignment="1">
      <alignment horizontal="center" wrapText="1"/>
    </xf>
    <xf numFmtId="3" fontId="18" fillId="0" borderId="21" xfId="0" applyNumberFormat="1" applyFont="1" applyBorder="1" applyAlignment="1">
      <alignment horizontal="center"/>
    </xf>
    <xf numFmtId="3" fontId="18" fillId="0" borderId="24" xfId="0" applyNumberFormat="1" applyFont="1" applyBorder="1" applyAlignment="1">
      <alignment horizontal="center" wrapText="1"/>
    </xf>
    <xf numFmtId="3" fontId="18" fillId="0" borderId="21" xfId="0" quotePrefix="1" applyNumberFormat="1" applyFont="1" applyBorder="1" applyAlignment="1">
      <alignment horizontal="center" wrapText="1"/>
    </xf>
    <xf numFmtId="3" fontId="18" fillId="0" borderId="0" xfId="0" quotePrefix="1" applyNumberFormat="1" applyFont="1" applyAlignment="1">
      <alignment horizontal="center" wrapText="1"/>
    </xf>
    <xf numFmtId="3" fontId="18" fillId="0" borderId="0" xfId="0" applyNumberFormat="1" applyFont="1" applyAlignment="1">
      <alignment horizontal="center"/>
    </xf>
    <xf numFmtId="168" fontId="18" fillId="11" borderId="10" xfId="0" applyFont="1" applyFill="1" applyBorder="1"/>
    <xf numFmtId="168" fontId="18" fillId="11" borderId="42" xfId="0" applyFont="1" applyFill="1" applyBorder="1"/>
    <xf numFmtId="3" fontId="18" fillId="0" borderId="341" xfId="0" applyNumberFormat="1" applyFont="1" applyBorder="1"/>
    <xf numFmtId="3" fontId="17" fillId="0" borderId="24" xfId="0" applyNumberFormat="1" applyFont="1" applyBorder="1"/>
    <xf numFmtId="168" fontId="18" fillId="11" borderId="41" xfId="0" applyFont="1" applyFill="1" applyBorder="1"/>
    <xf numFmtId="3" fontId="34" fillId="0" borderId="42" xfId="0" applyNumberFormat="1" applyFont="1" applyBorder="1" applyProtection="1">
      <protection locked="0"/>
    </xf>
    <xf numFmtId="3" fontId="34" fillId="0" borderId="42" xfId="0" applyNumberFormat="1" applyFont="1" applyBorder="1" applyAlignment="1">
      <alignment horizontal="left"/>
    </xf>
    <xf numFmtId="3" fontId="34" fillId="0" borderId="142" xfId="0" applyNumberFormat="1" applyFont="1" applyBorder="1" applyAlignment="1">
      <alignment horizontal="left" vertical="top"/>
    </xf>
    <xf numFmtId="3" fontId="34" fillId="0" borderId="142" xfId="0" applyNumberFormat="1" applyFont="1" applyBorder="1" applyAlignment="1">
      <alignment vertical="top"/>
    </xf>
    <xf numFmtId="4" fontId="34" fillId="0" borderId="42" xfId="0" applyNumberFormat="1" applyFont="1" applyBorder="1" applyAlignment="1" applyProtection="1">
      <alignment horizontal="right"/>
      <protection locked="0"/>
    </xf>
    <xf numFmtId="4" fontId="34" fillId="5" borderId="42" xfId="0" applyNumberFormat="1" applyFont="1" applyFill="1" applyBorder="1" applyAlignment="1">
      <alignment horizontal="right"/>
    </xf>
    <xf numFmtId="0" fontId="34" fillId="0" borderId="142" xfId="20" applyFont="1" applyBorder="1"/>
    <xf numFmtId="3" fontId="34" fillId="0" borderId="142" xfId="20" applyNumberFormat="1" applyFont="1" applyBorder="1" applyAlignment="1">
      <alignment horizontal="right"/>
    </xf>
    <xf numFmtId="167" fontId="34" fillId="0" borderId="142" xfId="20" applyNumberFormat="1" applyFont="1" applyBorder="1" applyAlignment="1">
      <alignment horizontal="right"/>
    </xf>
    <xf numFmtId="0" fontId="10" fillId="0" borderId="0" xfId="22" applyFont="1" applyAlignment="1">
      <alignment horizontal="center"/>
    </xf>
    <xf numFmtId="0" fontId="10" fillId="14" borderId="0" xfId="22" applyFont="1" applyFill="1" applyAlignment="1">
      <alignment horizontal="center"/>
    </xf>
    <xf numFmtId="0" fontId="10" fillId="0" borderId="0" xfId="22" applyFont="1" applyAlignment="1">
      <alignment horizontal="right" wrapText="1"/>
    </xf>
    <xf numFmtId="0" fontId="10" fillId="0" borderId="0" xfId="22" applyFont="1" applyAlignment="1">
      <alignment wrapText="1"/>
    </xf>
    <xf numFmtId="0" fontId="88" fillId="0" borderId="142" xfId="22" applyFont="1" applyBorder="1"/>
    <xf numFmtId="0" fontId="10" fillId="12" borderId="0" xfId="22" applyFont="1" applyFill="1" applyAlignment="1">
      <alignment horizontal="center"/>
    </xf>
    <xf numFmtId="0" fontId="10" fillId="14" borderId="0" xfId="22" applyFont="1" applyFill="1"/>
    <xf numFmtId="0" fontId="10" fillId="14" borderId="0" xfId="22" applyFont="1" applyFill="1" applyAlignment="1">
      <alignment horizontal="right"/>
    </xf>
    <xf numFmtId="4" fontId="97" fillId="11" borderId="42" xfId="22" applyNumberFormat="1" applyFont="1" applyFill="1" applyBorder="1"/>
    <xf numFmtId="4" fontId="88" fillId="0" borderId="42" xfId="22" applyNumberFormat="1" applyFont="1" applyBorder="1"/>
    <xf numFmtId="0" fontId="84" fillId="0" borderId="0" xfId="85" applyFont="1" applyAlignment="1">
      <alignment horizontal="left" vertical="center"/>
    </xf>
    <xf numFmtId="168" fontId="34" fillId="0" borderId="0" xfId="0" applyFont="1" applyAlignment="1">
      <alignment horizontal="left" vertical="center" wrapText="1"/>
    </xf>
    <xf numFmtId="168" fontId="88" fillId="0" borderId="0" xfId="0" applyFont="1" applyAlignment="1">
      <alignment horizontal="left" vertical="center" wrapText="1"/>
    </xf>
    <xf numFmtId="168" fontId="27" fillId="0" borderId="0" xfId="0" applyFont="1" applyAlignment="1">
      <alignment vertical="top"/>
    </xf>
    <xf numFmtId="168" fontId="27" fillId="12" borderId="0" xfId="0" applyFont="1" applyFill="1" applyAlignment="1">
      <alignment vertical="top"/>
    </xf>
    <xf numFmtId="168" fontId="34" fillId="0" borderId="0" xfId="0" applyFont="1" applyAlignment="1">
      <alignment vertical="top" wrapText="1"/>
    </xf>
    <xf numFmtId="168" fontId="27" fillId="0" borderId="0" xfId="0" applyFont="1" applyAlignment="1">
      <alignment vertical="top" wrapText="1"/>
    </xf>
    <xf numFmtId="3" fontId="52" fillId="0" borderId="0" xfId="0" applyNumberFormat="1" applyFont="1" applyAlignment="1">
      <alignment vertical="center"/>
    </xf>
    <xf numFmtId="168" fontId="0" fillId="0" borderId="0" xfId="0" applyAlignment="1">
      <alignment vertical="center"/>
    </xf>
    <xf numFmtId="3" fontId="47" fillId="0" borderId="0" xfId="0" applyNumberFormat="1" applyFont="1" applyAlignment="1">
      <alignment vertical="center"/>
    </xf>
    <xf numFmtId="3" fontId="47" fillId="0" borderId="0" xfId="0" applyNumberFormat="1" applyFont="1" applyAlignment="1">
      <alignment horizontal="center" vertical="center"/>
    </xf>
    <xf numFmtId="168" fontId="102" fillId="0" borderId="0" xfId="86" applyNumberFormat="1" applyFont="1">
      <alignment vertical="center"/>
    </xf>
    <xf numFmtId="0" fontId="34" fillId="0" borderId="46" xfId="86" applyFont="1" applyBorder="1">
      <alignment vertical="center"/>
    </xf>
    <xf numFmtId="3" fontId="25" fillId="0" borderId="0" xfId="0" applyNumberFormat="1" applyFont="1" applyAlignment="1">
      <alignment vertical="center"/>
    </xf>
    <xf numFmtId="168" fontId="27" fillId="0" borderId="0" xfId="0" applyFont="1" applyAlignment="1">
      <alignment vertical="center"/>
    </xf>
    <xf numFmtId="168" fontId="27" fillId="12" borderId="0" xfId="0" applyFont="1" applyFill="1" applyAlignment="1">
      <alignment vertical="center"/>
    </xf>
    <xf numFmtId="168" fontId="27" fillId="0" borderId="0" xfId="0" quotePrefix="1" applyFont="1" applyAlignment="1">
      <alignment vertical="center" wrapText="1"/>
    </xf>
    <xf numFmtId="168" fontId="34" fillId="0" borderId="0" xfId="0" applyFont="1" applyAlignment="1">
      <alignment vertical="center" wrapText="1"/>
    </xf>
    <xf numFmtId="168" fontId="44" fillId="0" borderId="0" xfId="0" applyFont="1" applyAlignment="1">
      <alignment vertical="center" wrapText="1"/>
    </xf>
    <xf numFmtId="168" fontId="27" fillId="0" borderId="46" xfId="0" applyFont="1" applyBorder="1" applyAlignment="1">
      <alignment vertical="center"/>
    </xf>
    <xf numFmtId="168" fontId="27" fillId="0" borderId="0" xfId="0" applyFont="1" applyAlignment="1">
      <alignment vertical="center" wrapText="1"/>
    </xf>
    <xf numFmtId="168" fontId="50" fillId="0" borderId="0" xfId="17" applyFont="1" applyBorder="1" applyAlignment="1">
      <alignment vertical="center"/>
    </xf>
    <xf numFmtId="168" fontId="43" fillId="0" borderId="0" xfId="0" applyFont="1" applyAlignment="1">
      <alignment vertical="center"/>
    </xf>
    <xf numFmtId="168" fontId="27" fillId="0" borderId="0" xfId="0" applyFont="1" applyAlignment="1">
      <alignment horizontal="left" vertical="center"/>
    </xf>
    <xf numFmtId="168" fontId="18" fillId="0" borderId="0" xfId="0" applyFont="1" applyAlignment="1">
      <alignment vertical="center"/>
    </xf>
    <xf numFmtId="168" fontId="18" fillId="10" borderId="0" xfId="0" applyFont="1" applyFill="1" applyAlignment="1">
      <alignment vertical="center"/>
    </xf>
    <xf numFmtId="3" fontId="43" fillId="0" borderId="0" xfId="0" applyNumberFormat="1" applyFont="1" applyAlignment="1">
      <alignment vertical="top"/>
    </xf>
    <xf numFmtId="0" fontId="27" fillId="0" borderId="0" xfId="0" applyNumberFormat="1" applyFont="1" applyAlignment="1">
      <alignment vertical="top"/>
    </xf>
    <xf numFmtId="2" fontId="45" fillId="0" borderId="0" xfId="0" applyNumberFormat="1" applyFont="1" applyAlignment="1">
      <alignment vertical="top"/>
    </xf>
    <xf numFmtId="0" fontId="34" fillId="0" borderId="0" xfId="86" applyFont="1" applyAlignment="1">
      <alignment vertical="top"/>
    </xf>
    <xf numFmtId="168" fontId="63" fillId="0" borderId="0" xfId="0" applyFont="1" applyAlignment="1">
      <alignment vertical="top" wrapText="1"/>
    </xf>
    <xf numFmtId="0" fontId="63" fillId="0" borderId="0" xfId="22" applyFont="1" applyAlignment="1">
      <alignment vertical="center"/>
    </xf>
    <xf numFmtId="0" fontId="98" fillId="0" borderId="0" xfId="21" applyFont="1" applyAlignment="1">
      <alignment vertical="center"/>
    </xf>
    <xf numFmtId="0" fontId="34" fillId="0" borderId="0" xfId="20" applyFont="1" applyAlignment="1">
      <alignment vertical="center"/>
    </xf>
    <xf numFmtId="0" fontId="34" fillId="0" borderId="0" xfId="22" applyFont="1" applyAlignment="1">
      <alignment vertical="center"/>
    </xf>
    <xf numFmtId="168" fontId="63" fillId="0" borderId="0" xfId="0" applyFont="1" applyAlignment="1">
      <alignment vertical="center"/>
    </xf>
    <xf numFmtId="168" fontId="34" fillId="0" borderId="0" xfId="19" applyFont="1" applyAlignment="1">
      <alignment vertical="center"/>
    </xf>
    <xf numFmtId="168" fontId="37" fillId="0" borderId="0" xfId="19" applyFont="1" applyAlignment="1">
      <alignment vertical="center"/>
    </xf>
    <xf numFmtId="0" fontId="67" fillId="0" borderId="0" xfId="17" applyNumberFormat="1" applyFont="1" applyBorder="1" applyAlignment="1">
      <alignment horizontal="left" vertical="center"/>
    </xf>
    <xf numFmtId="0" fontId="67" fillId="0" borderId="0" xfId="23" applyFont="1" applyAlignment="1">
      <alignment horizontal="left" vertical="center"/>
    </xf>
    <xf numFmtId="168" fontId="98" fillId="0" borderId="0" xfId="19" applyFont="1" applyAlignment="1">
      <alignment vertical="center"/>
    </xf>
    <xf numFmtId="168" fontId="67" fillId="0" borderId="0" xfId="17" applyFont="1" applyAlignment="1" applyProtection="1">
      <alignment vertical="center"/>
    </xf>
    <xf numFmtId="9" fontId="34" fillId="0" borderId="0" xfId="20" applyNumberFormat="1" applyFont="1" applyAlignment="1">
      <alignment vertical="center"/>
    </xf>
    <xf numFmtId="0" fontId="84" fillId="0" borderId="0" xfId="85" applyFont="1">
      <alignment vertical="center"/>
    </xf>
    <xf numFmtId="168" fontId="27" fillId="0" borderId="0" xfId="0" applyFont="1" applyAlignment="1">
      <alignment horizontal="left"/>
    </xf>
    <xf numFmtId="168" fontId="0" fillId="0" borderId="358" xfId="0" applyBorder="1"/>
    <xf numFmtId="3" fontId="18" fillId="0" borderId="358" xfId="0" applyNumberFormat="1" applyFont="1" applyBorder="1" applyAlignment="1">
      <alignment horizontal="right"/>
    </xf>
    <xf numFmtId="3" fontId="18" fillId="3" borderId="358" xfId="0" applyNumberFormat="1" applyFont="1" applyFill="1" applyBorder="1" applyAlignment="1">
      <alignment horizontal="left"/>
    </xf>
    <xf numFmtId="3" fontId="34" fillId="0" borderId="358" xfId="0" applyNumberFormat="1" applyFont="1" applyBorder="1"/>
    <xf numFmtId="3" fontId="91" fillId="0" borderId="358" xfId="0" applyNumberFormat="1" applyFont="1" applyBorder="1" applyAlignment="1">
      <alignment horizontal="left"/>
    </xf>
    <xf numFmtId="3" fontId="91" fillId="0" borderId="358" xfId="0" applyNumberFormat="1" applyFont="1" applyBorder="1"/>
    <xf numFmtId="4" fontId="34" fillId="5" borderId="358" xfId="0" applyNumberFormat="1" applyFont="1" applyFill="1" applyBorder="1" applyAlignment="1">
      <alignment horizontal="right"/>
    </xf>
    <xf numFmtId="4" fontId="27" fillId="5" borderId="358" xfId="0" applyNumberFormat="1" applyFont="1" applyFill="1" applyBorder="1" applyAlignment="1">
      <alignment horizontal="right"/>
    </xf>
    <xf numFmtId="0" fontId="88" fillId="0" borderId="358" xfId="22" applyFont="1" applyBorder="1"/>
    <xf numFmtId="3" fontId="34" fillId="0" borderId="43" xfId="0" applyNumberFormat="1" applyFont="1" applyBorder="1" applyAlignment="1">
      <alignment horizontal="left" wrapText="1"/>
    </xf>
    <xf numFmtId="3" fontId="34" fillId="0" borderId="0" xfId="0" applyNumberFormat="1" applyFont="1" applyAlignment="1">
      <alignment horizontal="left" wrapText="1"/>
    </xf>
    <xf numFmtId="3" fontId="18" fillId="0" borderId="360" xfId="0" applyNumberFormat="1" applyFont="1" applyBorder="1"/>
    <xf numFmtId="3" fontId="17" fillId="0" borderId="360" xfId="0" applyNumberFormat="1" applyFont="1" applyBorder="1"/>
    <xf numFmtId="3" fontId="34" fillId="0" borderId="43" xfId="0" applyNumberFormat="1" applyFont="1" applyBorder="1" applyAlignment="1">
      <alignment horizontal="left"/>
    </xf>
    <xf numFmtId="3" fontId="34" fillId="0" borderId="11" xfId="0" applyNumberFormat="1" applyFont="1" applyBorder="1" applyAlignment="1">
      <alignment horizontal="left"/>
    </xf>
    <xf numFmtId="3" fontId="34" fillId="0" borderId="120" xfId="0" applyNumberFormat="1" applyFont="1" applyBorder="1" applyAlignment="1">
      <alignment horizontal="left"/>
    </xf>
    <xf numFmtId="3" fontId="34" fillId="0" borderId="8" xfId="0" applyNumberFormat="1" applyFont="1" applyBorder="1" applyAlignment="1">
      <alignment horizontal="left"/>
    </xf>
    <xf numFmtId="3" fontId="34" fillId="0" borderId="241" xfId="0" applyNumberFormat="1" applyFont="1" applyBorder="1" applyAlignment="1">
      <alignment horizontal="left"/>
    </xf>
    <xf numFmtId="0" fontId="34" fillId="0" borderId="322" xfId="7" applyNumberFormat="1" applyFont="1" applyBorder="1" applyAlignment="1" applyProtection="1">
      <alignment horizontal="left" vertical="center"/>
    </xf>
    <xf numFmtId="166" fontId="34" fillId="0" borderId="320" xfId="7" applyNumberFormat="1" applyFont="1" applyBorder="1" applyAlignment="1" applyProtection="1">
      <alignment horizontal="left"/>
    </xf>
    <xf numFmtId="3" fontId="34" fillId="0" borderId="268" xfId="0" applyNumberFormat="1" applyFont="1" applyBorder="1" applyAlignment="1">
      <alignment horizontal="left" vertical="center"/>
    </xf>
    <xf numFmtId="168" fontId="34" fillId="0" borderId="218" xfId="11" applyFont="1" applyBorder="1" applyAlignment="1">
      <alignment horizontal="left" wrapText="1"/>
    </xf>
    <xf numFmtId="168" fontId="34" fillId="0" borderId="149" xfId="11" applyFont="1" applyBorder="1" applyAlignment="1">
      <alignment horizontal="left"/>
    </xf>
    <xf numFmtId="168" fontId="34" fillId="0" borderId="43" xfId="11" applyFont="1" applyBorder="1" applyAlignment="1">
      <alignment horizontal="left"/>
    </xf>
    <xf numFmtId="3" fontId="34" fillId="0" borderId="218" xfId="0" applyNumberFormat="1" applyFont="1" applyBorder="1" applyAlignment="1">
      <alignment horizontal="left" vertical="center"/>
    </xf>
    <xf numFmtId="168" fontId="34" fillId="0" borderId="218" xfId="11" applyFont="1" applyBorder="1" applyAlignment="1">
      <alignment horizontal="left"/>
    </xf>
    <xf numFmtId="168" fontId="34" fillId="0" borderId="37" xfId="11" applyFont="1" applyBorder="1" applyAlignment="1">
      <alignment horizontal="left"/>
    </xf>
    <xf numFmtId="3" fontId="34" fillId="0" borderId="120" xfId="0" applyNumberFormat="1" applyFont="1" applyBorder="1" applyAlignment="1">
      <alignment horizontal="left" vertical="center"/>
    </xf>
    <xf numFmtId="3" fontId="34" fillId="0" borderId="151" xfId="0" applyNumberFormat="1" applyFont="1" applyBorder="1" applyAlignment="1">
      <alignment horizontal="left" vertical="center"/>
    </xf>
    <xf numFmtId="3" fontId="34" fillId="0" borderId="37" xfId="0" applyNumberFormat="1" applyFont="1" applyBorder="1" applyAlignment="1">
      <alignment horizontal="left" vertical="top"/>
    </xf>
    <xf numFmtId="3" fontId="34" fillId="0" borderId="6" xfId="0" applyNumberFormat="1" applyFont="1" applyBorder="1" applyAlignment="1">
      <alignment horizontal="left" vertical="top"/>
    </xf>
    <xf numFmtId="3" fontId="34" fillId="0" borderId="211" xfId="0" applyNumberFormat="1" applyFont="1" applyBorder="1" applyAlignment="1">
      <alignment horizontal="left" vertical="top"/>
    </xf>
    <xf numFmtId="3" fontId="34" fillId="0" borderId="43" xfId="0" applyNumberFormat="1" applyFont="1" applyBorder="1" applyAlignment="1">
      <alignment horizontal="left" vertical="top"/>
    </xf>
    <xf numFmtId="3" fontId="34" fillId="0" borderId="112" xfId="0" applyNumberFormat="1" applyFont="1" applyBorder="1" applyAlignment="1">
      <alignment horizontal="left" vertical="top"/>
    </xf>
    <xf numFmtId="3" fontId="34" fillId="0" borderId="11" xfId="0" applyNumberFormat="1" applyFont="1" applyBorder="1" applyAlignment="1">
      <alignment horizontal="left" vertical="top"/>
    </xf>
    <xf numFmtId="3" fontId="34" fillId="0" borderId="42" xfId="0" applyNumberFormat="1" applyFont="1" applyBorder="1" applyAlignment="1">
      <alignment horizontal="left" vertical="top"/>
    </xf>
    <xf numFmtId="3" fontId="34" fillId="0" borderId="358" xfId="0" applyNumberFormat="1" applyFont="1" applyBorder="1" applyAlignment="1">
      <alignment horizontal="left"/>
    </xf>
    <xf numFmtId="168" fontId="37" fillId="0" borderId="194" xfId="13" applyFont="1" applyBorder="1" applyAlignment="1">
      <alignment horizontal="right" wrapText="1"/>
    </xf>
    <xf numFmtId="4" fontId="34" fillId="0" borderId="244" xfId="20" applyNumberFormat="1" applyFont="1" applyBorder="1"/>
    <xf numFmtId="0" fontId="34" fillId="0" borderId="238" xfId="20" applyFont="1" applyBorder="1" applyAlignment="1">
      <alignment vertical="center"/>
    </xf>
    <xf numFmtId="0" fontId="37" fillId="0" borderId="42" xfId="21" applyFont="1" applyBorder="1" applyAlignment="1">
      <alignment horizontal="left"/>
    </xf>
    <xf numFmtId="0" fontId="34" fillId="0" borderId="238" xfId="20" applyFont="1" applyBorder="1" applyAlignment="1">
      <alignment horizontal="left" vertical="center"/>
    </xf>
    <xf numFmtId="0" fontId="100" fillId="22" borderId="43" xfId="20" applyFont="1" applyFill="1" applyBorder="1" applyAlignment="1">
      <alignment horizontal="left" wrapText="1"/>
    </xf>
    <xf numFmtId="0" fontId="37" fillId="0" borderId="42" xfId="20" applyFont="1" applyBorder="1" applyAlignment="1">
      <alignment horizontal="left" wrapText="1"/>
    </xf>
    <xf numFmtId="0" fontId="34" fillId="0" borderId="6" xfId="20" applyFont="1" applyBorder="1" applyAlignment="1">
      <alignment horizontal="left"/>
    </xf>
    <xf numFmtId="0" fontId="34" fillId="0" borderId="142" xfId="20" applyFont="1" applyBorder="1" applyAlignment="1">
      <alignment horizontal="left"/>
    </xf>
    <xf numFmtId="0" fontId="34" fillId="0" borderId="252" xfId="20" applyFont="1" applyBorder="1" applyAlignment="1">
      <alignment horizontal="left"/>
    </xf>
    <xf numFmtId="0" fontId="62" fillId="0" borderId="0" xfId="22" applyFont="1" applyAlignment="1">
      <alignment horizontal="left"/>
    </xf>
    <xf numFmtId="0" fontId="88" fillId="0" borderId="142" xfId="22" applyFont="1" applyBorder="1" applyAlignment="1">
      <alignment horizontal="left"/>
    </xf>
    <xf numFmtId="0" fontId="88" fillId="0" borderId="42" xfId="22" applyFont="1" applyBorder="1" applyAlignment="1">
      <alignment horizontal="left"/>
    </xf>
    <xf numFmtId="0" fontId="88" fillId="0" borderId="0" xfId="22" applyFont="1" applyAlignment="1">
      <alignment horizontal="left"/>
    </xf>
    <xf numFmtId="0" fontId="88" fillId="0" borderId="138" xfId="22" applyFont="1" applyBorder="1" applyAlignment="1">
      <alignment horizontal="left"/>
    </xf>
    <xf numFmtId="168" fontId="27" fillId="0" borderId="0" xfId="0" applyFont="1" applyAlignment="1">
      <alignment horizontal="left" vertical="top"/>
    </xf>
    <xf numFmtId="168" fontId="34" fillId="0" borderId="7" xfId="0" applyFont="1" applyBorder="1" applyAlignment="1">
      <alignment horizontal="left"/>
    </xf>
    <xf numFmtId="168" fontId="34" fillId="0" borderId="37" xfId="0" applyFont="1" applyBorder="1" applyAlignment="1">
      <alignment horizontal="left" vertical="center"/>
    </xf>
    <xf numFmtId="3" fontId="34" fillId="0" borderId="37" xfId="0" applyNumberFormat="1" applyFont="1" applyBorder="1" applyAlignment="1">
      <alignment horizontal="left" wrapText="1"/>
    </xf>
    <xf numFmtId="3" fontId="34" fillId="0" borderId="0" xfId="0" applyNumberFormat="1" applyFont="1" applyAlignment="1" applyProtection="1">
      <alignment horizontal="left"/>
      <protection locked="0"/>
    </xf>
    <xf numFmtId="168" fontId="34" fillId="0" borderId="0" xfId="0" applyFont="1" applyAlignment="1" applyProtection="1">
      <alignment horizontal="left"/>
      <protection locked="0"/>
    </xf>
    <xf numFmtId="3" fontId="34" fillId="0" borderId="338" xfId="0" applyNumberFormat="1" applyFont="1" applyBorder="1"/>
    <xf numFmtId="3" fontId="18" fillId="4" borderId="362" xfId="0" applyNumberFormat="1" applyFont="1" applyFill="1" applyBorder="1" applyAlignment="1">
      <alignment horizontal="right" wrapText="1"/>
    </xf>
    <xf numFmtId="3" fontId="17" fillId="0" borderId="361" xfId="0" applyNumberFormat="1" applyFont="1" applyBorder="1" applyAlignment="1">
      <alignment horizontal="left"/>
    </xf>
    <xf numFmtId="3" fontId="18" fillId="0" borderId="361" xfId="0" applyNumberFormat="1" applyFont="1" applyBorder="1" applyAlignment="1">
      <alignment horizontal="right" wrapText="1"/>
    </xf>
    <xf numFmtId="3" fontId="18" fillId="4" borderId="362" xfId="0" applyNumberFormat="1" applyFont="1" applyFill="1" applyBorder="1" applyAlignment="1">
      <alignment horizontal="left"/>
    </xf>
    <xf numFmtId="4" fontId="0" fillId="0" borderId="361" xfId="0" applyNumberFormat="1" applyBorder="1"/>
    <xf numFmtId="4" fontId="18" fillId="0" borderId="361" xfId="0" applyNumberFormat="1" applyFont="1" applyBorder="1"/>
    <xf numFmtId="168" fontId="34" fillId="0" borderId="361" xfId="0" applyFont="1" applyBorder="1" applyAlignment="1">
      <alignment vertical="center"/>
    </xf>
    <xf numFmtId="3" fontId="34" fillId="0" borderId="361" xfId="0" applyNumberFormat="1" applyFont="1" applyBorder="1" applyAlignment="1">
      <alignment wrapText="1"/>
    </xf>
    <xf numFmtId="3" fontId="34" fillId="0" borderId="361" xfId="0" applyNumberFormat="1" applyFont="1" applyBorder="1" applyAlignment="1">
      <alignment horizontal="left"/>
    </xf>
    <xf numFmtId="3" fontId="34" fillId="0" borderId="361" xfId="0" applyNumberFormat="1" applyFont="1" applyBorder="1" applyAlignment="1">
      <alignment horizontal="right" wrapText="1"/>
    </xf>
    <xf numFmtId="3" fontId="34" fillId="12" borderId="361" xfId="0" applyNumberFormat="1" applyFont="1" applyFill="1" applyBorder="1" applyAlignment="1">
      <alignment horizontal="left" wrapText="1"/>
    </xf>
    <xf numFmtId="3" fontId="34" fillId="12" borderId="361" xfId="0" applyNumberFormat="1" applyFont="1" applyFill="1" applyBorder="1" applyAlignment="1">
      <alignment horizontal="right" wrapText="1"/>
    </xf>
    <xf numFmtId="0" fontId="34" fillId="5" borderId="361" xfId="0" applyNumberFormat="1" applyFont="1" applyFill="1" applyBorder="1"/>
    <xf numFmtId="3" fontId="34" fillId="0" borderId="361" xfId="0" applyNumberFormat="1" applyFont="1" applyBorder="1" applyProtection="1">
      <protection locked="0"/>
    </xf>
    <xf numFmtId="49" fontId="34" fillId="0" borderId="361" xfId="0" applyNumberFormat="1" applyFont="1" applyBorder="1" applyAlignment="1" applyProtection="1">
      <alignment horizontal="right" wrapText="1"/>
      <protection locked="0"/>
    </xf>
    <xf numFmtId="3" fontId="0" fillId="0" borderId="362" xfId="0" applyNumberFormat="1" applyBorder="1"/>
    <xf numFmtId="168" fontId="0" fillId="0" borderId="362" xfId="0" applyBorder="1"/>
    <xf numFmtId="168" fontId="0" fillId="0" borderId="361" xfId="0" applyBorder="1"/>
    <xf numFmtId="9" fontId="0" fillId="0" borderId="361" xfId="0" applyNumberFormat="1" applyBorder="1"/>
    <xf numFmtId="1" fontId="0" fillId="0" borderId="362" xfId="0" applyNumberFormat="1" applyBorder="1"/>
    <xf numFmtId="168" fontId="0" fillId="0" borderId="363" xfId="0" applyBorder="1"/>
    <xf numFmtId="1" fontId="0" fillId="0" borderId="361" xfId="0" applyNumberFormat="1" applyBorder="1"/>
    <xf numFmtId="3" fontId="92" fillId="0" borderId="361" xfId="0" applyNumberFormat="1" applyFont="1" applyBorder="1" applyAlignment="1">
      <alignment horizontal="left"/>
    </xf>
    <xf numFmtId="3" fontId="34" fillId="0" borderId="361" xfId="0" applyNumberFormat="1" applyFont="1" applyBorder="1" applyAlignment="1">
      <alignment horizontal="right"/>
    </xf>
    <xf numFmtId="4" fontId="34" fillId="26" borderId="364" xfId="0" applyNumberFormat="1" applyFont="1" applyFill="1" applyBorder="1" applyAlignment="1">
      <alignment horizontal="right"/>
    </xf>
    <xf numFmtId="3" fontId="34" fillId="0" borderId="365" xfId="0" applyNumberFormat="1" applyFont="1" applyBorder="1" applyAlignment="1">
      <alignment horizontal="left"/>
    </xf>
    <xf numFmtId="4" fontId="88" fillId="5" borderId="366" xfId="0" applyNumberFormat="1" applyFont="1" applyFill="1" applyBorder="1" applyAlignment="1">
      <alignment horizontal="right"/>
    </xf>
    <xf numFmtId="4" fontId="88" fillId="5" borderId="367" xfId="0" applyNumberFormat="1" applyFont="1" applyFill="1" applyBorder="1" applyAlignment="1">
      <alignment horizontal="right"/>
    </xf>
    <xf numFmtId="4" fontId="88" fillId="5" borderId="368" xfId="0" applyNumberFormat="1" applyFont="1" applyFill="1" applyBorder="1" applyAlignment="1">
      <alignment horizontal="right"/>
    </xf>
    <xf numFmtId="4" fontId="34" fillId="5" borderId="366" xfId="0" applyNumberFormat="1" applyFont="1" applyFill="1" applyBorder="1" applyAlignment="1">
      <alignment horizontal="right"/>
    </xf>
    <xf numFmtId="4" fontId="34" fillId="5" borderId="367" xfId="0" applyNumberFormat="1" applyFont="1" applyFill="1" applyBorder="1" applyAlignment="1">
      <alignment horizontal="right"/>
    </xf>
    <xf numFmtId="4" fontId="34" fillId="5" borderId="368" xfId="0" applyNumberFormat="1" applyFont="1" applyFill="1" applyBorder="1" applyAlignment="1">
      <alignment horizontal="right"/>
    </xf>
    <xf numFmtId="4" fontId="34" fillId="5" borderId="369" xfId="0" applyNumberFormat="1" applyFont="1" applyFill="1" applyBorder="1" applyAlignment="1">
      <alignment horizontal="right"/>
    </xf>
    <xf numFmtId="3" fontId="18" fillId="0" borderId="361" xfId="0" applyNumberFormat="1" applyFont="1" applyBorder="1"/>
    <xf numFmtId="168" fontId="18" fillId="0" borderId="361" xfId="0" applyFont="1" applyBorder="1"/>
    <xf numFmtId="3" fontId="0" fillId="11" borderId="361" xfId="0" applyNumberFormat="1" applyFill="1" applyBorder="1"/>
    <xf numFmtId="3" fontId="0" fillId="0" borderId="361" xfId="0" applyNumberFormat="1" applyBorder="1"/>
    <xf numFmtId="3" fontId="27" fillId="11" borderId="364" xfId="0" applyNumberFormat="1" applyFont="1" applyFill="1" applyBorder="1" applyAlignment="1">
      <alignment horizontal="right"/>
    </xf>
    <xf numFmtId="3" fontId="27" fillId="5" borderId="366" xfId="0" applyNumberFormat="1" applyFont="1" applyFill="1" applyBorder="1" applyAlignment="1">
      <alignment horizontal="right"/>
    </xf>
    <xf numFmtId="3" fontId="27" fillId="5" borderId="367" xfId="0" applyNumberFormat="1" applyFont="1" applyFill="1" applyBorder="1" applyAlignment="1">
      <alignment horizontal="right"/>
    </xf>
    <xf numFmtId="3" fontId="27" fillId="5" borderId="368" xfId="0" applyNumberFormat="1" applyFont="1" applyFill="1" applyBorder="1" applyAlignment="1">
      <alignment horizontal="right"/>
    </xf>
    <xf numFmtId="3" fontId="18" fillId="11" borderId="361" xfId="0" applyNumberFormat="1" applyFont="1" applyFill="1" applyBorder="1"/>
    <xf numFmtId="0" fontId="0" fillId="0" borderId="361" xfId="0" applyNumberFormat="1" applyBorder="1"/>
    <xf numFmtId="0" fontId="18" fillId="11" borderId="361" xfId="0" applyNumberFormat="1" applyFont="1" applyFill="1" applyBorder="1"/>
    <xf numFmtId="168" fontId="0" fillId="0" borderId="370" xfId="0" applyBorder="1"/>
    <xf numFmtId="3" fontId="92" fillId="0" borderId="361" xfId="0" applyNumberFormat="1" applyFont="1" applyBorder="1"/>
    <xf numFmtId="3" fontId="27" fillId="5" borderId="366" xfId="0" applyNumberFormat="1" applyFont="1" applyFill="1" applyBorder="1"/>
    <xf numFmtId="3" fontId="27" fillId="5" borderId="367" xfId="0" applyNumberFormat="1" applyFont="1" applyFill="1" applyBorder="1"/>
    <xf numFmtId="3" fontId="27" fillId="5" borderId="369" xfId="0" applyNumberFormat="1" applyFont="1" applyFill="1" applyBorder="1"/>
    <xf numFmtId="3" fontId="27" fillId="5" borderId="368" xfId="0" applyNumberFormat="1" applyFont="1" applyFill="1" applyBorder="1"/>
    <xf numFmtId="3" fontId="44" fillId="11" borderId="364" xfId="0" applyNumberFormat="1" applyFont="1" applyFill="1" applyBorder="1" applyAlignment="1">
      <alignment horizontal="right"/>
    </xf>
    <xf numFmtId="168" fontId="34" fillId="0" borderId="361" xfId="0" applyFont="1" applyBorder="1" applyAlignment="1">
      <alignment horizontal="right" wrapText="1"/>
    </xf>
    <xf numFmtId="3" fontId="37" fillId="0" borderId="361" xfId="0" applyNumberFormat="1" applyFont="1" applyBorder="1" applyAlignment="1">
      <alignment horizontal="left"/>
    </xf>
    <xf numFmtId="3" fontId="34" fillId="0" borderId="365" xfId="0" applyNumberFormat="1" applyFont="1" applyBorder="1" applyAlignment="1">
      <alignment horizontal="left" vertical="center"/>
    </xf>
    <xf numFmtId="3" fontId="34" fillId="5" borderId="371" xfId="0" applyNumberFormat="1" applyFont="1" applyFill="1" applyBorder="1"/>
    <xf numFmtId="3" fontId="34" fillId="5" borderId="372" xfId="0" applyNumberFormat="1" applyFont="1" applyFill="1" applyBorder="1"/>
    <xf numFmtId="3" fontId="34" fillId="5" borderId="373" xfId="0" applyNumberFormat="1" applyFont="1" applyFill="1" applyBorder="1"/>
    <xf numFmtId="3" fontId="34" fillId="5" borderId="374" xfId="0" applyNumberFormat="1" applyFont="1" applyFill="1" applyBorder="1"/>
    <xf numFmtId="3" fontId="34" fillId="5" borderId="375" xfId="0" applyNumberFormat="1" applyFont="1" applyFill="1" applyBorder="1"/>
    <xf numFmtId="3" fontId="34" fillId="5" borderId="376" xfId="0" applyNumberFormat="1" applyFont="1" applyFill="1" applyBorder="1"/>
    <xf numFmtId="3" fontId="34" fillId="5" borderId="377" xfId="0" applyNumberFormat="1" applyFont="1" applyFill="1" applyBorder="1"/>
    <xf numFmtId="168" fontId="0" fillId="0" borderId="361" xfId="0" applyBorder="1" applyAlignment="1">
      <alignment wrapText="1"/>
    </xf>
    <xf numFmtId="3" fontId="27" fillId="0" borderId="361" xfId="0" applyNumberFormat="1" applyFont="1" applyBorder="1" applyProtection="1">
      <protection locked="0"/>
    </xf>
    <xf numFmtId="3" fontId="27" fillId="11" borderId="361" xfId="0" applyNumberFormat="1" applyFont="1" applyFill="1" applyBorder="1"/>
    <xf numFmtId="3" fontId="27" fillId="5" borderId="361" xfId="0" applyNumberFormat="1" applyFont="1" applyFill="1" applyBorder="1"/>
    <xf numFmtId="3" fontId="27" fillId="5" borderId="371" xfId="0" applyNumberFormat="1" applyFont="1" applyFill="1" applyBorder="1"/>
    <xf numFmtId="3" fontId="27" fillId="5" borderId="372" xfId="0" applyNumberFormat="1" applyFont="1" applyFill="1" applyBorder="1"/>
    <xf numFmtId="3" fontId="27" fillId="5" borderId="373" xfId="0" applyNumberFormat="1" applyFont="1" applyFill="1" applyBorder="1"/>
    <xf numFmtId="3" fontId="27" fillId="5" borderId="374" xfId="0" applyNumberFormat="1" applyFont="1" applyFill="1" applyBorder="1"/>
    <xf numFmtId="3" fontId="27" fillId="5" borderId="375" xfId="0" applyNumberFormat="1" applyFont="1" applyFill="1" applyBorder="1"/>
    <xf numFmtId="3" fontId="27" fillId="5" borderId="376" xfId="0" applyNumberFormat="1" applyFont="1" applyFill="1" applyBorder="1"/>
    <xf numFmtId="3" fontId="27" fillId="5" borderId="377" xfId="0" applyNumberFormat="1" applyFont="1" applyFill="1" applyBorder="1"/>
    <xf numFmtId="168" fontId="0" fillId="11" borderId="361" xfId="0" applyFill="1" applyBorder="1"/>
    <xf numFmtId="3" fontId="0" fillId="0" borderId="378" xfId="0" applyNumberFormat="1" applyBorder="1"/>
    <xf numFmtId="4" fontId="34" fillId="11" borderId="380" xfId="0" applyNumberFormat="1" applyFont="1" applyFill="1" applyBorder="1" applyAlignment="1">
      <alignment horizontal="right"/>
    </xf>
    <xf numFmtId="4" fontId="34" fillId="0" borderId="380" xfId="0" applyNumberFormat="1" applyFont="1" applyBorder="1" applyAlignment="1" applyProtection="1">
      <alignment horizontal="right"/>
      <protection locked="0"/>
    </xf>
    <xf numFmtId="4" fontId="34" fillId="5" borderId="380" xfId="0" applyNumberFormat="1" applyFont="1" applyFill="1" applyBorder="1" applyAlignment="1">
      <alignment horizontal="right"/>
    </xf>
    <xf numFmtId="169" fontId="18" fillId="0" borderId="381" xfId="0" applyNumberFormat="1" applyFont="1" applyBorder="1" applyAlignment="1">
      <alignment horizontal="right"/>
    </xf>
    <xf numFmtId="169" fontId="18" fillId="6" borderId="381" xfId="0" applyNumberFormat="1" applyFont="1" applyFill="1" applyBorder="1" applyAlignment="1">
      <alignment horizontal="right"/>
    </xf>
    <xf numFmtId="169" fontId="18" fillId="6" borderId="379" xfId="0" applyNumberFormat="1" applyFont="1" applyFill="1" applyBorder="1" applyAlignment="1">
      <alignment horizontal="right"/>
    </xf>
    <xf numFmtId="4" fontId="49" fillId="0" borderId="380" xfId="0" applyNumberFormat="1" applyFont="1" applyBorder="1" applyAlignment="1">
      <alignment horizontal="right"/>
    </xf>
    <xf numFmtId="169" fontId="0" fillId="0" borderId="381" xfId="0" applyNumberFormat="1" applyBorder="1" applyAlignment="1">
      <alignment horizontal="right"/>
    </xf>
    <xf numFmtId="3" fontId="27" fillId="11" borderId="380" xfId="0" applyNumberFormat="1" applyFont="1" applyFill="1" applyBorder="1" applyAlignment="1">
      <alignment horizontal="right"/>
    </xf>
    <xf numFmtId="3" fontId="27" fillId="0" borderId="380" xfId="0" applyNumberFormat="1" applyFont="1" applyBorder="1" applyAlignment="1" applyProtection="1">
      <alignment horizontal="right"/>
      <protection locked="0"/>
    </xf>
    <xf numFmtId="3" fontId="27" fillId="5" borderId="380" xfId="0" applyNumberFormat="1" applyFont="1" applyFill="1" applyBorder="1" applyAlignment="1">
      <alignment horizontal="right"/>
    </xf>
    <xf numFmtId="168" fontId="34" fillId="0" borderId="361" xfId="0" applyFont="1" applyBorder="1"/>
    <xf numFmtId="4" fontId="34" fillId="0" borderId="382" xfId="20" applyNumberFormat="1" applyFont="1" applyBorder="1"/>
    <xf numFmtId="9" fontId="88" fillId="0" borderId="382" xfId="25" applyFont="1" applyFill="1" applyBorder="1"/>
    <xf numFmtId="1" fontId="88" fillId="0" borderId="361" xfId="25" applyNumberFormat="1" applyFont="1" applyFill="1" applyBorder="1"/>
    <xf numFmtId="0" fontId="34" fillId="0" borderId="362" xfId="20" applyFont="1" applyBorder="1"/>
    <xf numFmtId="0" fontId="34" fillId="0" borderId="361" xfId="20" applyFont="1" applyBorder="1"/>
    <xf numFmtId="9" fontId="88" fillId="0" borderId="361" xfId="25" applyFont="1" applyFill="1" applyBorder="1"/>
    <xf numFmtId="1" fontId="34" fillId="0" borderId="361" xfId="20" applyNumberFormat="1" applyFont="1" applyBorder="1"/>
    <xf numFmtId="0" fontId="34" fillId="0" borderId="361" xfId="20" applyFont="1" applyBorder="1" applyAlignment="1">
      <alignment horizontal="left"/>
    </xf>
    <xf numFmtId="0" fontId="37" fillId="0" borderId="382" xfId="20" applyFont="1" applyBorder="1" applyAlignment="1">
      <alignment horizontal="right" wrapText="1"/>
    </xf>
    <xf numFmtId="3" fontId="34" fillId="0" borderId="361" xfId="20" applyNumberFormat="1" applyFont="1" applyBorder="1" applyAlignment="1">
      <alignment horizontal="right"/>
    </xf>
    <xf numFmtId="172" fontId="34" fillId="0" borderId="361" xfId="20" applyNumberFormat="1" applyFont="1" applyBorder="1" applyAlignment="1">
      <alignment horizontal="right"/>
    </xf>
    <xf numFmtId="3" fontId="62" fillId="0" borderId="361" xfId="22" applyNumberFormat="1" applyFont="1" applyBorder="1" applyAlignment="1">
      <alignment horizontal="right" wrapText="1"/>
    </xf>
    <xf numFmtId="4" fontId="34" fillId="0" borderId="361" xfId="22" applyNumberFormat="1" applyFont="1" applyBorder="1"/>
    <xf numFmtId="4" fontId="88" fillId="0" borderId="361" xfId="22" applyNumberFormat="1" applyFont="1" applyBorder="1"/>
    <xf numFmtId="4" fontId="88" fillId="0" borderId="371" xfId="22" applyNumberFormat="1" applyFont="1" applyBorder="1"/>
    <xf numFmtId="4" fontId="88" fillId="0" borderId="365" xfId="22" applyNumberFormat="1" applyFont="1" applyBorder="1"/>
    <xf numFmtId="4" fontId="18" fillId="0" borderId="384" xfId="0" applyNumberFormat="1" applyFont="1" applyBorder="1" applyAlignment="1">
      <alignment horizontal="right"/>
    </xf>
    <xf numFmtId="4" fontId="18" fillId="0" borderId="385" xfId="0" applyNumberFormat="1" applyFont="1" applyBorder="1" applyAlignment="1">
      <alignment horizontal="right"/>
    </xf>
    <xf numFmtId="4" fontId="18" fillId="0" borderId="386" xfId="0" applyNumberFormat="1" applyFont="1" applyBorder="1" applyAlignment="1">
      <alignment horizontal="right"/>
    </xf>
    <xf numFmtId="4" fontId="0" fillId="0" borderId="384" xfId="0" applyNumberFormat="1" applyBorder="1" applyAlignment="1">
      <alignment horizontal="right"/>
    </xf>
    <xf numFmtId="4" fontId="0" fillId="0" borderId="385" xfId="0" applyNumberFormat="1" applyBorder="1" applyAlignment="1">
      <alignment horizontal="right"/>
    </xf>
    <xf numFmtId="4" fontId="0" fillId="0" borderId="386" xfId="0" applyNumberFormat="1" applyBorder="1" applyAlignment="1">
      <alignment horizontal="right"/>
    </xf>
    <xf numFmtId="4" fontId="34" fillId="0" borderId="384" xfId="0" applyNumberFormat="1" applyFont="1" applyBorder="1" applyAlignment="1" applyProtection="1">
      <alignment horizontal="right"/>
      <protection locked="0"/>
    </xf>
    <xf numFmtId="4" fontId="34" fillId="0" borderId="385" xfId="0" applyNumberFormat="1" applyFont="1" applyBorder="1" applyAlignment="1" applyProtection="1">
      <alignment horizontal="right"/>
      <protection locked="0"/>
    </xf>
    <xf numFmtId="4" fontId="34" fillId="5" borderId="384" xfId="0" applyNumberFormat="1" applyFont="1" applyFill="1" applyBorder="1" applyAlignment="1">
      <alignment horizontal="right"/>
    </xf>
    <xf numFmtId="4" fontId="34" fillId="5" borderId="385" xfId="0" applyNumberFormat="1" applyFont="1" applyFill="1" applyBorder="1" applyAlignment="1">
      <alignment horizontal="right"/>
    </xf>
    <xf numFmtId="3" fontId="91" fillId="0" borderId="387" xfId="0" applyNumberFormat="1" applyFont="1" applyBorder="1"/>
    <xf numFmtId="3" fontId="27" fillId="0" borderId="384" xfId="0" applyNumberFormat="1" applyFont="1" applyBorder="1" applyAlignment="1" applyProtection="1">
      <alignment horizontal="right"/>
      <protection locked="0"/>
    </xf>
    <xf numFmtId="3" fontId="27" fillId="0" borderId="385" xfId="0" applyNumberFormat="1" applyFont="1" applyBorder="1" applyAlignment="1" applyProtection="1">
      <alignment horizontal="right"/>
      <protection locked="0"/>
    </xf>
    <xf numFmtId="3" fontId="27" fillId="5" borderId="384" xfId="0" applyNumberFormat="1" applyFont="1" applyFill="1" applyBorder="1" applyAlignment="1">
      <alignment horizontal="right"/>
    </xf>
    <xf numFmtId="3" fontId="27" fillId="5" borderId="385" xfId="0" applyNumberFormat="1" applyFont="1" applyFill="1" applyBorder="1" applyAlignment="1">
      <alignment horizontal="right"/>
    </xf>
    <xf numFmtId="3" fontId="34" fillId="0" borderId="384" xfId="0" applyNumberFormat="1" applyFont="1" applyBorder="1" applyProtection="1">
      <protection locked="0"/>
    </xf>
    <xf numFmtId="3" fontId="34" fillId="5" borderId="384" xfId="0" applyNumberFormat="1" applyFont="1" applyFill="1" applyBorder="1"/>
    <xf numFmtId="3" fontId="27" fillId="0" borderId="384" xfId="0" applyNumberFormat="1" applyFont="1" applyBorder="1" applyProtection="1">
      <protection locked="0"/>
    </xf>
    <xf numFmtId="3" fontId="27" fillId="5" borderId="384" xfId="0" applyNumberFormat="1" applyFont="1" applyFill="1" applyBorder="1"/>
    <xf numFmtId="4" fontId="88" fillId="0" borderId="384" xfId="0" applyNumberFormat="1" applyFont="1" applyBorder="1" applyAlignment="1" applyProtection="1">
      <alignment horizontal="right"/>
      <protection locked="0"/>
    </xf>
    <xf numFmtId="4" fontId="88" fillId="0" borderId="385" xfId="0" applyNumberFormat="1" applyFont="1" applyBorder="1" applyAlignment="1" applyProtection="1">
      <alignment horizontal="right"/>
      <protection locked="0"/>
    </xf>
    <xf numFmtId="3" fontId="44" fillId="0" borderId="384" xfId="0" applyNumberFormat="1" applyFont="1" applyBorder="1" applyAlignment="1" applyProtection="1">
      <alignment horizontal="right"/>
      <protection locked="0"/>
    </xf>
    <xf numFmtId="3" fontId="44" fillId="0" borderId="385" xfId="0" applyNumberFormat="1" applyFont="1" applyBorder="1" applyAlignment="1" applyProtection="1">
      <alignment horizontal="right"/>
      <protection locked="0"/>
    </xf>
    <xf numFmtId="3" fontId="27" fillId="0" borderId="390" xfId="0" applyNumberFormat="1" applyFont="1" applyBorder="1" applyAlignment="1" applyProtection="1">
      <alignment horizontal="right" wrapText="1"/>
      <protection locked="0"/>
    </xf>
    <xf numFmtId="3" fontId="27" fillId="0" borderId="385" xfId="0" applyNumberFormat="1" applyFont="1" applyBorder="1" applyAlignment="1" applyProtection="1">
      <alignment horizontal="right" wrapText="1"/>
      <protection locked="0"/>
    </xf>
    <xf numFmtId="3" fontId="34" fillId="5" borderId="387" xfId="0" applyNumberFormat="1" applyFont="1" applyFill="1" applyBorder="1"/>
    <xf numFmtId="3" fontId="27" fillId="5" borderId="387" xfId="0" applyNumberFormat="1" applyFont="1" applyFill="1" applyBorder="1"/>
    <xf numFmtId="3" fontId="34" fillId="0" borderId="389" xfId="0" applyNumberFormat="1" applyFont="1" applyBorder="1" applyProtection="1">
      <protection locked="0"/>
    </xf>
    <xf numFmtId="0" fontId="88" fillId="0" borderId="387" xfId="22" applyFont="1" applyBorder="1" applyAlignment="1">
      <alignment horizontal="left"/>
    </xf>
    <xf numFmtId="167" fontId="34" fillId="0" borderId="387" xfId="22" applyNumberFormat="1" applyFont="1" applyBorder="1"/>
    <xf numFmtId="167" fontId="88" fillId="0" borderId="387" xfId="22" applyNumberFormat="1" applyFont="1" applyBorder="1"/>
    <xf numFmtId="4" fontId="34" fillId="5" borderId="389" xfId="0" applyNumberFormat="1" applyFont="1" applyFill="1" applyBorder="1" applyAlignment="1">
      <alignment horizontal="right"/>
    </xf>
    <xf numFmtId="3" fontId="34" fillId="5" borderId="389" xfId="0" applyNumberFormat="1" applyFont="1" applyFill="1" applyBorder="1"/>
    <xf numFmtId="3" fontId="27" fillId="0" borderId="389" xfId="0" applyNumberFormat="1" applyFont="1" applyBorder="1" applyProtection="1">
      <protection locked="0"/>
    </xf>
    <xf numFmtId="3" fontId="27" fillId="5" borderId="389" xfId="0" applyNumberFormat="1" applyFont="1" applyFill="1" applyBorder="1"/>
    <xf numFmtId="3" fontId="27" fillId="5" borderId="391" xfId="0" applyNumberFormat="1" applyFont="1" applyFill="1" applyBorder="1" applyAlignment="1">
      <alignment horizontal="right"/>
    </xf>
    <xf numFmtId="3" fontId="27" fillId="0" borderId="391" xfId="0" applyNumberFormat="1" applyFont="1" applyBorder="1" applyAlignment="1" applyProtection="1">
      <alignment horizontal="right"/>
      <protection locked="0"/>
    </xf>
    <xf numFmtId="168" fontId="18" fillId="0" borderId="392" xfId="0" applyFont="1" applyBorder="1"/>
    <xf numFmtId="168" fontId="18" fillId="0" borderId="393" xfId="0" applyFont="1" applyBorder="1"/>
    <xf numFmtId="168" fontId="18" fillId="0" borderId="395" xfId="0" applyFont="1" applyBorder="1"/>
    <xf numFmtId="168" fontId="18" fillId="19" borderId="395" xfId="0" applyFont="1" applyFill="1" applyBorder="1"/>
    <xf numFmtId="168" fontId="18" fillId="15" borderId="395" xfId="0" applyFont="1" applyFill="1" applyBorder="1"/>
    <xf numFmtId="3" fontId="18" fillId="0" borderId="392" xfId="0" applyNumberFormat="1" applyFont="1" applyBorder="1"/>
    <xf numFmtId="3" fontId="18" fillId="0" borderId="395" xfId="0" applyNumberFormat="1" applyFont="1" applyBorder="1"/>
    <xf numFmtId="3" fontId="18" fillId="32" borderId="395" xfId="0" applyNumberFormat="1" applyFont="1" applyFill="1" applyBorder="1"/>
    <xf numFmtId="3" fontId="18" fillId="19" borderId="395" xfId="0" applyNumberFormat="1" applyFont="1" applyFill="1" applyBorder="1"/>
    <xf numFmtId="3" fontId="18" fillId="15" borderId="395" xfId="0" applyNumberFormat="1" applyFont="1" applyFill="1" applyBorder="1"/>
    <xf numFmtId="0" fontId="0" fillId="0" borderId="392" xfId="0" applyNumberFormat="1" applyBorder="1"/>
    <xf numFmtId="0" fontId="0" fillId="0" borderId="393" xfId="0" applyNumberFormat="1" applyBorder="1"/>
    <xf numFmtId="0" fontId="18" fillId="11" borderId="392" xfId="0" applyNumberFormat="1" applyFont="1" applyFill="1" applyBorder="1"/>
    <xf numFmtId="0" fontId="0" fillId="11" borderId="393" xfId="0" applyNumberFormat="1" applyFill="1" applyBorder="1"/>
    <xf numFmtId="168" fontId="27" fillId="0" borderId="395" xfId="0" applyFont="1" applyBorder="1" applyAlignment="1">
      <alignment wrapText="1"/>
    </xf>
    <xf numFmtId="3" fontId="18" fillId="29" borderId="395" xfId="0" applyNumberFormat="1" applyFont="1" applyFill="1" applyBorder="1"/>
    <xf numFmtId="168" fontId="0" fillId="0" borderId="395" xfId="0" applyBorder="1"/>
    <xf numFmtId="168" fontId="0" fillId="18" borderId="395" xfId="0" applyFill="1" applyBorder="1"/>
    <xf numFmtId="168" fontId="0" fillId="29" borderId="395" xfId="0" applyFill="1" applyBorder="1"/>
    <xf numFmtId="168" fontId="0" fillId="31" borderId="395" xfId="0" applyFill="1" applyBorder="1"/>
    <xf numFmtId="3" fontId="17" fillId="0" borderId="392" xfId="0" applyNumberFormat="1" applyFont="1" applyBorder="1"/>
    <xf numFmtId="168" fontId="0" fillId="0" borderId="393" xfId="0" applyBorder="1"/>
    <xf numFmtId="168" fontId="0" fillId="0" borderId="397" xfId="0" applyBorder="1"/>
    <xf numFmtId="168" fontId="0" fillId="19" borderId="395" xfId="0" applyFill="1" applyBorder="1"/>
    <xf numFmtId="168" fontId="0" fillId="15" borderId="395" xfId="0" applyFill="1" applyBorder="1"/>
    <xf numFmtId="168" fontId="0" fillId="0" borderId="392" xfId="0" applyBorder="1"/>
    <xf numFmtId="3" fontId="34" fillId="0" borderId="396" xfId="0" applyNumberFormat="1" applyFont="1" applyBorder="1" applyAlignment="1">
      <alignment horizontal="left" wrapText="1"/>
    </xf>
    <xf numFmtId="168" fontId="0" fillId="25" borderId="395" xfId="0" applyFill="1" applyBorder="1"/>
    <xf numFmtId="168" fontId="0" fillId="16" borderId="395" xfId="0" applyFill="1" applyBorder="1"/>
    <xf numFmtId="168" fontId="0" fillId="32" borderId="395" xfId="0" applyFill="1" applyBorder="1"/>
    <xf numFmtId="3" fontId="34" fillId="0" borderId="393" xfId="0" applyNumberFormat="1" applyFont="1" applyBorder="1" applyAlignment="1">
      <alignment horizontal="left"/>
    </xf>
    <xf numFmtId="0" fontId="37" fillId="0" borderId="400" xfId="86" applyFont="1" applyBorder="1">
      <alignment vertical="center"/>
    </xf>
    <xf numFmtId="1" fontId="27" fillId="0" borderId="392" xfId="0" applyNumberFormat="1" applyFont="1" applyBorder="1" applyAlignment="1">
      <alignment horizontal="left" vertical="center"/>
    </xf>
    <xf numFmtId="168" fontId="27" fillId="0" borderId="393" xfId="0" applyFont="1" applyBorder="1" applyAlignment="1">
      <alignment horizontal="left" vertical="center"/>
    </xf>
    <xf numFmtId="3" fontId="27" fillId="0" borderId="397" xfId="0" applyNumberFormat="1" applyFont="1" applyBorder="1" applyAlignment="1">
      <alignment vertical="center"/>
    </xf>
    <xf numFmtId="168" fontId="27" fillId="0" borderId="394" xfId="0" applyFont="1" applyBorder="1" applyAlignment="1">
      <alignment vertical="center"/>
    </xf>
    <xf numFmtId="168" fontId="27" fillId="0" borderId="398" xfId="0" applyFont="1" applyBorder="1" applyAlignment="1">
      <alignment vertical="center"/>
    </xf>
    <xf numFmtId="168" fontId="27" fillId="0" borderId="397" xfId="0" applyFont="1" applyBorder="1" applyAlignment="1">
      <alignment vertical="center"/>
    </xf>
    <xf numFmtId="0" fontId="27" fillId="0" borderId="397" xfId="0" applyNumberFormat="1" applyFont="1" applyBorder="1" applyAlignment="1">
      <alignment vertical="center"/>
    </xf>
    <xf numFmtId="168" fontId="27" fillId="12" borderId="395" xfId="0" applyFont="1" applyFill="1" applyBorder="1" applyAlignment="1">
      <alignment vertical="center"/>
    </xf>
    <xf numFmtId="0" fontId="27" fillId="0" borderId="395" xfId="0" applyNumberFormat="1" applyFont="1" applyBorder="1" applyAlignment="1">
      <alignment vertical="center"/>
    </xf>
    <xf numFmtId="168" fontId="27" fillId="12" borderId="394" xfId="0" applyFont="1" applyFill="1" applyBorder="1" applyAlignment="1">
      <alignment vertical="center"/>
    </xf>
    <xf numFmtId="0" fontId="27" fillId="0" borderId="400" xfId="0" applyNumberFormat="1" applyFont="1" applyBorder="1" applyAlignment="1">
      <alignment vertical="center"/>
    </xf>
    <xf numFmtId="168" fontId="27" fillId="0" borderId="395" xfId="0" applyFont="1" applyBorder="1" applyAlignment="1">
      <alignment vertical="center"/>
    </xf>
    <xf numFmtId="22" fontId="27" fillId="0" borderId="397" xfId="0" applyNumberFormat="1" applyFont="1" applyBorder="1" applyAlignment="1">
      <alignment horizontal="left" vertical="center"/>
    </xf>
    <xf numFmtId="174" fontId="27" fillId="0" borderId="397" xfId="0" applyNumberFormat="1" applyFont="1" applyBorder="1" applyAlignment="1">
      <alignment horizontal="left" vertical="center"/>
    </xf>
    <xf numFmtId="14" fontId="27" fillId="0" borderId="394" xfId="0" applyNumberFormat="1" applyFont="1" applyBorder="1" applyAlignment="1">
      <alignment vertical="center"/>
    </xf>
    <xf numFmtId="14" fontId="27" fillId="0" borderId="398" xfId="0" applyNumberFormat="1" applyFont="1" applyBorder="1" applyAlignment="1">
      <alignment vertical="center"/>
    </xf>
    <xf numFmtId="1" fontId="27" fillId="0" borderId="397" xfId="0" applyNumberFormat="1" applyFont="1" applyBorder="1" applyAlignment="1">
      <alignment horizontal="left" vertical="center"/>
    </xf>
    <xf numFmtId="14" fontId="27" fillId="0" borderId="397" xfId="0" applyNumberFormat="1" applyFont="1" applyBorder="1" applyAlignment="1">
      <alignment horizontal="left" vertical="center"/>
    </xf>
    <xf numFmtId="14" fontId="27" fillId="0" borderId="395" xfId="0" applyNumberFormat="1" applyFont="1" applyBorder="1" applyAlignment="1">
      <alignment horizontal="left" vertical="center"/>
    </xf>
    <xf numFmtId="168" fontId="0" fillId="0" borderId="395" xfId="0" applyBorder="1" applyAlignment="1">
      <alignment vertical="center"/>
    </xf>
    <xf numFmtId="3" fontId="18" fillId="0" borderId="402" xfId="0" applyNumberFormat="1" applyFont="1" applyBorder="1"/>
    <xf numFmtId="4" fontId="18" fillId="0" borderId="391" xfId="0" applyNumberFormat="1" applyFont="1" applyBorder="1" applyAlignment="1">
      <alignment horizontal="right"/>
    </xf>
    <xf numFmtId="3" fontId="18" fillId="0" borderId="402" xfId="0" applyNumberFormat="1" applyFont="1" applyBorder="1" applyAlignment="1">
      <alignment vertical="center" wrapText="1"/>
    </xf>
    <xf numFmtId="3" fontId="18" fillId="0" borderId="402" xfId="0" applyNumberFormat="1" applyFont="1" applyBorder="1" applyAlignment="1">
      <alignment horizontal="left" vertical="top" wrapText="1"/>
    </xf>
    <xf numFmtId="4" fontId="18" fillId="0" borderId="392" xfId="0" applyNumberFormat="1" applyFont="1" applyBorder="1"/>
    <xf numFmtId="4" fontId="18" fillId="0" borderId="393" xfId="0" applyNumberFormat="1" applyFont="1" applyBorder="1"/>
    <xf numFmtId="4" fontId="18" fillId="0" borderId="399" xfId="0" applyNumberFormat="1" applyFont="1" applyBorder="1" applyAlignment="1">
      <alignment horizontal="right"/>
    </xf>
    <xf numFmtId="3" fontId="0" fillId="0" borderId="402" xfId="0" applyNumberFormat="1" applyBorder="1"/>
    <xf numFmtId="4" fontId="0" fillId="0" borderId="391" xfId="0" applyNumberFormat="1" applyBorder="1" applyAlignment="1">
      <alignment horizontal="right"/>
    </xf>
    <xf numFmtId="4" fontId="0" fillId="0" borderId="399" xfId="0" applyNumberFormat="1" applyBorder="1" applyAlignment="1">
      <alignment horizontal="right"/>
    </xf>
    <xf numFmtId="168" fontId="0" fillId="30" borderId="395" xfId="0" applyFill="1" applyBorder="1"/>
    <xf numFmtId="168" fontId="0" fillId="21" borderId="395" xfId="0" applyFill="1" applyBorder="1"/>
    <xf numFmtId="3" fontId="0" fillId="0" borderId="400" xfId="0" applyNumberFormat="1" applyBorder="1"/>
    <xf numFmtId="168" fontId="0" fillId="0" borderId="400" xfId="0" applyBorder="1"/>
    <xf numFmtId="9" fontId="0" fillId="0" borderId="392" xfId="0" applyNumberFormat="1" applyBorder="1"/>
    <xf numFmtId="1" fontId="0" fillId="0" borderId="400" xfId="0" applyNumberFormat="1" applyBorder="1"/>
    <xf numFmtId="49" fontId="27" fillId="12" borderId="392" xfId="0" applyNumberFormat="1" applyFont="1" applyFill="1" applyBorder="1" applyAlignment="1">
      <alignment horizontal="left" wrapText="1"/>
    </xf>
    <xf numFmtId="3" fontId="27" fillId="12" borderId="392" xfId="0" applyNumberFormat="1" applyFont="1" applyFill="1" applyBorder="1" applyAlignment="1">
      <alignment horizontal="left" wrapText="1"/>
    </xf>
    <xf numFmtId="3" fontId="27" fillId="12" borderId="393" xfId="0" applyNumberFormat="1" applyFont="1" applyFill="1" applyBorder="1" applyAlignment="1">
      <alignment horizontal="right" wrapText="1"/>
    </xf>
    <xf numFmtId="3" fontId="27" fillId="12" borderId="392" xfId="0" applyNumberFormat="1" applyFont="1" applyFill="1" applyBorder="1" applyAlignment="1">
      <alignment horizontal="right" wrapText="1"/>
    </xf>
    <xf numFmtId="4" fontId="34" fillId="0" borderId="391" xfId="0" applyNumberFormat="1" applyFont="1" applyBorder="1" applyAlignment="1" applyProtection="1">
      <alignment horizontal="right"/>
      <protection locked="0"/>
    </xf>
    <xf numFmtId="4" fontId="34" fillId="5" borderId="391" xfId="0" applyNumberFormat="1" applyFont="1" applyFill="1" applyBorder="1" applyAlignment="1">
      <alignment horizontal="right"/>
    </xf>
    <xf numFmtId="3" fontId="18" fillId="0" borderId="393" xfId="0" applyNumberFormat="1" applyFont="1" applyBorder="1"/>
    <xf numFmtId="3" fontId="18" fillId="0" borderId="395" xfId="0" applyNumberFormat="1" applyFont="1" applyBorder="1" applyAlignment="1">
      <alignment horizontal="left"/>
    </xf>
    <xf numFmtId="0" fontId="18" fillId="11" borderId="392" xfId="0" applyNumberFormat="1" applyFont="1" applyFill="1" applyBorder="1" applyAlignment="1">
      <alignment wrapText="1"/>
    </xf>
    <xf numFmtId="0" fontId="0" fillId="11" borderId="393" xfId="0" applyNumberFormat="1" applyFill="1" applyBorder="1" applyAlignment="1">
      <alignment wrapText="1"/>
    </xf>
    <xf numFmtId="3" fontId="34" fillId="0" borderId="391" xfId="0" applyNumberFormat="1" applyFont="1" applyBorder="1" applyProtection="1">
      <protection locked="0"/>
    </xf>
    <xf numFmtId="3" fontId="34" fillId="5" borderId="391" xfId="0" applyNumberFormat="1" applyFont="1" applyFill="1" applyBorder="1"/>
    <xf numFmtId="3" fontId="27" fillId="0" borderId="391" xfId="0" applyNumberFormat="1" applyFont="1" applyBorder="1" applyProtection="1">
      <protection locked="0"/>
    </xf>
    <xf numFmtId="3" fontId="27" fillId="5" borderId="391" xfId="0" applyNumberFormat="1" applyFont="1" applyFill="1" applyBorder="1"/>
    <xf numFmtId="3" fontId="18" fillId="19" borderId="395" xfId="0" applyNumberFormat="1" applyFont="1" applyFill="1" applyBorder="1" applyAlignment="1">
      <alignment horizontal="left"/>
    </xf>
    <xf numFmtId="3" fontId="18" fillId="15" borderId="395" xfId="0" applyNumberFormat="1" applyFont="1" applyFill="1" applyBorder="1" applyAlignment="1">
      <alignment horizontal="left"/>
    </xf>
    <xf numFmtId="3" fontId="18" fillId="0" borderId="403" xfId="0" applyNumberFormat="1" applyFont="1" applyBorder="1"/>
    <xf numFmtId="4" fontId="88" fillId="0" borderId="391" xfId="0" applyNumberFormat="1" applyFont="1" applyBorder="1" applyAlignment="1" applyProtection="1">
      <alignment horizontal="right"/>
      <protection locked="0"/>
    </xf>
    <xf numFmtId="3" fontId="18" fillId="0" borderId="404" xfId="0" applyNumberFormat="1" applyFont="1" applyBorder="1"/>
    <xf numFmtId="3" fontId="18" fillId="0" borderId="405" xfId="0" applyNumberFormat="1" applyFont="1" applyBorder="1"/>
    <xf numFmtId="3" fontId="44" fillId="0" borderId="406" xfId="0" applyNumberFormat="1" applyFont="1" applyBorder="1" applyAlignment="1" applyProtection="1">
      <alignment horizontal="right"/>
      <protection locked="0"/>
    </xf>
    <xf numFmtId="3" fontId="27" fillId="5" borderId="406" xfId="0" applyNumberFormat="1" applyFont="1" applyFill="1" applyBorder="1" applyAlignment="1">
      <alignment horizontal="right"/>
    </xf>
    <xf numFmtId="3" fontId="27" fillId="0" borderId="406" xfId="0" applyNumberFormat="1" applyFont="1" applyBorder="1" applyAlignment="1" applyProtection="1">
      <alignment horizontal="right"/>
      <protection locked="0"/>
    </xf>
    <xf numFmtId="168" fontId="18" fillId="0" borderId="407" xfId="0" applyFont="1" applyBorder="1"/>
    <xf numFmtId="168" fontId="18" fillId="0" borderId="408" xfId="0" applyFont="1" applyBorder="1"/>
    <xf numFmtId="168" fontId="18" fillId="0" borderId="409" xfId="0" applyFont="1" applyBorder="1"/>
    <xf numFmtId="168" fontId="18" fillId="0" borderId="410" xfId="0" applyFont="1" applyBorder="1"/>
    <xf numFmtId="3" fontId="17" fillId="0" borderId="410" xfId="0" applyNumberFormat="1" applyFont="1" applyBorder="1"/>
    <xf numFmtId="168" fontId="18" fillId="19" borderId="410" xfId="0" applyFont="1" applyFill="1" applyBorder="1"/>
    <xf numFmtId="168" fontId="18" fillId="15" borderId="410" xfId="0" applyFont="1" applyFill="1" applyBorder="1"/>
    <xf numFmtId="3" fontId="18" fillId="0" borderId="407" xfId="0" applyNumberFormat="1" applyFont="1" applyBorder="1"/>
    <xf numFmtId="3" fontId="18" fillId="0" borderId="410" xfId="0" applyNumberFormat="1" applyFont="1" applyBorder="1"/>
    <xf numFmtId="3" fontId="18" fillId="11" borderId="410" xfId="0" applyNumberFormat="1" applyFont="1" applyFill="1" applyBorder="1"/>
    <xf numFmtId="3" fontId="18" fillId="19" borderId="410" xfId="0" applyNumberFormat="1" applyFont="1" applyFill="1" applyBorder="1"/>
    <xf numFmtId="3" fontId="18" fillId="15" borderId="410" xfId="0" applyNumberFormat="1" applyFont="1" applyFill="1" applyBorder="1"/>
    <xf numFmtId="0" fontId="0" fillId="0" borderId="407" xfId="0" applyNumberFormat="1" applyBorder="1"/>
    <xf numFmtId="0" fontId="0" fillId="0" borderId="408" xfId="0" applyNumberFormat="1" applyBorder="1"/>
    <xf numFmtId="0" fontId="18" fillId="11" borderId="407" xfId="0" applyNumberFormat="1" applyFont="1" applyFill="1" applyBorder="1"/>
    <xf numFmtId="0" fontId="0" fillId="11" borderId="408" xfId="0" applyNumberFormat="1" applyFill="1" applyBorder="1"/>
    <xf numFmtId="168" fontId="27" fillId="0" borderId="410" xfId="0" applyFont="1" applyBorder="1" applyAlignment="1">
      <alignment wrapText="1"/>
    </xf>
    <xf numFmtId="3" fontId="18" fillId="18" borderId="410" xfId="0" applyNumberFormat="1" applyFont="1" applyFill="1" applyBorder="1"/>
    <xf numFmtId="3" fontId="18" fillId="29" borderId="410" xfId="0" applyNumberFormat="1" applyFont="1" applyFill="1" applyBorder="1"/>
    <xf numFmtId="3" fontId="18" fillId="31" borderId="410" xfId="0" applyNumberFormat="1" applyFont="1" applyFill="1" applyBorder="1"/>
    <xf numFmtId="168" fontId="0" fillId="0" borderId="410" xfId="0" applyBorder="1"/>
    <xf numFmtId="168" fontId="0" fillId="18" borderId="410" xfId="0" applyFill="1" applyBorder="1"/>
    <xf numFmtId="168" fontId="0" fillId="29" borderId="410" xfId="0" applyFill="1" applyBorder="1"/>
    <xf numFmtId="3" fontId="17" fillId="0" borderId="407" xfId="0" applyNumberFormat="1" applyFont="1" applyBorder="1"/>
    <xf numFmtId="168" fontId="0" fillId="0" borderId="408" xfId="0" applyBorder="1"/>
    <xf numFmtId="3" fontId="27" fillId="0" borderId="406" xfId="0" applyNumberFormat="1" applyFont="1" applyBorder="1" applyAlignment="1" applyProtection="1">
      <alignment horizontal="right" wrapText="1"/>
      <protection locked="0"/>
    </xf>
    <xf numFmtId="3" fontId="27" fillId="0" borderId="389" xfId="0" applyNumberFormat="1" applyFont="1" applyBorder="1" applyAlignment="1" applyProtection="1">
      <alignment horizontal="right" wrapText="1"/>
      <protection locked="0"/>
    </xf>
    <xf numFmtId="3" fontId="0" fillId="0" borderId="407" xfId="0" applyNumberFormat="1" applyBorder="1"/>
    <xf numFmtId="3" fontId="0" fillId="0" borderId="408" xfId="0" applyNumberFormat="1" applyBorder="1"/>
    <xf numFmtId="168" fontId="0" fillId="0" borderId="412" xfId="0" applyBorder="1"/>
    <xf numFmtId="168" fontId="24" fillId="0" borderId="409" xfId="0" applyFont="1" applyBorder="1" applyAlignment="1">
      <alignment horizontal="right"/>
    </xf>
    <xf numFmtId="168" fontId="0" fillId="0" borderId="413" xfId="0" applyBorder="1"/>
    <xf numFmtId="168" fontId="0" fillId="0" borderId="409" xfId="0" applyBorder="1"/>
    <xf numFmtId="168" fontId="0" fillId="0" borderId="414" xfId="0" applyBorder="1"/>
    <xf numFmtId="168" fontId="0" fillId="19" borderId="410" xfId="0" applyFill="1" applyBorder="1"/>
    <xf numFmtId="168" fontId="0" fillId="15" borderId="410" xfId="0" applyFill="1" applyBorder="1"/>
    <xf numFmtId="168" fontId="0" fillId="0" borderId="407" xfId="0" applyBorder="1"/>
    <xf numFmtId="3" fontId="37" fillId="0" borderId="407" xfId="0" applyNumberFormat="1" applyFont="1" applyBorder="1" applyAlignment="1">
      <alignment horizontal="left"/>
    </xf>
    <xf numFmtId="3" fontId="34" fillId="0" borderId="415" xfId="0" applyNumberFormat="1" applyFont="1" applyBorder="1" applyAlignment="1">
      <alignment horizontal="left"/>
    </xf>
    <xf numFmtId="3" fontId="34" fillId="0" borderId="411" xfId="0" applyNumberFormat="1" applyFont="1" applyBorder="1" applyAlignment="1">
      <alignment horizontal="left" wrapText="1"/>
    </xf>
    <xf numFmtId="3" fontId="34" fillId="0" borderId="416" xfId="0" applyNumberFormat="1" applyFont="1" applyBorder="1" applyAlignment="1">
      <alignment horizontal="left" wrapText="1"/>
    </xf>
    <xf numFmtId="3" fontId="34" fillId="0" borderId="411" xfId="0" applyNumberFormat="1" applyFont="1" applyBorder="1"/>
    <xf numFmtId="3" fontId="34" fillId="0" borderId="408" xfId="0" applyNumberFormat="1" applyFont="1" applyBorder="1" applyAlignment="1">
      <alignment horizontal="left" vertical="center" wrapText="1"/>
    </xf>
    <xf numFmtId="3" fontId="34" fillId="0" borderId="407" xfId="0" applyNumberFormat="1" applyFont="1" applyBorder="1" applyProtection="1">
      <protection locked="0"/>
    </xf>
    <xf numFmtId="3" fontId="34" fillId="0" borderId="417" xfId="0" applyNumberFormat="1" applyFont="1" applyBorder="1" applyProtection="1">
      <protection locked="0"/>
    </xf>
    <xf numFmtId="3" fontId="34" fillId="0" borderId="411" xfId="0" applyNumberFormat="1" applyFont="1" applyBorder="1" applyProtection="1">
      <protection locked="0"/>
    </xf>
    <xf numFmtId="3" fontId="34" fillId="0" borderId="418" xfId="0" applyNumberFormat="1" applyFont="1" applyBorder="1" applyProtection="1">
      <protection locked="0"/>
    </xf>
    <xf numFmtId="3" fontId="34" fillId="5" borderId="419" xfId="0" applyNumberFormat="1" applyFont="1" applyFill="1" applyBorder="1"/>
    <xf numFmtId="3" fontId="34" fillId="5" borderId="417" xfId="0" applyNumberFormat="1" applyFont="1" applyFill="1" applyBorder="1"/>
    <xf numFmtId="3" fontId="34" fillId="5" borderId="420" xfId="0" applyNumberFormat="1" applyFont="1" applyFill="1" applyBorder="1"/>
    <xf numFmtId="3" fontId="34" fillId="0" borderId="415" xfId="0" applyNumberFormat="1" applyFont="1" applyBorder="1" applyProtection="1">
      <protection locked="0"/>
    </xf>
    <xf numFmtId="3" fontId="34" fillId="0" borderId="421" xfId="0" applyNumberFormat="1" applyFont="1" applyBorder="1" applyProtection="1">
      <protection locked="0"/>
    </xf>
    <xf numFmtId="3" fontId="34" fillId="0" borderId="420" xfId="0" applyNumberFormat="1" applyFont="1" applyBorder="1" applyProtection="1">
      <protection locked="0"/>
    </xf>
    <xf numFmtId="168" fontId="17" fillId="0" borderId="407" xfId="0" applyFont="1" applyBorder="1" applyAlignment="1">
      <alignment textRotation="90"/>
    </xf>
    <xf numFmtId="168" fontId="0" fillId="25" borderId="410" xfId="0" applyFill="1" applyBorder="1"/>
    <xf numFmtId="168" fontId="0" fillId="11" borderId="408" xfId="0" applyFill="1" applyBorder="1"/>
    <xf numFmtId="3" fontId="0" fillId="0" borderId="422" xfId="0" applyNumberFormat="1" applyBorder="1"/>
    <xf numFmtId="168" fontId="0" fillId="11" borderId="407" xfId="0" applyFill="1" applyBorder="1"/>
    <xf numFmtId="168" fontId="0" fillId="11" borderId="412" xfId="0" applyFill="1" applyBorder="1"/>
    <xf numFmtId="168" fontId="0" fillId="11" borderId="410" xfId="0" applyFill="1" applyBorder="1"/>
    <xf numFmtId="168" fontId="0" fillId="16" borderId="412" xfId="0" applyFill="1" applyBorder="1"/>
    <xf numFmtId="168" fontId="0" fillId="16" borderId="410" xfId="0" applyFill="1" applyBorder="1"/>
    <xf numFmtId="4" fontId="0" fillId="0" borderId="410" xfId="0" applyNumberFormat="1" applyBorder="1"/>
    <xf numFmtId="2" fontId="0" fillId="0" borderId="410" xfId="0" applyNumberFormat="1" applyBorder="1"/>
    <xf numFmtId="4" fontId="34" fillId="0" borderId="424" xfId="0" applyNumberFormat="1" applyFont="1" applyBorder="1" applyAlignment="1" applyProtection="1">
      <alignment horizontal="right"/>
      <protection locked="0"/>
    </xf>
    <xf numFmtId="4" fontId="34" fillId="0" borderId="425" xfId="0" applyNumberFormat="1" applyFont="1" applyBorder="1" applyAlignment="1" applyProtection="1">
      <alignment horizontal="right"/>
      <protection locked="0"/>
    </xf>
    <xf numFmtId="4" fontId="34" fillId="0" borderId="426" xfId="0" applyNumberFormat="1" applyFont="1" applyBorder="1" applyAlignment="1" applyProtection="1">
      <alignment horizontal="right"/>
      <protection locked="0"/>
    </xf>
    <xf numFmtId="4" fontId="34" fillId="0" borderId="427" xfId="0" applyNumberFormat="1" applyFont="1" applyBorder="1" applyAlignment="1" applyProtection="1">
      <alignment horizontal="right"/>
      <protection locked="0"/>
    </xf>
    <xf numFmtId="4" fontId="34" fillId="5" borderId="424" xfId="0" applyNumberFormat="1" applyFont="1" applyFill="1" applyBorder="1" applyAlignment="1">
      <alignment horizontal="right"/>
    </xf>
    <xf numFmtId="4" fontId="34" fillId="5" borderId="425" xfId="0" applyNumberFormat="1" applyFont="1" applyFill="1" applyBorder="1" applyAlignment="1">
      <alignment horizontal="right"/>
    </xf>
    <xf numFmtId="4" fontId="34" fillId="22" borderId="425" xfId="0" applyNumberFormat="1" applyFont="1" applyFill="1" applyBorder="1" applyAlignment="1" applyProtection="1">
      <alignment horizontal="right"/>
      <protection locked="0"/>
    </xf>
    <xf numFmtId="4" fontId="34" fillId="22" borderId="427" xfId="0" applyNumberFormat="1" applyFont="1" applyFill="1" applyBorder="1" applyAlignment="1" applyProtection="1">
      <alignment horizontal="right"/>
      <protection locked="0"/>
    </xf>
    <xf numFmtId="3" fontId="18" fillId="0" borderId="408" xfId="0" applyNumberFormat="1" applyFont="1" applyBorder="1" applyAlignment="1">
      <alignment textRotation="90"/>
    </xf>
    <xf numFmtId="169" fontId="18" fillId="0" borderId="428" xfId="0" applyNumberFormat="1" applyFont="1" applyBorder="1" applyAlignment="1">
      <alignment horizontal="right"/>
    </xf>
    <xf numFmtId="169" fontId="18" fillId="6" borderId="428" xfId="0" applyNumberFormat="1" applyFont="1" applyFill="1" applyBorder="1" applyAlignment="1">
      <alignment horizontal="right"/>
    </xf>
    <xf numFmtId="169" fontId="18" fillId="6" borderId="388" xfId="0" applyNumberFormat="1" applyFont="1" applyFill="1" applyBorder="1" applyAlignment="1">
      <alignment horizontal="right"/>
    </xf>
    <xf numFmtId="169" fontId="18" fillId="6" borderId="389" xfId="0" applyNumberFormat="1" applyFont="1" applyFill="1" applyBorder="1" applyAlignment="1">
      <alignment horizontal="right"/>
    </xf>
    <xf numFmtId="169" fontId="18" fillId="6" borderId="429" xfId="0" applyNumberFormat="1" applyFont="1" applyFill="1" applyBorder="1" applyAlignment="1">
      <alignment horizontal="right"/>
    </xf>
    <xf numFmtId="169" fontId="18" fillId="6" borderId="427" xfId="0" applyNumberFormat="1" applyFont="1" applyFill="1" applyBorder="1" applyAlignment="1">
      <alignment horizontal="right"/>
    </xf>
    <xf numFmtId="169" fontId="18" fillId="0" borderId="406" xfId="0" applyNumberFormat="1" applyFont="1" applyBorder="1" applyAlignment="1">
      <alignment horizontal="right"/>
    </xf>
    <xf numFmtId="169" fontId="18" fillId="0" borderId="430" xfId="0" applyNumberFormat="1" applyFont="1" applyBorder="1" applyAlignment="1">
      <alignment horizontal="right"/>
    </xf>
    <xf numFmtId="4" fontId="27" fillId="0" borderId="424" xfId="0" applyNumberFormat="1" applyFont="1" applyBorder="1" applyAlignment="1">
      <alignment horizontal="right"/>
    </xf>
    <xf numFmtId="4" fontId="49" fillId="0" borderId="425" xfId="0" applyNumberFormat="1" applyFont="1" applyBorder="1" applyAlignment="1" applyProtection="1">
      <alignment horizontal="right"/>
      <protection locked="0"/>
    </xf>
    <xf numFmtId="168" fontId="0" fillId="32" borderId="410" xfId="0" applyFill="1" applyBorder="1"/>
    <xf numFmtId="169" fontId="18" fillId="0" borderId="389" xfId="0" applyNumberFormat="1" applyFont="1" applyBorder="1" applyAlignment="1">
      <alignment horizontal="right"/>
    </xf>
    <xf numFmtId="169" fontId="18" fillId="0" borderId="406" xfId="0" applyNumberFormat="1" applyFont="1" applyBorder="1" applyAlignment="1">
      <alignment horizontal="left"/>
    </xf>
    <xf numFmtId="169" fontId="18" fillId="0" borderId="427" xfId="0" applyNumberFormat="1" applyFont="1" applyBorder="1" applyAlignment="1">
      <alignment horizontal="right"/>
    </xf>
    <xf numFmtId="168" fontId="0" fillId="19" borderId="412" xfId="0" applyFill="1" applyBorder="1"/>
    <xf numFmtId="168" fontId="0" fillId="6" borderId="413" xfId="0" applyFill="1" applyBorder="1"/>
    <xf numFmtId="168" fontId="0" fillId="15" borderId="412" xfId="0" applyFill="1" applyBorder="1"/>
    <xf numFmtId="169" fontId="18" fillId="0" borderId="429" xfId="0" applyNumberFormat="1" applyFont="1" applyBorder="1" applyAlignment="1">
      <alignment horizontal="right"/>
    </xf>
    <xf numFmtId="169" fontId="18" fillId="6" borderId="426" xfId="0" applyNumberFormat="1" applyFont="1" applyFill="1" applyBorder="1" applyAlignment="1">
      <alignment horizontal="right"/>
    </xf>
    <xf numFmtId="0" fontId="0" fillId="0" borderId="410" xfId="0" applyNumberFormat="1" applyBorder="1"/>
    <xf numFmtId="3" fontId="27" fillId="0" borderId="424" xfId="0" applyNumberFormat="1" applyFont="1" applyBorder="1" applyAlignment="1" applyProtection="1">
      <alignment horizontal="right"/>
      <protection locked="0"/>
    </xf>
    <xf numFmtId="3" fontId="27" fillId="0" borderId="425" xfId="0" applyNumberFormat="1" applyFont="1" applyBorder="1" applyAlignment="1" applyProtection="1">
      <alignment horizontal="right"/>
      <protection locked="0"/>
    </xf>
    <xf numFmtId="3" fontId="27" fillId="0" borderId="426" xfId="0" applyNumberFormat="1" applyFont="1" applyBorder="1" applyAlignment="1" applyProtection="1">
      <alignment horizontal="right"/>
      <protection locked="0"/>
    </xf>
    <xf numFmtId="3" fontId="27" fillId="0" borderId="431" xfId="0" applyNumberFormat="1" applyFont="1" applyBorder="1" applyAlignment="1" applyProtection="1">
      <alignment horizontal="right"/>
      <protection locked="0"/>
    </xf>
    <xf numFmtId="3" fontId="27" fillId="0" borderId="427" xfId="0" applyNumberFormat="1" applyFont="1" applyBorder="1" applyAlignment="1" applyProtection="1">
      <alignment horizontal="right"/>
      <protection locked="0"/>
    </xf>
    <xf numFmtId="3" fontId="27" fillId="22" borderId="425" xfId="0" applyNumberFormat="1" applyFont="1" applyFill="1" applyBorder="1" applyAlignment="1" applyProtection="1">
      <alignment horizontal="right"/>
      <protection locked="0"/>
    </xf>
    <xf numFmtId="3" fontId="27" fillId="22" borderId="427" xfId="0" applyNumberFormat="1" applyFont="1" applyFill="1" applyBorder="1" applyAlignment="1" applyProtection="1">
      <alignment horizontal="right"/>
      <protection locked="0"/>
    </xf>
    <xf numFmtId="3" fontId="27" fillId="0" borderId="425" xfId="0" applyNumberFormat="1" applyFont="1" applyBorder="1" applyAlignment="1">
      <alignment horizontal="right"/>
    </xf>
    <xf numFmtId="3" fontId="27" fillId="0" borderId="426" xfId="0" applyNumberFormat="1" applyFont="1" applyBorder="1" applyAlignment="1">
      <alignment horizontal="right"/>
    </xf>
    <xf numFmtId="3" fontId="27" fillId="0" borderId="431" xfId="0" applyNumberFormat="1" applyFont="1" applyBorder="1" applyAlignment="1">
      <alignment horizontal="right"/>
    </xf>
    <xf numFmtId="4" fontId="34" fillId="0" borderId="431" xfId="0" applyNumberFormat="1" applyFont="1" applyBorder="1" applyAlignment="1" applyProtection="1">
      <alignment horizontal="right"/>
      <protection locked="0"/>
    </xf>
    <xf numFmtId="4" fontId="34" fillId="5" borderId="427" xfId="0" applyNumberFormat="1" applyFont="1" applyFill="1" applyBorder="1" applyAlignment="1">
      <alignment horizontal="right"/>
    </xf>
    <xf numFmtId="169" fontId="18" fillId="6" borderId="406" xfId="0" applyNumberFormat="1" applyFont="1" applyFill="1" applyBorder="1" applyAlignment="1">
      <alignment horizontal="right"/>
    </xf>
    <xf numFmtId="168" fontId="0" fillId="0" borderId="432" xfId="0" applyBorder="1"/>
    <xf numFmtId="168" fontId="0" fillId="6" borderId="433" xfId="0" applyFill="1" applyBorder="1"/>
    <xf numFmtId="0" fontId="18" fillId="0" borderId="410" xfId="20" applyBorder="1"/>
    <xf numFmtId="0" fontId="34" fillId="0" borderId="410" xfId="20" applyFont="1" applyBorder="1" applyAlignment="1">
      <alignment vertical="center"/>
    </xf>
    <xf numFmtId="9" fontId="34" fillId="0" borderId="410" xfId="20" applyNumberFormat="1" applyFont="1" applyBorder="1" applyAlignment="1">
      <alignment vertical="center"/>
    </xf>
    <xf numFmtId="1" fontId="34" fillId="0" borderId="410" xfId="20" applyNumberFormat="1" applyFont="1" applyBorder="1"/>
    <xf numFmtId="0" fontId="34" fillId="0" borderId="410" xfId="20" applyFont="1" applyBorder="1"/>
    <xf numFmtId="9" fontId="88" fillId="0" borderId="423" xfId="25" applyFont="1" applyFill="1" applyBorder="1"/>
    <xf numFmtId="1" fontId="34" fillId="0" borderId="408" xfId="20" applyNumberFormat="1" applyFont="1" applyBorder="1"/>
    <xf numFmtId="0" fontId="34" fillId="9" borderId="410" xfId="20" applyFont="1" applyFill="1" applyBorder="1"/>
    <xf numFmtId="0" fontId="34" fillId="13" borderId="410" xfId="20" applyFont="1" applyFill="1" applyBorder="1"/>
    <xf numFmtId="9" fontId="34" fillId="0" borderId="410" xfId="20" applyNumberFormat="1" applyFont="1" applyBorder="1"/>
    <xf numFmtId="2" fontId="34" fillId="0" borderId="410" xfId="20" applyNumberFormat="1" applyFont="1" applyBorder="1"/>
    <xf numFmtId="4" fontId="34" fillId="0" borderId="435" xfId="20" applyNumberFormat="1" applyFont="1" applyBorder="1"/>
    <xf numFmtId="9" fontId="88" fillId="0" borderId="435" xfId="25" applyFont="1" applyFill="1" applyBorder="1"/>
    <xf numFmtId="1" fontId="34" fillId="0" borderId="407" xfId="20" applyNumberFormat="1" applyFont="1" applyBorder="1"/>
    <xf numFmtId="0" fontId="34" fillId="0" borderId="410" xfId="21" applyFont="1" applyBorder="1"/>
    <xf numFmtId="9" fontId="34" fillId="0" borderId="410" xfId="25" applyFont="1" applyFill="1" applyBorder="1"/>
    <xf numFmtId="9" fontId="34" fillId="22" borderId="410" xfId="20" applyNumberFormat="1" applyFont="1" applyFill="1" applyBorder="1"/>
    <xf numFmtId="3" fontId="34" fillId="22" borderId="410" xfId="20" applyNumberFormat="1" applyFont="1" applyFill="1" applyBorder="1"/>
    <xf numFmtId="1" fontId="34" fillId="22" borderId="410" xfId="20" applyNumberFormat="1" applyFont="1" applyFill="1" applyBorder="1"/>
    <xf numFmtId="0" fontId="34" fillId="22" borderId="410" xfId="20" applyFont="1" applyFill="1" applyBorder="1" applyAlignment="1">
      <alignment horizontal="right"/>
    </xf>
    <xf numFmtId="172" fontId="34" fillId="0" borderId="410" xfId="20" applyNumberFormat="1" applyFont="1" applyBorder="1"/>
    <xf numFmtId="3" fontId="34" fillId="0" borderId="410" xfId="20" applyNumberFormat="1" applyFont="1" applyBorder="1"/>
    <xf numFmtId="167" fontId="34" fillId="0" borderId="410" xfId="20" applyNumberFormat="1" applyFont="1" applyBorder="1"/>
    <xf numFmtId="172" fontId="34" fillId="0" borderId="411" xfId="20" applyNumberFormat="1" applyFont="1" applyBorder="1" applyAlignment="1">
      <alignment horizontal="right"/>
    </xf>
    <xf numFmtId="3" fontId="34" fillId="0" borderId="407" xfId="20" applyNumberFormat="1" applyFont="1" applyBorder="1" applyAlignment="1">
      <alignment horizontal="right"/>
    </xf>
    <xf numFmtId="167" fontId="34" fillId="0" borderId="408" xfId="20" applyNumberFormat="1" applyFont="1" applyBorder="1" applyAlignment="1">
      <alignment horizontal="right"/>
    </xf>
    <xf numFmtId="3" fontId="34" fillId="0" borderId="411" xfId="20" applyNumberFormat="1" applyFont="1" applyBorder="1" applyAlignment="1">
      <alignment horizontal="right"/>
    </xf>
    <xf numFmtId="167" fontId="34" fillId="0" borderId="411" xfId="20" applyNumberFormat="1" applyFont="1" applyBorder="1" applyAlignment="1">
      <alignment horizontal="right"/>
    </xf>
    <xf numFmtId="172" fontId="34" fillId="0" borderId="407" xfId="20" applyNumberFormat="1" applyFont="1" applyBorder="1" applyAlignment="1">
      <alignment horizontal="right"/>
    </xf>
    <xf numFmtId="0" fontId="10" fillId="0" borderId="410" xfId="22" applyFont="1" applyBorder="1" applyAlignment="1">
      <alignment horizontal="center"/>
    </xf>
    <xf numFmtId="9" fontId="10" fillId="0" borderId="410" xfId="22" applyNumberFormat="1" applyFont="1" applyBorder="1"/>
    <xf numFmtId="1" fontId="10" fillId="0" borderId="410" xfId="22" applyNumberFormat="1" applyFont="1" applyBorder="1"/>
    <xf numFmtId="0" fontId="10" fillId="0" borderId="410" xfId="22" applyFont="1" applyBorder="1"/>
    <xf numFmtId="4" fontId="88" fillId="0" borderId="407" xfId="22" applyNumberFormat="1" applyFont="1" applyBorder="1"/>
    <xf numFmtId="4" fontId="88" fillId="0" borderId="408" xfId="22" applyNumberFormat="1" applyFont="1" applyBorder="1"/>
    <xf numFmtId="0" fontId="65" fillId="11" borderId="410" xfId="22" applyFont="1" applyFill="1" applyBorder="1"/>
    <xf numFmtId="4" fontId="34" fillId="0" borderId="412" xfId="22" applyNumberFormat="1" applyFont="1" applyBorder="1"/>
    <xf numFmtId="4" fontId="34" fillId="0" borderId="414" xfId="22" applyNumberFormat="1" applyFont="1" applyBorder="1"/>
    <xf numFmtId="0" fontId="53" fillId="0" borderId="410" xfId="22" applyFont="1" applyBorder="1"/>
    <xf numFmtId="4" fontId="34" fillId="0" borderId="409" xfId="22" applyNumberFormat="1" applyFont="1" applyBorder="1"/>
    <xf numFmtId="167" fontId="34" fillId="0" borderId="409" xfId="22" applyNumberFormat="1" applyFont="1" applyBorder="1"/>
    <xf numFmtId="168" fontId="87" fillId="0" borderId="0" xfId="0" applyFont="1" applyAlignment="1">
      <alignment wrapText="1"/>
    </xf>
    <xf numFmtId="4" fontId="34" fillId="5" borderId="216" xfId="0" applyNumberFormat="1" applyFont="1" applyFill="1" applyBorder="1" applyAlignment="1">
      <alignment horizontal="right"/>
    </xf>
    <xf numFmtId="168" fontId="37" fillId="0" borderId="42" xfId="13" applyFont="1" applyBorder="1" applyAlignment="1">
      <alignment horizontal="left" wrapText="1"/>
    </xf>
    <xf numFmtId="0" fontId="34" fillId="0" borderId="0" xfId="21" applyFont="1" applyAlignment="1">
      <alignment vertical="top"/>
    </xf>
    <xf numFmtId="0" fontId="27" fillId="0" borderId="0" xfId="21" applyFont="1" applyAlignment="1">
      <alignment vertical="top"/>
    </xf>
    <xf numFmtId="0" fontId="18" fillId="0" borderId="0" xfId="20" applyAlignment="1">
      <alignment vertical="top"/>
    </xf>
    <xf numFmtId="0" fontId="27" fillId="0" borderId="0" xfId="20" applyFont="1" applyAlignment="1">
      <alignment vertical="top"/>
    </xf>
    <xf numFmtId="0" fontId="34" fillId="0" borderId="0" xfId="20" applyFont="1" applyAlignment="1">
      <alignment horizontal="left" vertical="top"/>
    </xf>
    <xf numFmtId="0" fontId="34" fillId="0" borderId="0" xfId="21" applyFont="1" applyAlignment="1">
      <alignment vertical="center"/>
    </xf>
    <xf numFmtId="0" fontId="34" fillId="0" borderId="0" xfId="21" applyFont="1" applyAlignment="1">
      <alignment horizontal="left" vertical="center"/>
    </xf>
    <xf numFmtId="4" fontId="34" fillId="22" borderId="361" xfId="21" applyNumberFormat="1" applyFont="1" applyFill="1" applyBorder="1" applyAlignment="1">
      <alignment horizontal="right" vertical="center"/>
    </xf>
    <xf numFmtId="9" fontId="34" fillId="0" borderId="93" xfId="21" quotePrefix="1" applyNumberFormat="1" applyFont="1" applyBorder="1" applyAlignment="1">
      <alignment horizontal="right" vertical="center"/>
    </xf>
    <xf numFmtId="4" fontId="34" fillId="22" borderId="0" xfId="21" applyNumberFormat="1" applyFont="1" applyFill="1" applyAlignment="1">
      <alignment horizontal="right" vertical="center"/>
    </xf>
    <xf numFmtId="4" fontId="34" fillId="0" borderId="361" xfId="21" applyNumberFormat="1" applyFont="1" applyBorder="1" applyAlignment="1">
      <alignment horizontal="right" vertical="center"/>
    </xf>
    <xf numFmtId="9" fontId="34" fillId="0" borderId="37" xfId="21" quotePrefix="1" applyNumberFormat="1" applyFont="1" applyBorder="1" applyAlignment="1">
      <alignment horizontal="right" vertical="center"/>
    </xf>
    <xf numFmtId="1" fontId="34" fillId="0" borderId="361" xfId="20" applyNumberFormat="1" applyFont="1" applyBorder="1" applyAlignment="1">
      <alignment horizontal="right" vertical="center"/>
    </xf>
    <xf numFmtId="1" fontId="34" fillId="0" borderId="0" xfId="20" applyNumberFormat="1" applyFont="1" applyAlignment="1">
      <alignment horizontal="right" vertical="center"/>
    </xf>
    <xf numFmtId="0" fontId="34" fillId="0" borderId="9" xfId="21" applyFont="1" applyBorder="1" applyAlignment="1">
      <alignment vertical="center"/>
    </xf>
    <xf numFmtId="0" fontId="34" fillId="0" borderId="9" xfId="21" applyFont="1" applyBorder="1" applyAlignment="1">
      <alignment horizontal="left" vertical="center"/>
    </xf>
    <xf numFmtId="4" fontId="34" fillId="22" borderId="10" xfId="21" applyNumberFormat="1" applyFont="1" applyFill="1" applyBorder="1" applyAlignment="1">
      <alignment horizontal="right" vertical="center"/>
    </xf>
    <xf numFmtId="4" fontId="34" fillId="0" borderId="9" xfId="21" applyNumberFormat="1" applyFont="1" applyBorder="1" applyAlignment="1">
      <alignment horizontal="right" vertical="center"/>
    </xf>
    <xf numFmtId="9" fontId="34" fillId="0" borderId="94" xfId="21" quotePrefix="1" applyNumberFormat="1" applyFont="1" applyBorder="1" applyAlignment="1">
      <alignment horizontal="right" vertical="center"/>
    </xf>
    <xf numFmtId="4" fontId="34" fillId="22" borderId="9" xfId="21" applyNumberFormat="1" applyFont="1" applyFill="1" applyBorder="1" applyAlignment="1">
      <alignment horizontal="right" vertical="center"/>
    </xf>
    <xf numFmtId="9" fontId="34" fillId="0" borderId="9" xfId="21" quotePrefix="1" applyNumberFormat="1" applyFont="1" applyBorder="1" applyAlignment="1">
      <alignment horizontal="right" vertical="center"/>
    </xf>
    <xf numFmtId="4" fontId="34" fillId="0" borderId="10" xfId="21" applyNumberFormat="1" applyFont="1" applyBorder="1" applyAlignment="1">
      <alignment horizontal="right" vertical="center"/>
    </xf>
    <xf numFmtId="9" fontId="34" fillId="0" borderId="11" xfId="21" quotePrefix="1" applyNumberFormat="1" applyFont="1" applyBorder="1" applyAlignment="1">
      <alignment horizontal="right" vertical="center"/>
    </xf>
    <xf numFmtId="1" fontId="34" fillId="0" borderId="10" xfId="20" applyNumberFormat="1" applyFont="1" applyBorder="1" applyAlignment="1">
      <alignment horizontal="right" vertical="center"/>
    </xf>
    <xf numFmtId="1" fontId="34" fillId="0" borderId="9" xfId="20" applyNumberFormat="1" applyFont="1" applyBorder="1" applyAlignment="1">
      <alignment horizontal="right" vertical="center"/>
    </xf>
    <xf numFmtId="0" fontId="34" fillId="0" borderId="42" xfId="21" applyFont="1" applyBorder="1" applyAlignment="1">
      <alignment vertical="center"/>
    </xf>
    <xf numFmtId="0" fontId="34" fillId="0" borderId="42" xfId="21" applyFont="1" applyBorder="1" applyAlignment="1">
      <alignment horizontal="left" vertical="center"/>
    </xf>
    <xf numFmtId="4" fontId="34" fillId="22" borderId="41" xfId="21" applyNumberFormat="1" applyFont="1" applyFill="1" applyBorder="1" applyAlignment="1">
      <alignment horizontal="right" vertical="center"/>
    </xf>
    <xf numFmtId="4" fontId="34" fillId="0" borderId="42" xfId="21" applyNumberFormat="1" applyFont="1" applyBorder="1" applyAlignment="1">
      <alignment horizontal="right" vertical="center"/>
    </xf>
    <xf numFmtId="9" fontId="34" fillId="0" borderId="95" xfId="21" quotePrefix="1" applyNumberFormat="1" applyFont="1" applyBorder="1" applyAlignment="1">
      <alignment horizontal="right" vertical="center"/>
    </xf>
    <xf numFmtId="4" fontId="34" fillId="22" borderId="42" xfId="21" applyNumberFormat="1" applyFont="1" applyFill="1" applyBorder="1" applyAlignment="1">
      <alignment horizontal="right" vertical="center"/>
    </xf>
    <xf numFmtId="9" fontId="34" fillId="0" borderId="42" xfId="21" quotePrefix="1" applyNumberFormat="1" applyFont="1" applyBorder="1" applyAlignment="1">
      <alignment horizontal="right" vertical="center"/>
    </xf>
    <xf numFmtId="4" fontId="34" fillId="0" borderId="41" xfId="21" applyNumberFormat="1" applyFont="1" applyBorder="1" applyAlignment="1">
      <alignment horizontal="right" vertical="center"/>
    </xf>
    <xf numFmtId="9" fontId="34" fillId="0" borderId="43" xfId="21" quotePrefix="1" applyNumberFormat="1" applyFont="1" applyBorder="1" applyAlignment="1">
      <alignment horizontal="right" vertical="center"/>
    </xf>
    <xf numFmtId="1" fontId="34" fillId="0" borderId="41" xfId="20" applyNumberFormat="1" applyFont="1" applyBorder="1" applyAlignment="1">
      <alignment horizontal="right" vertical="center"/>
    </xf>
    <xf numFmtId="1" fontId="34" fillId="0" borderId="42" xfId="20" applyNumberFormat="1" applyFont="1" applyBorder="1" applyAlignment="1">
      <alignment horizontal="right" vertical="center"/>
    </xf>
    <xf numFmtId="0" fontId="87" fillId="0" borderId="0" xfId="21" applyFont="1" applyAlignment="1">
      <alignment vertical="center"/>
    </xf>
    <xf numFmtId="0" fontId="87" fillId="0" borderId="42" xfId="21" applyFont="1" applyBorder="1" applyAlignment="1">
      <alignment vertical="center"/>
    </xf>
    <xf numFmtId="1" fontId="34" fillId="0" borderId="240" xfId="20" applyNumberFormat="1" applyFont="1" applyBorder="1" applyAlignment="1">
      <alignment horizontal="right" vertical="center"/>
    </xf>
    <xf numFmtId="1" fontId="34" fillId="0" borderId="238" xfId="20" applyNumberFormat="1" applyFont="1" applyBorder="1" applyAlignment="1">
      <alignment horizontal="right" vertical="center"/>
    </xf>
    <xf numFmtId="0" fontId="99" fillId="22" borderId="408" xfId="20" applyFont="1" applyFill="1" applyBorder="1" applyAlignment="1">
      <alignment horizontal="left" vertical="center" wrapText="1"/>
    </xf>
    <xf numFmtId="3" fontId="99" fillId="22" borderId="435" xfId="20" applyNumberFormat="1" applyFont="1" applyFill="1" applyBorder="1" applyAlignment="1">
      <alignment horizontal="right" vertical="center" wrapText="1"/>
    </xf>
    <xf numFmtId="3" fontId="99" fillId="22" borderId="411" xfId="20" applyNumberFormat="1" applyFont="1" applyFill="1" applyBorder="1" applyAlignment="1">
      <alignment horizontal="right" vertical="center" wrapText="1"/>
    </xf>
    <xf numFmtId="3" fontId="99" fillId="22" borderId="423" xfId="20" applyNumberFormat="1" applyFont="1" applyFill="1" applyBorder="1" applyAlignment="1">
      <alignment horizontal="right" vertical="center" wrapText="1"/>
    </xf>
    <xf numFmtId="3" fontId="99" fillId="22" borderId="408" xfId="20" applyNumberFormat="1" applyFont="1" applyFill="1" applyBorder="1" applyAlignment="1">
      <alignment horizontal="right" vertical="center" wrapText="1"/>
    </xf>
    <xf numFmtId="9" fontId="88" fillId="0" borderId="0" xfId="25" applyFont="1" applyAlignment="1">
      <alignment horizontal="right" vertical="center"/>
    </xf>
    <xf numFmtId="9" fontId="99" fillId="22" borderId="142" xfId="20" applyNumberFormat="1" applyFont="1" applyFill="1" applyBorder="1" applyAlignment="1">
      <alignment horizontal="right" vertical="center" wrapText="1"/>
    </xf>
    <xf numFmtId="0" fontId="34" fillId="22" borderId="11" xfId="20" applyFont="1" applyFill="1" applyBorder="1" applyAlignment="1">
      <alignment horizontal="left" vertical="center" wrapText="1"/>
    </xf>
    <xf numFmtId="3" fontId="99" fillId="22" borderId="250" xfId="20" applyNumberFormat="1" applyFont="1" applyFill="1" applyBorder="1" applyAlignment="1">
      <alignment horizontal="right" vertical="center" wrapText="1"/>
    </xf>
    <xf numFmtId="3" fontId="99" fillId="22" borderId="96" xfId="20" applyNumberFormat="1" applyFont="1" applyFill="1" applyBorder="1" applyAlignment="1">
      <alignment horizontal="right" vertical="center" wrapText="1"/>
    </xf>
    <xf numFmtId="3" fontId="99" fillId="22" borderId="94" xfId="20" applyNumberFormat="1" applyFont="1" applyFill="1" applyBorder="1" applyAlignment="1">
      <alignment horizontal="right" vertical="center" wrapText="1"/>
    </xf>
    <xf numFmtId="3" fontId="99" fillId="22" borderId="11" xfId="20" applyNumberFormat="1" applyFont="1" applyFill="1" applyBorder="1" applyAlignment="1">
      <alignment horizontal="right" vertical="center" wrapText="1"/>
    </xf>
    <xf numFmtId="9" fontId="88" fillId="0" borderId="10" xfId="25" applyFont="1" applyBorder="1" applyAlignment="1">
      <alignment horizontal="right" vertical="center"/>
    </xf>
    <xf numFmtId="9" fontId="99" fillId="22" borderId="9" xfId="20" applyNumberFormat="1" applyFont="1" applyFill="1" applyBorder="1" applyAlignment="1">
      <alignment horizontal="right" vertical="center" wrapText="1"/>
    </xf>
    <xf numFmtId="0" fontId="99" fillId="22" borderId="0" xfId="20" applyFont="1" applyFill="1" applyAlignment="1">
      <alignment horizontal="right" vertical="center" wrapText="1"/>
    </xf>
    <xf numFmtId="0" fontId="34" fillId="22" borderId="37" xfId="20" applyFont="1" applyFill="1" applyBorder="1" applyAlignment="1">
      <alignment horizontal="left" vertical="center" wrapText="1"/>
    </xf>
    <xf numFmtId="3" fontId="99" fillId="22" borderId="382" xfId="20" applyNumberFormat="1" applyFont="1" applyFill="1" applyBorder="1" applyAlignment="1">
      <alignment horizontal="right" vertical="center" wrapText="1"/>
    </xf>
    <xf numFmtId="3" fontId="99" fillId="22" borderId="78" xfId="20" applyNumberFormat="1" applyFont="1" applyFill="1" applyBorder="1" applyAlignment="1">
      <alignment horizontal="right" vertical="center" wrapText="1"/>
    </xf>
    <xf numFmtId="3" fontId="99" fillId="22" borderId="93" xfId="20" applyNumberFormat="1" applyFont="1" applyFill="1" applyBorder="1" applyAlignment="1">
      <alignment horizontal="right" vertical="center" wrapText="1"/>
    </xf>
    <xf numFmtId="3" fontId="99" fillId="22" borderId="37" xfId="20" applyNumberFormat="1" applyFont="1" applyFill="1" applyBorder="1" applyAlignment="1">
      <alignment horizontal="right" vertical="center" wrapText="1"/>
    </xf>
    <xf numFmtId="9" fontId="99" fillId="22" borderId="6" xfId="20" applyNumberFormat="1" applyFont="1" applyFill="1" applyBorder="1" applyAlignment="1">
      <alignment horizontal="right" vertical="center" wrapText="1"/>
    </xf>
    <xf numFmtId="9" fontId="99" fillId="22" borderId="0" xfId="20" applyNumberFormat="1" applyFont="1" applyFill="1" applyAlignment="1">
      <alignment horizontal="right" vertical="center" wrapText="1"/>
    </xf>
    <xf numFmtId="0" fontId="99" fillId="22" borderId="42" xfId="20" applyFont="1" applyFill="1" applyBorder="1" applyAlignment="1">
      <alignment horizontal="right" vertical="center" wrapText="1"/>
    </xf>
    <xf numFmtId="0" fontId="34" fillId="22" borderId="43" xfId="20" applyFont="1" applyFill="1" applyBorder="1" applyAlignment="1">
      <alignment horizontal="left" vertical="center" wrapText="1"/>
    </xf>
    <xf numFmtId="3" fontId="99" fillId="22" borderId="194" xfId="20" applyNumberFormat="1" applyFont="1" applyFill="1" applyBorder="1" applyAlignment="1">
      <alignment horizontal="right" vertical="center" wrapText="1"/>
    </xf>
    <xf numFmtId="3" fontId="99" fillId="22" borderId="79" xfId="20" applyNumberFormat="1" applyFont="1" applyFill="1" applyBorder="1" applyAlignment="1">
      <alignment horizontal="right" vertical="center" wrapText="1"/>
    </xf>
    <xf numFmtId="3" fontId="99" fillId="22" borderId="95" xfId="20" applyNumberFormat="1" applyFont="1" applyFill="1" applyBorder="1" applyAlignment="1">
      <alignment horizontal="right" vertical="center" wrapText="1"/>
    </xf>
    <xf numFmtId="3" fontId="99" fillId="22" borderId="43" xfId="20" applyNumberFormat="1" applyFont="1" applyFill="1" applyBorder="1" applyAlignment="1">
      <alignment horizontal="right" vertical="center" wrapText="1"/>
    </xf>
    <xf numFmtId="9" fontId="88" fillId="0" borderId="42" xfId="25" applyFont="1" applyBorder="1" applyAlignment="1">
      <alignment horizontal="right" vertical="center"/>
    </xf>
    <xf numFmtId="9" fontId="99" fillId="22" borderId="42" xfId="20" applyNumberFormat="1" applyFont="1" applyFill="1" applyBorder="1" applyAlignment="1">
      <alignment horizontal="right" vertical="center" wrapText="1"/>
    </xf>
    <xf numFmtId="0" fontId="99" fillId="22" borderId="11" xfId="20" applyFont="1" applyFill="1" applyBorder="1" applyAlignment="1">
      <alignment horizontal="left" vertical="center" wrapText="1"/>
    </xf>
    <xf numFmtId="0" fontId="99" fillId="22" borderId="37" xfId="20" applyFont="1" applyFill="1" applyBorder="1" applyAlignment="1">
      <alignment horizontal="left" vertical="center" wrapText="1"/>
    </xf>
    <xf numFmtId="3" fontId="34" fillId="0" borderId="244" xfId="20" applyNumberFormat="1" applyFont="1" applyBorder="1" applyAlignment="1">
      <alignment horizontal="right" vertical="center"/>
    </xf>
    <xf numFmtId="3" fontId="34" fillId="0" borderId="248" xfId="20" applyNumberFormat="1" applyFont="1" applyBorder="1" applyAlignment="1">
      <alignment horizontal="right" vertical="center"/>
    </xf>
    <xf numFmtId="3" fontId="34" fillId="0" borderId="239" xfId="20" applyNumberFormat="1" applyFont="1" applyBorder="1" applyAlignment="1">
      <alignment horizontal="right" vertical="center"/>
    </xf>
    <xf numFmtId="3" fontId="34" fillId="0" borderId="241" xfId="20" applyNumberFormat="1" applyFont="1" applyBorder="1" applyAlignment="1">
      <alignment horizontal="right" vertical="center"/>
    </xf>
    <xf numFmtId="9" fontId="34" fillId="0" borderId="238" xfId="20" applyNumberFormat="1" applyFont="1" applyBorder="1" applyAlignment="1">
      <alignment horizontal="right" vertical="center"/>
    </xf>
    <xf numFmtId="168" fontId="34" fillId="0" borderId="0" xfId="19" applyFont="1" applyAlignment="1">
      <alignment horizontal="left"/>
    </xf>
    <xf numFmtId="168" fontId="0" fillId="2" borderId="0" xfId="0" applyFill="1" applyAlignment="1">
      <alignment vertical="center"/>
    </xf>
    <xf numFmtId="171" fontId="34" fillId="0" borderId="0" xfId="0" applyNumberFormat="1" applyFont="1" applyAlignment="1" applyProtection="1">
      <alignment horizontal="left"/>
      <protection locked="0"/>
    </xf>
    <xf numFmtId="168" fontId="18" fillId="50" borderId="0" xfId="0" applyFont="1" applyFill="1"/>
    <xf numFmtId="168" fontId="0" fillId="50" borderId="410" xfId="0" applyFill="1" applyBorder="1"/>
    <xf numFmtId="173" fontId="37" fillId="0" borderId="1" xfId="21" applyNumberFormat="1" applyFont="1" applyBorder="1" applyAlignment="1">
      <alignment horizontal="left"/>
    </xf>
    <xf numFmtId="0" fontId="37" fillId="0" borderId="359" xfId="21" applyFont="1" applyBorder="1" applyAlignment="1">
      <alignment horizontal="left"/>
    </xf>
    <xf numFmtId="173" fontId="37" fillId="0" borderId="0" xfId="21" applyNumberFormat="1" applyFont="1" applyAlignment="1">
      <alignment horizontal="left"/>
    </xf>
    <xf numFmtId="0" fontId="37" fillId="0" borderId="0" xfId="21" applyFont="1" applyAlignment="1">
      <alignment horizontal="left"/>
    </xf>
    <xf numFmtId="0" fontId="37" fillId="0" borderId="361" xfId="21" applyFont="1" applyBorder="1"/>
    <xf numFmtId="0" fontId="37" fillId="0" borderId="423" xfId="21" applyFont="1" applyBorder="1"/>
    <xf numFmtId="168" fontId="37" fillId="0" borderId="41" xfId="21" applyNumberFormat="1" applyFont="1" applyBorder="1" applyAlignment="1">
      <alignment horizontal="right" wrapText="1"/>
    </xf>
    <xf numFmtId="168" fontId="37" fillId="0" borderId="42" xfId="21" applyNumberFormat="1" applyFont="1" applyBorder="1" applyAlignment="1">
      <alignment horizontal="right" wrapText="1"/>
    </xf>
    <xf numFmtId="0" fontId="37" fillId="0" borderId="95" xfId="21" applyFont="1" applyBorder="1" applyAlignment="1">
      <alignment horizontal="right" wrapText="1"/>
    </xf>
    <xf numFmtId="173" fontId="34" fillId="0" borderId="0" xfId="21" applyNumberFormat="1" applyFont="1" applyAlignment="1">
      <alignment horizontal="left"/>
    </xf>
    <xf numFmtId="4" fontId="34" fillId="22" borderId="361" xfId="21" applyNumberFormat="1" applyFont="1" applyFill="1" applyBorder="1" applyAlignment="1">
      <alignment horizontal="right"/>
    </xf>
    <xf numFmtId="4" fontId="34" fillId="22" borderId="0" xfId="21" applyNumberFormat="1" applyFont="1" applyFill="1" applyAlignment="1">
      <alignment horizontal="right"/>
    </xf>
    <xf numFmtId="4" fontId="34" fillId="22" borderId="93" xfId="21" applyNumberFormat="1" applyFont="1" applyFill="1" applyBorder="1" applyAlignment="1">
      <alignment horizontal="right"/>
    </xf>
    <xf numFmtId="167" fontId="34" fillId="22" borderId="0" xfId="25" quotePrefix="1" applyNumberFormat="1" applyFont="1" applyFill="1" applyBorder="1" applyAlignment="1" applyProtection="1">
      <alignment horizontal="right"/>
    </xf>
    <xf numFmtId="167" fontId="88" fillId="0" borderId="408" xfId="25" applyNumberFormat="1" applyFont="1" applyBorder="1"/>
    <xf numFmtId="4" fontId="97" fillId="23" borderId="0" xfId="21" applyNumberFormat="1" applyFont="1" applyFill="1" applyAlignment="1">
      <alignment horizontal="right"/>
    </xf>
    <xf numFmtId="4" fontId="97" fillId="23" borderId="93" xfId="21" applyNumberFormat="1" applyFont="1" applyFill="1" applyBorder="1" applyAlignment="1">
      <alignment horizontal="right"/>
    </xf>
    <xf numFmtId="0" fontId="97" fillId="11" borderId="0" xfId="20" applyFont="1" applyFill="1"/>
    <xf numFmtId="9" fontId="97" fillId="23" borderId="37" xfId="25" applyFont="1" applyFill="1" applyBorder="1" applyAlignment="1" applyProtection="1">
      <alignment horizontal="right"/>
    </xf>
    <xf numFmtId="167" fontId="88" fillId="0" borderId="0" xfId="25" applyNumberFormat="1" applyFont="1"/>
    <xf numFmtId="167" fontId="34" fillId="22" borderId="37" xfId="25" quotePrefix="1" applyNumberFormat="1" applyFont="1" applyFill="1" applyBorder="1" applyAlignment="1" applyProtection="1">
      <alignment horizontal="right"/>
    </xf>
    <xf numFmtId="4" fontId="34" fillId="0" borderId="0" xfId="21" applyNumberFormat="1" applyFont="1" applyAlignment="1">
      <alignment horizontal="right"/>
    </xf>
    <xf numFmtId="4" fontId="34" fillId="0" borderId="93" xfId="21" applyNumberFormat="1" applyFont="1" applyBorder="1" applyAlignment="1">
      <alignment horizontal="right"/>
    </xf>
    <xf numFmtId="167" fontId="88" fillId="0" borderId="142" xfId="25" applyNumberFormat="1" applyFont="1" applyBorder="1"/>
    <xf numFmtId="173" fontId="34" fillId="0" borderId="0" xfId="21" applyNumberFormat="1" applyFont="1" applyAlignment="1">
      <alignment horizontal="right"/>
    </xf>
    <xf numFmtId="167" fontId="88" fillId="0" borderId="37" xfId="25" applyNumberFormat="1" applyFont="1" applyBorder="1"/>
    <xf numFmtId="4" fontId="34" fillId="0" borderId="361" xfId="21" applyNumberFormat="1" applyFont="1" applyBorder="1" applyAlignment="1">
      <alignment horizontal="right"/>
    </xf>
    <xf numFmtId="167" fontId="34" fillId="22" borderId="0" xfId="21" applyNumberFormat="1" applyFont="1" applyFill="1" applyAlignment="1">
      <alignment horizontal="right"/>
    </xf>
    <xf numFmtId="167" fontId="34" fillId="22" borderId="42" xfId="25" quotePrefix="1" applyNumberFormat="1" applyFont="1" applyFill="1" applyBorder="1" applyAlignment="1" applyProtection="1">
      <alignment horizontal="right"/>
    </xf>
    <xf numFmtId="167" fontId="88" fillId="0" borderId="43" xfId="25" applyNumberFormat="1" applyFont="1" applyBorder="1"/>
    <xf numFmtId="9" fontId="97" fillId="11" borderId="42" xfId="25" applyFont="1" applyFill="1" applyBorder="1"/>
    <xf numFmtId="4" fontId="34" fillId="0" borderId="41" xfId="21" applyNumberFormat="1" applyFont="1" applyBorder="1" applyAlignment="1">
      <alignment horizontal="right"/>
    </xf>
    <xf numFmtId="4" fontId="34" fillId="0" borderId="42" xfId="21" applyNumberFormat="1" applyFont="1" applyBorder="1" applyAlignment="1">
      <alignment horizontal="right"/>
    </xf>
    <xf numFmtId="4" fontId="34" fillId="0" borderId="95" xfId="21" applyNumberFormat="1" applyFont="1" applyBorder="1" applyAlignment="1">
      <alignment horizontal="right"/>
    </xf>
    <xf numFmtId="167" fontId="88" fillId="0" borderId="42" xfId="25" applyNumberFormat="1" applyFont="1" applyBorder="1"/>
    <xf numFmtId="173" fontId="37" fillId="0" borderId="409" xfId="21" applyNumberFormat="1" applyFont="1" applyBorder="1" applyAlignment="1">
      <alignment horizontal="right"/>
    </xf>
    <xf numFmtId="173" fontId="37" fillId="0" borderId="409" xfId="21" applyNumberFormat="1" applyFont="1" applyBorder="1" applyAlignment="1">
      <alignment horizontal="left"/>
    </xf>
    <xf numFmtId="4" fontId="34" fillId="0" borderId="412" xfId="21" applyNumberFormat="1" applyFont="1" applyBorder="1" applyAlignment="1">
      <alignment horizontal="right"/>
    </xf>
    <xf numFmtId="4" fontId="34" fillId="0" borderId="409" xfId="21" applyNumberFormat="1" applyFont="1" applyBorder="1" applyAlignment="1">
      <alignment horizontal="right"/>
    </xf>
    <xf numFmtId="4" fontId="34" fillId="22" borderId="434" xfId="21" applyNumberFormat="1" applyFont="1" applyFill="1" applyBorder="1" applyAlignment="1">
      <alignment horizontal="right"/>
    </xf>
    <xf numFmtId="167" fontId="34" fillId="22" borderId="409" xfId="25" quotePrefix="1" applyNumberFormat="1" applyFont="1" applyFill="1" applyBorder="1" applyAlignment="1" applyProtection="1">
      <alignment horizontal="right"/>
    </xf>
    <xf numFmtId="4" fontId="34" fillId="0" borderId="434" xfId="21" applyNumberFormat="1" applyFont="1" applyBorder="1" applyAlignment="1">
      <alignment horizontal="right"/>
    </xf>
    <xf numFmtId="167" fontId="34" fillId="0" borderId="414" xfId="25" quotePrefix="1" applyNumberFormat="1" applyFont="1" applyBorder="1" applyAlignment="1" applyProtection="1">
      <alignment horizontal="right"/>
    </xf>
    <xf numFmtId="167" fontId="88" fillId="0" borderId="409" xfId="25" applyNumberFormat="1" applyFont="1" applyBorder="1"/>
    <xf numFmtId="167" fontId="34" fillId="0" borderId="409" xfId="25" quotePrefix="1" applyNumberFormat="1" applyFont="1" applyBorder="1" applyAlignment="1" applyProtection="1">
      <alignment horizontal="right"/>
    </xf>
    <xf numFmtId="4" fontId="34" fillId="22" borderId="407" xfId="21" applyNumberFormat="1" applyFont="1" applyFill="1" applyBorder="1" applyAlignment="1">
      <alignment horizontal="right"/>
    </xf>
    <xf numFmtId="4" fontId="34" fillId="22" borderId="142" xfId="21" applyNumberFormat="1" applyFont="1" applyFill="1" applyBorder="1" applyAlignment="1">
      <alignment horizontal="right"/>
    </xf>
    <xf numFmtId="4" fontId="34" fillId="22" borderId="423" xfId="21" applyNumberFormat="1" applyFont="1" applyFill="1" applyBorder="1" applyAlignment="1">
      <alignment horizontal="right"/>
    </xf>
    <xf numFmtId="167" fontId="34" fillId="22" borderId="142" xfId="25" quotePrefix="1" applyNumberFormat="1" applyFont="1" applyFill="1" applyBorder="1" applyAlignment="1" applyProtection="1">
      <alignment horizontal="right"/>
    </xf>
    <xf numFmtId="4" fontId="97" fillId="23" borderId="142" xfId="21" applyNumberFormat="1" applyFont="1" applyFill="1" applyBorder="1" applyAlignment="1">
      <alignment horizontal="right"/>
    </xf>
    <xf numFmtId="4" fontId="97" fillId="23" borderId="423" xfId="21" applyNumberFormat="1" applyFont="1" applyFill="1" applyBorder="1" applyAlignment="1">
      <alignment horizontal="right"/>
    </xf>
    <xf numFmtId="9" fontId="97" fillId="11" borderId="142" xfId="25" applyFont="1" applyFill="1" applyBorder="1"/>
    <xf numFmtId="9" fontId="97" fillId="11" borderId="408" xfId="25" applyFont="1" applyFill="1" applyBorder="1" applyAlignment="1" applyProtection="1">
      <alignment horizontal="right"/>
    </xf>
    <xf numFmtId="4" fontId="34" fillId="0" borderId="407" xfId="21" applyNumberFormat="1" applyFont="1" applyBorder="1" applyAlignment="1">
      <alignment horizontal="right"/>
    </xf>
    <xf numFmtId="4" fontId="34" fillId="0" borderId="142" xfId="21" applyNumberFormat="1" applyFont="1" applyBorder="1" applyAlignment="1">
      <alignment horizontal="right"/>
    </xf>
    <xf numFmtId="4" fontId="34" fillId="0" borderId="423" xfId="21" applyNumberFormat="1" applyFont="1" applyBorder="1" applyAlignment="1">
      <alignment horizontal="right"/>
    </xf>
    <xf numFmtId="9" fontId="97" fillId="11" borderId="0" xfId="25" applyFont="1" applyFill="1"/>
    <xf numFmtId="9" fontId="97" fillId="11" borderId="37" xfId="25" applyFont="1" applyFill="1" applyBorder="1" applyAlignment="1" applyProtection="1">
      <alignment horizontal="right"/>
    </xf>
    <xf numFmtId="167" fontId="34" fillId="0" borderId="37" xfId="25" quotePrefix="1" applyNumberFormat="1" applyFont="1" applyFill="1" applyBorder="1" applyAlignment="1" applyProtection="1">
      <alignment horizontal="right"/>
    </xf>
    <xf numFmtId="4" fontId="34" fillId="22" borderId="41" xfId="21" applyNumberFormat="1" applyFont="1" applyFill="1" applyBorder="1" applyAlignment="1">
      <alignment horizontal="right"/>
    </xf>
    <xf numFmtId="4" fontId="34" fillId="22" borderId="42" xfId="21" applyNumberFormat="1" applyFont="1" applyFill="1" applyBorder="1" applyAlignment="1">
      <alignment horizontal="right"/>
    </xf>
    <xf numFmtId="4" fontId="34" fillId="22" borderId="95" xfId="21" applyNumberFormat="1" applyFont="1" applyFill="1" applyBorder="1" applyAlignment="1">
      <alignment horizontal="right"/>
    </xf>
    <xf numFmtId="4" fontId="97" fillId="23" borderId="42" xfId="21" applyNumberFormat="1" applyFont="1" applyFill="1" applyBorder="1" applyAlignment="1">
      <alignment horizontal="right"/>
    </xf>
    <xf numFmtId="167" fontId="88" fillId="0" borderId="414" xfId="25" applyNumberFormat="1" applyFont="1" applyBorder="1"/>
    <xf numFmtId="173" fontId="34" fillId="0" borderId="42" xfId="21" applyNumberFormat="1" applyFont="1" applyBorder="1" applyAlignment="1">
      <alignment horizontal="left"/>
    </xf>
    <xf numFmtId="0" fontId="37" fillId="0" borderId="358" xfId="21" applyFont="1" applyBorder="1"/>
    <xf numFmtId="173" fontId="37" fillId="0" borderId="387" xfId="21" applyNumberFormat="1" applyFont="1" applyBorder="1" applyAlignment="1">
      <alignment horizontal="left"/>
    </xf>
    <xf numFmtId="4" fontId="34" fillId="0" borderId="371" xfId="21" applyNumberFormat="1" applyFont="1" applyBorder="1" applyAlignment="1">
      <alignment horizontal="right"/>
    </xf>
    <xf numFmtId="4" fontId="34" fillId="0" borderId="387" xfId="21" applyNumberFormat="1" applyFont="1" applyBorder="1" applyAlignment="1">
      <alignment horizontal="right"/>
    </xf>
    <xf numFmtId="4" fontId="34" fillId="0" borderId="383" xfId="21" applyNumberFormat="1" applyFont="1" applyBorder="1" applyAlignment="1">
      <alignment horizontal="right"/>
    </xf>
    <xf numFmtId="167" fontId="34" fillId="0" borderId="387" xfId="25" quotePrefix="1" applyNumberFormat="1" applyFont="1" applyBorder="1" applyAlignment="1" applyProtection="1">
      <alignment horizontal="right"/>
    </xf>
    <xf numFmtId="167" fontId="88" fillId="0" borderId="365" xfId="25" applyNumberFormat="1" applyFont="1" applyBorder="1"/>
    <xf numFmtId="167" fontId="88" fillId="0" borderId="387" xfId="25" applyNumberFormat="1" applyFont="1" applyBorder="1"/>
    <xf numFmtId="167" fontId="34" fillId="0" borderId="365" xfId="25" quotePrefix="1" applyNumberFormat="1" applyFont="1" applyBorder="1" applyAlignment="1" applyProtection="1">
      <alignment horizontal="right"/>
    </xf>
    <xf numFmtId="167" fontId="88" fillId="0" borderId="373" xfId="25" applyNumberFormat="1" applyFont="1" applyBorder="1"/>
    <xf numFmtId="167" fontId="34" fillId="0" borderId="13" xfId="25" quotePrefix="1" applyNumberFormat="1" applyFont="1" applyBorder="1" applyAlignment="1" applyProtection="1">
      <alignment horizontal="right"/>
    </xf>
    <xf numFmtId="167" fontId="88" fillId="0" borderId="358" xfId="25" applyNumberFormat="1" applyFont="1" applyBorder="1"/>
    <xf numFmtId="168" fontId="18" fillId="0" borderId="33" xfId="0" applyFont="1" applyBorder="1" applyAlignment="1">
      <alignment horizontal="center" wrapText="1"/>
    </xf>
    <xf numFmtId="168" fontId="34" fillId="0" borderId="410" xfId="0" applyFont="1" applyBorder="1"/>
    <xf numFmtId="168" fontId="0" fillId="0" borderId="436" xfId="0" applyBorder="1"/>
    <xf numFmtId="168" fontId="0" fillId="0" borderId="437" xfId="0" applyBorder="1"/>
    <xf numFmtId="168" fontId="0" fillId="0" borderId="438" xfId="0" applyBorder="1"/>
    <xf numFmtId="0" fontId="18" fillId="20" borderId="0" xfId="0" applyNumberFormat="1" applyFont="1" applyFill="1"/>
    <xf numFmtId="0" fontId="10" fillId="51" borderId="410" xfId="22" applyFont="1" applyFill="1" applyBorder="1"/>
    <xf numFmtId="0" fontId="65" fillId="51" borderId="410" xfId="22" applyFont="1" applyFill="1" applyBorder="1"/>
    <xf numFmtId="0" fontId="53" fillId="51" borderId="410" xfId="22" applyFont="1" applyFill="1" applyBorder="1"/>
    <xf numFmtId="168" fontId="34" fillId="0" borderId="0" xfId="17" applyFont="1" applyAlignment="1" applyProtection="1">
      <alignment horizontal="left" vertical="center" wrapText="1"/>
    </xf>
    <xf numFmtId="168" fontId="34" fillId="0" borderId="0" xfId="17" applyFont="1" applyAlignment="1">
      <alignment vertical="center"/>
    </xf>
    <xf numFmtId="168" fontId="34" fillId="0" borderId="0" xfId="17" applyFont="1" applyFill="1" applyAlignment="1" applyProtection="1">
      <alignment horizontal="left" vertical="center" wrapText="1"/>
    </xf>
    <xf numFmtId="168" fontId="34" fillId="0" borderId="0" xfId="17" applyFont="1" applyAlignment="1">
      <alignment horizontal="left" vertical="center" wrapText="1"/>
    </xf>
    <xf numFmtId="3" fontId="34" fillId="0" borderId="108" xfId="0" applyNumberFormat="1" applyFont="1" applyBorder="1" applyAlignment="1">
      <alignment wrapText="1"/>
    </xf>
    <xf numFmtId="3" fontId="62" fillId="0" borderId="0" xfId="22" applyNumberFormat="1" applyFont="1" applyAlignment="1">
      <alignment horizontal="right" wrapText="1"/>
    </xf>
    <xf numFmtId="4" fontId="90" fillId="11" borderId="42" xfId="22" applyNumberFormat="1" applyFont="1" applyFill="1" applyBorder="1"/>
    <xf numFmtId="4" fontId="34" fillId="0" borderId="0" xfId="22" applyNumberFormat="1" applyFont="1"/>
    <xf numFmtId="4" fontId="88" fillId="0" borderId="387" xfId="22" applyNumberFormat="1" applyFont="1" applyBorder="1"/>
    <xf numFmtId="4" fontId="88" fillId="0" borderId="411" xfId="22" applyNumberFormat="1" applyFont="1" applyBorder="1"/>
    <xf numFmtId="4" fontId="90" fillId="11" borderId="79" xfId="22" applyNumberFormat="1" applyFont="1" applyFill="1" applyBorder="1"/>
    <xf numFmtId="4" fontId="34" fillId="0" borderId="78" xfId="22" applyNumberFormat="1" applyFont="1" applyBorder="1"/>
    <xf numFmtId="4" fontId="88" fillId="0" borderId="79" xfId="22" applyNumberFormat="1" applyFont="1" applyBorder="1"/>
    <xf numFmtId="4" fontId="88" fillId="0" borderId="257" xfId="22" applyNumberFormat="1" applyFont="1" applyBorder="1"/>
    <xf numFmtId="4" fontId="88" fillId="0" borderId="78" xfId="22" applyNumberFormat="1" applyFont="1" applyBorder="1"/>
    <xf numFmtId="4" fontId="88" fillId="0" borderId="373" xfId="22" applyNumberFormat="1" applyFont="1" applyBorder="1"/>
    <xf numFmtId="167" fontId="62" fillId="0" borderId="0" xfId="22" applyNumberFormat="1" applyFont="1" applyAlignment="1">
      <alignment horizontal="right" wrapText="1"/>
    </xf>
    <xf numFmtId="4" fontId="97" fillId="11" borderId="79" xfId="22" applyNumberFormat="1" applyFont="1" applyFill="1" applyBorder="1"/>
    <xf numFmtId="4" fontId="34" fillId="0" borderId="413" xfId="22" applyNumberFormat="1" applyFont="1" applyBorder="1"/>
    <xf numFmtId="3" fontId="62" fillId="0" borderId="237" xfId="22" applyNumberFormat="1" applyFont="1" applyBorder="1" applyAlignment="1">
      <alignment horizontal="right" wrapText="1"/>
    </xf>
    <xf numFmtId="2" fontId="34" fillId="18" borderId="0" xfId="0" applyNumberFormat="1" applyFont="1" applyFill="1" applyAlignment="1">
      <alignment vertical="center" wrapText="1"/>
    </xf>
    <xf numFmtId="0" fontId="8" fillId="0" borderId="0" xfId="22" applyFont="1" applyAlignment="1">
      <alignment horizontal="right" wrapText="1"/>
    </xf>
    <xf numFmtId="3" fontId="34" fillId="0" borderId="442" xfId="0" applyNumberFormat="1" applyFont="1" applyBorder="1" applyProtection="1">
      <protection locked="0"/>
    </xf>
    <xf numFmtId="3" fontId="34" fillId="0" borderId="108" xfId="0" applyNumberFormat="1" applyFont="1" applyBorder="1" applyAlignment="1">
      <alignment horizontal="left" vertical="top" wrapText="1"/>
    </xf>
    <xf numFmtId="3" fontId="18" fillId="0" borderId="446" xfId="0" applyNumberFormat="1" applyFont="1" applyBorder="1"/>
    <xf numFmtId="3" fontId="34" fillId="0" borderId="0" xfId="0" applyNumberFormat="1" applyFont="1" applyAlignment="1">
      <alignment horizontal="left" vertical="top" wrapText="1"/>
    </xf>
    <xf numFmtId="3" fontId="18" fillId="24" borderId="0" xfId="0" applyNumberFormat="1" applyFont="1" applyFill="1"/>
    <xf numFmtId="0" fontId="18" fillId="0" borderId="407" xfId="0" applyNumberFormat="1" applyFont="1" applyBorder="1"/>
    <xf numFmtId="0" fontId="18" fillId="0" borderId="361" xfId="0" applyNumberFormat="1" applyFont="1" applyBorder="1"/>
    <xf numFmtId="0" fontId="18" fillId="11" borderId="10" xfId="0" applyNumberFormat="1" applyFont="1" applyFill="1" applyBorder="1"/>
    <xf numFmtId="0" fontId="18" fillId="11" borderId="41" xfId="0" applyNumberFormat="1" applyFont="1" applyFill="1" applyBorder="1"/>
    <xf numFmtId="168" fontId="18" fillId="0" borderId="31" xfId="0" applyFont="1" applyBorder="1"/>
    <xf numFmtId="168" fontId="0" fillId="11" borderId="395" xfId="0" applyFill="1" applyBorder="1"/>
    <xf numFmtId="3" fontId="34" fillId="0" borderId="53" xfId="0" applyNumberFormat="1" applyFont="1" applyBorder="1" applyProtection="1">
      <protection locked="0"/>
    </xf>
    <xf numFmtId="3" fontId="34" fillId="0" borderId="66" xfId="0" applyNumberFormat="1" applyFont="1" applyBorder="1" applyProtection="1">
      <protection locked="0"/>
    </xf>
    <xf numFmtId="3" fontId="34" fillId="0" borderId="57" xfId="0" applyNumberFormat="1" applyFont="1" applyBorder="1" applyProtection="1">
      <protection locked="0"/>
    </xf>
    <xf numFmtId="3" fontId="34" fillId="0" borderId="0" xfId="0" quotePrefix="1" applyNumberFormat="1" applyFont="1" applyAlignment="1">
      <alignment horizontal="left"/>
    </xf>
    <xf numFmtId="4" fontId="34" fillId="5" borderId="445" xfId="0" applyNumberFormat="1" applyFont="1" applyFill="1" applyBorder="1" applyAlignment="1">
      <alignment horizontal="right"/>
    </xf>
    <xf numFmtId="0" fontId="84" fillId="10" borderId="0" xfId="86" applyFill="1">
      <alignment vertical="center"/>
    </xf>
    <xf numFmtId="3" fontId="18" fillId="0" borderId="33" xfId="0" applyNumberFormat="1" applyFont="1" applyBorder="1" applyAlignment="1">
      <alignment horizontal="left"/>
    </xf>
    <xf numFmtId="168" fontId="18" fillId="0" borderId="0" xfId="0" applyFont="1" applyAlignment="1">
      <alignment horizontal="right" wrapText="1"/>
    </xf>
    <xf numFmtId="3" fontId="37" fillId="0" borderId="336" xfId="0" applyNumberFormat="1" applyFont="1" applyBorder="1" applyAlignment="1">
      <alignment vertical="center"/>
    </xf>
    <xf numFmtId="3" fontId="37" fillId="0" borderId="103" xfId="0" applyNumberFormat="1" applyFont="1" applyBorder="1" applyAlignment="1">
      <alignment horizontal="left"/>
    </xf>
    <xf numFmtId="3" fontId="34" fillId="0" borderId="441" xfId="0" applyNumberFormat="1" applyFont="1" applyBorder="1" applyAlignment="1">
      <alignment horizontal="left"/>
    </xf>
    <xf numFmtId="3" fontId="34" fillId="11" borderId="101" xfId="0" applyNumberFormat="1" applyFont="1" applyFill="1" applyBorder="1"/>
    <xf numFmtId="3" fontId="34" fillId="11" borderId="443" xfId="0" applyNumberFormat="1" applyFont="1" applyFill="1" applyBorder="1"/>
    <xf numFmtId="3" fontId="34" fillId="5" borderId="439" xfId="0" applyNumberFormat="1" applyFont="1" applyFill="1" applyBorder="1"/>
    <xf numFmtId="3" fontId="34" fillId="5" borderId="444" xfId="0" applyNumberFormat="1" applyFont="1" applyFill="1" applyBorder="1"/>
    <xf numFmtId="3" fontId="34" fillId="5" borderId="440" xfId="0" applyNumberFormat="1" applyFont="1" applyFill="1" applyBorder="1"/>
    <xf numFmtId="3" fontId="34" fillId="5" borderId="445" xfId="0" applyNumberFormat="1" applyFont="1" applyFill="1" applyBorder="1"/>
    <xf numFmtId="3" fontId="34" fillId="11" borderId="285" xfId="0" applyNumberFormat="1" applyFont="1" applyFill="1" applyBorder="1"/>
    <xf numFmtId="3" fontId="34" fillId="11" borderId="60" xfId="0" applyNumberFormat="1" applyFont="1" applyFill="1" applyBorder="1"/>
    <xf numFmtId="3" fontId="34" fillId="11" borderId="291" xfId="0" applyNumberFormat="1" applyFont="1" applyFill="1" applyBorder="1"/>
    <xf numFmtId="3" fontId="34" fillId="11" borderId="71" xfId="0" applyNumberFormat="1" applyFont="1" applyFill="1" applyBorder="1"/>
    <xf numFmtId="3" fontId="34" fillId="11" borderId="288" xfId="0" applyNumberFormat="1" applyFont="1" applyFill="1" applyBorder="1"/>
    <xf numFmtId="3" fontId="34" fillId="11" borderId="73" xfId="0" applyNumberFormat="1" applyFont="1" applyFill="1" applyBorder="1"/>
    <xf numFmtId="3" fontId="34" fillId="11" borderId="305" xfId="0" applyNumberFormat="1" applyFont="1" applyFill="1" applyBorder="1"/>
    <xf numFmtId="3" fontId="34" fillId="11" borderId="57" xfId="0" applyNumberFormat="1" applyFont="1" applyFill="1" applyBorder="1"/>
    <xf numFmtId="168" fontId="18" fillId="0" borderId="408" xfId="0" applyFont="1" applyBorder="1" applyAlignment="1">
      <alignment textRotation="90"/>
    </xf>
    <xf numFmtId="3" fontId="18" fillId="24" borderId="410" xfId="0" applyNumberFormat="1" applyFont="1" applyFill="1" applyBorder="1"/>
    <xf numFmtId="4" fontId="34" fillId="5" borderId="82" xfId="0" applyNumberFormat="1" applyFont="1" applyFill="1" applyBorder="1" applyAlignment="1">
      <alignment horizontal="right"/>
    </xf>
    <xf numFmtId="4" fontId="34" fillId="5" borderId="324" xfId="0" applyNumberFormat="1" applyFont="1" applyFill="1" applyBorder="1" applyAlignment="1">
      <alignment horizontal="right"/>
    </xf>
    <xf numFmtId="169" fontId="18" fillId="6" borderId="448" xfId="0" applyNumberFormat="1" applyFont="1" applyFill="1" applyBorder="1" applyAlignment="1">
      <alignment horizontal="right"/>
    </xf>
    <xf numFmtId="169" fontId="18" fillId="6" borderId="271" xfId="0" applyNumberFormat="1" applyFont="1" applyFill="1" applyBorder="1" applyAlignment="1">
      <alignment horizontal="right"/>
    </xf>
    <xf numFmtId="169" fontId="18" fillId="6" borderId="447" xfId="0" applyNumberFormat="1" applyFont="1" applyFill="1" applyBorder="1" applyAlignment="1">
      <alignment horizontal="right"/>
    </xf>
    <xf numFmtId="169" fontId="18" fillId="0" borderId="448" xfId="0" applyNumberFormat="1" applyFont="1" applyBorder="1" applyAlignment="1">
      <alignment horizontal="right"/>
    </xf>
    <xf numFmtId="169" fontId="18" fillId="0" borderId="71" xfId="0" applyNumberFormat="1" applyFont="1" applyBorder="1" applyAlignment="1">
      <alignment horizontal="right"/>
    </xf>
    <xf numFmtId="169" fontId="18" fillId="0" borderId="23" xfId="0" applyNumberFormat="1" applyFont="1" applyBorder="1" applyAlignment="1">
      <alignment horizontal="right"/>
    </xf>
    <xf numFmtId="3" fontId="27" fillId="0" borderId="424" xfId="0" applyNumberFormat="1" applyFont="1" applyBorder="1" applyAlignment="1">
      <alignment horizontal="right"/>
    </xf>
    <xf numFmtId="169" fontId="18" fillId="0" borderId="449" xfId="0" applyNumberFormat="1" applyFont="1" applyBorder="1" applyAlignment="1">
      <alignment horizontal="right"/>
    </xf>
    <xf numFmtId="169" fontId="18" fillId="6" borderId="0" xfId="0" applyNumberFormat="1" applyFont="1" applyFill="1" applyAlignment="1">
      <alignment horizontal="right"/>
    </xf>
    <xf numFmtId="169" fontId="0" fillId="0" borderId="449" xfId="0" applyNumberFormat="1" applyBorder="1" applyAlignment="1">
      <alignment horizontal="right"/>
    </xf>
    <xf numFmtId="168" fontId="0" fillId="0" borderId="18" xfId="0" applyBorder="1" applyAlignment="1">
      <alignment vertical="top" wrapText="1"/>
    </xf>
    <xf numFmtId="168" fontId="0" fillId="0" borderId="450" xfId="0" applyBorder="1"/>
    <xf numFmtId="168" fontId="18" fillId="0" borderId="33" xfId="0" applyFont="1" applyBorder="1" applyAlignment="1">
      <alignment horizontal="center" vertical="top" wrapText="1"/>
    </xf>
    <xf numFmtId="0" fontId="34" fillId="0" borderId="277" xfId="7" applyNumberFormat="1" applyFont="1" applyBorder="1" applyAlignment="1" applyProtection="1">
      <alignment horizontal="left" vertical="center"/>
    </xf>
    <xf numFmtId="1" fontId="34" fillId="0" borderId="451" xfId="0" applyNumberFormat="1" applyFont="1" applyBorder="1" applyAlignment="1" applyProtection="1">
      <alignment horizontal="right" wrapText="1"/>
      <protection locked="0"/>
    </xf>
    <xf numFmtId="1" fontId="34" fillId="0" borderId="452" xfId="0" applyNumberFormat="1" applyFont="1" applyBorder="1" applyAlignment="1" applyProtection="1">
      <alignment horizontal="right" wrapText="1"/>
      <protection locked="0"/>
    </xf>
    <xf numFmtId="1" fontId="34" fillId="0" borderId="453" xfId="0" applyNumberFormat="1" applyFont="1" applyBorder="1" applyAlignment="1" applyProtection="1">
      <alignment horizontal="right" wrapText="1"/>
      <protection locked="0"/>
    </xf>
    <xf numFmtId="1" fontId="34" fillId="0" borderId="454" xfId="0" applyNumberFormat="1" applyFont="1" applyBorder="1" applyAlignment="1" applyProtection="1">
      <alignment horizontal="right"/>
      <protection locked="0"/>
    </xf>
    <xf numFmtId="1" fontId="34" fillId="0" borderId="455" xfId="0" applyNumberFormat="1" applyFont="1" applyBorder="1" applyAlignment="1" applyProtection="1">
      <alignment horizontal="right" wrapText="1"/>
      <protection locked="0"/>
    </xf>
    <xf numFmtId="1" fontId="34" fillId="0" borderId="456" xfId="0" applyNumberFormat="1" applyFont="1" applyBorder="1" applyAlignment="1" applyProtection="1">
      <alignment horizontal="right"/>
      <protection locked="0"/>
    </xf>
    <xf numFmtId="168" fontId="34" fillId="0" borderId="457" xfId="0" applyFont="1" applyBorder="1" applyAlignment="1">
      <alignment horizontal="left"/>
    </xf>
    <xf numFmtId="168" fontId="34" fillId="0" borderId="42" xfId="0" applyFont="1" applyBorder="1" applyAlignment="1">
      <alignment horizontal="right" wrapText="1"/>
    </xf>
    <xf numFmtId="168" fontId="34" fillId="0" borderId="79" xfId="0" applyFont="1" applyBorder="1" applyAlignment="1">
      <alignment horizontal="right" wrapText="1"/>
    </xf>
    <xf numFmtId="168" fontId="34" fillId="0" borderId="43" xfId="0" applyFont="1" applyBorder="1" applyAlignment="1">
      <alignment horizontal="right"/>
    </xf>
    <xf numFmtId="168" fontId="34" fillId="0" borderId="42" xfId="0" applyFont="1" applyBorder="1" applyAlignment="1">
      <alignment horizontal="right"/>
    </xf>
    <xf numFmtId="0" fontId="7" fillId="12" borderId="0" xfId="22" applyFont="1" applyFill="1"/>
    <xf numFmtId="0" fontId="7" fillId="0" borderId="0" xfId="22" applyFont="1"/>
    <xf numFmtId="0" fontId="7" fillId="0" borderId="0" xfId="22" applyFont="1" applyAlignment="1">
      <alignment wrapText="1"/>
    </xf>
    <xf numFmtId="3" fontId="34" fillId="0" borderId="103" xfId="0" applyNumberFormat="1" applyFont="1" applyBorder="1" applyProtection="1">
      <protection locked="0"/>
    </xf>
    <xf numFmtId="3" fontId="34" fillId="11" borderId="458" xfId="0" applyNumberFormat="1" applyFont="1" applyFill="1" applyBorder="1"/>
    <xf numFmtId="3" fontId="34" fillId="11" borderId="459" xfId="0" applyNumberFormat="1" applyFont="1" applyFill="1" applyBorder="1"/>
    <xf numFmtId="3" fontId="34" fillId="11" borderId="460" xfId="0" applyNumberFormat="1" applyFont="1" applyFill="1" applyBorder="1"/>
    <xf numFmtId="3" fontId="34" fillId="11" borderId="104" xfId="0" applyNumberFormat="1" applyFont="1" applyFill="1" applyBorder="1"/>
    <xf numFmtId="3" fontId="34" fillId="0" borderId="461" xfId="0" applyNumberFormat="1" applyFont="1" applyBorder="1" applyProtection="1">
      <protection locked="0"/>
    </xf>
    <xf numFmtId="3" fontId="34" fillId="11" borderId="462" xfId="0" applyNumberFormat="1" applyFont="1" applyFill="1" applyBorder="1"/>
    <xf numFmtId="3" fontId="34" fillId="11" borderId="281" xfId="0" applyNumberFormat="1" applyFont="1" applyFill="1" applyBorder="1"/>
    <xf numFmtId="3" fontId="34" fillId="11" borderId="271" xfId="0" applyNumberFormat="1" applyFont="1" applyFill="1" applyBorder="1"/>
    <xf numFmtId="3" fontId="34" fillId="11" borderId="87" xfId="0" applyNumberFormat="1" applyFont="1" applyFill="1" applyBorder="1"/>
    <xf numFmtId="3" fontId="34" fillId="11" borderId="79" xfId="0" applyNumberFormat="1" applyFont="1" applyFill="1" applyBorder="1"/>
    <xf numFmtId="3" fontId="34" fillId="11" borderId="257" xfId="0" applyNumberFormat="1" applyFont="1" applyFill="1" applyBorder="1"/>
    <xf numFmtId="3" fontId="34" fillId="5" borderId="463" xfId="0" applyNumberFormat="1" applyFont="1" applyFill="1" applyBorder="1"/>
    <xf numFmtId="3" fontId="34" fillId="11" borderId="464" xfId="0" applyNumberFormat="1" applyFont="1" applyFill="1" applyBorder="1"/>
    <xf numFmtId="3" fontId="34" fillId="11" borderId="88" xfId="0" applyNumberFormat="1" applyFont="1" applyFill="1" applyBorder="1"/>
    <xf numFmtId="3" fontId="34" fillId="5" borderId="465" xfId="0" applyNumberFormat="1" applyFont="1" applyFill="1" applyBorder="1"/>
    <xf numFmtId="0" fontId="6" fillId="0" borderId="0" xfId="22" applyFont="1"/>
    <xf numFmtId="9" fontId="34" fillId="11" borderId="410" xfId="20" applyNumberFormat="1" applyFont="1" applyFill="1" applyBorder="1"/>
    <xf numFmtId="3" fontId="34" fillId="0" borderId="382" xfId="20" applyNumberFormat="1" applyFont="1" applyBorder="1"/>
    <xf numFmtId="3" fontId="34" fillId="0" borderId="0" xfId="20" applyNumberFormat="1" applyFont="1"/>
    <xf numFmtId="3" fontId="34" fillId="0" borderId="93" xfId="20" applyNumberFormat="1" applyFont="1" applyBorder="1"/>
    <xf numFmtId="3" fontId="34" fillId="0" borderId="411" xfId="20" applyNumberFormat="1" applyFont="1" applyBorder="1"/>
    <xf numFmtId="3" fontId="34" fillId="0" borderId="423" xfId="20" applyNumberFormat="1" applyFont="1" applyBorder="1"/>
    <xf numFmtId="3" fontId="34" fillId="0" borderId="418" xfId="20" applyNumberFormat="1" applyFont="1" applyBorder="1"/>
    <xf numFmtId="3" fontId="34" fillId="0" borderId="78" xfId="20" applyNumberFormat="1" applyFont="1" applyBorder="1"/>
    <xf numFmtId="3" fontId="34" fillId="0" borderId="183" xfId="20" applyNumberFormat="1" applyFont="1" applyBorder="1"/>
    <xf numFmtId="3" fontId="34" fillId="0" borderId="244" xfId="20" applyNumberFormat="1" applyFont="1" applyBorder="1"/>
    <xf numFmtId="3" fontId="34" fillId="0" borderId="248" xfId="20" applyNumberFormat="1" applyFont="1" applyBorder="1"/>
    <xf numFmtId="3" fontId="34" fillId="0" borderId="239" xfId="20" applyNumberFormat="1" applyFont="1" applyBorder="1"/>
    <xf numFmtId="3" fontId="34" fillId="0" borderId="245" xfId="20" applyNumberFormat="1" applyFont="1" applyBorder="1"/>
    <xf numFmtId="3" fontId="34" fillId="0" borderId="78" xfId="25" applyNumberFormat="1" applyFont="1" applyFill="1" applyBorder="1"/>
    <xf numFmtId="3" fontId="88" fillId="0" borderId="93" xfId="25" applyNumberFormat="1" applyFont="1" applyFill="1" applyBorder="1"/>
    <xf numFmtId="3" fontId="88" fillId="0" borderId="183" xfId="25" applyNumberFormat="1" applyFont="1" applyFill="1" applyBorder="1"/>
    <xf numFmtId="3" fontId="88" fillId="0" borderId="78" xfId="25" applyNumberFormat="1" applyFont="1" applyFill="1" applyBorder="1"/>
    <xf numFmtId="0" fontId="34" fillId="27" borderId="37" xfId="0" applyNumberFormat="1" applyFont="1" applyFill="1" applyBorder="1"/>
    <xf numFmtId="0" fontId="34" fillId="0" borderId="125" xfId="20" applyFont="1" applyBorder="1" applyAlignment="1">
      <alignment horizontal="left"/>
    </xf>
    <xf numFmtId="3" fontId="34" fillId="0" borderId="466" xfId="20" applyNumberFormat="1" applyFont="1" applyBorder="1"/>
    <xf numFmtId="3" fontId="34" fillId="0" borderId="125" xfId="20" applyNumberFormat="1" applyFont="1" applyBorder="1"/>
    <xf numFmtId="3" fontId="34" fillId="0" borderId="467" xfId="20" applyNumberFormat="1" applyFont="1" applyBorder="1"/>
    <xf numFmtId="9" fontId="88" fillId="0" borderId="466" xfId="25" applyFont="1" applyFill="1" applyBorder="1"/>
    <xf numFmtId="9" fontId="88" fillId="0" borderId="125" xfId="25" applyFont="1" applyFill="1" applyBorder="1"/>
    <xf numFmtId="9" fontId="88" fillId="0" borderId="467" xfId="25" applyFont="1" applyFill="1" applyBorder="1"/>
    <xf numFmtId="1" fontId="88" fillId="0" borderId="256" xfId="25" applyNumberFormat="1" applyFont="1" applyFill="1" applyBorder="1"/>
    <xf numFmtId="1" fontId="34" fillId="0" borderId="125" xfId="20" applyNumberFormat="1" applyFont="1" applyBorder="1"/>
    <xf numFmtId="1" fontId="34" fillId="0" borderId="138" xfId="20" applyNumberFormat="1" applyFont="1" applyBorder="1"/>
    <xf numFmtId="9" fontId="34" fillId="0" borderId="125" xfId="20" applyNumberFormat="1" applyFont="1" applyBorder="1"/>
    <xf numFmtId="3" fontId="34" fillId="0" borderId="238" xfId="20" applyNumberFormat="1" applyFont="1" applyBorder="1"/>
    <xf numFmtId="1" fontId="88" fillId="11" borderId="240" xfId="25" applyNumberFormat="1" applyFont="1" applyFill="1" applyBorder="1"/>
    <xf numFmtId="1" fontId="34" fillId="11" borderId="238" xfId="20" applyNumberFormat="1" applyFont="1" applyFill="1" applyBorder="1"/>
    <xf numFmtId="1" fontId="34" fillId="11" borderId="241" xfId="20" applyNumberFormat="1" applyFont="1" applyFill="1" applyBorder="1"/>
    <xf numFmtId="9" fontId="34" fillId="0" borderId="238" xfId="20" applyNumberFormat="1" applyFont="1" applyBorder="1"/>
    <xf numFmtId="0" fontId="27" fillId="0" borderId="0" xfId="0" applyNumberFormat="1" applyFont="1" applyAlignment="1">
      <alignment vertical="center"/>
    </xf>
    <xf numFmtId="0" fontId="34" fillId="0" borderId="0" xfId="0" applyNumberFormat="1" applyFont="1" applyAlignment="1">
      <alignment vertical="center"/>
    </xf>
    <xf numFmtId="3" fontId="34" fillId="0" borderId="0" xfId="13" applyNumberFormat="1" applyFont="1"/>
    <xf numFmtId="0" fontId="5" fillId="0" borderId="0" xfId="90"/>
    <xf numFmtId="0" fontId="34" fillId="0" borderId="0" xfId="13" applyNumberFormat="1" applyFont="1" applyAlignment="1">
      <alignment horizontal="left"/>
    </xf>
    <xf numFmtId="1" fontId="34" fillId="0" borderId="0" xfId="13" applyNumberFormat="1" applyFont="1" applyAlignment="1">
      <alignment horizontal="left"/>
    </xf>
    <xf numFmtId="4" fontId="34" fillId="0" borderId="0" xfId="13" applyNumberFormat="1" applyFont="1" applyAlignment="1">
      <alignment horizontal="right"/>
    </xf>
    <xf numFmtId="168" fontId="87" fillId="0" borderId="0" xfId="13" applyFont="1"/>
    <xf numFmtId="3" fontId="87" fillId="0" borderId="0" xfId="86" applyNumberFormat="1" applyFont="1">
      <alignment vertical="center"/>
    </xf>
    <xf numFmtId="0" fontId="87" fillId="0" borderId="0" xfId="13" applyNumberFormat="1" applyFont="1" applyAlignment="1">
      <alignment horizontal="right"/>
    </xf>
    <xf numFmtId="2" fontId="34" fillId="0" borderId="0" xfId="13" applyNumberFormat="1" applyFont="1"/>
    <xf numFmtId="3" fontId="87" fillId="0" borderId="0" xfId="13" applyNumberFormat="1" applyFont="1"/>
    <xf numFmtId="3" fontId="87" fillId="0" borderId="0" xfId="13" applyNumberFormat="1" applyFont="1" applyAlignment="1">
      <alignment vertical="top"/>
    </xf>
    <xf numFmtId="3" fontId="34" fillId="0" borderId="0" xfId="13" applyNumberFormat="1" applyFont="1" applyAlignment="1">
      <alignment vertical="top"/>
    </xf>
    <xf numFmtId="0" fontId="34" fillId="0" borderId="0" xfId="13" applyNumberFormat="1" applyFont="1"/>
    <xf numFmtId="1" fontId="34" fillId="12" borderId="0" xfId="13" applyNumberFormat="1" applyFont="1" applyFill="1" applyAlignment="1">
      <alignment horizontal="left"/>
    </xf>
    <xf numFmtId="1" fontId="34" fillId="12" borderId="5" xfId="13" applyNumberFormat="1" applyFont="1" applyFill="1" applyBorder="1" applyAlignment="1">
      <alignment horizontal="left"/>
    </xf>
    <xf numFmtId="0" fontId="5" fillId="0" borderId="361" xfId="90" applyBorder="1"/>
    <xf numFmtId="0" fontId="5" fillId="0" borderId="362" xfId="90" applyBorder="1"/>
    <xf numFmtId="1" fontId="34" fillId="0" borderId="0" xfId="13" applyNumberFormat="1" applyFont="1"/>
    <xf numFmtId="4" fontId="34" fillId="0" borderId="1" xfId="13" applyNumberFormat="1" applyFont="1" applyBorder="1" applyAlignment="1">
      <alignment horizontal="right"/>
    </xf>
    <xf numFmtId="3" fontId="34" fillId="0" borderId="1" xfId="13" applyNumberFormat="1" applyFont="1" applyBorder="1" applyAlignment="1">
      <alignment horizontal="right"/>
    </xf>
    <xf numFmtId="3" fontId="34" fillId="0" borderId="1" xfId="13" applyNumberFormat="1" applyFont="1" applyBorder="1"/>
    <xf numFmtId="2" fontId="34" fillId="12" borderId="0" xfId="13" applyNumberFormat="1" applyFont="1" applyFill="1" applyAlignment="1">
      <alignment horizontal="center"/>
    </xf>
    <xf numFmtId="4" fontId="34" fillId="0" borderId="469" xfId="13" applyNumberFormat="1" applyFont="1" applyBorder="1" applyAlignment="1">
      <alignment horizontal="right"/>
    </xf>
    <xf numFmtId="49" fontId="34" fillId="6" borderId="470" xfId="13" applyNumberFormat="1" applyFont="1" applyFill="1" applyBorder="1" applyAlignment="1">
      <alignment horizontal="right" wrapText="1"/>
    </xf>
    <xf numFmtId="49" fontId="34" fillId="6" borderId="471" xfId="13" applyNumberFormat="1" applyFont="1" applyFill="1" applyBorder="1" applyAlignment="1">
      <alignment horizontal="right" wrapText="1"/>
    </xf>
    <xf numFmtId="49" fontId="34" fillId="6" borderId="472" xfId="13" applyNumberFormat="1" applyFont="1" applyFill="1" applyBorder="1" applyAlignment="1">
      <alignment horizontal="right" wrapText="1"/>
    </xf>
    <xf numFmtId="49" fontId="34" fillId="6" borderId="473" xfId="13" applyNumberFormat="1" applyFont="1" applyFill="1" applyBorder="1" applyAlignment="1">
      <alignment horizontal="right" wrapText="1"/>
    </xf>
    <xf numFmtId="4" fontId="103" fillId="6" borderId="471" xfId="13" applyNumberFormat="1" applyFont="1" applyFill="1" applyBorder="1" applyAlignment="1">
      <alignment horizontal="right"/>
    </xf>
    <xf numFmtId="0" fontId="34" fillId="6" borderId="474" xfId="13" applyNumberFormat="1" applyFont="1" applyFill="1" applyBorder="1" applyAlignment="1">
      <alignment horizontal="right"/>
    </xf>
    <xf numFmtId="4" fontId="34" fillId="6" borderId="473" xfId="13" applyNumberFormat="1" applyFont="1" applyFill="1" applyBorder="1" applyAlignment="1">
      <alignment horizontal="right"/>
    </xf>
    <xf numFmtId="3" fontId="34" fillId="0" borderId="477" xfId="13" applyNumberFormat="1" applyFont="1" applyBorder="1" applyAlignment="1">
      <alignment horizontal="left"/>
    </xf>
    <xf numFmtId="3" fontId="91" fillId="0" borderId="477" xfId="13" applyNumberFormat="1" applyFont="1" applyBorder="1"/>
    <xf numFmtId="3" fontId="91" fillId="0" borderId="0" xfId="13" applyNumberFormat="1" applyFont="1" applyAlignment="1">
      <alignment vertical="top" wrapText="1"/>
    </xf>
    <xf numFmtId="49" fontId="34" fillId="6" borderId="478" xfId="13" applyNumberFormat="1" applyFont="1" applyFill="1" applyBorder="1" applyAlignment="1">
      <alignment horizontal="right" wrapText="1"/>
    </xf>
    <xf numFmtId="49" fontId="34" fillId="6" borderId="0" xfId="13" applyNumberFormat="1" applyFont="1" applyFill="1" applyAlignment="1">
      <alignment horizontal="right" wrapText="1"/>
    </xf>
    <xf numFmtId="49" fontId="34" fillId="6" borderId="469" xfId="13" applyNumberFormat="1" applyFont="1" applyFill="1" applyBorder="1" applyAlignment="1">
      <alignment horizontal="right" wrapText="1"/>
    </xf>
    <xf numFmtId="49" fontId="34" fillId="6" borderId="479" xfId="13" applyNumberFormat="1" applyFont="1" applyFill="1" applyBorder="1" applyAlignment="1">
      <alignment horizontal="right" wrapText="1"/>
    </xf>
    <xf numFmtId="4" fontId="103" fillId="6" borderId="266" xfId="13" applyNumberFormat="1" applyFont="1" applyFill="1" applyBorder="1" applyAlignment="1">
      <alignment horizontal="right"/>
    </xf>
    <xf numFmtId="0" fontId="34" fillId="6" borderId="60" xfId="13" applyNumberFormat="1" applyFont="1" applyFill="1" applyBorder="1" applyAlignment="1">
      <alignment horizontal="right"/>
    </xf>
    <xf numFmtId="0" fontId="34" fillId="6" borderId="266" xfId="13" applyNumberFormat="1" applyFont="1" applyFill="1" applyBorder="1" applyAlignment="1">
      <alignment horizontal="right"/>
    </xf>
    <xf numFmtId="3" fontId="34" fillId="0" borderId="358" xfId="13" applyNumberFormat="1" applyFont="1" applyBorder="1" applyAlignment="1">
      <alignment horizontal="left"/>
    </xf>
    <xf numFmtId="3" fontId="91" fillId="0" borderId="358" xfId="13" applyNumberFormat="1" applyFont="1" applyBorder="1" applyAlignment="1">
      <alignment horizontal="left"/>
    </xf>
    <xf numFmtId="3" fontId="91" fillId="0" borderId="358" xfId="13" applyNumberFormat="1" applyFont="1" applyBorder="1" applyAlignment="1">
      <alignment vertical="top" wrapText="1"/>
    </xf>
    <xf numFmtId="49" fontId="34" fillId="6" borderId="216" xfId="13" applyNumberFormat="1" applyFont="1" applyFill="1" applyBorder="1" applyAlignment="1">
      <alignment horizontal="right" wrapText="1"/>
    </xf>
    <xf numFmtId="3" fontId="34" fillId="0" borderId="0" xfId="13" applyNumberFormat="1" applyFont="1" applyAlignment="1">
      <alignment horizontal="left"/>
    </xf>
    <xf numFmtId="3" fontId="91" fillId="0" borderId="0" xfId="13" applyNumberFormat="1" applyFont="1" applyAlignment="1">
      <alignment horizontal="left"/>
    </xf>
    <xf numFmtId="49" fontId="34" fillId="6" borderId="99" xfId="13" applyNumberFormat="1" applyFont="1" applyFill="1" applyBorder="1" applyAlignment="1">
      <alignment horizontal="right" wrapText="1"/>
    </xf>
    <xf numFmtId="4" fontId="103" fillId="6" borderId="86" xfId="13" applyNumberFormat="1" applyFont="1" applyFill="1" applyBorder="1" applyAlignment="1">
      <alignment horizontal="right"/>
    </xf>
    <xf numFmtId="0" fontId="34" fillId="6" borderId="73" xfId="13" applyNumberFormat="1" applyFont="1" applyFill="1" applyBorder="1" applyAlignment="1">
      <alignment horizontal="right"/>
    </xf>
    <xf numFmtId="4" fontId="34" fillId="6" borderId="99" xfId="13" applyNumberFormat="1" applyFont="1" applyFill="1" applyBorder="1" applyAlignment="1">
      <alignment horizontal="right"/>
    </xf>
    <xf numFmtId="49" fontId="34" fillId="6" borderId="483" xfId="13" applyNumberFormat="1" applyFont="1" applyFill="1" applyBorder="1" applyAlignment="1">
      <alignment horizontal="right" wrapText="1"/>
    </xf>
    <xf numFmtId="49" fontId="34" fillId="6" borderId="484" xfId="13" applyNumberFormat="1" applyFont="1" applyFill="1" applyBorder="1" applyAlignment="1">
      <alignment horizontal="right" wrapText="1"/>
    </xf>
    <xf numFmtId="49" fontId="34" fillId="6" borderId="485" xfId="13" applyNumberFormat="1" applyFont="1" applyFill="1" applyBorder="1" applyAlignment="1">
      <alignment horizontal="right" wrapText="1"/>
    </xf>
    <xf numFmtId="49" fontId="34" fillId="6" borderId="486" xfId="13" applyNumberFormat="1" applyFont="1" applyFill="1" applyBorder="1" applyAlignment="1">
      <alignment horizontal="right" wrapText="1"/>
    </xf>
    <xf numFmtId="4" fontId="103" fillId="6" borderId="487" xfId="13" applyNumberFormat="1" applyFont="1" applyFill="1" applyBorder="1" applyAlignment="1">
      <alignment horizontal="right"/>
    </xf>
    <xf numFmtId="0" fontId="34" fillId="6" borderId="488" xfId="13" applyNumberFormat="1" applyFont="1" applyFill="1" applyBorder="1" applyAlignment="1">
      <alignment horizontal="right"/>
    </xf>
    <xf numFmtId="3" fontId="34" fillId="0" borderId="484" xfId="13" applyNumberFormat="1" applyFont="1" applyBorder="1" applyAlignment="1">
      <alignment horizontal="left"/>
    </xf>
    <xf numFmtId="3" fontId="91" fillId="0" borderId="0" xfId="13" applyNumberFormat="1" applyFont="1"/>
    <xf numFmtId="0" fontId="34" fillId="6" borderId="124" xfId="13" applyNumberFormat="1" applyFont="1" applyFill="1" applyBorder="1" applyAlignment="1">
      <alignment horizontal="right"/>
    </xf>
    <xf numFmtId="3" fontId="34" fillId="0" borderId="112" xfId="13" applyNumberFormat="1" applyFont="1" applyBorder="1" applyAlignment="1">
      <alignment horizontal="left"/>
    </xf>
    <xf numFmtId="3" fontId="34" fillId="0" borderId="112" xfId="13" applyNumberFormat="1" applyFont="1" applyBorder="1"/>
    <xf numFmtId="3" fontId="37" fillId="0" borderId="112" xfId="13" applyNumberFormat="1" applyFont="1" applyBorder="1" applyAlignment="1">
      <alignment vertical="top" wrapText="1"/>
    </xf>
    <xf numFmtId="2" fontId="34" fillId="12" borderId="0" xfId="13" applyNumberFormat="1" applyFont="1" applyFill="1" applyAlignment="1">
      <alignment horizontal="center" wrapText="1"/>
    </xf>
    <xf numFmtId="2" fontId="34" fillId="0" borderId="495" xfId="13" applyNumberFormat="1" applyFont="1" applyBorder="1" applyAlignment="1">
      <alignment horizontal="right"/>
    </xf>
    <xf numFmtId="2" fontId="34" fillId="0" borderId="499" xfId="13" applyNumberFormat="1" applyFont="1" applyBorder="1" applyAlignment="1">
      <alignment horizontal="right"/>
    </xf>
    <xf numFmtId="2" fontId="34" fillId="0" borderId="504" xfId="13" applyNumberFormat="1" applyFont="1" applyBorder="1" applyAlignment="1">
      <alignment horizontal="right"/>
    </xf>
    <xf numFmtId="2" fontId="34" fillId="0" borderId="510" xfId="13" applyNumberFormat="1" applyFont="1" applyBorder="1" applyAlignment="1">
      <alignment horizontal="right"/>
    </xf>
    <xf numFmtId="3" fontId="34" fillId="0" borderId="144" xfId="13" applyNumberFormat="1" applyFont="1" applyBorder="1" applyAlignment="1">
      <alignment horizontal="left"/>
    </xf>
    <xf numFmtId="3" fontId="91" fillId="0" borderId="144" xfId="13" applyNumberFormat="1" applyFont="1" applyBorder="1"/>
    <xf numFmtId="2" fontId="34" fillId="0" borderId="515" xfId="13" applyNumberFormat="1" applyFont="1" applyBorder="1" applyAlignment="1">
      <alignment horizontal="right"/>
    </xf>
    <xf numFmtId="3" fontId="34" fillId="0" borderId="142" xfId="13" applyNumberFormat="1" applyFont="1" applyBorder="1" applyAlignment="1">
      <alignment horizontal="left"/>
    </xf>
    <xf numFmtId="3" fontId="34" fillId="0" borderId="142" xfId="13" applyNumberFormat="1" applyFont="1" applyBorder="1"/>
    <xf numFmtId="2" fontId="34" fillId="0" borderId="520" xfId="13" applyNumberFormat="1" applyFont="1" applyBorder="1" applyAlignment="1">
      <alignment horizontal="right"/>
    </xf>
    <xf numFmtId="3" fontId="91" fillId="0" borderId="0" xfId="13" applyNumberFormat="1" applyFont="1" applyAlignment="1">
      <alignment horizontal="left" wrapText="1"/>
    </xf>
    <xf numFmtId="3" fontId="34" fillId="0" borderId="0" xfId="13" applyNumberFormat="1" applyFont="1" applyAlignment="1">
      <alignment wrapText="1"/>
    </xf>
    <xf numFmtId="2" fontId="34" fillId="18" borderId="0" xfId="13" applyNumberFormat="1" applyFont="1" applyFill="1" applyAlignment="1">
      <alignment vertical="center" wrapText="1"/>
    </xf>
    <xf numFmtId="3" fontId="34" fillId="0" borderId="469" xfId="13" applyNumberFormat="1" applyFont="1" applyBorder="1" applyAlignment="1">
      <alignment horizontal="left"/>
    </xf>
    <xf numFmtId="3" fontId="34" fillId="0" borderId="523" xfId="13" applyNumberFormat="1" applyFont="1" applyBorder="1" applyAlignment="1">
      <alignment horizontal="left" wrapText="1"/>
    </xf>
    <xf numFmtId="3" fontId="34" fillId="0" borderId="101" xfId="13" applyNumberFormat="1" applyFont="1" applyBorder="1" applyAlignment="1">
      <alignment horizontal="left" wrapText="1"/>
    </xf>
    <xf numFmtId="3" fontId="34" fillId="0" borderId="524" xfId="13" applyNumberFormat="1" applyFont="1" applyBorder="1" applyAlignment="1">
      <alignment horizontal="left" wrapText="1"/>
    </xf>
    <xf numFmtId="3" fontId="34" fillId="0" borderId="500" xfId="13" applyNumberFormat="1" applyFont="1" applyBorder="1" applyAlignment="1">
      <alignment horizontal="left" wrapText="1"/>
    </xf>
    <xf numFmtId="3" fontId="34" fillId="0" borderId="100" xfId="13" applyNumberFormat="1" applyFont="1" applyBorder="1" applyAlignment="1">
      <alignment horizontal="left" wrapText="1"/>
    </xf>
    <xf numFmtId="3" fontId="34" fillId="0" borderId="468" xfId="13" applyNumberFormat="1" applyFont="1" applyBorder="1" applyAlignment="1">
      <alignment horizontal="left" wrapText="1"/>
    </xf>
    <xf numFmtId="3" fontId="34" fillId="0" borderId="42" xfId="13" applyNumberFormat="1" applyFont="1" applyBorder="1" applyAlignment="1">
      <alignment horizontal="left"/>
    </xf>
    <xf numFmtId="3" fontId="34" fillId="0" borderId="42" xfId="13" applyNumberFormat="1" applyFont="1" applyBorder="1"/>
    <xf numFmtId="3" fontId="34" fillId="0" borderId="42" xfId="13" applyNumberFormat="1" applyFont="1" applyBorder="1" applyAlignment="1">
      <alignment wrapText="1"/>
    </xf>
    <xf numFmtId="3" fontId="37" fillId="0" borderId="100" xfId="13" applyNumberFormat="1" applyFont="1" applyBorder="1" applyAlignment="1">
      <alignment horizontal="left" vertical="center" wrapText="1"/>
    </xf>
    <xf numFmtId="3" fontId="37" fillId="0" borderId="469" xfId="13" applyNumberFormat="1" applyFont="1" applyBorder="1" applyAlignment="1">
      <alignment horizontal="left" vertical="center" wrapText="1"/>
    </xf>
    <xf numFmtId="175" fontId="37" fillId="0" borderId="529" xfId="13" applyNumberFormat="1" applyFont="1" applyBorder="1" applyAlignment="1">
      <alignment horizontal="center" vertical="center" wrapText="1"/>
    </xf>
    <xf numFmtId="3" fontId="37" fillId="0" borderId="358" xfId="13" applyNumberFormat="1" applyFont="1" applyBorder="1" applyAlignment="1">
      <alignment horizontal="center" vertical="center" wrapText="1"/>
    </xf>
    <xf numFmtId="3" fontId="37" fillId="0" borderId="0" xfId="13" applyNumberFormat="1" applyFont="1" applyAlignment="1">
      <alignment horizontal="center" vertical="center" wrapText="1"/>
    </xf>
    <xf numFmtId="3" fontId="34" fillId="0" borderId="358" xfId="13" applyNumberFormat="1" applyFont="1" applyBorder="1"/>
    <xf numFmtId="3" fontId="34" fillId="0" borderId="0" xfId="90" applyNumberFormat="1" applyFont="1"/>
    <xf numFmtId="0" fontId="34" fillId="0" borderId="0" xfId="90" applyFont="1"/>
    <xf numFmtId="0" fontId="34" fillId="0" borderId="0" xfId="90" quotePrefix="1" applyFont="1" applyAlignment="1">
      <alignment horizontal="center" wrapText="1"/>
    </xf>
    <xf numFmtId="3" fontId="34" fillId="0" borderId="0" xfId="90" applyNumberFormat="1" applyFont="1" applyAlignment="1">
      <alignment horizontal="right"/>
    </xf>
    <xf numFmtId="167" fontId="34" fillId="0" borderId="0" xfId="91" quotePrefix="1" applyNumberFormat="1" applyFont="1" applyBorder="1" applyAlignment="1" applyProtection="1">
      <alignment horizontal="center"/>
    </xf>
    <xf numFmtId="0" fontId="34" fillId="12" borderId="0" xfId="90" applyFont="1" applyFill="1" applyAlignment="1">
      <alignment horizontal="center"/>
    </xf>
    <xf numFmtId="0" fontId="34" fillId="12" borderId="0" xfId="90" applyFont="1" applyFill="1" applyAlignment="1">
      <alignment horizontal="center" wrapText="1"/>
    </xf>
    <xf numFmtId="3" fontId="34" fillId="0" borderId="358" xfId="90" applyNumberFormat="1" applyFont="1" applyBorder="1"/>
    <xf numFmtId="0" fontId="91" fillId="0" borderId="358" xfId="90" applyFont="1" applyBorder="1"/>
    <xf numFmtId="3" fontId="91" fillId="0" borderId="0" xfId="90" applyNumberFormat="1" applyFont="1"/>
    <xf numFmtId="3" fontId="34" fillId="0" borderId="142" xfId="90" applyNumberFormat="1" applyFont="1" applyBorder="1"/>
    <xf numFmtId="0" fontId="34" fillId="18" borderId="0" xfId="90" applyFont="1" applyFill="1" applyAlignment="1">
      <alignment horizontal="center" wrapText="1"/>
    </xf>
    <xf numFmtId="3" fontId="34" fillId="0" borderId="42" xfId="90" applyNumberFormat="1" applyFont="1" applyBorder="1" applyAlignment="1">
      <alignment horizontal="left" wrapText="1"/>
    </xf>
    <xf numFmtId="3" fontId="34" fillId="0" borderId="4" xfId="90" applyNumberFormat="1" applyFont="1" applyBorder="1"/>
    <xf numFmtId="3" fontId="37" fillId="0" borderId="358" xfId="90" applyNumberFormat="1" applyFont="1" applyBorder="1" applyAlignment="1">
      <alignment horizontal="center" vertical="center" wrapText="1"/>
    </xf>
    <xf numFmtId="3" fontId="37" fillId="0" borderId="358" xfId="90" applyNumberFormat="1" applyFont="1" applyBorder="1" applyAlignment="1">
      <alignment vertical="center" wrapText="1"/>
    </xf>
    <xf numFmtId="3" fontId="18" fillId="0" borderId="0" xfId="90" applyNumberFormat="1" applyFont="1"/>
    <xf numFmtId="1" fontId="34" fillId="12" borderId="531" xfId="13" applyNumberFormat="1" applyFont="1" applyFill="1" applyBorder="1" applyAlignment="1">
      <alignment horizontal="left"/>
    </xf>
    <xf numFmtId="3" fontId="34" fillId="0" borderId="469" xfId="13" applyNumberFormat="1" applyFont="1" applyBorder="1" applyAlignment="1">
      <alignment horizontal="right"/>
    </xf>
    <xf numFmtId="3" fontId="34" fillId="0" borderId="469" xfId="13" applyNumberFormat="1" applyFont="1" applyBorder="1" applyAlignment="1">
      <alignment horizontal="right" wrapText="1"/>
    </xf>
    <xf numFmtId="3" fontId="34" fillId="0" borderId="469" xfId="13" applyNumberFormat="1" applyFont="1" applyBorder="1"/>
    <xf numFmtId="0" fontId="89" fillId="0" borderId="0" xfId="90" applyFont="1" applyAlignment="1">
      <alignment horizontal="left"/>
    </xf>
    <xf numFmtId="0" fontId="34" fillId="0" borderId="0" xfId="90" applyFont="1" applyAlignment="1">
      <alignment horizontal="left"/>
    </xf>
    <xf numFmtId="0" fontId="34" fillId="0" borderId="0" xfId="90" applyFont="1" applyAlignment="1">
      <alignment horizontal="center"/>
    </xf>
    <xf numFmtId="0" fontId="34" fillId="0" borderId="0" xfId="90" applyFont="1" applyAlignment="1">
      <alignment horizontal="right"/>
    </xf>
    <xf numFmtId="3" fontId="93" fillId="0" borderId="0" xfId="90" applyNumberFormat="1" applyFont="1" applyAlignment="1">
      <alignment horizontal="right"/>
    </xf>
    <xf numFmtId="3" fontId="93" fillId="0" borderId="0" xfId="90" applyNumberFormat="1" applyFont="1" applyAlignment="1">
      <alignment horizontal="left"/>
    </xf>
    <xf numFmtId="3" fontId="91" fillId="0" borderId="0" xfId="90" applyNumberFormat="1" applyFont="1" applyAlignment="1">
      <alignment horizontal="left"/>
    </xf>
    <xf numFmtId="4" fontId="34" fillId="0" borderId="0" xfId="90" applyNumberFormat="1" applyFont="1" applyAlignment="1">
      <alignment horizontal="right"/>
    </xf>
    <xf numFmtId="0" fontId="34" fillId="12" borderId="0" xfId="90" applyFont="1" applyFill="1" applyAlignment="1">
      <alignment horizontal="center" vertical="center"/>
    </xf>
    <xf numFmtId="0" fontId="5" fillId="0" borderId="469" xfId="90" applyBorder="1"/>
    <xf numFmtId="49" fontId="34" fillId="6" borderId="530" xfId="13" applyNumberFormat="1" applyFont="1" applyFill="1" applyBorder="1" applyAlignment="1">
      <alignment horizontal="right" wrapText="1"/>
    </xf>
    <xf numFmtId="49" fontId="34" fillId="6" borderId="358" xfId="13" applyNumberFormat="1" applyFont="1" applyFill="1" applyBorder="1" applyAlignment="1">
      <alignment horizontal="right" wrapText="1"/>
    </xf>
    <xf numFmtId="49" fontId="34" fillId="6" borderId="532" xfId="13" applyNumberFormat="1" applyFont="1" applyFill="1" applyBorder="1" applyAlignment="1">
      <alignment horizontal="right" wrapText="1"/>
    </xf>
    <xf numFmtId="49" fontId="34" fillId="6" borderId="533" xfId="13" applyNumberFormat="1" applyFont="1" applyFill="1" applyBorder="1" applyAlignment="1">
      <alignment horizontal="right" wrapText="1"/>
    </xf>
    <xf numFmtId="4" fontId="103" fillId="6" borderId="75" xfId="13" applyNumberFormat="1" applyFont="1" applyFill="1" applyBorder="1" applyAlignment="1">
      <alignment horizontal="right"/>
    </xf>
    <xf numFmtId="4" fontId="103" fillId="6" borderId="534" xfId="13" applyNumberFormat="1" applyFont="1" applyFill="1" applyBorder="1" applyAlignment="1">
      <alignment horizontal="right"/>
    </xf>
    <xf numFmtId="0" fontId="34" fillId="6" borderId="358" xfId="13" applyNumberFormat="1" applyFont="1" applyFill="1" applyBorder="1" applyAlignment="1">
      <alignment horizontal="right"/>
    </xf>
    <xf numFmtId="4" fontId="34" fillId="6" borderId="445" xfId="13" applyNumberFormat="1" applyFont="1" applyFill="1" applyBorder="1" applyAlignment="1">
      <alignment horizontal="right"/>
    </xf>
    <xf numFmtId="3" fontId="34" fillId="0" borderId="358" xfId="90" applyNumberFormat="1" applyFont="1" applyBorder="1" applyAlignment="1">
      <alignment horizontal="left"/>
    </xf>
    <xf numFmtId="3" fontId="91" fillId="0" borderId="358" xfId="90" applyNumberFormat="1" applyFont="1" applyBorder="1"/>
    <xf numFmtId="3" fontId="91" fillId="0" borderId="358" xfId="90" applyNumberFormat="1" applyFont="1" applyBorder="1" applyAlignment="1">
      <alignment horizontal="left"/>
    </xf>
    <xf numFmtId="49" fontId="34" fillId="6" borderId="535" xfId="13" applyNumberFormat="1" applyFont="1" applyFill="1" applyBorder="1" applyAlignment="1">
      <alignment horizontal="right" wrapText="1"/>
    </xf>
    <xf numFmtId="49" fontId="34" fillId="6" borderId="42" xfId="13" applyNumberFormat="1" applyFont="1" applyFill="1" applyBorder="1" applyAlignment="1">
      <alignment horizontal="right" wrapText="1"/>
    </xf>
    <xf numFmtId="49" fontId="34" fillId="6" borderId="524" xfId="13" applyNumberFormat="1" applyFont="1" applyFill="1" applyBorder="1" applyAlignment="1">
      <alignment horizontal="right" wrapText="1"/>
    </xf>
    <xf numFmtId="49" fontId="34" fillId="6" borderId="517" xfId="13" applyNumberFormat="1" applyFont="1" applyFill="1" applyBorder="1" applyAlignment="1">
      <alignment horizontal="right" wrapText="1"/>
    </xf>
    <xf numFmtId="4" fontId="103" fillId="6" borderId="57" xfId="13" applyNumberFormat="1" applyFont="1" applyFill="1" applyBorder="1" applyAlignment="1">
      <alignment horizontal="right"/>
    </xf>
    <xf numFmtId="4" fontId="103" fillId="6" borderId="66" xfId="13" applyNumberFormat="1" applyFont="1" applyFill="1" applyBorder="1" applyAlignment="1">
      <alignment horizontal="right"/>
    </xf>
    <xf numFmtId="0" fontId="34" fillId="6" borderId="57" xfId="13" applyNumberFormat="1" applyFont="1" applyFill="1" applyBorder="1" applyAlignment="1">
      <alignment horizontal="right"/>
    </xf>
    <xf numFmtId="4" fontId="34" fillId="6" borderId="153" xfId="13" applyNumberFormat="1" applyFont="1" applyFill="1" applyBorder="1" applyAlignment="1">
      <alignment horizontal="right"/>
    </xf>
    <xf numFmtId="3" fontId="34" fillId="0" borderId="42" xfId="90" applyNumberFormat="1" applyFont="1" applyBorder="1" applyAlignment="1">
      <alignment horizontal="left" vertical="top"/>
    </xf>
    <xf numFmtId="3" fontId="91" fillId="0" borderId="42" xfId="90" applyNumberFormat="1" applyFont="1" applyBorder="1" applyAlignment="1">
      <alignment vertical="top"/>
    </xf>
    <xf numFmtId="49" fontId="34" fillId="6" borderId="482" xfId="13" applyNumberFormat="1" applyFont="1" applyFill="1" applyBorder="1" applyAlignment="1">
      <alignment horizontal="right" wrapText="1"/>
    </xf>
    <xf numFmtId="4" fontId="103" fillId="6" borderId="73" xfId="13" applyNumberFormat="1" applyFont="1" applyFill="1" applyBorder="1" applyAlignment="1">
      <alignment horizontal="right"/>
    </xf>
    <xf numFmtId="4" fontId="103" fillId="6" borderId="217" xfId="13" applyNumberFormat="1" applyFont="1" applyFill="1" applyBorder="1" applyAlignment="1">
      <alignment horizontal="right"/>
    </xf>
    <xf numFmtId="3" fontId="34" fillId="0" borderId="0" xfId="90" applyNumberFormat="1" applyFont="1" applyAlignment="1">
      <alignment horizontal="left" vertical="top"/>
    </xf>
    <xf numFmtId="3" fontId="34" fillId="0" borderId="0" xfId="90" applyNumberFormat="1" applyFont="1" applyAlignment="1">
      <alignment vertical="top"/>
    </xf>
    <xf numFmtId="3" fontId="34" fillId="0" borderId="536" xfId="90" applyNumberFormat="1" applyFont="1" applyBorder="1" applyAlignment="1">
      <alignment horizontal="left" vertical="top"/>
    </xf>
    <xf numFmtId="3" fontId="91" fillId="0" borderId="144" xfId="90" applyNumberFormat="1" applyFont="1" applyBorder="1" applyAlignment="1">
      <alignment vertical="top"/>
    </xf>
    <xf numFmtId="3" fontId="91" fillId="0" borderId="0" xfId="90" applyNumberFormat="1" applyFont="1" applyAlignment="1">
      <alignment horizontal="left" vertical="top" wrapText="1"/>
    </xf>
    <xf numFmtId="3" fontId="37" fillId="0" borderId="0" xfId="90" applyNumberFormat="1" applyFont="1" applyAlignment="1">
      <alignment horizontal="left" vertical="top" wrapText="1"/>
    </xf>
    <xf numFmtId="3" fontId="34" fillId="0" borderId="125" xfId="90" applyNumberFormat="1" applyFont="1" applyBorder="1" applyAlignment="1">
      <alignment horizontal="left" vertical="top"/>
    </xf>
    <xf numFmtId="3" fontId="91" fillId="0" borderId="125" xfId="90" applyNumberFormat="1" applyFont="1" applyBorder="1" applyAlignment="1">
      <alignment vertical="top"/>
    </xf>
    <xf numFmtId="3" fontId="91" fillId="0" borderId="125" xfId="90" applyNumberFormat="1" applyFont="1" applyBorder="1" applyAlignment="1">
      <alignment horizontal="left" vertical="top"/>
    </xf>
    <xf numFmtId="3" fontId="91" fillId="0" borderId="0" xfId="90" applyNumberFormat="1" applyFont="1" applyAlignment="1">
      <alignment horizontal="left" vertical="top"/>
    </xf>
    <xf numFmtId="3" fontId="34" fillId="0" borderId="0" xfId="90" applyNumberFormat="1" applyFont="1" applyAlignment="1">
      <alignment horizontal="left" vertical="top" wrapText="1"/>
    </xf>
    <xf numFmtId="3" fontId="91" fillId="0" borderId="42" xfId="90" applyNumberFormat="1" applyFont="1" applyBorder="1" applyAlignment="1">
      <alignment horizontal="left" vertical="top"/>
    </xf>
    <xf numFmtId="3" fontId="34" fillId="0" borderId="142" xfId="90" applyNumberFormat="1" applyFont="1" applyBorder="1" applyAlignment="1">
      <alignment vertical="top"/>
    </xf>
    <xf numFmtId="3" fontId="34" fillId="0" borderId="142" xfId="90" applyNumberFormat="1" applyFont="1" applyBorder="1" applyAlignment="1">
      <alignment horizontal="left" vertical="top"/>
    </xf>
    <xf numFmtId="3" fontId="34" fillId="0" borderId="43" xfId="90" applyNumberFormat="1" applyFont="1" applyBorder="1" applyAlignment="1">
      <alignment horizontal="left" vertical="top"/>
    </xf>
    <xf numFmtId="3" fontId="34" fillId="0" borderId="42" xfId="90" applyNumberFormat="1" applyFont="1" applyBorder="1" applyAlignment="1">
      <alignment vertical="top"/>
    </xf>
    <xf numFmtId="3" fontId="34" fillId="0" borderId="144" xfId="90" applyNumberFormat="1" applyFont="1" applyBorder="1" applyAlignment="1">
      <alignment vertical="top"/>
    </xf>
    <xf numFmtId="4" fontId="34" fillId="6" borderId="523" xfId="13" applyNumberFormat="1" applyFont="1" applyFill="1" applyBorder="1" applyAlignment="1">
      <alignment horizontal="left"/>
    </xf>
    <xf numFmtId="4" fontId="34" fillId="6" borderId="101" xfId="13" applyNumberFormat="1" applyFont="1" applyFill="1" applyBorder="1" applyAlignment="1">
      <alignment horizontal="left"/>
    </xf>
    <xf numFmtId="4" fontId="34" fillId="6" borderId="42" xfId="13" applyNumberFormat="1" applyFont="1" applyFill="1" applyBorder="1" applyAlignment="1">
      <alignment horizontal="left"/>
    </xf>
    <xf numFmtId="49" fontId="34" fillId="6" borderId="546" xfId="13" applyNumberFormat="1" applyFont="1" applyFill="1" applyBorder="1" applyAlignment="1">
      <alignment horizontal="left" wrapText="1"/>
    </xf>
    <xf numFmtId="2" fontId="34" fillId="6" borderId="547" xfId="13" applyNumberFormat="1" applyFont="1" applyFill="1" applyBorder="1" applyAlignment="1">
      <alignment horizontal="right"/>
    </xf>
    <xf numFmtId="2" fontId="34" fillId="6" borderId="548" xfId="13" applyNumberFormat="1" applyFont="1" applyFill="1" applyBorder="1" applyAlignment="1">
      <alignment horizontal="right"/>
    </xf>
    <xf numFmtId="4" fontId="34" fillId="6" borderId="549" xfId="13" applyNumberFormat="1" applyFont="1" applyFill="1" applyBorder="1" applyAlignment="1">
      <alignment horizontal="right"/>
    </xf>
    <xf numFmtId="0" fontId="34" fillId="6" borderId="550" xfId="13" applyNumberFormat="1" applyFont="1" applyFill="1" applyBorder="1" applyAlignment="1">
      <alignment horizontal="right"/>
    </xf>
    <xf numFmtId="4" fontId="34" fillId="6" borderId="551" xfId="13" applyNumberFormat="1" applyFont="1" applyFill="1" applyBorder="1" applyAlignment="1">
      <alignment horizontal="right"/>
    </xf>
    <xf numFmtId="4" fontId="34" fillId="6" borderId="552" xfId="13" applyNumberFormat="1" applyFont="1" applyFill="1" applyBorder="1" applyAlignment="1">
      <alignment horizontal="left"/>
    </xf>
    <xf numFmtId="4" fontId="34" fillId="6" borderId="553" xfId="13" applyNumberFormat="1" applyFont="1" applyFill="1" applyBorder="1" applyAlignment="1">
      <alignment horizontal="left"/>
    </xf>
    <xf numFmtId="4" fontId="34" fillId="6" borderId="554" xfId="13" applyNumberFormat="1" applyFont="1" applyFill="1" applyBorder="1" applyAlignment="1">
      <alignment horizontal="left"/>
    </xf>
    <xf numFmtId="49" fontId="34" fillId="6" borderId="552" xfId="13" applyNumberFormat="1" applyFont="1" applyFill="1" applyBorder="1" applyAlignment="1">
      <alignment horizontal="left" wrapText="1"/>
    </xf>
    <xf numFmtId="2" fontId="34" fillId="6" borderId="553" xfId="13" applyNumberFormat="1" applyFont="1" applyFill="1" applyBorder="1" applyAlignment="1">
      <alignment horizontal="right"/>
    </xf>
    <xf numFmtId="2" fontId="34" fillId="6" borderId="555" xfId="13" applyNumberFormat="1" applyFont="1" applyFill="1" applyBorder="1" applyAlignment="1">
      <alignment horizontal="right"/>
    </xf>
    <xf numFmtId="4" fontId="34" fillId="6" borderId="552" xfId="13" applyNumberFormat="1" applyFont="1" applyFill="1" applyBorder="1" applyAlignment="1">
      <alignment horizontal="right"/>
    </xf>
    <xf numFmtId="0" fontId="34" fillId="6" borderId="553" xfId="13" applyNumberFormat="1" applyFont="1" applyFill="1" applyBorder="1" applyAlignment="1">
      <alignment horizontal="right"/>
    </xf>
    <xf numFmtId="4" fontId="34" fillId="6" borderId="555" xfId="13" applyNumberFormat="1" applyFont="1" applyFill="1" applyBorder="1" applyAlignment="1">
      <alignment horizontal="right"/>
    </xf>
    <xf numFmtId="4" fontId="34" fillId="6" borderId="517" xfId="13" applyNumberFormat="1" applyFont="1" applyFill="1" applyBorder="1" applyAlignment="1">
      <alignment horizontal="left"/>
    </xf>
    <xf numFmtId="4" fontId="34" fillId="6" borderId="57" xfId="13" applyNumberFormat="1" applyFont="1" applyFill="1" applyBorder="1" applyAlignment="1">
      <alignment horizontal="left"/>
    </xf>
    <xf numFmtId="4" fontId="34" fillId="6" borderId="140" xfId="13" applyNumberFormat="1" applyFont="1" applyFill="1" applyBorder="1" applyAlignment="1">
      <alignment horizontal="left"/>
    </xf>
    <xf numFmtId="4" fontId="34" fillId="6" borderId="517" xfId="13" applyNumberFormat="1" applyFont="1" applyFill="1" applyBorder="1" applyAlignment="1">
      <alignment horizontal="right"/>
    </xf>
    <xf numFmtId="4" fontId="34" fillId="6" borderId="66" xfId="13" applyNumberFormat="1" applyFont="1" applyFill="1" applyBorder="1" applyAlignment="1">
      <alignment horizontal="right"/>
    </xf>
    <xf numFmtId="4" fontId="34" fillId="6" borderId="563" xfId="13" applyNumberFormat="1" applyFont="1" applyFill="1" applyBorder="1" applyAlignment="1">
      <alignment horizontal="left"/>
    </xf>
    <xf numFmtId="4" fontId="34" fillId="6" borderId="564" xfId="13" applyNumberFormat="1" applyFont="1" applyFill="1" applyBorder="1" applyAlignment="1">
      <alignment horizontal="left"/>
    </xf>
    <xf numFmtId="4" fontId="34" fillId="6" borderId="565" xfId="13" applyNumberFormat="1" applyFont="1" applyFill="1" applyBorder="1" applyAlignment="1">
      <alignment horizontal="left"/>
    </xf>
    <xf numFmtId="49" fontId="34" fillId="6" borderId="566" xfId="13" applyNumberFormat="1" applyFont="1" applyFill="1" applyBorder="1" applyAlignment="1">
      <alignment horizontal="left" wrapText="1"/>
    </xf>
    <xf numFmtId="2" fontId="34" fillId="6" borderId="567" xfId="13" applyNumberFormat="1" applyFont="1" applyFill="1" applyBorder="1" applyAlignment="1">
      <alignment horizontal="right"/>
    </xf>
    <xf numFmtId="2" fontId="34" fillId="6" borderId="568" xfId="13" applyNumberFormat="1" applyFont="1" applyFill="1" applyBorder="1" applyAlignment="1">
      <alignment horizontal="right"/>
    </xf>
    <xf numFmtId="4" fontId="34" fillId="6" borderId="563" xfId="13" applyNumberFormat="1" applyFont="1" applyFill="1" applyBorder="1" applyAlignment="1">
      <alignment horizontal="right"/>
    </xf>
    <xf numFmtId="0" fontId="34" fillId="6" borderId="564" xfId="13" applyNumberFormat="1" applyFont="1" applyFill="1" applyBorder="1" applyAlignment="1">
      <alignment horizontal="right"/>
    </xf>
    <xf numFmtId="4" fontId="34" fillId="6" borderId="569" xfId="13" applyNumberFormat="1" applyFont="1" applyFill="1" applyBorder="1" applyAlignment="1">
      <alignment horizontal="right"/>
    </xf>
    <xf numFmtId="0" fontId="34" fillId="18" borderId="0" xfId="90" applyFont="1" applyFill="1" applyAlignment="1">
      <alignment horizontal="center"/>
    </xf>
    <xf numFmtId="3" fontId="34" fillId="0" borderId="42" xfId="90" applyNumberFormat="1" applyFont="1" applyBorder="1" applyAlignment="1">
      <alignment horizontal="left"/>
    </xf>
    <xf numFmtId="0" fontId="34" fillId="0" borderId="358" xfId="90" applyFont="1" applyBorder="1" applyAlignment="1">
      <alignment horizontal="left"/>
    </xf>
    <xf numFmtId="0" fontId="34" fillId="0" borderId="358" xfId="90" applyFont="1" applyBorder="1" applyAlignment="1">
      <alignment horizontal="center"/>
    </xf>
    <xf numFmtId="3" fontId="34" fillId="0" borderId="358" xfId="90" applyNumberFormat="1" applyFont="1" applyBorder="1" applyAlignment="1">
      <alignment wrapText="1"/>
    </xf>
    <xf numFmtId="0" fontId="34" fillId="0" borderId="358" xfId="86" applyFont="1" applyBorder="1" applyAlignment="1">
      <alignment vertical="top"/>
    </xf>
    <xf numFmtId="3" fontId="34" fillId="0" borderId="0" xfId="90" applyNumberFormat="1" applyFont="1" applyAlignment="1">
      <alignment wrapText="1"/>
    </xf>
    <xf numFmtId="3" fontId="34" fillId="0" borderId="0" xfId="90" applyNumberFormat="1" applyFont="1" applyAlignment="1">
      <alignment horizontal="left"/>
    </xf>
    <xf numFmtId="3" fontId="37" fillId="0" borderId="0" xfId="90" applyNumberFormat="1" applyFont="1" applyAlignment="1">
      <alignment horizontal="left"/>
    </xf>
    <xf numFmtId="3" fontId="92" fillId="0" borderId="0" xfId="90" applyNumberFormat="1" applyFont="1" applyAlignment="1">
      <alignment horizontal="left"/>
    </xf>
    <xf numFmtId="3" fontId="37" fillId="0" borderId="0" xfId="90" applyNumberFormat="1" applyFont="1"/>
    <xf numFmtId="3" fontId="34" fillId="0" borderId="1" xfId="90" applyNumberFormat="1" applyFont="1" applyBorder="1"/>
    <xf numFmtId="0" fontId="27" fillId="0" borderId="0" xfId="18" applyFont="1"/>
    <xf numFmtId="3" fontId="27" fillId="0" borderId="0" xfId="18" applyNumberFormat="1" applyFont="1"/>
    <xf numFmtId="3" fontId="27" fillId="12" borderId="0" xfId="18" applyNumberFormat="1" applyFont="1" applyFill="1" applyAlignment="1">
      <alignment horizontal="center"/>
    </xf>
    <xf numFmtId="0" fontId="27" fillId="0" borderId="0" xfId="18" applyFont="1" applyAlignment="1">
      <alignment vertical="center"/>
    </xf>
    <xf numFmtId="0" fontId="27" fillId="12" borderId="0" xfId="18" applyFont="1" applyFill="1" applyAlignment="1">
      <alignment horizontal="center" vertical="center"/>
    </xf>
    <xf numFmtId="3" fontId="27" fillId="0" borderId="0" xfId="18" applyNumberFormat="1" applyFont="1" applyAlignment="1">
      <alignment vertical="center"/>
    </xf>
    <xf numFmtId="3" fontId="25" fillId="0" borderId="43" xfId="18" applyNumberFormat="1" applyFont="1" applyBorder="1" applyAlignment="1">
      <alignment horizontal="right" vertical="center"/>
    </xf>
    <xf numFmtId="3" fontId="25" fillId="0" borderId="42" xfId="18" applyNumberFormat="1" applyFont="1" applyBorder="1" applyAlignment="1">
      <alignment horizontal="right" vertical="center"/>
    </xf>
    <xf numFmtId="168" fontId="37" fillId="0" borderId="41" xfId="26" applyFont="1" applyBorder="1" applyAlignment="1">
      <alignment horizontal="left" vertical="center"/>
    </xf>
    <xf numFmtId="168" fontId="44" fillId="12" borderId="0" xfId="26" applyFont="1" applyFill="1" applyAlignment="1">
      <alignment horizontal="center" vertical="center"/>
    </xf>
    <xf numFmtId="3" fontId="34" fillId="0" borderId="37" xfId="18" applyNumberFormat="1" applyFont="1" applyBorder="1" applyAlignment="1">
      <alignment horizontal="right" vertical="center"/>
    </xf>
    <xf numFmtId="3" fontId="34" fillId="0" borderId="0" xfId="18" applyNumberFormat="1" applyFont="1" applyAlignment="1">
      <alignment vertical="center"/>
    </xf>
    <xf numFmtId="168" fontId="34" fillId="0" borderId="361" xfId="26" applyFont="1" applyBorder="1" applyAlignment="1">
      <alignment vertical="center"/>
    </xf>
    <xf numFmtId="3" fontId="34" fillId="0" borderId="43" xfId="18" applyNumberFormat="1" applyFont="1" applyBorder="1" applyAlignment="1">
      <alignment vertical="center"/>
    </xf>
    <xf numFmtId="3" fontId="34" fillId="0" borderId="42" xfId="18" applyNumberFormat="1" applyFont="1" applyBorder="1" applyAlignment="1">
      <alignment vertical="center"/>
    </xf>
    <xf numFmtId="0" fontId="85" fillId="0" borderId="236" xfId="23" applyFont="1" applyBorder="1" applyAlignment="1">
      <alignment vertical="center" wrapText="1"/>
    </xf>
    <xf numFmtId="168" fontId="27" fillId="12" borderId="0" xfId="26" applyFont="1" applyFill="1" applyAlignment="1">
      <alignment horizontal="center" vertical="center"/>
    </xf>
    <xf numFmtId="3" fontId="34" fillId="0" borderId="11" xfId="18" applyNumberFormat="1" applyFont="1" applyBorder="1" applyAlignment="1">
      <alignment horizontal="right" vertical="center"/>
    </xf>
    <xf numFmtId="3" fontId="34" fillId="0" borderId="9" xfId="18" applyNumberFormat="1" applyFont="1" applyBorder="1" applyAlignment="1">
      <alignment horizontal="right" vertical="center"/>
    </xf>
    <xf numFmtId="0" fontId="85" fillId="0" borderId="175" xfId="23" applyFont="1" applyBorder="1" applyAlignment="1">
      <alignment vertical="center" wrapText="1"/>
    </xf>
    <xf numFmtId="0" fontId="85" fillId="0" borderId="10" xfId="23" applyFont="1" applyBorder="1" applyAlignment="1">
      <alignment vertical="center" wrapText="1"/>
    </xf>
    <xf numFmtId="3" fontId="27" fillId="0" borderId="414" xfId="18" applyNumberFormat="1" applyFont="1" applyBorder="1" applyAlignment="1">
      <alignment horizontal="right" vertical="center"/>
    </xf>
    <xf numFmtId="3" fontId="27" fillId="0" borderId="409" xfId="18" applyNumberFormat="1" applyFont="1" applyBorder="1" applyAlignment="1">
      <alignment horizontal="right" vertical="center"/>
    </xf>
    <xf numFmtId="168" fontId="37" fillId="0" borderId="412" xfId="26" applyFont="1" applyBorder="1" applyAlignment="1">
      <alignment vertical="center"/>
    </xf>
    <xf numFmtId="3" fontId="34" fillId="0" borderId="0" xfId="18" applyNumberFormat="1" applyFont="1" applyAlignment="1">
      <alignment horizontal="right" vertical="center"/>
    </xf>
    <xf numFmtId="3" fontId="34" fillId="0" borderId="269" xfId="18" applyNumberFormat="1" applyFont="1" applyBorder="1" applyAlignment="1">
      <alignment horizontal="right" vertical="center"/>
    </xf>
    <xf numFmtId="3" fontId="34" fillId="0" borderId="237" xfId="18" applyNumberFormat="1" applyFont="1" applyBorder="1" applyAlignment="1">
      <alignment horizontal="right" vertical="center"/>
    </xf>
    <xf numFmtId="168" fontId="34" fillId="0" borderId="41" xfId="26" applyFont="1" applyBorder="1" applyAlignment="1">
      <alignment vertical="center"/>
    </xf>
    <xf numFmtId="168" fontId="34" fillId="0" borderId="175" xfId="26" applyFont="1" applyBorder="1" applyAlignment="1">
      <alignment vertical="center"/>
    </xf>
    <xf numFmtId="3" fontId="34" fillId="0" borderId="172" xfId="18" applyNumberFormat="1" applyFont="1" applyBorder="1" applyAlignment="1">
      <alignment horizontal="right" vertical="center"/>
    </xf>
    <xf numFmtId="3" fontId="34" fillId="0" borderId="171" xfId="18" applyNumberFormat="1" applyFont="1" applyBorder="1" applyAlignment="1">
      <alignment horizontal="right" vertical="center"/>
    </xf>
    <xf numFmtId="0" fontId="85" fillId="0" borderId="175" xfId="88" applyBorder="1">
      <alignment vertical="center" wrapText="1"/>
    </xf>
    <xf numFmtId="3" fontId="27" fillId="0" borderId="0" xfId="18" applyNumberFormat="1" applyFont="1" applyAlignment="1">
      <alignment vertical="center" wrapText="1"/>
    </xf>
    <xf numFmtId="0" fontId="34" fillId="0" borderId="175" xfId="30" applyFont="1" applyBorder="1" applyAlignment="1">
      <alignment vertical="center"/>
    </xf>
    <xf numFmtId="0" fontId="85" fillId="0" borderId="10" xfId="88" applyBorder="1">
      <alignment vertical="center" wrapText="1"/>
    </xf>
    <xf numFmtId="0" fontId="27" fillId="18" borderId="0" xfId="18" applyFont="1" applyFill="1" applyAlignment="1">
      <alignment horizontal="center"/>
    </xf>
    <xf numFmtId="3" fontId="27" fillId="0" borderId="414" xfId="26" applyNumberFormat="1" applyFont="1" applyBorder="1" applyAlignment="1">
      <alignment horizontal="right" vertical="center"/>
    </xf>
    <xf numFmtId="3" fontId="27" fillId="0" borderId="409" xfId="26" applyNumberFormat="1" applyFont="1" applyBorder="1" applyAlignment="1">
      <alignment horizontal="right" vertical="center"/>
    </xf>
    <xf numFmtId="168" fontId="37" fillId="0" borderId="412" xfId="26" applyFont="1" applyBorder="1" applyAlignment="1">
      <alignment horizontal="left" vertical="center"/>
    </xf>
    <xf numFmtId="0" fontId="104" fillId="0" borderId="414" xfId="33" applyFont="1" applyBorder="1" applyAlignment="1">
      <alignment horizontal="right" vertical="center" wrapText="1"/>
    </xf>
    <xf numFmtId="0" fontId="104" fillId="0" borderId="409" xfId="33" applyFont="1" applyBorder="1" applyAlignment="1">
      <alignment horizontal="right" vertical="center" wrapText="1"/>
    </xf>
    <xf numFmtId="168" fontId="104" fillId="0" borderId="409" xfId="26" applyFont="1" applyBorder="1" applyAlignment="1">
      <alignment horizontal="right" vertical="center" wrapText="1"/>
    </xf>
    <xf numFmtId="168" fontId="104" fillId="0" borderId="412" xfId="26" applyFont="1" applyBorder="1" applyAlignment="1">
      <alignment vertical="center" wrapText="1"/>
    </xf>
    <xf numFmtId="0" fontId="34" fillId="0" borderId="0" xfId="18" applyFont="1"/>
    <xf numFmtId="0" fontId="34" fillId="0" borderId="0" xfId="29" applyFont="1"/>
    <xf numFmtId="0" fontId="37" fillId="0" borderId="0" xfId="29" applyFont="1" applyAlignment="1">
      <alignment wrapText="1"/>
    </xf>
    <xf numFmtId="168" fontId="67" fillId="0" borderId="0" xfId="92" applyFont="1" applyFill="1" applyBorder="1" applyAlignment="1">
      <alignment horizontal="left" vertical="top"/>
    </xf>
    <xf numFmtId="0" fontId="43" fillId="0" borderId="0" xfId="18" applyFont="1"/>
    <xf numFmtId="0" fontId="37" fillId="0" borderId="0" xfId="18" applyFont="1" applyAlignment="1">
      <alignment horizontal="left"/>
    </xf>
    <xf numFmtId="0" fontId="43" fillId="0" borderId="410" xfId="18" applyFont="1" applyBorder="1"/>
    <xf numFmtId="0" fontId="27" fillId="0" borderId="0" xfId="18" applyFont="1" applyAlignment="1">
      <alignment horizontal="left"/>
    </xf>
    <xf numFmtId="0" fontId="27" fillId="0" borderId="0" xfId="18" applyFont="1" applyAlignment="1">
      <alignment horizontal="center"/>
    </xf>
    <xf numFmtId="168" fontId="18" fillId="0" borderId="0" xfId="26"/>
    <xf numFmtId="0" fontId="27" fillId="24" borderId="0" xfId="18" applyFont="1" applyFill="1" applyAlignment="1">
      <alignment horizontal="center"/>
    </xf>
    <xf numFmtId="0" fontId="27" fillId="12" borderId="0" xfId="18" applyFont="1" applyFill="1" applyAlignment="1">
      <alignment horizontal="center"/>
    </xf>
    <xf numFmtId="3" fontId="34" fillId="0" borderId="477" xfId="18" applyNumberFormat="1" applyFont="1" applyBorder="1" applyAlignment="1">
      <alignment vertical="center"/>
    </xf>
    <xf numFmtId="4" fontId="34" fillId="0" borderId="477" xfId="18" applyNumberFormat="1" applyFont="1" applyBorder="1" applyAlignment="1">
      <alignment vertical="center"/>
    </xf>
    <xf numFmtId="3" fontId="34" fillId="0" borderId="570" xfId="18" applyNumberFormat="1" applyFont="1" applyBorder="1" applyAlignment="1">
      <alignment vertical="center"/>
    </xf>
    <xf numFmtId="4" fontId="34" fillId="0" borderId="571" xfId="18" applyNumberFormat="1" applyFont="1" applyBorder="1" applyAlignment="1">
      <alignment vertical="center"/>
    </xf>
    <xf numFmtId="0" fontId="37" fillId="0" borderId="477" xfId="18" applyFont="1" applyBorder="1" applyAlignment="1">
      <alignment horizontal="left" vertical="center"/>
    </xf>
    <xf numFmtId="0" fontId="34" fillId="0" borderId="358" xfId="18" applyFont="1" applyBorder="1" applyAlignment="1">
      <alignment horizontal="left" vertical="center"/>
    </xf>
    <xf numFmtId="0" fontId="34" fillId="0" borderId="358" xfId="18" applyFont="1" applyBorder="1" applyAlignment="1">
      <alignment vertical="center"/>
    </xf>
    <xf numFmtId="3" fontId="34" fillId="0" borderId="140" xfId="18" applyNumberFormat="1" applyFont="1" applyBorder="1" applyAlignment="1">
      <alignment vertical="center"/>
    </xf>
    <xf numFmtId="4" fontId="34" fillId="0" borderId="265" xfId="18" applyNumberFormat="1" applyFont="1" applyBorder="1" applyAlignment="1">
      <alignment vertical="center"/>
    </xf>
    <xf numFmtId="3" fontId="34" fillId="0" borderId="151" xfId="18" applyNumberFormat="1" applyFont="1" applyBorder="1" applyAlignment="1">
      <alignment vertical="center"/>
    </xf>
    <xf numFmtId="0" fontId="37" fillId="0" borderId="42" xfId="18" applyFont="1" applyBorder="1" applyAlignment="1">
      <alignment horizontal="left" vertical="center"/>
    </xf>
    <xf numFmtId="0" fontId="37" fillId="0" borderId="0" xfId="18" applyFont="1" applyAlignment="1">
      <alignment horizontal="left" vertical="center"/>
    </xf>
    <xf numFmtId="0" fontId="37" fillId="0" borderId="0" xfId="18" applyFont="1" applyAlignment="1">
      <alignment vertical="center"/>
    </xf>
    <xf numFmtId="3" fontId="34" fillId="0" borderId="219" xfId="18" applyNumberFormat="1" applyFont="1" applyBorder="1" applyAlignment="1">
      <alignment vertical="center"/>
    </xf>
    <xf numFmtId="4" fontId="34" fillId="0" borderId="259" xfId="18" applyNumberFormat="1" applyFont="1" applyBorder="1" applyAlignment="1">
      <alignment vertical="center"/>
    </xf>
    <xf numFmtId="3" fontId="34" fillId="0" borderId="218" xfId="18" applyNumberFormat="1" applyFont="1" applyBorder="1" applyAlignment="1">
      <alignment vertical="center"/>
    </xf>
    <xf numFmtId="4" fontId="34" fillId="0" borderId="219" xfId="18" applyNumberFormat="1" applyFont="1" applyBorder="1" applyAlignment="1">
      <alignment vertical="center"/>
    </xf>
    <xf numFmtId="3" fontId="34" fillId="0" borderId="86" xfId="18" applyNumberFormat="1" applyFont="1" applyBorder="1" applyAlignment="1">
      <alignment vertical="center"/>
    </xf>
    <xf numFmtId="4" fontId="34" fillId="0" borderId="264" xfId="18" applyNumberFormat="1" applyFont="1" applyBorder="1" applyAlignment="1">
      <alignment vertical="center"/>
    </xf>
    <xf numFmtId="3" fontId="34" fillId="0" borderId="149" xfId="18" applyNumberFormat="1" applyFont="1" applyBorder="1" applyAlignment="1">
      <alignment vertical="center"/>
    </xf>
    <xf numFmtId="4" fontId="34" fillId="0" borderId="86" xfId="18" applyNumberFormat="1" applyFont="1" applyBorder="1" applyAlignment="1">
      <alignment vertical="center"/>
    </xf>
    <xf numFmtId="3" fontId="34" fillId="0" borderId="147" xfId="18" applyNumberFormat="1" applyFont="1" applyBorder="1" applyAlignment="1">
      <alignment vertical="center"/>
    </xf>
    <xf numFmtId="4" fontId="34" fillId="0" borderId="572" xfId="18" applyNumberFormat="1" applyFont="1" applyBorder="1" applyAlignment="1">
      <alignment vertical="center"/>
    </xf>
    <xf numFmtId="3" fontId="34" fillId="0" borderId="207" xfId="18" applyNumberFormat="1" applyFont="1" applyBorder="1" applyAlignment="1">
      <alignment vertical="center"/>
    </xf>
    <xf numFmtId="0" fontId="37" fillId="0" borderId="112" xfId="18" applyFont="1" applyBorder="1" applyAlignment="1">
      <alignment horizontal="left" vertical="center"/>
    </xf>
    <xf numFmtId="0" fontId="37" fillId="0" borderId="112" xfId="18" applyFont="1" applyBorder="1" applyAlignment="1">
      <alignment vertical="center"/>
    </xf>
    <xf numFmtId="176" fontId="105" fillId="6" borderId="266" xfId="18" applyNumberFormat="1" applyFont="1" applyFill="1" applyBorder="1" applyAlignment="1">
      <alignment vertical="center"/>
    </xf>
    <xf numFmtId="176" fontId="105" fillId="6" borderId="267" xfId="18" applyNumberFormat="1" applyFont="1" applyFill="1" applyBorder="1" applyAlignment="1">
      <alignment vertical="center"/>
    </xf>
    <xf numFmtId="4" fontId="34" fillId="6" borderId="265" xfId="18" applyNumberFormat="1" applyFont="1" applyFill="1" applyBorder="1" applyAlignment="1">
      <alignment vertical="center"/>
    </xf>
    <xf numFmtId="0" fontId="34" fillId="0" borderId="0" xfId="18" applyFont="1" applyAlignment="1">
      <alignment horizontal="left" vertical="center"/>
    </xf>
    <xf numFmtId="0" fontId="34" fillId="0" borderId="0" xfId="18" applyFont="1" applyAlignment="1">
      <alignment vertical="center"/>
    </xf>
    <xf numFmtId="176" fontId="105" fillId="6" borderId="219" xfId="18" applyNumberFormat="1" applyFont="1" applyFill="1" applyBorder="1" applyAlignment="1">
      <alignment vertical="center"/>
    </xf>
    <xf numFmtId="176" fontId="105" fillId="6" borderId="218" xfId="18" applyNumberFormat="1" applyFont="1" applyFill="1" applyBorder="1" applyAlignment="1">
      <alignment vertical="center"/>
    </xf>
    <xf numFmtId="4" fontId="34" fillId="6" borderId="259" xfId="18" applyNumberFormat="1" applyFont="1" applyFill="1" applyBorder="1" applyAlignment="1">
      <alignment vertical="center"/>
    </xf>
    <xf numFmtId="176" fontId="105" fillId="6" borderId="86" xfId="18" applyNumberFormat="1" applyFont="1" applyFill="1" applyBorder="1" applyAlignment="1">
      <alignment vertical="center"/>
    </xf>
    <xf numFmtId="176" fontId="105" fillId="6" borderId="149" xfId="18" applyNumberFormat="1" applyFont="1" applyFill="1" applyBorder="1" applyAlignment="1">
      <alignment vertical="center"/>
    </xf>
    <xf numFmtId="4" fontId="34" fillId="6" borderId="264" xfId="18" applyNumberFormat="1" applyFont="1" applyFill="1" applyBorder="1" applyAlignment="1">
      <alignment vertical="center"/>
    </xf>
    <xf numFmtId="176" fontId="105" fillId="6" borderId="146" xfId="18" applyNumberFormat="1" applyFont="1" applyFill="1" applyBorder="1" applyAlignment="1">
      <alignment vertical="center"/>
    </xf>
    <xf numFmtId="176" fontId="105" fillId="6" borderId="148" xfId="18" applyNumberFormat="1" applyFont="1" applyFill="1" applyBorder="1" applyAlignment="1">
      <alignment vertical="center"/>
    </xf>
    <xf numFmtId="4" fontId="34" fillId="6" borderId="573" xfId="18" applyNumberFormat="1" applyFont="1" applyFill="1" applyBorder="1" applyAlignment="1">
      <alignment vertical="center"/>
    </xf>
    <xf numFmtId="0" fontId="34" fillId="0" borderId="6" xfId="18" applyFont="1" applyBorder="1" applyAlignment="1">
      <alignment horizontal="left" vertical="center"/>
    </xf>
    <xf numFmtId="176" fontId="105" fillId="6" borderId="261" xfId="18" applyNumberFormat="1" applyFont="1" applyFill="1" applyBorder="1" applyAlignment="1">
      <alignment vertical="center"/>
    </xf>
    <xf numFmtId="176" fontId="105" fillId="6" borderId="262" xfId="18" applyNumberFormat="1" applyFont="1" applyFill="1" applyBorder="1" applyAlignment="1">
      <alignment vertical="center"/>
    </xf>
    <xf numFmtId="4" fontId="34" fillId="6" borderId="260" xfId="18" applyNumberFormat="1" applyFont="1" applyFill="1" applyBorder="1" applyAlignment="1">
      <alignment vertical="center"/>
    </xf>
    <xf numFmtId="0" fontId="34" fillId="0" borderId="9" xfId="18" applyFont="1" applyBorder="1" applyAlignment="1">
      <alignment horizontal="left" vertical="center"/>
    </xf>
    <xf numFmtId="0" fontId="34" fillId="0" borderId="142" xfId="18" applyFont="1" applyBorder="1" applyAlignment="1">
      <alignment horizontal="left" vertical="center"/>
    </xf>
    <xf numFmtId="0" fontId="34" fillId="0" borderId="142" xfId="18" applyFont="1" applyBorder="1" applyAlignment="1">
      <alignment vertical="center"/>
    </xf>
    <xf numFmtId="176" fontId="105" fillId="6" borderId="140" xfId="18" applyNumberFormat="1" applyFont="1" applyFill="1" applyBorder="1" applyAlignment="1">
      <alignment vertical="center"/>
    </xf>
    <xf numFmtId="176" fontId="105" fillId="6" borderId="151" xfId="18" applyNumberFormat="1" applyFont="1" applyFill="1" applyBorder="1" applyAlignment="1">
      <alignment vertical="center"/>
    </xf>
    <xf numFmtId="4" fontId="34" fillId="6" borderId="263" xfId="18" applyNumberFormat="1" applyFont="1" applyFill="1" applyBorder="1" applyAlignment="1">
      <alignment vertical="center"/>
    </xf>
    <xf numFmtId="0" fontId="34" fillId="0" borderId="42" xfId="18" applyFont="1" applyBorder="1" applyAlignment="1">
      <alignment horizontal="left" vertical="center"/>
    </xf>
    <xf numFmtId="0" fontId="34" fillId="0" borderId="42" xfId="18" applyFont="1" applyBorder="1" applyAlignment="1">
      <alignment vertical="center"/>
    </xf>
    <xf numFmtId="0" fontId="34" fillId="0" borderId="0" xfId="18" applyFont="1" applyAlignment="1">
      <alignment horizontal="left" vertical="center" wrapText="1"/>
    </xf>
    <xf numFmtId="0" fontId="34" fillId="0" borderId="0" xfId="18" applyFont="1" applyAlignment="1">
      <alignment vertical="center" wrapText="1"/>
    </xf>
    <xf numFmtId="0" fontId="34" fillId="0" borderId="6" xfId="18" applyFont="1" applyBorder="1" applyAlignment="1">
      <alignment vertical="center" wrapText="1"/>
    </xf>
    <xf numFmtId="176" fontId="105" fillId="6" borderId="426" xfId="18" applyNumberFormat="1" applyFont="1" applyFill="1" applyBorder="1" applyAlignment="1">
      <alignment vertical="center"/>
    </xf>
    <xf numFmtId="4" fontId="34" fillId="0" borderId="140" xfId="18" applyNumberFormat="1" applyFont="1" applyBorder="1" applyAlignment="1">
      <alignment vertical="center"/>
    </xf>
    <xf numFmtId="4" fontId="34" fillId="0" borderId="263" xfId="18" applyNumberFormat="1" applyFont="1" applyBorder="1" applyAlignment="1">
      <alignment vertical="center"/>
    </xf>
    <xf numFmtId="3" fontId="34" fillId="0" borderId="146" xfId="18" applyNumberFormat="1" applyFont="1" applyBorder="1" applyAlignment="1">
      <alignment vertical="center"/>
    </xf>
    <xf numFmtId="4" fontId="34" fillId="0" borderId="146" xfId="18" applyNumberFormat="1" applyFont="1" applyBorder="1" applyAlignment="1">
      <alignment vertical="center"/>
    </xf>
    <xf numFmtId="4" fontId="34" fillId="0" borderId="573" xfId="18" applyNumberFormat="1" applyFont="1" applyBorder="1" applyAlignment="1">
      <alignment vertical="center"/>
    </xf>
    <xf numFmtId="3" fontId="34" fillId="0" borderId="261" xfId="18" applyNumberFormat="1" applyFont="1" applyBorder="1" applyAlignment="1">
      <alignment vertical="center"/>
    </xf>
    <xf numFmtId="4" fontId="34" fillId="0" borderId="261" xfId="18" applyNumberFormat="1" applyFont="1" applyBorder="1" applyAlignment="1">
      <alignment vertical="center"/>
    </xf>
    <xf numFmtId="3" fontId="34" fillId="0" borderId="262" xfId="18" applyNumberFormat="1" applyFont="1" applyBorder="1" applyAlignment="1">
      <alignment vertical="center"/>
    </xf>
    <xf numFmtId="4" fontId="34" fillId="0" borderId="260" xfId="18" applyNumberFormat="1" applyFont="1" applyBorder="1" applyAlignment="1">
      <alignment vertical="center"/>
    </xf>
    <xf numFmtId="0" fontId="27" fillId="20" borderId="0" xfId="18" applyFont="1" applyFill="1"/>
    <xf numFmtId="3" fontId="34" fillId="0" borderId="148" xfId="18" applyNumberFormat="1" applyFont="1" applyBorder="1" applyAlignment="1">
      <alignment vertical="center"/>
    </xf>
    <xf numFmtId="3" fontId="34" fillId="0" borderId="268" xfId="18" applyNumberFormat="1" applyFont="1" applyBorder="1" applyAlignment="1">
      <alignment vertical="center"/>
    </xf>
    <xf numFmtId="3" fontId="34" fillId="0" borderId="427" xfId="18" applyNumberFormat="1" applyFont="1" applyBorder="1" applyAlignment="1">
      <alignment vertical="center"/>
    </xf>
    <xf numFmtId="4" fontId="34" fillId="0" borderId="427" xfId="18" applyNumberFormat="1" applyFont="1" applyBorder="1" applyAlignment="1">
      <alignment vertical="center"/>
    </xf>
    <xf numFmtId="3" fontId="34" fillId="0" borderId="426" xfId="18" applyNumberFormat="1" applyFont="1" applyBorder="1" applyAlignment="1">
      <alignment vertical="center"/>
    </xf>
    <xf numFmtId="0" fontId="27" fillId="0" borderId="0" xfId="18" applyFont="1" applyAlignment="1">
      <alignment wrapText="1"/>
    </xf>
    <xf numFmtId="0" fontId="34" fillId="0" borderId="0" xfId="18" applyFont="1" applyAlignment="1">
      <alignment horizontal="right" vertical="center" wrapText="1"/>
    </xf>
    <xf numFmtId="0" fontId="34" fillId="0" borderId="42" xfId="18" applyFont="1" applyBorder="1" applyAlignment="1">
      <alignment horizontal="right" vertical="center" wrapText="1"/>
    </xf>
    <xf numFmtId="0" fontId="34" fillId="0" borderId="37" xfId="18" applyFont="1" applyBorder="1" applyAlignment="1">
      <alignment horizontal="right" vertical="center" wrapText="1"/>
    </xf>
    <xf numFmtId="0" fontId="34" fillId="0" borderId="41" xfId="18" applyFont="1" applyBorder="1" applyAlignment="1">
      <alignment horizontal="right" vertical="center" wrapText="1"/>
    </xf>
    <xf numFmtId="0" fontId="34" fillId="0" borderId="42" xfId="18" applyFont="1" applyBorder="1" applyAlignment="1">
      <alignment horizontal="left" vertical="center" wrapText="1"/>
    </xf>
    <xf numFmtId="0" fontId="34" fillId="0" borderId="42" xfId="18" applyFont="1" applyBorder="1" applyAlignment="1">
      <alignment vertical="center" wrapText="1"/>
    </xf>
    <xf numFmtId="0" fontId="43" fillId="0" borderId="0" xfId="18" applyFont="1" applyAlignment="1">
      <alignment vertical="center"/>
    </xf>
    <xf numFmtId="0" fontId="27" fillId="0" borderId="12" xfId="18" applyFont="1" applyBorder="1" applyAlignment="1">
      <alignment horizontal="left"/>
    </xf>
    <xf numFmtId="0" fontId="25" fillId="0" borderId="12" xfId="18" applyFont="1" applyBorder="1" applyAlignment="1">
      <alignment vertical="top"/>
    </xf>
    <xf numFmtId="15" fontId="27" fillId="0" borderId="0" xfId="18" applyNumberFormat="1" applyFont="1" applyAlignment="1">
      <alignment horizontal="right"/>
    </xf>
    <xf numFmtId="0" fontId="43" fillId="0" borderId="0" xfId="18" applyFont="1" applyAlignment="1">
      <alignment horizontal="left"/>
    </xf>
    <xf numFmtId="168" fontId="62" fillId="0" borderId="0" xfId="26" applyFont="1"/>
    <xf numFmtId="0" fontId="27" fillId="0" borderId="410" xfId="18" applyFont="1" applyBorder="1"/>
    <xf numFmtId="0" fontId="25" fillId="0" borderId="0" xfId="18" applyFont="1"/>
    <xf numFmtId="0" fontId="25" fillId="0" borderId="0" xfId="18" applyFont="1" applyAlignment="1">
      <alignment horizontal="left"/>
    </xf>
    <xf numFmtId="0" fontId="27" fillId="24" borderId="0" xfId="18" applyFont="1" applyFill="1" applyAlignment="1">
      <alignment horizontal="center" vertical="center"/>
    </xf>
    <xf numFmtId="0" fontId="27" fillId="24" borderId="0" xfId="18" applyFont="1" applyFill="1"/>
    <xf numFmtId="0" fontId="27" fillId="18" borderId="0" xfId="18" applyFont="1" applyFill="1"/>
    <xf numFmtId="3" fontId="34" fillId="0" borderId="477" xfId="93" applyNumberFormat="1" applyFont="1" applyBorder="1" applyAlignment="1">
      <alignment vertical="center"/>
    </xf>
    <xf numFmtId="4" fontId="34" fillId="0" borderId="571" xfId="93" applyNumberFormat="1" applyFont="1" applyBorder="1" applyAlignment="1">
      <alignment vertical="center"/>
    </xf>
    <xf numFmtId="3" fontId="34" fillId="0" borderId="570" xfId="18" applyNumberFormat="1" applyFont="1" applyBorder="1" applyAlignment="1">
      <alignment vertical="center" wrapText="1"/>
    </xf>
    <xf numFmtId="4" fontId="34" fillId="0" borderId="477" xfId="18" applyNumberFormat="1" applyFont="1" applyBorder="1" applyAlignment="1">
      <alignment vertical="center" wrapText="1"/>
    </xf>
    <xf numFmtId="4" fontId="34" fillId="0" borderId="570" xfId="18" applyNumberFormat="1" applyFont="1" applyBorder="1" applyAlignment="1">
      <alignment vertical="center" wrapText="1"/>
    </xf>
    <xf numFmtId="4" fontId="34" fillId="0" borderId="574" xfId="18" applyNumberFormat="1" applyFont="1" applyBorder="1" applyAlignment="1">
      <alignment vertical="center" wrapText="1"/>
    </xf>
    <xf numFmtId="3" fontId="34" fillId="0" borderId="570" xfId="26" applyNumberFormat="1" applyFont="1" applyBorder="1" applyAlignment="1">
      <alignment vertical="center" wrapText="1"/>
    </xf>
    <xf numFmtId="4" fontId="34" fillId="0" borderId="477" xfId="26" applyNumberFormat="1" applyFont="1" applyBorder="1" applyAlignment="1">
      <alignment vertical="center" wrapText="1"/>
    </xf>
    <xf numFmtId="4" fontId="34" fillId="0" borderId="374" xfId="26" applyNumberFormat="1" applyFont="1" applyBorder="1" applyAlignment="1">
      <alignment vertical="center" wrapText="1"/>
    </xf>
    <xf numFmtId="0" fontId="37" fillId="0" borderId="477" xfId="18" applyFont="1" applyBorder="1" applyAlignment="1">
      <alignment vertical="center" wrapText="1"/>
    </xf>
    <xf numFmtId="0" fontId="37" fillId="0" borderId="358" xfId="18" applyFont="1" applyBorder="1" applyAlignment="1">
      <alignment horizontal="left" vertical="center" wrapText="1"/>
    </xf>
    <xf numFmtId="3" fontId="34" fillId="0" borderId="6" xfId="93" applyNumberFormat="1" applyFont="1" applyBorder="1" applyAlignment="1">
      <alignment vertical="center"/>
    </xf>
    <xf numFmtId="4" fontId="34" fillId="0" borderId="6" xfId="93" applyNumberFormat="1" applyFont="1" applyBorder="1" applyAlignment="1">
      <alignment vertical="center"/>
    </xf>
    <xf numFmtId="3" fontId="34" fillId="0" borderId="268" xfId="18" applyNumberFormat="1" applyFont="1" applyBorder="1" applyAlignment="1">
      <alignment vertical="center" wrapText="1"/>
    </xf>
    <xf numFmtId="4" fontId="34" fillId="0" borderId="266" xfId="18" applyNumberFormat="1" applyFont="1" applyBorder="1" applyAlignment="1">
      <alignment vertical="center" wrapText="1"/>
    </xf>
    <xf numFmtId="4" fontId="34" fillId="0" borderId="268" xfId="18" applyNumberFormat="1" applyFont="1" applyBorder="1" applyAlignment="1">
      <alignment vertical="center" wrapText="1"/>
    </xf>
    <xf numFmtId="4" fontId="34" fillId="0" borderId="575" xfId="18" applyNumberFormat="1" applyFont="1" applyBorder="1" applyAlignment="1">
      <alignment vertical="center" wrapText="1"/>
    </xf>
    <xf numFmtId="3" fontId="34" fillId="0" borderId="268" xfId="12" applyNumberFormat="1" applyFont="1" applyBorder="1" applyAlignment="1">
      <alignment vertical="center"/>
    </xf>
    <xf numFmtId="4" fontId="34" fillId="0" borderId="266" xfId="26" applyNumberFormat="1" applyFont="1" applyBorder="1" applyAlignment="1">
      <alignment vertical="center" wrapText="1"/>
    </xf>
    <xf numFmtId="4" fontId="34" fillId="0" borderId="282" xfId="26" applyNumberFormat="1" applyFont="1" applyBorder="1" applyAlignment="1">
      <alignment vertical="center" wrapText="1"/>
    </xf>
    <xf numFmtId="0" fontId="37" fillId="0" borderId="0" xfId="18" applyFont="1" applyAlignment="1">
      <alignment horizontal="left" vertical="center" wrapText="1"/>
    </xf>
    <xf numFmtId="3" fontId="34" fillId="0" borderId="147" xfId="93" applyNumberFormat="1" applyFont="1" applyBorder="1" applyAlignment="1">
      <alignment vertical="center"/>
    </xf>
    <xf numFmtId="4" fontId="34" fillId="0" borderId="572" xfId="93" applyNumberFormat="1" applyFont="1" applyBorder="1" applyAlignment="1">
      <alignment vertical="center"/>
    </xf>
    <xf numFmtId="3" fontId="34" fillId="0" borderId="207" xfId="18" applyNumberFormat="1" applyFont="1" applyBorder="1" applyAlignment="1">
      <alignment vertical="center" wrapText="1"/>
    </xf>
    <xf numFmtId="4" fontId="34" fillId="0" borderId="147" xfId="18" applyNumberFormat="1" applyFont="1" applyBorder="1" applyAlignment="1">
      <alignment vertical="center" wrapText="1"/>
    </xf>
    <xf numFmtId="4" fontId="34" fillId="0" borderId="207" xfId="18" applyNumberFormat="1" applyFont="1" applyBorder="1" applyAlignment="1">
      <alignment vertical="center" wrapText="1"/>
    </xf>
    <xf numFmtId="4" fontId="34" fillId="0" borderId="576" xfId="18" applyNumberFormat="1" applyFont="1" applyBorder="1" applyAlignment="1">
      <alignment vertical="center" wrapText="1"/>
    </xf>
    <xf numFmtId="3" fontId="34" fillId="0" borderId="207" xfId="12" applyNumberFormat="1" applyFont="1" applyBorder="1" applyAlignment="1">
      <alignment vertical="center"/>
    </xf>
    <xf numFmtId="4" fontId="34" fillId="0" borderId="147" xfId="26" applyNumberFormat="1" applyFont="1" applyBorder="1" applyAlignment="1">
      <alignment vertical="center" wrapText="1"/>
    </xf>
    <xf numFmtId="4" fontId="34" fillId="0" borderId="577" xfId="26" applyNumberFormat="1" applyFont="1" applyBorder="1" applyAlignment="1">
      <alignment vertical="center" wrapText="1"/>
    </xf>
    <xf numFmtId="0" fontId="37" fillId="0" borderId="112" xfId="18" applyFont="1" applyBorder="1" applyAlignment="1">
      <alignment vertical="center" wrapText="1"/>
    </xf>
    <xf numFmtId="0" fontId="37" fillId="0" borderId="112" xfId="18" applyFont="1" applyBorder="1" applyAlignment="1">
      <alignment horizontal="left" vertical="center" wrapText="1"/>
    </xf>
    <xf numFmtId="3" fontId="34" fillId="0" borderId="268" xfId="93" applyNumberFormat="1" applyFont="1" applyBorder="1" applyAlignment="1">
      <alignment vertical="center"/>
    </xf>
    <xf numFmtId="4" fontId="34" fillId="0" borderId="146" xfId="93" applyNumberFormat="1" applyFont="1" applyBorder="1" applyAlignment="1">
      <alignment vertical="center"/>
    </xf>
    <xf numFmtId="4" fontId="34" fillId="0" borderId="268" xfId="93" applyNumberFormat="1" applyFont="1" applyBorder="1" applyAlignment="1">
      <alignment vertical="center"/>
    </xf>
    <xf numFmtId="4" fontId="34" fillId="0" borderId="575" xfId="93" applyNumberFormat="1" applyFont="1" applyBorder="1" applyAlignment="1">
      <alignment vertical="center"/>
    </xf>
    <xf numFmtId="4" fontId="34" fillId="0" borderId="266" xfId="93" applyNumberFormat="1" applyFont="1" applyBorder="1" applyAlignment="1">
      <alignment vertical="center"/>
    </xf>
    <xf numFmtId="4" fontId="34" fillId="0" borderId="282" xfId="93" applyNumberFormat="1" applyFont="1" applyBorder="1" applyAlignment="1">
      <alignment vertical="center"/>
    </xf>
    <xf numFmtId="0" fontId="34" fillId="0" borderId="0" xfId="93" applyFont="1" applyAlignment="1">
      <alignment vertical="center"/>
    </xf>
    <xf numFmtId="3" fontId="34" fillId="0" borderId="86" xfId="93" applyNumberFormat="1" applyFont="1" applyBorder="1" applyAlignment="1">
      <alignment vertical="center"/>
    </xf>
    <xf numFmtId="4" fontId="34" fillId="0" borderId="86" xfId="93" applyNumberFormat="1" applyFont="1" applyBorder="1" applyAlignment="1">
      <alignment vertical="center"/>
    </xf>
    <xf numFmtId="3" fontId="34" fillId="0" borderId="149" xfId="93" applyNumberFormat="1" applyFont="1" applyBorder="1" applyAlignment="1">
      <alignment vertical="center"/>
    </xf>
    <xf numFmtId="4" fontId="34" fillId="0" borderId="149" xfId="93" applyNumberFormat="1" applyFont="1" applyBorder="1" applyAlignment="1">
      <alignment vertical="center"/>
    </xf>
    <xf numFmtId="4" fontId="34" fillId="0" borderId="382" xfId="93" applyNumberFormat="1" applyFont="1" applyBorder="1" applyAlignment="1">
      <alignment vertical="center"/>
    </xf>
    <xf numFmtId="3" fontId="34" fillId="0" borderId="148" xfId="93" applyNumberFormat="1" applyFont="1" applyBorder="1" applyAlignment="1">
      <alignment vertical="center"/>
    </xf>
    <xf numFmtId="4" fontId="34" fillId="0" borderId="578" xfId="93" applyNumberFormat="1" applyFont="1" applyBorder="1" applyAlignment="1">
      <alignment vertical="center"/>
    </xf>
    <xf numFmtId="0" fontId="34" fillId="0" borderId="6" xfId="93" applyFont="1" applyBorder="1" applyAlignment="1">
      <alignment vertical="center"/>
    </xf>
    <xf numFmtId="3" fontId="34" fillId="0" borderId="171" xfId="93" applyNumberFormat="1" applyFont="1" applyBorder="1" applyAlignment="1">
      <alignment vertical="center"/>
    </xf>
    <xf numFmtId="4" fontId="34" fillId="0" borderId="175" xfId="93" applyNumberFormat="1" applyFont="1" applyBorder="1" applyAlignment="1">
      <alignment vertical="center"/>
    </xf>
    <xf numFmtId="3" fontId="34" fillId="0" borderId="262" xfId="93" applyNumberFormat="1" applyFont="1" applyBorder="1" applyAlignment="1">
      <alignment vertical="center"/>
    </xf>
    <xf numFmtId="4" fontId="34" fillId="0" borderId="261" xfId="93" applyNumberFormat="1" applyFont="1" applyBorder="1" applyAlignment="1">
      <alignment vertical="center"/>
    </xf>
    <xf numFmtId="4" fontId="34" fillId="0" borderId="579" xfId="93" applyNumberFormat="1" applyFont="1" applyBorder="1" applyAlignment="1">
      <alignment vertical="center"/>
    </xf>
    <xf numFmtId="4" fontId="34" fillId="0" borderId="580" xfId="93" applyNumberFormat="1" applyFont="1" applyBorder="1" applyAlignment="1">
      <alignment vertical="center"/>
    </xf>
    <xf numFmtId="3" fontId="34" fillId="0" borderId="146" xfId="93" applyNumberFormat="1" applyFont="1" applyBorder="1" applyAlignment="1">
      <alignment vertical="center"/>
    </xf>
    <xf numFmtId="4" fontId="34" fillId="0" borderId="573" xfId="93" applyNumberFormat="1" applyFont="1" applyBorder="1" applyAlignment="1">
      <alignment vertical="center"/>
    </xf>
    <xf numFmtId="4" fontId="34" fillId="0" borderId="581" xfId="93" applyNumberFormat="1" applyFont="1" applyBorder="1" applyAlignment="1">
      <alignment vertical="center"/>
    </xf>
    <xf numFmtId="0" fontId="34" fillId="0" borderId="9" xfId="93" applyFont="1" applyBorder="1" applyAlignment="1">
      <alignment vertical="center"/>
    </xf>
    <xf numFmtId="168" fontId="18" fillId="52" borderId="0" xfId="26" applyFill="1" applyAlignment="1">
      <alignment horizontal="left" vertical="top" wrapText="1"/>
    </xf>
    <xf numFmtId="4" fontId="34" fillId="0" borderId="224" xfId="93" applyNumberFormat="1" applyFont="1" applyBorder="1" applyAlignment="1">
      <alignment vertical="center"/>
    </xf>
    <xf numFmtId="4" fontId="34" fillId="0" borderId="171" xfId="93" applyNumberFormat="1" applyFont="1" applyBorder="1" applyAlignment="1">
      <alignment vertical="center"/>
    </xf>
    <xf numFmtId="4" fontId="34" fillId="0" borderId="220" xfId="93" applyNumberFormat="1" applyFont="1" applyBorder="1" applyAlignment="1">
      <alignment vertical="center"/>
    </xf>
    <xf numFmtId="3" fontId="34" fillId="0" borderId="261" xfId="93" applyNumberFormat="1" applyFont="1" applyBorder="1" applyAlignment="1">
      <alignment vertical="center"/>
    </xf>
    <xf numFmtId="4" fontId="34" fillId="0" borderId="582" xfId="93" applyNumberFormat="1" applyFont="1" applyBorder="1" applyAlignment="1">
      <alignment vertical="center"/>
    </xf>
    <xf numFmtId="4" fontId="34" fillId="0" borderId="148" xfId="93" applyNumberFormat="1" applyFont="1" applyBorder="1" applyAlignment="1">
      <alignment vertical="center"/>
    </xf>
    <xf numFmtId="4" fontId="34" fillId="0" borderId="583" xfId="93" applyNumberFormat="1" applyFont="1" applyBorder="1" applyAlignment="1">
      <alignment vertical="center"/>
    </xf>
    <xf numFmtId="4" fontId="105" fillId="6" borderId="261" xfId="93" applyNumberFormat="1" applyFont="1" applyFill="1" applyBorder="1" applyAlignment="1">
      <alignment vertical="center"/>
    </xf>
    <xf numFmtId="4" fontId="105" fillId="6" borderId="262" xfId="93" applyNumberFormat="1" applyFont="1" applyFill="1" applyBorder="1" applyAlignment="1">
      <alignment vertical="center"/>
    </xf>
    <xf numFmtId="4" fontId="105" fillId="6" borderId="580" xfId="93" applyNumberFormat="1" applyFont="1" applyFill="1" applyBorder="1" applyAlignment="1">
      <alignment vertical="center"/>
    </xf>
    <xf numFmtId="3" fontId="105" fillId="6" borderId="262" xfId="93" applyNumberFormat="1" applyFont="1" applyFill="1" applyBorder="1" applyAlignment="1">
      <alignment vertical="center"/>
    </xf>
    <xf numFmtId="4" fontId="105" fillId="6" borderId="282" xfId="93" applyNumberFormat="1" applyFont="1" applyFill="1" applyBorder="1" applyAlignment="1">
      <alignment vertical="center"/>
    </xf>
    <xf numFmtId="4" fontId="105" fillId="6" borderId="146" xfId="93" applyNumberFormat="1" applyFont="1" applyFill="1" applyBorder="1" applyAlignment="1">
      <alignment vertical="center"/>
    </xf>
    <xf numFmtId="3" fontId="105" fillId="6" borderId="149" xfId="93" applyNumberFormat="1" applyFont="1" applyFill="1" applyBorder="1" applyAlignment="1">
      <alignment vertical="center"/>
    </xf>
    <xf numFmtId="4" fontId="105" fillId="6" borderId="86" xfId="93" applyNumberFormat="1" applyFont="1" applyFill="1" applyBorder="1" applyAlignment="1">
      <alignment vertical="center"/>
    </xf>
    <xf numFmtId="4" fontId="105" fillId="6" borderId="579" xfId="93" applyNumberFormat="1" applyFont="1" applyFill="1" applyBorder="1" applyAlignment="1">
      <alignment vertical="center"/>
    </xf>
    <xf numFmtId="4" fontId="105" fillId="6" borderId="149" xfId="93" applyNumberFormat="1" applyFont="1" applyFill="1" applyBorder="1" applyAlignment="1">
      <alignment vertical="center"/>
    </xf>
    <xf numFmtId="0" fontId="27" fillId="18" borderId="0" xfId="94" applyFont="1" applyFill="1" applyAlignment="1">
      <alignment horizontal="center" vertical="center" wrapText="1"/>
    </xf>
    <xf numFmtId="0" fontId="34" fillId="0" borderId="41" xfId="94" applyFont="1" applyBorder="1" applyAlignment="1">
      <alignment horizontal="right" vertical="center" wrapText="1"/>
    </xf>
    <xf numFmtId="0" fontId="34" fillId="0" borderId="43" xfId="94" applyFont="1" applyBorder="1" applyAlignment="1">
      <alignment horizontal="right" vertical="center" wrapText="1"/>
    </xf>
    <xf numFmtId="0" fontId="34" fillId="0" borderId="42" xfId="94" applyFont="1" applyBorder="1" applyAlignment="1">
      <alignment horizontal="right" vertical="center" wrapText="1"/>
    </xf>
    <xf numFmtId="168" fontId="34" fillId="0" borderId="584" xfId="26" applyFont="1" applyBorder="1" applyAlignment="1">
      <alignment horizontal="right" vertical="center" wrapText="1"/>
    </xf>
    <xf numFmtId="168" fontId="34" fillId="0" borderId="41" xfId="26" applyFont="1" applyBorder="1" applyAlignment="1">
      <alignment horizontal="right" vertical="center" wrapText="1"/>
    </xf>
    <xf numFmtId="0" fontId="34" fillId="0" borderId="42" xfId="93" applyFont="1" applyBorder="1" applyAlignment="1">
      <alignment vertical="center"/>
    </xf>
    <xf numFmtId="0" fontId="43" fillId="0" borderId="0" xfId="18" applyFont="1" applyAlignment="1">
      <alignment horizontal="center" vertical="center"/>
    </xf>
    <xf numFmtId="0" fontId="27" fillId="0" borderId="358" xfId="18" applyFont="1" applyBorder="1"/>
    <xf numFmtId="0" fontId="25" fillId="0" borderId="358" xfId="18" applyFont="1" applyBorder="1"/>
    <xf numFmtId="0" fontId="27" fillId="0" borderId="358" xfId="18" applyFont="1" applyBorder="1" applyAlignment="1">
      <alignment vertical="top"/>
    </xf>
    <xf numFmtId="0" fontId="37" fillId="0" borderId="0" xfId="18" applyFont="1"/>
    <xf numFmtId="168" fontId="67" fillId="0" borderId="0" xfId="92" applyFont="1" applyFill="1" applyBorder="1" applyAlignment="1">
      <alignment horizontal="left" vertical="center"/>
    </xf>
    <xf numFmtId="168" fontId="18" fillId="0" borderId="0" xfId="26" applyAlignment="1">
      <alignment horizontal="left" vertical="top" wrapText="1"/>
    </xf>
    <xf numFmtId="168" fontId="27" fillId="0" borderId="0" xfId="26" applyFont="1"/>
    <xf numFmtId="168" fontId="27" fillId="0" borderId="0" xfId="26" applyFont="1" applyAlignment="1">
      <alignment horizontal="center"/>
    </xf>
    <xf numFmtId="168" fontId="27" fillId="24" borderId="0" xfId="26" applyFont="1" applyFill="1" applyAlignment="1">
      <alignment horizontal="center"/>
    </xf>
    <xf numFmtId="168" fontId="27" fillId="12" borderId="0" xfId="26" applyFont="1" applyFill="1" applyAlignment="1">
      <alignment horizontal="center"/>
    </xf>
    <xf numFmtId="0" fontId="27" fillId="18" borderId="0" xfId="18" applyFont="1" applyFill="1" applyAlignment="1">
      <alignment horizontal="right" vertical="center"/>
    </xf>
    <xf numFmtId="3" fontId="34" fillId="0" borderId="42" xfId="26" applyNumberFormat="1" applyFont="1" applyBorder="1" applyAlignment="1">
      <alignment vertical="center"/>
    </xf>
    <xf numFmtId="3" fontId="34" fillId="0" borderId="109" xfId="26" applyNumberFormat="1" applyFont="1" applyBorder="1" applyAlignment="1">
      <alignment vertical="center"/>
    </xf>
    <xf numFmtId="3" fontId="34" fillId="0" borderId="43" xfId="26" applyNumberFormat="1" applyFont="1" applyBorder="1" applyAlignment="1">
      <alignment vertical="center"/>
    </xf>
    <xf numFmtId="3" fontId="34" fillId="0" borderId="95" xfId="26" applyNumberFormat="1" applyFont="1" applyBorder="1" applyAlignment="1">
      <alignment vertical="center"/>
    </xf>
    <xf numFmtId="3" fontId="34" fillId="0" borderId="104" xfId="26" applyNumberFormat="1" applyFont="1" applyBorder="1" applyAlignment="1">
      <alignment vertical="center"/>
    </xf>
    <xf numFmtId="3" fontId="34" fillId="0" borderId="41" xfId="26" applyNumberFormat="1" applyFont="1" applyBorder="1" applyAlignment="1">
      <alignment vertical="center"/>
    </xf>
    <xf numFmtId="168" fontId="37" fillId="0" borderId="42" xfId="26" applyFont="1" applyBorder="1" applyAlignment="1">
      <alignment horizontal="left" vertical="center"/>
    </xf>
    <xf numFmtId="3" fontId="34" fillId="0" borderId="324" xfId="26" applyNumberFormat="1" applyFont="1" applyBorder="1" applyAlignment="1">
      <alignment vertical="center"/>
    </xf>
    <xf numFmtId="3" fontId="34" fillId="0" borderId="585" xfId="26" applyNumberFormat="1" applyFont="1" applyBorder="1" applyAlignment="1">
      <alignment vertical="center"/>
    </xf>
    <xf numFmtId="3" fontId="105" fillId="6" borderId="267" xfId="26" applyNumberFormat="1" applyFont="1" applyFill="1" applyBorder="1" applyAlignment="1">
      <alignment vertical="center"/>
    </xf>
    <xf numFmtId="3" fontId="105" fillId="6" borderId="324" xfId="26" applyNumberFormat="1" applyFont="1" applyFill="1" applyBorder="1" applyAlignment="1">
      <alignment vertical="center"/>
    </xf>
    <xf numFmtId="3" fontId="34" fillId="0" borderId="586" xfId="26" applyNumberFormat="1" applyFont="1" applyBorder="1" applyAlignment="1">
      <alignment vertical="center"/>
    </xf>
    <xf numFmtId="3" fontId="34" fillId="0" borderId="587" xfId="26" applyNumberFormat="1" applyFont="1" applyBorder="1" applyAlignment="1">
      <alignment vertical="center"/>
    </xf>
    <xf numFmtId="3" fontId="34" fillId="0" borderId="588" xfId="26" applyNumberFormat="1" applyFont="1" applyBorder="1" applyAlignment="1">
      <alignment vertical="center"/>
    </xf>
    <xf numFmtId="168" fontId="34" fillId="0" borderId="125" xfId="26" applyFont="1" applyBorder="1" applyAlignment="1">
      <alignment horizontal="left" vertical="center"/>
    </xf>
    <xf numFmtId="3" fontId="34" fillId="0" borderId="86" xfId="26" applyNumberFormat="1" applyFont="1" applyBorder="1" applyAlignment="1">
      <alignment vertical="center"/>
    </xf>
    <xf numFmtId="3" fontId="34" fillId="0" borderId="287" xfId="26" applyNumberFormat="1" applyFont="1" applyBorder="1" applyAlignment="1">
      <alignment vertical="center"/>
    </xf>
    <xf numFmtId="3" fontId="34" fillId="0" borderId="149" xfId="26" applyNumberFormat="1" applyFont="1" applyBorder="1" applyAlignment="1">
      <alignment vertical="center"/>
    </xf>
    <xf numFmtId="3" fontId="34" fillId="0" borderId="150" xfId="26" applyNumberFormat="1" applyFont="1" applyBorder="1" applyAlignment="1">
      <alignment vertical="center"/>
    </xf>
    <xf numFmtId="3" fontId="34" fillId="0" borderId="460" xfId="26" applyNumberFormat="1" applyFont="1" applyBorder="1" applyAlignment="1">
      <alignment vertical="center"/>
    </xf>
    <xf numFmtId="3" fontId="34" fillId="0" borderId="264" xfId="26" applyNumberFormat="1" applyFont="1" applyBorder="1" applyAlignment="1">
      <alignment vertical="center"/>
    </xf>
    <xf numFmtId="168" fontId="34" fillId="0" borderId="0" xfId="26" applyFont="1" applyAlignment="1">
      <alignment horizontal="left" vertical="center"/>
    </xf>
    <xf numFmtId="0" fontId="27" fillId="18" borderId="0" xfId="18" applyFont="1" applyFill="1" applyAlignment="1">
      <alignment horizontal="center" vertical="center"/>
    </xf>
    <xf numFmtId="0" fontId="34" fillId="0" borderId="409" xfId="33" applyFont="1" applyBorder="1" applyAlignment="1">
      <alignment horizontal="right" vertical="center" wrapText="1"/>
    </xf>
    <xf numFmtId="0" fontId="34" fillId="0" borderId="589" xfId="33" applyFont="1" applyBorder="1" applyAlignment="1">
      <alignment horizontal="right" vertical="center" wrapText="1"/>
    </xf>
    <xf numFmtId="0" fontId="34" fillId="0" borderId="412" xfId="29" applyFont="1" applyBorder="1" applyAlignment="1">
      <alignment horizontal="right" vertical="center" wrapText="1"/>
    </xf>
    <xf numFmtId="0" fontId="34" fillId="0" borderId="414" xfId="29" applyFont="1" applyBorder="1" applyAlignment="1">
      <alignment horizontal="right" vertical="center" wrapText="1"/>
    </xf>
    <xf numFmtId="168" fontId="34" fillId="0" borderId="413" xfId="26" applyFont="1" applyBorder="1" applyAlignment="1">
      <alignment horizontal="right" vertical="center" wrapText="1"/>
    </xf>
    <xf numFmtId="0" fontId="34" fillId="0" borderId="409" xfId="29" applyFont="1" applyBorder="1" applyAlignment="1">
      <alignment horizontal="right" vertical="center" wrapText="1"/>
    </xf>
    <xf numFmtId="168" fontId="34" fillId="0" borderId="412" xfId="26" applyFont="1" applyBorder="1" applyAlignment="1">
      <alignment horizontal="right" vertical="center" wrapText="1"/>
    </xf>
    <xf numFmtId="0" fontId="34" fillId="0" borderId="589" xfId="29" applyFont="1" applyBorder="1" applyAlignment="1">
      <alignment horizontal="right" vertical="center" wrapText="1"/>
    </xf>
    <xf numFmtId="0" fontId="34" fillId="0" borderId="42" xfId="29" applyFont="1" applyBorder="1" applyAlignment="1">
      <alignment horizontal="left" vertical="center"/>
    </xf>
    <xf numFmtId="0" fontId="25" fillId="0" borderId="258" xfId="29" applyFont="1" applyBorder="1" applyAlignment="1">
      <alignment vertical="top"/>
    </xf>
    <xf numFmtId="0" fontId="27" fillId="0" borderId="0" xfId="18" applyFont="1" applyAlignment="1">
      <alignment horizontal="right"/>
    </xf>
    <xf numFmtId="0" fontId="27" fillId="24" borderId="0" xfId="18" applyFont="1" applyFill="1" applyAlignment="1">
      <alignment horizontal="right"/>
    </xf>
    <xf numFmtId="0" fontId="27" fillId="12" borderId="0" xfId="18" applyFont="1" applyFill="1" applyAlignment="1">
      <alignment horizontal="right"/>
    </xf>
    <xf numFmtId="4" fontId="27" fillId="0" borderId="0" xfId="18" applyNumberFormat="1" applyFont="1"/>
    <xf numFmtId="3" fontId="34" fillId="0" borderId="477" xfId="12" applyNumberFormat="1" applyFont="1" applyBorder="1" applyAlignment="1">
      <alignment vertical="center"/>
    </xf>
    <xf numFmtId="4" fontId="34" fillId="0" borderId="465" xfId="12" applyNumberFormat="1" applyFont="1" applyBorder="1" applyAlignment="1">
      <alignment vertical="center"/>
    </xf>
    <xf numFmtId="3" fontId="34" fillId="0" borderId="590" xfId="12" applyNumberFormat="1" applyFont="1" applyBorder="1" applyAlignment="1">
      <alignment vertical="center"/>
    </xf>
    <xf numFmtId="0" fontId="34" fillId="0" borderId="477" xfId="18" applyFont="1" applyBorder="1" applyAlignment="1">
      <alignment horizontal="left" vertical="center"/>
    </xf>
    <xf numFmtId="3" fontId="105" fillId="6" borderId="237" xfId="12" applyNumberFormat="1" applyFont="1" applyFill="1" applyBorder="1" applyAlignment="1">
      <alignment vertical="center"/>
    </xf>
    <xf numFmtId="3" fontId="34" fillId="0" borderId="237" xfId="12" applyNumberFormat="1" applyFont="1" applyBorder="1" applyAlignment="1">
      <alignment vertical="center"/>
    </xf>
    <xf numFmtId="4" fontId="34" fillId="0" borderId="591" xfId="12" applyNumberFormat="1" applyFont="1" applyBorder="1" applyAlignment="1">
      <alignment vertical="center"/>
    </xf>
    <xf numFmtId="3" fontId="105" fillId="6" borderId="592" xfId="12" applyNumberFormat="1" applyFont="1" applyFill="1" applyBorder="1" applyAlignment="1">
      <alignment vertical="center"/>
    </xf>
    <xf numFmtId="4" fontId="34" fillId="0" borderId="236" xfId="18" applyNumberFormat="1" applyFont="1" applyBorder="1" applyAlignment="1">
      <alignment vertical="center"/>
    </xf>
    <xf numFmtId="0" fontId="37" fillId="0" borderId="237" xfId="18" applyFont="1" applyBorder="1" applyAlignment="1">
      <alignment horizontal="left" vertical="center"/>
    </xf>
    <xf numFmtId="3" fontId="105" fillId="6" borderId="171" xfId="12" applyNumberFormat="1" applyFont="1" applyFill="1" applyBorder="1" applyAlignment="1">
      <alignment vertical="center"/>
    </xf>
    <xf numFmtId="3" fontId="34" fillId="0" borderId="171" xfId="12" applyNumberFormat="1" applyFont="1" applyBorder="1" applyAlignment="1">
      <alignment vertical="center"/>
    </xf>
    <xf numFmtId="4" fontId="34" fillId="0" borderId="593" xfId="12" applyNumberFormat="1" applyFont="1" applyBorder="1" applyAlignment="1">
      <alignment vertical="center"/>
    </xf>
    <xf numFmtId="3" fontId="105" fillId="6" borderId="177" xfId="12" applyNumberFormat="1" applyFont="1" applyFill="1" applyBorder="1" applyAlignment="1">
      <alignment vertical="center"/>
    </xf>
    <xf numFmtId="4" fontId="34" fillId="0" borderId="175" xfId="18" applyNumberFormat="1" applyFont="1" applyBorder="1" applyAlignment="1">
      <alignment vertical="center"/>
    </xf>
    <xf numFmtId="0" fontId="37" fillId="0" borderId="171" xfId="18" applyFont="1" applyBorder="1" applyAlignment="1">
      <alignment horizontal="left" vertical="center"/>
    </xf>
    <xf numFmtId="3" fontId="105" fillId="6" borderId="9" xfId="12" applyNumberFormat="1" applyFont="1" applyFill="1" applyBorder="1" applyAlignment="1">
      <alignment vertical="center"/>
    </xf>
    <xf numFmtId="4" fontId="34" fillId="0" borderId="462" xfId="12" applyNumberFormat="1" applyFont="1" applyBorder="1" applyAlignment="1">
      <alignment vertical="center"/>
    </xf>
    <xf numFmtId="3" fontId="105" fillId="6" borderId="293" xfId="12" applyNumberFormat="1" applyFont="1" applyFill="1" applyBorder="1" applyAlignment="1">
      <alignment vertical="center"/>
    </xf>
    <xf numFmtId="4" fontId="34" fillId="0" borderId="10" xfId="18" applyNumberFormat="1" applyFont="1" applyBorder="1" applyAlignment="1">
      <alignment vertical="center"/>
    </xf>
    <xf numFmtId="0" fontId="37" fillId="0" borderId="9" xfId="18" applyFont="1" applyBorder="1" applyAlignment="1">
      <alignment horizontal="left" vertical="center"/>
    </xf>
    <xf numFmtId="3" fontId="105" fillId="6" borderId="594" xfId="12" applyNumberFormat="1" applyFont="1" applyFill="1" applyBorder="1" applyAlignment="1">
      <alignment vertical="center"/>
    </xf>
    <xf numFmtId="3" fontId="34" fillId="0" borderId="594" xfId="12" applyNumberFormat="1" applyFont="1" applyBorder="1" applyAlignment="1">
      <alignment vertical="center"/>
    </xf>
    <xf numFmtId="4" fontId="34" fillId="0" borderId="595" xfId="12" applyNumberFormat="1" applyFont="1" applyBorder="1" applyAlignment="1">
      <alignment vertical="center"/>
    </xf>
    <xf numFmtId="3" fontId="105" fillId="6" borderId="596" xfId="12" applyNumberFormat="1" applyFont="1" applyFill="1" applyBorder="1" applyAlignment="1">
      <alignment vertical="center"/>
    </xf>
    <xf numFmtId="4" fontId="34" fillId="0" borderId="597" xfId="18" applyNumberFormat="1" applyFont="1" applyBorder="1" applyAlignment="1">
      <alignment vertical="center"/>
    </xf>
    <xf numFmtId="0" fontId="37" fillId="0" borderId="594" xfId="18" applyFont="1" applyBorder="1" applyAlignment="1">
      <alignment horizontal="left" vertical="center"/>
    </xf>
    <xf numFmtId="3" fontId="34" fillId="0" borderId="9" xfId="12" applyNumberFormat="1" applyFont="1" applyBorder="1" applyAlignment="1">
      <alignment vertical="center"/>
    </xf>
    <xf numFmtId="3" fontId="34" fillId="0" borderId="293" xfId="12" applyNumberFormat="1" applyFont="1" applyBorder="1" applyAlignment="1">
      <alignment vertical="center"/>
    </xf>
    <xf numFmtId="3" fontId="34" fillId="0" borderId="118" xfId="12" applyNumberFormat="1" applyFont="1" applyBorder="1" applyAlignment="1">
      <alignment vertical="center"/>
    </xf>
    <xf numFmtId="3" fontId="105" fillId="6" borderId="113" xfId="12" applyNumberFormat="1" applyFont="1" applyFill="1" applyBorder="1" applyAlignment="1">
      <alignment vertical="center"/>
    </xf>
    <xf numFmtId="4" fontId="34" fillId="0" borderId="116" xfId="18" applyNumberFormat="1" applyFont="1" applyBorder="1" applyAlignment="1">
      <alignment vertical="center"/>
    </xf>
    <xf numFmtId="0" fontId="37" fillId="0" borderId="113" xfId="18" applyFont="1" applyBorder="1" applyAlignment="1">
      <alignment horizontal="left" vertical="center"/>
    </xf>
    <xf numFmtId="3" fontId="105" fillId="6" borderId="324" xfId="12" applyNumberFormat="1" applyFont="1" applyFill="1" applyBorder="1" applyAlignment="1">
      <alignment vertical="center"/>
    </xf>
    <xf numFmtId="4" fontId="34" fillId="0" borderId="587" xfId="12" applyNumberFormat="1" applyFont="1" applyBorder="1" applyAlignment="1">
      <alignment vertical="center"/>
    </xf>
    <xf numFmtId="4" fontId="105" fillId="6" borderId="284" xfId="12" applyNumberFormat="1" applyFont="1" applyFill="1" applyBorder="1" applyAlignment="1">
      <alignment vertical="center"/>
    </xf>
    <xf numFmtId="4" fontId="105" fillId="6" borderId="266" xfId="12" applyNumberFormat="1" applyFont="1" applyFill="1" applyBorder="1" applyAlignment="1">
      <alignment vertical="center"/>
    </xf>
    <xf numFmtId="3" fontId="105" fillId="6" borderId="266" xfId="12" applyNumberFormat="1" applyFont="1" applyFill="1" applyBorder="1" applyAlignment="1">
      <alignment vertical="center"/>
    </xf>
    <xf numFmtId="3" fontId="105" fillId="6" borderId="86" xfId="12" applyNumberFormat="1" applyFont="1" applyFill="1" applyBorder="1" applyAlignment="1">
      <alignment vertical="center"/>
    </xf>
    <xf numFmtId="4" fontId="34" fillId="0" borderId="460" xfId="12" applyNumberFormat="1" applyFont="1" applyBorder="1" applyAlignment="1">
      <alignment vertical="center"/>
    </xf>
    <xf numFmtId="4" fontId="105" fillId="6" borderId="599" xfId="12" applyNumberFormat="1" applyFont="1" applyFill="1" applyBorder="1" applyAlignment="1">
      <alignment vertical="center"/>
    </xf>
    <xf numFmtId="4" fontId="105" fillId="6" borderId="146" xfId="12" applyNumberFormat="1" applyFont="1" applyFill="1" applyBorder="1" applyAlignment="1">
      <alignment vertical="center"/>
    </xf>
    <xf numFmtId="3" fontId="105" fillId="6" borderId="146" xfId="12" applyNumberFormat="1" applyFont="1" applyFill="1" applyBorder="1" applyAlignment="1">
      <alignment vertical="center"/>
    </xf>
    <xf numFmtId="3" fontId="105" fillId="6" borderId="261" xfId="12" applyNumberFormat="1" applyFont="1" applyFill="1" applyBorder="1" applyAlignment="1">
      <alignment vertical="center"/>
    </xf>
    <xf numFmtId="4" fontId="34" fillId="0" borderId="600" xfId="12" applyNumberFormat="1" applyFont="1" applyBorder="1" applyAlignment="1">
      <alignment vertical="center"/>
    </xf>
    <xf numFmtId="4" fontId="105" fillId="6" borderId="601" xfId="12" applyNumberFormat="1" applyFont="1" applyFill="1" applyBorder="1" applyAlignment="1">
      <alignment vertical="center"/>
    </xf>
    <xf numFmtId="4" fontId="105" fillId="6" borderId="261" xfId="12" applyNumberFormat="1" applyFont="1" applyFill="1" applyBorder="1" applyAlignment="1">
      <alignment vertical="center"/>
    </xf>
    <xf numFmtId="3" fontId="105" fillId="6" borderId="0" xfId="12" applyNumberFormat="1" applyFont="1" applyFill="1" applyAlignment="1">
      <alignment vertical="center"/>
    </xf>
    <xf numFmtId="4" fontId="34" fillId="0" borderId="103" xfId="12" applyNumberFormat="1" applyFont="1" applyBorder="1" applyAlignment="1">
      <alignment vertical="center"/>
    </xf>
    <xf numFmtId="4" fontId="105" fillId="6" borderId="108" xfId="12" applyNumberFormat="1" applyFont="1" applyFill="1" applyBorder="1" applyAlignment="1">
      <alignment vertical="center"/>
    </xf>
    <xf numFmtId="4" fontId="105" fillId="6" borderId="0" xfId="12" applyNumberFormat="1" applyFont="1" applyFill="1" applyAlignment="1">
      <alignment vertical="center"/>
    </xf>
    <xf numFmtId="4" fontId="34" fillId="0" borderId="361" xfId="18" applyNumberFormat="1" applyFont="1" applyBorder="1" applyAlignment="1">
      <alignment vertical="center"/>
    </xf>
    <xf numFmtId="4" fontId="105" fillId="6" borderId="287" xfId="12" applyNumberFormat="1" applyFont="1" applyFill="1" applyBorder="1" applyAlignment="1">
      <alignment vertical="center"/>
    </xf>
    <xf numFmtId="4" fontId="105" fillId="6" borderId="86" xfId="12" applyNumberFormat="1" applyFont="1" applyFill="1" applyBorder="1" applyAlignment="1">
      <alignment vertical="center"/>
    </xf>
    <xf numFmtId="3" fontId="105" fillId="6" borderId="565" xfId="12" applyNumberFormat="1" applyFont="1" applyFill="1" applyBorder="1" applyAlignment="1">
      <alignment vertical="center"/>
    </xf>
    <xf numFmtId="4" fontId="34" fillId="0" borderId="602" xfId="12" applyNumberFormat="1" applyFont="1" applyBorder="1" applyAlignment="1">
      <alignment vertical="center"/>
    </xf>
    <xf numFmtId="4" fontId="105" fillId="6" borderId="603" xfId="12" applyNumberFormat="1" applyFont="1" applyFill="1" applyBorder="1" applyAlignment="1">
      <alignment vertical="center"/>
    </xf>
    <xf numFmtId="4" fontId="105" fillId="6" borderId="565" xfId="12" applyNumberFormat="1" applyFont="1" applyFill="1" applyBorder="1" applyAlignment="1">
      <alignment vertical="center"/>
    </xf>
    <xf numFmtId="4" fontId="34" fillId="0" borderId="604" xfId="18" applyNumberFormat="1" applyFont="1" applyBorder="1" applyAlignment="1">
      <alignment vertical="center"/>
    </xf>
    <xf numFmtId="0" fontId="34" fillId="0" borderId="598" xfId="18" applyFont="1" applyBorder="1" applyAlignment="1">
      <alignment horizontal="left" vertical="center"/>
    </xf>
    <xf numFmtId="3" fontId="34" fillId="0" borderId="261" xfId="12" applyNumberFormat="1" applyFont="1" applyBorder="1" applyAlignment="1">
      <alignment vertical="center"/>
    </xf>
    <xf numFmtId="3" fontId="34" fillId="0" borderId="601" xfId="12" applyNumberFormat="1" applyFont="1" applyBorder="1" applyAlignment="1">
      <alignment vertical="center"/>
    </xf>
    <xf numFmtId="3" fontId="34" fillId="0" borderId="108" xfId="12" applyNumberFormat="1" applyFont="1" applyBorder="1" applyAlignment="1">
      <alignment vertical="center"/>
    </xf>
    <xf numFmtId="4" fontId="34" fillId="0" borderId="573" xfId="18" quotePrefix="1" applyNumberFormat="1" applyFont="1" applyBorder="1" applyAlignment="1">
      <alignment vertical="center"/>
    </xf>
    <xf numFmtId="4" fontId="105" fillId="6" borderId="605" xfId="12" applyNumberFormat="1" applyFont="1" applyFill="1" applyBorder="1" applyAlignment="1">
      <alignment vertical="center"/>
    </xf>
    <xf numFmtId="4" fontId="105" fillId="6" borderId="427" xfId="12" applyNumberFormat="1" applyFont="1" applyFill="1" applyBorder="1" applyAlignment="1">
      <alignment vertical="center"/>
    </xf>
    <xf numFmtId="3" fontId="105" fillId="6" borderId="427" xfId="12" applyNumberFormat="1" applyFont="1" applyFill="1" applyBorder="1" applyAlignment="1">
      <alignment vertical="center"/>
    </xf>
    <xf numFmtId="3" fontId="105" fillId="6" borderId="140" xfId="12" applyNumberFormat="1" applyFont="1" applyFill="1" applyBorder="1" applyAlignment="1">
      <alignment vertical="center"/>
    </xf>
    <xf numFmtId="3" fontId="34" fillId="0" borderId="140" xfId="12" applyNumberFormat="1" applyFont="1" applyBorder="1" applyAlignment="1">
      <alignment vertical="center"/>
    </xf>
    <xf numFmtId="4" fontId="34" fillId="0" borderId="464" xfId="12" applyNumberFormat="1" applyFont="1" applyBorder="1" applyAlignment="1">
      <alignment vertical="center"/>
    </xf>
    <xf numFmtId="3" fontId="34" fillId="0" borderId="266" xfId="12" applyNumberFormat="1" applyFont="1" applyBorder="1" applyAlignment="1">
      <alignment vertical="center"/>
    </xf>
    <xf numFmtId="3" fontId="34" fillId="0" borderId="86" xfId="12" applyNumberFormat="1" applyFont="1" applyBorder="1" applyAlignment="1">
      <alignment vertical="center"/>
    </xf>
    <xf numFmtId="3" fontId="34" fillId="0" borderId="146" xfId="12" applyNumberFormat="1" applyFont="1" applyBorder="1" applyAlignment="1">
      <alignment vertical="center"/>
    </xf>
    <xf numFmtId="4" fontId="105" fillId="6" borderId="596" xfId="12" applyNumberFormat="1" applyFont="1" applyFill="1" applyBorder="1" applyAlignment="1">
      <alignment vertical="center"/>
    </xf>
    <xf numFmtId="4" fontId="105" fillId="6" borderId="594" xfId="12" applyNumberFormat="1" applyFont="1" applyFill="1" applyBorder="1" applyAlignment="1">
      <alignment vertical="center"/>
    </xf>
    <xf numFmtId="0" fontId="34" fillId="0" borderId="594" xfId="18" applyFont="1" applyBorder="1" applyAlignment="1">
      <alignment horizontal="left" vertical="center"/>
    </xf>
    <xf numFmtId="4" fontId="105" fillId="6" borderId="177" xfId="12" applyNumberFormat="1" applyFont="1" applyFill="1" applyBorder="1" applyAlignment="1">
      <alignment vertical="center"/>
    </xf>
    <xf numFmtId="4" fontId="105" fillId="6" borderId="171" xfId="12" applyNumberFormat="1" applyFont="1" applyFill="1" applyBorder="1" applyAlignment="1">
      <alignment vertical="center"/>
    </xf>
    <xf numFmtId="0" fontId="34" fillId="0" borderId="171" xfId="18" applyFont="1" applyBorder="1" applyAlignment="1">
      <alignment horizontal="left" vertical="center"/>
    </xf>
    <xf numFmtId="4" fontId="105" fillId="6" borderId="293" xfId="12" applyNumberFormat="1" applyFont="1" applyFill="1" applyBorder="1" applyAlignment="1">
      <alignment vertical="center"/>
    </xf>
    <xf numFmtId="4" fontId="105" fillId="6" borderId="9" xfId="12" applyNumberFormat="1" applyFont="1" applyFill="1" applyBorder="1" applyAlignment="1">
      <alignment vertical="center"/>
    </xf>
    <xf numFmtId="3" fontId="105" fillId="6" borderId="606" xfId="12" applyNumberFormat="1" applyFont="1" applyFill="1" applyBorder="1" applyAlignment="1">
      <alignment vertical="center"/>
    </xf>
    <xf numFmtId="4" fontId="34" fillId="0" borderId="607" xfId="12" applyNumberFormat="1" applyFont="1" applyBorder="1" applyAlignment="1">
      <alignment vertical="center"/>
    </xf>
    <xf numFmtId="3" fontId="34" fillId="0" borderId="0" xfId="12" applyNumberFormat="1" applyFont="1" applyAlignment="1">
      <alignment vertical="center"/>
    </xf>
    <xf numFmtId="3" fontId="34" fillId="0" borderId="565" xfId="12" applyNumberFormat="1" applyFont="1" applyBorder="1" applyAlignment="1">
      <alignment vertical="center"/>
    </xf>
    <xf numFmtId="4" fontId="34" fillId="0" borderId="608" xfId="12" applyNumberFormat="1" applyFont="1" applyBorder="1" applyAlignment="1">
      <alignment vertical="center"/>
    </xf>
    <xf numFmtId="4" fontId="34" fillId="0" borderId="609" xfId="12" applyNumberFormat="1" applyFont="1" applyBorder="1" applyAlignment="1">
      <alignment vertical="center"/>
    </xf>
    <xf numFmtId="4" fontId="105" fillId="6" borderId="304" xfId="12" applyNumberFormat="1" applyFont="1" applyFill="1" applyBorder="1" applyAlignment="1">
      <alignment vertical="center"/>
    </xf>
    <xf numFmtId="3" fontId="105" fillId="6" borderId="598" xfId="12" applyNumberFormat="1" applyFont="1" applyFill="1" applyBorder="1" applyAlignment="1">
      <alignment vertical="center"/>
    </xf>
    <xf numFmtId="3" fontId="34" fillId="0" borderId="598" xfId="12" applyNumberFormat="1" applyFont="1" applyBorder="1" applyAlignment="1">
      <alignment vertical="center"/>
    </xf>
    <xf numFmtId="4" fontId="34" fillId="0" borderId="610" xfId="12" applyNumberFormat="1" applyFont="1" applyBorder="1" applyAlignment="1">
      <alignment vertical="center"/>
    </xf>
    <xf numFmtId="168" fontId="34" fillId="0" borderId="142" xfId="26" applyFont="1" applyBorder="1" applyAlignment="1">
      <alignment horizontal="left" vertical="center"/>
    </xf>
    <xf numFmtId="3" fontId="34" fillId="6" borderId="0" xfId="12" applyNumberFormat="1" applyFont="1" applyFill="1" applyAlignment="1">
      <alignment vertical="center"/>
    </xf>
    <xf numFmtId="3" fontId="34" fillId="6" borderId="108" xfId="12" applyNumberFormat="1" applyFont="1" applyFill="1" applyBorder="1" applyAlignment="1">
      <alignment vertical="center"/>
    </xf>
    <xf numFmtId="3" fontId="105" fillId="6" borderId="611" xfId="12" applyNumberFormat="1" applyFont="1" applyFill="1" applyBorder="1" applyAlignment="1">
      <alignment vertical="center"/>
    </xf>
    <xf numFmtId="4" fontId="34" fillId="0" borderId="612" xfId="12" applyNumberFormat="1" applyFont="1" applyBorder="1" applyAlignment="1">
      <alignment vertical="center"/>
    </xf>
    <xf numFmtId="4" fontId="34" fillId="0" borderId="361" xfId="18" quotePrefix="1" applyNumberFormat="1" applyFont="1" applyBorder="1" applyAlignment="1">
      <alignment vertical="center"/>
    </xf>
    <xf numFmtId="3" fontId="105" fillId="6" borderId="6" xfId="12" applyNumberFormat="1" applyFont="1" applyFill="1" applyBorder="1" applyAlignment="1">
      <alignment vertical="center"/>
    </xf>
    <xf numFmtId="4" fontId="34" fillId="0" borderId="613" xfId="12" applyNumberFormat="1" applyFont="1" applyBorder="1" applyAlignment="1">
      <alignment vertical="center"/>
    </xf>
    <xf numFmtId="4" fontId="105" fillId="6" borderId="137" xfId="12" applyNumberFormat="1" applyFont="1" applyFill="1" applyBorder="1" applyAlignment="1">
      <alignment vertical="center"/>
    </xf>
    <xf numFmtId="4" fontId="105" fillId="6" borderId="6" xfId="12" applyNumberFormat="1" applyFont="1" applyFill="1" applyBorder="1" applyAlignment="1">
      <alignment vertical="center"/>
    </xf>
    <xf numFmtId="4" fontId="34" fillId="0" borderId="608" xfId="18" applyNumberFormat="1" applyFont="1" applyBorder="1" applyAlignment="1">
      <alignment vertical="center"/>
    </xf>
    <xf numFmtId="4" fontId="34" fillId="0" borderId="600" xfId="18" applyNumberFormat="1" applyFont="1" applyBorder="1" applyAlignment="1">
      <alignment vertical="center"/>
    </xf>
    <xf numFmtId="3" fontId="106" fillId="6" borderId="86" xfId="12" applyNumberFormat="1" applyFont="1" applyFill="1" applyBorder="1" applyAlignment="1">
      <alignment vertical="center"/>
    </xf>
    <xf numFmtId="168" fontId="34" fillId="0" borderId="409" xfId="95" applyFont="1" applyBorder="1" applyAlignment="1">
      <alignment horizontal="right" vertical="center" wrapText="1"/>
    </xf>
    <xf numFmtId="168" fontId="34" fillId="0" borderId="42" xfId="95" applyFont="1" applyBorder="1" applyAlignment="1">
      <alignment horizontal="right" vertical="center" wrapText="1"/>
    </xf>
    <xf numFmtId="0" fontId="34" fillId="0" borderId="614" xfId="18" applyFont="1" applyBorder="1" applyAlignment="1">
      <alignment horizontal="right" vertical="center" wrapText="1"/>
    </xf>
    <xf numFmtId="168" fontId="34" fillId="0" borderId="109" xfId="95" applyFont="1" applyBorder="1" applyAlignment="1">
      <alignment horizontal="right" vertical="center" wrapText="1"/>
    </xf>
    <xf numFmtId="168" fontId="34" fillId="0" borderId="589" xfId="95" applyFont="1" applyBorder="1" applyAlignment="1">
      <alignment horizontal="right" vertical="center" wrapText="1"/>
    </xf>
    <xf numFmtId="0" fontId="43" fillId="0" borderId="258" xfId="18" applyFont="1" applyBorder="1" applyAlignment="1">
      <alignment horizontal="left" vertical="center"/>
    </xf>
    <xf numFmtId="0" fontId="25" fillId="0" borderId="12" xfId="18" applyFont="1" applyBorder="1" applyAlignment="1">
      <alignment horizontal="left" vertical="top"/>
    </xf>
    <xf numFmtId="0" fontId="83" fillId="0" borderId="0" xfId="85" applyAlignment="1">
      <alignment horizontal="left" vertical="center"/>
    </xf>
    <xf numFmtId="0" fontId="27" fillId="0" borderId="0" xfId="96" applyFont="1"/>
    <xf numFmtId="0" fontId="27" fillId="0" borderId="0" xfId="96" applyFont="1" applyAlignment="1">
      <alignment horizontal="left"/>
    </xf>
    <xf numFmtId="0" fontId="27" fillId="0" borderId="0" xfId="96" applyFont="1" applyAlignment="1">
      <alignment horizontal="center"/>
    </xf>
    <xf numFmtId="0" fontId="27" fillId="0" borderId="0" xfId="96" applyFont="1" applyAlignment="1">
      <alignment horizontal="right"/>
    </xf>
    <xf numFmtId="3" fontId="27" fillId="0" borderId="0" xfId="18" applyNumberFormat="1" applyFont="1" applyAlignment="1">
      <alignment horizontal="center"/>
    </xf>
    <xf numFmtId="3" fontId="27" fillId="0" borderId="0" xfId="96" applyNumberFormat="1" applyFont="1" applyAlignment="1">
      <alignment horizontal="center"/>
    </xf>
    <xf numFmtId="3" fontId="27" fillId="0" borderId="0" xfId="96" applyNumberFormat="1" applyFont="1" applyAlignment="1">
      <alignment horizontal="right"/>
    </xf>
    <xf numFmtId="3" fontId="43" fillId="0" borderId="0" xfId="96" applyNumberFormat="1" applyFont="1" applyAlignment="1">
      <alignment horizontal="right"/>
    </xf>
    <xf numFmtId="0" fontId="43" fillId="0" borderId="0" xfId="96" applyFont="1" applyAlignment="1">
      <alignment horizontal="right"/>
    </xf>
    <xf numFmtId="3" fontId="27" fillId="22" borderId="0" xfId="96" applyNumberFormat="1" applyFont="1" applyFill="1" applyAlignment="1">
      <alignment horizontal="center"/>
    </xf>
    <xf numFmtId="3" fontId="43" fillId="0" borderId="0" xfId="96" applyNumberFormat="1" applyFont="1" applyAlignment="1">
      <alignment horizontal="right" vertical="center"/>
    </xf>
    <xf numFmtId="0" fontId="43" fillId="0" borderId="0" xfId="96" applyFont="1" applyAlignment="1">
      <alignment horizontal="right" vertical="center"/>
    </xf>
    <xf numFmtId="3" fontId="27" fillId="0" borderId="0" xfId="96" applyNumberFormat="1" applyFont="1" applyAlignment="1">
      <alignment horizontal="left"/>
    </xf>
    <xf numFmtId="3" fontId="27" fillId="24" borderId="0" xfId="96" applyNumberFormat="1" applyFont="1" applyFill="1" applyAlignment="1">
      <alignment horizontal="center" vertical="center"/>
    </xf>
    <xf numFmtId="3" fontId="27" fillId="12" borderId="0" xfId="96" applyNumberFormat="1" applyFont="1" applyFill="1" applyAlignment="1">
      <alignment horizontal="center" vertical="center"/>
    </xf>
    <xf numFmtId="3" fontId="27" fillId="12" borderId="0" xfId="96" applyNumberFormat="1" applyFont="1" applyFill="1" applyAlignment="1">
      <alignment horizontal="center"/>
    </xf>
    <xf numFmtId="3" fontId="34" fillId="0" borderId="359" xfId="97" applyNumberFormat="1" applyFont="1" applyBorder="1" applyAlignment="1">
      <alignment horizontal="left" vertical="center" wrapText="1"/>
    </xf>
    <xf numFmtId="3" fontId="37" fillId="0" borderId="258" xfId="97" applyNumberFormat="1" applyFont="1" applyBorder="1" applyAlignment="1">
      <alignment horizontal="right" vertical="center"/>
    </xf>
    <xf numFmtId="0" fontId="37" fillId="0" borderId="40" xfId="20" applyFont="1" applyBorder="1" applyAlignment="1">
      <alignment horizontal="left" vertical="center" wrapText="1"/>
    </xf>
    <xf numFmtId="3" fontId="34" fillId="0" borderId="362" xfId="97" applyNumberFormat="1" applyFont="1" applyBorder="1" applyAlignment="1">
      <alignment horizontal="left" vertical="center" wrapText="1"/>
    </xf>
    <xf numFmtId="4" fontId="34" fillId="6" borderId="408" xfId="97" applyNumberFormat="1" applyFont="1" applyFill="1" applyBorder="1" applyAlignment="1">
      <alignment horizontal="right" vertical="center"/>
    </xf>
    <xf numFmtId="4" fontId="34" fillId="0" borderId="408" xfId="97" applyNumberFormat="1" applyFont="1" applyBorder="1" applyAlignment="1">
      <alignment horizontal="right" vertical="center"/>
    </xf>
    <xf numFmtId="0" fontId="34" fillId="0" borderId="407" xfId="20" applyFont="1" applyBorder="1" applyAlignment="1">
      <alignment horizontal="left" vertical="center" wrapText="1"/>
    </xf>
    <xf numFmtId="177" fontId="27" fillId="0" borderId="0" xfId="96" applyNumberFormat="1" applyFont="1"/>
    <xf numFmtId="3" fontId="34" fillId="0" borderId="46" xfId="97" applyNumberFormat="1" applyFont="1" applyBorder="1" applyAlignment="1">
      <alignment horizontal="left" vertical="center" wrapText="1"/>
    </xf>
    <xf numFmtId="3" fontId="34" fillId="6" borderId="43" xfId="97" applyNumberFormat="1" applyFont="1" applyFill="1" applyBorder="1" applyAlignment="1">
      <alignment horizontal="right" vertical="center"/>
    </xf>
    <xf numFmtId="3" fontId="34" fillId="0" borderId="43" xfId="97" applyNumberFormat="1" applyFont="1" applyBorder="1" applyAlignment="1">
      <alignment horizontal="right" vertical="center"/>
    </xf>
    <xf numFmtId="0" fontId="34" fillId="0" borderId="41" xfId="20" applyFont="1" applyBorder="1" applyAlignment="1">
      <alignment horizontal="left" vertical="center" wrapText="1"/>
    </xf>
    <xf numFmtId="3" fontId="34" fillId="0" borderId="408" xfId="97" applyNumberFormat="1" applyFont="1" applyBorder="1" applyAlignment="1">
      <alignment horizontal="right" vertical="center"/>
    </xf>
    <xf numFmtId="3" fontId="34" fillId="0" borderId="407" xfId="97" applyNumberFormat="1" applyFont="1" applyBorder="1" applyAlignment="1">
      <alignment horizontal="left" vertical="center" wrapText="1"/>
    </xf>
    <xf numFmtId="0" fontId="104" fillId="0" borderId="414" xfId="20" applyFont="1" applyBorder="1" applyAlignment="1">
      <alignment horizontal="left" vertical="center" wrapText="1"/>
    </xf>
    <xf numFmtId="0" fontId="104" fillId="0" borderId="414" xfId="20" applyFont="1" applyBorder="1" applyAlignment="1">
      <alignment horizontal="right" vertical="center"/>
    </xf>
    <xf numFmtId="0" fontId="104" fillId="0" borderId="414" xfId="20" applyFont="1" applyBorder="1" applyAlignment="1">
      <alignment horizontal="right" vertical="center" wrapText="1"/>
    </xf>
    <xf numFmtId="0" fontId="104" fillId="0" borderId="412" xfId="20" applyFont="1" applyBorder="1" applyAlignment="1">
      <alignment horizontal="left" vertical="center"/>
    </xf>
    <xf numFmtId="3" fontId="37" fillId="20" borderId="258" xfId="20" applyNumberFormat="1" applyFont="1" applyFill="1" applyBorder="1" applyAlignment="1">
      <alignment horizontal="right" vertical="center"/>
    </xf>
    <xf numFmtId="3" fontId="34" fillId="6" borderId="37" xfId="97" applyNumberFormat="1" applyFont="1" applyFill="1" applyBorder="1" applyAlignment="1">
      <alignment horizontal="right" vertical="center"/>
    </xf>
    <xf numFmtId="3" fontId="34" fillId="0" borderId="37" xfId="97" applyNumberFormat="1" applyFont="1" applyBorder="1" applyAlignment="1">
      <alignment horizontal="right" vertical="center"/>
    </xf>
    <xf numFmtId="0" fontId="34" fillId="0" borderId="361" xfId="20" applyFont="1" applyBorder="1" applyAlignment="1">
      <alignment horizontal="left" vertical="center" wrapText="1"/>
    </xf>
    <xf numFmtId="4" fontId="34" fillId="0" borderId="43" xfId="97" applyNumberFormat="1" applyFont="1" applyBorder="1" applyAlignment="1">
      <alignment horizontal="right" vertical="center"/>
    </xf>
    <xf numFmtId="3" fontId="34" fillId="0" borderId="41" xfId="97" applyNumberFormat="1" applyFont="1" applyBorder="1" applyAlignment="1">
      <alignment horizontal="left" vertical="center" wrapText="1"/>
    </xf>
    <xf numFmtId="0" fontId="34" fillId="0" borderId="615" xfId="20" applyFont="1" applyBorder="1" applyAlignment="1">
      <alignment horizontal="left" vertical="center" wrapText="1"/>
    </xf>
    <xf numFmtId="4" fontId="34" fillId="6" borderId="414" xfId="97" applyNumberFormat="1" applyFont="1" applyFill="1" applyBorder="1" applyAlignment="1">
      <alignment horizontal="right" vertical="center"/>
    </xf>
    <xf numFmtId="4" fontId="34" fillId="0" borderId="414" xfId="97" applyNumberFormat="1" applyFont="1" applyBorder="1" applyAlignment="1">
      <alignment horizontal="right" vertical="center"/>
    </xf>
    <xf numFmtId="3" fontId="34" fillId="0" borderId="412" xfId="97" applyNumberFormat="1" applyFont="1" applyBorder="1" applyAlignment="1">
      <alignment horizontal="left" vertical="center" wrapText="1"/>
    </xf>
    <xf numFmtId="0" fontId="34" fillId="0" borderId="41" xfId="97" applyFont="1" applyBorder="1" applyAlignment="1">
      <alignment horizontal="left" vertical="center" wrapText="1"/>
    </xf>
    <xf numFmtId="3" fontId="34" fillId="6" borderId="408" xfId="97" applyNumberFormat="1" applyFont="1" applyFill="1" applyBorder="1" applyAlignment="1">
      <alignment horizontal="right" vertical="center"/>
    </xf>
    <xf numFmtId="0" fontId="34" fillId="0" borderId="41" xfId="20" applyFont="1" applyBorder="1" applyAlignment="1">
      <alignment vertical="center"/>
    </xf>
    <xf numFmtId="0" fontId="34" fillId="0" borderId="407" xfId="20" applyFont="1" applyBorder="1" applyAlignment="1">
      <alignment vertical="center"/>
    </xf>
    <xf numFmtId="0" fontId="104" fillId="20" borderId="414" xfId="20" applyFont="1" applyFill="1" applyBorder="1" applyAlignment="1">
      <alignment horizontal="right" vertical="center" wrapText="1"/>
    </xf>
    <xf numFmtId="0" fontId="104" fillId="20" borderId="412" xfId="20" applyFont="1" applyFill="1" applyBorder="1" applyAlignment="1">
      <alignment vertical="center" wrapText="1"/>
    </xf>
    <xf numFmtId="0" fontId="34" fillId="0" borderId="46" xfId="20" applyFont="1" applyBorder="1" applyAlignment="1">
      <alignment horizontal="left" vertical="center" wrapText="1"/>
    </xf>
    <xf numFmtId="4" fontId="34" fillId="6" borderId="43" xfId="97" applyNumberFormat="1" applyFont="1" applyFill="1" applyBorder="1" applyAlignment="1">
      <alignment horizontal="right" vertical="center"/>
    </xf>
    <xf numFmtId="3" fontId="34" fillId="0" borderId="46" xfId="97" applyNumberFormat="1" applyFont="1" applyBorder="1" applyAlignment="1">
      <alignment horizontal="left" vertical="center"/>
    </xf>
    <xf numFmtId="3" fontId="34" fillId="0" borderId="616" xfId="97" applyNumberFormat="1" applyFont="1" applyBorder="1" applyAlignment="1">
      <alignment horizontal="left" vertical="center"/>
    </xf>
    <xf numFmtId="0" fontId="34" fillId="0" borderId="89" xfId="20" applyFont="1" applyBorder="1" applyAlignment="1">
      <alignment vertical="center"/>
    </xf>
    <xf numFmtId="3" fontId="27" fillId="0" borderId="0" xfId="96" applyNumberFormat="1" applyFont="1" applyAlignment="1">
      <alignment horizontal="right" vertical="center"/>
    </xf>
    <xf numFmtId="0" fontId="27" fillId="0" borderId="0" xfId="96" applyFont="1" applyAlignment="1">
      <alignment horizontal="right" vertical="center"/>
    </xf>
    <xf numFmtId="3" fontId="34" fillId="0" borderId="362" xfId="97" applyNumberFormat="1" applyFont="1" applyBorder="1" applyAlignment="1">
      <alignment horizontal="left" vertical="center"/>
    </xf>
    <xf numFmtId="3" fontId="34" fillId="0" borderId="11" xfId="97" applyNumberFormat="1" applyFont="1" applyBorder="1" applyAlignment="1">
      <alignment horizontal="right" vertical="center"/>
    </xf>
    <xf numFmtId="0" fontId="34" fillId="0" borderId="361" xfId="20" applyFont="1" applyBorder="1" applyAlignment="1">
      <alignment vertical="center"/>
    </xf>
    <xf numFmtId="3" fontId="34" fillId="0" borderId="615" xfId="97" applyNumberFormat="1" applyFont="1" applyBorder="1" applyAlignment="1">
      <alignment horizontal="left" vertical="center"/>
    </xf>
    <xf numFmtId="0" fontId="48" fillId="0" borderId="0" xfId="18"/>
    <xf numFmtId="3" fontId="104" fillId="0" borderId="414" xfId="20" applyNumberFormat="1" applyFont="1" applyBorder="1" applyAlignment="1">
      <alignment horizontal="left" vertical="center" wrapText="1"/>
    </xf>
    <xf numFmtId="3" fontId="34" fillId="0" borderId="0" xfId="97" applyNumberFormat="1" applyFont="1" applyAlignment="1">
      <alignment horizontal="right" vertical="center"/>
    </xf>
    <xf numFmtId="3" fontId="34" fillId="0" borderId="615" xfId="97" applyNumberFormat="1" applyFont="1" applyBorder="1" applyAlignment="1">
      <alignment horizontal="left" vertical="center" wrapText="1"/>
    </xf>
    <xf numFmtId="178" fontId="27" fillId="12" borderId="0" xfId="96" applyNumberFormat="1" applyFont="1" applyFill="1" applyAlignment="1">
      <alignment horizontal="center"/>
    </xf>
    <xf numFmtId="0" fontId="34" fillId="0" borderId="361" xfId="97" applyFont="1" applyBorder="1" applyAlignment="1">
      <alignment horizontal="left" vertical="center" wrapText="1"/>
    </xf>
    <xf numFmtId="169" fontId="34" fillId="6" borderId="408" xfId="97" applyNumberFormat="1" applyFont="1" applyFill="1" applyBorder="1" applyAlignment="1">
      <alignment horizontal="right" vertical="center"/>
    </xf>
    <xf numFmtId="169" fontId="34" fillId="0" borderId="408" xfId="97" applyNumberFormat="1" applyFont="1" applyBorder="1" applyAlignment="1">
      <alignment horizontal="right" vertical="center"/>
    </xf>
    <xf numFmtId="0" fontId="104" fillId="0" borderId="414" xfId="20" applyFont="1" applyBorder="1" applyAlignment="1">
      <alignment vertical="center" wrapText="1"/>
    </xf>
    <xf numFmtId="0" fontId="104" fillId="0" borderId="412" xfId="20" applyFont="1" applyBorder="1" applyAlignment="1">
      <alignment vertical="center"/>
    </xf>
    <xf numFmtId="0" fontId="27" fillId="20" borderId="0" xfId="96" applyFont="1" applyFill="1"/>
    <xf numFmtId="0" fontId="43" fillId="0" borderId="0" xfId="96" applyFont="1"/>
    <xf numFmtId="3" fontId="27" fillId="18" borderId="0" xfId="96" applyNumberFormat="1" applyFont="1" applyFill="1" applyAlignment="1">
      <alignment horizontal="center"/>
    </xf>
    <xf numFmtId="168" fontId="34" fillId="0" borderId="0" xfId="26" applyFont="1" applyAlignment="1">
      <alignment vertical="top"/>
    </xf>
    <xf numFmtId="0" fontId="34" fillId="0" borderId="0" xfId="96" applyFont="1" applyAlignment="1">
      <alignment horizontal="left" vertical="top"/>
    </xf>
    <xf numFmtId="168" fontId="34" fillId="0" borderId="0" xfId="26" applyFont="1" applyAlignment="1">
      <alignment vertical="center"/>
    </xf>
    <xf numFmtId="0" fontId="34" fillId="0" borderId="0" xfId="96" applyFont="1" applyAlignment="1">
      <alignment vertical="center"/>
    </xf>
    <xf numFmtId="0" fontId="34" fillId="0" borderId="0" xfId="96" applyFont="1" applyAlignment="1">
      <alignment horizontal="left" vertical="center"/>
    </xf>
    <xf numFmtId="0" fontId="34" fillId="0" borderId="0" xfId="96" applyFont="1" applyAlignment="1">
      <alignment horizontal="center" vertical="center"/>
    </xf>
    <xf numFmtId="0" fontId="27" fillId="0" borderId="410" xfId="96" applyFont="1" applyBorder="1" applyAlignment="1">
      <alignment horizontal="left"/>
    </xf>
    <xf numFmtId="0" fontId="37" fillId="0" borderId="0" xfId="96" applyFont="1" applyAlignment="1">
      <alignment horizontal="left"/>
    </xf>
    <xf numFmtId="4" fontId="43" fillId="0" borderId="0" xfId="26" applyNumberFormat="1" applyFont="1" applyAlignment="1">
      <alignment horizontal="right"/>
    </xf>
    <xf numFmtId="0" fontId="27" fillId="0" borderId="0" xfId="29" applyFont="1"/>
    <xf numFmtId="4" fontId="43" fillId="0" borderId="0" xfId="29" applyNumberFormat="1" applyFont="1" applyAlignment="1">
      <alignment horizontal="right"/>
    </xf>
    <xf numFmtId="0" fontId="43" fillId="0" borderId="0" xfId="29" applyFont="1" applyAlignment="1">
      <alignment horizontal="right"/>
    </xf>
    <xf numFmtId="179" fontId="34" fillId="0" borderId="0" xfId="26" applyNumberFormat="1" applyFont="1" applyAlignment="1">
      <alignment horizontal="right" vertical="center"/>
    </xf>
    <xf numFmtId="2" fontId="34" fillId="0" borderId="0" xfId="26" applyNumberFormat="1" applyFont="1" applyAlignment="1">
      <alignment horizontal="left" vertical="center"/>
    </xf>
    <xf numFmtId="179" fontId="34" fillId="0" borderId="142" xfId="26" applyNumberFormat="1" applyFont="1" applyBorder="1" applyAlignment="1">
      <alignment horizontal="right" vertical="center"/>
    </xf>
    <xf numFmtId="2" fontId="34" fillId="0" borderId="142" xfId="26" applyNumberFormat="1" applyFont="1" applyBorder="1" applyAlignment="1">
      <alignment horizontal="left" vertical="center"/>
    </xf>
    <xf numFmtId="180" fontId="104" fillId="0" borderId="42" xfId="26" applyNumberFormat="1" applyFont="1" applyBorder="1" applyAlignment="1">
      <alignment horizontal="right" vertical="center"/>
    </xf>
    <xf numFmtId="181" fontId="104" fillId="0" borderId="42" xfId="26" applyNumberFormat="1" applyFont="1" applyBorder="1" applyAlignment="1">
      <alignment vertical="center"/>
    </xf>
    <xf numFmtId="181" fontId="37" fillId="0" borderId="0" xfId="23" applyNumberFormat="1" applyFont="1" applyBorder="1" applyAlignment="1" applyProtection="1">
      <alignment vertical="center"/>
    </xf>
    <xf numFmtId="0" fontId="83" fillId="0" borderId="0" xfId="85" applyAlignment="1"/>
    <xf numFmtId="179" fontId="27" fillId="0" borderId="0" xfId="29" applyNumberFormat="1" applyFont="1" applyAlignment="1">
      <alignment horizontal="right"/>
    </xf>
    <xf numFmtId="2" fontId="27" fillId="0" borderId="0" xfId="29" applyNumberFormat="1" applyFont="1" applyAlignment="1">
      <alignment horizontal="left"/>
    </xf>
    <xf numFmtId="4" fontId="27" fillId="0" borderId="0" xfId="26" applyNumberFormat="1" applyFont="1" applyAlignment="1">
      <alignment horizontal="left"/>
    </xf>
    <xf numFmtId="181" fontId="64" fillId="0" borderId="0" xfId="23" applyNumberFormat="1" applyBorder="1" applyAlignment="1" applyProtection="1">
      <alignment vertical="center"/>
    </xf>
    <xf numFmtId="4" fontId="43" fillId="0" borderId="0" xfId="29" applyNumberFormat="1" applyFont="1" applyAlignment="1">
      <alignment horizontal="left"/>
    </xf>
    <xf numFmtId="168" fontId="43" fillId="0" borderId="0" xfId="26" applyFont="1"/>
    <xf numFmtId="168" fontId="27" fillId="0" borderId="0" xfId="26" applyFont="1" applyAlignment="1">
      <alignment horizontal="right"/>
    </xf>
    <xf numFmtId="182" fontId="27" fillId="0" borderId="0" xfId="29" quotePrefix="1" applyNumberFormat="1" applyFont="1" applyAlignment="1">
      <alignment horizontal="right"/>
    </xf>
    <xf numFmtId="2" fontId="34" fillId="0" borderId="0" xfId="26" quotePrefix="1" applyNumberFormat="1" applyFont="1" applyAlignment="1">
      <alignment horizontal="left" vertical="center"/>
    </xf>
    <xf numFmtId="181" fontId="43" fillId="0" borderId="0" xfId="29" applyNumberFormat="1" applyFont="1" applyAlignment="1">
      <alignment horizontal="right"/>
    </xf>
    <xf numFmtId="181" fontId="43" fillId="0" borderId="0" xfId="29" applyNumberFormat="1" applyFont="1" applyAlignment="1">
      <alignment horizontal="center" vertical="center"/>
    </xf>
    <xf numFmtId="181" fontId="104" fillId="0" borderId="0" xfId="26" applyNumberFormat="1" applyFont="1" applyAlignment="1">
      <alignment horizontal="right" vertical="center" wrapText="1"/>
    </xf>
    <xf numFmtId="168" fontId="104" fillId="0" borderId="0" xfId="26" applyFont="1" applyAlignment="1">
      <alignment vertical="center"/>
    </xf>
    <xf numFmtId="180" fontId="27" fillId="0" borderId="0" xfId="29" applyNumberFormat="1" applyFont="1"/>
    <xf numFmtId="181" fontId="27" fillId="0" borderId="0" xfId="29" applyNumberFormat="1" applyFont="1"/>
    <xf numFmtId="182" fontId="34" fillId="0" borderId="142" xfId="26" applyNumberFormat="1" applyFont="1" applyBorder="1" applyAlignment="1">
      <alignment horizontal="right" vertical="center"/>
    </xf>
    <xf numFmtId="184" fontId="34" fillId="0" borderId="142" xfId="26" applyNumberFormat="1" applyFont="1" applyBorder="1" applyAlignment="1">
      <alignment horizontal="left" vertical="center"/>
    </xf>
    <xf numFmtId="182" fontId="34" fillId="0" borderId="42" xfId="26" applyNumberFormat="1" applyFont="1" applyBorder="1" applyAlignment="1">
      <alignment horizontal="left" vertical="center"/>
    </xf>
    <xf numFmtId="182" fontId="34" fillId="0" borderId="0" xfId="26" applyNumberFormat="1" applyFont="1" applyAlignment="1">
      <alignment horizontal="left" vertical="center"/>
    </xf>
    <xf numFmtId="182" fontId="34" fillId="0" borderId="142" xfId="26" applyNumberFormat="1" applyFont="1" applyBorder="1" applyAlignment="1">
      <alignment horizontal="left" vertical="center"/>
    </xf>
    <xf numFmtId="181" fontId="43" fillId="0" borderId="0" xfId="26" applyNumberFormat="1" applyFont="1" applyAlignment="1">
      <alignment vertical="center"/>
    </xf>
    <xf numFmtId="181" fontId="37" fillId="0" borderId="0" xfId="23" applyNumberFormat="1" applyFont="1" applyBorder="1" applyAlignment="1" applyProtection="1"/>
    <xf numFmtId="168" fontId="34" fillId="0" borderId="0" xfId="26" applyFont="1"/>
    <xf numFmtId="3" fontId="53" fillId="0" borderId="0" xfId="90" applyNumberFormat="1" applyFont="1"/>
    <xf numFmtId="168" fontId="0" fillId="32" borderId="0" xfId="0" applyFill="1"/>
    <xf numFmtId="168" fontId="85" fillId="0" borderId="617" xfId="17" applyFont="1" applyFill="1" applyBorder="1" applyAlignment="1">
      <alignment vertical="top"/>
    </xf>
    <xf numFmtId="168" fontId="85" fillId="0" borderId="0" xfId="17" applyFont="1" applyFill="1" applyBorder="1" applyAlignment="1">
      <alignment vertical="top"/>
    </xf>
    <xf numFmtId="0" fontId="85" fillId="0" borderId="340" xfId="17" applyNumberFormat="1" applyFont="1" applyFill="1" applyBorder="1" applyAlignment="1">
      <alignment vertical="top"/>
    </xf>
    <xf numFmtId="168" fontId="0" fillId="29" borderId="0" xfId="0" applyFill="1"/>
    <xf numFmtId="168" fontId="18" fillId="0" borderId="0" xfId="98"/>
    <xf numFmtId="168" fontId="18" fillId="0" borderId="37" xfId="98" applyBorder="1"/>
    <xf numFmtId="2" fontId="34" fillId="0" borderId="0" xfId="13" applyNumberFormat="1" applyFont="1" applyAlignment="1">
      <alignment wrapText="1"/>
    </xf>
    <xf numFmtId="168" fontId="34" fillId="0" borderId="0" xfId="13" applyFont="1" applyAlignment="1">
      <alignment wrapText="1"/>
    </xf>
    <xf numFmtId="168" fontId="69" fillId="28" borderId="0" xfId="98" applyFont="1" applyFill="1" applyAlignment="1">
      <alignment horizontal="center" wrapText="1"/>
    </xf>
    <xf numFmtId="0" fontId="5" fillId="0" borderId="0" xfId="90" applyAlignment="1">
      <alignment wrapText="1"/>
    </xf>
    <xf numFmtId="0" fontId="18" fillId="0" borderId="37" xfId="90" applyFont="1" applyBorder="1"/>
    <xf numFmtId="0" fontId="18" fillId="0" borderId="0" xfId="90" applyFont="1"/>
    <xf numFmtId="0" fontId="18" fillId="0" borderId="0" xfId="90" applyFont="1" applyAlignment="1">
      <alignment wrapText="1"/>
    </xf>
    <xf numFmtId="4" fontId="34" fillId="0" borderId="265" xfId="13" applyNumberFormat="1" applyFont="1" applyBorder="1" applyAlignment="1" applyProtection="1">
      <alignment horizontal="right"/>
      <protection locked="0"/>
    </xf>
    <xf numFmtId="3" fontId="34" fillId="0" borderId="37" xfId="13" applyNumberFormat="1" applyFont="1" applyBorder="1" applyAlignment="1">
      <alignment horizontal="left"/>
    </xf>
    <xf numFmtId="4" fontId="34" fillId="0" borderId="259" xfId="13" applyNumberFormat="1" applyFont="1" applyBorder="1" applyAlignment="1" applyProtection="1">
      <alignment horizontal="right"/>
      <protection locked="0"/>
    </xf>
    <xf numFmtId="4" fontId="34" fillId="0" borderId="264" xfId="13" applyNumberFormat="1" applyFont="1" applyBorder="1" applyAlignment="1" applyProtection="1">
      <alignment horizontal="right"/>
      <protection locked="0"/>
    </xf>
    <xf numFmtId="4" fontId="34" fillId="0" borderId="573" xfId="13" applyNumberFormat="1" applyFont="1" applyBorder="1" applyAlignment="1" applyProtection="1">
      <alignment horizontal="right"/>
      <protection locked="0"/>
    </xf>
    <xf numFmtId="4" fontId="34" fillId="0" borderId="260" xfId="13" applyNumberFormat="1" applyFont="1" applyBorder="1" applyAlignment="1" applyProtection="1">
      <alignment horizontal="right"/>
      <protection locked="0"/>
    </xf>
    <xf numFmtId="3" fontId="34" fillId="0" borderId="536" xfId="13" applyNumberFormat="1" applyFont="1" applyBorder="1" applyAlignment="1">
      <alignment horizontal="left"/>
    </xf>
    <xf numFmtId="4" fontId="34" fillId="0" borderId="429" xfId="13" applyNumberFormat="1" applyFont="1" applyBorder="1" applyAlignment="1" applyProtection="1">
      <alignment horizontal="right"/>
      <protection locked="0"/>
    </xf>
    <xf numFmtId="3" fontId="34" fillId="0" borderId="408" xfId="13" applyNumberFormat="1" applyFont="1" applyBorder="1" applyAlignment="1">
      <alignment horizontal="left"/>
    </xf>
    <xf numFmtId="3" fontId="34" fillId="0" borderId="41" xfId="13" applyNumberFormat="1" applyFont="1" applyBorder="1" applyAlignment="1">
      <alignment horizontal="left" wrapText="1"/>
    </xf>
    <xf numFmtId="3" fontId="34" fillId="0" borderId="43" xfId="13" applyNumberFormat="1" applyFont="1" applyBorder="1" applyAlignment="1">
      <alignment horizontal="left"/>
    </xf>
    <xf numFmtId="3" fontId="18" fillId="0" borderId="0" xfId="90" applyNumberFormat="1" applyFont="1" applyAlignment="1">
      <alignment horizontal="right"/>
    </xf>
    <xf numFmtId="3" fontId="18" fillId="0" borderId="0" xfId="90" applyNumberFormat="1" applyFont="1" applyAlignment="1">
      <alignment horizontal="left"/>
    </xf>
    <xf numFmtId="3" fontId="18" fillId="0" borderId="0" xfId="90" applyNumberFormat="1" applyFont="1" applyAlignment="1">
      <alignment horizontal="center" wrapText="1"/>
    </xf>
    <xf numFmtId="3" fontId="18" fillId="0" borderId="0" xfId="90" applyNumberFormat="1" applyFont="1" applyAlignment="1">
      <alignment horizontal="center"/>
    </xf>
    <xf numFmtId="3" fontId="18" fillId="0" borderId="0" xfId="90" applyNumberFormat="1" applyFont="1" applyAlignment="1">
      <alignment horizontal="right" wrapText="1"/>
    </xf>
    <xf numFmtId="3" fontId="18" fillId="0" borderId="0" xfId="90" applyNumberFormat="1" applyFont="1" applyAlignment="1">
      <alignment horizontal="left" wrapText="1"/>
    </xf>
    <xf numFmtId="0" fontId="18" fillId="0" borderId="0" xfId="90" applyFont="1" applyAlignment="1">
      <alignment vertical="top" wrapText="1"/>
    </xf>
    <xf numFmtId="3" fontId="108" fillId="0" borderId="0" xfId="90" applyNumberFormat="1" applyFont="1"/>
    <xf numFmtId="0" fontId="5" fillId="0" borderId="21" xfId="90" applyBorder="1"/>
    <xf numFmtId="3" fontId="18" fillId="0" borderId="24" xfId="90" applyNumberFormat="1" applyFont="1" applyBorder="1"/>
    <xf numFmtId="0" fontId="5" fillId="0" borderId="24" xfId="90" applyBorder="1"/>
    <xf numFmtId="3" fontId="18" fillId="0" borderId="23" xfId="90" applyNumberFormat="1" applyFont="1" applyBorder="1" applyAlignment="1">
      <alignment horizontal="right"/>
    </xf>
    <xf numFmtId="3" fontId="18" fillId="0" borderId="21" xfId="90" applyNumberFormat="1" applyFont="1" applyBorder="1" applyAlignment="1">
      <alignment horizontal="right"/>
    </xf>
    <xf numFmtId="0" fontId="5" fillId="0" borderId="22" xfId="90" applyBorder="1"/>
    <xf numFmtId="3" fontId="18" fillId="0" borderId="142" xfId="90" applyNumberFormat="1" applyFont="1" applyBorder="1"/>
    <xf numFmtId="0" fontId="5" fillId="0" borderId="142" xfId="90" applyBorder="1"/>
    <xf numFmtId="3" fontId="27" fillId="0" borderId="410" xfId="90" applyNumberFormat="1" applyFont="1" applyBorder="1" applyAlignment="1" applyProtection="1">
      <alignment horizontal="right"/>
      <protection locked="0"/>
    </xf>
    <xf numFmtId="3" fontId="27" fillId="6" borderId="410" xfId="90" applyNumberFormat="1" applyFont="1" applyFill="1" applyBorder="1" applyAlignment="1" applyProtection="1">
      <alignment horizontal="right"/>
      <protection locked="0"/>
    </xf>
    <xf numFmtId="3" fontId="18" fillId="0" borderId="410" xfId="90" applyNumberFormat="1" applyFont="1" applyBorder="1" applyAlignment="1">
      <alignment horizontal="right"/>
    </xf>
    <xf numFmtId="3" fontId="108" fillId="0" borderId="410" xfId="90" applyNumberFormat="1" applyFont="1" applyBorder="1"/>
    <xf numFmtId="3" fontId="108" fillId="0" borderId="407" xfId="90" applyNumberFormat="1" applyFont="1" applyBorder="1"/>
    <xf numFmtId="3" fontId="108" fillId="0" borderId="615" xfId="90" applyNumberFormat="1" applyFont="1" applyBorder="1"/>
    <xf numFmtId="3" fontId="18" fillId="0" borderId="43" xfId="90" applyNumberFormat="1" applyFont="1" applyBorder="1" applyAlignment="1">
      <alignment horizontal="right"/>
    </xf>
    <xf numFmtId="3" fontId="18" fillId="0" borderId="42" xfId="90" applyNumberFormat="1" applyFont="1" applyBorder="1"/>
    <xf numFmtId="3" fontId="18" fillId="0" borderId="618" xfId="90" applyNumberFormat="1" applyFont="1" applyBorder="1" applyAlignment="1">
      <alignment horizontal="right"/>
    </xf>
    <xf numFmtId="0" fontId="18" fillId="0" borderId="410" xfId="90" applyFont="1" applyBorder="1" applyAlignment="1">
      <alignment horizontal="right" wrapText="1"/>
    </xf>
    <xf numFmtId="0" fontId="5" fillId="0" borderId="0" xfId="90" applyAlignment="1">
      <alignment horizontal="right"/>
    </xf>
    <xf numFmtId="3" fontId="18" fillId="0" borderId="21" xfId="90" applyNumberFormat="1" applyFont="1" applyBorder="1"/>
    <xf numFmtId="0" fontId="17" fillId="0" borderId="0" xfId="90" applyFont="1"/>
    <xf numFmtId="3" fontId="18" fillId="0" borderId="19" xfId="90" quotePrefix="1" applyNumberFormat="1" applyFont="1" applyBorder="1" applyAlignment="1">
      <alignment horizontal="center" wrapText="1"/>
    </xf>
    <xf numFmtId="4" fontId="18" fillId="0" borderId="19" xfId="90" quotePrefix="1" applyNumberFormat="1" applyFont="1" applyBorder="1" applyAlignment="1">
      <alignment horizontal="center" wrapText="1"/>
    </xf>
    <xf numFmtId="3" fontId="18" fillId="0" borderId="19" xfId="90" applyNumberFormat="1" applyFont="1" applyBorder="1" applyAlignment="1">
      <alignment horizontal="center"/>
    </xf>
    <xf numFmtId="3" fontId="18" fillId="0" borderId="19" xfId="90" applyNumberFormat="1" applyFont="1" applyBorder="1" applyAlignment="1">
      <alignment horizontal="left"/>
    </xf>
    <xf numFmtId="3" fontId="18" fillId="0" borderId="18" xfId="90" applyNumberFormat="1" applyFont="1" applyBorder="1" applyAlignment="1">
      <alignment horizontal="left"/>
    </xf>
    <xf numFmtId="3" fontId="17" fillId="0" borderId="0" xfId="90" applyNumberFormat="1" applyFont="1" applyAlignment="1">
      <alignment wrapText="1"/>
    </xf>
    <xf numFmtId="1" fontId="18" fillId="0" borderId="0" xfId="90" applyNumberFormat="1" applyFont="1"/>
    <xf numFmtId="0" fontId="18" fillId="0" borderId="42" xfId="90" applyFont="1" applyBorder="1" applyAlignment="1">
      <alignment wrapText="1"/>
    </xf>
    <xf numFmtId="0" fontId="5" fillId="0" borderId="42" xfId="90" applyBorder="1" applyAlignment="1">
      <alignment wrapText="1"/>
    </xf>
    <xf numFmtId="3" fontId="17" fillId="0" borderId="41" xfId="90" applyNumberFormat="1" applyFont="1" applyBorder="1" applyAlignment="1">
      <alignment wrapText="1"/>
    </xf>
    <xf numFmtId="3" fontId="18" fillId="0" borderId="37" xfId="90" applyNumberFormat="1" applyFont="1" applyBorder="1"/>
    <xf numFmtId="3" fontId="18" fillId="0" borderId="361" xfId="90" applyNumberFormat="1" applyFont="1" applyBorder="1"/>
    <xf numFmtId="3" fontId="18" fillId="0" borderId="0" xfId="90" applyNumberFormat="1" applyFont="1" applyAlignment="1">
      <alignment textRotation="90"/>
    </xf>
    <xf numFmtId="3" fontId="18" fillId="0" borderId="408" xfId="90" applyNumberFormat="1" applyFont="1" applyBorder="1" applyAlignment="1">
      <alignment textRotation="90" wrapText="1"/>
    </xf>
    <xf numFmtId="3" fontId="18" fillId="0" borderId="142" xfId="90" applyNumberFormat="1" applyFont="1" applyBorder="1" applyAlignment="1">
      <alignment textRotation="90" wrapText="1"/>
    </xf>
    <xf numFmtId="0" fontId="88" fillId="0" borderId="142" xfId="90" applyFont="1" applyBorder="1" applyAlignment="1">
      <alignment textRotation="90" wrapText="1"/>
    </xf>
    <xf numFmtId="0" fontId="18" fillId="0" borderId="142" xfId="90" applyFont="1" applyBorder="1"/>
    <xf numFmtId="3" fontId="17" fillId="0" borderId="407" xfId="90" applyNumberFormat="1" applyFont="1" applyBorder="1"/>
    <xf numFmtId="3" fontId="17" fillId="0" borderId="0" xfId="90" applyNumberFormat="1" applyFont="1"/>
    <xf numFmtId="0" fontId="61" fillId="0" borderId="0" xfId="90" applyFont="1"/>
    <xf numFmtId="0" fontId="25" fillId="0" borderId="0" xfId="90" applyFont="1"/>
    <xf numFmtId="3" fontId="34" fillId="0" borderId="142" xfId="90" applyNumberFormat="1" applyFont="1" applyBorder="1" applyAlignment="1">
      <alignment horizontal="left"/>
    </xf>
    <xf numFmtId="3" fontId="18" fillId="0" borderId="0" xfId="90" quotePrefix="1" applyNumberFormat="1" applyFont="1" applyAlignment="1">
      <alignment horizontal="center" wrapText="1"/>
    </xf>
    <xf numFmtId="3" fontId="18" fillId="0" borderId="619" xfId="90" applyNumberFormat="1" applyFont="1" applyBorder="1"/>
    <xf numFmtId="3" fontId="18" fillId="0" borderId="0" xfId="90" applyNumberFormat="1" applyFont="1" applyAlignment="1">
      <alignment wrapText="1"/>
    </xf>
    <xf numFmtId="4" fontId="34" fillId="0" borderId="263" xfId="13" applyNumberFormat="1" applyFont="1" applyBorder="1" applyAlignment="1" applyProtection="1">
      <alignment horizontal="right"/>
      <protection locked="0"/>
    </xf>
    <xf numFmtId="4" fontId="34" fillId="0" borderId="10" xfId="13" applyNumberFormat="1" applyFont="1" applyBorder="1" applyAlignment="1" applyProtection="1">
      <alignment horizontal="right"/>
      <protection locked="0"/>
    </xf>
    <xf numFmtId="3" fontId="34" fillId="0" borderId="620" xfId="90" applyNumberFormat="1" applyFont="1" applyBorder="1" applyAlignment="1">
      <alignment horizontal="left" vertical="top"/>
    </xf>
    <xf numFmtId="3" fontId="91" fillId="0" borderId="621" xfId="90" applyNumberFormat="1" applyFont="1" applyBorder="1" applyAlignment="1">
      <alignment vertical="top"/>
    </xf>
    <xf numFmtId="3" fontId="34" fillId="0" borderId="622" xfId="90" applyNumberFormat="1" applyFont="1" applyBorder="1" applyAlignment="1">
      <alignment horizontal="left" vertical="top"/>
    </xf>
    <xf numFmtId="3" fontId="91" fillId="0" borderId="598" xfId="90" applyNumberFormat="1" applyFont="1" applyBorder="1" applyAlignment="1">
      <alignment vertical="top"/>
    </xf>
    <xf numFmtId="0" fontId="5" fillId="0" borderId="19" xfId="90" applyBorder="1"/>
    <xf numFmtId="0" fontId="5" fillId="0" borderId="23" xfId="90" applyBorder="1"/>
    <xf numFmtId="3" fontId="109" fillId="0" borderId="46" xfId="90" applyNumberFormat="1" applyFont="1" applyBorder="1" applyAlignment="1">
      <alignment horizontal="left" vertical="top"/>
    </xf>
    <xf numFmtId="0" fontId="5" fillId="0" borderId="410" xfId="90" applyBorder="1"/>
    <xf numFmtId="3" fontId="18" fillId="0" borderId="410" xfId="90" applyNumberFormat="1" applyFont="1" applyBorder="1"/>
    <xf numFmtId="3" fontId="18" fillId="0" borderId="42" xfId="90" applyNumberFormat="1" applyFont="1" applyBorder="1" applyAlignment="1">
      <alignment horizontal="left" vertical="top"/>
    </xf>
    <xf numFmtId="3" fontId="18" fillId="0" borderId="42" xfId="90" applyNumberFormat="1" applyFont="1" applyBorder="1" applyAlignment="1">
      <alignment vertical="top"/>
    </xf>
    <xf numFmtId="3" fontId="109" fillId="0" borderId="42" xfId="90" applyNumberFormat="1" applyFont="1" applyBorder="1" applyAlignment="1">
      <alignment horizontal="left" vertical="top"/>
    </xf>
    <xf numFmtId="3" fontId="109" fillId="0" borderId="362" xfId="90" applyNumberFormat="1" applyFont="1" applyBorder="1" applyAlignment="1">
      <alignment horizontal="left" vertical="top"/>
    </xf>
    <xf numFmtId="3" fontId="18" fillId="0" borderId="0" xfId="90" applyNumberFormat="1" applyFont="1" applyAlignment="1">
      <alignment horizontal="left" vertical="top"/>
    </xf>
    <xf numFmtId="3" fontId="18" fillId="0" borderId="0" xfId="90" applyNumberFormat="1" applyFont="1" applyAlignment="1">
      <alignment vertical="top"/>
    </xf>
    <xf numFmtId="3" fontId="109" fillId="0" borderId="0" xfId="90" applyNumberFormat="1" applyFont="1" applyAlignment="1">
      <alignment horizontal="left" vertical="top"/>
    </xf>
    <xf numFmtId="3" fontId="109" fillId="0" borderId="362" xfId="90" applyNumberFormat="1" applyFont="1" applyBorder="1" applyAlignment="1">
      <alignment horizontal="left" vertical="top" wrapText="1"/>
    </xf>
    <xf numFmtId="3" fontId="18" fillId="0" borderId="536" xfId="90" applyNumberFormat="1" applyFont="1" applyBorder="1" applyAlignment="1">
      <alignment horizontal="left" vertical="top"/>
    </xf>
    <xf numFmtId="3" fontId="109" fillId="0" borderId="0" xfId="90" applyNumberFormat="1" applyFont="1" applyAlignment="1">
      <alignment horizontal="left" vertical="top" wrapText="1"/>
    </xf>
    <xf numFmtId="3" fontId="18" fillId="0" borderId="362" xfId="90" applyNumberFormat="1" applyFont="1" applyBorder="1" applyAlignment="1">
      <alignment horizontal="left" vertical="top" wrapText="1"/>
    </xf>
    <xf numFmtId="3" fontId="18" fillId="0" borderId="142" xfId="90" applyNumberFormat="1" applyFont="1" applyBorder="1" applyAlignment="1">
      <alignment vertical="top"/>
    </xf>
    <xf numFmtId="3" fontId="18" fillId="0" borderId="0" xfId="90" applyNumberFormat="1" applyFont="1" applyAlignment="1">
      <alignment horizontal="left" vertical="top" wrapText="1"/>
    </xf>
    <xf numFmtId="3" fontId="18" fillId="0" borderId="410" xfId="90" applyNumberFormat="1" applyFont="1" applyBorder="1" applyAlignment="1">
      <alignment horizontal="left" wrapText="1"/>
    </xf>
    <xf numFmtId="3" fontId="18" fillId="0" borderId="410" xfId="90" quotePrefix="1" applyNumberFormat="1" applyFont="1" applyBorder="1" applyAlignment="1">
      <alignment horizontal="center" wrapText="1"/>
    </xf>
    <xf numFmtId="3" fontId="18" fillId="0" borderId="620" xfId="90" applyNumberFormat="1" applyFont="1" applyBorder="1" applyAlignment="1">
      <alignment horizontal="left" vertical="top"/>
    </xf>
    <xf numFmtId="3" fontId="18" fillId="0" borderId="410" xfId="90" applyNumberFormat="1" applyFont="1" applyBorder="1" applyAlignment="1">
      <alignment horizontal="left"/>
    </xf>
    <xf numFmtId="3" fontId="18" fillId="0" borderId="622" xfId="90" applyNumberFormat="1" applyFont="1" applyBorder="1" applyAlignment="1">
      <alignment horizontal="left" vertical="top"/>
    </xf>
    <xf numFmtId="3" fontId="18" fillId="0" borderId="362" xfId="90" applyNumberFormat="1" applyFont="1" applyBorder="1" applyAlignment="1">
      <alignment horizontal="left" vertical="top"/>
    </xf>
    <xf numFmtId="3" fontId="18" fillId="0" borderId="615" xfId="90" applyNumberFormat="1" applyFont="1" applyBorder="1" applyAlignment="1">
      <alignment horizontal="left" vertical="top"/>
    </xf>
    <xf numFmtId="3" fontId="18" fillId="0" borderId="142" xfId="90" applyNumberFormat="1" applyFont="1" applyBorder="1" applyAlignment="1">
      <alignment horizontal="left" vertical="top"/>
    </xf>
    <xf numFmtId="3" fontId="18" fillId="0" borderId="43" xfId="90" applyNumberFormat="1" applyFont="1" applyBorder="1" applyAlignment="1">
      <alignment horizontal="left" vertical="top"/>
    </xf>
    <xf numFmtId="3" fontId="18" fillId="0" borderId="144" xfId="90" applyNumberFormat="1" applyFont="1" applyBorder="1" applyAlignment="1">
      <alignment vertical="top"/>
    </xf>
    <xf numFmtId="3" fontId="18" fillId="6" borderId="410" xfId="90" applyNumberFormat="1" applyFont="1" applyFill="1" applyBorder="1"/>
    <xf numFmtId="3" fontId="108" fillId="6" borderId="615" xfId="90" applyNumberFormat="1" applyFont="1" applyFill="1" applyBorder="1"/>
    <xf numFmtId="3" fontId="18" fillId="6" borderId="42" xfId="90" applyNumberFormat="1" applyFont="1" applyFill="1" applyBorder="1" applyAlignment="1">
      <alignment horizontal="left" vertical="top"/>
    </xf>
    <xf numFmtId="3" fontId="18" fillId="6" borderId="42" xfId="90" applyNumberFormat="1" applyFont="1" applyFill="1" applyBorder="1" applyAlignment="1">
      <alignment vertical="top"/>
    </xf>
    <xf numFmtId="3" fontId="18" fillId="6" borderId="536" xfId="90" applyNumberFormat="1" applyFont="1" applyFill="1" applyBorder="1" applyAlignment="1">
      <alignment horizontal="left" vertical="top"/>
    </xf>
    <xf numFmtId="3" fontId="18" fillId="6" borderId="0" xfId="90" applyNumberFormat="1" applyFont="1" applyFill="1" applyAlignment="1">
      <alignment vertical="top"/>
    </xf>
    <xf numFmtId="168" fontId="0" fillId="0" borderId="410" xfId="0" applyBorder="1" applyAlignment="1">
      <alignment vertical="center"/>
    </xf>
    <xf numFmtId="168" fontId="34" fillId="0" borderId="46" xfId="86" applyNumberFormat="1" applyFont="1" applyBorder="1">
      <alignment vertical="center"/>
    </xf>
    <xf numFmtId="1" fontId="34" fillId="12" borderId="362" xfId="13" applyNumberFormat="1" applyFont="1" applyFill="1" applyBorder="1" applyAlignment="1">
      <alignment horizontal="left"/>
    </xf>
    <xf numFmtId="0" fontId="34" fillId="0" borderId="429" xfId="13" applyNumberFormat="1" applyFont="1" applyBorder="1" applyAlignment="1" applyProtection="1">
      <alignment horizontal="right"/>
      <protection locked="0"/>
    </xf>
    <xf numFmtId="0" fontId="34" fillId="0" borderId="260" xfId="13" applyNumberFormat="1" applyFont="1" applyBorder="1" applyAlignment="1" applyProtection="1">
      <alignment horizontal="right"/>
      <protection locked="0"/>
    </xf>
    <xf numFmtId="0" fontId="34" fillId="0" borderId="263" xfId="13" applyNumberFormat="1" applyFont="1" applyBorder="1" applyAlignment="1" applyProtection="1">
      <alignment horizontal="right"/>
      <protection locked="0"/>
    </xf>
    <xf numFmtId="0" fontId="34" fillId="0" borderId="10" xfId="13" applyNumberFormat="1" applyFont="1" applyBorder="1" applyAlignment="1" applyProtection="1">
      <alignment horizontal="right"/>
      <protection locked="0"/>
    </xf>
    <xf numFmtId="0" fontId="34" fillId="0" borderId="265" xfId="13" applyNumberFormat="1" applyFont="1" applyBorder="1" applyAlignment="1" applyProtection="1">
      <alignment horizontal="right"/>
      <protection locked="0"/>
    </xf>
    <xf numFmtId="0" fontId="34" fillId="0" borderId="573" xfId="13" applyNumberFormat="1" applyFont="1" applyBorder="1" applyAlignment="1" applyProtection="1">
      <alignment horizontal="right"/>
      <protection locked="0"/>
    </xf>
    <xf numFmtId="0" fontId="34" fillId="0" borderId="264" xfId="13" applyNumberFormat="1" applyFont="1" applyBorder="1" applyAlignment="1" applyProtection="1">
      <alignment horizontal="right"/>
      <protection locked="0"/>
    </xf>
    <xf numFmtId="0" fontId="34" fillId="0" borderId="259" xfId="13" applyNumberFormat="1" applyFont="1" applyBorder="1" applyAlignment="1" applyProtection="1">
      <alignment horizontal="right"/>
      <protection locked="0"/>
    </xf>
    <xf numFmtId="0" fontId="4" fillId="12" borderId="0" xfId="90" applyFont="1" applyFill="1"/>
    <xf numFmtId="3" fontId="37" fillId="0" borderId="500" xfId="13" applyNumberFormat="1" applyFont="1" applyBorder="1" applyAlignment="1">
      <alignment horizontal="left" vertical="center" wrapText="1"/>
    </xf>
    <xf numFmtId="0" fontId="3" fillId="0" borderId="0" xfId="90" applyFont="1"/>
    <xf numFmtId="0" fontId="3" fillId="0" borderId="0" xfId="90" applyFont="1" applyAlignment="1">
      <alignment wrapText="1"/>
    </xf>
    <xf numFmtId="0" fontId="5" fillId="0" borderId="43" xfId="90" applyBorder="1" applyAlignment="1">
      <alignment wrapText="1"/>
    </xf>
    <xf numFmtId="0" fontId="3" fillId="0" borderId="0" xfId="90" applyFont="1" applyAlignment="1">
      <alignment horizontal="right"/>
    </xf>
    <xf numFmtId="0" fontId="18" fillId="19" borderId="0" xfId="90" applyFont="1" applyFill="1"/>
    <xf numFmtId="3" fontId="18" fillId="31" borderId="0" xfId="90" applyNumberFormat="1" applyFont="1" applyFill="1" applyAlignment="1">
      <alignment wrapText="1"/>
    </xf>
    <xf numFmtId="0" fontId="53" fillId="19" borderId="410" xfId="90" applyFont="1" applyFill="1" applyBorder="1"/>
    <xf numFmtId="3" fontId="18" fillId="31" borderId="410" xfId="90" applyNumberFormat="1" applyFont="1" applyFill="1" applyBorder="1" applyAlignment="1">
      <alignment wrapText="1"/>
    </xf>
    <xf numFmtId="3" fontId="18" fillId="52" borderId="410" xfId="90" applyNumberFormat="1" applyFont="1" applyFill="1" applyBorder="1" applyAlignment="1">
      <alignment wrapText="1"/>
    </xf>
    <xf numFmtId="0" fontId="53" fillId="52" borderId="410" xfId="90" applyFont="1" applyFill="1" applyBorder="1"/>
    <xf numFmtId="3" fontId="37" fillId="0" borderId="624" xfId="13" applyNumberFormat="1" applyFont="1" applyBorder="1" applyAlignment="1">
      <alignment horizontal="left" vertical="top" wrapText="1"/>
    </xf>
    <xf numFmtId="3" fontId="37" fillId="0" borderId="527" xfId="13" applyNumberFormat="1" applyFont="1" applyBorder="1" applyAlignment="1">
      <alignment horizontal="left" vertical="top" wrapText="1"/>
    </xf>
    <xf numFmtId="3" fontId="37" fillId="0" borderId="526" xfId="13" applyNumberFormat="1" applyFont="1" applyBorder="1" applyAlignment="1">
      <alignment horizontal="left" vertical="top" wrapText="1"/>
    </xf>
    <xf numFmtId="3" fontId="37" fillId="0" borderId="528" xfId="13" applyNumberFormat="1" applyFont="1" applyBorder="1" applyAlignment="1">
      <alignment horizontal="left" vertical="top" wrapText="1"/>
    </xf>
    <xf numFmtId="3" fontId="92" fillId="0" borderId="361" xfId="0" applyNumberFormat="1" applyFont="1" applyBorder="1" applyAlignment="1">
      <alignment horizontal="left" vertical="top" wrapText="1"/>
    </xf>
    <xf numFmtId="3" fontId="92" fillId="0" borderId="100" xfId="13" applyNumberFormat="1" applyFont="1" applyBorder="1" applyAlignment="1">
      <alignment horizontal="left" vertical="top" wrapText="1"/>
    </xf>
    <xf numFmtId="3" fontId="92" fillId="0" borderId="500" xfId="13" applyNumberFormat="1" applyFont="1" applyBorder="1" applyAlignment="1">
      <alignment horizontal="left" vertical="top" wrapText="1"/>
    </xf>
    <xf numFmtId="3" fontId="37" fillId="0" borderId="84" xfId="13" applyNumberFormat="1" applyFont="1" applyBorder="1" applyAlignment="1">
      <alignment horizontal="left" vertical="top" wrapText="1"/>
    </xf>
    <xf numFmtId="3" fontId="34" fillId="0" borderId="132" xfId="13" applyNumberFormat="1" applyFont="1" applyBorder="1" applyAlignment="1">
      <alignment horizontal="left" wrapText="1"/>
    </xf>
    <xf numFmtId="4" fontId="34" fillId="5" borderId="406" xfId="13" applyNumberFormat="1" applyFont="1" applyFill="1" applyBorder="1" applyAlignment="1">
      <alignment horizontal="right"/>
    </xf>
    <xf numFmtId="4" fontId="34" fillId="5" borderId="516" xfId="13" applyNumberFormat="1" applyFont="1" applyFill="1" applyBorder="1" applyAlignment="1">
      <alignment horizontal="right"/>
    </xf>
    <xf numFmtId="0" fontId="34" fillId="5" borderId="448" xfId="13" applyNumberFormat="1" applyFont="1" applyFill="1" applyBorder="1" applyAlignment="1">
      <alignment horizontal="right"/>
    </xf>
    <xf numFmtId="4" fontId="34" fillId="5" borderId="512" xfId="13" applyNumberFormat="1" applyFont="1" applyFill="1" applyBorder="1" applyAlignment="1">
      <alignment horizontal="right"/>
    </xf>
    <xf numFmtId="2" fontId="34" fillId="5" borderId="514" xfId="13" applyNumberFormat="1" applyFont="1" applyFill="1" applyBorder="1" applyAlignment="1">
      <alignment horizontal="right"/>
    </xf>
    <xf numFmtId="49" fontId="34" fillId="0" borderId="513" xfId="13" applyNumberFormat="1" applyFont="1" applyBorder="1" applyAlignment="1">
      <alignment horizontal="left" wrapText="1"/>
    </xf>
    <xf numFmtId="4" fontId="34" fillId="5" borderId="49" xfId="13" applyNumberFormat="1" applyFont="1" applyFill="1" applyBorder="1" applyAlignment="1">
      <alignment horizontal="right"/>
    </xf>
    <xf numFmtId="4" fontId="34" fillId="5" borderId="64" xfId="13" applyNumberFormat="1" applyFont="1" applyFill="1" applyBorder="1" applyAlignment="1">
      <alignment horizontal="right"/>
    </xf>
    <xf numFmtId="0" fontId="34" fillId="5" borderId="55" xfId="13" applyNumberFormat="1" applyFont="1" applyFill="1" applyBorder="1" applyAlignment="1">
      <alignment horizontal="right"/>
    </xf>
    <xf numFmtId="4" fontId="34" fillId="5" borderId="522" xfId="13" applyNumberFormat="1" applyFont="1" applyFill="1" applyBorder="1" applyAlignment="1">
      <alignment horizontal="right"/>
    </xf>
    <xf numFmtId="2" fontId="34" fillId="5" borderId="498" xfId="13" applyNumberFormat="1" applyFont="1" applyFill="1" applyBorder="1" applyAlignment="1">
      <alignment horizontal="right"/>
    </xf>
    <xf numFmtId="49" fontId="34" fillId="0" borderId="497" xfId="13" applyNumberFormat="1" applyFont="1" applyBorder="1" applyAlignment="1">
      <alignment horizontal="left" wrapText="1"/>
    </xf>
    <xf numFmtId="3" fontId="34" fillId="0" borderId="0" xfId="13" applyNumberFormat="1" applyFont="1" applyAlignment="1">
      <alignment horizontal="right" wrapText="1"/>
    </xf>
    <xf numFmtId="49" fontId="34" fillId="0" borderId="497" xfId="13" applyNumberFormat="1" applyFont="1" applyBorder="1" applyAlignment="1">
      <alignment horizontal="left" vertical="top" wrapText="1"/>
    </xf>
    <xf numFmtId="3" fontId="34" fillId="0" borderId="0" xfId="13" applyNumberFormat="1" applyFont="1" applyAlignment="1">
      <alignment horizontal="right"/>
    </xf>
    <xf numFmtId="4" fontId="34" fillId="5" borderId="58" xfId="13" applyNumberFormat="1" applyFont="1" applyFill="1" applyBorder="1" applyAlignment="1">
      <alignment horizontal="right"/>
    </xf>
    <xf numFmtId="4" fontId="34" fillId="5" borderId="67" xfId="13" applyNumberFormat="1" applyFont="1" applyFill="1" applyBorder="1" applyAlignment="1">
      <alignment horizontal="right"/>
    </xf>
    <xf numFmtId="0" fontId="34" fillId="5" borderId="60" xfId="13" applyNumberFormat="1" applyFont="1" applyFill="1" applyBorder="1" applyAlignment="1">
      <alignment horizontal="right"/>
    </xf>
    <xf numFmtId="4" fontId="34" fillId="5" borderId="480" xfId="13" applyNumberFormat="1" applyFont="1" applyFill="1" applyBorder="1" applyAlignment="1">
      <alignment horizontal="right"/>
    </xf>
    <xf numFmtId="4" fontId="34" fillId="5" borderId="625" xfId="13" applyNumberFormat="1" applyFont="1" applyFill="1" applyBorder="1" applyAlignment="1">
      <alignment horizontal="right"/>
    </xf>
    <xf numFmtId="4" fontId="34" fillId="5" borderId="511" xfId="13" applyNumberFormat="1" applyFont="1" applyFill="1" applyBorder="1" applyAlignment="1">
      <alignment horizontal="right"/>
    </xf>
    <xf numFmtId="0" fontId="34" fillId="5" borderId="506" xfId="13" applyNumberFormat="1" applyFont="1" applyFill="1" applyBorder="1" applyAlignment="1">
      <alignment horizontal="right"/>
    </xf>
    <xf numFmtId="4" fontId="34" fillId="5" borderId="505" xfId="13" applyNumberFormat="1" applyFont="1" applyFill="1" applyBorder="1" applyAlignment="1">
      <alignment horizontal="right"/>
    </xf>
    <xf numFmtId="2" fontId="34" fillId="5" borderId="509" xfId="13" applyNumberFormat="1" applyFont="1" applyFill="1" applyBorder="1" applyAlignment="1">
      <alignment horizontal="right"/>
    </xf>
    <xf numFmtId="49" fontId="34" fillId="0" borderId="508" xfId="13" applyNumberFormat="1" applyFont="1" applyBorder="1" applyAlignment="1">
      <alignment horizontal="left" wrapText="1"/>
    </xf>
    <xf numFmtId="4" fontId="34" fillId="5" borderId="72" xfId="13" applyNumberFormat="1" applyFont="1" applyFill="1" applyBorder="1" applyAlignment="1">
      <alignment horizontal="right"/>
    </xf>
    <xf numFmtId="4" fontId="34" fillId="5" borderId="217" xfId="13" applyNumberFormat="1" applyFont="1" applyFill="1" applyBorder="1" applyAlignment="1">
      <alignment horizontal="right"/>
    </xf>
    <xf numFmtId="0" fontId="34" fillId="5" borderId="73" xfId="13" applyNumberFormat="1" applyFont="1" applyFill="1" applyBorder="1" applyAlignment="1">
      <alignment horizontal="right"/>
    </xf>
    <xf numFmtId="4" fontId="34" fillId="5" borderId="482" xfId="13" applyNumberFormat="1" applyFont="1" applyFill="1" applyBorder="1" applyAlignment="1">
      <alignment horizontal="right"/>
    </xf>
    <xf numFmtId="2" fontId="34" fillId="5" borderId="503" xfId="13" applyNumberFormat="1" applyFont="1" applyFill="1" applyBorder="1" applyAlignment="1">
      <alignment horizontal="right"/>
    </xf>
    <xf numFmtId="49" fontId="34" fillId="0" borderId="502" xfId="13" applyNumberFormat="1" applyFont="1" applyBorder="1" applyAlignment="1">
      <alignment horizontal="left" wrapText="1"/>
    </xf>
    <xf numFmtId="4" fontId="34" fillId="5" borderId="51" xfId="13" applyNumberFormat="1" applyFont="1" applyFill="1" applyBorder="1" applyAlignment="1">
      <alignment horizontal="right"/>
    </xf>
    <xf numFmtId="4" fontId="34" fillId="5" borderId="65" xfId="13" applyNumberFormat="1" applyFont="1" applyFill="1" applyBorder="1" applyAlignment="1">
      <alignment horizontal="right"/>
    </xf>
    <xf numFmtId="0" fontId="34" fillId="5" borderId="56" xfId="13" applyNumberFormat="1" applyFont="1" applyFill="1" applyBorder="1" applyAlignment="1">
      <alignment horizontal="right"/>
    </xf>
    <xf numFmtId="4" fontId="34" fillId="5" borderId="521" xfId="13" applyNumberFormat="1" applyFont="1" applyFill="1" applyBorder="1" applyAlignment="1">
      <alignment horizontal="right"/>
    </xf>
    <xf numFmtId="2" fontId="34" fillId="5" borderId="519" xfId="13" applyNumberFormat="1" applyFont="1" applyFill="1" applyBorder="1" applyAlignment="1">
      <alignment horizontal="right"/>
    </xf>
    <xf numFmtId="49" fontId="34" fillId="0" borderId="518" xfId="13" applyNumberFormat="1" applyFont="1" applyBorder="1" applyAlignment="1">
      <alignment horizontal="left" wrapText="1"/>
    </xf>
    <xf numFmtId="4" fontId="34" fillId="5" borderId="61" xfId="13" applyNumberFormat="1" applyFont="1" applyFill="1" applyBorder="1" applyAlignment="1">
      <alignment horizontal="right"/>
    </xf>
    <xf numFmtId="4" fontId="34" fillId="5" borderId="62" xfId="13" applyNumberFormat="1" applyFont="1" applyFill="1" applyBorder="1" applyAlignment="1">
      <alignment horizontal="right"/>
    </xf>
    <xf numFmtId="0" fontId="34" fillId="5" borderId="71" xfId="13" applyNumberFormat="1" applyFont="1" applyFill="1" applyBorder="1" applyAlignment="1">
      <alignment horizontal="right"/>
    </xf>
    <xf numFmtId="4" fontId="34" fillId="5" borderId="501" xfId="13" applyNumberFormat="1" applyFont="1" applyFill="1" applyBorder="1" applyAlignment="1">
      <alignment horizontal="right"/>
    </xf>
    <xf numFmtId="4" fontId="34" fillId="5" borderId="506" xfId="13" applyNumberFormat="1" applyFont="1" applyFill="1" applyBorder="1" applyAlignment="1">
      <alignment horizontal="right"/>
    </xf>
    <xf numFmtId="0" fontId="34" fillId="5" borderId="507" xfId="13" applyNumberFormat="1" applyFont="1" applyFill="1" applyBorder="1" applyAlignment="1">
      <alignment horizontal="right"/>
    </xf>
    <xf numFmtId="4" fontId="34" fillId="5" borderId="496" xfId="13" applyNumberFormat="1" applyFont="1" applyFill="1" applyBorder="1" applyAlignment="1">
      <alignment horizontal="right"/>
    </xf>
    <xf numFmtId="2" fontId="34" fillId="5" borderId="494" xfId="13" applyNumberFormat="1" applyFont="1" applyFill="1" applyBorder="1" applyAlignment="1">
      <alignment horizontal="right"/>
    </xf>
    <xf numFmtId="49" fontId="34" fillId="0" borderId="493" xfId="13" applyNumberFormat="1" applyFont="1" applyBorder="1" applyAlignment="1">
      <alignment horizontal="left" wrapText="1"/>
    </xf>
    <xf numFmtId="4" fontId="34" fillId="5" borderId="121" xfId="13" applyNumberFormat="1" applyFont="1" applyFill="1" applyBorder="1" applyAlignment="1">
      <alignment horizontal="right"/>
    </xf>
    <xf numFmtId="4" fontId="34" fillId="6" borderId="122" xfId="13" applyNumberFormat="1" applyFont="1" applyFill="1" applyBorder="1" applyAlignment="1">
      <alignment horizontal="right"/>
    </xf>
    <xf numFmtId="4" fontId="34" fillId="5" borderId="491" xfId="13" applyNumberFormat="1" applyFont="1" applyFill="1" applyBorder="1" applyAlignment="1">
      <alignment horizontal="right"/>
    </xf>
    <xf numFmtId="4" fontId="34" fillId="6" borderId="217" xfId="13" applyNumberFormat="1" applyFont="1" applyFill="1" applyBorder="1" applyAlignment="1">
      <alignment horizontal="right"/>
    </xf>
    <xf numFmtId="4" fontId="34" fillId="6" borderId="67" xfId="13" applyNumberFormat="1" applyFont="1" applyFill="1" applyBorder="1" applyAlignment="1">
      <alignment horizontal="right"/>
    </xf>
    <xf numFmtId="4" fontId="34" fillId="6" borderId="60" xfId="13" applyNumberFormat="1" applyFont="1" applyFill="1" applyBorder="1" applyAlignment="1">
      <alignment horizontal="right"/>
    </xf>
    <xf numFmtId="4" fontId="34" fillId="5" borderId="626" xfId="13" applyNumberFormat="1" applyFont="1" applyFill="1" applyBorder="1" applyAlignment="1">
      <alignment horizontal="right"/>
    </xf>
    <xf numFmtId="4" fontId="34" fillId="6" borderId="490" xfId="13" applyNumberFormat="1" applyFont="1" applyFill="1" applyBorder="1" applyAlignment="1">
      <alignment horizontal="right"/>
    </xf>
    <xf numFmtId="4" fontId="34" fillId="5" borderId="489" xfId="13" applyNumberFormat="1" applyFont="1" applyFill="1" applyBorder="1" applyAlignment="1">
      <alignment horizontal="right"/>
    </xf>
    <xf numFmtId="4" fontId="34" fillId="5" borderId="623" xfId="13" applyNumberFormat="1" applyFont="1" applyFill="1" applyBorder="1" applyAlignment="1">
      <alignment horizontal="right"/>
    </xf>
    <xf numFmtId="4" fontId="34" fillId="6" borderId="476" xfId="13" applyNumberFormat="1" applyFont="1" applyFill="1" applyBorder="1" applyAlignment="1">
      <alignment horizontal="right"/>
    </xf>
    <xf numFmtId="4" fontId="34" fillId="5" borderId="475" xfId="13" applyNumberFormat="1" applyFont="1" applyFill="1" applyBorder="1" applyAlignment="1">
      <alignment horizontal="right"/>
    </xf>
    <xf numFmtId="4" fontId="34" fillId="0" borderId="0" xfId="13" applyNumberFormat="1" applyFont="1" applyAlignment="1">
      <alignment horizontal="left"/>
    </xf>
    <xf numFmtId="4" fontId="34" fillId="0" borderId="60" xfId="13" applyNumberFormat="1" applyFont="1" applyBorder="1" applyAlignment="1">
      <alignment horizontal="left"/>
    </xf>
    <xf numFmtId="4" fontId="34" fillId="0" borderId="512" xfId="13" applyNumberFormat="1" applyFont="1" applyBorder="1" applyAlignment="1">
      <alignment horizontal="left"/>
    </xf>
    <xf numFmtId="4" fontId="34" fillId="0" borderId="266" xfId="13" applyNumberFormat="1" applyFont="1" applyBorder="1" applyAlignment="1">
      <alignment horizontal="left"/>
    </xf>
    <xf numFmtId="4" fontId="34" fillId="0" borderId="480" xfId="13" applyNumberFormat="1" applyFont="1" applyBorder="1" applyAlignment="1">
      <alignment horizontal="left"/>
    </xf>
    <xf numFmtId="4" fontId="34" fillId="0" borderId="507" xfId="13" applyNumberFormat="1" applyFont="1" applyBorder="1" applyAlignment="1">
      <alignment horizontal="left"/>
    </xf>
    <xf numFmtId="4" fontId="34" fillId="0" borderId="506" xfId="13" applyNumberFormat="1" applyFont="1" applyBorder="1" applyAlignment="1">
      <alignment horizontal="left"/>
    </xf>
    <xf numFmtId="4" fontId="34" fillId="0" borderId="505" xfId="13" applyNumberFormat="1" applyFont="1" applyBorder="1" applyAlignment="1">
      <alignment horizontal="left"/>
    </xf>
    <xf numFmtId="4" fontId="34" fillId="0" borderId="481" xfId="13" applyNumberFormat="1" applyFont="1" applyBorder="1" applyAlignment="1">
      <alignment horizontal="left"/>
    </xf>
    <xf numFmtId="4" fontId="34" fillId="0" borderId="73" xfId="13" applyNumberFormat="1" applyFont="1" applyBorder="1" applyAlignment="1">
      <alignment horizontal="left"/>
    </xf>
    <xf numFmtId="4" fontId="34" fillId="0" borderId="482" xfId="13" applyNumberFormat="1" applyFont="1" applyBorder="1" applyAlignment="1">
      <alignment horizontal="left"/>
    </xf>
    <xf numFmtId="4" fontId="34" fillId="0" borderId="100" xfId="13" applyNumberFormat="1" applyFont="1" applyBorder="1" applyAlignment="1">
      <alignment horizontal="left"/>
    </xf>
    <xf numFmtId="4" fontId="34" fillId="0" borderId="500" xfId="13" applyNumberFormat="1" applyFont="1" applyBorder="1" applyAlignment="1">
      <alignment horizontal="left"/>
    </xf>
    <xf numFmtId="4" fontId="34" fillId="0" borderId="140" xfId="13" applyNumberFormat="1" applyFont="1" applyBorder="1" applyAlignment="1">
      <alignment horizontal="left"/>
    </xf>
    <xf numFmtId="4" fontId="34" fillId="0" borderId="57" xfId="13" applyNumberFormat="1" applyFont="1" applyBorder="1" applyAlignment="1">
      <alignment horizontal="left"/>
    </xf>
    <xf numFmtId="4" fontId="34" fillId="0" borderId="517" xfId="13" applyNumberFormat="1" applyFont="1" applyBorder="1" applyAlignment="1">
      <alignment horizontal="left"/>
    </xf>
    <xf numFmtId="4" fontId="34" fillId="0" borderId="448" xfId="13" applyNumberFormat="1" applyFont="1" applyBorder="1" applyAlignment="1">
      <alignment horizontal="left"/>
    </xf>
    <xf numFmtId="4" fontId="34" fillId="0" borderId="324" xfId="13" applyNumberFormat="1" applyFont="1" applyBorder="1" applyAlignment="1">
      <alignment horizontal="left"/>
    </xf>
    <xf numFmtId="4" fontId="34" fillId="0" borderId="317" xfId="13" applyNumberFormat="1" applyFont="1" applyBorder="1" applyAlignment="1">
      <alignment horizontal="left"/>
    </xf>
    <xf numFmtId="4" fontId="34" fillId="0" borderId="492" xfId="13" applyNumberFormat="1" applyFont="1" applyBorder="1" applyAlignment="1">
      <alignment horizontal="left"/>
    </xf>
    <xf numFmtId="3" fontId="37" fillId="0" borderId="469" xfId="13" applyNumberFormat="1" applyFont="1" applyBorder="1" applyAlignment="1">
      <alignment horizontal="left" vertical="top" wrapText="1"/>
    </xf>
    <xf numFmtId="3" fontId="37" fillId="0" borderId="100" xfId="13" applyNumberFormat="1" applyFont="1" applyBorder="1" applyAlignment="1">
      <alignment horizontal="left" vertical="top" wrapText="1"/>
    </xf>
    <xf numFmtId="3" fontId="37" fillId="0" borderId="525" xfId="13" applyNumberFormat="1" applyFont="1" applyBorder="1" applyAlignment="1">
      <alignment horizontal="left" vertical="top" wrapText="1"/>
    </xf>
    <xf numFmtId="3" fontId="18" fillId="0" borderId="21" xfId="90" applyNumberFormat="1" applyFont="1" applyBorder="1" applyAlignment="1">
      <alignment horizontal="left"/>
    </xf>
    <xf numFmtId="4" fontId="18" fillId="0" borderId="0" xfId="90" quotePrefix="1" applyNumberFormat="1" applyFont="1" applyAlignment="1">
      <alignment horizontal="center" wrapText="1"/>
    </xf>
    <xf numFmtId="0" fontId="18" fillId="0" borderId="19" xfId="90" applyFont="1" applyBorder="1" applyAlignment="1">
      <alignment wrapText="1"/>
    </xf>
    <xf numFmtId="0" fontId="18" fillId="0" borderId="19" xfId="90" applyFont="1" applyBorder="1" applyAlignment="1">
      <alignment horizontal="center" wrapText="1"/>
    </xf>
    <xf numFmtId="0" fontId="18" fillId="0" borderId="21" xfId="90" applyFont="1" applyBorder="1" applyAlignment="1">
      <alignment wrapText="1"/>
    </xf>
    <xf numFmtId="0" fontId="18" fillId="0" borderId="24" xfId="90" applyFont="1" applyBorder="1" applyAlignment="1">
      <alignment wrapText="1"/>
    </xf>
    <xf numFmtId="3" fontId="17" fillId="0" borderId="18" xfId="90" applyNumberFormat="1" applyFont="1" applyBorder="1" applyAlignment="1">
      <alignment wrapText="1"/>
    </xf>
    <xf numFmtId="3" fontId="108" fillId="0" borderId="361" xfId="90" applyNumberFormat="1" applyFont="1" applyBorder="1"/>
    <xf numFmtId="3" fontId="108" fillId="0" borderId="628" xfId="90" applyNumberFormat="1" applyFont="1" applyBorder="1"/>
    <xf numFmtId="49" fontId="34" fillId="0" borderId="513" xfId="13" applyNumberFormat="1" applyFont="1" applyBorder="1" applyAlignment="1" applyProtection="1">
      <alignment horizontal="left" wrapText="1"/>
      <protection locked="0"/>
    </xf>
    <xf numFmtId="49" fontId="34" fillId="0" borderId="0" xfId="13" applyNumberFormat="1" applyFont="1" applyAlignment="1" applyProtection="1">
      <alignment horizontal="left"/>
      <protection locked="0"/>
    </xf>
    <xf numFmtId="4" fontId="34" fillId="0" borderId="448" xfId="13" applyNumberFormat="1" applyFont="1" applyBorder="1" applyAlignment="1" applyProtection="1">
      <alignment horizontal="right"/>
      <protection locked="0"/>
    </xf>
    <xf numFmtId="49" fontId="34" fillId="0" borderId="512" xfId="13" applyNumberFormat="1" applyFont="1" applyBorder="1" applyAlignment="1" applyProtection="1">
      <alignment horizontal="left"/>
      <protection locked="0"/>
    </xf>
    <xf numFmtId="49" fontId="34" fillId="0" borderId="497" xfId="13" applyNumberFormat="1" applyFont="1" applyBorder="1" applyAlignment="1" applyProtection="1">
      <alignment horizontal="left" wrapText="1"/>
      <protection locked="0"/>
    </xf>
    <xf numFmtId="49" fontId="34" fillId="0" borderId="266" xfId="13" applyNumberFormat="1" applyFont="1" applyBorder="1" applyAlignment="1" applyProtection="1">
      <alignment horizontal="left"/>
      <protection locked="0"/>
    </xf>
    <xf numFmtId="4" fontId="34" fillId="0" borderId="60" xfId="13" applyNumberFormat="1" applyFont="1" applyBorder="1" applyAlignment="1" applyProtection="1">
      <alignment horizontal="right"/>
      <protection locked="0"/>
    </xf>
    <xf numFmtId="49" fontId="34" fillId="0" borderId="480" xfId="13" applyNumberFormat="1" applyFont="1" applyBorder="1" applyAlignment="1" applyProtection="1">
      <alignment horizontal="left"/>
      <protection locked="0"/>
    </xf>
    <xf numFmtId="49" fontId="34" fillId="0" borderId="497" xfId="13" applyNumberFormat="1" applyFont="1" applyBorder="1" applyAlignment="1" applyProtection="1">
      <alignment horizontal="left" vertical="top" wrapText="1"/>
      <protection locked="0"/>
    </xf>
    <xf numFmtId="49" fontId="34" fillId="0" borderId="508" xfId="13" applyNumberFormat="1" applyFont="1" applyBorder="1" applyAlignment="1" applyProtection="1">
      <alignment horizontal="left" wrapText="1"/>
      <protection locked="0"/>
    </xf>
    <xf numFmtId="49" fontId="34" fillId="0" borderId="507" xfId="13" applyNumberFormat="1" applyFont="1" applyBorder="1" applyAlignment="1" applyProtection="1">
      <alignment horizontal="left"/>
      <protection locked="0"/>
    </xf>
    <xf numFmtId="4" fontId="34" fillId="0" borderId="506" xfId="13" applyNumberFormat="1" applyFont="1" applyBorder="1" applyAlignment="1" applyProtection="1">
      <alignment horizontal="right"/>
      <protection locked="0"/>
    </xf>
    <xf numFmtId="49" fontId="34" fillId="0" borderId="505" xfId="13" applyNumberFormat="1" applyFont="1" applyBorder="1" applyAlignment="1" applyProtection="1">
      <alignment horizontal="left"/>
      <protection locked="0"/>
    </xf>
    <xf numFmtId="2" fontId="34" fillId="0" borderId="515" xfId="13" applyNumberFormat="1" applyFont="1" applyBorder="1" applyAlignment="1" applyProtection="1">
      <alignment horizontal="right"/>
      <protection locked="0"/>
    </xf>
    <xf numFmtId="2" fontId="34" fillId="0" borderId="499" xfId="13" applyNumberFormat="1" applyFont="1" applyBorder="1" applyAlignment="1" applyProtection="1">
      <alignment horizontal="right"/>
      <protection locked="0"/>
    </xf>
    <xf numFmtId="2" fontId="34" fillId="0" borderId="510" xfId="13" applyNumberFormat="1" applyFont="1" applyBorder="1" applyAlignment="1" applyProtection="1">
      <alignment horizontal="right"/>
      <protection locked="0"/>
    </xf>
    <xf numFmtId="4" fontId="34" fillId="5" borderId="627" xfId="13" applyNumberFormat="1" applyFont="1" applyFill="1" applyBorder="1" applyAlignment="1">
      <alignment horizontal="right"/>
    </xf>
    <xf numFmtId="0" fontId="53" fillId="19" borderId="0" xfId="90" applyFont="1" applyFill="1"/>
    <xf numFmtId="3" fontId="18" fillId="53" borderId="0" xfId="90" applyNumberFormat="1" applyFont="1" applyFill="1" applyAlignment="1">
      <alignment wrapText="1"/>
    </xf>
    <xf numFmtId="3" fontId="18" fillId="0" borderId="142" xfId="90" applyNumberFormat="1" applyFont="1" applyBorder="1" applyAlignment="1">
      <alignment textRotation="90"/>
    </xf>
    <xf numFmtId="0" fontId="53" fillId="53" borderId="410" xfId="90" applyFont="1" applyFill="1" applyBorder="1"/>
    <xf numFmtId="0" fontId="2" fillId="0" borderId="0" xfId="90" applyFont="1" applyAlignment="1">
      <alignment horizontal="right"/>
    </xf>
    <xf numFmtId="3" fontId="18" fillId="0" borderId="410" xfId="90" applyNumberFormat="1" applyFont="1" applyBorder="1" applyAlignment="1">
      <alignment wrapText="1"/>
    </xf>
    <xf numFmtId="3" fontId="34" fillId="0" borderId="618" xfId="13" applyNumberFormat="1" applyFont="1" applyBorder="1" applyAlignment="1">
      <alignment wrapText="1"/>
    </xf>
    <xf numFmtId="3" fontId="37" fillId="0" borderId="500" xfId="13" applyNumberFormat="1" applyFont="1" applyBorder="1" applyAlignment="1">
      <alignment horizontal="left" vertical="top" wrapText="1"/>
    </xf>
    <xf numFmtId="4" fontId="34" fillId="0" borderId="0" xfId="13" applyNumberFormat="1" applyFont="1" applyAlignment="1" applyProtection="1">
      <alignment horizontal="left"/>
      <protection locked="0"/>
    </xf>
    <xf numFmtId="4" fontId="34" fillId="0" borderId="60" xfId="13" applyNumberFormat="1" applyFont="1" applyBorder="1" applyAlignment="1" applyProtection="1">
      <alignment horizontal="left"/>
      <protection locked="0"/>
    </xf>
    <xf numFmtId="4" fontId="34" fillId="0" borderId="512" xfId="13" applyNumberFormat="1" applyFont="1" applyBorder="1" applyAlignment="1" applyProtection="1">
      <alignment horizontal="left"/>
      <protection locked="0"/>
    </xf>
    <xf numFmtId="2" fontId="34" fillId="0" borderId="504" xfId="13" applyNumberFormat="1" applyFont="1" applyBorder="1" applyAlignment="1" applyProtection="1">
      <alignment horizontal="right"/>
      <protection locked="0"/>
    </xf>
    <xf numFmtId="49" fontId="34" fillId="0" borderId="502" xfId="13" applyNumberFormat="1" applyFont="1" applyBorder="1" applyAlignment="1" applyProtection="1">
      <alignment horizontal="left" vertical="top" wrapText="1"/>
      <protection locked="0"/>
    </xf>
    <xf numFmtId="4" fontId="34" fillId="0" borderId="100" xfId="13" applyNumberFormat="1" applyFont="1" applyBorder="1" applyAlignment="1" applyProtection="1">
      <alignment horizontal="left"/>
      <protection locked="0"/>
    </xf>
    <xf numFmtId="4" fontId="34" fillId="0" borderId="500" xfId="13" applyNumberFormat="1" applyFont="1" applyBorder="1" applyAlignment="1" applyProtection="1">
      <alignment horizontal="left"/>
      <protection locked="0"/>
    </xf>
    <xf numFmtId="2" fontId="34" fillId="0" borderId="559" xfId="13" applyNumberFormat="1" applyFont="1" applyBorder="1" applyAlignment="1" applyProtection="1">
      <alignment horizontal="right"/>
      <protection locked="0"/>
    </xf>
    <xf numFmtId="49" fontId="34" fillId="0" borderId="557" xfId="13" applyNumberFormat="1" applyFont="1" applyBorder="1" applyAlignment="1" applyProtection="1">
      <alignment horizontal="left" wrapText="1"/>
      <protection locked="0"/>
    </xf>
    <xf numFmtId="4" fontId="34" fillId="0" borderId="142" xfId="13" applyNumberFormat="1" applyFont="1" applyBorder="1" applyAlignment="1" applyProtection="1">
      <alignment horizontal="left"/>
      <protection locked="0"/>
    </xf>
    <xf numFmtId="4" fontId="34" fillId="0" borderId="442" xfId="13" applyNumberFormat="1" applyFont="1" applyBorder="1" applyAlignment="1" applyProtection="1">
      <alignment horizontal="left"/>
      <protection locked="0"/>
    </xf>
    <xf numFmtId="4" fontId="34" fillId="0" borderId="556" xfId="13" applyNumberFormat="1" applyFont="1" applyBorder="1" applyAlignment="1" applyProtection="1">
      <alignment horizontal="left"/>
      <protection locked="0"/>
    </xf>
    <xf numFmtId="49" fontId="34" fillId="0" borderId="502" xfId="13" applyNumberFormat="1" applyFont="1" applyBorder="1" applyAlignment="1" applyProtection="1">
      <alignment horizontal="left" wrapText="1"/>
      <protection locked="0"/>
    </xf>
    <xf numFmtId="4" fontId="34" fillId="0" borderId="481" xfId="13" applyNumberFormat="1" applyFont="1" applyBorder="1" applyAlignment="1" applyProtection="1">
      <alignment horizontal="left"/>
      <protection locked="0"/>
    </xf>
    <xf numFmtId="4" fontId="34" fillId="0" borderId="73" xfId="13" applyNumberFormat="1" applyFont="1" applyBorder="1" applyAlignment="1" applyProtection="1">
      <alignment horizontal="left"/>
      <protection locked="0"/>
    </xf>
    <xf numFmtId="4" fontId="34" fillId="0" borderId="482" xfId="13" applyNumberFormat="1" applyFont="1" applyBorder="1" applyAlignment="1" applyProtection="1">
      <alignment horizontal="left"/>
      <protection locked="0"/>
    </xf>
    <xf numFmtId="2" fontId="34" fillId="0" borderId="520" xfId="13" applyNumberFormat="1" applyFont="1" applyBorder="1" applyAlignment="1" applyProtection="1">
      <alignment horizontal="right"/>
      <protection locked="0"/>
    </xf>
    <xf numFmtId="49" fontId="34" fillId="0" borderId="518" xfId="13" applyNumberFormat="1" applyFont="1" applyBorder="1" applyAlignment="1" applyProtection="1">
      <alignment horizontal="left" wrapText="1"/>
      <protection locked="0"/>
    </xf>
    <xf numFmtId="4" fontId="34" fillId="0" borderId="140" xfId="13" applyNumberFormat="1" applyFont="1" applyBorder="1" applyAlignment="1" applyProtection="1">
      <alignment horizontal="left"/>
      <protection locked="0"/>
    </xf>
    <xf numFmtId="4" fontId="34" fillId="0" borderId="57" xfId="13" applyNumberFormat="1" applyFont="1" applyBorder="1" applyAlignment="1" applyProtection="1">
      <alignment horizontal="left"/>
      <protection locked="0"/>
    </xf>
    <xf numFmtId="4" fontId="34" fillId="0" borderId="517" xfId="13" applyNumberFormat="1" applyFont="1" applyBorder="1" applyAlignment="1" applyProtection="1">
      <alignment horizontal="left"/>
      <protection locked="0"/>
    </xf>
    <xf numFmtId="4" fontId="34" fillId="0" borderId="448" xfId="13" applyNumberFormat="1" applyFont="1" applyBorder="1" applyAlignment="1" applyProtection="1">
      <alignment horizontal="left"/>
      <protection locked="0"/>
    </xf>
    <xf numFmtId="4" fontId="34" fillId="0" borderId="507" xfId="13" applyNumberFormat="1" applyFont="1" applyBorder="1" applyAlignment="1" applyProtection="1">
      <alignment horizontal="left"/>
      <protection locked="0"/>
    </xf>
    <xf numFmtId="4" fontId="34" fillId="0" borderId="506" xfId="13" applyNumberFormat="1" applyFont="1" applyBorder="1" applyAlignment="1" applyProtection="1">
      <alignment horizontal="left"/>
      <protection locked="0"/>
    </xf>
    <xf numFmtId="4" fontId="34" fillId="0" borderId="505" xfId="13" applyNumberFormat="1" applyFont="1" applyBorder="1" applyAlignment="1" applyProtection="1">
      <alignment horizontal="left"/>
      <protection locked="0"/>
    </xf>
    <xf numFmtId="2" fontId="34" fillId="0" borderId="542" xfId="13" applyNumberFormat="1" applyFont="1" applyBorder="1" applyAlignment="1" applyProtection="1">
      <alignment horizontal="right"/>
      <protection locked="0"/>
    </xf>
    <xf numFmtId="49" fontId="34" fillId="0" borderId="540" xfId="13" applyNumberFormat="1" applyFont="1" applyBorder="1" applyAlignment="1" applyProtection="1">
      <alignment horizontal="left" wrapText="1"/>
      <protection locked="0"/>
    </xf>
    <xf numFmtId="4" fontId="34" fillId="0" borderId="86" xfId="13" applyNumberFormat="1" applyFont="1" applyBorder="1" applyAlignment="1" applyProtection="1">
      <alignment horizontal="left"/>
      <protection locked="0"/>
    </xf>
    <xf numFmtId="2" fontId="34" fillId="0" borderId="468" xfId="13" applyNumberFormat="1" applyFont="1" applyBorder="1" applyAlignment="1" applyProtection="1">
      <alignment horizontal="right"/>
      <protection locked="0"/>
    </xf>
    <xf numFmtId="49" fontId="34" fillId="0" borderId="523" xfId="13" applyNumberFormat="1" applyFont="1" applyBorder="1" applyAlignment="1" applyProtection="1">
      <alignment horizontal="left" wrapText="1"/>
      <protection locked="0"/>
    </xf>
    <xf numFmtId="2" fontId="34" fillId="0" borderId="539" xfId="13" applyNumberFormat="1" applyFont="1" applyBorder="1" applyAlignment="1" applyProtection="1">
      <alignment horizontal="right"/>
      <protection locked="0"/>
    </xf>
    <xf numFmtId="49" fontId="34" fillId="0" borderId="537" xfId="13" applyNumberFormat="1" applyFont="1" applyBorder="1" applyAlignment="1" applyProtection="1">
      <alignment horizontal="left" wrapText="1"/>
      <protection locked="0"/>
    </xf>
    <xf numFmtId="4" fontId="34" fillId="0" borderId="324" xfId="13" applyNumberFormat="1" applyFont="1" applyBorder="1" applyAlignment="1" applyProtection="1">
      <alignment horizontal="left"/>
      <protection locked="0"/>
    </xf>
    <xf numFmtId="4" fontId="34" fillId="0" borderId="317" xfId="13" applyNumberFormat="1" applyFont="1" applyBorder="1" applyAlignment="1" applyProtection="1">
      <alignment horizontal="left"/>
      <protection locked="0"/>
    </xf>
    <xf numFmtId="4" fontId="34" fillId="0" borderId="492" xfId="13" applyNumberFormat="1" applyFont="1" applyBorder="1" applyAlignment="1" applyProtection="1">
      <alignment horizontal="left"/>
      <protection locked="0"/>
    </xf>
    <xf numFmtId="4" fontId="34" fillId="5" borderId="563" xfId="13" applyNumberFormat="1" applyFont="1" applyFill="1" applyBorder="1" applyAlignment="1">
      <alignment horizontal="right"/>
    </xf>
    <xf numFmtId="4" fontId="34" fillId="5" borderId="517" xfId="13" applyNumberFormat="1" applyFont="1" applyFill="1" applyBorder="1" applyAlignment="1">
      <alignment horizontal="right"/>
    </xf>
    <xf numFmtId="4" fontId="34" fillId="5" borderId="533" xfId="13" applyNumberFormat="1" applyFont="1" applyFill="1" applyBorder="1" applyAlignment="1">
      <alignment horizontal="right"/>
    </xf>
    <xf numFmtId="4" fontId="34" fillId="5" borderId="84" xfId="13" applyNumberFormat="1" applyFont="1" applyFill="1" applyBorder="1" applyAlignment="1">
      <alignment horizontal="right"/>
    </xf>
    <xf numFmtId="0" fontId="34" fillId="5" borderId="100" xfId="13" applyNumberFormat="1" applyFont="1" applyFill="1" applyBorder="1" applyAlignment="1">
      <alignment horizontal="right"/>
    </xf>
    <xf numFmtId="4" fontId="34" fillId="5" borderId="500" xfId="13" applyNumberFormat="1" applyFont="1" applyFill="1" applyBorder="1" applyAlignment="1">
      <alignment horizontal="right"/>
    </xf>
    <xf numFmtId="4" fontId="34" fillId="5" borderId="545" xfId="13" applyNumberFormat="1" applyFont="1" applyFill="1" applyBorder="1" applyAlignment="1">
      <alignment horizontal="right"/>
    </xf>
    <xf numFmtId="0" fontId="34" fillId="5" borderId="544" xfId="13" applyNumberFormat="1" applyFont="1" applyFill="1" applyBorder="1" applyAlignment="1">
      <alignment horizontal="right"/>
    </xf>
    <xf numFmtId="4" fontId="34" fillId="5" borderId="543" xfId="13" applyNumberFormat="1" applyFont="1" applyFill="1" applyBorder="1" applyAlignment="1">
      <alignment horizontal="right"/>
    </xf>
    <xf numFmtId="4" fontId="34" fillId="5" borderId="66" xfId="13" applyNumberFormat="1" applyFont="1" applyFill="1" applyBorder="1" applyAlignment="1">
      <alignment horizontal="right"/>
    </xf>
    <xf numFmtId="0" fontId="34" fillId="5" borderId="57" xfId="13" applyNumberFormat="1" applyFont="1" applyFill="1" applyBorder="1" applyAlignment="1">
      <alignment horizontal="right"/>
    </xf>
    <xf numFmtId="0" fontId="34" fillId="5" borderId="317" xfId="13" applyNumberFormat="1" applyFont="1" applyFill="1" applyBorder="1" applyAlignment="1">
      <alignment horizontal="right"/>
    </xf>
    <xf numFmtId="4" fontId="34" fillId="5" borderId="492" xfId="13" applyNumberFormat="1" applyFont="1" applyFill="1" applyBorder="1" applyAlignment="1">
      <alignment horizontal="right"/>
    </xf>
    <xf numFmtId="4" fontId="34" fillId="5" borderId="560" xfId="13" applyNumberFormat="1" applyFont="1" applyFill="1" applyBorder="1" applyAlignment="1">
      <alignment horizontal="right"/>
    </xf>
    <xf numFmtId="0" fontId="34" fillId="5" borderId="442" xfId="13" applyNumberFormat="1" applyFont="1" applyFill="1" applyBorder="1" applyAlignment="1">
      <alignment horizontal="right"/>
    </xf>
    <xf numFmtId="4" fontId="34" fillId="5" borderId="556" xfId="13" applyNumberFormat="1" applyFont="1" applyFill="1" applyBorder="1" applyAlignment="1">
      <alignment horizontal="right"/>
    </xf>
    <xf numFmtId="4" fontId="34" fillId="5" borderId="562" xfId="13" applyNumberFormat="1" applyFont="1" applyFill="1" applyBorder="1" applyAlignment="1">
      <alignment horizontal="right"/>
    </xf>
    <xf numFmtId="0" fontId="34" fillId="5" borderId="443" xfId="13" applyNumberFormat="1" applyFont="1" applyFill="1" applyBorder="1" applyAlignment="1">
      <alignment horizontal="right"/>
    </xf>
    <xf numFmtId="4" fontId="34" fillId="5" borderId="561" xfId="13" applyNumberFormat="1" applyFont="1" applyFill="1" applyBorder="1" applyAlignment="1">
      <alignment horizontal="right"/>
    </xf>
    <xf numFmtId="2" fontId="34" fillId="5" borderId="541" xfId="13" applyNumberFormat="1" applyFont="1" applyFill="1" applyBorder="1" applyAlignment="1">
      <alignment horizontal="right"/>
    </xf>
    <xf numFmtId="2" fontId="34" fillId="5" borderId="101" xfId="13" applyNumberFormat="1" applyFont="1" applyFill="1" applyBorder="1" applyAlignment="1">
      <alignment horizontal="right"/>
    </xf>
    <xf numFmtId="2" fontId="34" fillId="5" borderId="538" xfId="13" applyNumberFormat="1" applyFont="1" applyFill="1" applyBorder="1" applyAlignment="1">
      <alignment horizontal="right"/>
    </xf>
    <xf numFmtId="2" fontId="34" fillId="5" borderId="558" xfId="13" applyNumberFormat="1" applyFont="1" applyFill="1" applyBorder="1" applyAlignment="1">
      <alignment horizontal="right"/>
    </xf>
    <xf numFmtId="3" fontId="91" fillId="0" borderId="42" xfId="13" applyNumberFormat="1" applyFont="1" applyBorder="1" applyAlignment="1">
      <alignment horizontal="left"/>
    </xf>
    <xf numFmtId="0" fontId="1" fillId="0" borderId="0" xfId="90" applyFont="1" applyAlignment="1">
      <alignment horizontal="right"/>
    </xf>
    <xf numFmtId="168" fontId="0" fillId="0" borderId="469" xfId="0" applyBorder="1"/>
    <xf numFmtId="3" fontId="34" fillId="0" borderId="144" xfId="90" applyNumberFormat="1" applyFont="1" applyBorder="1" applyAlignment="1">
      <alignment horizontal="left" vertical="top"/>
    </xf>
    <xf numFmtId="4" fontId="34" fillId="6" borderId="629" xfId="13" applyNumberFormat="1" applyFont="1" applyFill="1" applyBorder="1" applyAlignment="1">
      <alignment horizontal="right"/>
    </xf>
    <xf numFmtId="4" fontId="34" fillId="5" borderId="630" xfId="13" applyNumberFormat="1" applyFont="1" applyFill="1" applyBorder="1" applyAlignment="1">
      <alignment horizontal="right"/>
    </xf>
    <xf numFmtId="4" fontId="34" fillId="6" borderId="53" xfId="13" applyNumberFormat="1" applyFont="1" applyFill="1" applyBorder="1" applyAlignment="1">
      <alignment horizontal="right"/>
    </xf>
    <xf numFmtId="4" fontId="34" fillId="5" borderId="631" xfId="13" applyNumberFormat="1" applyFont="1" applyFill="1" applyBorder="1" applyAlignment="1">
      <alignment horizontal="right"/>
    </xf>
    <xf numFmtId="4" fontId="34" fillId="6" borderId="632" xfId="13" applyNumberFormat="1" applyFont="1" applyFill="1" applyBorder="1" applyAlignment="1">
      <alignment horizontal="right"/>
    </xf>
    <xf numFmtId="4" fontId="34" fillId="6" borderId="633" xfId="13" applyNumberFormat="1" applyFont="1" applyFill="1" applyBorder="1" applyAlignment="1">
      <alignment horizontal="right"/>
    </xf>
    <xf numFmtId="4" fontId="34" fillId="5" borderId="364" xfId="13" applyNumberFormat="1" applyFont="1" applyFill="1" applyBorder="1" applyAlignment="1">
      <alignment horizontal="right"/>
    </xf>
    <xf numFmtId="4" fontId="34" fillId="5" borderId="634" xfId="13" applyNumberFormat="1" applyFont="1" applyFill="1" applyBorder="1" applyAlignment="1">
      <alignment horizontal="right"/>
    </xf>
    <xf numFmtId="4" fontId="34" fillId="5" borderId="53" xfId="13" applyNumberFormat="1" applyFont="1" applyFill="1" applyBorder="1" applyAlignment="1">
      <alignment horizontal="right"/>
    </xf>
    <xf numFmtId="4" fontId="34" fillId="5" borderId="316" xfId="13" applyNumberFormat="1" applyFont="1" applyFill="1" applyBorder="1" applyAlignment="1">
      <alignment horizontal="right"/>
    </xf>
    <xf numFmtId="4" fontId="34" fillId="5" borderId="572" xfId="13" applyNumberFormat="1" applyFont="1" applyFill="1" applyBorder="1" applyAlignment="1">
      <alignment horizontal="right"/>
    </xf>
    <xf numFmtId="4" fontId="34" fillId="5" borderId="604" xfId="13" applyNumberFormat="1" applyFont="1" applyFill="1" applyBorder="1" applyAlignment="1">
      <alignment horizontal="right"/>
    </xf>
    <xf numFmtId="4" fontId="34" fillId="5" borderId="264" xfId="13" applyNumberFormat="1" applyFont="1" applyFill="1" applyBorder="1" applyAlignment="1">
      <alignment horizontal="right"/>
    </xf>
    <xf numFmtId="4" fontId="34" fillId="5" borderId="263" xfId="13" applyNumberFormat="1" applyFont="1" applyFill="1" applyBorder="1" applyAlignment="1">
      <alignment horizontal="right"/>
    </xf>
    <xf numFmtId="4" fontId="34" fillId="5" borderId="14" xfId="13" applyNumberFormat="1" applyFont="1" applyFill="1" applyBorder="1" applyAlignment="1">
      <alignment horizontal="right"/>
    </xf>
    <xf numFmtId="0" fontId="37" fillId="0" borderId="635" xfId="18" applyFont="1" applyBorder="1" applyAlignment="1">
      <alignment horizontal="left" vertical="center"/>
    </xf>
    <xf numFmtId="0" fontId="34" fillId="0" borderId="43" xfId="18" applyFont="1" applyBorder="1" applyAlignment="1">
      <alignment horizontal="right" vertical="center" wrapText="1"/>
    </xf>
    <xf numFmtId="4" fontId="34" fillId="0" borderId="429" xfId="18" applyNumberFormat="1" applyFont="1" applyBorder="1" applyAlignment="1">
      <alignment vertical="center"/>
    </xf>
    <xf numFmtId="176" fontId="105" fillId="6" borderId="264" xfId="18" applyNumberFormat="1" applyFont="1" applyFill="1" applyBorder="1" applyAlignment="1">
      <alignment vertical="center"/>
    </xf>
    <xf numFmtId="176" fontId="105" fillId="6" borderId="259" xfId="18" applyNumberFormat="1" applyFont="1" applyFill="1" applyBorder="1" applyAlignment="1">
      <alignment vertical="center"/>
    </xf>
    <xf numFmtId="176" fontId="105" fillId="6" borderId="260" xfId="18" applyNumberFormat="1" applyFont="1" applyFill="1" applyBorder="1" applyAlignment="1">
      <alignment vertical="center"/>
    </xf>
    <xf numFmtId="176" fontId="105" fillId="6" borderId="573" xfId="18" applyNumberFormat="1" applyFont="1" applyFill="1" applyBorder="1" applyAlignment="1">
      <alignment vertical="center"/>
    </xf>
    <xf numFmtId="176" fontId="105" fillId="6" borderId="263" xfId="18" applyNumberFormat="1" applyFont="1" applyFill="1" applyBorder="1" applyAlignment="1">
      <alignment vertical="center"/>
    </xf>
    <xf numFmtId="176" fontId="105" fillId="6" borderId="265" xfId="18" applyNumberFormat="1" applyFont="1" applyFill="1" applyBorder="1" applyAlignment="1">
      <alignment vertical="center"/>
    </xf>
    <xf numFmtId="176" fontId="105" fillId="6" borderId="268" xfId="18" applyNumberFormat="1" applyFont="1" applyFill="1" applyBorder="1" applyAlignment="1">
      <alignment vertical="center"/>
    </xf>
    <xf numFmtId="3" fontId="34" fillId="0" borderId="636" xfId="18" applyNumberFormat="1" applyFont="1" applyBorder="1" applyAlignment="1">
      <alignment vertical="center"/>
    </xf>
    <xf numFmtId="179" fontId="34" fillId="0" borderId="42" xfId="0" applyNumberFormat="1" applyFont="1" applyBorder="1" applyAlignment="1">
      <alignment horizontal="right" vertical="center"/>
    </xf>
    <xf numFmtId="183" fontId="34" fillId="0" borderId="142" xfId="0" applyNumberFormat="1" applyFont="1" applyBorder="1" applyAlignment="1">
      <alignment horizontal="right" vertical="center"/>
    </xf>
    <xf numFmtId="179" fontId="34" fillId="0" borderId="0" xfId="0" quotePrefix="1" applyNumberFormat="1" applyFont="1" applyAlignment="1">
      <alignment horizontal="right" vertical="center"/>
    </xf>
    <xf numFmtId="168" fontId="34" fillId="0" borderId="6" xfId="0" applyFont="1" applyBorder="1" applyAlignment="1">
      <alignment vertical="center"/>
    </xf>
    <xf numFmtId="179" fontId="34" fillId="0" borderId="6" xfId="0" applyNumberFormat="1" applyFont="1" applyBorder="1" applyAlignment="1">
      <alignment horizontal="right" vertical="center"/>
    </xf>
    <xf numFmtId="179" fontId="34" fillId="0" borderId="142" xfId="0" applyNumberFormat="1" applyFont="1" applyBorder="1" applyAlignment="1">
      <alignment horizontal="right" vertical="center"/>
    </xf>
    <xf numFmtId="179" fontId="34" fillId="0" borderId="0" xfId="0" applyNumberFormat="1" applyFont="1" applyAlignment="1">
      <alignment horizontal="right" vertical="center"/>
    </xf>
    <xf numFmtId="180" fontId="37" fillId="0" borderId="42" xfId="0" applyNumberFormat="1" applyFont="1" applyBorder="1" applyAlignment="1">
      <alignment horizontal="right" vertical="center"/>
    </xf>
    <xf numFmtId="182" fontId="34" fillId="0" borderId="142" xfId="0" applyNumberFormat="1" applyFont="1" applyBorder="1" applyAlignment="1">
      <alignment horizontal="right" vertical="center"/>
    </xf>
    <xf numFmtId="3" fontId="34" fillId="6" borderId="9" xfId="12" applyNumberFormat="1" applyFont="1" applyFill="1" applyBorder="1" applyAlignment="1">
      <alignment vertical="center"/>
    </xf>
    <xf numFmtId="3" fontId="34" fillId="6" borderId="598" xfId="12" applyNumberFormat="1" applyFont="1" applyFill="1" applyBorder="1" applyAlignment="1">
      <alignment vertical="center"/>
    </xf>
    <xf numFmtId="3" fontId="34" fillId="6" borderId="146" xfId="12" applyNumberFormat="1" applyFont="1" applyFill="1" applyBorder="1" applyAlignment="1">
      <alignment vertical="center"/>
    </xf>
    <xf numFmtId="3" fontId="34" fillId="6" borderId="261" xfId="12" applyNumberFormat="1" applyFont="1" applyFill="1" applyBorder="1" applyAlignment="1">
      <alignment vertical="center"/>
    </xf>
    <xf numFmtId="3" fontId="34" fillId="6" borderId="565" xfId="12" applyNumberFormat="1" applyFont="1" applyFill="1" applyBorder="1" applyAlignment="1">
      <alignment vertical="center"/>
    </xf>
    <xf numFmtId="3" fontId="34" fillId="6" borderId="140" xfId="12" applyNumberFormat="1" applyFont="1" applyFill="1" applyBorder="1" applyAlignment="1">
      <alignment vertical="center"/>
    </xf>
    <xf numFmtId="3" fontId="34" fillId="6" borderId="266" xfId="12" applyNumberFormat="1" applyFont="1" applyFill="1" applyBorder="1" applyAlignment="1">
      <alignment vertical="center"/>
    </xf>
    <xf numFmtId="3" fontId="34" fillId="6" borderId="86" xfId="12" applyNumberFormat="1" applyFont="1" applyFill="1" applyBorder="1" applyAlignment="1">
      <alignment vertical="center"/>
    </xf>
    <xf numFmtId="0" fontId="34" fillId="0" borderId="412" xfId="18" applyFont="1" applyBorder="1" applyAlignment="1">
      <alignment horizontal="right" vertical="center" wrapText="1"/>
    </xf>
    <xf numFmtId="4" fontId="34" fillId="0" borderId="428" xfId="93" applyNumberFormat="1" applyFont="1" applyBorder="1" applyAlignment="1">
      <alignment vertical="center"/>
    </xf>
    <xf numFmtId="4" fontId="105" fillId="6" borderId="575" xfId="93" applyNumberFormat="1" applyFont="1" applyFill="1" applyBorder="1" applyAlignment="1">
      <alignment vertical="center"/>
    </xf>
    <xf numFmtId="4" fontId="34" fillId="0" borderId="637" xfId="93" applyNumberFormat="1" applyFont="1" applyBorder="1" applyAlignment="1">
      <alignment vertical="center"/>
    </xf>
    <xf numFmtId="4" fontId="34" fillId="0" borderId="576" xfId="26" applyNumberFormat="1" applyFont="1" applyBorder="1" applyAlignment="1">
      <alignment vertical="center" wrapText="1"/>
    </xf>
    <xf numFmtId="4" fontId="34" fillId="0" borderId="575" xfId="26" applyNumberFormat="1" applyFont="1" applyBorder="1" applyAlignment="1">
      <alignment vertical="center" wrapText="1"/>
    </xf>
    <xf numFmtId="4" fontId="34" fillId="0" borderId="574" xfId="26" applyNumberFormat="1" applyFont="1" applyBorder="1" applyAlignment="1">
      <alignment vertical="center" wrapText="1"/>
    </xf>
    <xf numFmtId="168" fontId="34" fillId="0" borderId="395" xfId="0" applyFont="1" applyBorder="1"/>
    <xf numFmtId="168" fontId="110" fillId="0" borderId="0" xfId="0" applyFont="1" applyAlignment="1">
      <alignment wrapText="1"/>
    </xf>
    <xf numFmtId="168" fontId="69" fillId="28" borderId="0" xfId="98" applyFont="1" applyFill="1" applyAlignment="1">
      <alignment horizontal="center"/>
    </xf>
    <xf numFmtId="168" fontId="69" fillId="28" borderId="37" xfId="98" applyFont="1" applyFill="1" applyBorder="1" applyAlignment="1">
      <alignment horizontal="center"/>
    </xf>
    <xf numFmtId="168" fontId="69" fillId="28" borderId="0" xfId="0" applyFont="1" applyFill="1" applyAlignment="1">
      <alignment horizontal="center"/>
    </xf>
    <xf numFmtId="168" fontId="69" fillId="28" borderId="37" xfId="0" applyFont="1" applyFill="1" applyBorder="1" applyAlignment="1">
      <alignment horizontal="center"/>
    </xf>
    <xf numFmtId="0" fontId="69" fillId="28" borderId="0" xfId="90" applyFont="1" applyFill="1" applyAlignment="1">
      <alignment horizontal="center"/>
    </xf>
    <xf numFmtId="0" fontId="69" fillId="28" borderId="37" xfId="90" applyFont="1" applyFill="1" applyBorder="1" applyAlignment="1">
      <alignment horizontal="center"/>
    </xf>
    <xf numFmtId="3" fontId="18" fillId="0" borderId="3" xfId="0" applyNumberFormat="1" applyFont="1" applyBorder="1" applyAlignment="1">
      <alignment horizontal="left" vertical="top" wrapText="1"/>
    </xf>
    <xf numFmtId="3" fontId="18" fillId="0" borderId="5" xfId="0" applyNumberFormat="1" applyFont="1" applyBorder="1" applyAlignment="1">
      <alignment horizontal="left" vertical="top" wrapText="1"/>
    </xf>
    <xf numFmtId="3" fontId="18" fillId="0" borderId="392" xfId="0" applyNumberFormat="1" applyFont="1" applyBorder="1" applyAlignment="1">
      <alignment horizontal="left" wrapText="1"/>
    </xf>
    <xf numFmtId="3" fontId="18" fillId="0" borderId="142" xfId="0" applyNumberFormat="1" applyFont="1" applyBorder="1" applyAlignment="1">
      <alignment horizontal="left" wrapText="1"/>
    </xf>
    <xf numFmtId="3" fontId="18" fillId="0" borderId="393" xfId="0" applyNumberFormat="1" applyFont="1" applyBorder="1" applyAlignment="1">
      <alignment horizontal="left" wrapText="1"/>
    </xf>
    <xf numFmtId="3" fontId="18" fillId="0" borderId="401" xfId="0" applyNumberFormat="1" applyFont="1" applyBorder="1" applyAlignment="1">
      <alignment horizontal="left" wrapText="1"/>
    </xf>
    <xf numFmtId="3" fontId="34" fillId="0" borderId="2" xfId="0" applyNumberFormat="1" applyFont="1" applyBorder="1" applyAlignment="1">
      <alignment horizontal="left" vertical="center" wrapText="1"/>
    </xf>
    <xf numFmtId="3" fontId="34" fillId="0" borderId="361" xfId="0" applyNumberFormat="1" applyFont="1" applyBorder="1" applyAlignment="1">
      <alignment horizontal="left" vertical="center" wrapText="1"/>
    </xf>
    <xf numFmtId="3" fontId="34" fillId="0" borderId="361" xfId="0" applyNumberFormat="1" applyFont="1" applyBorder="1" applyAlignment="1">
      <alignment horizontal="left" wrapText="1"/>
    </xf>
    <xf numFmtId="3" fontId="34" fillId="0" borderId="41" xfId="0" applyNumberFormat="1" applyFont="1" applyBorder="1" applyAlignment="1">
      <alignment horizontal="left" wrapText="1"/>
    </xf>
    <xf numFmtId="3" fontId="34" fillId="0" borderId="37" xfId="0" applyNumberFormat="1" applyFont="1" applyBorder="1" applyAlignment="1">
      <alignment horizontal="right" wrapText="1"/>
    </xf>
    <xf numFmtId="3" fontId="34" fillId="0" borderId="43" xfId="0" applyNumberFormat="1" applyFont="1" applyBorder="1" applyAlignment="1">
      <alignment horizontal="right" wrapText="1"/>
    </xf>
    <xf numFmtId="49" fontId="34" fillId="0" borderId="0" xfId="0" applyNumberFormat="1" applyFont="1" applyAlignment="1">
      <alignment wrapText="1"/>
    </xf>
    <xf numFmtId="49" fontId="34" fillId="0" borderId="42" xfId="0" applyNumberFormat="1" applyFont="1" applyBorder="1" applyAlignment="1">
      <alignment wrapText="1"/>
    </xf>
    <xf numFmtId="49" fontId="34" fillId="0" borderId="361" xfId="0" applyNumberFormat="1" applyFont="1" applyBorder="1" applyAlignment="1">
      <alignment horizontal="left" wrapText="1"/>
    </xf>
    <xf numFmtId="49" fontId="34" fillId="0" borderId="41" xfId="0" applyNumberFormat="1" applyFont="1" applyBorder="1" applyAlignment="1">
      <alignment horizontal="left" wrapText="1"/>
    </xf>
    <xf numFmtId="3" fontId="34" fillId="0" borderId="0" xfId="0" applyNumberFormat="1" applyFont="1" applyAlignment="1">
      <alignment horizontal="left" vertical="top" wrapText="1"/>
    </xf>
    <xf numFmtId="3" fontId="34" fillId="0" borderId="0" xfId="0" applyNumberFormat="1" applyFont="1" applyAlignment="1">
      <alignment horizontal="left" vertical="center" wrapText="1"/>
    </xf>
    <xf numFmtId="3" fontId="34" fillId="0" borderId="37" xfId="0" applyNumberFormat="1" applyFont="1" applyBorder="1" applyAlignment="1">
      <alignment horizontal="left" vertical="center" wrapText="1"/>
    </xf>
    <xf numFmtId="168" fontId="34" fillId="0" borderId="37" xfId="0" applyFont="1" applyBorder="1" applyAlignment="1">
      <alignment horizontal="left" wrapText="1"/>
    </xf>
    <xf numFmtId="168" fontId="34" fillId="0" borderId="43" xfId="0" applyFont="1" applyBorder="1" applyAlignment="1">
      <alignment horizontal="left" wrapText="1"/>
    </xf>
    <xf numFmtId="168" fontId="37" fillId="0" borderId="0" xfId="0" applyFont="1" applyAlignment="1">
      <alignment horizontal="center" vertical="center" wrapText="1"/>
    </xf>
    <xf numFmtId="168" fontId="37" fillId="0" borderId="0" xfId="0" applyFont="1" applyAlignment="1">
      <alignment horizontal="center" vertical="center"/>
    </xf>
    <xf numFmtId="168" fontId="37" fillId="0" borderId="358" xfId="0" applyFont="1" applyBorder="1" applyAlignment="1">
      <alignment horizontal="center" vertical="center"/>
    </xf>
    <xf numFmtId="168" fontId="0" fillId="0" borderId="21" xfId="0" applyBorder="1" applyAlignment="1">
      <alignment horizontal="left" wrapText="1"/>
    </xf>
    <xf numFmtId="168" fontId="0" fillId="0" borderId="0" xfId="0" applyAlignment="1">
      <alignment horizontal="left" wrapText="1"/>
    </xf>
    <xf numFmtId="168" fontId="0" fillId="0" borderId="22" xfId="0" applyBorder="1" applyAlignment="1">
      <alignment horizontal="left" wrapText="1"/>
    </xf>
    <xf numFmtId="168" fontId="18" fillId="0" borderId="0" xfId="0" applyFont="1" applyAlignment="1">
      <alignment horizontal="left" wrapText="1"/>
    </xf>
    <xf numFmtId="168" fontId="18" fillId="0" borderId="22" xfId="0" applyFont="1" applyBorder="1" applyAlignment="1">
      <alignment horizontal="left" wrapText="1"/>
    </xf>
    <xf numFmtId="168" fontId="18" fillId="0" borderId="0" xfId="0" applyFont="1" applyAlignment="1">
      <alignment horizontal="left" vertical="top" wrapText="1"/>
    </xf>
    <xf numFmtId="168" fontId="0" fillId="0" borderId="21" xfId="0" applyBorder="1" applyAlignment="1">
      <alignment wrapText="1"/>
    </xf>
    <xf numFmtId="168" fontId="0" fillId="0" borderId="0" xfId="0" applyAlignment="1">
      <alignment wrapText="1"/>
    </xf>
    <xf numFmtId="168" fontId="0" fillId="0" borderId="22" xfId="0" applyBorder="1" applyAlignment="1">
      <alignment wrapText="1"/>
    </xf>
    <xf numFmtId="3" fontId="34" fillId="0" borderId="42" xfId="0" applyNumberFormat="1" applyFont="1" applyBorder="1" applyAlignment="1">
      <alignment horizontal="left" wrapText="1"/>
    </xf>
    <xf numFmtId="3" fontId="34" fillId="0" borderId="43" xfId="0" applyNumberFormat="1" applyFont="1" applyBorder="1" applyAlignment="1">
      <alignment horizontal="left" wrapText="1"/>
    </xf>
    <xf numFmtId="3" fontId="37" fillId="0" borderId="0" xfId="0" applyNumberFormat="1" applyFont="1" applyAlignment="1">
      <alignment horizontal="center" vertical="center" wrapText="1"/>
    </xf>
    <xf numFmtId="3" fontId="37" fillId="0" borderId="358" xfId="0" applyNumberFormat="1" applyFont="1" applyBorder="1" applyAlignment="1">
      <alignment horizontal="center" vertical="center" wrapText="1"/>
    </xf>
    <xf numFmtId="3" fontId="34" fillId="0" borderId="0" xfId="0" applyNumberFormat="1" applyFont="1" applyAlignment="1">
      <alignment horizontal="left" wrapText="1"/>
    </xf>
    <xf numFmtId="168" fontId="34" fillId="0" borderId="276" xfId="0" applyFont="1" applyBorder="1" applyAlignment="1">
      <alignment horizontal="center"/>
    </xf>
    <xf numFmtId="168" fontId="34" fillId="0" borderId="277" xfId="0" applyFont="1" applyBorder="1" applyAlignment="1">
      <alignment horizontal="center"/>
    </xf>
    <xf numFmtId="168" fontId="34" fillId="0" borderId="142" xfId="0" applyFont="1" applyBorder="1" applyAlignment="1">
      <alignment horizontal="left" vertical="top" wrapText="1"/>
    </xf>
    <xf numFmtId="168" fontId="34" fillId="0" borderId="142" xfId="0" applyFont="1" applyBorder="1" applyAlignment="1">
      <alignment vertical="top" wrapText="1"/>
    </xf>
    <xf numFmtId="168" fontId="34" fillId="0" borderId="411" xfId="0" applyFont="1" applyBorder="1" applyAlignment="1">
      <alignment horizontal="left" vertical="top" wrapText="1"/>
    </xf>
    <xf numFmtId="168" fontId="34" fillId="0" borderId="408" xfId="0" applyFont="1" applyBorder="1" applyAlignment="1">
      <alignment vertical="top" wrapText="1"/>
    </xf>
    <xf numFmtId="168" fontId="34" fillId="0" borderId="407" xfId="0" applyFont="1" applyBorder="1" applyAlignment="1">
      <alignment horizontal="left" vertical="top" wrapText="1"/>
    </xf>
    <xf numFmtId="168" fontId="34" fillId="0" borderId="0" xfId="10" applyFont="1" applyAlignment="1">
      <alignment horizontal="left" wrapText="1"/>
    </xf>
    <xf numFmtId="168" fontId="34" fillId="0" borderId="37" xfId="10" applyFont="1" applyBorder="1" applyAlignment="1">
      <alignment horizontal="left" wrapText="1"/>
    </xf>
    <xf numFmtId="168" fontId="34" fillId="0" borderId="42" xfId="10" applyFont="1" applyBorder="1" applyAlignment="1">
      <alignment horizontal="left" wrapText="1"/>
    </xf>
    <xf numFmtId="168" fontId="34" fillId="0" borderId="43" xfId="10" applyFont="1" applyBorder="1" applyAlignment="1">
      <alignment horizontal="left" wrapText="1"/>
    </xf>
    <xf numFmtId="3" fontId="34" fillId="0" borderId="361" xfId="10" applyNumberFormat="1" applyFont="1" applyBorder="1" applyAlignment="1">
      <alignment horizontal="left" wrapText="1"/>
    </xf>
    <xf numFmtId="3" fontId="34" fillId="0" borderId="0" xfId="10" applyNumberFormat="1" applyFont="1" applyAlignment="1">
      <alignment horizontal="left" wrapText="1"/>
    </xf>
    <xf numFmtId="3" fontId="34" fillId="0" borderId="41" xfId="10" applyNumberFormat="1" applyFont="1" applyBorder="1" applyAlignment="1">
      <alignment horizontal="left" wrapText="1"/>
    </xf>
    <xf numFmtId="3" fontId="34" fillId="0" borderId="42" xfId="10" applyNumberFormat="1" applyFont="1" applyBorder="1" applyAlignment="1">
      <alignment horizontal="left" wrapText="1"/>
    </xf>
    <xf numFmtId="3" fontId="37" fillId="0" borderId="112" xfId="0" applyNumberFormat="1" applyFont="1" applyBorder="1" applyAlignment="1">
      <alignment horizontal="left" vertical="top" wrapText="1"/>
    </xf>
    <xf numFmtId="3" fontId="37" fillId="0" borderId="0" xfId="0" applyNumberFormat="1" applyFont="1" applyAlignment="1">
      <alignment horizontal="left" vertical="top" wrapText="1"/>
    </xf>
    <xf numFmtId="3" fontId="37" fillId="0" borderId="358" xfId="0" applyNumberFormat="1" applyFont="1" applyBorder="1" applyAlignment="1">
      <alignment horizontal="left" vertical="top" wrapText="1"/>
    </xf>
    <xf numFmtId="3" fontId="34" fillId="0" borderId="42" xfId="0" applyNumberFormat="1" applyFont="1" applyBorder="1" applyAlignment="1">
      <alignment horizontal="left" vertical="top" wrapText="1"/>
    </xf>
    <xf numFmtId="3" fontId="34" fillId="0" borderId="142" xfId="0" applyNumberFormat="1" applyFont="1" applyBorder="1" applyAlignment="1">
      <alignment horizontal="left" vertical="top" wrapText="1"/>
    </xf>
    <xf numFmtId="3" fontId="34" fillId="0" borderId="125" xfId="0" applyNumberFormat="1" applyFont="1" applyBorder="1" applyAlignment="1">
      <alignment horizontal="left" vertical="top" wrapText="1"/>
    </xf>
    <xf numFmtId="3" fontId="34" fillId="0" borderId="104" xfId="0" applyNumberFormat="1" applyFont="1" applyBorder="1" applyAlignment="1">
      <alignment horizontal="left" wrapText="1"/>
    </xf>
    <xf numFmtId="3" fontId="34" fillId="0" borderId="109" xfId="0" applyNumberFormat="1" applyFont="1" applyBorder="1" applyAlignment="1">
      <alignment horizontal="left" wrapText="1"/>
    </xf>
    <xf numFmtId="3" fontId="34" fillId="0" borderId="103" xfId="0" applyNumberFormat="1" applyFont="1" applyBorder="1" applyAlignment="1">
      <alignment horizontal="left" vertical="top" wrapText="1"/>
    </xf>
    <xf numFmtId="3" fontId="34" fillId="0" borderId="104" xfId="0" applyNumberFormat="1" applyFont="1" applyBorder="1" applyAlignment="1">
      <alignment horizontal="left" vertical="top" wrapText="1"/>
    </xf>
    <xf numFmtId="3" fontId="37" fillId="0" borderId="358" xfId="0" applyNumberFormat="1" applyFont="1" applyBorder="1" applyAlignment="1">
      <alignment horizontal="center" vertical="center"/>
    </xf>
    <xf numFmtId="3" fontId="34" fillId="0" borderId="108" xfId="0" applyNumberFormat="1" applyFont="1" applyBorder="1" applyAlignment="1">
      <alignment horizontal="left" vertical="top" wrapText="1"/>
    </xf>
    <xf numFmtId="168" fontId="37" fillId="0" borderId="358" xfId="0" applyFont="1" applyBorder="1" applyAlignment="1">
      <alignment horizontal="center" vertical="center" wrapText="1"/>
    </xf>
    <xf numFmtId="3" fontId="37" fillId="0" borderId="2" xfId="0" applyNumberFormat="1" applyFont="1" applyBorder="1" applyAlignment="1">
      <alignment horizontal="left"/>
    </xf>
    <xf numFmtId="3" fontId="37" fillId="0" borderId="1" xfId="0" applyNumberFormat="1" applyFont="1" applyBorder="1" applyAlignment="1">
      <alignment horizontal="left"/>
    </xf>
    <xf numFmtId="3" fontId="37" fillId="0" borderId="7" xfId="0" applyNumberFormat="1" applyFont="1" applyBorder="1" applyAlignment="1">
      <alignment horizontal="left"/>
    </xf>
    <xf numFmtId="3" fontId="34" fillId="0" borderId="1" xfId="0" applyNumberFormat="1" applyFont="1" applyBorder="1" applyAlignment="1">
      <alignment horizontal="left"/>
    </xf>
    <xf numFmtId="3" fontId="34" fillId="0" borderId="0" xfId="0" applyNumberFormat="1" applyFont="1" applyAlignment="1">
      <alignment horizontal="left"/>
    </xf>
    <xf numFmtId="3" fontId="34" fillId="0" borderId="407" xfId="0" applyNumberFormat="1" applyFont="1" applyBorder="1" applyAlignment="1">
      <alignment horizontal="right" wrapText="1"/>
    </xf>
    <xf numFmtId="3" fontId="34" fillId="0" borderId="361" xfId="0" applyNumberFormat="1" applyFont="1" applyBorder="1" applyAlignment="1">
      <alignment horizontal="right" wrapText="1"/>
    </xf>
    <xf numFmtId="3" fontId="34" fillId="0" borderId="41" xfId="0" applyNumberFormat="1" applyFont="1" applyBorder="1" applyAlignment="1">
      <alignment horizontal="right" wrapText="1"/>
    </xf>
    <xf numFmtId="3" fontId="34" fillId="0" borderId="411" xfId="0" applyNumberFormat="1" applyFont="1" applyBorder="1" applyAlignment="1">
      <alignment horizontal="right" wrapText="1"/>
    </xf>
    <xf numFmtId="3" fontId="34" fillId="0" borderId="78" xfId="0" applyNumberFormat="1" applyFont="1" applyBorder="1" applyAlignment="1">
      <alignment horizontal="right" wrapText="1"/>
    </xf>
    <xf numFmtId="3" fontId="34" fillId="0" borderId="79" xfId="0" applyNumberFormat="1" applyFont="1" applyBorder="1" applyAlignment="1">
      <alignment horizontal="right" wrapText="1"/>
    </xf>
    <xf numFmtId="3" fontId="34" fillId="0" borderId="418" xfId="0" applyNumberFormat="1" applyFont="1" applyBorder="1" applyAlignment="1">
      <alignment horizontal="right" wrapText="1"/>
    </xf>
    <xf numFmtId="3" fontId="34" fillId="0" borderId="183" xfId="0" applyNumberFormat="1" applyFont="1" applyBorder="1" applyAlignment="1">
      <alignment horizontal="right" wrapText="1"/>
    </xf>
    <xf numFmtId="3" fontId="34" fillId="0" borderId="225" xfId="0" applyNumberFormat="1" applyFont="1" applyBorder="1" applyAlignment="1">
      <alignment horizontal="right" wrapText="1"/>
    </xf>
    <xf numFmtId="3" fontId="34" fillId="0" borderId="423" xfId="0" applyNumberFormat="1" applyFont="1" applyBorder="1" applyAlignment="1">
      <alignment horizontal="right" wrapText="1"/>
    </xf>
    <xf numFmtId="3" fontId="34" fillId="0" borderId="93" xfId="0" applyNumberFormat="1" applyFont="1" applyBorder="1" applyAlignment="1">
      <alignment horizontal="right" wrapText="1"/>
    </xf>
    <xf numFmtId="3" fontId="34" fillId="0" borderId="95" xfId="0" applyNumberFormat="1" applyFont="1" applyBorder="1" applyAlignment="1">
      <alignment horizontal="right" wrapText="1"/>
    </xf>
    <xf numFmtId="3" fontId="34" fillId="0" borderId="1" xfId="0" applyNumberFormat="1" applyFont="1" applyBorder="1" applyAlignment="1">
      <alignment horizontal="center"/>
    </xf>
    <xf numFmtId="3" fontId="34" fillId="0" borderId="0" xfId="0" applyNumberFormat="1" applyFont="1" applyAlignment="1">
      <alignment horizontal="center"/>
    </xf>
    <xf numFmtId="168" fontId="18" fillId="0" borderId="18" xfId="0" applyFont="1" applyBorder="1" applyAlignment="1">
      <alignment horizontal="center" vertical="top" wrapText="1"/>
    </xf>
    <xf numFmtId="168" fontId="18" fillId="0" borderId="19" xfId="0" applyFont="1" applyBorder="1" applyAlignment="1">
      <alignment horizontal="center" vertical="top" wrapText="1"/>
    </xf>
    <xf numFmtId="168" fontId="18" fillId="0" borderId="21" xfId="0" applyFont="1" applyBorder="1" applyAlignment="1">
      <alignment horizontal="center" vertical="top" wrapText="1"/>
    </xf>
    <xf numFmtId="168" fontId="18" fillId="0" borderId="0" xfId="0" applyFont="1" applyAlignment="1">
      <alignment horizontal="center" vertical="top" wrapText="1"/>
    </xf>
    <xf numFmtId="0" fontId="37" fillId="0" borderId="232" xfId="20" applyFont="1" applyBorder="1" applyAlignment="1">
      <alignment horizontal="center"/>
    </xf>
    <xf numFmtId="0" fontId="37" fillId="0" borderId="233" xfId="20" applyFont="1" applyBorder="1" applyAlignment="1">
      <alignment horizontal="center"/>
    </xf>
    <xf numFmtId="0" fontId="34" fillId="0" borderId="142" xfId="22" applyFont="1" applyBorder="1" applyAlignment="1">
      <alignment horizontal="left" vertical="top" wrapText="1"/>
    </xf>
    <xf numFmtId="0" fontId="34" fillId="0" borderId="0" xfId="22" applyFont="1" applyAlignment="1">
      <alignment horizontal="left" vertical="top" wrapText="1"/>
    </xf>
    <xf numFmtId="0" fontId="34" fillId="0" borderId="125" xfId="22" applyFont="1" applyBorder="1" applyAlignment="1">
      <alignment horizontal="left" vertical="top" wrapText="1"/>
    </xf>
    <xf numFmtId="0" fontId="37" fillId="0" borderId="234" xfId="20" applyFont="1" applyBorder="1" applyAlignment="1">
      <alignment horizontal="center"/>
    </xf>
    <xf numFmtId="0" fontId="37" fillId="0" borderId="232" xfId="20" applyFont="1" applyBorder="1" applyAlignment="1">
      <alignment horizontal="center" wrapText="1"/>
    </xf>
    <xf numFmtId="0" fontId="37" fillId="0" borderId="233" xfId="20" applyFont="1" applyBorder="1" applyAlignment="1">
      <alignment horizontal="center" wrapText="1"/>
    </xf>
    <xf numFmtId="0" fontId="99" fillId="22" borderId="142" xfId="20" applyFont="1" applyFill="1" applyBorder="1" applyAlignment="1">
      <alignment horizontal="left" vertical="top" wrapText="1"/>
    </xf>
    <xf numFmtId="0" fontId="99" fillId="22" borderId="9" xfId="20" applyFont="1" applyFill="1" applyBorder="1" applyAlignment="1">
      <alignment horizontal="left" vertical="top" wrapText="1"/>
    </xf>
    <xf numFmtId="0" fontId="99" fillId="22" borderId="6" xfId="20" applyFont="1" applyFill="1" applyBorder="1" applyAlignment="1">
      <alignment horizontal="left" vertical="top" wrapText="1"/>
    </xf>
    <xf numFmtId="0" fontId="99" fillId="22" borderId="42" xfId="20" applyFont="1" applyFill="1" applyBorder="1" applyAlignment="1">
      <alignment horizontal="left" vertical="top" wrapText="1"/>
    </xf>
    <xf numFmtId="0" fontId="99" fillId="22" borderId="0" xfId="20" applyFont="1" applyFill="1" applyAlignment="1">
      <alignment horizontal="left" vertical="top" wrapText="1"/>
    </xf>
    <xf numFmtId="0" fontId="99" fillId="22" borderId="0" xfId="20" applyFont="1" applyFill="1" applyAlignment="1">
      <alignment vertical="top" wrapText="1"/>
    </xf>
    <xf numFmtId="0" fontId="34" fillId="22" borderId="0" xfId="20" applyFont="1" applyFill="1" applyAlignment="1">
      <alignment vertical="top" wrapText="1"/>
    </xf>
    <xf numFmtId="0" fontId="99" fillId="22" borderId="125" xfId="20" applyFont="1" applyFill="1" applyBorder="1" applyAlignment="1">
      <alignment horizontal="left" vertical="top" wrapText="1"/>
    </xf>
    <xf numFmtId="0" fontId="37" fillId="0" borderId="234" xfId="20" applyFont="1" applyBorder="1" applyAlignment="1">
      <alignment horizontal="center" wrapText="1"/>
    </xf>
    <xf numFmtId="0" fontId="37" fillId="0" borderId="1" xfId="20" applyFont="1" applyBorder="1" applyAlignment="1">
      <alignment horizontal="center" wrapText="1"/>
    </xf>
    <xf numFmtId="0" fontId="37" fillId="0" borderId="9" xfId="20" applyFont="1" applyBorder="1" applyAlignment="1">
      <alignment horizontal="center" wrapText="1"/>
    </xf>
    <xf numFmtId="0" fontId="37" fillId="0" borderId="2" xfId="21" applyFont="1" applyBorder="1" applyAlignment="1">
      <alignment horizontal="center"/>
    </xf>
    <xf numFmtId="0" fontId="37" fillId="0" borderId="1" xfId="21" applyFont="1" applyBorder="1" applyAlignment="1">
      <alignment horizontal="center"/>
    </xf>
    <xf numFmtId="0" fontId="37" fillId="0" borderId="10" xfId="21" applyFont="1" applyBorder="1" applyAlignment="1">
      <alignment horizontal="center"/>
    </xf>
    <xf numFmtId="0" fontId="37" fillId="0" borderId="9" xfId="21" applyFont="1" applyBorder="1" applyAlignment="1">
      <alignment horizontal="center"/>
    </xf>
    <xf numFmtId="0" fontId="37" fillId="0" borderId="242" xfId="21" applyFont="1" applyBorder="1" applyAlignment="1">
      <alignment horizontal="center"/>
    </xf>
    <xf numFmtId="0" fontId="37" fillId="0" borderId="7" xfId="21" applyFont="1" applyBorder="1" applyAlignment="1">
      <alignment horizontal="center"/>
    </xf>
    <xf numFmtId="0" fontId="37" fillId="0" borderId="96" xfId="21" applyFont="1" applyBorder="1" applyAlignment="1">
      <alignment horizontal="center"/>
    </xf>
    <xf numFmtId="0" fontId="37" fillId="0" borderId="11" xfId="21" applyFont="1" applyBorder="1" applyAlignment="1">
      <alignment horizontal="center"/>
    </xf>
    <xf numFmtId="0" fontId="34" fillId="0" borderId="142" xfId="20" applyFont="1" applyBorder="1" applyAlignment="1">
      <alignment horizontal="left" vertical="top" wrapText="1"/>
    </xf>
    <xf numFmtId="0" fontId="34" fillId="0" borderId="0" xfId="20" applyFont="1" applyAlignment="1">
      <alignment horizontal="left" vertical="top" wrapText="1"/>
    </xf>
    <xf numFmtId="0" fontId="34" fillId="0" borderId="42" xfId="20" applyFont="1" applyBorder="1" applyAlignment="1">
      <alignment horizontal="left" vertical="top" wrapText="1"/>
    </xf>
    <xf numFmtId="0" fontId="37" fillId="0" borderId="251" xfId="20" applyFont="1" applyBorder="1" applyAlignment="1">
      <alignment horizontal="center"/>
    </xf>
    <xf numFmtId="3" fontId="62" fillId="0" borderId="2" xfId="22" applyNumberFormat="1" applyFont="1" applyBorder="1" applyAlignment="1">
      <alignment horizontal="center"/>
    </xf>
    <xf numFmtId="3" fontId="62" fillId="0" borderId="7" xfId="22" applyNumberFormat="1" applyFont="1" applyBorder="1" applyAlignment="1">
      <alignment horizontal="center"/>
    </xf>
    <xf numFmtId="3" fontId="62" fillId="0" borderId="10" xfId="22" applyNumberFormat="1" applyFont="1" applyBorder="1" applyAlignment="1">
      <alignment horizontal="center"/>
    </xf>
    <xf numFmtId="3" fontId="62" fillId="0" borderId="11" xfId="22" applyNumberFormat="1" applyFont="1" applyBorder="1" applyAlignment="1">
      <alignment horizontal="center"/>
    </xf>
    <xf numFmtId="3" fontId="62" fillId="0" borderId="1" xfId="22" applyNumberFormat="1" applyFont="1" applyBorder="1" applyAlignment="1">
      <alignment horizontal="center"/>
    </xf>
    <xf numFmtId="3" fontId="62" fillId="0" borderId="9" xfId="22" applyNumberFormat="1" applyFont="1" applyBorder="1" applyAlignment="1">
      <alignment horizontal="center"/>
    </xf>
    <xf numFmtId="3" fontId="62" fillId="0" borderId="242" xfId="22" applyNumberFormat="1" applyFont="1" applyBorder="1" applyAlignment="1">
      <alignment horizontal="center"/>
    </xf>
    <xf numFmtId="3" fontId="62" fillId="0" borderId="96" xfId="22" applyNumberFormat="1" applyFont="1" applyBorder="1" applyAlignment="1">
      <alignment horizontal="center"/>
    </xf>
    <xf numFmtId="3" fontId="62" fillId="0" borderId="175" xfId="22" applyNumberFormat="1" applyFont="1" applyBorder="1" applyAlignment="1">
      <alignment horizontal="center"/>
    </xf>
    <xf numFmtId="3" fontId="62" fillId="0" borderId="172" xfId="22" applyNumberFormat="1" applyFont="1" applyBorder="1" applyAlignment="1">
      <alignment horizontal="center"/>
    </xf>
    <xf numFmtId="3" fontId="62" fillId="0" borderId="171" xfId="22" applyNumberFormat="1" applyFont="1" applyBorder="1" applyAlignment="1">
      <alignment horizontal="center"/>
    </xf>
    <xf numFmtId="3" fontId="62" fillId="0" borderId="176" xfId="22" applyNumberFormat="1" applyFont="1" applyBorder="1" applyAlignment="1">
      <alignment horizontal="center"/>
    </xf>
    <xf numFmtId="3" fontId="62" fillId="0" borderId="171" xfId="22" applyNumberFormat="1" applyFont="1" applyBorder="1" applyAlignment="1">
      <alignment horizontal="center" wrapText="1"/>
    </xf>
    <xf numFmtId="167" fontId="62" fillId="0" borderId="232" xfId="22" applyNumberFormat="1" applyFont="1" applyBorder="1" applyAlignment="1">
      <alignment horizontal="center"/>
    </xf>
    <xf numFmtId="167" fontId="62" fillId="0" borderId="233" xfId="22" applyNumberFormat="1" applyFont="1" applyBorder="1" applyAlignment="1">
      <alignment horizontal="center"/>
    </xf>
    <xf numFmtId="3" fontId="62" fillId="0" borderId="175" xfId="22" applyNumberFormat="1" applyFont="1" applyBorder="1" applyAlignment="1">
      <alignment horizontal="center" wrapText="1"/>
    </xf>
    <xf numFmtId="3" fontId="62" fillId="0" borderId="89" xfId="22" applyNumberFormat="1" applyFont="1" applyBorder="1" applyAlignment="1">
      <alignment horizontal="center" wrapText="1"/>
    </xf>
    <xf numFmtId="3" fontId="62" fillId="0" borderId="6" xfId="22" applyNumberFormat="1" applyFont="1" applyBorder="1" applyAlignment="1">
      <alignment horizontal="center" wrapText="1"/>
    </xf>
    <xf numFmtId="3" fontId="62" fillId="0" borderId="10" xfId="22" applyNumberFormat="1" applyFont="1" applyBorder="1" applyAlignment="1">
      <alignment horizontal="center" wrapText="1"/>
    </xf>
    <xf numFmtId="3" fontId="62" fillId="0" borderId="9" xfId="22" applyNumberFormat="1" applyFont="1" applyBorder="1" applyAlignment="1">
      <alignment horizontal="center" wrapText="1"/>
    </xf>
    <xf numFmtId="0" fontId="37" fillId="0" borderId="40" xfId="21" applyFont="1" applyBorder="1" applyAlignment="1">
      <alignment horizontal="center"/>
    </xf>
    <xf numFmtId="0" fontId="37" fillId="0" borderId="12" xfId="21" applyFont="1" applyBorder="1" applyAlignment="1">
      <alignment horizontal="center"/>
    </xf>
    <xf numFmtId="0" fontId="37" fillId="0" borderId="258" xfId="21" applyFont="1" applyBorder="1" applyAlignment="1">
      <alignment horizontal="center"/>
    </xf>
    <xf numFmtId="0" fontId="37" fillId="0" borderId="161" xfId="21" applyFont="1" applyBorder="1" applyAlignment="1">
      <alignment horizontal="center"/>
    </xf>
    <xf numFmtId="0" fontId="37" fillId="0" borderId="211" xfId="21" applyFont="1" applyBorder="1" applyAlignment="1">
      <alignment horizontal="center"/>
    </xf>
    <xf numFmtId="0" fontId="37" fillId="0" borderId="161" xfId="20" applyFont="1" applyBorder="1" applyAlignment="1">
      <alignment horizontal="center"/>
    </xf>
    <xf numFmtId="0" fontId="37" fillId="0" borderId="211" xfId="20" applyFont="1" applyBorder="1" applyAlignment="1">
      <alignment horizontal="center"/>
    </xf>
    <xf numFmtId="0" fontId="37" fillId="0" borderId="82" xfId="20" applyFont="1" applyBorder="1" applyAlignment="1">
      <alignment horizontal="center"/>
    </xf>
    <xf numFmtId="0" fontId="37" fillId="0" borderId="82" xfId="21" applyFont="1" applyBorder="1" applyAlignment="1">
      <alignment horizontal="center"/>
    </xf>
    <xf numFmtId="0" fontId="104" fillId="0" borderId="40" xfId="18" applyFont="1" applyBorder="1" applyAlignment="1">
      <alignment horizontal="center" vertical="center" wrapText="1"/>
    </xf>
    <xf numFmtId="0" fontId="104" fillId="0" borderId="258" xfId="18" applyFont="1" applyBorder="1" applyAlignment="1">
      <alignment horizontal="center" vertical="center" wrapText="1"/>
    </xf>
    <xf numFmtId="0" fontId="104" fillId="0" borderId="40" xfId="18" applyFont="1" applyBorder="1" applyAlignment="1">
      <alignment horizontal="center" vertical="center"/>
    </xf>
    <xf numFmtId="0" fontId="104" fillId="0" borderId="12" xfId="18" applyFont="1" applyBorder="1" applyAlignment="1">
      <alignment horizontal="center" vertical="center"/>
    </xf>
    <xf numFmtId="0" fontId="104" fillId="0" borderId="258" xfId="18" applyFont="1" applyBorder="1" applyAlignment="1">
      <alignment horizontal="center" vertical="center"/>
    </xf>
    <xf numFmtId="0" fontId="104" fillId="0" borderId="12" xfId="33" applyFont="1" applyBorder="1" applyAlignment="1">
      <alignment horizontal="center" vertical="center"/>
    </xf>
    <xf numFmtId="0" fontId="104" fillId="0" borderId="325" xfId="33" applyFont="1" applyBorder="1" applyAlignment="1">
      <alignment horizontal="center" vertical="center"/>
    </xf>
    <xf numFmtId="0" fontId="104" fillId="0" borderId="12" xfId="33" applyFont="1" applyBorder="1" applyAlignment="1">
      <alignment horizontal="center" vertical="center" wrapText="1"/>
    </xf>
    <xf numFmtId="0" fontId="104" fillId="0" borderId="336" xfId="33" applyFont="1" applyBorder="1" applyAlignment="1">
      <alignment horizontal="center" vertical="center" wrapText="1"/>
    </xf>
    <xf numFmtId="0" fontId="104" fillId="0" borderId="325" xfId="33" applyFont="1" applyBorder="1" applyAlignment="1">
      <alignment horizontal="center" vertical="center" wrapText="1"/>
    </xf>
    <xf numFmtId="0" fontId="107" fillId="0" borderId="12" xfId="18" applyFont="1" applyBorder="1" applyAlignment="1">
      <alignment horizontal="center" vertical="center"/>
    </xf>
    <xf numFmtId="0" fontId="34" fillId="0" borderId="0" xfId="18" applyFont="1" applyAlignment="1">
      <alignment horizontal="left" vertical="center" wrapText="1"/>
    </xf>
    <xf numFmtId="0" fontId="37" fillId="0" borderId="112" xfId="18" applyFont="1" applyBorder="1" applyAlignment="1">
      <alignment horizontal="left" vertical="center" wrapText="1"/>
    </xf>
    <xf numFmtId="0" fontId="37" fillId="0" borderId="0" xfId="18" applyFont="1" applyAlignment="1">
      <alignment horizontal="left" vertical="center" wrapText="1"/>
    </xf>
    <xf numFmtId="0" fontId="37" fillId="0" borderId="598" xfId="18" applyFont="1" applyBorder="1" applyAlignment="1">
      <alignment horizontal="left" vertical="center" wrapText="1"/>
    </xf>
  </cellXfs>
  <cellStyles count="99">
    <cellStyle name="20% - Accent1 2" xfId="40" xr:uid="{53808D9F-E6EB-49EE-9604-3C5C3A17D0DC}"/>
    <cellStyle name="20% - Accent2 2" xfId="41" xr:uid="{636D1E3E-CFAA-469A-8718-A90C9B150BEF}"/>
    <cellStyle name="20% - Accent3 2" xfId="42" xr:uid="{CD2251EA-625E-44C2-88D9-8488A1964BBD}"/>
    <cellStyle name="20% - Accent4 2" xfId="43" xr:uid="{019A8B96-97B4-4D0E-8300-4A201E971424}"/>
    <cellStyle name="20% - Accent5 2" xfId="44" xr:uid="{510F5F67-3F0E-44A4-8480-34DEF2278666}"/>
    <cellStyle name="20% - Accent6 2" xfId="45" xr:uid="{A615CF7C-7D33-4A1B-9B69-4FC1C6B3A8A7}"/>
    <cellStyle name="40% - Accent1 2" xfId="46" xr:uid="{561A6142-EB85-4AAE-95D6-97B1D70384DB}"/>
    <cellStyle name="40% - Accent2 2" xfId="47" xr:uid="{6005EEDA-8E25-41BB-A665-3DD64629BC51}"/>
    <cellStyle name="40% - Accent3 2" xfId="48" xr:uid="{8C64E8FB-E1C2-407F-9CF9-6FB269EA138D}"/>
    <cellStyle name="40% - Accent4 2" xfId="49" xr:uid="{653F5D44-B910-4A21-86D6-43F6C5824E91}"/>
    <cellStyle name="40% - Accent5 2" xfId="50" xr:uid="{EB339219-E45C-4396-95AC-C1A6606B5D7D}"/>
    <cellStyle name="40% - Accent6 2" xfId="51" xr:uid="{B6D43F64-5359-46FC-9EAF-62A4CEBA8C10}"/>
    <cellStyle name="60% - Accent1 2" xfId="52" xr:uid="{95C9CE0E-33C2-44B8-93D9-2FC0937460DB}"/>
    <cellStyle name="60% - Accent2 2" xfId="53" xr:uid="{B04086C0-24CE-4765-8A05-1A02478FB1B2}"/>
    <cellStyle name="60% - Accent3 2" xfId="54" xr:uid="{B5F7ED17-0CBD-47F1-B8F5-0D092A55BC42}"/>
    <cellStyle name="60% - Accent4 2" xfId="55" xr:uid="{8ACD01A9-5DF8-4AA2-9993-4F21039537C2}"/>
    <cellStyle name="60% - Accent5 2" xfId="56" xr:uid="{27CC3D02-A259-4BE5-97A4-A43F0CAB5801}"/>
    <cellStyle name="60% - Accent6 2" xfId="57" xr:uid="{7E83754E-CA6D-4980-9ED1-30874BB60572}"/>
    <cellStyle name="Accent1 2" xfId="58" xr:uid="{5C54761D-7601-4E89-B1A0-2989649826EE}"/>
    <cellStyle name="Accent2 2" xfId="59" xr:uid="{840F97F3-00F7-4E58-B2A8-7AC7F15E1AF5}"/>
    <cellStyle name="Accent3 2" xfId="60" xr:uid="{C7268E98-C89E-4C32-B711-3881F40ABFEE}"/>
    <cellStyle name="Accent4 2" xfId="61" xr:uid="{DAB59860-4F72-4C69-A3DC-67DFA71B8B05}"/>
    <cellStyle name="Accent5 2" xfId="62" xr:uid="{F89534F5-9973-4BEF-A8A8-C2D9A9F50685}"/>
    <cellStyle name="Accent6 2" xfId="63" xr:uid="{8A7A1C57-B519-41AA-96AC-68469903342D}"/>
    <cellStyle name="Bad 2" xfId="64" xr:uid="{8988B562-9261-49BF-9A70-D6C4A34F5FA6}"/>
    <cellStyle name="Calculation 2" xfId="65" xr:uid="{B15A2337-139D-47AF-B0E4-12155457C7CB}"/>
    <cellStyle name="Check Cell 2" xfId="66" xr:uid="{99C82B7D-3096-4C83-BABF-D6588E602C08}"/>
    <cellStyle name="Comma 2" xfId="6" xr:uid="{00000000-0005-0000-0000-000000000000}"/>
    <cellStyle name="Comma 2 2" xfId="35" xr:uid="{0F966011-9A71-4040-B7B5-B90700A9E41C}"/>
    <cellStyle name="Comma 3" xfId="15" xr:uid="{00000000-0005-0000-0000-000001000000}"/>
    <cellStyle name="Currency 2" xfId="7" xr:uid="{00000000-0005-0000-0000-000002000000}"/>
    <cellStyle name="Currency 2 2" xfId="36" xr:uid="{840E1554-619A-44CB-A7BF-F6456A4489BC}"/>
    <cellStyle name="Explanatory Text 2" xfId="67" xr:uid="{0B5B64DE-644C-4DBE-943A-DC85D103D834}"/>
    <cellStyle name="Good 2" xfId="68" xr:uid="{0BF9909A-27E6-4588-8294-5C18313FEBF7}"/>
    <cellStyle name="Heading 1 2" xfId="84" xr:uid="{FB1CAC2B-47CF-41A1-94C7-FAF831965742}"/>
    <cellStyle name="Heading 1 3" xfId="69" xr:uid="{D72C2DDC-012A-4A21-9403-CE009549E1CD}"/>
    <cellStyle name="Heading 2 2" xfId="85" xr:uid="{FDD19B8A-D0A0-4110-AEBD-52FD251D8F6F}"/>
    <cellStyle name="Heading 2 3" xfId="70" xr:uid="{E76E321F-972B-4A11-A831-2AE60FA84523}"/>
    <cellStyle name="Heading 3 2" xfId="86" xr:uid="{48E564F3-E769-4FBF-9C5C-7FBC36EDF4B6}"/>
    <cellStyle name="Heading 3 3" xfId="71" xr:uid="{A3723F7E-5832-4AD8-8EC7-1BC611E16E4D}"/>
    <cellStyle name="Heading 4 2" xfId="72" xr:uid="{83EAEC05-7303-4AAC-8B46-3C332D25970B}"/>
    <cellStyle name="Hyperlink" xfId="17" builtinId="8"/>
    <cellStyle name="Hyperlink 2" xfId="8" xr:uid="{00000000-0005-0000-0000-000004000000}"/>
    <cellStyle name="Hyperlink 2 2" xfId="88" xr:uid="{9FB4C81A-7107-4210-B271-45B75B9EA7AB}"/>
    <cellStyle name="Hyperlink 2 3" xfId="92" xr:uid="{EDB5A774-1F4F-4EB5-B018-1FC3EBDE26A3}"/>
    <cellStyle name="Hyperlink 3" xfId="23" xr:uid="{00000000-0005-0000-0000-000005000000}"/>
    <cellStyle name="Hyperlink 3 2" xfId="30" xr:uid="{00000000-0005-0000-0000-000006000000}"/>
    <cellStyle name="Input 2" xfId="73" xr:uid="{FF0F74E6-5360-4F01-AF92-A7EB99EE63C3}"/>
    <cellStyle name="Linked Cell 2" xfId="74" xr:uid="{AF4730D1-3277-4A3A-A331-23953CD495EA}"/>
    <cellStyle name="Neutral 2" xfId="75" xr:uid="{C16337CF-9CDD-41D6-B00D-854D5BF1E648}"/>
    <cellStyle name="Normal" xfId="0" builtinId="0"/>
    <cellStyle name="Normal 10" xfId="34" xr:uid="{00000000-0005-0000-0000-000008000000}"/>
    <cellStyle name="Normal 10 2" xfId="39" xr:uid="{70BCA8B6-4EE2-46E2-81F0-CAFD3F4A49AB}"/>
    <cellStyle name="Normal 11" xfId="26" xr:uid="{00000000-0005-0000-0000-000009000000}"/>
    <cellStyle name="Normal 12" xfId="89" xr:uid="{AA2500C7-7F09-469D-B65C-BCDB38A28231}"/>
    <cellStyle name="Normal 13" xfId="90" xr:uid="{E95FA20C-EEDD-434B-A173-6C703AD91FC8}"/>
    <cellStyle name="Normal 2" xfId="11" xr:uid="{00000000-0005-0000-0000-00000A000000}"/>
    <cellStyle name="Normal 2 2" xfId="13" xr:uid="{00000000-0005-0000-0000-00000B000000}"/>
    <cellStyle name="Normal 2 2 2" xfId="82" xr:uid="{5D1823D8-06F2-4A48-93B2-E891E886FBA8}"/>
    <cellStyle name="Normal 2 3" xfId="16" xr:uid="{00000000-0005-0000-0000-00000C000000}"/>
    <cellStyle name="Normal 2 4" xfId="27" xr:uid="{00000000-0005-0000-0000-00000D000000}"/>
    <cellStyle name="Normal 2 5" xfId="81" xr:uid="{58301D36-567F-4DBB-B1F7-8F63D2FCD222}"/>
    <cellStyle name="Normal 3" xfId="14" xr:uid="{00000000-0005-0000-0000-00000E000000}"/>
    <cellStyle name="Normal 3 2" xfId="20" xr:uid="{00000000-0005-0000-0000-00000F000000}"/>
    <cellStyle name="Normal 3 3" xfId="32" xr:uid="{00000000-0005-0000-0000-000010000000}"/>
    <cellStyle name="Normal 3 4" xfId="83" xr:uid="{F011B901-2008-408D-8676-5CC3E4B10EE0}"/>
    <cellStyle name="Normal 3 5" xfId="98" xr:uid="{DCD325B7-2877-4974-AA1D-9FD51130F532}"/>
    <cellStyle name="Normal 4" xfId="18" xr:uid="{00000000-0005-0000-0000-000011000000}"/>
    <cellStyle name="Normal 4 2" xfId="33" xr:uid="{00000000-0005-0000-0000-000012000000}"/>
    <cellStyle name="Normal 5" xfId="22" xr:uid="{00000000-0005-0000-0000-000013000000}"/>
    <cellStyle name="Normal 5 2" xfId="28" xr:uid="{00000000-0005-0000-0000-000014000000}"/>
    <cellStyle name="Normal 5 3" xfId="37" xr:uid="{C3BD6654-B31A-4120-9BC8-CE9C2A8DFF1A}"/>
    <cellStyle name="Normal 5 3 2" xfId="87" xr:uid="{A0A644BA-9889-46B0-B67C-D345FE2288E6}"/>
    <cellStyle name="Normal 6" xfId="29" xr:uid="{00000000-0005-0000-0000-000015000000}"/>
    <cellStyle name="Normal 7" xfId="31" xr:uid="{00000000-0005-0000-0000-000016000000}"/>
    <cellStyle name="Normal 7 2" xfId="38" xr:uid="{FC1E6DF5-6C35-433A-A7D5-4C87599331FF}"/>
    <cellStyle name="Normal 8" xfId="12" xr:uid="{00000000-0005-0000-0000-000017000000}"/>
    <cellStyle name="Normal 9" xfId="24" xr:uid="{00000000-0005-0000-0000-000018000000}"/>
    <cellStyle name="Normal_CL17_11b" xfId="10" xr:uid="{00000000-0005-0000-0000-000019000000}"/>
    <cellStyle name="Normal_compare" xfId="1" xr:uid="{00000000-0005-0000-0000-00001A000000}"/>
    <cellStyle name="Normal_COMPARE 2" xfId="21" xr:uid="{00000000-0005-0000-0000-00001B000000}"/>
    <cellStyle name="Normal_compare 3" xfId="19" xr:uid="{00000000-0005-0000-0000-00001C000000}"/>
    <cellStyle name="Normal_Funding calculation template for ASNs and transfers" xfId="94" xr:uid="{FAD4A590-93D7-4C7F-9ACD-F629E730A8A6}"/>
    <cellStyle name="Normal_jul0047 2" xfId="95" xr:uid="{E1AF5AD5-344A-4022-9710-668A3C45FA7E}"/>
    <cellStyle name="Normal_martab" xfId="93" xr:uid="{DB860BB7-1D98-4F12-886D-8DE78EC7D13A}"/>
    <cellStyle name="Normal_newtab" xfId="2" xr:uid="{00000000-0005-0000-0000-000021000000}"/>
    <cellStyle name="Normal_Table 5" xfId="3" xr:uid="{00000000-0005-0000-0000-000022000000}"/>
    <cellStyle name="Normal_tresults" xfId="4" xr:uid="{00000000-0005-0000-0000-000023000000}"/>
    <cellStyle name="Normal_wpdb_" xfId="96" xr:uid="{09218E68-B7A1-4951-84F9-5FED3816E11D}"/>
    <cellStyle name="Normal_wpdb_ 2" xfId="97" xr:uid="{62412670-D7F0-4E2F-8627-273AD49F6245}"/>
    <cellStyle name="Note 2" xfId="76" xr:uid="{398EB088-BDE4-43A9-927E-8BBFB3C1269C}"/>
    <cellStyle name="Output 2" xfId="77" xr:uid="{40B51EBF-FB67-4CA0-B66E-F33CE494E712}"/>
    <cellStyle name="Per cent" xfId="5" builtinId="5"/>
    <cellStyle name="Per cent 2" xfId="91" xr:uid="{C6591459-CB1F-4D67-8131-621CAF606061}"/>
    <cellStyle name="Percent 2" xfId="9" xr:uid="{00000000-0005-0000-0000-000026000000}"/>
    <cellStyle name="Percent 2 2" xfId="25" xr:uid="{00000000-0005-0000-0000-000027000000}"/>
    <cellStyle name="Title 2" xfId="78" xr:uid="{923D8C15-EB8F-4E5A-BC7D-34C99A4DB5A9}"/>
    <cellStyle name="Total 2" xfId="79" xr:uid="{9B1031D5-1886-4C75-B828-AD8383902124}"/>
    <cellStyle name="Warning Text 2" xfId="80" xr:uid="{9BC5C8D6-9213-4175-AB53-8564C0FC2207}"/>
  </cellStyles>
  <dxfs count="301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color theme="0" tint="-0.14996795556505021"/>
      </font>
    </dxf>
    <dxf>
      <font>
        <color theme="0" tint="-0.14996795556505021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theme="0" tint="-0.24994659260841701"/>
      </font>
    </dxf>
    <dxf>
      <font>
        <strike val="0"/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strike val="0"/>
        <color theme="0" tint="-0.24994659260841701"/>
      </font>
    </dxf>
    <dxf>
      <font>
        <strike val="0"/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2499465926084170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b/>
        <i val="0"/>
        <color theme="0"/>
      </font>
      <fill>
        <patternFill>
          <bgColor rgb="FFFF993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ill>
        <patternFill>
          <bgColor theme="0" tint="-0.24994659260841701"/>
        </patternFill>
      </fill>
    </dxf>
    <dxf>
      <font>
        <b/>
        <i val="0"/>
        <color rgb="FFFF0000"/>
      </font>
    </dxf>
    <dxf>
      <border>
        <left style="thin">
          <color auto="1"/>
        </left>
        <vertical/>
        <horizontal/>
      </border>
    </dxf>
    <dxf>
      <font>
        <color theme="0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79998168889431442"/>
        </patternFill>
      </fill>
    </dxf>
    <dxf>
      <border>
        <left style="thin">
          <color theme="0" tint="-0.14996795556505021"/>
        </left>
        <vertical/>
        <horizontal/>
      </border>
    </dxf>
    <dxf>
      <fill>
        <patternFill>
          <bgColor theme="8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border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9" tint="-0.24994659260841701"/>
      </font>
    </dxf>
    <dxf>
      <font>
        <color theme="9" tint="-0.24994659260841701"/>
      </font>
    </dxf>
    <dxf>
      <font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2" formatCode="&quot;£&quot;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0" formatCode="#,##0_ ;[Red]\-#,##0\ 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0" formatCode="#,##0_ ;[Red]\-#,##0\ "/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1" hidden="0"/>
    </dxf>
    <dxf>
      <border diagonalUp="0" diagonalDown="0">
        <left/>
        <right/>
        <top/>
        <bottom/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/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/>
        <vertical/>
        <horizontal/>
      </border>
      <protection locked="1" hidden="0"/>
    </dxf>
    <dxf>
      <border outline="0">
        <top style="hair">
          <color indexed="64"/>
        </top>
      </border>
    </dxf>
    <dxf>
      <border diagonalUp="0" diagonalDown="0">
        <left/>
        <right/>
        <top/>
        <bottom/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protection locked="1" hidden="0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2" formatCode="&quot;£&quot;#,##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0" formatCode="#,##0_ ;[Red]\-#,##0\ 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  <numFmt numFmtId="180" formatCode="#,##0_ ;[Red]\-#,##0\ "/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79" formatCode="&quot;£&quot;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182" formatCode="&quot;£&quot;#,##0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  <protection locked="1" hidden="0"/>
    </dxf>
    <dxf>
      <border diagonalUp="0" diagonalDown="0">
        <left/>
        <right/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rgb="FF002554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theme="0"/>
        </left>
        <right style="thin">
          <color indexed="64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indexed="9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</dxf>
    <dxf>
      <font>
        <b/>
        <i val="0"/>
        <color rgb="FF002554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2" defaultTableStyle="TableStyleMedium2" defaultPivotStyle="PivotStyleLight16">
    <tableStyle name="OfS table" pivot="0" count="2" xr9:uid="{24D9379A-EBC2-4BB5-A30A-C9EB012CEB31}">
      <tableStyleElement type="wholeTable" dxfId="300"/>
      <tableStyleElement type="headerRow" dxfId="299"/>
    </tableStyle>
    <tableStyle name="Table Style 1" pivot="0" count="0" xr9:uid="{C6A915E1-4AA1-4702-93E5-E87265B3FB38}"/>
  </tableStyles>
  <colors>
    <mruColors>
      <color rgb="FFFF66FF"/>
      <color rgb="FFFFFFFF"/>
      <color rgb="FFFF9933"/>
      <color rgb="FFCCFFCC"/>
      <color rgb="FF002554"/>
      <color rgb="FFFFFF00"/>
      <color rgb="FFFFFF99"/>
      <color rgb="FFFF0000"/>
      <color rgb="FFDAEEF3"/>
      <color rgb="FFF9AD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William Scott" id="{CB3EEDEF-A414-4074-BD19-8759B9406D29}" userId="S::William.Scott@officeforstudents.org.uk::6796aa02-c0a9-451c-8ec9-2f302464604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3F30A58-5F6A-4A5C-AFCE-19019D7E25BA}" name="Table3" displayName="Table3" ref="A6:I201" totalsRowShown="0" headerRowDxfId="298" dataDxfId="296" headerRowBorderDxfId="297" tableBorderDxfId="295">
  <autoFilter ref="A6:I201" xr:uid="{C3F30A58-5F6A-4A5C-AFCE-19019D7E25B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3ADE680E-80EA-4D2B-92B9-C8C5160D2C07}" name="HESES table" dataDxfId="294"/>
    <tableColumn id="2" xr3:uid="{EE818D83-3EB8-42C1-B03A-35D471580B77}" name="Price group or profession" dataDxfId="293"/>
    <tableColumn id="3" xr3:uid="{9DC62BB0-30FC-4BF4-9A26-77542E26E5F3}" name="Mode" dataDxfId="292"/>
    <tableColumn id="4" xr3:uid="{C358049D-295F-405B-A254-7065FABEDA02}" name="Length" dataDxfId="291"/>
    <tableColumn id="5" xr3:uid="{68915397-4DC9-401E-B4AE-E9E3B3357DA8}" name="Level" dataDxfId="290"/>
    <tableColumn id="6" xr3:uid="{82B046C6-3EB3-45B5-9DFB-86922D1BB979}" name="Column" dataDxfId="289"/>
    <tableColumn id="7" xr3:uid="{E067F031-374D-4E9F-9970-D08386D39079}" name="Field" dataDxfId="288"/>
    <tableColumn id="8" xr3:uid="{86FA16AC-FE7B-4A79-853E-B82A407C379E}" name="Validation code" dataDxfId="287"/>
    <tableColumn id="9" xr3:uid="{2B1326A5-A1C4-4535-BC2C-B4E9AFBE7B16}" name="Validation failure" dataDxfId="286">
      <calculatedColumnFormula>IF(H7&lt;&gt;"",VLOOKUP(H7,ValidationCodes,2,FALSE),"")</calculatedColumnFormula>
    </tableColumn>
  </tableColumns>
  <tableStyleInfo name="OfS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5D0120-D629-4883-AC73-749B1102B368}" name="Table_of_Contents" displayName="Table_of_Contents" ref="A9:A36" totalsRowShown="0" dataDxfId="285" tableBorderDxfId="284" headerRowCellStyle="Heading 3 2" dataCellStyle="Hyperlink">
  <autoFilter ref="A9:A36" xr:uid="{A85D0120-D629-4883-AC73-749B1102B368}">
    <filterColumn colId="0" hiddenButton="1"/>
  </autoFilter>
  <tableColumns count="1">
    <tableColumn id="1" xr3:uid="{C4D74F55-5800-451F-83D7-16509ED3F40C}" name="Section 1: Main tables" dataDxfId="283" dataCellStyle="Hyperlink"/>
  </tableColumns>
  <tableStyleInfo name="OfS tabl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A11D84F-812F-439B-BDE2-4B2C430EB414}" name="TableG1_High_cost_subject_funding_parameters" displayName="TableG1_High_cost_subject_funding_parameters" ref="A6:B11" totalsRowShown="0" headerRowDxfId="282" dataDxfId="280" headerRowBorderDxfId="281" tableBorderDxfId="279">
  <tableColumns count="2">
    <tableColumn id="1" xr3:uid="{EDD61765-A284-4714-8FC0-D2F5128B02FF}" name="Price group" dataDxfId="278"/>
    <tableColumn id="2" xr3:uid="{9EDCA872-19D8-494E-9FFD-71F3FD58E5A3}" name="Rate of funding" dataDxfId="277"/>
  </tableColumns>
  <tableStyleInfo name="OfS tabl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4F95A05-5DCD-4460-924C-406F782EAAB2}" name="TableG2_Overseas_study_programmes_parameters" displayName="TableG2_Overseas_study_programmes_parameters" ref="A14:A15" totalsRowShown="0" headerRowDxfId="276" dataDxfId="274" headerRowBorderDxfId="275" tableBorderDxfId="273" totalsRowBorderDxfId="272">
  <tableColumns count="1">
    <tableColumn id="1" xr3:uid="{AA11D787-AA81-43BF-B5E7-88A95034971C}" name="Rate of funding" dataDxfId="271"/>
  </tableColumns>
  <tableStyleInfo name="OfS table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17146CD-0DAC-45DF-9069-DD3C7EE9F8B0}" name="TableG3_NMAH_supplement_parameters" displayName="TableG3_NMAH_supplement_parameters" ref="A18:C36" totalsRowShown="0" headerRowDxfId="270" dataDxfId="269" tableBorderDxfId="268">
  <tableColumns count="3">
    <tableColumn id="1" xr3:uid="{B66A4D05-5DE1-460E-95E1-0091BD9A6E77}" name="Profession" dataDxfId="267"/>
    <tableColumn id="3" xr3:uid="{1737E723-35AD-4661-866C-6F80076EEFA5}" name="Rate of funding_x000a_UG" dataDxfId="266"/>
    <tableColumn id="4" xr3:uid="{A1DE72F1-D885-45FF-A88A-7A4CBA7D44BF}" name="Rate of funding_x000a_PGT (UG fee)" dataDxfId="265"/>
  </tableColumns>
  <tableStyleInfo name="OfS table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9969599-5D50-42E4-B466-5CC92FA3E993}" name="TableG4_PGT_supplement_parameters" displayName="TableG4_PGT_supplement_parameters" ref="A39:B40" totalsRowShown="0" headerRowDxfId="264" headerRowBorderDxfId="263" tableBorderDxfId="262" totalsRowBorderDxfId="261">
  <tableColumns count="2">
    <tableColumn id="1" xr3:uid="{D21A3E19-A633-4555-9BBA-F874632F6DCA}" name="Price group" dataDxfId="260"/>
    <tableColumn id="2" xr3:uid="{7B819CDD-07A6-42B1-9F50-BD6348D5D8E8}" name="Rate of funding" dataDxfId="259"/>
  </tableColumns>
  <tableStyleInfo name="OfS table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66C843C-B03A-42A4-B380-37071F8BDB54}" name="TableG5_Intensive_postgraduate_provision_parameters" displayName="TableG5_Intensive_postgraduate_provision_parameters" ref="A43:B45" totalsRowShown="0" headerRowDxfId="258" headerRowBorderDxfId="257" tableBorderDxfId="256">
  <tableColumns count="2">
    <tableColumn id="1" xr3:uid="{FFACB10A-3916-4212-B036-9313D3EEE15B}" name="Price group" dataDxfId="255"/>
    <tableColumn id="2" xr3:uid="{CCDB3AE8-B0C5-4139-8801-627AD053E49E}" name="Rate of funding" dataDxfId="254"/>
  </tableColumns>
  <tableStyleInfo name="OfS table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63991BF-D66F-4BD3-AFA7-BD4D76450681}" name="TableG5_Accelerated_FT_UG_provision_parameters" displayName="TableG5_Accelerated_FT_UG_provision_parameters" ref="A48:B51" totalsRowShown="0" headerRowDxfId="253" headerRowBorderDxfId="252">
  <tableColumns count="2">
    <tableColumn id="1" xr3:uid="{DC5FBF6F-2A55-463E-A5E1-E8F0E75EE143}" name="Price group" dataDxfId="251"/>
    <tableColumn id="2" xr3:uid="{FE7E8F34-B28F-47A4-B6D2-C38703F97ABD}" name="Rate of funding" dataDxfId="250"/>
  </tableColumns>
  <tableStyleInfo name="OfS table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EE6BCF-79C5-4AC5-9EA5-BEA5AC712438}" name="TableH7_Level_4_and_5_provision_parameters" displayName="TableH7_Level_4_and_5_provision_parameters" ref="A54:A55" totalsRowShown="0" headerRowDxfId="249" dataDxfId="247" headerRowBorderDxfId="248" tableBorderDxfId="246" totalsRowBorderDxfId="245">
  <tableColumns count="1">
    <tableColumn id="1" xr3:uid="{82108D60-825B-4277-BFDA-6EFAE86B2D8B}" name="Rate of funding" dataDxfId="244"/>
  </tableColumns>
  <tableStyleInfo name="OfS table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82" dT="2024-07-19T15:07:28.40" personId="{CB3EEDEF-A414-4074-BD19-8759B9406D29}" id="{5E09436A-0D12-44B9-9ED1-751922304013}">
    <text xml:space="preserve">Check appendix numbers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fficeforstudents.org.uk/heses/" TargetMode="External"/><Relationship Id="rId2" Type="http://schemas.openxmlformats.org/officeDocument/2006/relationships/hyperlink" Target="mailto:HESES@officeforstudents.org.uk" TargetMode="External"/><Relationship Id="rId1" Type="http://schemas.openxmlformats.org/officeDocument/2006/relationships/hyperlink" Target="mailto:HESES@officeforstudents.org.uk?subject=HESES23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dataverification@officeforstudents.org.uk?subject=HESES2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ESES@officeforstudents.org.uk?subject=HESES22%20-%20Validation%20error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Relationship Id="rId4" Type="http://schemas.microsoft.com/office/2017/10/relationships/threadedComment" Target="../threadedComments/threadedComment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officeforstudents.org.uk/data-and-analysis/data-collection/heses/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8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A1:T64"/>
  <sheetViews>
    <sheetView showGridLines="0" tabSelected="1" workbookViewId="0"/>
  </sheetViews>
  <sheetFormatPr defaultColWidth="9" defaultRowHeight="12.75" x14ac:dyDescent="0.35"/>
  <cols>
    <col min="1" max="1" width="171.73046875" customWidth="1"/>
    <col min="2" max="6" width="7" customWidth="1"/>
    <col min="7" max="7" width="9" customWidth="1"/>
    <col min="8" max="8" width="16.1328125" hidden="1" customWidth="1"/>
    <col min="9" max="9" width="16.59765625" hidden="1" customWidth="1"/>
    <col min="10" max="10" width="16.86328125" hidden="1" customWidth="1"/>
    <col min="11" max="11" width="25.3984375" hidden="1" customWidth="1"/>
    <col min="12" max="12" width="18" hidden="1" customWidth="1"/>
    <col min="13" max="14" width="9" hidden="1" customWidth="1"/>
    <col min="15" max="15" width="11" hidden="1" customWidth="1"/>
    <col min="16" max="17" width="9" hidden="1" customWidth="1"/>
    <col min="18" max="18" width="15.59765625" hidden="1" customWidth="1"/>
    <col min="19" max="19" width="9" hidden="1" customWidth="1"/>
    <col min="20" max="20" width="7.86328125" customWidth="1"/>
    <col min="21" max="22" width="9" customWidth="1"/>
  </cols>
  <sheetData>
    <row r="1" spans="1:6" s="1480" customFormat="1" ht="26.25" customHeight="1" x14ac:dyDescent="0.35">
      <c r="A1" s="1393" t="s">
        <v>29779</v>
      </c>
      <c r="B1" s="1479"/>
      <c r="C1" s="1479"/>
      <c r="D1" s="1479"/>
      <c r="E1" s="1479"/>
      <c r="F1" s="1479"/>
    </row>
    <row r="2" spans="1:6" s="1480" customFormat="1" ht="25.5" customHeight="1" x14ac:dyDescent="0.35">
      <c r="A2" s="1391" t="str">
        <f>"HESES"&amp;YEAR</f>
        <v>HESES24</v>
      </c>
      <c r="B2" s="1479"/>
      <c r="C2" s="1479"/>
      <c r="D2" s="1479"/>
      <c r="E2" s="1479"/>
      <c r="F2" s="1479"/>
    </row>
    <row r="3" spans="1:6" s="1480" customFormat="1" ht="17.45" customHeight="1" x14ac:dyDescent="0.35">
      <c r="A3" s="1472" t="str">
        <f>IF(PROVIDER="","Provider name",PROVIDER)</f>
        <v>Provider name</v>
      </c>
      <c r="B3" s="1481"/>
      <c r="C3" s="1481"/>
      <c r="D3" s="1481"/>
      <c r="E3" s="1481"/>
      <c r="F3" s="1481"/>
    </row>
    <row r="4" spans="1:6" s="1480" customFormat="1" ht="17.45" customHeight="1" x14ac:dyDescent="0.35">
      <c r="A4" s="1472" t="str">
        <f>IF(UKPRN="","UKPRN: 100XXXXX","UKPRN: "&amp;UKPRN)</f>
        <v>UKPRN: 100XXXXX</v>
      </c>
      <c r="B4" s="1482"/>
      <c r="C4" s="1482"/>
      <c r="D4" s="1482"/>
      <c r="E4" s="1482"/>
      <c r="F4" s="1482"/>
    </row>
    <row r="5" spans="1:6" s="1480" customFormat="1" ht="14.45" customHeight="1" x14ac:dyDescent="0.35">
      <c r="A5" s="657"/>
      <c r="B5" s="1482"/>
      <c r="C5" s="1482"/>
      <c r="D5" s="1482"/>
      <c r="E5" s="1482"/>
      <c r="F5" s="1482"/>
    </row>
    <row r="6" spans="1:6" s="1480" customFormat="1" ht="17.45" customHeight="1" x14ac:dyDescent="0.35">
      <c r="A6" s="1472" t="s">
        <v>0</v>
      </c>
      <c r="B6" s="1482"/>
      <c r="C6" s="1482"/>
      <c r="D6" s="1482"/>
      <c r="E6" s="1482"/>
      <c r="F6" s="1482"/>
    </row>
    <row r="7" spans="1:6" s="1480" customFormat="1" ht="15" customHeight="1" x14ac:dyDescent="0.35">
      <c r="A7" s="679" t="str">
        <f>"Census date: "&amp;K40</f>
        <v>Census date: Sunday 1 December 2024</v>
      </c>
      <c r="B7" s="1482"/>
      <c r="C7" s="1482"/>
      <c r="D7" s="1482"/>
      <c r="E7" s="1482"/>
      <c r="F7" s="1482"/>
    </row>
    <row r="8" spans="1:6" s="1480" customFormat="1" ht="15" customHeight="1" x14ac:dyDescent="0.35">
      <c r="A8" s="679" t="str">
        <f>"Submission deadline: Noon "&amp;K36</f>
        <v>Submission deadline: Noon Wednesday 11 December 2024</v>
      </c>
      <c r="B8" s="1482"/>
      <c r="C8" s="1482"/>
      <c r="D8" s="1482"/>
      <c r="E8" s="1482"/>
      <c r="F8" s="1482"/>
    </row>
    <row r="9" spans="1:6" s="1480" customFormat="1" ht="15" customHeight="1" x14ac:dyDescent="0.35">
      <c r="A9" s="679" t="str">
        <f>"Multiplication factor representations submission deadline: Noon "&amp;K37</f>
        <v>Multiplication factor representations submission deadline: Noon Friday 14 February 2025</v>
      </c>
      <c r="B9" s="1482"/>
      <c r="C9" s="1482"/>
      <c r="D9" s="1482"/>
      <c r="E9" s="1482"/>
      <c r="F9" s="1482"/>
    </row>
    <row r="10" spans="1:6" s="1480" customFormat="1" ht="20.45" customHeight="1" x14ac:dyDescent="0.35">
      <c r="C10" s="1482"/>
      <c r="D10" s="1482"/>
      <c r="E10" s="1482"/>
      <c r="F10" s="1482"/>
    </row>
    <row r="11" spans="1:6" s="1480" customFormat="1" ht="17.45" customHeight="1" x14ac:dyDescent="0.35">
      <c r="A11" s="1515" t="s">
        <v>1</v>
      </c>
      <c r="C11" s="1482"/>
      <c r="D11" s="1482"/>
      <c r="E11" s="1482"/>
      <c r="F11" s="1482"/>
    </row>
    <row r="12" spans="1:6" s="1480" customFormat="1" ht="15" customHeight="1" x14ac:dyDescent="0.35">
      <c r="A12" s="679" t="str">
        <f>"Date workbook submitted: SAMPLE"</f>
        <v>Date workbook submitted: SAMPLE</v>
      </c>
      <c r="B12" s="1482"/>
      <c r="C12" s="1482"/>
      <c r="D12" s="1482"/>
      <c r="E12" s="1482"/>
      <c r="F12" s="1482"/>
    </row>
    <row r="13" spans="1:6" s="1480" customFormat="1" ht="15" customHeight="1" x14ac:dyDescent="0.35">
      <c r="A13" s="679" t="str">
        <f>"Submission number: SAMPLE"</f>
        <v>Submission number: SAMPLE</v>
      </c>
      <c r="B13" s="1482"/>
      <c r="C13" s="1482"/>
      <c r="D13" s="1482"/>
      <c r="E13" s="1482"/>
      <c r="F13" s="1482"/>
    </row>
    <row r="14" spans="1:6" s="1480" customFormat="1" ht="20.25" customHeight="1" x14ac:dyDescent="0.35">
      <c r="A14" s="1483"/>
      <c r="B14" s="1482"/>
      <c r="C14" s="1482"/>
      <c r="D14" s="1482"/>
      <c r="E14" s="1482"/>
      <c r="F14" s="1482"/>
    </row>
    <row r="15" spans="1:6" s="1480" customFormat="1" ht="17.45" customHeight="1" x14ac:dyDescent="0.35">
      <c r="A15" s="1472" t="s">
        <v>2</v>
      </c>
      <c r="B15" s="1482"/>
      <c r="C15" s="1482"/>
      <c r="D15" s="1482"/>
      <c r="E15" s="1482"/>
      <c r="F15" s="1482"/>
    </row>
    <row r="16" spans="1:6" s="1480" customFormat="1" ht="16.5" customHeight="1" x14ac:dyDescent="0.35">
      <c r="A16" s="1746" t="s">
        <v>3</v>
      </c>
      <c r="B16" s="1482"/>
      <c r="C16" s="1482"/>
      <c r="D16" s="1482"/>
      <c r="E16" s="1482"/>
      <c r="F16" s="1482"/>
    </row>
    <row r="17" spans="1:20" s="1480" customFormat="1" ht="16.5" customHeight="1" x14ac:dyDescent="0.35">
      <c r="A17" s="1484" t="str">
        <f>J52</f>
        <v>No validation errors</v>
      </c>
      <c r="B17" s="1482"/>
      <c r="C17" s="1482"/>
      <c r="D17" s="1482"/>
      <c r="E17" s="1482"/>
      <c r="F17" s="1482"/>
    </row>
    <row r="18" spans="1:20" s="1480" customFormat="1" ht="16.5" customHeight="1" x14ac:dyDescent="0.35">
      <c r="A18" s="1746" t="s">
        <v>4</v>
      </c>
      <c r="B18" s="1482"/>
      <c r="C18" s="1482"/>
      <c r="D18" s="1482"/>
      <c r="E18" s="1482"/>
      <c r="F18" s="1482"/>
    </row>
    <row r="19" spans="1:20" s="1480" customFormat="1" ht="16.5" customHeight="1" x14ac:dyDescent="0.35">
      <c r="A19" s="1484" t="str">
        <f>N52</f>
        <v>No credibility warnings</v>
      </c>
      <c r="B19" s="1482"/>
      <c r="C19" s="1482"/>
      <c r="D19" s="1482"/>
      <c r="E19" s="1482"/>
      <c r="F19" s="1482"/>
    </row>
    <row r="20" spans="1:20" s="1480" customFormat="1" ht="16.5" customHeight="1" x14ac:dyDescent="0.35">
      <c r="A20" s="1746" t="s">
        <v>5</v>
      </c>
      <c r="B20" s="1482"/>
      <c r="C20" s="1482"/>
      <c r="D20" s="1482"/>
      <c r="E20" s="1482"/>
      <c r="F20" s="1482"/>
      <c r="H20" s="2036"/>
    </row>
    <row r="21" spans="1:20" s="1480" customFormat="1" ht="16.5" customHeight="1" x14ac:dyDescent="0.35">
      <c r="A21" s="1484" t="str">
        <f>R53</f>
        <v>No comparison table highlighting</v>
      </c>
      <c r="B21" s="1482"/>
      <c r="C21" s="1482"/>
      <c r="D21" s="1482"/>
      <c r="E21" s="1482"/>
      <c r="F21" s="1482"/>
      <c r="H21" s="2036"/>
    </row>
    <row r="22" spans="1:20" s="1480" customFormat="1" ht="15.75" customHeight="1" x14ac:dyDescent="0.35">
      <c r="A22" s="1746" t="s">
        <v>29763</v>
      </c>
      <c r="B22" s="1482"/>
      <c r="C22" s="1482"/>
      <c r="D22" s="1482"/>
      <c r="E22" s="1482"/>
      <c r="F22" s="1482"/>
    </row>
    <row r="23" spans="1:20" s="1480" customFormat="1" ht="16.5" customHeight="1" x14ac:dyDescent="0.35">
      <c r="A23" s="3103" t="str">
        <f>J64</f>
        <v>No validation errors</v>
      </c>
      <c r="C23" s="665"/>
    </row>
    <row r="24" spans="1:20" s="1480" customFormat="1" ht="20.25" customHeight="1" x14ac:dyDescent="0.35">
      <c r="C24" s="665"/>
    </row>
    <row r="25" spans="1:20" s="346" customFormat="1" ht="20.25" customHeight="1" x14ac:dyDescent="0.35">
      <c r="A25" s="1515" t="s">
        <v>6</v>
      </c>
      <c r="C25" s="1955"/>
    </row>
    <row r="26" spans="1:20" s="346" customFormat="1" ht="15" customHeight="1" x14ac:dyDescent="0.35">
      <c r="A26" s="1473" t="s">
        <v>27971</v>
      </c>
      <c r="C26" s="1955"/>
    </row>
    <row r="27" spans="1:20" s="1480" customFormat="1" ht="15" customHeight="1" x14ac:dyDescent="0.35">
      <c r="A27" s="670" t="str">
        <f>"This workbook collects counts of years of engagement at a provider in the 20"&amp;ACYEAR&amp;" academic year as defined in the HESES"&amp;YEAR&amp;" guidance and compares the data collected to student"</f>
        <v>This workbook collects counts of years of engagement at a provider in the 2024-25 academic year as defined in the HESES24 guidance and compares the data collected to student</v>
      </c>
      <c r="C27" s="665"/>
    </row>
    <row r="28" spans="1:20" s="1480" customFormat="1" ht="15" customHeight="1" x14ac:dyDescent="0.35">
      <c r="A28" s="670" t="s">
        <v>29193</v>
      </c>
      <c r="C28" s="665"/>
    </row>
    <row r="29" spans="1:20" s="1480" customFormat="1" ht="15" customHeight="1" x14ac:dyDescent="0.35">
      <c r="A29" s="1474" t="s">
        <v>27973</v>
      </c>
      <c r="C29" s="665"/>
    </row>
    <row r="30" spans="1:20" s="1480" customFormat="1" ht="15" customHeight="1" x14ac:dyDescent="0.35">
      <c r="A30" s="1474" t="s">
        <v>27974</v>
      </c>
      <c r="B30" s="307"/>
      <c r="C30" s="307"/>
      <c r="D30" s="1485"/>
      <c r="H30" s="1487" t="s">
        <v>28247</v>
      </c>
      <c r="I30" s="1747">
        <v>24</v>
      </c>
      <c r="K30" s="1487" t="s">
        <v>28248</v>
      </c>
      <c r="L30" s="1747" t="s">
        <v>29668</v>
      </c>
    </row>
    <row r="31" spans="1:20" s="1486" customFormat="1" ht="15" customHeight="1" x14ac:dyDescent="0.35">
      <c r="A31" s="1473" t="s">
        <v>7</v>
      </c>
      <c r="B31"/>
      <c r="C31"/>
      <c r="D31"/>
      <c r="E31"/>
      <c r="F31"/>
      <c r="H31" s="1487" t="s">
        <v>8</v>
      </c>
      <c r="I31" s="1747"/>
      <c r="J31" s="1748"/>
    </row>
    <row r="32" spans="1:20" s="1486" customFormat="1" ht="15" customHeight="1" x14ac:dyDescent="0.35">
      <c r="A32" s="2129" t="s">
        <v>28249</v>
      </c>
      <c r="B32" s="679"/>
      <c r="C32" s="679"/>
      <c r="D32" s="679"/>
      <c r="E32" s="679"/>
      <c r="F32" s="679"/>
      <c r="H32" s="1487" t="s">
        <v>10</v>
      </c>
      <c r="I32" s="1749"/>
      <c r="J32" s="1750"/>
      <c r="K32" s="1750"/>
      <c r="L32" s="1750"/>
      <c r="M32" s="1750"/>
      <c r="N32" s="1751"/>
      <c r="O32" s="1752" t="str">
        <f>IF(PROVIDER="","Provider",PROVIDER&amp;" (UKPRN: "&amp;UKPRN&amp;")")</f>
        <v>Provider</v>
      </c>
      <c r="P32" s="1750"/>
      <c r="Q32" s="1750"/>
      <c r="R32" s="1750"/>
      <c r="S32" s="1750"/>
      <c r="T32"/>
    </row>
    <row r="33" spans="1:19" s="1486" customFormat="1" ht="14.25" customHeight="1" x14ac:dyDescent="0.35">
      <c r="A33"/>
      <c r="B33" s="1488"/>
      <c r="C33" s="1488"/>
      <c r="D33" s="1488"/>
      <c r="E33" s="1488"/>
      <c r="F33" s="1488"/>
      <c r="H33" s="1487" t="s">
        <v>11</v>
      </c>
      <c r="I33" s="1753"/>
      <c r="J33" s="1754" t="str">
        <f>"IND_DATA"&amp;(YEAR-2)&amp;(YEAR-1)</f>
        <v>IND_DATA2223</v>
      </c>
      <c r="K33" s="1755"/>
      <c r="L33" s="1754" t="str">
        <f>"IND_DATA"&amp;(YEAR-1)&amp;YEAR</f>
        <v>IND_DATA2324</v>
      </c>
      <c r="M33" s="1755"/>
      <c r="N33" s="1756" t="s">
        <v>12</v>
      </c>
      <c r="O33" s="1757"/>
      <c r="P33" s="1754" t="s">
        <v>13</v>
      </c>
      <c r="Q33" s="1758"/>
      <c r="R33" s="1754" t="s">
        <v>14</v>
      </c>
      <c r="S33" s="1758"/>
    </row>
    <row r="34" spans="1:19" s="1486" customFormat="1" ht="20.25" customHeight="1" x14ac:dyDescent="0.35">
      <c r="A34" s="1515" t="s">
        <v>9</v>
      </c>
      <c r="B34" s="1490"/>
      <c r="C34" s="1490"/>
      <c r="D34" s="1490"/>
      <c r="E34" s="1490"/>
      <c r="F34" s="1490"/>
      <c r="H34" s="1487" t="s">
        <v>16</v>
      </c>
      <c r="I34" s="1759"/>
      <c r="J34" s="1751"/>
      <c r="K34" s="1760" t="str">
        <f>IF(DATE="","Not yet submitted",TEXT(DATE,"[$-en-GB]dddd dd mmmm yyyy"))</f>
        <v>Not yet submitted</v>
      </c>
      <c r="L34" s="1761"/>
      <c r="M34" s="1761"/>
      <c r="N34" s="1762"/>
      <c r="O34" s="1754" t="s">
        <v>17</v>
      </c>
      <c r="P34" s="1491"/>
      <c r="R34" s="1754" t="s">
        <v>18</v>
      </c>
      <c r="S34" s="1758"/>
    </row>
    <row r="35" spans="1:19" s="1486" customFormat="1" ht="14.25" customHeight="1" x14ac:dyDescent="0.35">
      <c r="A35" s="2126" t="str">
        <f>"Guidance documents which should be referred to when completing the HESES"&amp;YEAR&amp;" workbook are available on the OfS website. These include the main HESES"&amp;YEAR&amp;" guidance,"</f>
        <v>Guidance documents which should be referred to when completing the HESES24 workbook are available on the OfS website. These include the main HESES24 guidance,</v>
      </c>
      <c r="H35" s="1487" t="s">
        <v>19</v>
      </c>
      <c r="I35" s="1763"/>
      <c r="J35" s="1751"/>
      <c r="K35" s="1753" t="str">
        <f>IF(OR(VERSION=0,VERSION=""),"Not yet submitted",VERSION)</f>
        <v>Not yet submitted</v>
      </c>
      <c r="L35" s="1750"/>
      <c r="M35" s="1751"/>
    </row>
    <row r="36" spans="1:19" s="1486" customFormat="1" ht="14.25" customHeight="1" x14ac:dyDescent="0.35">
      <c r="A36" s="679" t="str">
        <f>"'Completing the HESES"&amp;YEAR&amp;" workbook' and Appendices 1 to 6, which include information on workbook submission, validation and credibility checks, and comparison tables."</f>
        <v>'Completing the HESES24 workbook' and Appendices 1 to 6, which include information on workbook submission, validation and credibility checks, and comparison tables.</v>
      </c>
      <c r="B36" s="1492"/>
      <c r="C36" s="1492"/>
      <c r="D36" s="1492"/>
      <c r="E36" s="1492"/>
      <c r="F36" s="1492"/>
      <c r="H36" s="1487" t="s">
        <v>21</v>
      </c>
      <c r="I36" s="1764">
        <f>IF(FEC=1,DATE(20&amp;YEAR,11,13),DATE(20&amp;YEAR,12,11))</f>
        <v>45637</v>
      </c>
      <c r="J36" s="1751"/>
      <c r="K36" s="1753" t="str">
        <f>TEXT(DEADLINE,"[$-en-GB]dddd dd mmmm yyyy")</f>
        <v>Wednesday 11 December 2024</v>
      </c>
      <c r="L36" s="1750"/>
      <c r="M36" s="1751"/>
    </row>
    <row r="37" spans="1:19" s="1486" customFormat="1" ht="14.25" customHeight="1" x14ac:dyDescent="0.35">
      <c r="A37" s="1489" t="s">
        <v>15</v>
      </c>
      <c r="H37" s="1487" t="s">
        <v>29701</v>
      </c>
      <c r="I37" s="1764">
        <f>DATE(20&amp;YEAR+1,2,14)</f>
        <v>45702</v>
      </c>
      <c r="J37" s="1751"/>
      <c r="K37" s="1753" t="str" cm="1">
        <f t="array" ref="K37">TEXT(MF_DEADLINE,"[$-en-GB]dddd dd mmmm yyyy")</f>
        <v>Friday 14 February 2025</v>
      </c>
      <c r="L37" s="1750"/>
      <c r="M37" s="1751"/>
    </row>
    <row r="38" spans="1:19" s="1486" customFormat="1" ht="14.25" customHeight="1" x14ac:dyDescent="0.35">
      <c r="A38" s="346" t="s">
        <v>27975</v>
      </c>
      <c r="H38" s="1486" t="s">
        <v>29383</v>
      </c>
      <c r="I38" s="1486" t="str">
        <f>"Template version notes: Initial release"</f>
        <v>Template version notes: Initial release</v>
      </c>
    </row>
    <row r="39" spans="1:19" s="1486" customFormat="1" ht="15" customHeight="1" x14ac:dyDescent="0.35">
      <c r="A39" s="2127" t="str">
        <f>"HESES"&amp;YEAR&amp;" guidance. If the data is correct, please email to confirm how the data meets the guidance and definitions at: dataverification@officeforstudents.org.uk"</f>
        <v>HESES24 guidance. If the data is correct, please email to confirm how the data meets the guidance and definitions at: dataverification@officeforstudents.org.uk</v>
      </c>
      <c r="B39" s="1493"/>
      <c r="C39" s="1493"/>
      <c r="D39" s="1493"/>
      <c r="E39" s="1492"/>
      <c r="H39" s="2267" t="s">
        <v>29384</v>
      </c>
      <c r="I39" s="2267">
        <v>1</v>
      </c>
      <c r="J39" s="2267" t="str">
        <f>"HESES"&amp;YEAR&amp;" template version : "&amp;VERNUM</f>
        <v>HESES24 template version : 1</v>
      </c>
    </row>
    <row r="40" spans="1:19" s="1486" customFormat="1" ht="15" customHeight="1" x14ac:dyDescent="0.35">
      <c r="A40" s="1489" t="s">
        <v>20</v>
      </c>
      <c r="H40" s="1494" t="s">
        <v>23</v>
      </c>
      <c r="J40" s="1765">
        <f>IF(FEC=1,DATE(20&amp;YEAR,11,1),DATE(20&amp;YEAR,12,1))</f>
        <v>45627</v>
      </c>
      <c r="K40" s="1752" t="str">
        <f>TEXT(CENSUS,"[$-en-GB]dddd d mmmm yyyy")</f>
        <v>Sunday 1 December 2024</v>
      </c>
      <c r="L40" s="1750" t="str">
        <f>IF(AND(DATE&lt;&gt;"",DATE&lt;J40),"The workbook has been uploaded before the census date. You will need to re-upload on or after the census date in order for your workbook to be accepted.","")</f>
        <v/>
      </c>
      <c r="M40" s="1750"/>
      <c r="N40" s="1750"/>
      <c r="O40" s="1750"/>
      <c r="P40" s="1751"/>
      <c r="S40" s="1480"/>
    </row>
    <row r="41" spans="1:19" s="1486" customFormat="1" ht="14.25" customHeight="1" x14ac:dyDescent="0.35">
      <c r="B41" s="1495"/>
      <c r="C41" s="1495"/>
      <c r="D41" s="1495"/>
      <c r="S41" s="1480"/>
    </row>
    <row r="42" spans="1:19" s="1480" customFormat="1" ht="20.25" customHeight="1" x14ac:dyDescent="0.35">
      <c r="A42" s="1515" t="s">
        <v>22</v>
      </c>
      <c r="H42" s="1494" t="s">
        <v>25</v>
      </c>
      <c r="I42" s="1486"/>
      <c r="J42" s="1486"/>
      <c r="K42" s="1486"/>
      <c r="L42" s="1494" t="s">
        <v>26</v>
      </c>
      <c r="M42" s="1486"/>
      <c r="N42" s="1486"/>
      <c r="O42" s="1486"/>
      <c r="P42" s="1494" t="s">
        <v>27</v>
      </c>
      <c r="Q42" s="1486"/>
      <c r="R42" s="1486"/>
      <c r="S42"/>
    </row>
    <row r="43" spans="1:19" s="1480" customFormat="1" ht="15" customHeight="1" x14ac:dyDescent="0.35">
      <c r="A43" s="2128" t="str">
        <f>"If you require any assistance with your HESES"&amp;YEAR&amp;" submission, please email: heses@officeforstudents.org.uk"</f>
        <v>If you require any assistance with your HESES24 submission, please email: heses@officeforstudents.org.uk</v>
      </c>
      <c r="H43" s="1480" t="s">
        <v>28</v>
      </c>
      <c r="I43" s="1480" t="str">
        <f>IF('Courses Valid'!D3&gt;0,"INVALID","VALID")</f>
        <v>VALID</v>
      </c>
      <c r="J43" s="1766" t="str">
        <f>IF(I43="VALID","","Courses table; ")</f>
        <v/>
      </c>
      <c r="L43" s="1480" t="s">
        <v>28</v>
      </c>
      <c r="M43" s="1480" t="str">
        <f>IF('Courses Valid'!D4&gt;0,"NOCRED","CRED")</f>
        <v>CRED</v>
      </c>
      <c r="N43" s="1766" t="str">
        <f>IF(M43="CRED","","Courses Table; ")</f>
        <v/>
      </c>
      <c r="P43" s="1496" t="s">
        <v>29</v>
      </c>
      <c r="Q43" s="1497" t="str">
        <f>IF(Comparison_1!U3&gt;0,"NOCRED","CRED")</f>
        <v>CRED</v>
      </c>
      <c r="R43" s="1766" t="str">
        <f>IF(Q43="CRED","","Table A; ")</f>
        <v/>
      </c>
      <c r="S43"/>
    </row>
    <row r="44" spans="1:19" ht="14.25" customHeight="1" x14ac:dyDescent="0.35">
      <c r="A44" s="1480"/>
      <c r="B44" s="169"/>
      <c r="C44" s="169"/>
      <c r="D44" s="169"/>
      <c r="H44" s="1480" t="s">
        <v>30</v>
      </c>
      <c r="I44" s="1480" t="str">
        <f>IF('Table 1 Valid'!D3&gt;0,"INVALID","VALID")</f>
        <v>VALID</v>
      </c>
      <c r="J44" s="1766" t="str">
        <f>IF(I44="VALID","","Table 1 (Full-time); ")</f>
        <v/>
      </c>
      <c r="K44" s="1480"/>
      <c r="L44" s="1480" t="s">
        <v>30</v>
      </c>
      <c r="M44" s="1480" t="str">
        <f>IF('Table 1 Valid'!D4&gt;0,"NOCRED","CRED")</f>
        <v>CRED</v>
      </c>
      <c r="N44" s="1766" t="str">
        <f>IF(M44="CRED","","Table 1 (Full-time); ")</f>
        <v/>
      </c>
      <c r="O44" s="1480"/>
      <c r="P44" s="1496" t="s">
        <v>31</v>
      </c>
      <c r="Q44" s="1497" t="str">
        <f>IF(Comparison_1!V3&gt;0,"NOCRED","CRED")</f>
        <v>CRED</v>
      </c>
      <c r="R44" s="1766" t="str">
        <f>IF(Q44="CRED","","Table B; ")</f>
        <v/>
      </c>
    </row>
    <row r="45" spans="1:19" ht="20.25" customHeight="1" x14ac:dyDescent="0.35">
      <c r="A45" s="1515" t="s">
        <v>24</v>
      </c>
      <c r="B45" s="168"/>
      <c r="C45" s="168"/>
      <c r="D45" s="168"/>
      <c r="H45" t="s">
        <v>32</v>
      </c>
      <c r="I45" t="str">
        <f>IF('Table 2 Valid'!D3&gt;0,"INVALID","VALID")</f>
        <v>VALID</v>
      </c>
      <c r="J45" s="1731" t="str">
        <f>IF(I45="VALID","","Table 2 (Sandwich year out); ")</f>
        <v/>
      </c>
      <c r="L45" t="s">
        <v>32</v>
      </c>
      <c r="M45" t="str">
        <f>IF('Table 2 Valid'!D4&gt;0,"NOCRED","CRED")</f>
        <v>CRED</v>
      </c>
      <c r="N45" s="1731" t="str">
        <f>IF(M45="CRED","","Table 2 (Sandwich year out); ")</f>
        <v/>
      </c>
      <c r="P45" s="11" t="s">
        <v>33</v>
      </c>
      <c r="Q45" s="345" t="str">
        <f>IF(Comparison_1!W3&gt;0,"NOCRED","CRED")</f>
        <v>CRED</v>
      </c>
      <c r="R45" s="1731" t="str">
        <f>IF(Q45="CRED","","Table C; ")</f>
        <v/>
      </c>
    </row>
    <row r="46" spans="1:19" ht="15" customHeight="1" x14ac:dyDescent="0.35">
      <c r="A46" s="2268" t="s">
        <v>29780</v>
      </c>
      <c r="B46" s="39"/>
      <c r="C46" s="39"/>
      <c r="D46" s="39"/>
      <c r="H46" t="s">
        <v>34</v>
      </c>
      <c r="I46" t="str">
        <f>IF('Table 3 Valid'!D3&gt;0,"INVALID","VALID")</f>
        <v>VALID</v>
      </c>
      <c r="J46" s="1731" t="str">
        <f>IF(I46="VALID","","Table 3 (Part-time); ")</f>
        <v/>
      </c>
      <c r="L46" t="s">
        <v>34</v>
      </c>
      <c r="M46" t="str">
        <f>IF('Table 3 Valid'!D4&gt;0,"NOCRED","CRED")</f>
        <v>CRED</v>
      </c>
      <c r="N46" s="1731" t="str">
        <f>IF(M46="CRED","","Table 3 (Part-time); ")</f>
        <v/>
      </c>
      <c r="P46" s="11" t="s">
        <v>35</v>
      </c>
      <c r="Q46" s="345" t="str">
        <f>IF(Comparison_1!X3&gt;0,"NOCRED","CRED")</f>
        <v>CRED</v>
      </c>
      <c r="R46" s="1731" t="str">
        <f>IF(Q46="CRED","","Table D; ")</f>
        <v/>
      </c>
    </row>
    <row r="47" spans="1:19" ht="15" customHeight="1" x14ac:dyDescent="0.35">
      <c r="A47" s="679" t="s">
        <v>29781</v>
      </c>
      <c r="H47" t="s">
        <v>36</v>
      </c>
      <c r="I47" t="str">
        <f>IF('Table 4 Valid'!D3&gt;0,"INVALID","VALID")</f>
        <v>VALID</v>
      </c>
      <c r="J47" s="1731" t="str">
        <f>IF(I47="VALID","","Table 4 (Year abroad); ")</f>
        <v/>
      </c>
      <c r="L47" t="s">
        <v>36</v>
      </c>
      <c r="M47" t="str">
        <f>IF('Table 4 Valid'!D4&gt;0,"NOCRED","CRED")</f>
        <v>CRED</v>
      </c>
      <c r="N47" s="1731" t="str">
        <f>IF(M47="CRED","","Table 4 (Year abroad); ")</f>
        <v/>
      </c>
      <c r="P47" s="11" t="s">
        <v>37</v>
      </c>
      <c r="Q47" s="345" t="str">
        <f>IF(Comparison_2!AB3&gt;0,"NOCRED","CRED")</f>
        <v>CRED</v>
      </c>
      <c r="R47" s="1731" t="str">
        <f>IF(Q47="CRED","","Table E; ")</f>
        <v/>
      </c>
    </row>
    <row r="48" spans="1:19" s="346" customFormat="1" ht="15" customHeight="1" x14ac:dyDescent="0.35">
      <c r="A48" s="346" t="s">
        <v>29782</v>
      </c>
      <c r="B48" s="670"/>
      <c r="C48" s="670"/>
      <c r="D48" s="670"/>
      <c r="H48" s="346" t="s">
        <v>38</v>
      </c>
      <c r="I48" s="346" t="str">
        <f>IF('Table 5 Valid'!D3&gt;0,"INVALID","VALID")</f>
        <v>VALID</v>
      </c>
      <c r="J48" s="3361" t="str">
        <f>IF(I48="VALID","","Table 5 (Planning); ")</f>
        <v/>
      </c>
      <c r="L48" s="346" t="s">
        <v>38</v>
      </c>
      <c r="M48" s="346" t="str">
        <f>IF('Table 5 Valid'!D4&gt;0,"NOCRED","CRED")</f>
        <v>CRED</v>
      </c>
      <c r="N48" s="3361" t="str">
        <f>IF(M48="CRED","","Table 5 (Planning); ")</f>
        <v/>
      </c>
      <c r="P48" s="346" t="s">
        <v>39</v>
      </c>
      <c r="Q48" s="1256" t="str">
        <f>IF(Comparison_2!AC3&gt;0,"NOCRED","CRED")</f>
        <v>CRED</v>
      </c>
      <c r="R48" s="3361" t="str">
        <f>IF(Q48="CRED","","Table F; ")</f>
        <v/>
      </c>
    </row>
    <row r="49" spans="1:18" s="346" customFormat="1" ht="15" customHeight="1" x14ac:dyDescent="0.35">
      <c r="B49" s="670"/>
      <c r="C49" s="670"/>
      <c r="D49" s="670"/>
      <c r="H49" s="346" t="s">
        <v>40</v>
      </c>
      <c r="I49" s="346" t="str">
        <f>IF('Table 6a Valid'!D3&gt;0,"INVALID","VALID")</f>
        <v>VALID</v>
      </c>
      <c r="J49" s="3361" t="str">
        <f>IF(I49="VALID","","Table 6a (Health full-time); ")</f>
        <v/>
      </c>
      <c r="L49" s="346" t="s">
        <v>40</v>
      </c>
      <c r="M49" s="346" t="str">
        <f>IF('Table 6a Valid'!D4&gt;0,"NOCRED","CRED")</f>
        <v>CRED</v>
      </c>
      <c r="N49" s="3361" t="str">
        <f>IF(M49="CRED","","Table 6a (Health full-time); ")</f>
        <v/>
      </c>
      <c r="P49" s="346" t="s">
        <v>41</v>
      </c>
      <c r="Q49" s="1256" t="str">
        <f>IF(Comparison_2!AD3&gt;0,"NOCRED","CRED")</f>
        <v>CRED</v>
      </c>
      <c r="R49" s="3361" t="str">
        <f>IF(Q49="CRED","","Table G; ")</f>
        <v/>
      </c>
    </row>
    <row r="50" spans="1:18" s="346" customFormat="1" ht="15" customHeight="1" x14ac:dyDescent="0.4">
      <c r="B50" s="3362"/>
      <c r="C50" s="3362"/>
      <c r="D50" s="3362"/>
      <c r="H50" s="346" t="s">
        <v>42</v>
      </c>
      <c r="I50" s="346" t="str">
        <f>IF('Table 6c Valid'!D3&gt;0,"INVALID","VALID")</f>
        <v>VALID</v>
      </c>
      <c r="J50" s="3361" t="str">
        <f>IF(I50="VALID","","Table 6c (Health part-time); ")</f>
        <v/>
      </c>
      <c r="L50" s="346" t="s">
        <v>42</v>
      </c>
      <c r="M50" s="346" t="str">
        <f>IF('Table 6c Valid'!D4&gt;0,"NOCRED","CRED")</f>
        <v>CRED</v>
      </c>
      <c r="N50" s="3361" t="str">
        <f>IF(M50="CRED","","Table 6c (Health part-time); ")</f>
        <v/>
      </c>
      <c r="P50" s="346" t="s">
        <v>43</v>
      </c>
      <c r="Q50" s="1256" t="str">
        <f>IF(Comparison_3!V5&gt;0,"NOCRED","CRED")</f>
        <v>CRED</v>
      </c>
      <c r="R50" s="3361" t="str">
        <f>IF(Q50="CRED","","Table H; ")</f>
        <v/>
      </c>
    </row>
    <row r="51" spans="1:18" ht="13.5" x14ac:dyDescent="0.4">
      <c r="A51" s="78"/>
      <c r="B51" s="167"/>
      <c r="C51" s="167"/>
      <c r="D51" s="167"/>
      <c r="J51" s="1731" t="str">
        <f>J43&amp;J44&amp;J45&amp;J46&amp;J47&amp;J48&amp;J49&amp;J50</f>
        <v/>
      </c>
      <c r="L51" s="11"/>
      <c r="N51" s="1731" t="str">
        <f>N43&amp;N44&amp;N45&amp;N46&amp;N47&amp;N48&amp;N49&amp;N50</f>
        <v/>
      </c>
      <c r="P51" s="11" t="s">
        <v>44</v>
      </c>
      <c r="Q51" s="345" t="str">
        <f>IF(Comparison_3!W5&gt;0,"NOCRED","CRED")</f>
        <v>CRED</v>
      </c>
      <c r="R51" s="1731" t="str">
        <f>IF(Q51="CRED","","Table I; ")</f>
        <v/>
      </c>
    </row>
    <row r="52" spans="1:18" ht="13.15" x14ac:dyDescent="0.35">
      <c r="A52" s="79"/>
      <c r="B52" s="39"/>
      <c r="C52" s="39"/>
      <c r="D52" s="39"/>
      <c r="J52" s="1731" t="str">
        <f>IF(J51&lt;&gt;"",J51&amp;"Please see Appendix 2 for details of validation checks",IF(L40&lt;&gt;"",L40,"No validation errors"))</f>
        <v>No validation errors</v>
      </c>
      <c r="N52" s="1731" t="str">
        <f>IF(N51&lt;&gt;"",N51&amp;"Please see Appendix 3 for details of credibility checks","No credibility warnings")</f>
        <v>No credibility warnings</v>
      </c>
      <c r="P52" s="11"/>
      <c r="Q52" s="11"/>
      <c r="R52" s="1731" t="str">
        <f>R43&amp;R44&amp;R45&amp;R46&amp;R47&amp;R48&amp;R49&amp;R50&amp;R51</f>
        <v/>
      </c>
    </row>
    <row r="53" spans="1:18" ht="13.15" x14ac:dyDescent="0.35">
      <c r="A53" s="79"/>
      <c r="B53" s="167"/>
      <c r="C53" s="167"/>
      <c r="D53" s="167"/>
      <c r="P53" s="11"/>
      <c r="Q53" s="11"/>
      <c r="R53" s="1731" t="str">
        <f>IFERROR(IF(R52&lt;&gt;"",R52&amp;"Please see Appendix 4a for details of comparison tables","No comparison table highlighting"),"Not included in sample tables")</f>
        <v>No comparison table highlighting</v>
      </c>
    </row>
    <row r="54" spans="1:18" ht="13.15" x14ac:dyDescent="0.35">
      <c r="A54" s="79"/>
    </row>
    <row r="55" spans="1:18" x14ac:dyDescent="0.35">
      <c r="H55" t="s">
        <v>29704</v>
      </c>
    </row>
    <row r="56" spans="1:18" x14ac:dyDescent="0.35">
      <c r="H56" s="1496" t="s">
        <v>29696</v>
      </c>
      <c r="I56" s="1480" t="str">
        <f>IF('FTE Table 1 Valid'!$D$3&gt;0,"INVALID","VALID")</f>
        <v>VALID</v>
      </c>
      <c r="J56" s="3102" t="str">
        <f>IF(I56="VALID","","Table 1 (Full-time); ")</f>
        <v/>
      </c>
    </row>
    <row r="57" spans="1:18" x14ac:dyDescent="0.35">
      <c r="H57" s="1496" t="s">
        <v>29697</v>
      </c>
      <c r="I57" t="str">
        <f>IF('FTE Table 2 Valid'!$D$3&gt;0,"INVALID","VALID")</f>
        <v>VALID</v>
      </c>
      <c r="J57" s="1826" t="str">
        <f>IF(I57="VALID","","Table 2 (Sandwich year out); ")</f>
        <v/>
      </c>
    </row>
    <row r="58" spans="1:18" x14ac:dyDescent="0.35">
      <c r="H58" s="1496" t="s">
        <v>29698</v>
      </c>
      <c r="I58" t="str">
        <f>IF('FTE Table 3 Valid'!$D$3&gt;0,"INVALID","VALID")</f>
        <v>VALID</v>
      </c>
      <c r="J58" s="1826" t="str">
        <f>IF(I58="VALID","","Table 3 (Part-time); ")</f>
        <v/>
      </c>
    </row>
    <row r="59" spans="1:18" x14ac:dyDescent="0.35">
      <c r="H59" s="11" t="s">
        <v>29699</v>
      </c>
      <c r="I59" t="str">
        <f>IF('FTE Table 6a Valid'!$D$3&gt;0,"INVALID","VALID")</f>
        <v>VALID</v>
      </c>
      <c r="J59" s="1826" t="str">
        <f>IF(I59="VALID","","Table 6a (Health full-time); ")</f>
        <v/>
      </c>
    </row>
    <row r="60" spans="1:18" x14ac:dyDescent="0.35">
      <c r="H60" s="11" t="s">
        <v>29700</v>
      </c>
      <c r="I60" t="str">
        <f>IF('FTE Table 6c Valid'!$D$3&gt;0,"INVALID","VALID")</f>
        <v>VALID</v>
      </c>
      <c r="J60" s="1826" t="str">
        <f>IF(I60="VALID","","Table 6c (Health part-time); ")</f>
        <v/>
      </c>
    </row>
    <row r="61" spans="1:18" x14ac:dyDescent="0.35">
      <c r="H61" s="11" t="s">
        <v>29669</v>
      </c>
      <c r="I61" t="str">
        <f>IF(SUM(FTE_1_Full_time!H8:H67,FTE_2_Sandwich!G8:G12,FTE_3_Part_time!H8:H67,FTE_6a_Health_full_time!H9:H82,FTE_6c_Health_part_time!H9:H82)=0,"VALID",IF(AND(PROVIDER&lt;&gt;"",OR(A_Summary!$D$25&gt;=100000,A_Summary!$D$25&gt;=A_Summary!$B$25*0.1)),"VALID","INVALID"))</f>
        <v>VALID</v>
      </c>
      <c r="J61" s="1826" t="str">
        <f>IF(I61="VALID","","Funding impact; ")</f>
        <v/>
      </c>
    </row>
    <row r="62" spans="1:18" x14ac:dyDescent="0.35">
      <c r="H62" s="11" t="s">
        <v>27965</v>
      </c>
      <c r="I62" t="str">
        <f>IF(AND(DATE&lt;&gt;"",DATE&lt;DATE(20&amp;YEAR+1,1,31)),"INVALID","VALID")</f>
        <v>VALID</v>
      </c>
      <c r="J62" s="1826" t="str">
        <f>IF(I62="VALID","","Multiplication factor representations have been entered the HESES sign off deadline. They will only be considered after this date.; ")</f>
        <v/>
      </c>
    </row>
    <row r="63" spans="1:18" x14ac:dyDescent="0.35">
      <c r="J63" s="1731" t="str">
        <f>J56&amp;J57&amp;J58&amp;J59&amp;J60&amp;J61</f>
        <v/>
      </c>
    </row>
    <row r="64" spans="1:18" x14ac:dyDescent="0.35">
      <c r="J64" s="1731" t="str">
        <f>IFERROR(IF(J63&lt;&gt;"",J63&amp;"Please see Appendix 2 for details of validation checks",IF(J62&lt;&gt;"",J62,"No validation errors")),"Not included in sample tables")</f>
        <v>No validation errors</v>
      </c>
    </row>
  </sheetData>
  <sheetProtection algorithmName="SHA-512" hashValue="mOSRtKttj8lKi+JV48swM9D9jra9oWaJ1pqcYR3jalyZIqemlm8eZKN/n8LAZ8HeGLgZRe6JrnxxnVlsCk1Aww==" saltValue="rrrGuJqfndzci1QOhN9pGw==" spinCount="100000" sheet="1" objects="1" scenarios="1"/>
  <phoneticPr fontId="24" type="noConversion"/>
  <conditionalFormatting sqref="A17 A23">
    <cfRule type="expression" dxfId="243" priority="2">
      <formula>IF(OR(A17="Not included in sample tables",A17="No validation errors"),0,1)</formula>
    </cfRule>
  </conditionalFormatting>
  <conditionalFormatting sqref="A19">
    <cfRule type="expression" dxfId="242" priority="3">
      <formula>IF(A19&lt;&gt;"No credibility warnings",1,0)</formula>
    </cfRule>
  </conditionalFormatting>
  <conditionalFormatting sqref="A21">
    <cfRule type="expression" dxfId="241" priority="4">
      <formula>IF(OR(A21="No comparison table highlighting",A21="Not included in sample tables"),0,1)</formula>
    </cfRule>
  </conditionalFormatting>
  <hyperlinks>
    <hyperlink ref="A43" r:id="rId1" display="mailto:HESES@officeforstudents.org.uk?subject=HESES23" xr:uid="{A5162373-9284-4068-9C59-FB6DA9AA283B}"/>
    <hyperlink ref="A32" r:id="rId2" display="If you require an accessible version of this workbook please contact HESES@officeforstudents.org.uk" xr:uid="{D99E66FE-9D55-4560-BCB6-DE40597EC5C5}"/>
    <hyperlink ref="A35" r:id="rId3" display="Guidance documents which should be referred to when completing the HESES22 workbook are available on the OfS website. These include the main HESES22 guidance, 'Completing the HESES22 workbook' and Appendices 1 to 5, which include information on workbook submission, validation and credibility checks, 'comparison tables, and funding modelling tables." xr:uid="{D7F381B3-FA73-46E5-A28D-695F09399DCF}"/>
    <hyperlink ref="A39" r:id="rId4" display="mailto:dataverification@officeforstudents.org.uk?subject=HESES23" xr:uid="{D6C0B508-4159-495D-A070-FF8B6498748B}"/>
  </hyperlinks>
  <pageMargins left="0.70866141732283472" right="0.70866141732283472" top="0.74803149606299213" bottom="0.74803149606299213" header="0.31496062992125984" footer="0.31496062992125984"/>
  <pageSetup paperSize="8" fitToHeight="0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S275"/>
  <sheetViews>
    <sheetView workbookViewId="0"/>
  </sheetViews>
  <sheetFormatPr defaultColWidth="9" defaultRowHeight="12.75" x14ac:dyDescent="0.35"/>
  <cols>
    <col min="3" max="3" width="18.3984375" customWidth="1"/>
    <col min="4" max="4" width="17" bestFit="1" customWidth="1"/>
    <col min="5" max="5" width="12.1328125" bestFit="1" customWidth="1"/>
    <col min="6" max="6" width="12" bestFit="1" customWidth="1"/>
    <col min="8" max="8" width="12.1328125" customWidth="1"/>
    <col min="9" max="9" width="12.3984375" customWidth="1"/>
    <col min="10" max="10" width="19.1328125" customWidth="1"/>
    <col min="11" max="11" width="13.1328125" bestFit="1" customWidth="1"/>
    <col min="12" max="12" width="13" customWidth="1"/>
    <col min="13" max="13" width="11.1328125" customWidth="1"/>
    <col min="14" max="14" width="14" customWidth="1"/>
    <col min="15" max="15" width="12" bestFit="1" customWidth="1"/>
    <col min="16" max="16" width="9" customWidth="1"/>
    <col min="18" max="19" width="9" customWidth="1"/>
  </cols>
  <sheetData>
    <row r="1" spans="1:35" ht="15" x14ac:dyDescent="0.4">
      <c r="A1" s="102" t="s">
        <v>27705</v>
      </c>
    </row>
    <row r="2" spans="1:35" ht="13.15" x14ac:dyDescent="0.4">
      <c r="D2" s="11" t="s">
        <v>28277</v>
      </c>
      <c r="F2" s="6" t="s">
        <v>27679</v>
      </c>
      <c r="H2" s="6" t="s">
        <v>27680</v>
      </c>
      <c r="J2" s="6" t="s">
        <v>28272</v>
      </c>
      <c r="K2" s="6"/>
      <c r="L2" s="6"/>
      <c r="M2" s="6"/>
      <c r="N2" s="6"/>
    </row>
    <row r="3" spans="1:35" ht="13.15" x14ac:dyDescent="0.4">
      <c r="B3" s="14" t="s">
        <v>343</v>
      </c>
      <c r="D3" s="7">
        <f>IF(AND('Table 1 Valid'!F3="Validation: OK",'Table 1 Valid'!H3="Validation: OK"),0,1)</f>
        <v>0</v>
      </c>
      <c r="F3" s="570" t="str">
        <f>IF(AND(E29="",E109="",E189=""),"Validation: OK","Validation: Failure (see below table)")</f>
        <v>Validation: OK</v>
      </c>
      <c r="H3" s="571" t="str">
        <f>IF(AND(H29="",H109="",H189=""),"Validation: OK","Validation: Failure (see below table)")</f>
        <v>Validation: OK</v>
      </c>
      <c r="J3" s="587" t="str">
        <f>IF(AND(F3="Validation: OK",H3="Validation: OK"),"Validation: OK","Validation: Failure (see below table)")</f>
        <v>Validation: OK</v>
      </c>
    </row>
    <row r="4" spans="1:35" ht="13.15" x14ac:dyDescent="0.4">
      <c r="B4" s="14" t="s">
        <v>344</v>
      </c>
      <c r="D4" s="7">
        <f>IF(AND('Table 1 Valid'!F4="Credibility: OK",'Table 1 Valid'!H4="Credibility: OK"),0,1)</f>
        <v>0</v>
      </c>
      <c r="F4" s="584" t="str">
        <f>IF(AND(E209="",O269=""),"Credibility: OK","Credibility: Warnings (see below table)")</f>
        <v>Credibility: OK</v>
      </c>
      <c r="H4" s="585" t="str">
        <f>IF(AND(H209="",R269=""),"Credibility: OK","Credibility: Warnings (see below table)")</f>
        <v>Credibility: OK</v>
      </c>
      <c r="J4" s="2152" t="str">
        <f>IF(AND(F4="Credibility: OK",H4="Credibility: OK"),"Credibility: OK","Credibility: Warnings (see below table)")</f>
        <v>Credibility: OK</v>
      </c>
    </row>
    <row r="5" spans="1:35" ht="13.15" x14ac:dyDescent="0.4">
      <c r="B5" s="14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35" ht="128.25" x14ac:dyDescent="0.4">
      <c r="B6" s="1735" t="s">
        <v>346</v>
      </c>
      <c r="C6" s="331"/>
      <c r="D6" s="320" t="s">
        <v>27706</v>
      </c>
      <c r="E6" s="320" t="s">
        <v>28265</v>
      </c>
      <c r="F6" s="320" t="s">
        <v>28267</v>
      </c>
      <c r="G6" s="1716"/>
      <c r="I6" s="11"/>
      <c r="J6" s="1735" t="s">
        <v>360</v>
      </c>
      <c r="K6" s="198" t="s">
        <v>27707</v>
      </c>
      <c r="L6" s="320" t="s">
        <v>27708</v>
      </c>
      <c r="M6" s="1716"/>
      <c r="Q6" s="11"/>
      <c r="R6" s="11"/>
      <c r="S6" s="11"/>
      <c r="T6" s="11"/>
    </row>
    <row r="7" spans="1:35" x14ac:dyDescent="0.35">
      <c r="B7" s="1609" t="s">
        <v>363</v>
      </c>
      <c r="C7" s="11"/>
      <c r="D7" s="7">
        <v>1</v>
      </c>
      <c r="E7" s="7">
        <v>1</v>
      </c>
      <c r="F7" s="7">
        <v>1</v>
      </c>
      <c r="G7" s="54"/>
      <c r="I7" s="11"/>
      <c r="J7" s="1609" t="s">
        <v>363</v>
      </c>
      <c r="K7" s="321">
        <v>1</v>
      </c>
      <c r="L7" s="321">
        <v>1</v>
      </c>
      <c r="M7" s="54"/>
      <c r="Q7" s="11"/>
      <c r="R7" s="11"/>
      <c r="S7" s="11"/>
    </row>
    <row r="8" spans="1:35" s="182" customFormat="1" ht="12.75" customHeight="1" x14ac:dyDescent="0.4">
      <c r="B8" s="597"/>
      <c r="C8" s="598"/>
      <c r="D8" s="598"/>
      <c r="E8" s="598"/>
      <c r="F8" s="598"/>
      <c r="G8" s="599"/>
      <c r="I8" s="184"/>
      <c r="J8" s="600"/>
      <c r="K8" s="598"/>
      <c r="L8" s="598"/>
      <c r="M8" s="599"/>
      <c r="N8"/>
      <c r="O8"/>
      <c r="Q8" s="184"/>
      <c r="R8" s="184"/>
      <c r="S8" s="184"/>
      <c r="AH8"/>
      <c r="AI8"/>
    </row>
    <row r="9" spans="1:35" s="182" customFormat="1" ht="13.15" x14ac:dyDescent="0.4">
      <c r="B9" s="601"/>
      <c r="C9" s="184"/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AH9"/>
      <c r="AI9"/>
    </row>
    <row r="10" spans="1:35" s="182" customFormat="1" ht="13.15" x14ac:dyDescent="0.4">
      <c r="B10" s="184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6" t="s">
        <v>27709</v>
      </c>
      <c r="O10"/>
      <c r="P10"/>
      <c r="Q10"/>
      <c r="R10"/>
      <c r="S10"/>
      <c r="T10"/>
      <c r="U10"/>
      <c r="V10"/>
      <c r="W10"/>
      <c r="X10"/>
      <c r="Y10"/>
      <c r="Z10"/>
      <c r="AH10"/>
      <c r="AI10"/>
    </row>
    <row r="11" spans="1:35" ht="25.5" x14ac:dyDescent="0.35">
      <c r="B11" s="19" t="s">
        <v>27712</v>
      </c>
      <c r="C11" s="59"/>
      <c r="D11" s="59"/>
      <c r="E11" s="16"/>
      <c r="F11" s="16"/>
      <c r="G11" s="16"/>
      <c r="H11" s="16"/>
      <c r="I11" s="16"/>
      <c r="J11" s="16"/>
      <c r="K11" s="16"/>
      <c r="L11" s="118"/>
      <c r="M11" s="11"/>
      <c r="N11" s="182" t="s">
        <v>27710</v>
      </c>
      <c r="O11" s="182"/>
      <c r="P11" s="8"/>
      <c r="Q11" s="8" t="s">
        <v>27711</v>
      </c>
      <c r="R11" s="182"/>
      <c r="S11" s="182"/>
      <c r="T11" s="182" t="s">
        <v>27680</v>
      </c>
      <c r="U11" s="182"/>
      <c r="V11" s="182"/>
      <c r="W11" t="s">
        <v>28272</v>
      </c>
    </row>
    <row r="12" spans="1:35" x14ac:dyDescent="0.35">
      <c r="B12" s="118"/>
      <c r="E12" s="11" t="s">
        <v>27679</v>
      </c>
      <c r="F12" s="11" t="s">
        <v>27679</v>
      </c>
      <c r="G12" s="11" t="s">
        <v>27679</v>
      </c>
      <c r="H12" s="11" t="s">
        <v>27680</v>
      </c>
      <c r="I12" s="11" t="s">
        <v>27680</v>
      </c>
      <c r="J12" s="11" t="s">
        <v>27680</v>
      </c>
      <c r="K12" s="11"/>
      <c r="L12" s="118"/>
      <c r="M12" s="184"/>
      <c r="N12" s="182" t="s">
        <v>293</v>
      </c>
      <c r="O12" s="182"/>
      <c r="P12" s="182"/>
      <c r="Q12" s="182" t="s">
        <v>293</v>
      </c>
      <c r="R12" s="182"/>
      <c r="S12" s="182"/>
      <c r="T12" s="182" t="s">
        <v>293</v>
      </c>
      <c r="U12" s="182"/>
      <c r="V12" s="182"/>
      <c r="W12" s="182" t="s">
        <v>293</v>
      </c>
      <c r="X12" s="182"/>
      <c r="Y12" s="182"/>
    </row>
    <row r="13" spans="1:35" ht="25.5" x14ac:dyDescent="0.35">
      <c r="B13" s="1284"/>
      <c r="E13" s="182" t="s">
        <v>192</v>
      </c>
      <c r="F13" s="182" t="s">
        <v>193</v>
      </c>
      <c r="G13" t="s">
        <v>194</v>
      </c>
      <c r="H13" s="182" t="s">
        <v>192</v>
      </c>
      <c r="I13" s="182" t="s">
        <v>193</v>
      </c>
      <c r="J13" t="s">
        <v>194</v>
      </c>
      <c r="K13" s="182"/>
      <c r="L13" s="118"/>
      <c r="M13" s="184"/>
      <c r="N13" s="182" t="s">
        <v>192</v>
      </c>
      <c r="O13" s="182" t="s">
        <v>193</v>
      </c>
      <c r="P13" t="s">
        <v>194</v>
      </c>
      <c r="Q13" s="182" t="s">
        <v>192</v>
      </c>
      <c r="R13" s="182" t="s">
        <v>193</v>
      </c>
      <c r="S13" s="182" t="s">
        <v>194</v>
      </c>
      <c r="T13" s="182" t="s">
        <v>192</v>
      </c>
      <c r="U13" s="182" t="s">
        <v>193</v>
      </c>
      <c r="V13" s="182" t="s">
        <v>194</v>
      </c>
      <c r="W13" s="182" t="s">
        <v>192</v>
      </c>
      <c r="X13" s="182" t="s">
        <v>193</v>
      </c>
      <c r="Y13" s="182" t="s">
        <v>194</v>
      </c>
    </row>
    <row r="14" spans="1:35" ht="13.15" x14ac:dyDescent="0.35">
      <c r="B14" s="1284"/>
      <c r="C14" s="7" t="s">
        <v>204</v>
      </c>
      <c r="D14" s="13" t="s">
        <v>205</v>
      </c>
      <c r="E14" s="1715" t="str">
        <f>IF(AND($D$7=1,(TRUNC('1_Full_time'!G84)&lt;&gt;'1_Full_time'!G84)), E$12&amp;", "&amp;E$13&amp;", Standard length"&amp;", Level "&amp;$D14&amp;"; ","")</f>
        <v/>
      </c>
      <c r="F14" s="331" t="str">
        <f>IF(AND($D$7=1,(TRUNC('1_Full_time'!H84)&lt;&gt;'1_Full_time'!H84)), F$12&amp;", "&amp;F$13&amp;", Standard length"&amp;", Level "&amp;$D14&amp;"; ","")</f>
        <v/>
      </c>
      <c r="G14" s="1716" t="str">
        <f>IF(AND($D$7=1,(TRUNC('1_Full_time'!I84)&lt;&gt;'1_Full_time'!I84)), G$12&amp;", "&amp;G$13&amp;", Standard length"&amp;", Level "&amp;$D14&amp;"; ","")</f>
        <v/>
      </c>
      <c r="H14" s="1715" t="str">
        <f>IF(AND($D$7=1,(TRUNC('1_Full_time'!J84)&lt;&gt;'1_Full_time'!J84)), H$12&amp;", "&amp;H$13&amp;", Standard length"&amp;", Level "&amp;$D14&amp;"; ","")</f>
        <v/>
      </c>
      <c r="I14" s="331" t="str">
        <f>IF(AND($D$7=1,(TRUNC('1_Full_time'!K84)&lt;&gt;'1_Full_time'!K84)), I$12&amp;", "&amp;I$13&amp;", Standard length"&amp;", Level "&amp;$D14&amp;"; ","")</f>
        <v/>
      </c>
      <c r="J14" s="1716" t="str">
        <f>IF(AND($D$7=1,(TRUNC('1_Full_time'!L84)&lt;&gt;'1_Full_time'!L84)), J$12&amp;", "&amp;J$13&amp;", Standard length"&amp;", Level "&amp;$D14&amp;"; ","")</f>
        <v/>
      </c>
      <c r="L14" s="118"/>
      <c r="M14" s="2166" t="s">
        <v>203</v>
      </c>
      <c r="N14" s="1714">
        <f t="shared" ref="N14:P18" si="0">IF(OR(E34&lt;&gt;"",E114&lt;&gt;""),1,0)</f>
        <v>0</v>
      </c>
      <c r="O14" s="1689">
        <f t="shared" si="0"/>
        <v>0</v>
      </c>
      <c r="P14" s="1690">
        <f t="shared" si="0"/>
        <v>0</v>
      </c>
      <c r="Q14" s="1713">
        <f>N14</f>
        <v>0</v>
      </c>
      <c r="R14" s="1691">
        <f>O14</f>
        <v>0</v>
      </c>
      <c r="S14" s="1692">
        <f>P14</f>
        <v>0</v>
      </c>
      <c r="T14" s="1714">
        <f t="shared" ref="T14:V18" si="1">IF(OR(H34&lt;&gt;"",H114&lt;&gt;""),1,0)</f>
        <v>0</v>
      </c>
      <c r="U14" s="1689">
        <f t="shared" si="1"/>
        <v>0</v>
      </c>
      <c r="V14" s="1690">
        <f t="shared" si="1"/>
        <v>0</v>
      </c>
      <c r="W14" s="1713">
        <f>IF(OR(N14=1,T14=1),1,0)</f>
        <v>0</v>
      </c>
      <c r="X14" s="1691">
        <f t="shared" ref="X14:Y14" si="2">IF(OR(O14=1,U14=1),1,0)</f>
        <v>0</v>
      </c>
      <c r="Y14" s="1692">
        <f t="shared" si="2"/>
        <v>0</v>
      </c>
    </row>
    <row r="15" spans="1:35" ht="13.15" x14ac:dyDescent="0.35">
      <c r="B15" s="1284"/>
      <c r="C15" s="7"/>
      <c r="D15" s="13" t="s">
        <v>208</v>
      </c>
      <c r="E15" s="1610" t="str">
        <f>IF(AND($D$7=1,(TRUNC('1_Full_time'!G85)&lt;&gt;'1_Full_time'!G85)), E$12&amp;", "&amp;E$13&amp;", Standard length"&amp;", Level "&amp;$D15&amp;"; ","")</f>
        <v/>
      </c>
      <c r="F15" s="11" t="str">
        <f>IF(AND($D$7=1,(TRUNC('1_Full_time'!H85)&lt;&gt;'1_Full_time'!H85)), F$12&amp;", "&amp;F$13&amp;", Standard length"&amp;", Level "&amp;$D15&amp;"; ","")</f>
        <v/>
      </c>
      <c r="G15" s="54" t="str">
        <f>IF(AND($D$7=1,(TRUNC('1_Full_time'!I85)&lt;&gt;'1_Full_time'!I85)), G$12&amp;", "&amp;G$13&amp;", Standard length"&amp;", Level "&amp;$D15&amp;"; ","")</f>
        <v/>
      </c>
      <c r="H15" s="1610" t="str">
        <f>IF(AND($D$7=1,(TRUNC('1_Full_time'!J85)&lt;&gt;'1_Full_time'!J85)), H$12&amp;", "&amp;H$13&amp;", Standard length"&amp;", Level "&amp;$D15&amp;"; ","")</f>
        <v/>
      </c>
      <c r="I15" s="11" t="str">
        <f>IF(AND($D$7=1,(TRUNC('1_Full_time'!K85)&lt;&gt;'1_Full_time'!K85)), I$12&amp;", "&amp;I$13&amp;", Standard length"&amp;", Level "&amp;$D15&amp;"; ","")</f>
        <v/>
      </c>
      <c r="J15" s="54" t="str">
        <f>IF(AND($D$7=1,(TRUNC('1_Full_time'!L85)&lt;&gt;'1_Full_time'!L85)), J$12&amp;", "&amp;J$13&amp;", Standard length"&amp;", Level "&amp;$D15&amp;"; ","")</f>
        <v/>
      </c>
      <c r="L15" s="118"/>
      <c r="M15" s="30" t="s">
        <v>203</v>
      </c>
      <c r="N15" s="653">
        <f t="shared" si="0"/>
        <v>0</v>
      </c>
      <c r="O15" s="471">
        <f t="shared" si="0"/>
        <v>0</v>
      </c>
      <c r="P15" s="469">
        <f t="shared" si="0"/>
        <v>0</v>
      </c>
      <c r="Q15" s="654">
        <f t="shared" ref="Q15:Q78" si="3">N15</f>
        <v>0</v>
      </c>
      <c r="R15" s="472">
        <f t="shared" ref="R15:R78" si="4">O15</f>
        <v>0</v>
      </c>
      <c r="S15" s="655">
        <f t="shared" ref="S15:S78" si="5">P15</f>
        <v>0</v>
      </c>
      <c r="T15" s="653">
        <f t="shared" si="1"/>
        <v>0</v>
      </c>
      <c r="U15" s="471">
        <f t="shared" si="1"/>
        <v>0</v>
      </c>
      <c r="V15" s="656">
        <f t="shared" si="1"/>
        <v>0</v>
      </c>
      <c r="W15" s="654">
        <f t="shared" ref="W15:W78" si="6">IF(OR(N15=1,T15=1),1,0)</f>
        <v>0</v>
      </c>
      <c r="X15" s="472">
        <f t="shared" ref="X15:X78" si="7">IF(OR(O15=1,U15=1),1,0)</f>
        <v>0</v>
      </c>
      <c r="Y15" s="655">
        <f t="shared" ref="Y15:Y78" si="8">IF(OR(P15=1,V15=1),1,0)</f>
        <v>0</v>
      </c>
    </row>
    <row r="16" spans="1:35" ht="13.15" x14ac:dyDescent="0.35">
      <c r="B16" s="1284"/>
      <c r="C16" s="7"/>
      <c r="D16" s="13" t="s">
        <v>210</v>
      </c>
      <c r="E16" s="1610" t="str">
        <f>IF(AND($D$7=1,(TRUNC('1_Full_time'!G86)&lt;&gt;'1_Full_time'!G86)), E$12&amp;", "&amp;E$13&amp;", Standard length"&amp;", Level "&amp;$D16&amp;"; ","")</f>
        <v/>
      </c>
      <c r="F16" s="11" t="str">
        <f>IF(AND($D$7=1,(TRUNC('1_Full_time'!H86)&lt;&gt;'1_Full_time'!H86)), F$12&amp;", "&amp;F$13&amp;", Standard length"&amp;", Level "&amp;$D16&amp;"; ","")</f>
        <v/>
      </c>
      <c r="G16" s="54" t="str">
        <f>IF(AND($D$7=1,(TRUNC('1_Full_time'!I86)&lt;&gt;'1_Full_time'!I86)), G$12&amp;", "&amp;G$13&amp;", Standard length"&amp;", Level "&amp;$D16&amp;"; ","")</f>
        <v/>
      </c>
      <c r="H16" s="1610" t="str">
        <f>IF(AND($D$7=1,(TRUNC('1_Full_time'!J86)&lt;&gt;'1_Full_time'!J86)), H$12&amp;", "&amp;H$13&amp;", Standard length"&amp;", Level "&amp;$D16&amp;"; ","")</f>
        <v/>
      </c>
      <c r="I16" s="11" t="str">
        <f>IF(AND($D$7=1,(TRUNC('1_Full_time'!K86)&lt;&gt;'1_Full_time'!K86)), I$12&amp;", "&amp;I$13&amp;", Standard length"&amp;", Level "&amp;$D16&amp;"; ","")</f>
        <v/>
      </c>
      <c r="J16" s="54" t="str">
        <f>IF(AND($D$7=1,(TRUNC('1_Full_time'!L86)&lt;&gt;'1_Full_time'!L86)), J$12&amp;", "&amp;J$13&amp;", Standard length"&amp;", Level "&amp;$D16&amp;"; ","")</f>
        <v/>
      </c>
      <c r="L16" s="118"/>
      <c r="M16" s="30" t="s">
        <v>203</v>
      </c>
      <c r="N16" s="653">
        <f t="shared" si="0"/>
        <v>0</v>
      </c>
      <c r="O16" s="471">
        <f t="shared" si="0"/>
        <v>0</v>
      </c>
      <c r="P16" s="469">
        <f t="shared" si="0"/>
        <v>0</v>
      </c>
      <c r="Q16" s="654">
        <f t="shared" ref="Q16" si="9">N16</f>
        <v>0</v>
      </c>
      <c r="R16" s="472">
        <f t="shared" ref="R16" si="10">O16</f>
        <v>0</v>
      </c>
      <c r="S16" s="655">
        <f t="shared" ref="S16" si="11">P16</f>
        <v>0</v>
      </c>
      <c r="T16" s="653">
        <f t="shared" si="1"/>
        <v>0</v>
      </c>
      <c r="U16" s="471">
        <f t="shared" si="1"/>
        <v>0</v>
      </c>
      <c r="V16" s="656">
        <f t="shared" si="1"/>
        <v>0</v>
      </c>
      <c r="W16" s="654">
        <f t="shared" si="6"/>
        <v>0</v>
      </c>
      <c r="X16" s="472">
        <f t="shared" si="7"/>
        <v>0</v>
      </c>
      <c r="Y16" s="655">
        <f t="shared" si="8"/>
        <v>0</v>
      </c>
    </row>
    <row r="17" spans="2:25" ht="13.15" x14ac:dyDescent="0.35">
      <c r="B17" s="1284"/>
      <c r="C17" s="7"/>
      <c r="D17" s="13" t="s">
        <v>212</v>
      </c>
      <c r="E17" s="1610" t="str">
        <f>IF(AND($D$7=1,(TRUNC('1_Full_time'!G87)&lt;&gt;'1_Full_time'!G87)), E$12&amp;", "&amp;E$13&amp;", Standard length"&amp;", Level "&amp;$D17&amp;"; ","")</f>
        <v/>
      </c>
      <c r="F17" s="11" t="str">
        <f>IF(AND($D$7=1,(TRUNC('1_Full_time'!H87)&lt;&gt;'1_Full_time'!H87)), F$12&amp;", "&amp;F$13&amp;", Standard length"&amp;", Level "&amp;$D17&amp;"; ","")</f>
        <v/>
      </c>
      <c r="G17" s="54" t="str">
        <f>IF(AND($D$7=1,(TRUNC('1_Full_time'!I87)&lt;&gt;'1_Full_time'!I87)), G$12&amp;", "&amp;G$13&amp;", Standard length"&amp;", Level "&amp;$D17&amp;"; ","")</f>
        <v/>
      </c>
      <c r="H17" s="1610" t="str">
        <f>IF(AND($D$7=1,(TRUNC('1_Full_time'!J87)&lt;&gt;'1_Full_time'!J87)), H$12&amp;", "&amp;H$13&amp;", Standard length"&amp;", Level "&amp;$D17&amp;"; ","")</f>
        <v/>
      </c>
      <c r="I17" s="11" t="str">
        <f>IF(AND($D$7=1,(TRUNC('1_Full_time'!K87)&lt;&gt;'1_Full_time'!K87)), I$12&amp;", "&amp;I$13&amp;", Standard length"&amp;", Level "&amp;$D17&amp;"; ","")</f>
        <v/>
      </c>
      <c r="J17" s="54" t="str">
        <f>IF(AND($D$7=1,(TRUNC('1_Full_time'!L87)&lt;&gt;'1_Full_time'!L87)), J$12&amp;", "&amp;J$13&amp;", Standard length"&amp;", Level "&amp;$D17&amp;"; ","")</f>
        <v/>
      </c>
      <c r="L17" s="118"/>
      <c r="M17" s="30" t="s">
        <v>203</v>
      </c>
      <c r="N17" s="378">
        <f t="shared" si="0"/>
        <v>0</v>
      </c>
      <c r="O17" s="379">
        <f t="shared" si="0"/>
        <v>0</v>
      </c>
      <c r="P17" s="380">
        <f t="shared" si="0"/>
        <v>0</v>
      </c>
      <c r="Q17" s="391">
        <f t="shared" si="3"/>
        <v>0</v>
      </c>
      <c r="R17" s="392">
        <f t="shared" si="4"/>
        <v>0</v>
      </c>
      <c r="S17" s="393">
        <f t="shared" si="5"/>
        <v>0</v>
      </c>
      <c r="T17" s="378">
        <f t="shared" si="1"/>
        <v>0</v>
      </c>
      <c r="U17" s="379">
        <f t="shared" si="1"/>
        <v>0</v>
      </c>
      <c r="V17" s="380">
        <f t="shared" si="1"/>
        <v>0</v>
      </c>
      <c r="W17" s="391">
        <f t="shared" si="6"/>
        <v>0</v>
      </c>
      <c r="X17" s="392">
        <f t="shared" si="7"/>
        <v>0</v>
      </c>
      <c r="Y17" s="393">
        <f t="shared" si="8"/>
        <v>0</v>
      </c>
    </row>
    <row r="18" spans="2:25" ht="13.15" x14ac:dyDescent="0.35">
      <c r="B18" s="1284"/>
      <c r="C18" s="7"/>
      <c r="D18" s="13" t="s">
        <v>214</v>
      </c>
      <c r="E18" s="1610" t="str">
        <f>IF(AND($D$7=1,(TRUNC('1_Full_time'!G88)&lt;&gt;'1_Full_time'!G88)), E$12&amp;", "&amp;E$13&amp;", Standard length"&amp;", Level "&amp;$D18&amp;"; ","")</f>
        <v/>
      </c>
      <c r="F18" s="11" t="str">
        <f>IF(AND($D$7=1,(TRUNC('1_Full_time'!H88)&lt;&gt;'1_Full_time'!H88)), F$12&amp;", "&amp;F$13&amp;", Standard length"&amp;", Level "&amp;$D18&amp;"; ","")</f>
        <v/>
      </c>
      <c r="G18" s="54" t="str">
        <f>IF(AND($D$7=1,(TRUNC('1_Full_time'!I88)&lt;&gt;'1_Full_time'!I88)), G$12&amp;", "&amp;G$13&amp;", Standard length"&amp;", Level "&amp;$D18&amp;"; ","")</f>
        <v/>
      </c>
      <c r="H18" s="1610" t="str">
        <f>IF(AND($D$7=1,(TRUNC('1_Full_time'!J88)&lt;&gt;'1_Full_time'!J88)), H$12&amp;", "&amp;H$13&amp;", Standard length"&amp;", Level "&amp;$D18&amp;"; ","")</f>
        <v/>
      </c>
      <c r="I18" s="11" t="str">
        <f>IF(AND($D$7=1,(TRUNC('1_Full_time'!K88)&lt;&gt;'1_Full_time'!K88)), I$12&amp;", "&amp;I$13&amp;", Standard length"&amp;", Level "&amp;$D18&amp;"; ","")</f>
        <v/>
      </c>
      <c r="J18" s="54" t="str">
        <f>IF(AND($D$7=1,(TRUNC('1_Full_time'!L88)&lt;&gt;'1_Full_time'!L88)), J$12&amp;", "&amp;J$13&amp;", Standard length"&amp;", Level "&amp;$D18&amp;"; ","")</f>
        <v/>
      </c>
      <c r="L18" s="118"/>
      <c r="M18" s="30" t="s">
        <v>203</v>
      </c>
      <c r="N18" s="381">
        <f t="shared" si="0"/>
        <v>0</v>
      </c>
      <c r="O18" s="382">
        <f t="shared" si="0"/>
        <v>0</v>
      </c>
      <c r="P18" s="383">
        <f t="shared" si="0"/>
        <v>0</v>
      </c>
      <c r="Q18" s="394">
        <f t="shared" si="3"/>
        <v>0</v>
      </c>
      <c r="R18" s="395">
        <f t="shared" si="4"/>
        <v>0</v>
      </c>
      <c r="S18" s="396">
        <f t="shared" si="5"/>
        <v>0</v>
      </c>
      <c r="T18" s="381">
        <f t="shared" si="1"/>
        <v>0</v>
      </c>
      <c r="U18" s="382">
        <f t="shared" si="1"/>
        <v>0</v>
      </c>
      <c r="V18" s="383">
        <f t="shared" si="1"/>
        <v>0</v>
      </c>
      <c r="W18" s="394">
        <f t="shared" si="6"/>
        <v>0</v>
      </c>
      <c r="X18" s="395">
        <f t="shared" si="7"/>
        <v>0</v>
      </c>
      <c r="Y18" s="396">
        <f t="shared" si="8"/>
        <v>0</v>
      </c>
    </row>
    <row r="19" spans="2:25" ht="13.15" x14ac:dyDescent="0.35">
      <c r="B19" s="118"/>
      <c r="D19" s="13" t="s">
        <v>216</v>
      </c>
      <c r="E19" s="1448"/>
      <c r="F19" s="1387" t="str">
        <f>IF(AND($D$7=1,(TRUNC('1_Full_time'!H89)&lt;&gt;'1_Full_time'!H89)), F$12&amp;", "&amp;F$13&amp;", Standard length"&amp;", Level "&amp;$D19&amp;"; ","")</f>
        <v/>
      </c>
      <c r="G19" s="1421" t="str">
        <f>IF(AND($D$7=1,(TRUNC('1_Full_time'!I89)&lt;&gt;'1_Full_time'!I89)), G$12&amp;", "&amp;G$13&amp;", Standard length"&amp;", Level "&amp;$D19&amp;"; ","")</f>
        <v/>
      </c>
      <c r="H19" s="1448"/>
      <c r="I19" s="1387" t="str">
        <f>IF(AND($D$7=1,(TRUNC('1_Full_time'!K89)&lt;&gt;'1_Full_time'!K89)), I$12&amp;", "&amp;I$13&amp;", Standard length"&amp;", Level "&amp;$D19&amp;"; ","")</f>
        <v/>
      </c>
      <c r="J19" s="1421" t="str">
        <f>IF(AND($D$7=1,(TRUNC('1_Full_time'!L89)&lt;&gt;'1_Full_time'!L89)), J$12&amp;", "&amp;J$13&amp;", Standard length"&amp;", Level "&amp;$D19&amp;"; ","")</f>
        <v/>
      </c>
      <c r="L19" s="118"/>
      <c r="M19" s="30" t="s">
        <v>203</v>
      </c>
      <c r="N19" s="384"/>
      <c r="O19" s="379">
        <f t="shared" ref="O19:O50" si="12">IF(OR(F39&lt;&gt;"",F119&lt;&gt;""),1,0)</f>
        <v>0</v>
      </c>
      <c r="P19" s="380">
        <f t="shared" ref="P19:P50" si="13">IF(OR(G39&lt;&gt;"",G119&lt;&gt;""),1,0)</f>
        <v>0</v>
      </c>
      <c r="Q19" s="384"/>
      <c r="R19" s="392">
        <f t="shared" si="4"/>
        <v>0</v>
      </c>
      <c r="S19" s="393">
        <f t="shared" si="5"/>
        <v>0</v>
      </c>
      <c r="T19" s="384"/>
      <c r="U19" s="379">
        <f t="shared" ref="U19:U50" si="14">IF(OR(I39&lt;&gt;"",I119&lt;&gt;""),1,0)</f>
        <v>0</v>
      </c>
      <c r="V19" s="380">
        <f t="shared" ref="V19:V50" si="15">IF(OR(J39&lt;&gt;"",J119&lt;&gt;""),1,0)</f>
        <v>0</v>
      </c>
      <c r="W19" s="384"/>
      <c r="X19" s="392">
        <f t="shared" si="7"/>
        <v>0</v>
      </c>
      <c r="Y19" s="393">
        <f t="shared" si="8"/>
        <v>0</v>
      </c>
    </row>
    <row r="20" spans="2:25" ht="13.15" x14ac:dyDescent="0.35">
      <c r="B20" s="1284"/>
      <c r="C20" s="7" t="s">
        <v>218</v>
      </c>
      <c r="D20" s="13" t="s">
        <v>205</v>
      </c>
      <c r="E20" s="1610" t="str">
        <f>IF(AND($D$7=1,(TRUNC('1_Full_time'!G90)&lt;&gt;'1_Full_time'!G90)), E$12&amp;", "&amp;E$13&amp;", Long length"&amp;", Level "&amp;$D20&amp;"; ","")</f>
        <v/>
      </c>
      <c r="F20" s="11" t="str">
        <f>IF(AND($D$7=1,(TRUNC('1_Full_time'!H90)&lt;&gt;'1_Full_time'!H90)), F$12&amp;", "&amp;F$13&amp;", Long length"&amp;", Level "&amp;$D20&amp;"; ","")</f>
        <v/>
      </c>
      <c r="G20" s="54" t="str">
        <f>IF(AND($D$7=1,(TRUNC('1_Full_time'!I90)&lt;&gt;'1_Full_time'!I90)), G$12&amp;", "&amp;G$13&amp;", Long length"&amp;", Level "&amp;$D20&amp;"; ","")</f>
        <v/>
      </c>
      <c r="H20" s="1610" t="str">
        <f>IF(AND($D$7=1,(TRUNC('1_Full_time'!J90)&lt;&gt;'1_Full_time'!J90)), H$12&amp;", "&amp;H$13&amp;", Long length"&amp;", Level "&amp;$D20&amp;"; ","")</f>
        <v/>
      </c>
      <c r="I20" s="11" t="str">
        <f>IF(AND($D$7=1,(TRUNC('1_Full_time'!K90)&lt;&gt;'1_Full_time'!K90)), I$12&amp;", "&amp;I$13&amp;", Long length"&amp;", Level "&amp;$D20&amp;"; ","")</f>
        <v/>
      </c>
      <c r="J20" s="54" t="str">
        <f>IF(AND($D$7=1,(TRUNC('1_Full_time'!L90)&lt;&gt;'1_Full_time'!L90)), J$12&amp;", "&amp;J$13&amp;", Long length"&amp;", Level "&amp;$D20&amp;"; ","")</f>
        <v/>
      </c>
      <c r="L20" s="118"/>
      <c r="M20" s="30" t="s">
        <v>203</v>
      </c>
      <c r="N20" s="385">
        <f>IF(OR(E40&lt;&gt;"",E120&lt;&gt;""),1,0)</f>
        <v>0</v>
      </c>
      <c r="O20" s="386">
        <f t="shared" si="12"/>
        <v>0</v>
      </c>
      <c r="P20" s="387">
        <f t="shared" si="13"/>
        <v>0</v>
      </c>
      <c r="Q20" s="397">
        <f t="shared" si="3"/>
        <v>0</v>
      </c>
      <c r="R20" s="398">
        <f t="shared" si="4"/>
        <v>0</v>
      </c>
      <c r="S20" s="399">
        <f t="shared" si="5"/>
        <v>0</v>
      </c>
      <c r="T20" s="385">
        <f>IF(OR(H40&lt;&gt;"",H120&lt;&gt;""),1,0)</f>
        <v>0</v>
      </c>
      <c r="U20" s="386">
        <f t="shared" si="14"/>
        <v>0</v>
      </c>
      <c r="V20" s="387">
        <f t="shared" si="15"/>
        <v>0</v>
      </c>
      <c r="W20" s="397">
        <f t="shared" si="6"/>
        <v>0</v>
      </c>
      <c r="X20" s="398">
        <f t="shared" si="7"/>
        <v>0</v>
      </c>
      <c r="Y20" s="399">
        <f t="shared" si="8"/>
        <v>0</v>
      </c>
    </row>
    <row r="21" spans="2:25" ht="13.15" x14ac:dyDescent="0.35">
      <c r="B21" s="1284"/>
      <c r="C21" s="7"/>
      <c r="D21" s="13" t="s">
        <v>208</v>
      </c>
      <c r="E21" s="1610" t="str">
        <f>IF(AND($D$7=1,(TRUNC('1_Full_time'!G91)&lt;&gt;'1_Full_time'!G91)), E$12&amp;", "&amp;E$13&amp;", Long length"&amp;", Level "&amp;$D21&amp;"; ","")</f>
        <v/>
      </c>
      <c r="F21" s="11" t="str">
        <f>IF(AND($D$7=1,(TRUNC('1_Full_time'!H91)&lt;&gt;'1_Full_time'!H91)), F$12&amp;", "&amp;F$13&amp;", Long length"&amp;", Level "&amp;$D21&amp;"; ","")</f>
        <v/>
      </c>
      <c r="G21" s="54" t="str">
        <f>IF(AND($D$7=1,(TRUNC('1_Full_time'!I91)&lt;&gt;'1_Full_time'!I91)), G$12&amp;", "&amp;G$13&amp;", Long length"&amp;", Level "&amp;$D21&amp;"; ","")</f>
        <v/>
      </c>
      <c r="H21" s="1610" t="str">
        <f>IF(AND($D$7=1,(TRUNC('1_Full_time'!J91)&lt;&gt;'1_Full_time'!J91)), H$12&amp;", "&amp;H$13&amp;", Long length"&amp;", Level "&amp;$D21&amp;"; ","")</f>
        <v/>
      </c>
      <c r="I21" s="11" t="str">
        <f>IF(AND($D$7=1,(TRUNC('1_Full_time'!K91)&lt;&gt;'1_Full_time'!K91)), I$12&amp;", "&amp;I$13&amp;", Long length"&amp;", Level "&amp;$D21&amp;"; ","")</f>
        <v/>
      </c>
      <c r="J21" s="54" t="str">
        <f>IF(AND($D$7=1,(TRUNC('1_Full_time'!L91)&lt;&gt;'1_Full_time'!L91)), J$12&amp;", "&amp;J$13&amp;", Long length"&amp;", Level "&amp;$D21&amp;"; ","")</f>
        <v/>
      </c>
      <c r="L21" s="118"/>
      <c r="M21" s="30" t="s">
        <v>203</v>
      </c>
      <c r="N21" s="378">
        <f>IF(OR(E41&lt;&gt;"",E121&lt;&gt;""),1,0)</f>
        <v>0</v>
      </c>
      <c r="O21" s="379">
        <f t="shared" si="12"/>
        <v>0</v>
      </c>
      <c r="P21" s="380">
        <f t="shared" si="13"/>
        <v>0</v>
      </c>
      <c r="Q21" s="391">
        <f t="shared" si="3"/>
        <v>0</v>
      </c>
      <c r="R21" s="392">
        <f t="shared" si="4"/>
        <v>0</v>
      </c>
      <c r="S21" s="393">
        <f t="shared" si="5"/>
        <v>0</v>
      </c>
      <c r="T21" s="378">
        <f>IF(OR(H41&lt;&gt;"",H121&lt;&gt;""),1,0)</f>
        <v>0</v>
      </c>
      <c r="U21" s="379">
        <f t="shared" si="14"/>
        <v>0</v>
      </c>
      <c r="V21" s="380">
        <f t="shared" si="15"/>
        <v>0</v>
      </c>
      <c r="W21" s="391">
        <f t="shared" si="6"/>
        <v>0</v>
      </c>
      <c r="X21" s="392">
        <f t="shared" si="7"/>
        <v>0</v>
      </c>
      <c r="Y21" s="393">
        <f t="shared" si="8"/>
        <v>0</v>
      </c>
    </row>
    <row r="22" spans="2:25" ht="13.15" x14ac:dyDescent="0.35">
      <c r="B22" s="1284"/>
      <c r="C22" s="7"/>
      <c r="D22" s="13" t="s">
        <v>210</v>
      </c>
      <c r="E22" s="1610" t="str">
        <f>IF(AND($D$7=1,(TRUNC('1_Full_time'!G92)&lt;&gt;'1_Full_time'!G92)), E$12&amp;", "&amp;E$13&amp;", Long length"&amp;", Level "&amp;$D22&amp;"; ","")</f>
        <v/>
      </c>
      <c r="F22" s="11" t="str">
        <f>IF(AND($D$7=1,(TRUNC('1_Full_time'!H92)&lt;&gt;'1_Full_time'!H92)), F$12&amp;", "&amp;F$13&amp;", Long length"&amp;", Level "&amp;$D22&amp;"; ","")</f>
        <v/>
      </c>
      <c r="G22" s="54" t="str">
        <f>IF(AND($D$7=1,(TRUNC('1_Full_time'!I92)&lt;&gt;'1_Full_time'!I92)), G$12&amp;", "&amp;G$13&amp;", Long length"&amp;", Level "&amp;$D22&amp;"; ","")</f>
        <v/>
      </c>
      <c r="H22" s="1610" t="str">
        <f>IF(AND($D$7=1,(TRUNC('1_Full_time'!J92)&lt;&gt;'1_Full_time'!J92)), H$12&amp;", "&amp;H$13&amp;", Long length"&amp;", Level "&amp;$D22&amp;"; ","")</f>
        <v/>
      </c>
      <c r="I22" s="11" t="str">
        <f>IF(AND($D$7=1,(TRUNC('1_Full_time'!K92)&lt;&gt;'1_Full_time'!K92)), I$12&amp;", "&amp;I$13&amp;", Long length"&amp;", Level "&amp;$D22&amp;"; ","")</f>
        <v/>
      </c>
      <c r="J22" s="54" t="str">
        <f>IF(AND($D$7=1,(TRUNC('1_Full_time'!L92)&lt;&gt;'1_Full_time'!L92)), J$12&amp;", "&amp;J$13&amp;", Long length"&amp;", Level "&amp;$D22&amp;"; ","")</f>
        <v/>
      </c>
      <c r="L22" s="118"/>
      <c r="M22" s="30" t="s">
        <v>203</v>
      </c>
      <c r="N22" s="378">
        <f>IF(OR(E42&lt;&gt;"",E122&lt;&gt;""),1,0)</f>
        <v>0</v>
      </c>
      <c r="O22" s="379">
        <f t="shared" si="12"/>
        <v>0</v>
      </c>
      <c r="P22" s="380">
        <f t="shared" si="13"/>
        <v>0</v>
      </c>
      <c r="Q22" s="391">
        <f t="shared" ref="Q22" si="16">N22</f>
        <v>0</v>
      </c>
      <c r="R22" s="392">
        <f t="shared" ref="R22" si="17">O22</f>
        <v>0</v>
      </c>
      <c r="S22" s="393">
        <f t="shared" ref="S22" si="18">P22</f>
        <v>0</v>
      </c>
      <c r="T22" s="378">
        <f>IF(OR(H42&lt;&gt;"",H122&lt;&gt;""),1,0)</f>
        <v>0</v>
      </c>
      <c r="U22" s="379">
        <f t="shared" si="14"/>
        <v>0</v>
      </c>
      <c r="V22" s="380">
        <f t="shared" si="15"/>
        <v>0</v>
      </c>
      <c r="W22" s="391">
        <f t="shared" si="6"/>
        <v>0</v>
      </c>
      <c r="X22" s="392">
        <f t="shared" si="7"/>
        <v>0</v>
      </c>
      <c r="Y22" s="393">
        <f t="shared" si="8"/>
        <v>0</v>
      </c>
    </row>
    <row r="23" spans="2:25" ht="13.15" x14ac:dyDescent="0.35">
      <c r="B23" s="1284"/>
      <c r="C23" s="7"/>
      <c r="D23" s="13" t="s">
        <v>212</v>
      </c>
      <c r="E23" s="1610" t="str">
        <f>IF(AND($D$7=1,(TRUNC('1_Full_time'!G93)&lt;&gt;'1_Full_time'!G93)), E$12&amp;", "&amp;E$13&amp;", Long length"&amp;", Level "&amp;$D23&amp;"; ","")</f>
        <v/>
      </c>
      <c r="F23" s="11" t="str">
        <f>IF(AND($D$7=1,(TRUNC('1_Full_time'!H93)&lt;&gt;'1_Full_time'!H93)), F$12&amp;", "&amp;F$13&amp;", Long length"&amp;", Level "&amp;$D23&amp;"; ","")</f>
        <v/>
      </c>
      <c r="G23" s="54" t="str">
        <f>IF(AND($D$7=1,(TRUNC('1_Full_time'!I93)&lt;&gt;'1_Full_time'!I93)), G$12&amp;", "&amp;G$13&amp;", Long length"&amp;", Level "&amp;$D23&amp;"; ","")</f>
        <v/>
      </c>
      <c r="H23" s="1610" t="str">
        <f>IF(AND($D$7=1,(TRUNC('1_Full_time'!J93)&lt;&gt;'1_Full_time'!J93)), H$12&amp;", "&amp;H$13&amp;", Long length"&amp;", Level "&amp;$D23&amp;"; ","")</f>
        <v/>
      </c>
      <c r="I23" s="11" t="str">
        <f>IF(AND($D$7=1,(TRUNC('1_Full_time'!K93)&lt;&gt;'1_Full_time'!K93)), I$12&amp;", "&amp;I$13&amp;", Long length"&amp;", Level "&amp;$D23&amp;"; ","")</f>
        <v/>
      </c>
      <c r="J23" s="54" t="str">
        <f>IF(AND($D$7=1,(TRUNC('1_Full_time'!L93)&lt;&gt;'1_Full_time'!L93)), J$12&amp;", "&amp;J$13&amp;", Long length"&amp;", Level "&amp;$D23&amp;"; ","")</f>
        <v/>
      </c>
      <c r="L23" s="118"/>
      <c r="M23" s="30" t="s">
        <v>203</v>
      </c>
      <c r="N23" s="378">
        <f>IF(OR(E43&lt;&gt;"",E123&lt;&gt;""),1,0)</f>
        <v>0</v>
      </c>
      <c r="O23" s="379">
        <f t="shared" si="12"/>
        <v>0</v>
      </c>
      <c r="P23" s="380">
        <f t="shared" si="13"/>
        <v>0</v>
      </c>
      <c r="Q23" s="391">
        <f t="shared" si="3"/>
        <v>0</v>
      </c>
      <c r="R23" s="392">
        <f t="shared" si="4"/>
        <v>0</v>
      </c>
      <c r="S23" s="393">
        <f t="shared" si="5"/>
        <v>0</v>
      </c>
      <c r="T23" s="378">
        <f>IF(OR(H43&lt;&gt;"",H123&lt;&gt;""),1,0)</f>
        <v>0</v>
      </c>
      <c r="U23" s="379">
        <f t="shared" si="14"/>
        <v>0</v>
      </c>
      <c r="V23" s="380">
        <f t="shared" si="15"/>
        <v>0</v>
      </c>
      <c r="W23" s="391">
        <f t="shared" si="6"/>
        <v>0</v>
      </c>
      <c r="X23" s="392">
        <f t="shared" si="7"/>
        <v>0</v>
      </c>
      <c r="Y23" s="393">
        <f t="shared" si="8"/>
        <v>0</v>
      </c>
    </row>
    <row r="24" spans="2:25" ht="13.5" x14ac:dyDescent="0.4">
      <c r="B24" s="1422"/>
      <c r="C24" s="7"/>
      <c r="D24" s="13" t="s">
        <v>214</v>
      </c>
      <c r="E24" s="1610" t="str">
        <f>IF(AND($D$7=1,(TRUNC('1_Full_time'!G94)&lt;&gt;'1_Full_time'!G94)), E$12&amp;", "&amp;E$13&amp;", Long length"&amp;", Level "&amp;$D24&amp;"; ","")</f>
        <v/>
      </c>
      <c r="F24" s="11" t="str">
        <f>IF(AND($D$7=1,(TRUNC('1_Full_time'!H94)&lt;&gt;'1_Full_time'!H94)), F$12&amp;", "&amp;F$13&amp;", Long length"&amp;", Level "&amp;$D24&amp;"; ","")</f>
        <v/>
      </c>
      <c r="G24" s="54" t="str">
        <f>IF(AND($D$7=1,(TRUNC('1_Full_time'!I94)&lt;&gt;'1_Full_time'!I94)), G$12&amp;", "&amp;G$13&amp;", Long length"&amp;", Level "&amp;$D24&amp;"; ","")</f>
        <v/>
      </c>
      <c r="H24" s="1610" t="str">
        <f>IF(AND($D$7=1,(TRUNC('1_Full_time'!J94)&lt;&gt;'1_Full_time'!J94)), H$12&amp;", "&amp;H$13&amp;", Long length"&amp;", Level "&amp;$D24&amp;"; ","")</f>
        <v/>
      </c>
      <c r="I24" s="11" t="str">
        <f>IF(AND($D$7=1,(TRUNC('1_Full_time'!K94)&lt;&gt;'1_Full_time'!K94)), I$12&amp;", "&amp;I$13&amp;", Long length"&amp;", Level "&amp;$D24&amp;"; ","")</f>
        <v/>
      </c>
      <c r="J24" s="54" t="str">
        <f>IF(AND($D$7=1,(TRUNC('1_Full_time'!L94)&lt;&gt;'1_Full_time'!L94)), J$12&amp;", "&amp;J$13&amp;", Long length"&amp;", Level "&amp;$D24&amp;"; ","")</f>
        <v/>
      </c>
      <c r="L24" s="118"/>
      <c r="M24" s="30" t="s">
        <v>203</v>
      </c>
      <c r="N24" s="378">
        <f>IF(OR(E44&lt;&gt;"",E124&lt;&gt;""),1,0)</f>
        <v>0</v>
      </c>
      <c r="O24" s="379">
        <f t="shared" si="12"/>
        <v>0</v>
      </c>
      <c r="P24" s="380">
        <f t="shared" si="13"/>
        <v>0</v>
      </c>
      <c r="Q24" s="391">
        <f t="shared" si="3"/>
        <v>0</v>
      </c>
      <c r="R24" s="392">
        <f t="shared" si="4"/>
        <v>0</v>
      </c>
      <c r="S24" s="393">
        <f t="shared" si="5"/>
        <v>0</v>
      </c>
      <c r="T24" s="378">
        <f>IF(OR(H44&lt;&gt;"",H124&lt;&gt;""),1,0)</f>
        <v>0</v>
      </c>
      <c r="U24" s="379">
        <f t="shared" si="14"/>
        <v>0</v>
      </c>
      <c r="V24" s="380">
        <f t="shared" si="15"/>
        <v>0</v>
      </c>
      <c r="W24" s="391">
        <f t="shared" si="6"/>
        <v>0</v>
      </c>
      <c r="X24" s="392">
        <f t="shared" si="7"/>
        <v>0</v>
      </c>
      <c r="Y24" s="393">
        <f t="shared" si="8"/>
        <v>0</v>
      </c>
    </row>
    <row r="25" spans="2:25" ht="13.5" x14ac:dyDescent="0.4">
      <c r="B25" s="1422"/>
      <c r="C25" s="7"/>
      <c r="D25" s="13" t="s">
        <v>216</v>
      </c>
      <c r="E25" s="1452"/>
      <c r="F25" s="42" t="str">
        <f>IF(AND($D$7=1,(TRUNC('1_Full_time'!H95)&lt;&gt;'1_Full_time'!H95)), F$12&amp;", "&amp;F$13&amp;", Long length"&amp;", Level "&amp;$D25&amp;"; ","")</f>
        <v/>
      </c>
      <c r="G25" s="56" t="str">
        <f>IF(AND($D$7=1,(TRUNC('1_Full_time'!I95)&lt;&gt;'1_Full_time'!I95)), G$12&amp;", "&amp;G$13&amp;", Long length"&amp;", Level "&amp;$D25&amp;"; ","")</f>
        <v/>
      </c>
      <c r="H25" s="1452"/>
      <c r="I25" s="42" t="str">
        <f>IF(AND($D$7=1,(TRUNC('1_Full_time'!K95)&lt;&gt;'1_Full_time'!K95)), I$12&amp;", "&amp;I$13&amp;", Long length"&amp;", Level "&amp;$D25&amp;"; ","")</f>
        <v/>
      </c>
      <c r="J25" s="56" t="str">
        <f>IF(AND($D$7=1,(TRUNC('1_Full_time'!L95)&lt;&gt;'1_Full_time'!L95)), J$12&amp;", "&amp;J$13&amp;", Long length"&amp;", Level "&amp;$D25&amp;"; ","")</f>
        <v/>
      </c>
      <c r="L25" s="118"/>
      <c r="M25" s="30" t="s">
        <v>203</v>
      </c>
      <c r="N25" s="384"/>
      <c r="O25" s="379">
        <f t="shared" si="12"/>
        <v>0</v>
      </c>
      <c r="P25" s="380">
        <f t="shared" si="13"/>
        <v>0</v>
      </c>
      <c r="Q25" s="384"/>
      <c r="R25" s="392">
        <f t="shared" si="4"/>
        <v>0</v>
      </c>
      <c r="S25" s="393">
        <f t="shared" si="5"/>
        <v>0</v>
      </c>
      <c r="T25" s="384"/>
      <c r="U25" s="379">
        <f t="shared" si="14"/>
        <v>0</v>
      </c>
      <c r="V25" s="380">
        <f t="shared" si="15"/>
        <v>0</v>
      </c>
      <c r="W25" s="384"/>
      <c r="X25" s="392">
        <f t="shared" si="7"/>
        <v>0</v>
      </c>
      <c r="Y25" s="393">
        <f t="shared" si="8"/>
        <v>0</v>
      </c>
    </row>
    <row r="26" spans="2:25" ht="13.5" x14ac:dyDescent="0.4">
      <c r="B26" s="1422"/>
      <c r="C26" s="14"/>
      <c r="D26" s="13"/>
      <c r="E26" s="11"/>
      <c r="F26" s="11"/>
      <c r="G26" s="11"/>
      <c r="H26" s="11"/>
      <c r="I26" s="11"/>
      <c r="J26" s="11"/>
      <c r="L26" s="118"/>
      <c r="M26" s="30" t="s">
        <v>203</v>
      </c>
      <c r="N26" s="1714">
        <f>IF(OR(E46&lt;&gt;"",E126&lt;&gt;""),1,0)</f>
        <v>0</v>
      </c>
      <c r="O26" s="1689">
        <f t="shared" si="12"/>
        <v>0</v>
      </c>
      <c r="P26" s="1690">
        <f t="shared" si="13"/>
        <v>0</v>
      </c>
      <c r="Q26" s="1713">
        <f t="shared" si="3"/>
        <v>0</v>
      </c>
      <c r="R26" s="1691">
        <f t="shared" si="4"/>
        <v>0</v>
      </c>
      <c r="S26" s="1692">
        <f t="shared" si="5"/>
        <v>0</v>
      </c>
      <c r="T26" s="1714">
        <f>IF(OR(H46&lt;&gt;"",H126&lt;&gt;""),1,0)</f>
        <v>0</v>
      </c>
      <c r="U26" s="1689">
        <f t="shared" si="14"/>
        <v>0</v>
      </c>
      <c r="V26" s="1690">
        <f t="shared" si="15"/>
        <v>0</v>
      </c>
      <c r="W26" s="1713">
        <f t="shared" si="6"/>
        <v>0</v>
      </c>
      <c r="X26" s="1691">
        <f t="shared" si="7"/>
        <v>0</v>
      </c>
      <c r="Y26" s="1692">
        <f t="shared" si="8"/>
        <v>0</v>
      </c>
    </row>
    <row r="27" spans="2:25" ht="13.5" x14ac:dyDescent="0.4">
      <c r="B27" s="1284"/>
      <c r="C27" s="14"/>
      <c r="D27" s="13"/>
      <c r="E27" s="1717" t="str">
        <f>E14&amp;E15&amp;E16&amp;E17&amp;E18&amp;E20&amp;E21&amp;E22&amp;E23&amp;E24</f>
        <v/>
      </c>
      <c r="F27" s="1717" t="str">
        <f t="shared" ref="F27:J27" si="19">F14&amp;F15&amp;F16&amp;F17&amp;F18&amp;F19&amp;F20&amp;F21&amp;F22&amp;F23&amp;F24&amp;F25</f>
        <v/>
      </c>
      <c r="G27" s="1717" t="str">
        <f t="shared" si="19"/>
        <v/>
      </c>
      <c r="H27" s="1717" t="str">
        <f>H14&amp;H15&amp;H16&amp;H17&amp;H18&amp;H20&amp;H21&amp;H22&amp;H23&amp;H24</f>
        <v/>
      </c>
      <c r="I27" s="1717" t="str">
        <f t="shared" si="19"/>
        <v/>
      </c>
      <c r="J27" s="1717" t="str">
        <f t="shared" si="19"/>
        <v/>
      </c>
      <c r="L27" s="118"/>
      <c r="M27" s="30" t="s">
        <v>225</v>
      </c>
      <c r="N27" s="378">
        <f>IF(OR(E47&lt;&gt;"",E127&lt;&gt;""),1,0)</f>
        <v>0</v>
      </c>
      <c r="O27" s="379">
        <f t="shared" si="12"/>
        <v>0</v>
      </c>
      <c r="P27" s="380">
        <f t="shared" si="13"/>
        <v>0</v>
      </c>
      <c r="Q27" s="391">
        <f t="shared" si="3"/>
        <v>0</v>
      </c>
      <c r="R27" s="392">
        <f t="shared" si="4"/>
        <v>0</v>
      </c>
      <c r="S27" s="393">
        <f t="shared" si="5"/>
        <v>0</v>
      </c>
      <c r="T27" s="378">
        <f>IF(OR(H47&lt;&gt;"",H127&lt;&gt;""),1,0)</f>
        <v>0</v>
      </c>
      <c r="U27" s="379">
        <f t="shared" si="14"/>
        <v>0</v>
      </c>
      <c r="V27" s="380">
        <f t="shared" si="15"/>
        <v>0</v>
      </c>
      <c r="W27" s="391">
        <f t="shared" si="6"/>
        <v>0</v>
      </c>
      <c r="X27" s="392">
        <f t="shared" si="7"/>
        <v>0</v>
      </c>
      <c r="Y27" s="393">
        <f t="shared" si="8"/>
        <v>0</v>
      </c>
    </row>
    <row r="28" spans="2:25" ht="13.5" x14ac:dyDescent="0.4">
      <c r="B28" s="1284"/>
      <c r="C28" s="14"/>
      <c r="D28" s="13"/>
      <c r="E28" s="11" t="s">
        <v>28281</v>
      </c>
      <c r="F28" s="11"/>
      <c r="G28" s="11"/>
      <c r="H28" s="11"/>
      <c r="I28" s="331"/>
      <c r="J28" s="331"/>
      <c r="L28" s="118"/>
      <c r="M28" s="30" t="s">
        <v>225</v>
      </c>
      <c r="N28" s="378">
        <f>IF(OR(E48&lt;&gt;"",E128&lt;&gt;""),1,0)</f>
        <v>0</v>
      </c>
      <c r="O28" s="379">
        <f t="shared" si="12"/>
        <v>0</v>
      </c>
      <c r="P28" s="380">
        <f t="shared" si="13"/>
        <v>0</v>
      </c>
      <c r="Q28" s="391">
        <f t="shared" si="3"/>
        <v>0</v>
      </c>
      <c r="R28" s="392">
        <f t="shared" si="4"/>
        <v>0</v>
      </c>
      <c r="S28" s="393">
        <f t="shared" si="5"/>
        <v>0</v>
      </c>
      <c r="T28" s="378">
        <f>IF(OR(H48&lt;&gt;"",H128&lt;&gt;""),1,0)</f>
        <v>0</v>
      </c>
      <c r="U28" s="379">
        <f t="shared" si="14"/>
        <v>0</v>
      </c>
      <c r="V28" s="380">
        <f t="shared" si="15"/>
        <v>0</v>
      </c>
      <c r="W28" s="391">
        <f t="shared" si="6"/>
        <v>0</v>
      </c>
      <c r="X28" s="392">
        <f t="shared" si="7"/>
        <v>0</v>
      </c>
      <c r="Y28" s="393">
        <f t="shared" si="8"/>
        <v>0</v>
      </c>
    </row>
    <row r="29" spans="2:25" ht="13.15" x14ac:dyDescent="0.35">
      <c r="B29" s="1284"/>
      <c r="C29" s="1717" t="str">
        <f>E29&amp;H29</f>
        <v/>
      </c>
      <c r="D29" s="13"/>
      <c r="E29" s="1718" t="str">
        <f>E27&amp;F27&amp;G27</f>
        <v/>
      </c>
      <c r="F29" s="11"/>
      <c r="G29" s="11"/>
      <c r="H29" s="1719" t="str">
        <f>H27&amp;I27&amp;J27</f>
        <v/>
      </c>
      <c r="I29" s="11"/>
      <c r="J29" s="11"/>
      <c r="L29" s="118"/>
      <c r="M29" s="30" t="s">
        <v>225</v>
      </c>
      <c r="N29" s="378">
        <f>IF(OR(E49&lt;&gt;"",E129&lt;&gt;""),1,0)</f>
        <v>0</v>
      </c>
      <c r="O29" s="379">
        <f t="shared" si="12"/>
        <v>0</v>
      </c>
      <c r="P29" s="380">
        <f t="shared" si="13"/>
        <v>0</v>
      </c>
      <c r="Q29" s="391">
        <f t="shared" si="3"/>
        <v>0</v>
      </c>
      <c r="R29" s="392">
        <f t="shared" si="4"/>
        <v>0</v>
      </c>
      <c r="S29" s="393">
        <f t="shared" si="5"/>
        <v>0</v>
      </c>
      <c r="T29" s="378">
        <f>IF(OR(H49&lt;&gt;"",H129&lt;&gt;""),1,0)</f>
        <v>0</v>
      </c>
      <c r="U29" s="379">
        <f t="shared" si="14"/>
        <v>0</v>
      </c>
      <c r="V29" s="380">
        <f t="shared" si="15"/>
        <v>0</v>
      </c>
      <c r="W29" s="391">
        <f t="shared" si="6"/>
        <v>0</v>
      </c>
      <c r="X29" s="392">
        <f t="shared" si="7"/>
        <v>0</v>
      </c>
      <c r="Y29" s="393">
        <f t="shared" si="8"/>
        <v>0</v>
      </c>
    </row>
    <row r="30" spans="2:25" ht="13.15" x14ac:dyDescent="0.35">
      <c r="B30" s="1423"/>
      <c r="C30" s="1424"/>
      <c r="D30" s="1425"/>
      <c r="E30" s="1424"/>
      <c r="F30" s="1424"/>
      <c r="G30" s="1424"/>
      <c r="H30" s="26"/>
      <c r="I30" s="1424"/>
      <c r="J30" s="1424"/>
      <c r="K30" s="1424"/>
      <c r="L30" s="118"/>
      <c r="M30" s="30" t="s">
        <v>225</v>
      </c>
      <c r="N30" s="381">
        <f>IF(OR(E50&lt;&gt;"",E130&lt;&gt;""),1,0)</f>
        <v>0</v>
      </c>
      <c r="O30" s="382">
        <f t="shared" si="12"/>
        <v>0</v>
      </c>
      <c r="P30" s="383">
        <f t="shared" si="13"/>
        <v>0</v>
      </c>
      <c r="Q30" s="394">
        <f t="shared" si="3"/>
        <v>0</v>
      </c>
      <c r="R30" s="395">
        <f t="shared" si="4"/>
        <v>0</v>
      </c>
      <c r="S30" s="396">
        <f t="shared" si="5"/>
        <v>0</v>
      </c>
      <c r="T30" s="381">
        <f>IF(OR(H50&lt;&gt;"",H130&lt;&gt;""),1,0)</f>
        <v>0</v>
      </c>
      <c r="U30" s="382">
        <f t="shared" si="14"/>
        <v>0</v>
      </c>
      <c r="V30" s="383">
        <f t="shared" si="15"/>
        <v>0</v>
      </c>
      <c r="W30" s="394">
        <f t="shared" si="6"/>
        <v>0</v>
      </c>
      <c r="X30" s="395">
        <f t="shared" si="7"/>
        <v>0</v>
      </c>
      <c r="Y30" s="396">
        <f t="shared" si="8"/>
        <v>0</v>
      </c>
    </row>
    <row r="31" spans="2:25" ht="13.15" x14ac:dyDescent="0.35">
      <c r="B31" s="19" t="s">
        <v>28264</v>
      </c>
      <c r="C31" s="1427"/>
      <c r="D31" s="1427"/>
      <c r="E31" s="1427"/>
      <c r="F31" s="1427"/>
      <c r="G31" s="1427"/>
      <c r="H31" s="1427"/>
      <c r="I31" s="1427"/>
      <c r="J31" s="1427"/>
      <c r="K31" s="1427"/>
      <c r="L31" s="118"/>
      <c r="M31" s="30" t="s">
        <v>225</v>
      </c>
      <c r="N31" s="384"/>
      <c r="O31" s="379">
        <f t="shared" si="12"/>
        <v>0</v>
      </c>
      <c r="P31" s="380">
        <f t="shared" si="13"/>
        <v>0</v>
      </c>
      <c r="Q31" s="384"/>
      <c r="R31" s="392">
        <f t="shared" si="4"/>
        <v>0</v>
      </c>
      <c r="S31" s="393">
        <f t="shared" si="5"/>
        <v>0</v>
      </c>
      <c r="T31" s="384"/>
      <c r="U31" s="379">
        <f t="shared" si="14"/>
        <v>0</v>
      </c>
      <c r="V31" s="380">
        <f t="shared" si="15"/>
        <v>0</v>
      </c>
      <c r="W31" s="384"/>
      <c r="X31" s="392">
        <f t="shared" si="7"/>
        <v>0</v>
      </c>
      <c r="Y31" s="393">
        <f t="shared" si="8"/>
        <v>0</v>
      </c>
    </row>
    <row r="32" spans="2:25" ht="13.15" x14ac:dyDescent="0.35">
      <c r="B32" s="22"/>
      <c r="C32" s="7"/>
      <c r="D32" s="7"/>
      <c r="E32" s="7" t="s">
        <v>27679</v>
      </c>
      <c r="F32" s="7" t="s">
        <v>27679</v>
      </c>
      <c r="G32" s="7" t="s">
        <v>27679</v>
      </c>
      <c r="H32" s="83" t="s">
        <v>27680</v>
      </c>
      <c r="I32" s="83" t="s">
        <v>27680</v>
      </c>
      <c r="J32" s="83" t="s">
        <v>27680</v>
      </c>
      <c r="L32" s="118"/>
      <c r="M32" s="30" t="s">
        <v>225</v>
      </c>
      <c r="N32" s="385">
        <f>IF(OR(E52&lt;&gt;"",E132&lt;&gt;""),1,0)</f>
        <v>0</v>
      </c>
      <c r="O32" s="386">
        <f t="shared" si="12"/>
        <v>0</v>
      </c>
      <c r="P32" s="387">
        <f t="shared" si="13"/>
        <v>0</v>
      </c>
      <c r="Q32" s="397">
        <f t="shared" si="3"/>
        <v>0</v>
      </c>
      <c r="R32" s="398">
        <f t="shared" si="4"/>
        <v>0</v>
      </c>
      <c r="S32" s="399">
        <f t="shared" si="5"/>
        <v>0</v>
      </c>
      <c r="T32" s="385">
        <f>IF(OR(H52&lt;&gt;"",H132&lt;&gt;""),1,0)</f>
        <v>0</v>
      </c>
      <c r="U32" s="386">
        <f t="shared" si="14"/>
        <v>0</v>
      </c>
      <c r="V32" s="387">
        <f t="shared" si="15"/>
        <v>0</v>
      </c>
      <c r="W32" s="397">
        <f t="shared" si="6"/>
        <v>0</v>
      </c>
      <c r="X32" s="398">
        <f t="shared" si="7"/>
        <v>0</v>
      </c>
      <c r="Y32" s="399">
        <f t="shared" si="8"/>
        <v>0</v>
      </c>
    </row>
    <row r="33" spans="2:25" ht="13.15" x14ac:dyDescent="0.35">
      <c r="B33" s="22"/>
      <c r="E33" t="s">
        <v>192</v>
      </c>
      <c r="F33" t="s">
        <v>193</v>
      </c>
      <c r="G33" t="s">
        <v>194</v>
      </c>
      <c r="H33" t="s">
        <v>192</v>
      </c>
      <c r="I33" t="s">
        <v>193</v>
      </c>
      <c r="J33" t="s">
        <v>194</v>
      </c>
      <c r="L33" s="118"/>
      <c r="M33" s="30" t="s">
        <v>225</v>
      </c>
      <c r="N33" s="388">
        <f>IF(OR(E53&lt;&gt;"",E133&lt;&gt;""),1,0)</f>
        <v>0</v>
      </c>
      <c r="O33" s="389">
        <f t="shared" si="12"/>
        <v>0</v>
      </c>
      <c r="P33" s="390">
        <f t="shared" si="13"/>
        <v>0</v>
      </c>
      <c r="Q33" s="404">
        <f t="shared" si="3"/>
        <v>0</v>
      </c>
      <c r="R33" s="405">
        <f t="shared" si="4"/>
        <v>0</v>
      </c>
      <c r="S33" s="406">
        <f t="shared" si="5"/>
        <v>0</v>
      </c>
      <c r="T33" s="388">
        <f>IF(OR(H53&lt;&gt;"",H133&lt;&gt;""),1,0)</f>
        <v>0</v>
      </c>
      <c r="U33" s="389">
        <f t="shared" si="14"/>
        <v>0</v>
      </c>
      <c r="V33" s="390">
        <f t="shared" si="15"/>
        <v>0</v>
      </c>
      <c r="W33" s="404">
        <f t="shared" si="6"/>
        <v>0</v>
      </c>
      <c r="X33" s="405">
        <f t="shared" si="7"/>
        <v>0</v>
      </c>
      <c r="Y33" s="406">
        <f t="shared" si="8"/>
        <v>0</v>
      </c>
    </row>
    <row r="34" spans="2:25" ht="13.15" x14ac:dyDescent="0.35">
      <c r="B34" s="326" t="s">
        <v>203</v>
      </c>
      <c r="C34" s="7" t="s">
        <v>204</v>
      </c>
      <c r="D34" s="13" t="s">
        <v>205</v>
      </c>
      <c r="E34" s="1720" t="str">
        <f>IF(AND($E$7=1,ROUND('1_Full_time'!G12,2)&lt;&gt;'1_Full_time'!G12),E$32&amp;", "&amp;E$33&amp;", Price group "&amp;$B34&amp;", "&amp;$C34&amp;" length, "&amp;"Level "&amp;$D34&amp;"; ","")</f>
        <v/>
      </c>
      <c r="F34" s="1412" t="str">
        <f>IF(AND($E$7=1,ROUND('1_Full_time'!H12,2)&lt;&gt;'1_Full_time'!H12),F$32&amp;", "&amp;F$33&amp;", Price group "&amp;$B34&amp;", "&amp;$C34&amp;" length, "&amp;"Level "&amp;$D34&amp;"; ","")</f>
        <v/>
      </c>
      <c r="G34" s="1789" t="str">
        <f>IF(AND($E$7=1,ROUND('1_Full_time'!I12,2)&lt;&gt;'1_Full_time'!I12),G$32&amp;", "&amp;G$33&amp;", Price group "&amp;$B34&amp;", "&amp;$C34&amp;" length, "&amp;"Level "&amp;$D34&amp;"; ","")</f>
        <v/>
      </c>
      <c r="H34" s="1720" t="str">
        <f>IF(AND($E$7=1,ROUND('1_Full_time'!J12,2)&lt;&gt;'1_Full_time'!J12),H$32&amp;", "&amp;H$33&amp;", Price group "&amp;$B34&amp;", "&amp;$C34&amp;" length, "&amp;"Level "&amp;$D34&amp;"; ","")</f>
        <v/>
      </c>
      <c r="I34" s="1412" t="str">
        <f>IF(AND($E$7=1,ROUND('1_Full_time'!K12,2)&lt;&gt;'1_Full_time'!K12),I$32&amp;", "&amp;I$33&amp;", Price group "&amp;$B34&amp;", "&amp;$C34&amp;" length, "&amp;"Level "&amp;$D34&amp;"; ","")</f>
        <v/>
      </c>
      <c r="J34" s="1789" t="str">
        <f>IF(AND($E$7=1,ROUND('1_Full_time'!L12,2)&lt;&gt;'1_Full_time'!L12),J$32&amp;", "&amp;J$33&amp;", Price group "&amp;$B34&amp;", "&amp;$C34&amp;" length, "&amp;"Level "&amp;$D34&amp;"; ","")</f>
        <v/>
      </c>
      <c r="L34" s="118"/>
      <c r="M34" s="30" t="s">
        <v>225</v>
      </c>
      <c r="N34" s="378">
        <f>IF(OR(E54&lt;&gt;"",E134&lt;&gt;""),1,0)</f>
        <v>0</v>
      </c>
      <c r="O34" s="379">
        <f t="shared" si="12"/>
        <v>0</v>
      </c>
      <c r="P34" s="380">
        <f t="shared" si="13"/>
        <v>0</v>
      </c>
      <c r="Q34" s="391">
        <f t="shared" si="3"/>
        <v>0</v>
      </c>
      <c r="R34" s="392">
        <f t="shared" si="4"/>
        <v>0</v>
      </c>
      <c r="S34" s="393">
        <f t="shared" si="5"/>
        <v>0</v>
      </c>
      <c r="T34" s="378">
        <f>IF(OR(H54&lt;&gt;"",H134&lt;&gt;""),1,0)</f>
        <v>0</v>
      </c>
      <c r="U34" s="379">
        <f t="shared" si="14"/>
        <v>0</v>
      </c>
      <c r="V34" s="380">
        <f t="shared" si="15"/>
        <v>0</v>
      </c>
      <c r="W34" s="391">
        <f t="shared" si="6"/>
        <v>0</v>
      </c>
      <c r="X34" s="392">
        <f t="shared" si="7"/>
        <v>0</v>
      </c>
      <c r="Y34" s="393">
        <f t="shared" si="8"/>
        <v>0</v>
      </c>
    </row>
    <row r="35" spans="2:25" ht="13.15" x14ac:dyDescent="0.35">
      <c r="B35" s="326" t="s">
        <v>203</v>
      </c>
      <c r="C35" s="7" t="s">
        <v>204</v>
      </c>
      <c r="D35" s="13" t="s">
        <v>208</v>
      </c>
      <c r="E35" s="1609" t="str">
        <f>IF(AND($E$7=1,ROUND('1_Full_time'!G13,2)&lt;&gt;'1_Full_time'!G13),E$32&amp;", "&amp;E$33&amp;", Price group "&amp;$B35&amp;", "&amp;$C35&amp;" length, "&amp;"Level "&amp;$D35&amp;"; ","")</f>
        <v/>
      </c>
      <c r="F35" s="7" t="str">
        <f>IF(AND($E$7=1,ROUND('1_Full_time'!H13,2)&lt;&gt;'1_Full_time'!H13),F$32&amp;", "&amp;F$33&amp;", Price group "&amp;$B35&amp;", "&amp;$C35&amp;" length, "&amp;"Level "&amp;$D35&amp;"; ","")</f>
        <v/>
      </c>
      <c r="G35" s="211" t="str">
        <f>IF(AND($E$7=1,ROUND('1_Full_time'!I13,2)&lt;&gt;'1_Full_time'!I13),G$32&amp;", "&amp;G$33&amp;", Price group "&amp;$B35&amp;", "&amp;$C35&amp;" length, "&amp;"Level "&amp;$D35&amp;"; ","")</f>
        <v/>
      </c>
      <c r="H35" s="1609" t="str">
        <f>IF(AND($E$7=1,ROUND('1_Full_time'!J13,2)&lt;&gt;'1_Full_time'!J13),H$32&amp;", "&amp;H$33&amp;", Price group "&amp;$B35&amp;", "&amp;$C35&amp;" length, "&amp;"Level "&amp;$D35&amp;"; ","")</f>
        <v/>
      </c>
      <c r="I35" s="7" t="str">
        <f>IF(AND($E$7=1,ROUND('1_Full_time'!K13,2)&lt;&gt;'1_Full_time'!K13),I$32&amp;", "&amp;I$33&amp;", Price group "&amp;$B35&amp;", "&amp;$C35&amp;" length, "&amp;"Level "&amp;$D35&amp;"; ","")</f>
        <v/>
      </c>
      <c r="J35" s="211" t="str">
        <f>IF(AND($E$7=1,ROUND('1_Full_time'!L13,2)&lt;&gt;'1_Full_time'!L13),J$32&amp;", "&amp;J$33&amp;", Price group "&amp;$B35&amp;", "&amp;$C35&amp;" length, "&amp;"Level "&amp;$D35&amp;"; ","")</f>
        <v/>
      </c>
      <c r="L35" s="118"/>
      <c r="M35" s="30" t="s">
        <v>225</v>
      </c>
      <c r="N35" s="378">
        <f>IF(OR(E55&lt;&gt;"",E135&lt;&gt;""),1,0)</f>
        <v>0</v>
      </c>
      <c r="O35" s="379">
        <f t="shared" si="12"/>
        <v>0</v>
      </c>
      <c r="P35" s="380">
        <f t="shared" si="13"/>
        <v>0</v>
      </c>
      <c r="Q35" s="391">
        <f t="shared" si="3"/>
        <v>0</v>
      </c>
      <c r="R35" s="392">
        <f t="shared" si="4"/>
        <v>0</v>
      </c>
      <c r="S35" s="393">
        <f t="shared" si="5"/>
        <v>0</v>
      </c>
      <c r="T35" s="378">
        <f>IF(OR(H55&lt;&gt;"",H135&lt;&gt;""),1,0)</f>
        <v>0</v>
      </c>
      <c r="U35" s="379">
        <f t="shared" si="14"/>
        <v>0</v>
      </c>
      <c r="V35" s="380">
        <f t="shared" si="15"/>
        <v>0</v>
      </c>
      <c r="W35" s="391">
        <f t="shared" si="6"/>
        <v>0</v>
      </c>
      <c r="X35" s="392">
        <f t="shared" si="7"/>
        <v>0</v>
      </c>
      <c r="Y35" s="393">
        <f t="shared" si="8"/>
        <v>0</v>
      </c>
    </row>
    <row r="36" spans="2:25" ht="13.15" x14ac:dyDescent="0.35">
      <c r="B36" s="326" t="s">
        <v>203</v>
      </c>
      <c r="C36" s="7" t="s">
        <v>204</v>
      </c>
      <c r="D36" s="13" t="s">
        <v>210</v>
      </c>
      <c r="E36" s="1609" t="str">
        <f>IF(AND($E$7=1,ROUND('1_Full_time'!G14,2)&lt;&gt;'1_Full_time'!G14),E$32&amp;", "&amp;E$33&amp;", Price group "&amp;$B36&amp;", "&amp;$C36&amp;" length, "&amp;"Level "&amp;$D36&amp;"; ","")</f>
        <v/>
      </c>
      <c r="F36" s="7" t="str">
        <f>IF(AND($E$7=1,ROUND('1_Full_time'!H14,2)&lt;&gt;'1_Full_time'!H14),F$32&amp;", "&amp;F$33&amp;", Price group "&amp;$B36&amp;", "&amp;$C36&amp;" length, "&amp;"Level "&amp;$D36&amp;"; ","")</f>
        <v/>
      </c>
      <c r="G36" s="211" t="str">
        <f>IF(AND($E$7=1,ROUND('1_Full_time'!I14,2)&lt;&gt;'1_Full_time'!I14),G$32&amp;", "&amp;G$33&amp;", Price group "&amp;$B36&amp;", "&amp;$C36&amp;" length, "&amp;"Level "&amp;$D36&amp;"; ","")</f>
        <v/>
      </c>
      <c r="H36" s="1609" t="str">
        <f>IF(AND($E$7=1,ROUND('1_Full_time'!J14,2)&lt;&gt;'1_Full_time'!J14),H$32&amp;", "&amp;H$33&amp;", Price group "&amp;$B36&amp;", "&amp;$C36&amp;" length, "&amp;"Level "&amp;$D36&amp;"; ","")</f>
        <v/>
      </c>
      <c r="I36" s="7" t="str">
        <f>IF(AND($E$7=1,ROUND('1_Full_time'!K14,2)&lt;&gt;'1_Full_time'!K14),I$32&amp;", "&amp;I$33&amp;", Price group "&amp;$B36&amp;", "&amp;$C36&amp;" length, "&amp;"Level "&amp;$D36&amp;"; ","")</f>
        <v/>
      </c>
      <c r="J36" s="211" t="str">
        <f>IF(AND($E$7=1,ROUND('1_Full_time'!L14,2)&lt;&gt;'1_Full_time'!L14),J$32&amp;", "&amp;J$33&amp;", Price group "&amp;$B36&amp;", "&amp;$C36&amp;" length, "&amp;"Level "&amp;$D36&amp;"; ","")</f>
        <v/>
      </c>
      <c r="L36" s="118"/>
      <c r="M36" s="30" t="s">
        <v>225</v>
      </c>
      <c r="N36" s="378">
        <f>IF(OR(E56&lt;&gt;"",E136&lt;&gt;""),1,0)</f>
        <v>0</v>
      </c>
      <c r="O36" s="379">
        <f t="shared" si="12"/>
        <v>0</v>
      </c>
      <c r="P36" s="380">
        <f t="shared" si="13"/>
        <v>0</v>
      </c>
      <c r="Q36" s="391">
        <f t="shared" si="3"/>
        <v>0</v>
      </c>
      <c r="R36" s="392">
        <f t="shared" si="4"/>
        <v>0</v>
      </c>
      <c r="S36" s="393">
        <f t="shared" si="5"/>
        <v>0</v>
      </c>
      <c r="T36" s="378">
        <f>IF(OR(H56&lt;&gt;"",H136&lt;&gt;""),1,0)</f>
        <v>0</v>
      </c>
      <c r="U36" s="379">
        <f t="shared" si="14"/>
        <v>0</v>
      </c>
      <c r="V36" s="380">
        <f t="shared" si="15"/>
        <v>0</v>
      </c>
      <c r="W36" s="391">
        <f t="shared" si="6"/>
        <v>0</v>
      </c>
      <c r="X36" s="392">
        <f t="shared" si="7"/>
        <v>0</v>
      </c>
      <c r="Y36" s="393">
        <f t="shared" si="8"/>
        <v>0</v>
      </c>
    </row>
    <row r="37" spans="2:25" ht="13.15" x14ac:dyDescent="0.35">
      <c r="B37" s="326" t="s">
        <v>203</v>
      </c>
      <c r="C37" s="7" t="s">
        <v>204</v>
      </c>
      <c r="D37" s="13" t="s">
        <v>212</v>
      </c>
      <c r="E37" s="1609" t="str">
        <f>IF(AND($E$7=1,ROUND('1_Full_time'!G15,2)&lt;&gt;'1_Full_time'!G15),E$32&amp;", "&amp;E$33&amp;", Price group "&amp;$B37&amp;", "&amp;$C37&amp;" length, "&amp;"Level "&amp;$D37&amp;"; ","")</f>
        <v/>
      </c>
      <c r="F37" s="7" t="str">
        <f>IF(AND($E$7=1,ROUND('1_Full_time'!H15,2)&lt;&gt;'1_Full_time'!H15),F$32&amp;", "&amp;F$33&amp;", Price group "&amp;$B37&amp;", "&amp;$C37&amp;" length, "&amp;"Level "&amp;$D37&amp;"; ","")</f>
        <v/>
      </c>
      <c r="G37" s="211" t="str">
        <f>IF(AND($E$7=1,ROUND('1_Full_time'!I15,2)&lt;&gt;'1_Full_time'!I15),G$32&amp;", "&amp;G$33&amp;", Price group "&amp;$B37&amp;", "&amp;$C37&amp;" length, "&amp;"Level "&amp;$D37&amp;"; ","")</f>
        <v/>
      </c>
      <c r="H37" s="1609" t="str">
        <f>IF(AND($E$7=1,ROUND('1_Full_time'!J15,2)&lt;&gt;'1_Full_time'!J15),H$32&amp;", "&amp;H$33&amp;", Price group "&amp;$B37&amp;", "&amp;$C37&amp;" length, "&amp;"Level "&amp;$D37&amp;"; ","")</f>
        <v/>
      </c>
      <c r="I37" s="7" t="str">
        <f>IF(AND($E$7=1,ROUND('1_Full_time'!K15,2)&lt;&gt;'1_Full_time'!K15),I$32&amp;", "&amp;I$33&amp;", Price group "&amp;$B37&amp;", "&amp;$C37&amp;" length, "&amp;"Level "&amp;$D37&amp;"; ","")</f>
        <v/>
      </c>
      <c r="J37" s="211" t="str">
        <f>IF(AND($E$7=1,ROUND('1_Full_time'!L15,2)&lt;&gt;'1_Full_time'!L15),J$32&amp;", "&amp;J$33&amp;", Price group "&amp;$B37&amp;", "&amp;$C37&amp;" length, "&amp;"Level "&amp;$D37&amp;"; ","")</f>
        <v/>
      </c>
      <c r="L37" s="118"/>
      <c r="M37" s="30" t="s">
        <v>225</v>
      </c>
      <c r="N37" s="384"/>
      <c r="O37" s="379">
        <f t="shared" si="12"/>
        <v>0</v>
      </c>
      <c r="P37" s="380">
        <f t="shared" si="13"/>
        <v>0</v>
      </c>
      <c r="Q37" s="384"/>
      <c r="R37" s="392">
        <f t="shared" si="4"/>
        <v>0</v>
      </c>
      <c r="S37" s="393">
        <f t="shared" si="5"/>
        <v>0</v>
      </c>
      <c r="T37" s="384"/>
      <c r="U37" s="379">
        <f t="shared" si="14"/>
        <v>0</v>
      </c>
      <c r="V37" s="380">
        <f t="shared" si="15"/>
        <v>0</v>
      </c>
      <c r="W37" s="384"/>
      <c r="X37" s="392">
        <f t="shared" si="7"/>
        <v>0</v>
      </c>
      <c r="Y37" s="393">
        <f t="shared" si="8"/>
        <v>0</v>
      </c>
    </row>
    <row r="38" spans="2:25" ht="13.15" x14ac:dyDescent="0.35">
      <c r="B38" s="326" t="s">
        <v>203</v>
      </c>
      <c r="C38" s="7" t="s">
        <v>204</v>
      </c>
      <c r="D38" s="13" t="s">
        <v>214</v>
      </c>
      <c r="E38" s="1609" t="str">
        <f>IF(AND($E$7=1,ROUND('1_Full_time'!G16,2)&lt;&gt;'1_Full_time'!G16),E$32&amp;", "&amp;E$33&amp;", Price group "&amp;$B38&amp;", "&amp;$C38&amp;" length, "&amp;"Level "&amp;$D38&amp;"; ","")</f>
        <v/>
      </c>
      <c r="F38" s="7" t="str">
        <f>IF(AND($E$7=1,ROUND('1_Full_time'!H16,2)&lt;&gt;'1_Full_time'!H16),F$32&amp;", "&amp;F$33&amp;", Price group "&amp;$B38&amp;", "&amp;$C38&amp;" length, "&amp;"Level "&amp;$D38&amp;"; ","")</f>
        <v/>
      </c>
      <c r="G38" s="211" t="str">
        <f>IF(AND($E$7=1,ROUND('1_Full_time'!I16,2)&lt;&gt;'1_Full_time'!I16),G$32&amp;", "&amp;G$33&amp;", Price group "&amp;$B38&amp;", "&amp;$C38&amp;" length, "&amp;"Level "&amp;$D38&amp;"; ","")</f>
        <v/>
      </c>
      <c r="H38" s="1609" t="str">
        <f>IF(AND($E$7=1,ROUND('1_Full_time'!J16,2)&lt;&gt;'1_Full_time'!J16),H$32&amp;", "&amp;H$33&amp;", Price group "&amp;$B38&amp;", "&amp;$C38&amp;" length, "&amp;"Level "&amp;$D38&amp;"; ","")</f>
        <v/>
      </c>
      <c r="I38" s="7" t="str">
        <f>IF(AND($E$7=1,ROUND('1_Full_time'!K16,2)&lt;&gt;'1_Full_time'!K16),I$32&amp;", "&amp;I$33&amp;", Price group "&amp;$B38&amp;", "&amp;$C38&amp;" length, "&amp;"Level "&amp;$D38&amp;"; ","")</f>
        <v/>
      </c>
      <c r="J38" s="211" t="str">
        <f>IF(AND($E$7=1,ROUND('1_Full_time'!L16,2)&lt;&gt;'1_Full_time'!L16),J$32&amp;", "&amp;J$33&amp;", Price group "&amp;$B38&amp;", "&amp;$C38&amp;" length, "&amp;"Level "&amp;$D38&amp;"; ","")</f>
        <v/>
      </c>
      <c r="L38" s="118"/>
      <c r="M38" s="30" t="s">
        <v>225</v>
      </c>
      <c r="N38" s="1714">
        <f>IF(OR(E58&lt;&gt;"",E138&lt;&gt;""),1,0)</f>
        <v>0</v>
      </c>
      <c r="O38" s="1689">
        <f t="shared" si="12"/>
        <v>0</v>
      </c>
      <c r="P38" s="1690">
        <f t="shared" si="13"/>
        <v>0</v>
      </c>
      <c r="Q38" s="1713">
        <f t="shared" si="3"/>
        <v>0</v>
      </c>
      <c r="R38" s="1691">
        <f t="shared" si="4"/>
        <v>0</v>
      </c>
      <c r="S38" s="1692">
        <f t="shared" si="5"/>
        <v>0</v>
      </c>
      <c r="T38" s="1714">
        <f>IF(OR(H58&lt;&gt;"",H138&lt;&gt;""),1,0)</f>
        <v>0</v>
      </c>
      <c r="U38" s="1689">
        <f t="shared" si="14"/>
        <v>0</v>
      </c>
      <c r="V38" s="1690">
        <f t="shared" si="15"/>
        <v>0</v>
      </c>
      <c r="W38" s="1713">
        <f t="shared" si="6"/>
        <v>0</v>
      </c>
      <c r="X38" s="1691">
        <f t="shared" si="7"/>
        <v>0</v>
      </c>
      <c r="Y38" s="1692">
        <f t="shared" si="8"/>
        <v>0</v>
      </c>
    </row>
    <row r="39" spans="2:25" ht="13.15" x14ac:dyDescent="0.35">
      <c r="B39" s="326" t="s">
        <v>203</v>
      </c>
      <c r="C39" s="7" t="s">
        <v>204</v>
      </c>
      <c r="D39" s="13" t="s">
        <v>216</v>
      </c>
      <c r="E39" s="1428"/>
      <c r="F39" s="1429" t="str">
        <f>IF(AND($E$7=1,ROUND('1_Full_time'!H17,2)&lt;&gt;'1_Full_time'!H17),F$32&amp;", "&amp;F$33&amp;", Price group "&amp;$B39&amp;", "&amp;$C39&amp;" length, "&amp;"Level "&amp;$D39&amp;"; ","")</f>
        <v/>
      </c>
      <c r="G39" s="1430" t="str">
        <f>IF(AND($E$7=1,ROUND('1_Full_time'!I17,2)&lt;&gt;'1_Full_time'!I17),G$32&amp;", "&amp;G$33&amp;", Price group "&amp;$B39&amp;", "&amp;$C39&amp;" length, "&amp;"Level "&amp;$D39&amp;"; ","")</f>
        <v/>
      </c>
      <c r="H39" s="1428"/>
      <c r="I39" s="1429" t="str">
        <f>IF(AND($E$7=1,ROUND('1_Full_time'!K17,2)&lt;&gt;'1_Full_time'!K17),I$32&amp;", "&amp;I$33&amp;", Price group "&amp;$B39&amp;", "&amp;$C39&amp;" length, "&amp;"Level "&amp;$D39&amp;"; ","")</f>
        <v/>
      </c>
      <c r="J39" s="1430" t="str">
        <f>IF(AND($E$7=1,ROUND('1_Full_time'!L17,2)&lt;&gt;'1_Full_time'!L17),J$32&amp;", "&amp;J$33&amp;", Price group "&amp;$B39&amp;", "&amp;$C39&amp;" length, "&amp;"Level "&amp;$D39&amp;"; ","")</f>
        <v/>
      </c>
      <c r="L39" s="118"/>
      <c r="M39" s="30" t="s">
        <v>238</v>
      </c>
      <c r="N39" s="388">
        <f>IF(OR(E59&lt;&gt;"",E139&lt;&gt;""),1,0)</f>
        <v>0</v>
      </c>
      <c r="O39" s="389">
        <f t="shared" si="12"/>
        <v>0</v>
      </c>
      <c r="P39" s="390">
        <f t="shared" si="13"/>
        <v>0</v>
      </c>
      <c r="Q39" s="404">
        <f t="shared" si="3"/>
        <v>0</v>
      </c>
      <c r="R39" s="405">
        <f t="shared" si="4"/>
        <v>0</v>
      </c>
      <c r="S39" s="406">
        <f t="shared" si="5"/>
        <v>0</v>
      </c>
      <c r="T39" s="388">
        <f>IF(OR(H59&lt;&gt;"",H139&lt;&gt;""),1,0)</f>
        <v>0</v>
      </c>
      <c r="U39" s="389">
        <f t="shared" si="14"/>
        <v>0</v>
      </c>
      <c r="V39" s="390">
        <f t="shared" si="15"/>
        <v>0</v>
      </c>
      <c r="W39" s="404">
        <f t="shared" si="6"/>
        <v>0</v>
      </c>
      <c r="X39" s="405">
        <f t="shared" si="7"/>
        <v>0</v>
      </c>
      <c r="Y39" s="406">
        <f t="shared" si="8"/>
        <v>0</v>
      </c>
    </row>
    <row r="40" spans="2:25" ht="13.15" x14ac:dyDescent="0.35">
      <c r="B40" s="326" t="s">
        <v>203</v>
      </c>
      <c r="C40" s="7" t="s">
        <v>218</v>
      </c>
      <c r="D40" s="13" t="s">
        <v>205</v>
      </c>
      <c r="E40" s="1609" t="str">
        <f>IF(AND($E$7=1,ROUND('1_Full_time'!G18,2)&lt;&gt;'1_Full_time'!G18),E$32&amp;", "&amp;E$33&amp;", Price group "&amp;$B40&amp;", "&amp;$C40&amp;" length, "&amp;"Level "&amp;$D40&amp;"; ","")</f>
        <v/>
      </c>
      <c r="F40" s="7" t="str">
        <f>IF(AND($E$7=1,ROUND('1_Full_time'!H18,2)&lt;&gt;'1_Full_time'!H18),F$32&amp;", "&amp;F$33&amp;", Price group "&amp;$B40&amp;", "&amp;$C40&amp;" length, "&amp;"Level "&amp;$D40&amp;"; ","")</f>
        <v/>
      </c>
      <c r="G40" s="211" t="str">
        <f>IF(AND($E$7=1,ROUND('1_Full_time'!I18,2)&lt;&gt;'1_Full_time'!I18),G$32&amp;", "&amp;G$33&amp;", Price group "&amp;$B40&amp;", "&amp;$C40&amp;" length, "&amp;"Level "&amp;$D40&amp;"; ","")</f>
        <v/>
      </c>
      <c r="H40" s="1609" t="str">
        <f>IF(AND($E$7=1,ROUND('1_Full_time'!J18,2)&lt;&gt;'1_Full_time'!J18),H$32&amp;", "&amp;H$33&amp;", Price group "&amp;$B40&amp;", "&amp;$C40&amp;" length, "&amp;"Level "&amp;$D40&amp;"; ","")</f>
        <v/>
      </c>
      <c r="I40" s="7" t="str">
        <f>IF(AND($E$7=1,ROUND('1_Full_time'!K18,2)&lt;&gt;'1_Full_time'!K18),I$32&amp;", "&amp;I$33&amp;", Price group "&amp;$B40&amp;", "&amp;$C40&amp;" length, "&amp;"Level "&amp;$D40&amp;"; ","")</f>
        <v/>
      </c>
      <c r="J40" s="211" t="str">
        <f>IF(AND($E$7=1,ROUND('1_Full_time'!L18,2)&lt;&gt;'1_Full_time'!L18),J$32&amp;", "&amp;J$33&amp;", Price group "&amp;$B40&amp;", "&amp;$C40&amp;" length, "&amp;"Level "&amp;$D40&amp;"; ","")</f>
        <v/>
      </c>
      <c r="L40" s="118"/>
      <c r="M40" s="30" t="s">
        <v>238</v>
      </c>
      <c r="N40" s="378">
        <f>IF(OR(E60&lt;&gt;"",E140&lt;&gt;""),1,0)</f>
        <v>0</v>
      </c>
      <c r="O40" s="379">
        <f t="shared" si="12"/>
        <v>0</v>
      </c>
      <c r="P40" s="380">
        <f t="shared" si="13"/>
        <v>0</v>
      </c>
      <c r="Q40" s="391">
        <f t="shared" si="3"/>
        <v>0</v>
      </c>
      <c r="R40" s="392">
        <f t="shared" si="4"/>
        <v>0</v>
      </c>
      <c r="S40" s="393">
        <f t="shared" si="5"/>
        <v>0</v>
      </c>
      <c r="T40" s="378">
        <f>IF(OR(H60&lt;&gt;"",H140&lt;&gt;""),1,0)</f>
        <v>0</v>
      </c>
      <c r="U40" s="379">
        <f t="shared" si="14"/>
        <v>0</v>
      </c>
      <c r="V40" s="380">
        <f t="shared" si="15"/>
        <v>0</v>
      </c>
      <c r="W40" s="391">
        <f t="shared" si="6"/>
        <v>0</v>
      </c>
      <c r="X40" s="392">
        <f t="shared" si="7"/>
        <v>0</v>
      </c>
      <c r="Y40" s="393">
        <f t="shared" si="8"/>
        <v>0</v>
      </c>
    </row>
    <row r="41" spans="2:25" ht="13.15" x14ac:dyDescent="0.35">
      <c r="B41" s="326" t="s">
        <v>203</v>
      </c>
      <c r="C41" s="7" t="s">
        <v>218</v>
      </c>
      <c r="D41" s="13" t="s">
        <v>208</v>
      </c>
      <c r="E41" s="1609" t="str">
        <f>IF(AND($E$7=1,ROUND('1_Full_time'!G19,2)&lt;&gt;'1_Full_time'!G19),E$32&amp;", "&amp;E$33&amp;", Price group "&amp;$B41&amp;", "&amp;$C41&amp;" length, "&amp;"Level "&amp;$D41&amp;"; ","")</f>
        <v/>
      </c>
      <c r="F41" s="7" t="str">
        <f>IF(AND($E$7=1,ROUND('1_Full_time'!H19,2)&lt;&gt;'1_Full_time'!H19),F$32&amp;", "&amp;F$33&amp;", Price group "&amp;$B41&amp;", "&amp;$C41&amp;" length, "&amp;"Level "&amp;$D41&amp;"; ","")</f>
        <v/>
      </c>
      <c r="G41" s="211" t="str">
        <f>IF(AND($E$7=1,ROUND('1_Full_time'!I19,2)&lt;&gt;'1_Full_time'!I19),G$32&amp;", "&amp;G$33&amp;", Price group "&amp;$B41&amp;", "&amp;$C41&amp;" length, "&amp;"Level "&amp;$D41&amp;"; ","")</f>
        <v/>
      </c>
      <c r="H41" s="1609" t="str">
        <f>IF(AND($E$7=1,ROUND('1_Full_time'!J19,2)&lt;&gt;'1_Full_time'!J19),H$32&amp;", "&amp;H$33&amp;", Price group "&amp;$B41&amp;", "&amp;$C41&amp;" length, "&amp;"Level "&amp;$D41&amp;"; ","")</f>
        <v/>
      </c>
      <c r="I41" s="7" t="str">
        <f>IF(AND($E$7=1,ROUND('1_Full_time'!K19,2)&lt;&gt;'1_Full_time'!K19),I$32&amp;", "&amp;I$33&amp;", Price group "&amp;$B41&amp;", "&amp;$C41&amp;" length, "&amp;"Level "&amp;$D41&amp;"; ","")</f>
        <v/>
      </c>
      <c r="J41" s="211" t="str">
        <f>IF(AND($E$7=1,ROUND('1_Full_time'!L19,2)&lt;&gt;'1_Full_time'!L19),J$32&amp;", "&amp;J$33&amp;", Price group "&amp;$B41&amp;", "&amp;$C41&amp;" length, "&amp;"Level "&amp;$D41&amp;"; ","")</f>
        <v/>
      </c>
      <c r="L41" s="118"/>
      <c r="M41" s="30" t="s">
        <v>238</v>
      </c>
      <c r="N41" s="378">
        <f>IF(OR(E61&lt;&gt;"",E141&lt;&gt;""),1,0)</f>
        <v>0</v>
      </c>
      <c r="O41" s="379">
        <f t="shared" si="12"/>
        <v>0</v>
      </c>
      <c r="P41" s="380">
        <f t="shared" si="13"/>
        <v>0</v>
      </c>
      <c r="Q41" s="391">
        <f t="shared" si="3"/>
        <v>0</v>
      </c>
      <c r="R41" s="392">
        <f t="shared" si="4"/>
        <v>0</v>
      </c>
      <c r="S41" s="393">
        <f t="shared" si="5"/>
        <v>0</v>
      </c>
      <c r="T41" s="378">
        <f>IF(OR(H61&lt;&gt;"",H141&lt;&gt;""),1,0)</f>
        <v>0</v>
      </c>
      <c r="U41" s="379">
        <f t="shared" si="14"/>
        <v>0</v>
      </c>
      <c r="V41" s="380">
        <f t="shared" si="15"/>
        <v>0</v>
      </c>
      <c r="W41" s="391">
        <f t="shared" si="6"/>
        <v>0</v>
      </c>
      <c r="X41" s="392">
        <f t="shared" si="7"/>
        <v>0</v>
      </c>
      <c r="Y41" s="393">
        <f t="shared" si="8"/>
        <v>0</v>
      </c>
    </row>
    <row r="42" spans="2:25" ht="13.15" x14ac:dyDescent="0.35">
      <c r="B42" s="326" t="s">
        <v>203</v>
      </c>
      <c r="C42" s="7" t="s">
        <v>218</v>
      </c>
      <c r="D42" s="13" t="s">
        <v>210</v>
      </c>
      <c r="E42" s="1609" t="str">
        <f>IF(AND($E$7=1,ROUND('1_Full_time'!G20,2)&lt;&gt;'1_Full_time'!G20),E$32&amp;", "&amp;E$33&amp;", Price group "&amp;$B42&amp;", "&amp;$C42&amp;" length, "&amp;"Level "&amp;$D42&amp;"; ","")</f>
        <v/>
      </c>
      <c r="F42" s="7" t="str">
        <f>IF(AND($E$7=1,ROUND('1_Full_time'!H20,2)&lt;&gt;'1_Full_time'!H20),F$32&amp;", "&amp;F$33&amp;", Price group "&amp;$B42&amp;", "&amp;$C42&amp;" length, "&amp;"Level "&amp;$D42&amp;"; ","")</f>
        <v/>
      </c>
      <c r="G42" s="211" t="str">
        <f>IF(AND($E$7=1,ROUND('1_Full_time'!I20,2)&lt;&gt;'1_Full_time'!I20),G$32&amp;", "&amp;G$33&amp;", Price group "&amp;$B42&amp;", "&amp;$C42&amp;" length, "&amp;"Level "&amp;$D42&amp;"; ","")</f>
        <v/>
      </c>
      <c r="H42" s="1609" t="str">
        <f>IF(AND($E$7=1,ROUND('1_Full_time'!J20,2)&lt;&gt;'1_Full_time'!J20),H$32&amp;", "&amp;H$33&amp;", Price group "&amp;$B42&amp;", "&amp;$C42&amp;" length, "&amp;"Level "&amp;$D42&amp;"; ","")</f>
        <v/>
      </c>
      <c r="I42" s="7" t="str">
        <f>IF(AND($E$7=1,ROUND('1_Full_time'!K20,2)&lt;&gt;'1_Full_time'!K20),I$32&amp;", "&amp;I$33&amp;", Price group "&amp;$B42&amp;", "&amp;$C42&amp;" length, "&amp;"Level "&amp;$D42&amp;"; ","")</f>
        <v/>
      </c>
      <c r="J42" s="211" t="str">
        <f>IF(AND($E$7=1,ROUND('1_Full_time'!L20,2)&lt;&gt;'1_Full_time'!L20),J$32&amp;", "&amp;J$33&amp;", Price group "&amp;$B42&amp;", "&amp;$C42&amp;" length, "&amp;"Level "&amp;$D42&amp;"; ","")</f>
        <v/>
      </c>
      <c r="L42" s="118"/>
      <c r="M42" s="30" t="s">
        <v>251</v>
      </c>
      <c r="N42" s="381">
        <f>IF(OR(E62&lt;&gt;"",E142&lt;&gt;""),1,0)</f>
        <v>0</v>
      </c>
      <c r="O42" s="382">
        <f t="shared" si="12"/>
        <v>0</v>
      </c>
      <c r="P42" s="383">
        <f t="shared" si="13"/>
        <v>0</v>
      </c>
      <c r="Q42" s="394">
        <f t="shared" si="3"/>
        <v>0</v>
      </c>
      <c r="R42" s="395">
        <f t="shared" si="4"/>
        <v>0</v>
      </c>
      <c r="S42" s="396">
        <f t="shared" si="5"/>
        <v>0</v>
      </c>
      <c r="T42" s="381">
        <f>IF(OR(H62&lt;&gt;"",H142&lt;&gt;""),1,0)</f>
        <v>0</v>
      </c>
      <c r="U42" s="382">
        <f t="shared" si="14"/>
        <v>0</v>
      </c>
      <c r="V42" s="383">
        <f t="shared" si="15"/>
        <v>0</v>
      </c>
      <c r="W42" s="394">
        <f t="shared" si="6"/>
        <v>0</v>
      </c>
      <c r="X42" s="395">
        <f t="shared" si="7"/>
        <v>0</v>
      </c>
      <c r="Y42" s="396">
        <f t="shared" si="8"/>
        <v>0</v>
      </c>
    </row>
    <row r="43" spans="2:25" ht="13.15" x14ac:dyDescent="0.35">
      <c r="B43" s="326" t="s">
        <v>203</v>
      </c>
      <c r="C43" s="7" t="s">
        <v>218</v>
      </c>
      <c r="D43" s="13" t="s">
        <v>212</v>
      </c>
      <c r="E43" s="1609" t="str">
        <f>IF(AND($E$7=1,ROUND('1_Full_time'!G21,2)&lt;&gt;'1_Full_time'!G21),E$32&amp;", "&amp;E$33&amp;", Price group "&amp;$B43&amp;", "&amp;$C43&amp;" length, "&amp;"Level "&amp;$D43&amp;"; ","")</f>
        <v/>
      </c>
      <c r="F43" s="7" t="str">
        <f>IF(AND($E$7=1,ROUND('1_Full_time'!H21,2)&lt;&gt;'1_Full_time'!H21),F$32&amp;", "&amp;F$33&amp;", Price group "&amp;$B43&amp;", "&amp;$C43&amp;" length, "&amp;"Level "&amp;$D43&amp;"; ","")</f>
        <v/>
      </c>
      <c r="G43" s="211" t="str">
        <f>IF(AND($E$7=1,ROUND('1_Full_time'!I21,2)&lt;&gt;'1_Full_time'!I21),G$32&amp;", "&amp;G$33&amp;", Price group "&amp;$B43&amp;", "&amp;$C43&amp;" length, "&amp;"Level "&amp;$D43&amp;"; ","")</f>
        <v/>
      </c>
      <c r="H43" s="1609" t="str">
        <f>IF(AND($E$7=1,ROUND('1_Full_time'!J21,2)&lt;&gt;'1_Full_time'!J21),H$32&amp;", "&amp;H$33&amp;", Price group "&amp;$B43&amp;", "&amp;$C43&amp;" length, "&amp;"Level "&amp;$D43&amp;"; ","")</f>
        <v/>
      </c>
      <c r="I43" s="7" t="str">
        <f>IF(AND($E$7=1,ROUND('1_Full_time'!K21,2)&lt;&gt;'1_Full_time'!K21),I$32&amp;", "&amp;I$33&amp;", Price group "&amp;$B43&amp;", "&amp;$C43&amp;" length, "&amp;"Level "&amp;$D43&amp;"; ","")</f>
        <v/>
      </c>
      <c r="J43" s="211" t="str">
        <f>IF(AND($E$7=1,ROUND('1_Full_time'!L21,2)&lt;&gt;'1_Full_time'!L21),J$32&amp;", "&amp;J$33&amp;", Price group "&amp;$B43&amp;", "&amp;$C43&amp;" length, "&amp;"Level "&amp;$D43&amp;"; ","")</f>
        <v/>
      </c>
      <c r="L43" s="118"/>
      <c r="M43" s="30" t="s">
        <v>238</v>
      </c>
      <c r="N43" s="384"/>
      <c r="O43" s="379">
        <f t="shared" si="12"/>
        <v>0</v>
      </c>
      <c r="P43" s="380">
        <f t="shared" si="13"/>
        <v>0</v>
      </c>
      <c r="Q43" s="384"/>
      <c r="R43" s="392">
        <f t="shared" si="4"/>
        <v>0</v>
      </c>
      <c r="S43" s="393">
        <f t="shared" si="5"/>
        <v>0</v>
      </c>
      <c r="T43" s="384"/>
      <c r="U43" s="379">
        <f t="shared" si="14"/>
        <v>0</v>
      </c>
      <c r="V43" s="380">
        <f t="shared" si="15"/>
        <v>0</v>
      </c>
      <c r="W43" s="384">
        <f t="shared" si="6"/>
        <v>0</v>
      </c>
      <c r="X43" s="392">
        <f t="shared" si="7"/>
        <v>0</v>
      </c>
      <c r="Y43" s="393">
        <f t="shared" si="8"/>
        <v>0</v>
      </c>
    </row>
    <row r="44" spans="2:25" ht="13.15" x14ac:dyDescent="0.35">
      <c r="B44" s="326" t="s">
        <v>203</v>
      </c>
      <c r="C44" s="7" t="s">
        <v>218</v>
      </c>
      <c r="D44" s="13" t="s">
        <v>214</v>
      </c>
      <c r="E44" s="1609" t="str">
        <f>IF(AND($E$7=1,ROUND('1_Full_time'!G22,2)&lt;&gt;'1_Full_time'!G22),E$32&amp;", "&amp;E$33&amp;", Price group "&amp;$B44&amp;", "&amp;$C44&amp;" length, "&amp;"Level "&amp;$D44&amp;"; ","")</f>
        <v/>
      </c>
      <c r="F44" s="7" t="str">
        <f>IF(AND($E$7=1,ROUND('1_Full_time'!H22,2)&lt;&gt;'1_Full_time'!H22),F$32&amp;", "&amp;F$33&amp;", Price group "&amp;$B44&amp;", "&amp;$C44&amp;" length, "&amp;"Level "&amp;$D44&amp;"; ","")</f>
        <v/>
      </c>
      <c r="G44" s="211" t="str">
        <f>IF(AND($E$7=1,ROUND('1_Full_time'!I22,2)&lt;&gt;'1_Full_time'!I22),G$32&amp;", "&amp;G$33&amp;", Price group "&amp;$B44&amp;", "&amp;$C44&amp;" length, "&amp;"Level "&amp;$D44&amp;"; ","")</f>
        <v/>
      </c>
      <c r="H44" s="1609" t="str">
        <f>IF(AND($E$7=1,ROUND('1_Full_time'!J22,2)&lt;&gt;'1_Full_time'!J22),H$32&amp;", "&amp;H$33&amp;", Price group "&amp;$B44&amp;", "&amp;$C44&amp;" length, "&amp;"Level "&amp;$D44&amp;"; ","")</f>
        <v/>
      </c>
      <c r="I44" s="7" t="str">
        <f>IF(AND($E$7=1,ROUND('1_Full_time'!K22,2)&lt;&gt;'1_Full_time'!K22),I$32&amp;", "&amp;I$33&amp;", Price group "&amp;$B44&amp;", "&amp;$C44&amp;" length, "&amp;"Level "&amp;$D44&amp;"; ","")</f>
        <v/>
      </c>
      <c r="J44" s="211" t="str">
        <f>IF(AND($E$7=1,ROUND('1_Full_time'!L22,2)&lt;&gt;'1_Full_time'!L22),J$32&amp;", "&amp;J$33&amp;", Price group "&amp;$B44&amp;", "&amp;$C44&amp;" length, "&amp;"Level "&amp;$D44&amp;"; ","")</f>
        <v/>
      </c>
      <c r="L44" s="118"/>
      <c r="M44" s="30" t="s">
        <v>238</v>
      </c>
      <c r="N44" s="385">
        <f>IF(OR(E64&lt;&gt;"",E144&lt;&gt;""),1,0)</f>
        <v>0</v>
      </c>
      <c r="O44" s="386">
        <f t="shared" si="12"/>
        <v>0</v>
      </c>
      <c r="P44" s="387">
        <f t="shared" si="13"/>
        <v>0</v>
      </c>
      <c r="Q44" s="397">
        <f t="shared" si="3"/>
        <v>0</v>
      </c>
      <c r="R44" s="398">
        <f t="shared" si="4"/>
        <v>0</v>
      </c>
      <c r="S44" s="399">
        <f t="shared" si="5"/>
        <v>0</v>
      </c>
      <c r="T44" s="385">
        <f>IF(OR(H64&lt;&gt;"",H144&lt;&gt;""),1,0)</f>
        <v>0</v>
      </c>
      <c r="U44" s="386">
        <f t="shared" si="14"/>
        <v>0</v>
      </c>
      <c r="V44" s="387">
        <f t="shared" si="15"/>
        <v>0</v>
      </c>
      <c r="W44" s="397">
        <f t="shared" si="6"/>
        <v>0</v>
      </c>
      <c r="X44" s="398">
        <f t="shared" si="7"/>
        <v>0</v>
      </c>
      <c r="Y44" s="399">
        <f t="shared" si="8"/>
        <v>0</v>
      </c>
    </row>
    <row r="45" spans="2:25" ht="13.15" x14ac:dyDescent="0.35">
      <c r="B45" s="326" t="s">
        <v>203</v>
      </c>
      <c r="C45" s="7" t="s">
        <v>218</v>
      </c>
      <c r="D45" s="13" t="s">
        <v>216</v>
      </c>
      <c r="E45" s="1617"/>
      <c r="F45" s="7" t="str">
        <f>IF(AND($E$7=1,ROUND('1_Full_time'!H23,2)&lt;&gt;'1_Full_time'!H23),F$32&amp;", "&amp;F$33&amp;", Price group "&amp;$B45&amp;", "&amp;$C45&amp;" length, "&amp;"Level "&amp;$D45&amp;"; ","")</f>
        <v/>
      </c>
      <c r="G45" s="211" t="str">
        <f>IF(AND($E$7=1,ROUND('1_Full_time'!I23,2)&lt;&gt;'1_Full_time'!I23),G$32&amp;", "&amp;G$33&amp;", Price group "&amp;$B45&amp;", "&amp;$C45&amp;" length, "&amp;"Level "&amp;$D45&amp;"; ","")</f>
        <v/>
      </c>
      <c r="H45" s="1617"/>
      <c r="I45" s="7" t="str">
        <f>IF(AND($E$7=1,ROUND('1_Full_time'!K23,2)&lt;&gt;'1_Full_time'!K23),I$32&amp;", "&amp;I$33&amp;", Price group "&amp;$B45&amp;", "&amp;$C45&amp;" length, "&amp;"Level "&amp;$D45&amp;"; ","")</f>
        <v/>
      </c>
      <c r="J45" s="211" t="str">
        <f>IF(AND($E$7=1,ROUND('1_Full_time'!L23,2)&lt;&gt;'1_Full_time'!L23),J$32&amp;", "&amp;J$33&amp;", Price group "&amp;$B45&amp;", "&amp;$C45&amp;" length, "&amp;"Level "&amp;$D45&amp;"; ","")</f>
        <v/>
      </c>
      <c r="L45" s="118"/>
      <c r="M45" s="30" t="s">
        <v>238</v>
      </c>
      <c r="N45" s="388">
        <f>IF(OR(E65&lt;&gt;"",E145&lt;&gt;""),1,0)</f>
        <v>0</v>
      </c>
      <c r="O45" s="389">
        <f t="shared" si="12"/>
        <v>0</v>
      </c>
      <c r="P45" s="390">
        <f t="shared" si="13"/>
        <v>0</v>
      </c>
      <c r="Q45" s="404">
        <f t="shared" si="3"/>
        <v>0</v>
      </c>
      <c r="R45" s="405">
        <f t="shared" si="4"/>
        <v>0</v>
      </c>
      <c r="S45" s="406">
        <f t="shared" si="5"/>
        <v>0</v>
      </c>
      <c r="T45" s="388">
        <f>IF(OR(H65&lt;&gt;"",H145&lt;&gt;""),1,0)</f>
        <v>0</v>
      </c>
      <c r="U45" s="389">
        <f t="shared" si="14"/>
        <v>0</v>
      </c>
      <c r="V45" s="390">
        <f t="shared" si="15"/>
        <v>0</v>
      </c>
      <c r="W45" s="404">
        <f t="shared" si="6"/>
        <v>0</v>
      </c>
      <c r="X45" s="405">
        <f t="shared" si="7"/>
        <v>0</v>
      </c>
      <c r="Y45" s="406">
        <f t="shared" si="8"/>
        <v>0</v>
      </c>
    </row>
    <row r="46" spans="2:25" ht="13.15" x14ac:dyDescent="0.35">
      <c r="B46" s="326" t="s">
        <v>225</v>
      </c>
      <c r="C46" s="7" t="s">
        <v>204</v>
      </c>
      <c r="D46" s="13" t="s">
        <v>205</v>
      </c>
      <c r="E46" s="1720" t="str">
        <f>IF(AND($E$7=1,ROUND('1_Full_time'!G24,2)&lt;&gt;'1_Full_time'!G24),E$32&amp;", "&amp;E$33&amp;", Price group "&amp;$B46&amp;", "&amp;$C46&amp;" length, "&amp;"Level "&amp;$D46&amp;"; ","")</f>
        <v/>
      </c>
      <c r="F46" s="1412" t="str">
        <f>IF(AND($E$7=1,ROUND('1_Full_time'!H24,2)&lt;&gt;'1_Full_time'!H24),F$32&amp;", "&amp;F$33&amp;", Price group "&amp;$B46&amp;", "&amp;$C46&amp;" length, "&amp;"Level "&amp;$D46&amp;"; ","")</f>
        <v/>
      </c>
      <c r="G46" s="1789" t="str">
        <f>IF(AND($E$7=1,ROUND('1_Full_time'!I24,2)&lt;&gt;'1_Full_time'!I24),G$32&amp;", "&amp;G$33&amp;", Price group "&amp;$B46&amp;", "&amp;$C46&amp;" length, "&amp;"Level "&amp;$D46&amp;"; ","")</f>
        <v/>
      </c>
      <c r="H46" s="1720" t="str">
        <f>IF(AND($E$7=1,ROUND('1_Full_time'!J24,2)&lt;&gt;'1_Full_time'!J24),H$32&amp;", "&amp;H$33&amp;", Price group "&amp;$B46&amp;", "&amp;$C46&amp;" length, "&amp;"Level "&amp;$D46&amp;"; ","")</f>
        <v/>
      </c>
      <c r="I46" s="1412" t="str">
        <f>IF(AND($E$7=1,ROUND('1_Full_time'!K24,2)&lt;&gt;'1_Full_time'!K24),I$32&amp;", "&amp;I$33&amp;", Price group "&amp;$B46&amp;", "&amp;$C46&amp;" length, "&amp;"Level "&amp;$D46&amp;"; ","")</f>
        <v/>
      </c>
      <c r="J46" s="1789" t="str">
        <f>IF(AND($E$7=1,ROUND('1_Full_time'!L24,2)&lt;&gt;'1_Full_time'!L24),J$32&amp;", "&amp;J$33&amp;", Price group "&amp;$B46&amp;", "&amp;$C46&amp;" length, "&amp;"Level "&amp;$D46&amp;"; ","")</f>
        <v/>
      </c>
      <c r="L46" s="118"/>
      <c r="M46" s="30" t="s">
        <v>238</v>
      </c>
      <c r="N46" s="378">
        <f>IF(OR(E66&lt;&gt;"",E146&lt;&gt;""),1,0)</f>
        <v>0</v>
      </c>
      <c r="O46" s="379">
        <f t="shared" si="12"/>
        <v>0</v>
      </c>
      <c r="P46" s="380">
        <f t="shared" si="13"/>
        <v>0</v>
      </c>
      <c r="Q46" s="391">
        <f t="shared" si="3"/>
        <v>0</v>
      </c>
      <c r="R46" s="392">
        <f t="shared" si="4"/>
        <v>0</v>
      </c>
      <c r="S46" s="393">
        <f t="shared" si="5"/>
        <v>0</v>
      </c>
      <c r="T46" s="378">
        <f>IF(OR(H66&lt;&gt;"",H146&lt;&gt;""),1,0)</f>
        <v>0</v>
      </c>
      <c r="U46" s="379">
        <f t="shared" si="14"/>
        <v>0</v>
      </c>
      <c r="V46" s="380">
        <f t="shared" si="15"/>
        <v>0</v>
      </c>
      <c r="W46" s="391">
        <f t="shared" si="6"/>
        <v>0</v>
      </c>
      <c r="X46" s="392">
        <f t="shared" si="7"/>
        <v>0</v>
      </c>
      <c r="Y46" s="393">
        <f t="shared" si="8"/>
        <v>0</v>
      </c>
    </row>
    <row r="47" spans="2:25" ht="13.15" x14ac:dyDescent="0.35">
      <c r="B47" s="326" t="s">
        <v>225</v>
      </c>
      <c r="C47" s="7" t="s">
        <v>204</v>
      </c>
      <c r="D47" s="13" t="s">
        <v>208</v>
      </c>
      <c r="E47" s="1609" t="str">
        <f>IF(AND($E$7=1,ROUND('1_Full_time'!G25,2)&lt;&gt;'1_Full_time'!G25),E$32&amp;", "&amp;E$33&amp;", Price group "&amp;$B47&amp;", "&amp;$C47&amp;" length, "&amp;"Level "&amp;$D47&amp;"; ","")</f>
        <v/>
      </c>
      <c r="F47" s="7" t="str">
        <f>IF(AND($E$7=1,ROUND('1_Full_time'!H25,2)&lt;&gt;'1_Full_time'!H25),F$32&amp;", "&amp;F$33&amp;", Price group "&amp;$B47&amp;", "&amp;$C47&amp;" length, "&amp;"Level "&amp;$D47&amp;"; ","")</f>
        <v/>
      </c>
      <c r="G47" s="211" t="str">
        <f>IF(AND($E$7=1,ROUND('1_Full_time'!I25,2)&lt;&gt;'1_Full_time'!I25),G$32&amp;", "&amp;G$33&amp;", Price group "&amp;$B47&amp;", "&amp;$C47&amp;" length, "&amp;"Level "&amp;$D47&amp;"; ","")</f>
        <v/>
      </c>
      <c r="H47" s="1609" t="str">
        <f>IF(AND($E$7=1,ROUND('1_Full_time'!J25,2)&lt;&gt;'1_Full_time'!J25),H$32&amp;", "&amp;H$33&amp;", Price group "&amp;$B47&amp;", "&amp;$C47&amp;" length, "&amp;"Level "&amp;$D47&amp;"; ","")</f>
        <v/>
      </c>
      <c r="I47" s="7" t="str">
        <f>IF(AND($E$7=1,ROUND('1_Full_time'!K25,2)&lt;&gt;'1_Full_time'!K25),I$32&amp;", "&amp;I$33&amp;", Price group "&amp;$B47&amp;", "&amp;$C47&amp;" length, "&amp;"Level "&amp;$D47&amp;"; ","")</f>
        <v/>
      </c>
      <c r="J47" s="211" t="str">
        <f>IF(AND($E$7=1,ROUND('1_Full_time'!L25,2)&lt;&gt;'1_Full_time'!L25),J$32&amp;", "&amp;J$33&amp;", Price group "&amp;$B47&amp;", "&amp;$C47&amp;" length, "&amp;"Level "&amp;$D47&amp;"; ","")</f>
        <v/>
      </c>
      <c r="L47" s="118"/>
      <c r="M47" s="30" t="s">
        <v>238</v>
      </c>
      <c r="N47" s="378">
        <f>IF(OR(E67&lt;&gt;"",E147&lt;&gt;""),1,0)</f>
        <v>0</v>
      </c>
      <c r="O47" s="379">
        <f t="shared" si="12"/>
        <v>0</v>
      </c>
      <c r="P47" s="380">
        <f t="shared" si="13"/>
        <v>0</v>
      </c>
      <c r="Q47" s="391">
        <f t="shared" si="3"/>
        <v>0</v>
      </c>
      <c r="R47" s="392">
        <f t="shared" si="4"/>
        <v>0</v>
      </c>
      <c r="S47" s="393">
        <f t="shared" si="5"/>
        <v>0</v>
      </c>
      <c r="T47" s="378">
        <f>IF(OR(H67&lt;&gt;"",H147&lt;&gt;""),1,0)</f>
        <v>0</v>
      </c>
      <c r="U47" s="379">
        <f t="shared" si="14"/>
        <v>0</v>
      </c>
      <c r="V47" s="380">
        <f t="shared" si="15"/>
        <v>0</v>
      </c>
      <c r="W47" s="391">
        <f t="shared" si="6"/>
        <v>0</v>
      </c>
      <c r="X47" s="392">
        <f t="shared" si="7"/>
        <v>0</v>
      </c>
      <c r="Y47" s="393">
        <f t="shared" si="8"/>
        <v>0</v>
      </c>
    </row>
    <row r="48" spans="2:25" ht="13.15" x14ac:dyDescent="0.35">
      <c r="B48" s="326" t="s">
        <v>225</v>
      </c>
      <c r="C48" s="7" t="s">
        <v>204</v>
      </c>
      <c r="D48" s="13" t="s">
        <v>210</v>
      </c>
      <c r="E48" s="1609" t="str">
        <f>IF(AND($E$7=1,ROUND('1_Full_time'!G26,2)&lt;&gt;'1_Full_time'!G26),E$32&amp;", "&amp;E$33&amp;", Price group "&amp;$B48&amp;", "&amp;$C48&amp;" length, "&amp;"Level "&amp;$D48&amp;"; ","")</f>
        <v/>
      </c>
      <c r="F48" s="7" t="str">
        <f>IF(AND($E$7=1,ROUND('1_Full_time'!H26,2)&lt;&gt;'1_Full_time'!H26),F$32&amp;", "&amp;F$33&amp;", Price group "&amp;$B48&amp;", "&amp;$C48&amp;" length, "&amp;"Level "&amp;$D48&amp;"; ","")</f>
        <v/>
      </c>
      <c r="G48" s="211" t="str">
        <f>IF(AND($E$7=1,ROUND('1_Full_time'!I26,2)&lt;&gt;'1_Full_time'!I26),G$32&amp;", "&amp;G$33&amp;", Price group "&amp;$B48&amp;", "&amp;$C48&amp;" length, "&amp;"Level "&amp;$D48&amp;"; ","")</f>
        <v/>
      </c>
      <c r="H48" s="1609" t="str">
        <f>IF(AND($E$7=1,ROUND('1_Full_time'!J26,2)&lt;&gt;'1_Full_time'!J26),H$32&amp;", "&amp;H$33&amp;", Price group "&amp;$B48&amp;", "&amp;$C48&amp;" length, "&amp;"Level "&amp;$D48&amp;"; ","")</f>
        <v/>
      </c>
      <c r="I48" s="7" t="str">
        <f>IF(AND($E$7=1,ROUND('1_Full_time'!K26,2)&lt;&gt;'1_Full_time'!K26),I$32&amp;", "&amp;I$33&amp;", Price group "&amp;$B48&amp;", "&amp;$C48&amp;" length, "&amp;"Level "&amp;$D48&amp;"; ","")</f>
        <v/>
      </c>
      <c r="J48" s="211" t="str">
        <f>IF(AND($E$7=1,ROUND('1_Full_time'!L26,2)&lt;&gt;'1_Full_time'!L26),J$32&amp;", "&amp;J$33&amp;", Price group "&amp;$B48&amp;", "&amp;$C48&amp;" length, "&amp;"Level "&amp;$D48&amp;"; ","")</f>
        <v/>
      </c>
      <c r="L48" s="118"/>
      <c r="M48" s="30" t="s">
        <v>238</v>
      </c>
      <c r="N48" s="378">
        <f>IF(OR(E68&lt;&gt;"",E148&lt;&gt;""),1,0)</f>
        <v>0</v>
      </c>
      <c r="O48" s="379">
        <f t="shared" si="12"/>
        <v>0</v>
      </c>
      <c r="P48" s="380">
        <f t="shared" si="13"/>
        <v>0</v>
      </c>
      <c r="Q48" s="391">
        <f t="shared" si="3"/>
        <v>0</v>
      </c>
      <c r="R48" s="392">
        <f t="shared" si="4"/>
        <v>0</v>
      </c>
      <c r="S48" s="393">
        <f t="shared" si="5"/>
        <v>0</v>
      </c>
      <c r="T48" s="378">
        <f>IF(OR(H68&lt;&gt;"",H148&lt;&gt;""),1,0)</f>
        <v>0</v>
      </c>
      <c r="U48" s="379">
        <f t="shared" si="14"/>
        <v>0</v>
      </c>
      <c r="V48" s="380">
        <f t="shared" si="15"/>
        <v>0</v>
      </c>
      <c r="W48" s="391">
        <f t="shared" si="6"/>
        <v>0</v>
      </c>
      <c r="X48" s="392">
        <f t="shared" si="7"/>
        <v>0</v>
      </c>
      <c r="Y48" s="393">
        <f t="shared" si="8"/>
        <v>0</v>
      </c>
    </row>
    <row r="49" spans="2:25" ht="13.15" x14ac:dyDescent="0.35">
      <c r="B49" s="326" t="s">
        <v>225</v>
      </c>
      <c r="C49" s="7" t="s">
        <v>204</v>
      </c>
      <c r="D49" s="13" t="s">
        <v>212</v>
      </c>
      <c r="E49" s="1609" t="str">
        <f>IF(AND($E$7=1,ROUND('1_Full_time'!G27,2)&lt;&gt;'1_Full_time'!G27),E$32&amp;", "&amp;E$33&amp;", Price group "&amp;$B49&amp;", "&amp;$C49&amp;" length, "&amp;"Level "&amp;$D49&amp;"; ","")</f>
        <v/>
      </c>
      <c r="F49" s="7" t="str">
        <f>IF(AND($E$7=1,ROUND('1_Full_time'!H27,2)&lt;&gt;'1_Full_time'!H27),F$32&amp;", "&amp;F$33&amp;", Price group "&amp;$B49&amp;", "&amp;$C49&amp;" length, "&amp;"Level "&amp;$D49&amp;"; ","")</f>
        <v/>
      </c>
      <c r="G49" s="211" t="str">
        <f>IF(AND($E$7=1,ROUND('1_Full_time'!I27,2)&lt;&gt;'1_Full_time'!I27),G$32&amp;", "&amp;G$33&amp;", Price group "&amp;$B49&amp;", "&amp;$C49&amp;" length, "&amp;"Level "&amp;$D49&amp;"; ","")</f>
        <v/>
      </c>
      <c r="H49" s="1609" t="str">
        <f>IF(AND($E$7=1,ROUND('1_Full_time'!J27,2)&lt;&gt;'1_Full_time'!J27),H$32&amp;", "&amp;H$33&amp;", Price group "&amp;$B49&amp;", "&amp;$C49&amp;" length, "&amp;"Level "&amp;$D49&amp;"; ","")</f>
        <v/>
      </c>
      <c r="I49" s="7" t="str">
        <f>IF(AND($E$7=1,ROUND('1_Full_time'!K27,2)&lt;&gt;'1_Full_time'!K27),I$32&amp;", "&amp;I$33&amp;", Price group "&amp;$B49&amp;", "&amp;$C49&amp;" length, "&amp;"Level "&amp;$D49&amp;"; ","")</f>
        <v/>
      </c>
      <c r="J49" s="211" t="str">
        <f>IF(AND($E$7=1,ROUND('1_Full_time'!L27,2)&lt;&gt;'1_Full_time'!L27),J$32&amp;", "&amp;J$33&amp;", Price group "&amp;$B49&amp;", "&amp;$C49&amp;" length, "&amp;"Level "&amp;$D49&amp;"; ","")</f>
        <v/>
      </c>
      <c r="L49" s="118"/>
      <c r="M49" s="30" t="s">
        <v>238</v>
      </c>
      <c r="N49" s="384"/>
      <c r="O49" s="379">
        <f t="shared" si="12"/>
        <v>0</v>
      </c>
      <c r="P49" s="380">
        <f t="shared" si="13"/>
        <v>0</v>
      </c>
      <c r="Q49" s="384"/>
      <c r="R49" s="392">
        <f t="shared" si="4"/>
        <v>0</v>
      </c>
      <c r="S49" s="393">
        <f t="shared" si="5"/>
        <v>0</v>
      </c>
      <c r="T49" s="384"/>
      <c r="U49" s="379">
        <f t="shared" si="14"/>
        <v>0</v>
      </c>
      <c r="V49" s="380">
        <f t="shared" si="15"/>
        <v>0</v>
      </c>
      <c r="W49" s="384"/>
      <c r="X49" s="392">
        <f t="shared" si="7"/>
        <v>0</v>
      </c>
      <c r="Y49" s="393">
        <f t="shared" si="8"/>
        <v>0</v>
      </c>
    </row>
    <row r="50" spans="2:25" ht="13.15" x14ac:dyDescent="0.35">
      <c r="B50" s="326" t="s">
        <v>225</v>
      </c>
      <c r="C50" s="7" t="s">
        <v>204</v>
      </c>
      <c r="D50" s="13" t="s">
        <v>214</v>
      </c>
      <c r="E50" s="1609" t="str">
        <f>IF(AND($E$7=1,ROUND('1_Full_time'!G28,2)&lt;&gt;'1_Full_time'!G28),E$32&amp;", "&amp;E$33&amp;", Price group "&amp;$B50&amp;", "&amp;$C50&amp;" length, "&amp;"Level "&amp;$D50&amp;"; ","")</f>
        <v/>
      </c>
      <c r="F50" s="7" t="str">
        <f>IF(AND($E$7=1,ROUND('1_Full_time'!H28,2)&lt;&gt;'1_Full_time'!H28),F$32&amp;", "&amp;F$33&amp;", Price group "&amp;$B50&amp;", "&amp;$C50&amp;" length, "&amp;"Level "&amp;$D50&amp;"; ","")</f>
        <v/>
      </c>
      <c r="G50" s="211" t="str">
        <f>IF(AND($E$7=1,ROUND('1_Full_time'!I28,2)&lt;&gt;'1_Full_time'!I28),G$32&amp;", "&amp;G$33&amp;", Price group "&amp;$B50&amp;", "&amp;$C50&amp;" length, "&amp;"Level "&amp;$D50&amp;"; ","")</f>
        <v/>
      </c>
      <c r="H50" s="1609" t="str">
        <f>IF(AND($E$7=1,ROUND('1_Full_time'!J28,2)&lt;&gt;'1_Full_time'!J28),H$32&amp;", "&amp;H$33&amp;", Price group "&amp;$B50&amp;", "&amp;$C50&amp;" length, "&amp;"Level "&amp;$D50&amp;"; ","")</f>
        <v/>
      </c>
      <c r="I50" s="7" t="str">
        <f>IF(AND($E$7=1,ROUND('1_Full_time'!K28,2)&lt;&gt;'1_Full_time'!K28),I$32&amp;", "&amp;I$33&amp;", Price group "&amp;$B50&amp;", "&amp;$C50&amp;" length, "&amp;"Level "&amp;$D50&amp;"; ","")</f>
        <v/>
      </c>
      <c r="J50" s="211" t="str">
        <f>IF(AND($E$7=1,ROUND('1_Full_time'!L28,2)&lt;&gt;'1_Full_time'!L28),J$32&amp;", "&amp;J$33&amp;", Price group "&amp;$B50&amp;", "&amp;$C50&amp;" length, "&amp;"Level "&amp;$D50&amp;"; ","")</f>
        <v/>
      </c>
      <c r="L50" s="118"/>
      <c r="M50" s="30" t="s">
        <v>238</v>
      </c>
      <c r="N50" s="1714">
        <f>IF(OR(E70&lt;&gt;"",E150&lt;&gt;""),1,0)</f>
        <v>0</v>
      </c>
      <c r="O50" s="1689">
        <f t="shared" si="12"/>
        <v>0</v>
      </c>
      <c r="P50" s="1690">
        <f t="shared" si="13"/>
        <v>0</v>
      </c>
      <c r="Q50" s="1713">
        <f t="shared" si="3"/>
        <v>0</v>
      </c>
      <c r="R50" s="1691">
        <f t="shared" si="4"/>
        <v>0</v>
      </c>
      <c r="S50" s="1692">
        <f t="shared" si="5"/>
        <v>0</v>
      </c>
      <c r="T50" s="1714">
        <f>IF(OR(H70&lt;&gt;"",H150&lt;&gt;""),1,0)</f>
        <v>0</v>
      </c>
      <c r="U50" s="1689">
        <f t="shared" si="14"/>
        <v>0</v>
      </c>
      <c r="V50" s="1690">
        <f t="shared" si="15"/>
        <v>0</v>
      </c>
      <c r="W50" s="1713">
        <f t="shared" si="6"/>
        <v>0</v>
      </c>
      <c r="X50" s="1691">
        <f t="shared" si="7"/>
        <v>0</v>
      </c>
      <c r="Y50" s="1692">
        <f t="shared" si="8"/>
        <v>0</v>
      </c>
    </row>
    <row r="51" spans="2:25" ht="13.15" x14ac:dyDescent="0.35">
      <c r="B51" s="326" t="s">
        <v>225</v>
      </c>
      <c r="C51" s="7" t="s">
        <v>204</v>
      </c>
      <c r="D51" s="13" t="s">
        <v>216</v>
      </c>
      <c r="E51" s="1428"/>
      <c r="F51" s="1429" t="str">
        <f>IF(AND($E$7=1,ROUND('1_Full_time'!H29,2)&lt;&gt;'1_Full_time'!H29),F$32&amp;", "&amp;F$33&amp;", Price group "&amp;$B51&amp;", "&amp;$C51&amp;" length, "&amp;"Level "&amp;$D51&amp;"; ","")</f>
        <v/>
      </c>
      <c r="G51" s="1430" t="str">
        <f>IF(AND($E$7=1,ROUND('1_Full_time'!I29,2)&lt;&gt;'1_Full_time'!I29),G$32&amp;", "&amp;G$33&amp;", Price group "&amp;$B51&amp;", "&amp;$C51&amp;" length, "&amp;"Level "&amp;$D51&amp;"; ","")</f>
        <v/>
      </c>
      <c r="H51" s="1428"/>
      <c r="I51" s="1429" t="str">
        <f>IF(AND($E$7=1,ROUND('1_Full_time'!K29,2)&lt;&gt;'1_Full_time'!K29),I$32&amp;", "&amp;I$33&amp;", Price group "&amp;$B51&amp;", "&amp;$C51&amp;" length, "&amp;"Level "&amp;$D51&amp;"; ","")</f>
        <v/>
      </c>
      <c r="J51" s="1430" t="str">
        <f>IF(AND($E$7=1,ROUND('1_Full_time'!L29,2)&lt;&gt;'1_Full_time'!L29),J$32&amp;", "&amp;J$33&amp;", Price group "&amp;$B51&amp;", "&amp;$C51&amp;" length, "&amp;"Level "&amp;$D51&amp;"; ","")</f>
        <v/>
      </c>
      <c r="L51" s="118"/>
      <c r="M51" s="30" t="s">
        <v>251</v>
      </c>
      <c r="N51" s="388">
        <f>IF(OR(E71&lt;&gt;"",E151&lt;&gt;""),1,0)</f>
        <v>0</v>
      </c>
      <c r="O51" s="389">
        <f t="shared" ref="O51:O82" si="20">IF(OR(F71&lt;&gt;"",F151&lt;&gt;""),1,0)</f>
        <v>0</v>
      </c>
      <c r="P51" s="390">
        <f t="shared" ref="P51:P82" si="21">IF(OR(G71&lt;&gt;"",G151&lt;&gt;""),1,0)</f>
        <v>0</v>
      </c>
      <c r="Q51" s="404">
        <f t="shared" si="3"/>
        <v>0</v>
      </c>
      <c r="R51" s="405">
        <f t="shared" si="4"/>
        <v>0</v>
      </c>
      <c r="S51" s="406">
        <f t="shared" si="5"/>
        <v>0</v>
      </c>
      <c r="T51" s="388">
        <f>IF(OR(H71&lt;&gt;"",H151&lt;&gt;""),1,0)</f>
        <v>0</v>
      </c>
      <c r="U51" s="389">
        <f t="shared" ref="U51:U82" si="22">IF(OR(I71&lt;&gt;"",I151&lt;&gt;""),1,0)</f>
        <v>0</v>
      </c>
      <c r="V51" s="390">
        <f t="shared" ref="V51:V82" si="23">IF(OR(J71&lt;&gt;"",J151&lt;&gt;""),1,0)</f>
        <v>0</v>
      </c>
      <c r="W51" s="404">
        <f t="shared" si="6"/>
        <v>0</v>
      </c>
      <c r="X51" s="405">
        <f t="shared" si="7"/>
        <v>0</v>
      </c>
      <c r="Y51" s="406">
        <f t="shared" si="8"/>
        <v>0</v>
      </c>
    </row>
    <row r="52" spans="2:25" ht="13.15" x14ac:dyDescent="0.35">
      <c r="B52" s="326" t="s">
        <v>225</v>
      </c>
      <c r="C52" s="7" t="s">
        <v>218</v>
      </c>
      <c r="D52" s="13" t="s">
        <v>205</v>
      </c>
      <c r="E52" s="1609" t="str">
        <f>IF(AND($E$7=1,ROUND('1_Full_time'!G30,2)&lt;&gt;'1_Full_time'!G30),E$32&amp;", "&amp;E$33&amp;", Price group "&amp;$B52&amp;", "&amp;$C52&amp;" length, "&amp;"Level "&amp;$D52&amp;"; ","")</f>
        <v/>
      </c>
      <c r="F52" s="7" t="str">
        <f>IF(AND($E$7=1,ROUND('1_Full_time'!H30,2)&lt;&gt;'1_Full_time'!H30),F$32&amp;", "&amp;F$33&amp;", Price group "&amp;$B52&amp;", "&amp;$C52&amp;" length, "&amp;"Level "&amp;$D52&amp;"; ","")</f>
        <v/>
      </c>
      <c r="G52" s="211" t="str">
        <f>IF(AND($E$7=1,ROUND('1_Full_time'!I30,2)&lt;&gt;'1_Full_time'!I30),G$32&amp;", "&amp;G$33&amp;", Price group "&amp;$B52&amp;", "&amp;$C52&amp;" length, "&amp;"Level "&amp;$D52&amp;"; ","")</f>
        <v/>
      </c>
      <c r="H52" s="1609" t="str">
        <f>IF(AND($E$7=1,ROUND('1_Full_time'!J30,2)&lt;&gt;'1_Full_time'!J30),H$32&amp;", "&amp;H$33&amp;", Price group "&amp;$B52&amp;", "&amp;$C52&amp;" length, "&amp;"Level "&amp;$D52&amp;"; ","")</f>
        <v/>
      </c>
      <c r="I52" s="7" t="str">
        <f>IF(AND($E$7=1,ROUND('1_Full_time'!K30,2)&lt;&gt;'1_Full_time'!K30),I$32&amp;", "&amp;I$33&amp;", Price group "&amp;$B52&amp;", "&amp;$C52&amp;" length, "&amp;"Level "&amp;$D52&amp;"; ","")</f>
        <v/>
      </c>
      <c r="J52" s="211" t="str">
        <f>IF(AND($E$7=1,ROUND('1_Full_time'!L30,2)&lt;&gt;'1_Full_time'!L30),J$32&amp;", "&amp;J$33&amp;", Price group "&amp;$B52&amp;", "&amp;$C52&amp;" length, "&amp;"Level "&amp;$D52&amp;"; ","")</f>
        <v/>
      </c>
      <c r="L52" s="118"/>
      <c r="M52" s="30" t="s">
        <v>251</v>
      </c>
      <c r="N52" s="378">
        <f>IF(OR(E72&lt;&gt;"",E152&lt;&gt;""),1,0)</f>
        <v>0</v>
      </c>
      <c r="O52" s="379">
        <f t="shared" si="20"/>
        <v>0</v>
      </c>
      <c r="P52" s="380">
        <f t="shared" si="21"/>
        <v>0</v>
      </c>
      <c r="Q52" s="391">
        <f t="shared" si="3"/>
        <v>0</v>
      </c>
      <c r="R52" s="392">
        <f t="shared" si="4"/>
        <v>0</v>
      </c>
      <c r="S52" s="393">
        <f t="shared" si="5"/>
        <v>0</v>
      </c>
      <c r="T52" s="378">
        <f>IF(OR(H72&lt;&gt;"",H152&lt;&gt;""),1,0)</f>
        <v>0</v>
      </c>
      <c r="U52" s="379">
        <f t="shared" si="22"/>
        <v>0</v>
      </c>
      <c r="V52" s="380">
        <f t="shared" si="23"/>
        <v>0</v>
      </c>
      <c r="W52" s="391">
        <f t="shared" si="6"/>
        <v>0</v>
      </c>
      <c r="X52" s="392">
        <f t="shared" si="7"/>
        <v>0</v>
      </c>
      <c r="Y52" s="393">
        <f t="shared" si="8"/>
        <v>0</v>
      </c>
    </row>
    <row r="53" spans="2:25" ht="13.15" x14ac:dyDescent="0.35">
      <c r="B53" s="326" t="s">
        <v>225</v>
      </c>
      <c r="C53" s="7" t="s">
        <v>218</v>
      </c>
      <c r="D53" s="13" t="s">
        <v>208</v>
      </c>
      <c r="E53" s="1609" t="str">
        <f>IF(AND($E$7=1,ROUND('1_Full_time'!G31,2)&lt;&gt;'1_Full_time'!G31),E$32&amp;", "&amp;E$33&amp;", Price group "&amp;$B53&amp;", "&amp;$C53&amp;" length, "&amp;"Level "&amp;$D53&amp;"; ","")</f>
        <v/>
      </c>
      <c r="F53" s="7" t="str">
        <f>IF(AND($E$7=1,ROUND('1_Full_time'!H31,2)&lt;&gt;'1_Full_time'!H31),F$32&amp;", "&amp;F$33&amp;", Price group "&amp;$B53&amp;", "&amp;$C53&amp;" length, "&amp;"Level "&amp;$D53&amp;"; ","")</f>
        <v/>
      </c>
      <c r="G53" s="211" t="str">
        <f>IF(AND($E$7=1,ROUND('1_Full_time'!I31,2)&lt;&gt;'1_Full_time'!I31),G$32&amp;", "&amp;G$33&amp;", Price group "&amp;$B53&amp;", "&amp;$C53&amp;" length, "&amp;"Level "&amp;$D53&amp;"; ","")</f>
        <v/>
      </c>
      <c r="H53" s="1609" t="str">
        <f>IF(AND($E$7=1,ROUND('1_Full_time'!J31,2)&lt;&gt;'1_Full_time'!J31),H$32&amp;", "&amp;H$33&amp;", Price group "&amp;$B53&amp;", "&amp;$C53&amp;" length, "&amp;"Level "&amp;$D53&amp;"; ","")</f>
        <v/>
      </c>
      <c r="I53" s="7" t="str">
        <f>IF(AND($E$7=1,ROUND('1_Full_time'!K31,2)&lt;&gt;'1_Full_time'!K31),I$32&amp;", "&amp;I$33&amp;", Price group "&amp;$B53&amp;", "&amp;$C53&amp;" length, "&amp;"Level "&amp;$D53&amp;"; ","")</f>
        <v/>
      </c>
      <c r="J53" s="211" t="str">
        <f>IF(AND($E$7=1,ROUND('1_Full_time'!L31,2)&lt;&gt;'1_Full_time'!L31),J$32&amp;", "&amp;J$33&amp;", Price group "&amp;$B53&amp;", "&amp;$C53&amp;" length, "&amp;"Level "&amp;$D53&amp;"; ","")</f>
        <v/>
      </c>
      <c r="L53" s="118"/>
      <c r="M53" s="30" t="s">
        <v>251</v>
      </c>
      <c r="N53" s="378">
        <f>IF(OR(E73&lt;&gt;"",E153&lt;&gt;""),1,0)</f>
        <v>0</v>
      </c>
      <c r="O53" s="379">
        <f t="shared" si="20"/>
        <v>0</v>
      </c>
      <c r="P53" s="380">
        <f t="shared" si="21"/>
        <v>0</v>
      </c>
      <c r="Q53" s="391">
        <f t="shared" si="3"/>
        <v>0</v>
      </c>
      <c r="R53" s="392">
        <f t="shared" si="4"/>
        <v>0</v>
      </c>
      <c r="S53" s="393">
        <f t="shared" si="5"/>
        <v>0</v>
      </c>
      <c r="T53" s="378">
        <f>IF(OR(H73&lt;&gt;"",H153&lt;&gt;""),1,0)</f>
        <v>0</v>
      </c>
      <c r="U53" s="379">
        <f t="shared" si="22"/>
        <v>0</v>
      </c>
      <c r="V53" s="380">
        <f t="shared" si="23"/>
        <v>0</v>
      </c>
      <c r="W53" s="391">
        <f t="shared" si="6"/>
        <v>0</v>
      </c>
      <c r="X53" s="392">
        <f t="shared" si="7"/>
        <v>0</v>
      </c>
      <c r="Y53" s="393">
        <f t="shared" si="8"/>
        <v>0</v>
      </c>
    </row>
    <row r="54" spans="2:25" ht="13.15" x14ac:dyDescent="0.35">
      <c r="B54" s="326" t="s">
        <v>225</v>
      </c>
      <c r="C54" s="7" t="s">
        <v>218</v>
      </c>
      <c r="D54" s="13" t="s">
        <v>210</v>
      </c>
      <c r="E54" s="1609" t="str">
        <f>IF(AND($E$7=1,ROUND('1_Full_time'!G32,2)&lt;&gt;'1_Full_time'!G32),E$32&amp;", "&amp;E$33&amp;", Price group "&amp;$B54&amp;", "&amp;$C54&amp;" length, "&amp;"Level "&amp;$D54&amp;"; ","")</f>
        <v/>
      </c>
      <c r="F54" s="7" t="str">
        <f>IF(AND($E$7=1,ROUND('1_Full_time'!H32,2)&lt;&gt;'1_Full_time'!H32),F$32&amp;", "&amp;F$33&amp;", Price group "&amp;$B54&amp;", "&amp;$C54&amp;" length, "&amp;"Level "&amp;$D54&amp;"; ","")</f>
        <v/>
      </c>
      <c r="G54" s="211" t="str">
        <f>IF(AND($E$7=1,ROUND('1_Full_time'!I32,2)&lt;&gt;'1_Full_time'!I32),G$32&amp;", "&amp;G$33&amp;", Price group "&amp;$B54&amp;", "&amp;$C54&amp;" length, "&amp;"Level "&amp;$D54&amp;"; ","")</f>
        <v/>
      </c>
      <c r="H54" s="1609" t="str">
        <f>IF(AND($E$7=1,ROUND('1_Full_time'!J32,2)&lt;&gt;'1_Full_time'!J32),H$32&amp;", "&amp;H$33&amp;", Price group "&amp;$B54&amp;", "&amp;$C54&amp;" length, "&amp;"Level "&amp;$D54&amp;"; ","")</f>
        <v/>
      </c>
      <c r="I54" s="7" t="str">
        <f>IF(AND($E$7=1,ROUND('1_Full_time'!K32,2)&lt;&gt;'1_Full_time'!K32),I$32&amp;", "&amp;I$33&amp;", Price group "&amp;$B54&amp;", "&amp;$C54&amp;" length, "&amp;"Level "&amp;$D54&amp;"; ","")</f>
        <v/>
      </c>
      <c r="J54" s="211" t="str">
        <f>IF(AND($E$7=1,ROUND('1_Full_time'!L32,2)&lt;&gt;'1_Full_time'!L32),J$32&amp;", "&amp;J$33&amp;", Price group "&amp;$B54&amp;", "&amp;$C54&amp;" length, "&amp;"Level "&amp;$D54&amp;"; ","")</f>
        <v/>
      </c>
      <c r="L54" s="118"/>
      <c r="M54" s="30" t="s">
        <v>251</v>
      </c>
      <c r="N54" s="381">
        <f>IF(OR(E74&lt;&gt;"",E154&lt;&gt;""),1,0)</f>
        <v>0</v>
      </c>
      <c r="O54" s="382">
        <f t="shared" si="20"/>
        <v>0</v>
      </c>
      <c r="P54" s="383">
        <f t="shared" si="21"/>
        <v>0</v>
      </c>
      <c r="Q54" s="394">
        <f t="shared" si="3"/>
        <v>0</v>
      </c>
      <c r="R54" s="395">
        <f t="shared" si="4"/>
        <v>0</v>
      </c>
      <c r="S54" s="396">
        <f t="shared" si="5"/>
        <v>0</v>
      </c>
      <c r="T54" s="381">
        <f>IF(OR(H74&lt;&gt;"",H154&lt;&gt;""),1,0)</f>
        <v>0</v>
      </c>
      <c r="U54" s="382">
        <f t="shared" si="22"/>
        <v>0</v>
      </c>
      <c r="V54" s="383">
        <f t="shared" si="23"/>
        <v>0</v>
      </c>
      <c r="W54" s="394">
        <f t="shared" si="6"/>
        <v>0</v>
      </c>
      <c r="X54" s="395">
        <f t="shared" si="7"/>
        <v>0</v>
      </c>
      <c r="Y54" s="396">
        <f t="shared" si="8"/>
        <v>0</v>
      </c>
    </row>
    <row r="55" spans="2:25" ht="13.15" x14ac:dyDescent="0.35">
      <c r="B55" s="326" t="s">
        <v>225</v>
      </c>
      <c r="C55" s="7" t="s">
        <v>218</v>
      </c>
      <c r="D55" s="13" t="s">
        <v>212</v>
      </c>
      <c r="E55" s="1609" t="str">
        <f>IF(AND($E$7=1,ROUND('1_Full_time'!G33,2)&lt;&gt;'1_Full_time'!G33),E$32&amp;", "&amp;E$33&amp;", Price group "&amp;$B55&amp;", "&amp;$C55&amp;" length, "&amp;"Level "&amp;$D55&amp;"; ","")</f>
        <v/>
      </c>
      <c r="F55" s="7" t="str">
        <f>IF(AND($E$7=1,ROUND('1_Full_time'!H33,2)&lt;&gt;'1_Full_time'!H33),F$32&amp;", "&amp;F$33&amp;", Price group "&amp;$B55&amp;", "&amp;$C55&amp;" length, "&amp;"Level "&amp;$D55&amp;"; ","")</f>
        <v/>
      </c>
      <c r="G55" s="211" t="str">
        <f>IF(AND($E$7=1,ROUND('1_Full_time'!I33,2)&lt;&gt;'1_Full_time'!I33),G$32&amp;", "&amp;G$33&amp;", Price group "&amp;$B55&amp;", "&amp;$C55&amp;" length, "&amp;"Level "&amp;$D55&amp;"; ","")</f>
        <v/>
      </c>
      <c r="H55" s="1609" t="str">
        <f>IF(AND($E$7=1,ROUND('1_Full_time'!J33,2)&lt;&gt;'1_Full_time'!J33),H$32&amp;", "&amp;H$33&amp;", Price group "&amp;$B55&amp;", "&amp;$C55&amp;" length, "&amp;"Level "&amp;$D55&amp;"; ","")</f>
        <v/>
      </c>
      <c r="I55" s="7" t="str">
        <f>IF(AND($E$7=1,ROUND('1_Full_time'!K33,2)&lt;&gt;'1_Full_time'!K33),I$32&amp;", "&amp;I$33&amp;", Price group "&amp;$B55&amp;", "&amp;$C55&amp;" length, "&amp;"Level "&amp;$D55&amp;"; ","")</f>
        <v/>
      </c>
      <c r="J55" s="211" t="str">
        <f>IF(AND($E$7=1,ROUND('1_Full_time'!L33,2)&lt;&gt;'1_Full_time'!L33),J$32&amp;", "&amp;J$33&amp;", Price group "&amp;$B55&amp;", "&amp;$C55&amp;" length, "&amp;"Level "&amp;$D55&amp;"; ","")</f>
        <v/>
      </c>
      <c r="L55" s="118"/>
      <c r="M55" s="30" t="s">
        <v>251</v>
      </c>
      <c r="N55" s="384"/>
      <c r="O55" s="379">
        <f t="shared" si="20"/>
        <v>0</v>
      </c>
      <c r="P55" s="380">
        <f t="shared" si="21"/>
        <v>0</v>
      </c>
      <c r="Q55" s="384"/>
      <c r="R55" s="392">
        <f t="shared" si="4"/>
        <v>0</v>
      </c>
      <c r="S55" s="393">
        <f t="shared" si="5"/>
        <v>0</v>
      </c>
      <c r="T55" s="384"/>
      <c r="U55" s="379">
        <f t="shared" si="22"/>
        <v>0</v>
      </c>
      <c r="V55" s="380">
        <f t="shared" si="23"/>
        <v>0</v>
      </c>
      <c r="W55" s="384"/>
      <c r="X55" s="392">
        <f t="shared" si="7"/>
        <v>0</v>
      </c>
      <c r="Y55" s="393">
        <f t="shared" si="8"/>
        <v>0</v>
      </c>
    </row>
    <row r="56" spans="2:25" ht="13.15" x14ac:dyDescent="0.35">
      <c r="B56" s="326" t="s">
        <v>225</v>
      </c>
      <c r="C56" s="7" t="s">
        <v>218</v>
      </c>
      <c r="D56" s="13" t="s">
        <v>214</v>
      </c>
      <c r="E56" s="1609" t="str">
        <f>IF(AND($E$7=1,ROUND('1_Full_time'!G34,2)&lt;&gt;'1_Full_time'!G34),E$32&amp;", "&amp;E$33&amp;", Price group "&amp;$B56&amp;", "&amp;$C56&amp;" length, "&amp;"Level "&amp;$D56&amp;"; ","")</f>
        <v/>
      </c>
      <c r="F56" s="7" t="str">
        <f>IF(AND($E$7=1,ROUND('1_Full_time'!H34,2)&lt;&gt;'1_Full_time'!H34),F$32&amp;", "&amp;F$33&amp;", Price group "&amp;$B56&amp;", "&amp;$C56&amp;" length, "&amp;"Level "&amp;$D56&amp;"; ","")</f>
        <v/>
      </c>
      <c r="G56" s="211" t="str">
        <f>IF(AND($E$7=1,ROUND('1_Full_time'!I34,2)&lt;&gt;'1_Full_time'!I34),G$32&amp;", "&amp;G$33&amp;", Price group "&amp;$B56&amp;", "&amp;$C56&amp;" length, "&amp;"Level "&amp;$D56&amp;"; ","")</f>
        <v/>
      </c>
      <c r="H56" s="1609" t="str">
        <f>IF(AND($E$7=1,ROUND('1_Full_time'!J34,2)&lt;&gt;'1_Full_time'!J34),H$32&amp;", "&amp;H$33&amp;", Price group "&amp;$B56&amp;", "&amp;$C56&amp;" length, "&amp;"Level "&amp;$D56&amp;"; ","")</f>
        <v/>
      </c>
      <c r="I56" s="7" t="str">
        <f>IF(AND($E$7=1,ROUND('1_Full_time'!K34,2)&lt;&gt;'1_Full_time'!K34),I$32&amp;", "&amp;I$33&amp;", Price group "&amp;$B56&amp;", "&amp;$C56&amp;" length, "&amp;"Level "&amp;$D56&amp;"; ","")</f>
        <v/>
      </c>
      <c r="J56" s="211" t="str">
        <f>IF(AND($E$7=1,ROUND('1_Full_time'!L34,2)&lt;&gt;'1_Full_time'!L34),J$32&amp;", "&amp;J$33&amp;", Price group "&amp;$B56&amp;", "&amp;$C56&amp;" length, "&amp;"Level "&amp;$D56&amp;"; ","")</f>
        <v/>
      </c>
      <c r="L56" s="118"/>
      <c r="M56" s="30" t="s">
        <v>251</v>
      </c>
      <c r="N56" s="385">
        <f>IF(OR(E76&lt;&gt;"",E156&lt;&gt;""),1,0)</f>
        <v>0</v>
      </c>
      <c r="O56" s="386">
        <f t="shared" si="20"/>
        <v>0</v>
      </c>
      <c r="P56" s="387">
        <f t="shared" si="21"/>
        <v>0</v>
      </c>
      <c r="Q56" s="397">
        <f t="shared" si="3"/>
        <v>0</v>
      </c>
      <c r="R56" s="398">
        <f t="shared" si="4"/>
        <v>0</v>
      </c>
      <c r="S56" s="399">
        <f t="shared" si="5"/>
        <v>0</v>
      </c>
      <c r="T56" s="385">
        <f>IF(OR(H76&lt;&gt;"",H156&lt;&gt;""),1,0)</f>
        <v>0</v>
      </c>
      <c r="U56" s="386">
        <f t="shared" si="22"/>
        <v>0</v>
      </c>
      <c r="V56" s="387">
        <f t="shared" si="23"/>
        <v>0</v>
      </c>
      <c r="W56" s="397">
        <f t="shared" si="6"/>
        <v>0</v>
      </c>
      <c r="X56" s="398">
        <f t="shared" si="7"/>
        <v>0</v>
      </c>
      <c r="Y56" s="399">
        <f t="shared" si="8"/>
        <v>0</v>
      </c>
    </row>
    <row r="57" spans="2:25" ht="13.15" x14ac:dyDescent="0.35">
      <c r="B57" s="326" t="s">
        <v>225</v>
      </c>
      <c r="C57" s="7" t="s">
        <v>218</v>
      </c>
      <c r="D57" s="13" t="s">
        <v>216</v>
      </c>
      <c r="E57" s="1617"/>
      <c r="F57" s="7" t="str">
        <f>IF(AND($E$7=1,ROUND('1_Full_time'!H35,2)&lt;&gt;'1_Full_time'!H35),F$32&amp;", "&amp;F$33&amp;", Price group "&amp;$B57&amp;", "&amp;$C57&amp;" length, "&amp;"Level "&amp;$D57&amp;"; ","")</f>
        <v/>
      </c>
      <c r="G57" s="211" t="str">
        <f>IF(AND($E$7=1,ROUND('1_Full_time'!I35,2)&lt;&gt;'1_Full_time'!I35),G$32&amp;", "&amp;G$33&amp;", Price group "&amp;$B57&amp;", "&amp;$C57&amp;" length, "&amp;"Level "&amp;$D57&amp;"; ","")</f>
        <v/>
      </c>
      <c r="H57" s="1617"/>
      <c r="I57" s="7" t="str">
        <f>IF(AND($E$7=1,ROUND('1_Full_time'!K35,2)&lt;&gt;'1_Full_time'!K35),I$32&amp;", "&amp;I$33&amp;", Price group "&amp;$B57&amp;", "&amp;$C57&amp;" length, "&amp;"Level "&amp;$D57&amp;"; ","")</f>
        <v/>
      </c>
      <c r="J57" s="211" t="str">
        <f>IF(AND($E$7=1,ROUND('1_Full_time'!L35,2)&lt;&gt;'1_Full_time'!L35),J$32&amp;", "&amp;J$33&amp;", Price group "&amp;$B57&amp;", "&amp;$C57&amp;" length, "&amp;"Level "&amp;$D57&amp;"; ","")</f>
        <v/>
      </c>
      <c r="L57" s="118"/>
      <c r="M57" s="30" t="s">
        <v>251</v>
      </c>
      <c r="N57" s="388">
        <f>IF(OR(E77&lt;&gt;"",E157&lt;&gt;""),1,0)</f>
        <v>0</v>
      </c>
      <c r="O57" s="389">
        <f t="shared" si="20"/>
        <v>0</v>
      </c>
      <c r="P57" s="390">
        <f t="shared" si="21"/>
        <v>0</v>
      </c>
      <c r="Q57" s="404">
        <f t="shared" si="3"/>
        <v>0</v>
      </c>
      <c r="R57" s="405">
        <f t="shared" si="4"/>
        <v>0</v>
      </c>
      <c r="S57" s="406">
        <f t="shared" si="5"/>
        <v>0</v>
      </c>
      <c r="T57" s="388">
        <f>IF(OR(H77&lt;&gt;"",H157&lt;&gt;""),1,0)</f>
        <v>0</v>
      </c>
      <c r="U57" s="389">
        <f t="shared" si="22"/>
        <v>0</v>
      </c>
      <c r="V57" s="390">
        <f t="shared" si="23"/>
        <v>0</v>
      </c>
      <c r="W57" s="404">
        <f t="shared" si="6"/>
        <v>0</v>
      </c>
      <c r="X57" s="405">
        <f t="shared" si="7"/>
        <v>0</v>
      </c>
      <c r="Y57" s="406">
        <f t="shared" si="8"/>
        <v>0</v>
      </c>
    </row>
    <row r="58" spans="2:25" ht="13.15" x14ac:dyDescent="0.35">
      <c r="B58" s="20" t="s">
        <v>238</v>
      </c>
      <c r="C58" s="7" t="s">
        <v>204</v>
      </c>
      <c r="D58" s="13" t="s">
        <v>205</v>
      </c>
      <c r="E58" s="1720" t="str">
        <f>IF(AND($E$7=1,ROUND('1_Full_time'!G36,2)&lt;&gt;'1_Full_time'!G36),E$32&amp;", "&amp;E$33&amp;", Price group "&amp;$B58&amp;", "&amp;$C58&amp;" length, "&amp;"Level "&amp;$D58&amp;"; ","")</f>
        <v/>
      </c>
      <c r="F58" s="1412" t="str">
        <f>IF(AND($E$7=1,ROUND('1_Full_time'!H36,2)&lt;&gt;'1_Full_time'!H36),F$32&amp;", "&amp;F$33&amp;", Price group "&amp;$B58&amp;", "&amp;$C58&amp;" length, "&amp;"Level "&amp;$D58&amp;"; ","")</f>
        <v/>
      </c>
      <c r="G58" s="1789" t="str">
        <f>IF(AND($E$7=1,ROUND('1_Full_time'!I36,2)&lt;&gt;'1_Full_time'!I36),G$32&amp;", "&amp;G$33&amp;", Price group "&amp;$B58&amp;", "&amp;$C58&amp;" length, "&amp;"Level "&amp;$D58&amp;"; ","")</f>
        <v/>
      </c>
      <c r="H58" s="1720" t="str">
        <f>IF(AND($E$7=1,ROUND('1_Full_time'!J36,2)&lt;&gt;'1_Full_time'!J36),H$32&amp;", "&amp;H$33&amp;", Price group "&amp;$B58&amp;", "&amp;$C58&amp;" length, "&amp;"Level "&amp;$D58&amp;"; ","")</f>
        <v/>
      </c>
      <c r="I58" s="1412" t="str">
        <f>IF(AND($E$7=1,ROUND('1_Full_time'!K36,2)&lt;&gt;'1_Full_time'!K36),I$32&amp;", "&amp;I$33&amp;", Price group "&amp;$B58&amp;", "&amp;$C58&amp;" length, "&amp;"Level "&amp;$D58&amp;"; ","")</f>
        <v/>
      </c>
      <c r="J58" s="1789" t="str">
        <f>IF(AND($E$7=1,ROUND('1_Full_time'!L36,2)&lt;&gt;'1_Full_time'!L36),J$32&amp;", "&amp;J$33&amp;", Price group "&amp;$B58&amp;", "&amp;$C58&amp;" length, "&amp;"Level "&amp;$D58&amp;"; ","")</f>
        <v/>
      </c>
      <c r="L58" s="118"/>
      <c r="M58" s="30" t="s">
        <v>251</v>
      </c>
      <c r="N58" s="378">
        <f>IF(OR(E78&lt;&gt;"",E158&lt;&gt;""),1,0)</f>
        <v>0</v>
      </c>
      <c r="O58" s="379">
        <f t="shared" si="20"/>
        <v>0</v>
      </c>
      <c r="P58" s="380">
        <f t="shared" si="21"/>
        <v>0</v>
      </c>
      <c r="Q58" s="391">
        <f t="shared" si="3"/>
        <v>0</v>
      </c>
      <c r="R58" s="392">
        <f t="shared" si="4"/>
        <v>0</v>
      </c>
      <c r="S58" s="393">
        <f t="shared" si="5"/>
        <v>0</v>
      </c>
      <c r="T58" s="378">
        <f>IF(OR(H78&lt;&gt;"",H158&lt;&gt;""),1,0)</f>
        <v>0</v>
      </c>
      <c r="U58" s="379">
        <f t="shared" si="22"/>
        <v>0</v>
      </c>
      <c r="V58" s="380">
        <f t="shared" si="23"/>
        <v>0</v>
      </c>
      <c r="W58" s="391">
        <f t="shared" si="6"/>
        <v>0</v>
      </c>
      <c r="X58" s="392">
        <f t="shared" si="7"/>
        <v>0</v>
      </c>
      <c r="Y58" s="393">
        <f t="shared" si="8"/>
        <v>0</v>
      </c>
    </row>
    <row r="59" spans="2:25" ht="13.15" x14ac:dyDescent="0.35">
      <c r="B59" s="20" t="s">
        <v>238</v>
      </c>
      <c r="C59" s="7" t="s">
        <v>204</v>
      </c>
      <c r="D59" s="13" t="s">
        <v>208</v>
      </c>
      <c r="E59" s="1609" t="str">
        <f>IF(AND($E$7=1,ROUND('1_Full_time'!G37,2)&lt;&gt;'1_Full_time'!G37),E$32&amp;", "&amp;E$33&amp;", Price group "&amp;$B59&amp;", "&amp;$C59&amp;" length, "&amp;"Level "&amp;$D59&amp;"; ","")</f>
        <v/>
      </c>
      <c r="F59" s="7" t="str">
        <f>IF(AND($E$7=1,ROUND('1_Full_time'!H37,2)&lt;&gt;'1_Full_time'!H37),F$32&amp;", "&amp;F$33&amp;", Price group "&amp;$B59&amp;", "&amp;$C59&amp;" length, "&amp;"Level "&amp;$D59&amp;"; ","")</f>
        <v/>
      </c>
      <c r="G59" s="211" t="str">
        <f>IF(AND($E$7=1,ROUND('1_Full_time'!I37,2)&lt;&gt;'1_Full_time'!I37),G$32&amp;", "&amp;G$33&amp;", Price group "&amp;$B59&amp;", "&amp;$C59&amp;" length, "&amp;"Level "&amp;$D59&amp;"; ","")</f>
        <v/>
      </c>
      <c r="H59" s="1609" t="str">
        <f>IF(AND($E$7=1,ROUND('1_Full_time'!J37,2)&lt;&gt;'1_Full_time'!J37),H$32&amp;", "&amp;H$33&amp;", Price group "&amp;$B59&amp;", "&amp;$C59&amp;" length, "&amp;"Level "&amp;$D59&amp;"; ","")</f>
        <v/>
      </c>
      <c r="I59" s="7" t="str">
        <f>IF(AND($E$7=1,ROUND('1_Full_time'!K37,2)&lt;&gt;'1_Full_time'!K37),I$32&amp;", "&amp;I$33&amp;", Price group "&amp;$B59&amp;", "&amp;$C59&amp;" length, "&amp;"Level "&amp;$D59&amp;"; ","")</f>
        <v/>
      </c>
      <c r="J59" s="211" t="str">
        <f>IF(AND($E$7=1,ROUND('1_Full_time'!L37,2)&lt;&gt;'1_Full_time'!L37),J$32&amp;", "&amp;J$33&amp;", Price group "&amp;$B59&amp;", "&amp;$C59&amp;" length, "&amp;"Level "&amp;$D59&amp;"; ","")</f>
        <v/>
      </c>
      <c r="L59" s="118"/>
      <c r="M59" s="30" t="s">
        <v>251</v>
      </c>
      <c r="N59" s="378">
        <f>IF(OR(E79&lt;&gt;"",E159&lt;&gt;""),1,0)</f>
        <v>0</v>
      </c>
      <c r="O59" s="379">
        <f t="shared" si="20"/>
        <v>0</v>
      </c>
      <c r="P59" s="380">
        <f t="shared" si="21"/>
        <v>0</v>
      </c>
      <c r="Q59" s="391">
        <f t="shared" si="3"/>
        <v>0</v>
      </c>
      <c r="R59" s="392">
        <f t="shared" si="4"/>
        <v>0</v>
      </c>
      <c r="S59" s="393">
        <f t="shared" si="5"/>
        <v>0</v>
      </c>
      <c r="T59" s="378">
        <f>IF(OR(H79&lt;&gt;"",H159&lt;&gt;""),1,0)</f>
        <v>0</v>
      </c>
      <c r="U59" s="379">
        <f t="shared" si="22"/>
        <v>0</v>
      </c>
      <c r="V59" s="380">
        <f t="shared" si="23"/>
        <v>0</v>
      </c>
      <c r="W59" s="391">
        <f t="shared" si="6"/>
        <v>0</v>
      </c>
      <c r="X59" s="392">
        <f t="shared" si="7"/>
        <v>0</v>
      </c>
      <c r="Y59" s="393">
        <f t="shared" si="8"/>
        <v>0</v>
      </c>
    </row>
    <row r="60" spans="2:25" ht="13.15" x14ac:dyDescent="0.35">
      <c r="B60" s="20" t="s">
        <v>238</v>
      </c>
      <c r="C60" s="7" t="s">
        <v>204</v>
      </c>
      <c r="D60" s="13" t="s">
        <v>210</v>
      </c>
      <c r="E60" s="1609" t="str">
        <f>IF(AND($E$7=1,ROUND('1_Full_time'!G38,2)&lt;&gt;'1_Full_time'!G38),E$32&amp;", "&amp;E$33&amp;", Price group "&amp;$B60&amp;", "&amp;$C60&amp;" length, "&amp;"Level "&amp;$D60&amp;"; ","")</f>
        <v/>
      </c>
      <c r="F60" s="7" t="str">
        <f>IF(AND($E$7=1,ROUND('1_Full_time'!H38,2)&lt;&gt;'1_Full_time'!H38),F$32&amp;", "&amp;F$33&amp;", Price group "&amp;$B60&amp;", "&amp;$C60&amp;" length, "&amp;"Level "&amp;$D60&amp;"; ","")</f>
        <v/>
      </c>
      <c r="G60" s="211" t="str">
        <f>IF(AND($E$7=1,ROUND('1_Full_time'!I38,2)&lt;&gt;'1_Full_time'!I38),G$32&amp;", "&amp;G$33&amp;", Price group "&amp;$B60&amp;", "&amp;$C60&amp;" length, "&amp;"Level "&amp;$D60&amp;"; ","")</f>
        <v/>
      </c>
      <c r="H60" s="1609" t="str">
        <f>IF(AND($E$7=1,ROUND('1_Full_time'!J38,2)&lt;&gt;'1_Full_time'!J38),H$32&amp;", "&amp;H$33&amp;", Price group "&amp;$B60&amp;", "&amp;$C60&amp;" length, "&amp;"Level "&amp;$D60&amp;"; ","")</f>
        <v/>
      </c>
      <c r="I60" s="7" t="str">
        <f>IF(AND($E$7=1,ROUND('1_Full_time'!K38,2)&lt;&gt;'1_Full_time'!K38),I$32&amp;", "&amp;I$33&amp;", Price group "&amp;$B60&amp;", "&amp;$C60&amp;" length, "&amp;"Level "&amp;$D60&amp;"; ","")</f>
        <v/>
      </c>
      <c r="J60" s="211" t="str">
        <f>IF(AND($E$7=1,ROUND('1_Full_time'!L38,2)&lt;&gt;'1_Full_time'!L38),J$32&amp;", "&amp;J$33&amp;", Price group "&amp;$B60&amp;", "&amp;$C60&amp;" length, "&amp;"Level "&amp;$D60&amp;"; ","")</f>
        <v/>
      </c>
      <c r="L60" s="118"/>
      <c r="M60" s="30" t="s">
        <v>251</v>
      </c>
      <c r="N60" s="378">
        <f>IF(OR(E80&lt;&gt;"",E160&lt;&gt;""),1,0)</f>
        <v>0</v>
      </c>
      <c r="O60" s="379">
        <f t="shared" si="20"/>
        <v>0</v>
      </c>
      <c r="P60" s="380">
        <f t="shared" si="21"/>
        <v>0</v>
      </c>
      <c r="Q60" s="391">
        <f t="shared" si="3"/>
        <v>0</v>
      </c>
      <c r="R60" s="392">
        <f t="shared" si="4"/>
        <v>0</v>
      </c>
      <c r="S60" s="393">
        <f t="shared" si="5"/>
        <v>0</v>
      </c>
      <c r="T60" s="378">
        <f>IF(OR(H80&lt;&gt;"",H160&lt;&gt;""),1,0)</f>
        <v>0</v>
      </c>
      <c r="U60" s="379">
        <f t="shared" si="22"/>
        <v>0</v>
      </c>
      <c r="V60" s="380">
        <f t="shared" si="23"/>
        <v>0</v>
      </c>
      <c r="W60" s="391">
        <f t="shared" si="6"/>
        <v>0</v>
      </c>
      <c r="X60" s="392">
        <f t="shared" si="7"/>
        <v>0</v>
      </c>
      <c r="Y60" s="393">
        <f t="shared" si="8"/>
        <v>0</v>
      </c>
    </row>
    <row r="61" spans="2:25" ht="13.15" x14ac:dyDescent="0.35">
      <c r="B61" s="20" t="s">
        <v>238</v>
      </c>
      <c r="C61" s="7" t="s">
        <v>204</v>
      </c>
      <c r="D61" s="13" t="s">
        <v>212</v>
      </c>
      <c r="E61" s="1609" t="str">
        <f>IF(AND($E$7=1,ROUND('1_Full_time'!G39,2)&lt;&gt;'1_Full_time'!G39),E$32&amp;", "&amp;E$33&amp;", Price group "&amp;$B61&amp;", "&amp;$C61&amp;" length, "&amp;"Level "&amp;$D61&amp;"; ","")</f>
        <v/>
      </c>
      <c r="F61" s="7" t="str">
        <f>IF(AND($E$7=1,ROUND('1_Full_time'!H39,2)&lt;&gt;'1_Full_time'!H39),F$32&amp;", "&amp;F$33&amp;", Price group "&amp;$B61&amp;", "&amp;$C61&amp;" length, "&amp;"Level "&amp;$D61&amp;"; ","")</f>
        <v/>
      </c>
      <c r="G61" s="211" t="str">
        <f>IF(AND($E$7=1,ROUND('1_Full_time'!I39,2)&lt;&gt;'1_Full_time'!I39),G$32&amp;", "&amp;G$33&amp;", Price group "&amp;$B61&amp;", "&amp;$C61&amp;" length, "&amp;"Level "&amp;$D61&amp;"; ","")</f>
        <v/>
      </c>
      <c r="H61" s="1609" t="str">
        <f>IF(AND($E$7=1,ROUND('1_Full_time'!J39,2)&lt;&gt;'1_Full_time'!J39),H$32&amp;", "&amp;H$33&amp;", Price group "&amp;$B61&amp;", "&amp;$C61&amp;" length, "&amp;"Level "&amp;$D61&amp;"; ","")</f>
        <v/>
      </c>
      <c r="I61" s="7" t="str">
        <f>IF(AND($E$7=1,ROUND('1_Full_time'!K39,2)&lt;&gt;'1_Full_time'!K39),I$32&amp;", "&amp;I$33&amp;", Price group "&amp;$B61&amp;", "&amp;$C61&amp;" length, "&amp;"Level "&amp;$D61&amp;"; ","")</f>
        <v/>
      </c>
      <c r="J61" s="211" t="str">
        <f>IF(AND($E$7=1,ROUND('1_Full_time'!L39,2)&lt;&gt;'1_Full_time'!L39),J$32&amp;", "&amp;J$33&amp;", Price group "&amp;$B61&amp;", "&amp;$C61&amp;" length, "&amp;"Level "&amp;$D61&amp;"; ","")</f>
        <v/>
      </c>
      <c r="L61" s="118"/>
      <c r="M61" s="30" t="s">
        <v>251</v>
      </c>
      <c r="N61" s="384"/>
      <c r="O61" s="379">
        <f t="shared" si="20"/>
        <v>0</v>
      </c>
      <c r="P61" s="380">
        <f t="shared" si="21"/>
        <v>0</v>
      </c>
      <c r="Q61" s="384"/>
      <c r="R61" s="392">
        <f t="shared" si="4"/>
        <v>0</v>
      </c>
      <c r="S61" s="393">
        <f t="shared" si="5"/>
        <v>0</v>
      </c>
      <c r="T61" s="384"/>
      <c r="U61" s="379">
        <f t="shared" si="22"/>
        <v>0</v>
      </c>
      <c r="V61" s="380">
        <f t="shared" si="23"/>
        <v>0</v>
      </c>
      <c r="W61" s="384"/>
      <c r="X61" s="392">
        <f t="shared" si="7"/>
        <v>0</v>
      </c>
      <c r="Y61" s="393">
        <f t="shared" si="8"/>
        <v>0</v>
      </c>
    </row>
    <row r="62" spans="2:25" ht="13.15" x14ac:dyDescent="0.35">
      <c r="B62" s="20" t="s">
        <v>238</v>
      </c>
      <c r="C62" s="7" t="s">
        <v>204</v>
      </c>
      <c r="D62" s="13" t="s">
        <v>214</v>
      </c>
      <c r="E62" s="1609" t="str">
        <f>IF(AND($E$7=1,ROUND('1_Full_time'!G40,2)&lt;&gt;'1_Full_time'!G40),E$32&amp;", "&amp;E$33&amp;", Price group "&amp;$B62&amp;", "&amp;$C62&amp;" length, "&amp;"Level "&amp;$D62&amp;"; ","")</f>
        <v/>
      </c>
      <c r="F62" s="7" t="str">
        <f>IF(AND($E$7=1,ROUND('1_Full_time'!H40,2)&lt;&gt;'1_Full_time'!H40),F$32&amp;", "&amp;F$33&amp;", Price group "&amp;$B62&amp;", "&amp;$C62&amp;" length, "&amp;"Level "&amp;$D62&amp;"; ","")</f>
        <v/>
      </c>
      <c r="G62" s="211" t="str">
        <f>IF(AND($E$7=1,ROUND('1_Full_time'!I40,2)&lt;&gt;'1_Full_time'!I40),G$32&amp;", "&amp;G$33&amp;", Price group "&amp;$B62&amp;", "&amp;$C62&amp;" length, "&amp;"Level "&amp;$D62&amp;"; ","")</f>
        <v/>
      </c>
      <c r="H62" s="1609" t="str">
        <f>IF(AND($E$7=1,ROUND('1_Full_time'!J40,2)&lt;&gt;'1_Full_time'!J40),H$32&amp;", "&amp;H$33&amp;", Price group "&amp;$B62&amp;", "&amp;$C62&amp;" length, "&amp;"Level "&amp;$D62&amp;"; ","")</f>
        <v/>
      </c>
      <c r="I62" s="7" t="str">
        <f>IF(AND($E$7=1,ROUND('1_Full_time'!K40,2)&lt;&gt;'1_Full_time'!K40),I$32&amp;", "&amp;I$33&amp;", Price group "&amp;$B62&amp;", "&amp;$C62&amp;" length, "&amp;"Level "&amp;$D62&amp;"; ","")</f>
        <v/>
      </c>
      <c r="J62" s="211" t="str">
        <f>IF(AND($E$7=1,ROUND('1_Full_time'!L40,2)&lt;&gt;'1_Full_time'!L40),J$32&amp;", "&amp;J$33&amp;", Price group "&amp;$B62&amp;", "&amp;$C62&amp;" length, "&amp;"Level "&amp;$D62&amp;"; ","")</f>
        <v/>
      </c>
      <c r="L62" s="118"/>
      <c r="M62" s="30" t="s">
        <v>251</v>
      </c>
      <c r="N62" s="1714">
        <f>IF(OR(E82&lt;&gt;"",E162&lt;&gt;""),1,0)</f>
        <v>0</v>
      </c>
      <c r="O62" s="1689">
        <f t="shared" si="20"/>
        <v>0</v>
      </c>
      <c r="P62" s="1690">
        <f t="shared" si="21"/>
        <v>0</v>
      </c>
      <c r="Q62" s="1713">
        <f t="shared" si="3"/>
        <v>0</v>
      </c>
      <c r="R62" s="1691">
        <f t="shared" si="4"/>
        <v>0</v>
      </c>
      <c r="S62" s="1692">
        <f t="shared" si="5"/>
        <v>0</v>
      </c>
      <c r="T62" s="1714">
        <f>IF(OR(H82&lt;&gt;"",H162&lt;&gt;""),1,0)</f>
        <v>0</v>
      </c>
      <c r="U62" s="1689">
        <f t="shared" si="22"/>
        <v>0</v>
      </c>
      <c r="V62" s="1690">
        <f t="shared" si="23"/>
        <v>0</v>
      </c>
      <c r="W62" s="1713">
        <f t="shared" si="6"/>
        <v>0</v>
      </c>
      <c r="X62" s="1691">
        <f t="shared" si="7"/>
        <v>0</v>
      </c>
      <c r="Y62" s="1692">
        <f t="shared" si="8"/>
        <v>0</v>
      </c>
    </row>
    <row r="63" spans="2:25" ht="13.15" x14ac:dyDescent="0.35">
      <c r="B63" s="20" t="s">
        <v>238</v>
      </c>
      <c r="C63" s="7" t="s">
        <v>204</v>
      </c>
      <c r="D63" s="13" t="s">
        <v>216</v>
      </c>
      <c r="E63" s="1428"/>
      <c r="F63" s="1429" t="str">
        <f>IF(AND($E$7=1,ROUND('1_Full_time'!H41,2)&lt;&gt;'1_Full_time'!H41),F$32&amp;", "&amp;F$33&amp;", Price group "&amp;$B63&amp;", "&amp;$C63&amp;" length, "&amp;"Level "&amp;$D63&amp;"; ","")</f>
        <v/>
      </c>
      <c r="G63" s="1430" t="str">
        <f>IF(AND($E$7=1,ROUND('1_Full_time'!I41,2)&lt;&gt;'1_Full_time'!I41),G$32&amp;", "&amp;G$33&amp;", Price group "&amp;$B63&amp;", "&amp;$C63&amp;" length, "&amp;"Level "&amp;$D63&amp;"; ","")</f>
        <v/>
      </c>
      <c r="H63" s="1428"/>
      <c r="I63" s="1429" t="str">
        <f>IF(AND($E$7=1,ROUND('1_Full_time'!K41,2)&lt;&gt;'1_Full_time'!K41),I$32&amp;", "&amp;I$33&amp;", Price group "&amp;$B63&amp;", "&amp;$C63&amp;" length, "&amp;"Level "&amp;$D63&amp;"; ","")</f>
        <v/>
      </c>
      <c r="J63" s="1430" t="str">
        <f>IF(AND($E$7=1,ROUND('1_Full_time'!L41,2)&lt;&gt;'1_Full_time'!L41),J$32&amp;", "&amp;J$33&amp;", Price group "&amp;$B63&amp;", "&amp;$C63&amp;" length, "&amp;"Level "&amp;$D63&amp;"; ","")</f>
        <v/>
      </c>
      <c r="L63" s="118"/>
      <c r="M63" s="30" t="s">
        <v>264</v>
      </c>
      <c r="N63" s="388">
        <f>IF(OR(E83&lt;&gt;"",E163&lt;&gt;""),1,0)</f>
        <v>0</v>
      </c>
      <c r="O63" s="389">
        <f t="shared" si="20"/>
        <v>0</v>
      </c>
      <c r="P63" s="390">
        <f t="shared" si="21"/>
        <v>0</v>
      </c>
      <c r="Q63" s="404">
        <f t="shared" si="3"/>
        <v>0</v>
      </c>
      <c r="R63" s="405">
        <f t="shared" si="4"/>
        <v>0</v>
      </c>
      <c r="S63" s="406">
        <f t="shared" si="5"/>
        <v>0</v>
      </c>
      <c r="T63" s="388">
        <f>IF(OR(H83&lt;&gt;"",H163&lt;&gt;""),1,0)</f>
        <v>0</v>
      </c>
      <c r="U63" s="389">
        <f t="shared" si="22"/>
        <v>0</v>
      </c>
      <c r="V63" s="390">
        <f t="shared" si="23"/>
        <v>0</v>
      </c>
      <c r="W63" s="404">
        <f t="shared" si="6"/>
        <v>0</v>
      </c>
      <c r="X63" s="405">
        <f t="shared" si="7"/>
        <v>0</v>
      </c>
      <c r="Y63" s="406">
        <f t="shared" si="8"/>
        <v>0</v>
      </c>
    </row>
    <row r="64" spans="2:25" ht="13.15" x14ac:dyDescent="0.35">
      <c r="B64" s="20" t="s">
        <v>238</v>
      </c>
      <c r="C64" s="7" t="s">
        <v>218</v>
      </c>
      <c r="D64" s="13" t="s">
        <v>205</v>
      </c>
      <c r="E64" s="1609" t="str">
        <f>IF(AND($E$7=1,ROUND('1_Full_time'!G42,2)&lt;&gt;'1_Full_time'!G42),E$32&amp;", "&amp;E$33&amp;", Price group "&amp;$B64&amp;", "&amp;$C64&amp;" length, "&amp;"Level "&amp;$D64&amp;"; ","")</f>
        <v/>
      </c>
      <c r="F64" s="7" t="str">
        <f>IF(AND($E$7=1,ROUND('1_Full_time'!H42,2)&lt;&gt;'1_Full_time'!H42),F$32&amp;", "&amp;F$33&amp;", Price group "&amp;$B64&amp;", "&amp;$C64&amp;" length, "&amp;"Level "&amp;$D64&amp;"; ","")</f>
        <v/>
      </c>
      <c r="G64" s="211" t="str">
        <f>IF(AND($E$7=1,ROUND('1_Full_time'!I42,2)&lt;&gt;'1_Full_time'!I42),G$32&amp;", "&amp;G$33&amp;", Price group "&amp;$B64&amp;", "&amp;$C64&amp;" length, "&amp;"Level "&amp;$D64&amp;"; ","")</f>
        <v/>
      </c>
      <c r="H64" s="1609" t="str">
        <f>IF(AND($E$7=1,ROUND('1_Full_time'!J42,2)&lt;&gt;'1_Full_time'!J42),H$32&amp;", "&amp;H$33&amp;", Price group "&amp;$B64&amp;", "&amp;$C64&amp;" length, "&amp;"Level "&amp;$D64&amp;"; ","")</f>
        <v/>
      </c>
      <c r="I64" s="7" t="str">
        <f>IF(AND($E$7=1,ROUND('1_Full_time'!K42,2)&lt;&gt;'1_Full_time'!K42),I$32&amp;", "&amp;I$33&amp;", Price group "&amp;$B64&amp;", "&amp;$C64&amp;" length, "&amp;"Level "&amp;$D64&amp;"; ","")</f>
        <v/>
      </c>
      <c r="J64" s="211" t="str">
        <f>IF(AND($E$7=1,ROUND('1_Full_time'!L42,2)&lt;&gt;'1_Full_time'!L42),J$32&amp;", "&amp;J$33&amp;", Price group "&amp;$B64&amp;", "&amp;$C64&amp;" length, "&amp;"Level "&amp;$D64&amp;"; ","")</f>
        <v/>
      </c>
      <c r="L64" s="118"/>
      <c r="M64" s="30" t="s">
        <v>264</v>
      </c>
      <c r="N64" s="378">
        <f>IF(OR(E84&lt;&gt;"",E164&lt;&gt;""),1,0)</f>
        <v>0</v>
      </c>
      <c r="O64" s="379">
        <f t="shared" si="20"/>
        <v>0</v>
      </c>
      <c r="P64" s="380">
        <f t="shared" si="21"/>
        <v>0</v>
      </c>
      <c r="Q64" s="391">
        <f t="shared" si="3"/>
        <v>0</v>
      </c>
      <c r="R64" s="392">
        <f t="shared" si="4"/>
        <v>0</v>
      </c>
      <c r="S64" s="393">
        <f t="shared" si="5"/>
        <v>0</v>
      </c>
      <c r="T64" s="378">
        <f>IF(OR(H84&lt;&gt;"",H164&lt;&gt;""),1,0)</f>
        <v>0</v>
      </c>
      <c r="U64" s="379">
        <f t="shared" si="22"/>
        <v>0</v>
      </c>
      <c r="V64" s="380">
        <f t="shared" si="23"/>
        <v>0</v>
      </c>
      <c r="W64" s="391">
        <f t="shared" si="6"/>
        <v>0</v>
      </c>
      <c r="X64" s="392">
        <f t="shared" si="7"/>
        <v>0</v>
      </c>
      <c r="Y64" s="393">
        <f t="shared" si="8"/>
        <v>0</v>
      </c>
    </row>
    <row r="65" spans="2:25" ht="13.15" x14ac:dyDescent="0.35">
      <c r="B65" s="20" t="s">
        <v>238</v>
      </c>
      <c r="C65" s="7" t="s">
        <v>218</v>
      </c>
      <c r="D65" s="13" t="s">
        <v>208</v>
      </c>
      <c r="E65" s="1609" t="str">
        <f>IF(AND($E$7=1,ROUND('1_Full_time'!G43,2)&lt;&gt;'1_Full_time'!G43),E$32&amp;", "&amp;E$33&amp;", Price group "&amp;$B65&amp;", "&amp;$C65&amp;" length, "&amp;"Level "&amp;$D65&amp;"; ","")</f>
        <v/>
      </c>
      <c r="F65" s="7" t="str">
        <f>IF(AND($E$7=1,ROUND('1_Full_time'!H43,2)&lt;&gt;'1_Full_time'!H43),F$32&amp;", "&amp;F$33&amp;", Price group "&amp;$B65&amp;", "&amp;$C65&amp;" length, "&amp;"Level "&amp;$D65&amp;"; ","")</f>
        <v/>
      </c>
      <c r="G65" s="211" t="str">
        <f>IF(AND($E$7=1,ROUND('1_Full_time'!I43,2)&lt;&gt;'1_Full_time'!I43),G$32&amp;", "&amp;G$33&amp;", Price group "&amp;$B65&amp;", "&amp;$C65&amp;" length, "&amp;"Level "&amp;$D65&amp;"; ","")</f>
        <v/>
      </c>
      <c r="H65" s="1609" t="str">
        <f>IF(AND($E$7=1,ROUND('1_Full_time'!J43,2)&lt;&gt;'1_Full_time'!J43),H$32&amp;", "&amp;H$33&amp;", Price group "&amp;$B65&amp;", "&amp;$C65&amp;" length, "&amp;"Level "&amp;$D65&amp;"; ","")</f>
        <v/>
      </c>
      <c r="I65" s="7" t="str">
        <f>IF(AND($E$7=1,ROUND('1_Full_time'!K43,2)&lt;&gt;'1_Full_time'!K43),I$32&amp;", "&amp;I$33&amp;", Price group "&amp;$B65&amp;", "&amp;$C65&amp;" length, "&amp;"Level "&amp;$D65&amp;"; ","")</f>
        <v/>
      </c>
      <c r="J65" s="211" t="str">
        <f>IF(AND($E$7=1,ROUND('1_Full_time'!L43,2)&lt;&gt;'1_Full_time'!L43),J$32&amp;", "&amp;J$33&amp;", Price group "&amp;$B65&amp;", "&amp;$C65&amp;" length, "&amp;"Level "&amp;$D65&amp;"; ","")</f>
        <v/>
      </c>
      <c r="L65" s="118"/>
      <c r="M65" s="30" t="s">
        <v>264</v>
      </c>
      <c r="N65" s="378">
        <f>IF(OR(E85&lt;&gt;"",E165&lt;&gt;""),1,0)</f>
        <v>0</v>
      </c>
      <c r="O65" s="379">
        <f t="shared" si="20"/>
        <v>0</v>
      </c>
      <c r="P65" s="380">
        <f t="shared" si="21"/>
        <v>0</v>
      </c>
      <c r="Q65" s="391">
        <f t="shared" si="3"/>
        <v>0</v>
      </c>
      <c r="R65" s="392">
        <f t="shared" si="4"/>
        <v>0</v>
      </c>
      <c r="S65" s="393">
        <f t="shared" si="5"/>
        <v>0</v>
      </c>
      <c r="T65" s="378">
        <f>IF(OR(H85&lt;&gt;"",H165&lt;&gt;""),1,0)</f>
        <v>0</v>
      </c>
      <c r="U65" s="379">
        <f t="shared" si="22"/>
        <v>0</v>
      </c>
      <c r="V65" s="380">
        <f t="shared" si="23"/>
        <v>0</v>
      </c>
      <c r="W65" s="391">
        <f t="shared" si="6"/>
        <v>0</v>
      </c>
      <c r="X65" s="392">
        <f t="shared" si="7"/>
        <v>0</v>
      </c>
      <c r="Y65" s="393">
        <f t="shared" si="8"/>
        <v>0</v>
      </c>
    </row>
    <row r="66" spans="2:25" ht="13.15" x14ac:dyDescent="0.35">
      <c r="B66" s="20" t="s">
        <v>238</v>
      </c>
      <c r="C66" s="7" t="s">
        <v>218</v>
      </c>
      <c r="D66" s="13" t="s">
        <v>210</v>
      </c>
      <c r="E66" s="1609" t="str">
        <f>IF(AND($E$7=1,ROUND('1_Full_time'!G44,2)&lt;&gt;'1_Full_time'!G44),E$32&amp;", "&amp;E$33&amp;", Price group "&amp;$B66&amp;", "&amp;$C66&amp;" length, "&amp;"Level "&amp;$D66&amp;"; ","")</f>
        <v/>
      </c>
      <c r="F66" s="7" t="str">
        <f>IF(AND($E$7=1,ROUND('1_Full_time'!H44,2)&lt;&gt;'1_Full_time'!H44),F$32&amp;", "&amp;F$33&amp;", Price group "&amp;$B66&amp;", "&amp;$C66&amp;" length, "&amp;"Level "&amp;$D66&amp;"; ","")</f>
        <v/>
      </c>
      <c r="G66" s="211" t="str">
        <f>IF(AND($E$7=1,ROUND('1_Full_time'!I44,2)&lt;&gt;'1_Full_time'!I44),G$32&amp;", "&amp;G$33&amp;", Price group "&amp;$B66&amp;", "&amp;$C66&amp;" length, "&amp;"Level "&amp;$D66&amp;"; ","")</f>
        <v/>
      </c>
      <c r="H66" s="1609" t="str">
        <f>IF(AND($E$7=1,ROUND('1_Full_time'!J44,2)&lt;&gt;'1_Full_time'!J44),H$32&amp;", "&amp;H$33&amp;", Price group "&amp;$B66&amp;", "&amp;$C66&amp;" length, "&amp;"Level "&amp;$D66&amp;"; ","")</f>
        <v/>
      </c>
      <c r="I66" s="7" t="str">
        <f>IF(AND($E$7=1,ROUND('1_Full_time'!K44,2)&lt;&gt;'1_Full_time'!K44),I$32&amp;", "&amp;I$33&amp;", Price group "&amp;$B66&amp;", "&amp;$C66&amp;" length, "&amp;"Level "&amp;$D66&amp;"; ","")</f>
        <v/>
      </c>
      <c r="J66" s="211" t="str">
        <f>IF(AND($E$7=1,ROUND('1_Full_time'!L44,2)&lt;&gt;'1_Full_time'!L44),J$32&amp;", "&amp;J$33&amp;", Price group "&amp;$B66&amp;", "&amp;$C66&amp;" length, "&amp;"Level "&amp;$D66&amp;"; ","")</f>
        <v/>
      </c>
      <c r="L66" s="118"/>
      <c r="M66" s="30" t="s">
        <v>264</v>
      </c>
      <c r="N66" s="381">
        <f>IF(OR(E86&lt;&gt;"",E166&lt;&gt;""),1,0)</f>
        <v>0</v>
      </c>
      <c r="O66" s="382">
        <f t="shared" si="20"/>
        <v>0</v>
      </c>
      <c r="P66" s="383">
        <f t="shared" si="21"/>
        <v>0</v>
      </c>
      <c r="Q66" s="394">
        <f t="shared" si="3"/>
        <v>0</v>
      </c>
      <c r="R66" s="395">
        <f t="shared" si="4"/>
        <v>0</v>
      </c>
      <c r="S66" s="396">
        <f t="shared" si="5"/>
        <v>0</v>
      </c>
      <c r="T66" s="381">
        <f>IF(OR(H86&lt;&gt;"",H166&lt;&gt;""),1,0)</f>
        <v>0</v>
      </c>
      <c r="U66" s="382">
        <f t="shared" si="22"/>
        <v>0</v>
      </c>
      <c r="V66" s="383">
        <f t="shared" si="23"/>
        <v>0</v>
      </c>
      <c r="W66" s="394">
        <f t="shared" si="6"/>
        <v>0</v>
      </c>
      <c r="X66" s="395">
        <f t="shared" si="7"/>
        <v>0</v>
      </c>
      <c r="Y66" s="396">
        <f t="shared" si="8"/>
        <v>0</v>
      </c>
    </row>
    <row r="67" spans="2:25" ht="13.15" x14ac:dyDescent="0.35">
      <c r="B67" s="20" t="s">
        <v>238</v>
      </c>
      <c r="C67" s="7" t="s">
        <v>218</v>
      </c>
      <c r="D67" s="13" t="s">
        <v>212</v>
      </c>
      <c r="E67" s="1609" t="str">
        <f>IF(AND($E$7=1,ROUND('1_Full_time'!G45,2)&lt;&gt;'1_Full_time'!G45),E$32&amp;", "&amp;E$33&amp;", Price group "&amp;$B67&amp;", "&amp;$C67&amp;" length, "&amp;"Level "&amp;$D67&amp;"; ","")</f>
        <v/>
      </c>
      <c r="F67" s="7" t="str">
        <f>IF(AND($E$7=1,ROUND('1_Full_time'!H45,2)&lt;&gt;'1_Full_time'!H45),F$32&amp;", "&amp;F$33&amp;", Price group "&amp;$B67&amp;", "&amp;$C67&amp;" length, "&amp;"Level "&amp;$D67&amp;"; ","")</f>
        <v/>
      </c>
      <c r="G67" s="211" t="str">
        <f>IF(AND($E$7=1,ROUND('1_Full_time'!I45,2)&lt;&gt;'1_Full_time'!I45),G$32&amp;", "&amp;G$33&amp;", Price group "&amp;$B67&amp;", "&amp;$C67&amp;" length, "&amp;"Level "&amp;$D67&amp;"; ","")</f>
        <v/>
      </c>
      <c r="H67" s="1609" t="str">
        <f>IF(AND($E$7=1,ROUND('1_Full_time'!J45,2)&lt;&gt;'1_Full_time'!J45),H$32&amp;", "&amp;H$33&amp;", Price group "&amp;$B67&amp;", "&amp;$C67&amp;" length, "&amp;"Level "&amp;$D67&amp;"; ","")</f>
        <v/>
      </c>
      <c r="I67" s="7" t="str">
        <f>IF(AND($E$7=1,ROUND('1_Full_time'!K45,2)&lt;&gt;'1_Full_time'!K45),I$32&amp;", "&amp;I$33&amp;", Price group "&amp;$B67&amp;", "&amp;$C67&amp;" length, "&amp;"Level "&amp;$D67&amp;"; ","")</f>
        <v/>
      </c>
      <c r="J67" s="211" t="str">
        <f>IF(AND($E$7=1,ROUND('1_Full_time'!L45,2)&lt;&gt;'1_Full_time'!L45),J$32&amp;", "&amp;J$33&amp;", Price group "&amp;$B67&amp;", "&amp;$C67&amp;" length, "&amp;"Level "&amp;$D67&amp;"; ","")</f>
        <v/>
      </c>
      <c r="L67" s="118"/>
      <c r="M67" s="30" t="s">
        <v>264</v>
      </c>
      <c r="N67" s="384"/>
      <c r="O67" s="379">
        <f t="shared" si="20"/>
        <v>0</v>
      </c>
      <c r="P67" s="380">
        <f t="shared" si="21"/>
        <v>0</v>
      </c>
      <c r="Q67" s="384"/>
      <c r="R67" s="392">
        <f t="shared" si="4"/>
        <v>0</v>
      </c>
      <c r="S67" s="393">
        <f t="shared" si="5"/>
        <v>0</v>
      </c>
      <c r="T67" s="384"/>
      <c r="U67" s="379">
        <f t="shared" si="22"/>
        <v>0</v>
      </c>
      <c r="V67" s="380">
        <f t="shared" si="23"/>
        <v>0</v>
      </c>
      <c r="W67" s="384"/>
      <c r="X67" s="392">
        <f t="shared" si="7"/>
        <v>0</v>
      </c>
      <c r="Y67" s="393">
        <f t="shared" si="8"/>
        <v>0</v>
      </c>
    </row>
    <row r="68" spans="2:25" ht="13.15" x14ac:dyDescent="0.35">
      <c r="B68" s="20" t="s">
        <v>238</v>
      </c>
      <c r="C68" s="7" t="s">
        <v>218</v>
      </c>
      <c r="D68" s="13" t="s">
        <v>214</v>
      </c>
      <c r="E68" s="1609" t="str">
        <f>IF(AND($E$7=1,ROUND('1_Full_time'!G46,2)&lt;&gt;'1_Full_time'!G46),E$32&amp;", "&amp;E$33&amp;", Price group "&amp;$B68&amp;", "&amp;$C68&amp;" length, "&amp;"Level "&amp;$D68&amp;"; ","")</f>
        <v/>
      </c>
      <c r="F68" s="7" t="str">
        <f>IF(AND($E$7=1,ROUND('1_Full_time'!H46,2)&lt;&gt;'1_Full_time'!H46),F$32&amp;", "&amp;F$33&amp;", Price group "&amp;$B68&amp;", "&amp;$C68&amp;" length, "&amp;"Level "&amp;$D68&amp;"; ","")</f>
        <v/>
      </c>
      <c r="G68" s="211" t="str">
        <f>IF(AND($E$7=1,ROUND('1_Full_time'!I46,2)&lt;&gt;'1_Full_time'!I46),G$32&amp;", "&amp;G$33&amp;", Price group "&amp;$B68&amp;", "&amp;$C68&amp;" length, "&amp;"Level "&amp;$D68&amp;"; ","")</f>
        <v/>
      </c>
      <c r="H68" s="1609" t="str">
        <f>IF(AND($E$7=1,ROUND('1_Full_time'!J46,2)&lt;&gt;'1_Full_time'!J46),H$32&amp;", "&amp;H$33&amp;", Price group "&amp;$B68&amp;", "&amp;$C68&amp;" length, "&amp;"Level "&amp;$D68&amp;"; ","")</f>
        <v/>
      </c>
      <c r="I68" s="7" t="str">
        <f>IF(AND($E$7=1,ROUND('1_Full_time'!K46,2)&lt;&gt;'1_Full_time'!K46),I$32&amp;", "&amp;I$33&amp;", Price group "&amp;$B68&amp;", "&amp;$C68&amp;" length, "&amp;"Level "&amp;$D68&amp;"; ","")</f>
        <v/>
      </c>
      <c r="J68" s="211" t="str">
        <f>IF(AND($E$7=1,ROUND('1_Full_time'!L46,2)&lt;&gt;'1_Full_time'!L46),J$32&amp;", "&amp;J$33&amp;", Price group "&amp;$B68&amp;", "&amp;$C68&amp;" length, "&amp;"Level "&amp;$D68&amp;"; ","")</f>
        <v/>
      </c>
      <c r="L68" s="118"/>
      <c r="M68" s="30" t="s">
        <v>264</v>
      </c>
      <c r="N68" s="385">
        <f>IF(OR(E88&lt;&gt;"",E168&lt;&gt;""),1,0)</f>
        <v>0</v>
      </c>
      <c r="O68" s="386">
        <f t="shared" si="20"/>
        <v>0</v>
      </c>
      <c r="P68" s="387">
        <f t="shared" si="21"/>
        <v>0</v>
      </c>
      <c r="Q68" s="397">
        <f t="shared" si="3"/>
        <v>0</v>
      </c>
      <c r="R68" s="398">
        <f t="shared" si="4"/>
        <v>0</v>
      </c>
      <c r="S68" s="399">
        <f t="shared" si="5"/>
        <v>0</v>
      </c>
      <c r="T68" s="385">
        <f>IF(OR(H88&lt;&gt;"",H168&lt;&gt;""),1,0)</f>
        <v>0</v>
      </c>
      <c r="U68" s="386">
        <f t="shared" si="22"/>
        <v>0</v>
      </c>
      <c r="V68" s="387">
        <f t="shared" si="23"/>
        <v>0</v>
      </c>
      <c r="W68" s="397">
        <f t="shared" si="6"/>
        <v>0</v>
      </c>
      <c r="X68" s="398">
        <f t="shared" si="7"/>
        <v>0</v>
      </c>
      <c r="Y68" s="399">
        <f t="shared" si="8"/>
        <v>0</v>
      </c>
    </row>
    <row r="69" spans="2:25" ht="13.15" x14ac:dyDescent="0.35">
      <c r="B69" s="20" t="s">
        <v>238</v>
      </c>
      <c r="C69" s="7" t="s">
        <v>218</v>
      </c>
      <c r="D69" s="13" t="s">
        <v>216</v>
      </c>
      <c r="E69" s="1617"/>
      <c r="F69" s="7" t="str">
        <f>IF(AND($E$7=1,ROUND('1_Full_time'!H47,2)&lt;&gt;'1_Full_time'!H47),F$32&amp;", "&amp;F$33&amp;", Price group "&amp;$B69&amp;", "&amp;$C69&amp;" length, "&amp;"Level "&amp;$D69&amp;"; ","")</f>
        <v/>
      </c>
      <c r="G69" s="211" t="str">
        <f>IF(AND($E$7=1,ROUND('1_Full_time'!I47,2)&lt;&gt;'1_Full_time'!I47),G$32&amp;", "&amp;G$33&amp;", Price group "&amp;$B69&amp;", "&amp;$C69&amp;" length, "&amp;"Level "&amp;$D69&amp;"; ","")</f>
        <v/>
      </c>
      <c r="H69" s="1617"/>
      <c r="I69" s="7" t="str">
        <f>IF(AND($E$7=1,ROUND('1_Full_time'!K47,2)&lt;&gt;'1_Full_time'!K47),I$32&amp;", "&amp;I$33&amp;", Price group "&amp;$B69&amp;", "&amp;$C69&amp;" length, "&amp;"Level "&amp;$D69&amp;"; ","")</f>
        <v/>
      </c>
      <c r="J69" s="211" t="str">
        <f>IF(AND($E$7=1,ROUND('1_Full_time'!L47,2)&lt;&gt;'1_Full_time'!L47),J$32&amp;", "&amp;J$33&amp;", Price group "&amp;$B69&amp;", "&amp;$C69&amp;" length, "&amp;"Level "&amp;$D69&amp;"; ","")</f>
        <v/>
      </c>
      <c r="L69" s="118"/>
      <c r="M69" s="30" t="s">
        <v>264</v>
      </c>
      <c r="N69" s="388">
        <f>IF(OR(E89&lt;&gt;"",E169&lt;&gt;""),1,0)</f>
        <v>0</v>
      </c>
      <c r="O69" s="389">
        <f t="shared" si="20"/>
        <v>0</v>
      </c>
      <c r="P69" s="390">
        <f t="shared" si="21"/>
        <v>0</v>
      </c>
      <c r="Q69" s="404">
        <f t="shared" si="3"/>
        <v>0</v>
      </c>
      <c r="R69" s="405">
        <f t="shared" si="4"/>
        <v>0</v>
      </c>
      <c r="S69" s="406">
        <f t="shared" si="5"/>
        <v>0</v>
      </c>
      <c r="T69" s="388">
        <f>IF(OR(H89&lt;&gt;"",H169&lt;&gt;""),1,0)</f>
        <v>0</v>
      </c>
      <c r="U69" s="389">
        <f t="shared" si="22"/>
        <v>0</v>
      </c>
      <c r="V69" s="390">
        <f t="shared" si="23"/>
        <v>0</v>
      </c>
      <c r="W69" s="404">
        <f t="shared" si="6"/>
        <v>0</v>
      </c>
      <c r="X69" s="405">
        <f t="shared" si="7"/>
        <v>0</v>
      </c>
      <c r="Y69" s="406">
        <f t="shared" si="8"/>
        <v>0</v>
      </c>
    </row>
    <row r="70" spans="2:25" ht="13.15" x14ac:dyDescent="0.35">
      <c r="B70" s="20" t="s">
        <v>251</v>
      </c>
      <c r="C70" s="7" t="s">
        <v>204</v>
      </c>
      <c r="D70" s="13" t="s">
        <v>205</v>
      </c>
      <c r="E70" s="1720" t="str">
        <f>IF(AND($E$7=1,ROUND('1_Full_time'!G48,2)&lt;&gt;'1_Full_time'!G48),E$32&amp;", "&amp;E$33&amp;", Price group "&amp;$B70&amp;", "&amp;$C70&amp;" length, "&amp;"Level "&amp;$D70&amp;"; ","")</f>
        <v/>
      </c>
      <c r="F70" s="1412" t="str">
        <f>IF(AND($E$7=1,ROUND('1_Full_time'!H48,2)&lt;&gt;'1_Full_time'!H48),F$32&amp;", "&amp;F$33&amp;", Price group "&amp;$B70&amp;", "&amp;$C70&amp;" length, "&amp;"Level "&amp;$D70&amp;"; ","")</f>
        <v/>
      </c>
      <c r="G70" s="1789" t="str">
        <f>IF(AND($E$7=1,ROUND('1_Full_time'!I48,2)&lt;&gt;'1_Full_time'!I48),G$32&amp;", "&amp;G$33&amp;", Price group "&amp;$B70&amp;", "&amp;$C70&amp;" length, "&amp;"Level "&amp;$D70&amp;"; ","")</f>
        <v/>
      </c>
      <c r="H70" s="1720" t="str">
        <f>IF(AND($E$7=1,ROUND('1_Full_time'!J48,2)&lt;&gt;'1_Full_time'!J48),H$32&amp;", "&amp;H$33&amp;", Price group "&amp;$B70&amp;", "&amp;$C70&amp;" length, "&amp;"Level "&amp;$D70&amp;"; ","")</f>
        <v/>
      </c>
      <c r="I70" s="1412" t="str">
        <f>IF(AND($E$7=1,ROUND('1_Full_time'!K48,2)&lt;&gt;'1_Full_time'!K48),I$32&amp;", "&amp;I$33&amp;", Price group "&amp;$B70&amp;", "&amp;$C70&amp;" length, "&amp;"Level "&amp;$D70&amp;"; ","")</f>
        <v/>
      </c>
      <c r="J70" s="1789" t="str">
        <f>IF(AND($E$7=1,ROUND('1_Full_time'!L48,2)&lt;&gt;'1_Full_time'!L48),J$32&amp;", "&amp;J$33&amp;", Price group "&amp;$B70&amp;", "&amp;$C70&amp;" length, "&amp;"Level "&amp;$D70&amp;"; ","")</f>
        <v/>
      </c>
      <c r="L70" s="118"/>
      <c r="M70" s="30" t="s">
        <v>264</v>
      </c>
      <c r="N70" s="378">
        <f>IF(OR(E90&lt;&gt;"",E170&lt;&gt;""),1,0)</f>
        <v>0</v>
      </c>
      <c r="O70" s="379">
        <f t="shared" si="20"/>
        <v>0</v>
      </c>
      <c r="P70" s="380">
        <f t="shared" si="21"/>
        <v>0</v>
      </c>
      <c r="Q70" s="391">
        <f t="shared" si="3"/>
        <v>0</v>
      </c>
      <c r="R70" s="392">
        <f t="shared" si="4"/>
        <v>0</v>
      </c>
      <c r="S70" s="393">
        <f t="shared" si="5"/>
        <v>0</v>
      </c>
      <c r="T70" s="378">
        <f>IF(OR(H90&lt;&gt;"",H170&lt;&gt;""),1,0)</f>
        <v>0</v>
      </c>
      <c r="U70" s="379">
        <f t="shared" si="22"/>
        <v>0</v>
      </c>
      <c r="V70" s="380">
        <f t="shared" si="23"/>
        <v>0</v>
      </c>
      <c r="W70" s="391">
        <f t="shared" si="6"/>
        <v>0</v>
      </c>
      <c r="X70" s="392">
        <f t="shared" si="7"/>
        <v>0</v>
      </c>
      <c r="Y70" s="393">
        <f t="shared" si="8"/>
        <v>0</v>
      </c>
    </row>
    <row r="71" spans="2:25" ht="13.15" x14ac:dyDescent="0.35">
      <c r="B71" s="20" t="s">
        <v>251</v>
      </c>
      <c r="C71" s="7" t="s">
        <v>204</v>
      </c>
      <c r="D71" s="13" t="s">
        <v>208</v>
      </c>
      <c r="E71" s="1609" t="str">
        <f>IF(AND($E$7=1,ROUND('1_Full_time'!G49,2)&lt;&gt;'1_Full_time'!G49),E$32&amp;", "&amp;E$33&amp;", Price group "&amp;$B71&amp;", "&amp;$C71&amp;" length, "&amp;"Level "&amp;$D71&amp;"; ","")</f>
        <v/>
      </c>
      <c r="F71" s="7" t="str">
        <f>IF(AND($E$7=1,ROUND('1_Full_time'!H49,2)&lt;&gt;'1_Full_time'!H49),F$32&amp;", "&amp;F$33&amp;", Price group "&amp;$B71&amp;", "&amp;$C71&amp;" length, "&amp;"Level "&amp;$D71&amp;"; ","")</f>
        <v/>
      </c>
      <c r="G71" s="211" t="str">
        <f>IF(AND($E$7=1,ROUND('1_Full_time'!I49,2)&lt;&gt;'1_Full_time'!I49),G$32&amp;", "&amp;G$33&amp;", Price group "&amp;$B71&amp;", "&amp;$C71&amp;" length, "&amp;"Level "&amp;$D71&amp;"; ","")</f>
        <v/>
      </c>
      <c r="H71" s="1609" t="str">
        <f>IF(AND($E$7=1,ROUND('1_Full_time'!J49,2)&lt;&gt;'1_Full_time'!J49),H$32&amp;", "&amp;H$33&amp;", Price group "&amp;$B71&amp;", "&amp;$C71&amp;" length, "&amp;"Level "&amp;$D71&amp;"; ","")</f>
        <v/>
      </c>
      <c r="I71" s="7" t="str">
        <f>IF(AND($E$7=1,ROUND('1_Full_time'!K49,2)&lt;&gt;'1_Full_time'!K49),I$32&amp;", "&amp;I$33&amp;", Price group "&amp;$B71&amp;", "&amp;$C71&amp;" length, "&amp;"Level "&amp;$D71&amp;"; ","")</f>
        <v/>
      </c>
      <c r="J71" s="211" t="str">
        <f>IF(AND($E$7=1,ROUND('1_Full_time'!L49,2)&lt;&gt;'1_Full_time'!L49),J$32&amp;", "&amp;J$33&amp;", Price group "&amp;$B71&amp;", "&amp;$C71&amp;" length, "&amp;"Level "&amp;$D71&amp;"; ","")</f>
        <v/>
      </c>
      <c r="L71" s="118"/>
      <c r="M71" s="30" t="s">
        <v>264</v>
      </c>
      <c r="N71" s="378">
        <f>IF(OR(E91&lt;&gt;"",E171&lt;&gt;""),1,0)</f>
        <v>0</v>
      </c>
      <c r="O71" s="379">
        <f t="shared" si="20"/>
        <v>0</v>
      </c>
      <c r="P71" s="380">
        <f t="shared" si="21"/>
        <v>0</v>
      </c>
      <c r="Q71" s="391">
        <f t="shared" si="3"/>
        <v>0</v>
      </c>
      <c r="R71" s="392">
        <f t="shared" si="4"/>
        <v>0</v>
      </c>
      <c r="S71" s="393">
        <f t="shared" si="5"/>
        <v>0</v>
      </c>
      <c r="T71" s="378">
        <f>IF(OR(H91&lt;&gt;"",H171&lt;&gt;""),1,0)</f>
        <v>0</v>
      </c>
      <c r="U71" s="379">
        <f t="shared" si="22"/>
        <v>0</v>
      </c>
      <c r="V71" s="380">
        <f t="shared" si="23"/>
        <v>0</v>
      </c>
      <c r="W71" s="391">
        <f t="shared" si="6"/>
        <v>0</v>
      </c>
      <c r="X71" s="392">
        <f t="shared" si="7"/>
        <v>0</v>
      </c>
      <c r="Y71" s="393">
        <f t="shared" si="8"/>
        <v>0</v>
      </c>
    </row>
    <row r="72" spans="2:25" ht="13.15" x14ac:dyDescent="0.35">
      <c r="B72" s="20" t="s">
        <v>251</v>
      </c>
      <c r="C72" s="7" t="s">
        <v>204</v>
      </c>
      <c r="D72" s="13" t="s">
        <v>210</v>
      </c>
      <c r="E72" s="1609" t="str">
        <f>IF(AND($E$7=1,ROUND('1_Full_time'!G50,2)&lt;&gt;'1_Full_time'!G50),E$32&amp;", "&amp;E$33&amp;", Price group "&amp;$B72&amp;", "&amp;$C72&amp;" length, "&amp;"Level "&amp;$D72&amp;"; ","")</f>
        <v/>
      </c>
      <c r="F72" s="7" t="str">
        <f>IF(AND($E$7=1,ROUND('1_Full_time'!H50,2)&lt;&gt;'1_Full_time'!H50),F$32&amp;", "&amp;F$33&amp;", Price group "&amp;$B72&amp;", "&amp;$C72&amp;" length, "&amp;"Level "&amp;$D72&amp;"; ","")</f>
        <v/>
      </c>
      <c r="G72" s="211" t="str">
        <f>IF(AND($E$7=1,ROUND('1_Full_time'!I50,2)&lt;&gt;'1_Full_time'!I50),G$32&amp;", "&amp;G$33&amp;", Price group "&amp;$B72&amp;", "&amp;$C72&amp;" length, "&amp;"Level "&amp;$D72&amp;"; ","")</f>
        <v/>
      </c>
      <c r="H72" s="1609" t="str">
        <f>IF(AND($E$7=1,ROUND('1_Full_time'!J50,2)&lt;&gt;'1_Full_time'!J50),H$32&amp;", "&amp;H$33&amp;", Price group "&amp;$B72&amp;", "&amp;$C72&amp;" length, "&amp;"Level "&amp;$D72&amp;"; ","")</f>
        <v/>
      </c>
      <c r="I72" s="7" t="str">
        <f>IF(AND($E$7=1,ROUND('1_Full_time'!K50,2)&lt;&gt;'1_Full_time'!K50),I$32&amp;", "&amp;I$33&amp;", Price group "&amp;$B72&amp;", "&amp;$C72&amp;" length, "&amp;"Level "&amp;$D72&amp;"; ","")</f>
        <v/>
      </c>
      <c r="J72" s="211" t="str">
        <f>IF(AND($E$7=1,ROUND('1_Full_time'!L50,2)&lt;&gt;'1_Full_time'!L50),J$32&amp;", "&amp;J$33&amp;", Price group "&amp;$B72&amp;", "&amp;$C72&amp;" length, "&amp;"Level "&amp;$D72&amp;"; ","")</f>
        <v/>
      </c>
      <c r="L72" s="118"/>
      <c r="M72" s="30" t="s">
        <v>264</v>
      </c>
      <c r="N72" s="378">
        <f>IF(OR(E92&lt;&gt;"",E172&lt;&gt;""),1,0)</f>
        <v>0</v>
      </c>
      <c r="O72" s="379">
        <f t="shared" si="20"/>
        <v>0</v>
      </c>
      <c r="P72" s="380">
        <f t="shared" si="21"/>
        <v>0</v>
      </c>
      <c r="Q72" s="391">
        <f t="shared" si="3"/>
        <v>0</v>
      </c>
      <c r="R72" s="392">
        <f t="shared" si="4"/>
        <v>0</v>
      </c>
      <c r="S72" s="393">
        <f t="shared" si="5"/>
        <v>0</v>
      </c>
      <c r="T72" s="378">
        <f>IF(OR(H92&lt;&gt;"",H172&lt;&gt;""),1,0)</f>
        <v>0</v>
      </c>
      <c r="U72" s="379">
        <f t="shared" si="22"/>
        <v>0</v>
      </c>
      <c r="V72" s="380">
        <f t="shared" si="23"/>
        <v>0</v>
      </c>
      <c r="W72" s="391">
        <f t="shared" si="6"/>
        <v>0</v>
      </c>
      <c r="X72" s="392">
        <f t="shared" si="7"/>
        <v>0</v>
      </c>
      <c r="Y72" s="393">
        <f t="shared" si="8"/>
        <v>0</v>
      </c>
    </row>
    <row r="73" spans="2:25" ht="13.15" x14ac:dyDescent="0.35">
      <c r="B73" s="20" t="s">
        <v>251</v>
      </c>
      <c r="C73" s="7" t="s">
        <v>204</v>
      </c>
      <c r="D73" s="13" t="s">
        <v>212</v>
      </c>
      <c r="E73" s="1609" t="str">
        <f>IF(AND($E$7=1,ROUND('1_Full_time'!G51,2)&lt;&gt;'1_Full_time'!G51),E$32&amp;", "&amp;E$33&amp;", Price group "&amp;$B73&amp;", "&amp;$C73&amp;" length, "&amp;"Level "&amp;$D73&amp;"; ","")</f>
        <v/>
      </c>
      <c r="F73" s="7" t="str">
        <f>IF(AND($E$7=1,ROUND('1_Full_time'!H51,2)&lt;&gt;'1_Full_time'!H51),F$32&amp;", "&amp;F$33&amp;", Price group "&amp;$B73&amp;", "&amp;$C73&amp;" length, "&amp;"Level "&amp;$D73&amp;"; ","")</f>
        <v/>
      </c>
      <c r="G73" s="211" t="str">
        <f>IF(AND($E$7=1,ROUND('1_Full_time'!I51,2)&lt;&gt;'1_Full_time'!I51),G$32&amp;", "&amp;G$33&amp;", Price group "&amp;$B73&amp;", "&amp;$C73&amp;" length, "&amp;"Level "&amp;$D73&amp;"; ","")</f>
        <v/>
      </c>
      <c r="H73" s="1609" t="str">
        <f>IF(AND($E$7=1,ROUND('1_Full_time'!J51,2)&lt;&gt;'1_Full_time'!J51),H$32&amp;", "&amp;H$33&amp;", Price group "&amp;$B73&amp;", "&amp;$C73&amp;" length, "&amp;"Level "&amp;$D73&amp;"; ","")</f>
        <v/>
      </c>
      <c r="I73" s="7" t="str">
        <f>IF(AND($E$7=1,ROUND('1_Full_time'!K51,2)&lt;&gt;'1_Full_time'!K51),I$32&amp;", "&amp;I$33&amp;", Price group "&amp;$B73&amp;", "&amp;$C73&amp;" length, "&amp;"Level "&amp;$D73&amp;"; ","")</f>
        <v/>
      </c>
      <c r="J73" s="211" t="str">
        <f>IF(AND($E$7=1,ROUND('1_Full_time'!L51,2)&lt;&gt;'1_Full_time'!L51),J$32&amp;", "&amp;J$33&amp;", Price group "&amp;$B73&amp;", "&amp;$C73&amp;" length, "&amp;"Level "&amp;$D73&amp;"; ","")</f>
        <v/>
      </c>
      <c r="L73" s="118"/>
      <c r="M73" s="30" t="s">
        <v>264</v>
      </c>
      <c r="N73" s="384"/>
      <c r="O73" s="379">
        <f t="shared" si="20"/>
        <v>0</v>
      </c>
      <c r="P73" s="380">
        <f t="shared" si="21"/>
        <v>0</v>
      </c>
      <c r="Q73" s="384"/>
      <c r="R73" s="392">
        <f t="shared" si="4"/>
        <v>0</v>
      </c>
      <c r="S73" s="393">
        <f t="shared" si="5"/>
        <v>0</v>
      </c>
      <c r="T73" s="384"/>
      <c r="U73" s="379">
        <f t="shared" si="22"/>
        <v>0</v>
      </c>
      <c r="V73" s="380">
        <f t="shared" si="23"/>
        <v>0</v>
      </c>
      <c r="W73" s="384"/>
      <c r="X73" s="392">
        <f t="shared" si="7"/>
        <v>0</v>
      </c>
      <c r="Y73" s="393">
        <f t="shared" si="8"/>
        <v>0</v>
      </c>
    </row>
    <row r="74" spans="2:25" ht="13.15" x14ac:dyDescent="0.35">
      <c r="B74" s="20" t="s">
        <v>251</v>
      </c>
      <c r="C74" s="7" t="s">
        <v>204</v>
      </c>
      <c r="D74" s="13" t="s">
        <v>214</v>
      </c>
      <c r="E74" s="1609" t="str">
        <f>IF(AND($E$7=1,ROUND('1_Full_time'!G52,2)&lt;&gt;'1_Full_time'!G52),E$32&amp;", "&amp;E$33&amp;", Price group "&amp;$B74&amp;", "&amp;$C74&amp;" length, "&amp;"Level "&amp;$D74&amp;"; ","")</f>
        <v/>
      </c>
      <c r="F74" s="7" t="str">
        <f>IF(AND($E$7=1,ROUND('1_Full_time'!H52,2)&lt;&gt;'1_Full_time'!H52),F$32&amp;", "&amp;F$33&amp;", Price group "&amp;$B74&amp;", "&amp;$C74&amp;" length, "&amp;"Level "&amp;$D74&amp;"; ","")</f>
        <v/>
      </c>
      <c r="G74" s="211" t="str">
        <f>IF(AND($E$7=1,ROUND('1_Full_time'!I52,2)&lt;&gt;'1_Full_time'!I52),G$32&amp;", "&amp;G$33&amp;", Price group "&amp;$B74&amp;", "&amp;$C74&amp;" length, "&amp;"Level "&amp;$D74&amp;"; ","")</f>
        <v/>
      </c>
      <c r="H74" s="1609" t="str">
        <f>IF(AND($E$7=1,ROUND('1_Full_time'!J52,2)&lt;&gt;'1_Full_time'!J52),H$32&amp;", "&amp;H$33&amp;", Price group "&amp;$B74&amp;", "&amp;$C74&amp;" length, "&amp;"Level "&amp;$D74&amp;"; ","")</f>
        <v/>
      </c>
      <c r="I74" s="7" t="str">
        <f>IF(AND($E$7=1,ROUND('1_Full_time'!K52,2)&lt;&gt;'1_Full_time'!K52),I$32&amp;", "&amp;I$33&amp;", Price group "&amp;$B74&amp;", "&amp;$C74&amp;" length, "&amp;"Level "&amp;$D74&amp;"; ","")</f>
        <v/>
      </c>
      <c r="J74" s="211" t="str">
        <f>IF(AND($E$7=1,ROUND('1_Full_time'!L52,2)&lt;&gt;'1_Full_time'!L52),J$32&amp;", "&amp;J$33&amp;", Price group "&amp;$B74&amp;", "&amp;$C74&amp;" length, "&amp;"Level "&amp;$D74&amp;"; ","")</f>
        <v/>
      </c>
      <c r="L74" s="118"/>
      <c r="M74" s="30" t="s">
        <v>264</v>
      </c>
      <c r="N74" s="1714">
        <f>IF(OR(E94&lt;&gt;"",E174&lt;&gt;""),1,0)</f>
        <v>0</v>
      </c>
      <c r="O74" s="1689">
        <f t="shared" si="20"/>
        <v>0</v>
      </c>
      <c r="P74" s="1690">
        <f t="shared" si="21"/>
        <v>0</v>
      </c>
      <c r="Q74" s="1713">
        <f t="shared" si="3"/>
        <v>0</v>
      </c>
      <c r="R74" s="1691">
        <f t="shared" si="4"/>
        <v>0</v>
      </c>
      <c r="S74" s="1692">
        <f t="shared" si="5"/>
        <v>0</v>
      </c>
      <c r="T74" s="1714">
        <f>IF(OR(H94&lt;&gt;"",H174&lt;&gt;""),1,0)</f>
        <v>0</v>
      </c>
      <c r="U74" s="1689">
        <f t="shared" si="22"/>
        <v>0</v>
      </c>
      <c r="V74" s="1690">
        <f t="shared" si="23"/>
        <v>0</v>
      </c>
      <c r="W74" s="1713">
        <f t="shared" si="6"/>
        <v>0</v>
      </c>
      <c r="X74" s="1691">
        <f t="shared" si="7"/>
        <v>0</v>
      </c>
      <c r="Y74" s="1692">
        <f t="shared" si="8"/>
        <v>0</v>
      </c>
    </row>
    <row r="75" spans="2:25" ht="13.15" x14ac:dyDescent="0.35">
      <c r="B75" s="20" t="s">
        <v>251</v>
      </c>
      <c r="C75" s="7" t="s">
        <v>204</v>
      </c>
      <c r="D75" s="13" t="s">
        <v>216</v>
      </c>
      <c r="E75" s="1428"/>
      <c r="F75" s="1429" t="str">
        <f>IF(AND($E$7=1,ROUND('1_Full_time'!H53,2)&lt;&gt;'1_Full_time'!H53),F$32&amp;", "&amp;F$33&amp;", Price group "&amp;$B75&amp;", "&amp;$C75&amp;" length, "&amp;"Level "&amp;$D75&amp;"; ","")</f>
        <v/>
      </c>
      <c r="G75" s="1430" t="str">
        <f>IF(AND($E$7=1,ROUND('1_Full_time'!I53,2)&lt;&gt;'1_Full_time'!I53),G$32&amp;", "&amp;G$33&amp;", Price group "&amp;$B75&amp;", "&amp;$C75&amp;" length, "&amp;"Level "&amp;$D75&amp;"; ","")</f>
        <v/>
      </c>
      <c r="H75" s="1428"/>
      <c r="I75" s="1429" t="str">
        <f>IF(AND($E$7=1,ROUND('1_Full_time'!K53,2)&lt;&gt;'1_Full_time'!K53),I$32&amp;", "&amp;I$33&amp;", Price group "&amp;$B75&amp;", "&amp;$C75&amp;" length, "&amp;"Level "&amp;$D75&amp;"; ","")</f>
        <v/>
      </c>
      <c r="J75" s="1430" t="str">
        <f>IF(AND($E$7=1,ROUND('1_Full_time'!L53,2)&lt;&gt;'1_Full_time'!L53),J$32&amp;", "&amp;J$33&amp;", Price group "&amp;$B75&amp;", "&amp;$C75&amp;" length, "&amp;"Level "&amp;$D75&amp;"; ","")</f>
        <v/>
      </c>
      <c r="L75" s="118"/>
      <c r="M75" s="30" t="s">
        <v>277</v>
      </c>
      <c r="N75" s="388">
        <f>IF(OR(E95&lt;&gt;"",E175&lt;&gt;""),1,0)</f>
        <v>0</v>
      </c>
      <c r="O75" s="389">
        <f t="shared" si="20"/>
        <v>0</v>
      </c>
      <c r="P75" s="390">
        <f t="shared" si="21"/>
        <v>0</v>
      </c>
      <c r="Q75" s="404">
        <f t="shared" si="3"/>
        <v>0</v>
      </c>
      <c r="R75" s="405">
        <f t="shared" si="4"/>
        <v>0</v>
      </c>
      <c r="S75" s="406">
        <f t="shared" si="5"/>
        <v>0</v>
      </c>
      <c r="T75" s="388">
        <f>IF(OR(H95&lt;&gt;"",H175&lt;&gt;""),1,0)</f>
        <v>0</v>
      </c>
      <c r="U75" s="389">
        <f t="shared" si="22"/>
        <v>0</v>
      </c>
      <c r="V75" s="390">
        <f t="shared" si="23"/>
        <v>0</v>
      </c>
      <c r="W75" s="404">
        <f t="shared" si="6"/>
        <v>0</v>
      </c>
      <c r="X75" s="405">
        <f t="shared" si="7"/>
        <v>0</v>
      </c>
      <c r="Y75" s="406">
        <f t="shared" si="8"/>
        <v>0</v>
      </c>
    </row>
    <row r="76" spans="2:25" ht="13.15" x14ac:dyDescent="0.35">
      <c r="B76" s="20" t="s">
        <v>251</v>
      </c>
      <c r="C76" s="7" t="s">
        <v>218</v>
      </c>
      <c r="D76" s="13" t="s">
        <v>205</v>
      </c>
      <c r="E76" s="1609" t="str">
        <f>IF(AND($E$7=1,ROUND('1_Full_time'!G54,2)&lt;&gt;'1_Full_time'!G54),E$32&amp;", "&amp;E$33&amp;", Price group "&amp;$B76&amp;", "&amp;$C76&amp;" length, "&amp;"Level "&amp;$D76&amp;"; ","")</f>
        <v/>
      </c>
      <c r="F76" s="7" t="str">
        <f>IF(AND($E$7=1,ROUND('1_Full_time'!H54,2)&lt;&gt;'1_Full_time'!H54),F$32&amp;", "&amp;F$33&amp;", Price group "&amp;$B76&amp;", "&amp;$C76&amp;" length, "&amp;"Level "&amp;$D76&amp;"; ","")</f>
        <v/>
      </c>
      <c r="G76" s="211" t="str">
        <f>IF(AND($E$7=1,ROUND('1_Full_time'!I54,2)&lt;&gt;'1_Full_time'!I54),G$32&amp;", "&amp;G$33&amp;", Price group "&amp;$B76&amp;", "&amp;$C76&amp;" length, "&amp;"Level "&amp;$D76&amp;"; ","")</f>
        <v/>
      </c>
      <c r="H76" s="1609" t="str">
        <f>IF(AND($E$7=1,ROUND('1_Full_time'!J54,2)&lt;&gt;'1_Full_time'!J54),H$32&amp;", "&amp;H$33&amp;", Price group "&amp;$B76&amp;", "&amp;$C76&amp;" length, "&amp;"Level "&amp;$D76&amp;"; ","")</f>
        <v/>
      </c>
      <c r="I76" s="7" t="str">
        <f>IF(AND($E$7=1,ROUND('1_Full_time'!K54,2)&lt;&gt;'1_Full_time'!K54),I$32&amp;", "&amp;I$33&amp;", Price group "&amp;$B76&amp;", "&amp;$C76&amp;" length, "&amp;"Level "&amp;$D76&amp;"; ","")</f>
        <v/>
      </c>
      <c r="J76" s="211" t="str">
        <f>IF(AND($E$7=1,ROUND('1_Full_time'!L54,2)&lt;&gt;'1_Full_time'!L54),J$32&amp;", "&amp;J$33&amp;", Price group "&amp;$B76&amp;", "&amp;$C76&amp;" length, "&amp;"Level "&amp;$D76&amp;"; ","")</f>
        <v/>
      </c>
      <c r="L76" s="118"/>
      <c r="M76" s="30" t="s">
        <v>277</v>
      </c>
      <c r="N76" s="378">
        <f>IF(OR(E96&lt;&gt;"",E176&lt;&gt;""),1,0)</f>
        <v>0</v>
      </c>
      <c r="O76" s="379">
        <f t="shared" si="20"/>
        <v>0</v>
      </c>
      <c r="P76" s="380">
        <f t="shared" si="21"/>
        <v>0</v>
      </c>
      <c r="Q76" s="391">
        <f t="shared" si="3"/>
        <v>0</v>
      </c>
      <c r="R76" s="392">
        <f t="shared" si="4"/>
        <v>0</v>
      </c>
      <c r="S76" s="393">
        <f t="shared" si="5"/>
        <v>0</v>
      </c>
      <c r="T76" s="378">
        <f>IF(OR(H96&lt;&gt;"",H176&lt;&gt;""),1,0)</f>
        <v>0</v>
      </c>
      <c r="U76" s="379">
        <f t="shared" si="22"/>
        <v>0</v>
      </c>
      <c r="V76" s="380">
        <f t="shared" si="23"/>
        <v>0</v>
      </c>
      <c r="W76" s="391">
        <f t="shared" si="6"/>
        <v>0</v>
      </c>
      <c r="X76" s="392">
        <f t="shared" si="7"/>
        <v>0</v>
      </c>
      <c r="Y76" s="393">
        <f t="shared" si="8"/>
        <v>0</v>
      </c>
    </row>
    <row r="77" spans="2:25" ht="13.15" x14ac:dyDescent="0.35">
      <c r="B77" s="20" t="s">
        <v>251</v>
      </c>
      <c r="C77" s="7" t="s">
        <v>218</v>
      </c>
      <c r="D77" s="13" t="s">
        <v>208</v>
      </c>
      <c r="E77" s="1609" t="str">
        <f>IF(AND($E$7=1,ROUND('1_Full_time'!G55,2)&lt;&gt;'1_Full_time'!G55),E$32&amp;", "&amp;E$33&amp;", Price group "&amp;$B77&amp;", "&amp;$C77&amp;" length, "&amp;"Level "&amp;$D77&amp;"; ","")</f>
        <v/>
      </c>
      <c r="F77" s="7" t="str">
        <f>IF(AND($E$7=1,ROUND('1_Full_time'!H55,2)&lt;&gt;'1_Full_time'!H55),F$32&amp;", "&amp;F$33&amp;", Price group "&amp;$B77&amp;", "&amp;$C77&amp;" length, "&amp;"Level "&amp;$D77&amp;"; ","")</f>
        <v/>
      </c>
      <c r="G77" s="211" t="str">
        <f>IF(AND($E$7=1,ROUND('1_Full_time'!I55,2)&lt;&gt;'1_Full_time'!I55),G$32&amp;", "&amp;G$33&amp;", Price group "&amp;$B77&amp;", "&amp;$C77&amp;" length, "&amp;"Level "&amp;$D77&amp;"; ","")</f>
        <v/>
      </c>
      <c r="H77" s="1609" t="str">
        <f>IF(AND($E$7=1,ROUND('1_Full_time'!J55,2)&lt;&gt;'1_Full_time'!J55),H$32&amp;", "&amp;H$33&amp;", Price group "&amp;$B77&amp;", "&amp;$C77&amp;" length, "&amp;"Level "&amp;$D77&amp;"; ","")</f>
        <v/>
      </c>
      <c r="I77" s="7" t="str">
        <f>IF(AND($E$7=1,ROUND('1_Full_time'!K55,2)&lt;&gt;'1_Full_time'!K55),I$32&amp;", "&amp;I$33&amp;", Price group "&amp;$B77&amp;", "&amp;$C77&amp;" length, "&amp;"Level "&amp;$D77&amp;"; ","")</f>
        <v/>
      </c>
      <c r="J77" s="211" t="str">
        <f>IF(AND($E$7=1,ROUND('1_Full_time'!L55,2)&lt;&gt;'1_Full_time'!L55),J$32&amp;", "&amp;J$33&amp;", Price group "&amp;$B77&amp;", "&amp;$C77&amp;" length, "&amp;"Level "&amp;$D77&amp;"; ","")</f>
        <v/>
      </c>
      <c r="L77" s="118"/>
      <c r="M77" s="30" t="s">
        <v>277</v>
      </c>
      <c r="N77" s="378">
        <f>IF(OR(E97&lt;&gt;"",E177&lt;&gt;""),1,0)</f>
        <v>0</v>
      </c>
      <c r="O77" s="379">
        <f t="shared" si="20"/>
        <v>0</v>
      </c>
      <c r="P77" s="380">
        <f t="shared" si="21"/>
        <v>0</v>
      </c>
      <c r="Q77" s="391">
        <f t="shared" si="3"/>
        <v>0</v>
      </c>
      <c r="R77" s="392">
        <f t="shared" si="4"/>
        <v>0</v>
      </c>
      <c r="S77" s="393">
        <f t="shared" si="5"/>
        <v>0</v>
      </c>
      <c r="T77" s="378">
        <f>IF(OR(H97&lt;&gt;"",H177&lt;&gt;""),1,0)</f>
        <v>0</v>
      </c>
      <c r="U77" s="379">
        <f t="shared" si="22"/>
        <v>0</v>
      </c>
      <c r="V77" s="380">
        <f t="shared" si="23"/>
        <v>0</v>
      </c>
      <c r="W77" s="391">
        <f t="shared" si="6"/>
        <v>0</v>
      </c>
      <c r="X77" s="392">
        <f t="shared" si="7"/>
        <v>0</v>
      </c>
      <c r="Y77" s="393">
        <f t="shared" si="8"/>
        <v>0</v>
      </c>
    </row>
    <row r="78" spans="2:25" ht="13.15" x14ac:dyDescent="0.35">
      <c r="B78" s="20" t="s">
        <v>251</v>
      </c>
      <c r="C78" s="7" t="s">
        <v>218</v>
      </c>
      <c r="D78" s="13" t="s">
        <v>210</v>
      </c>
      <c r="E78" s="1609" t="str">
        <f>IF(AND($E$7=1,ROUND('1_Full_time'!G56,2)&lt;&gt;'1_Full_time'!G56),E$32&amp;", "&amp;E$33&amp;", Price group "&amp;$B78&amp;", "&amp;$C78&amp;" length, "&amp;"Level "&amp;$D78&amp;"; ","")</f>
        <v/>
      </c>
      <c r="F78" s="7" t="str">
        <f>IF(AND($E$7=1,ROUND('1_Full_time'!H56,2)&lt;&gt;'1_Full_time'!H56),F$32&amp;", "&amp;F$33&amp;", Price group "&amp;$B78&amp;", "&amp;$C78&amp;" length, "&amp;"Level "&amp;$D78&amp;"; ","")</f>
        <v/>
      </c>
      <c r="G78" s="211" t="str">
        <f>IF(AND($E$7=1,ROUND('1_Full_time'!I56,2)&lt;&gt;'1_Full_time'!I56),G$32&amp;", "&amp;G$33&amp;", Price group "&amp;$B78&amp;", "&amp;$C78&amp;" length, "&amp;"Level "&amp;$D78&amp;"; ","")</f>
        <v/>
      </c>
      <c r="H78" s="1609" t="str">
        <f>IF(AND($E$7=1,ROUND('1_Full_time'!J56,2)&lt;&gt;'1_Full_time'!J56),H$32&amp;", "&amp;H$33&amp;", Price group "&amp;$B78&amp;", "&amp;$C78&amp;" length, "&amp;"Level "&amp;$D78&amp;"; ","")</f>
        <v/>
      </c>
      <c r="I78" s="7" t="str">
        <f>IF(AND($E$7=1,ROUND('1_Full_time'!K56,2)&lt;&gt;'1_Full_time'!K56),I$32&amp;", "&amp;I$33&amp;", Price group "&amp;$B78&amp;", "&amp;$C78&amp;" length, "&amp;"Level "&amp;$D78&amp;"; ","")</f>
        <v/>
      </c>
      <c r="J78" s="211" t="str">
        <f>IF(AND($E$7=1,ROUND('1_Full_time'!L56,2)&lt;&gt;'1_Full_time'!L56),J$32&amp;", "&amp;J$33&amp;", Price group "&amp;$B78&amp;", "&amp;$C78&amp;" length, "&amp;"Level "&amp;$D78&amp;"; ","")</f>
        <v/>
      </c>
      <c r="L78" s="118"/>
      <c r="M78" s="30" t="s">
        <v>277</v>
      </c>
      <c r="N78" s="381">
        <f>IF(OR(E98&lt;&gt;"",E178&lt;&gt;""),1,0)</f>
        <v>0</v>
      </c>
      <c r="O78" s="382">
        <f t="shared" si="20"/>
        <v>0</v>
      </c>
      <c r="P78" s="383">
        <f t="shared" si="21"/>
        <v>0</v>
      </c>
      <c r="Q78" s="394">
        <f t="shared" si="3"/>
        <v>0</v>
      </c>
      <c r="R78" s="395">
        <f t="shared" si="4"/>
        <v>0</v>
      </c>
      <c r="S78" s="396">
        <f t="shared" si="5"/>
        <v>0</v>
      </c>
      <c r="T78" s="381">
        <f>IF(OR(H98&lt;&gt;"",H178&lt;&gt;""),1,0)</f>
        <v>0</v>
      </c>
      <c r="U78" s="382">
        <f t="shared" si="22"/>
        <v>0</v>
      </c>
      <c r="V78" s="383">
        <f t="shared" si="23"/>
        <v>0</v>
      </c>
      <c r="W78" s="394">
        <f t="shared" si="6"/>
        <v>0</v>
      </c>
      <c r="X78" s="395">
        <f t="shared" si="7"/>
        <v>0</v>
      </c>
      <c r="Y78" s="396">
        <f t="shared" si="8"/>
        <v>0</v>
      </c>
    </row>
    <row r="79" spans="2:25" ht="13.15" x14ac:dyDescent="0.35">
      <c r="B79" s="20" t="s">
        <v>251</v>
      </c>
      <c r="C79" s="7" t="s">
        <v>218</v>
      </c>
      <c r="D79" s="13" t="s">
        <v>212</v>
      </c>
      <c r="E79" s="1609" t="str">
        <f>IF(AND($E$7=1,ROUND('1_Full_time'!G57,2)&lt;&gt;'1_Full_time'!G57),E$32&amp;", "&amp;E$33&amp;", Price group "&amp;$B79&amp;", "&amp;$C79&amp;" length, "&amp;"Level "&amp;$D79&amp;"; ","")</f>
        <v/>
      </c>
      <c r="F79" s="7" t="str">
        <f>IF(AND($E$7=1,ROUND('1_Full_time'!H57,2)&lt;&gt;'1_Full_time'!H57),F$32&amp;", "&amp;F$33&amp;", Price group "&amp;$B79&amp;", "&amp;$C79&amp;" length, "&amp;"Level "&amp;$D79&amp;"; ","")</f>
        <v/>
      </c>
      <c r="G79" s="211" t="str">
        <f>IF(AND($E$7=1,ROUND('1_Full_time'!I57,2)&lt;&gt;'1_Full_time'!I57),G$32&amp;", "&amp;G$33&amp;", Price group "&amp;$B79&amp;", "&amp;$C79&amp;" length, "&amp;"Level "&amp;$D79&amp;"; ","")</f>
        <v/>
      </c>
      <c r="H79" s="1609" t="str">
        <f>IF(AND($E$7=1,ROUND('1_Full_time'!J57,2)&lt;&gt;'1_Full_time'!J57),H$32&amp;", "&amp;H$33&amp;", Price group "&amp;$B79&amp;", "&amp;$C79&amp;" length, "&amp;"Level "&amp;$D79&amp;"; ","")</f>
        <v/>
      </c>
      <c r="I79" s="7" t="str">
        <f>IF(AND($E$7=1,ROUND('1_Full_time'!K57,2)&lt;&gt;'1_Full_time'!K57),I$32&amp;", "&amp;I$33&amp;", Price group "&amp;$B79&amp;", "&amp;$C79&amp;" length, "&amp;"Level "&amp;$D79&amp;"; ","")</f>
        <v/>
      </c>
      <c r="J79" s="211" t="str">
        <f>IF(AND($E$7=1,ROUND('1_Full_time'!L57,2)&lt;&gt;'1_Full_time'!L57),J$32&amp;", "&amp;J$33&amp;", Price group "&amp;$B79&amp;", "&amp;$C79&amp;" length, "&amp;"Level "&amp;$D79&amp;"; ","")</f>
        <v/>
      </c>
      <c r="L79" s="118"/>
      <c r="M79" s="30" t="s">
        <v>277</v>
      </c>
      <c r="N79" s="384"/>
      <c r="O79" s="379">
        <f t="shared" si="20"/>
        <v>0</v>
      </c>
      <c r="P79" s="380">
        <f t="shared" si="21"/>
        <v>0</v>
      </c>
      <c r="Q79" s="384"/>
      <c r="R79" s="392">
        <f t="shared" ref="R79:R84" si="24">O79</f>
        <v>0</v>
      </c>
      <c r="S79" s="393">
        <f t="shared" ref="S79:S84" si="25">P79</f>
        <v>0</v>
      </c>
      <c r="T79" s="384"/>
      <c r="U79" s="379">
        <f t="shared" si="22"/>
        <v>0</v>
      </c>
      <c r="V79" s="380">
        <f t="shared" si="23"/>
        <v>0</v>
      </c>
      <c r="W79" s="384"/>
      <c r="X79" s="392">
        <f t="shared" ref="X79:X97" si="26">IF(OR(O79=1,U79=1),1,0)</f>
        <v>0</v>
      </c>
      <c r="Y79" s="393">
        <f t="shared" ref="Y79:Y97" si="27">IF(OR(P79=1,V79=1),1,0)</f>
        <v>0</v>
      </c>
    </row>
    <row r="80" spans="2:25" ht="13.15" x14ac:dyDescent="0.35">
      <c r="B80" s="20" t="s">
        <v>251</v>
      </c>
      <c r="C80" s="7" t="s">
        <v>218</v>
      </c>
      <c r="D80" s="13" t="s">
        <v>214</v>
      </c>
      <c r="E80" s="1609" t="str">
        <f>IF(AND($E$7=1,ROUND('1_Full_time'!G58,2)&lt;&gt;'1_Full_time'!G58),E$32&amp;", "&amp;E$33&amp;", Price group "&amp;$B80&amp;", "&amp;$C80&amp;" length, "&amp;"Level "&amp;$D80&amp;"; ","")</f>
        <v/>
      </c>
      <c r="F80" s="7" t="str">
        <f>IF(AND($E$7=1,ROUND('1_Full_time'!H58,2)&lt;&gt;'1_Full_time'!H58),F$32&amp;", "&amp;F$33&amp;", Price group "&amp;$B80&amp;", "&amp;$C80&amp;" length, "&amp;"Level "&amp;$D80&amp;"; ","")</f>
        <v/>
      </c>
      <c r="G80" s="211" t="str">
        <f>IF(AND($E$7=1,ROUND('1_Full_time'!I58,2)&lt;&gt;'1_Full_time'!I58),G$32&amp;", "&amp;G$33&amp;", Price group "&amp;$B80&amp;", "&amp;$C80&amp;" length, "&amp;"Level "&amp;$D80&amp;"; ","")</f>
        <v/>
      </c>
      <c r="H80" s="1609" t="str">
        <f>IF(AND($E$7=1,ROUND('1_Full_time'!J58,2)&lt;&gt;'1_Full_time'!J58),H$32&amp;", "&amp;H$33&amp;", Price group "&amp;$B80&amp;", "&amp;$C80&amp;" length, "&amp;"Level "&amp;$D80&amp;"; ","")</f>
        <v/>
      </c>
      <c r="I80" s="7" t="str">
        <f>IF(AND($E$7=1,ROUND('1_Full_time'!K58,2)&lt;&gt;'1_Full_time'!K58),I$32&amp;", "&amp;I$33&amp;", Price group "&amp;$B80&amp;", "&amp;$C80&amp;" length, "&amp;"Level "&amp;$D80&amp;"; ","")</f>
        <v/>
      </c>
      <c r="J80" s="211" t="str">
        <f>IF(AND($E$7=1,ROUND('1_Full_time'!L58,2)&lt;&gt;'1_Full_time'!L58),J$32&amp;", "&amp;J$33&amp;", Price group "&amp;$B80&amp;", "&amp;$C80&amp;" length, "&amp;"Level "&amp;$D80&amp;"; ","")</f>
        <v/>
      </c>
      <c r="L80" s="118"/>
      <c r="M80" s="30" t="s">
        <v>277</v>
      </c>
      <c r="N80" s="385">
        <f>IF(OR(E100&lt;&gt;"",E180&lt;&gt;""),1,0)</f>
        <v>0</v>
      </c>
      <c r="O80" s="386">
        <f t="shared" si="20"/>
        <v>0</v>
      </c>
      <c r="P80" s="387">
        <f t="shared" si="21"/>
        <v>0</v>
      </c>
      <c r="Q80" s="397">
        <f>N80</f>
        <v>0</v>
      </c>
      <c r="R80" s="398">
        <f t="shared" si="24"/>
        <v>0</v>
      </c>
      <c r="S80" s="399">
        <f t="shared" si="25"/>
        <v>0</v>
      </c>
      <c r="T80" s="385">
        <f>IF(OR(H100&lt;&gt;"",H180&lt;&gt;""),1,0)</f>
        <v>0</v>
      </c>
      <c r="U80" s="386">
        <f t="shared" si="22"/>
        <v>0</v>
      </c>
      <c r="V80" s="387">
        <f t="shared" si="23"/>
        <v>0</v>
      </c>
      <c r="W80" s="397">
        <f t="shared" ref="W80:W96" si="28">IF(OR(N80=1,T80=1),1,0)</f>
        <v>0</v>
      </c>
      <c r="X80" s="398">
        <f t="shared" si="26"/>
        <v>0</v>
      </c>
      <c r="Y80" s="399">
        <f t="shared" si="27"/>
        <v>0</v>
      </c>
    </row>
    <row r="81" spans="2:25" ht="13.15" x14ac:dyDescent="0.35">
      <c r="B81" s="20" t="s">
        <v>251</v>
      </c>
      <c r="C81" s="7" t="s">
        <v>218</v>
      </c>
      <c r="D81" s="13" t="s">
        <v>216</v>
      </c>
      <c r="E81" s="1617"/>
      <c r="F81" s="7" t="str">
        <f>IF(AND($E$7=1,ROUND('1_Full_time'!H59,2)&lt;&gt;'1_Full_time'!H59),F$32&amp;", "&amp;F$33&amp;", Price group "&amp;$B81&amp;", "&amp;$C81&amp;" length, "&amp;"Level "&amp;$D81&amp;"; ","")</f>
        <v/>
      </c>
      <c r="G81" s="211" t="str">
        <f>IF(AND($E$7=1,ROUND('1_Full_time'!I59,2)&lt;&gt;'1_Full_time'!I59),G$32&amp;", "&amp;G$33&amp;", Price group "&amp;$B81&amp;", "&amp;$C81&amp;" length, "&amp;"Level "&amp;$D81&amp;"; ","")</f>
        <v/>
      </c>
      <c r="H81" s="1617"/>
      <c r="I81" s="7" t="str">
        <f>IF(AND($E$7=1,ROUND('1_Full_time'!K59,2)&lt;&gt;'1_Full_time'!K59),I$32&amp;", "&amp;I$33&amp;", Price group "&amp;$B81&amp;", "&amp;$C81&amp;" length, "&amp;"Level "&amp;$D81&amp;"; ","")</f>
        <v/>
      </c>
      <c r="J81" s="211" t="str">
        <f>IF(AND($E$7=1,ROUND('1_Full_time'!L59,2)&lt;&gt;'1_Full_time'!L59),J$32&amp;", "&amp;J$33&amp;", Price group "&amp;$B81&amp;", "&amp;$C81&amp;" length, "&amp;"Level "&amp;$D81&amp;"; ","")</f>
        <v/>
      </c>
      <c r="L81" s="118"/>
      <c r="M81" s="30" t="s">
        <v>277</v>
      </c>
      <c r="N81" s="388">
        <f>IF(OR(E101&lt;&gt;"",E181&lt;&gt;""),1,0)</f>
        <v>0</v>
      </c>
      <c r="O81" s="389">
        <f t="shared" si="20"/>
        <v>0</v>
      </c>
      <c r="P81" s="390">
        <f t="shared" si="21"/>
        <v>0</v>
      </c>
      <c r="Q81" s="404">
        <f>N81</f>
        <v>0</v>
      </c>
      <c r="R81" s="405">
        <f t="shared" si="24"/>
        <v>0</v>
      </c>
      <c r="S81" s="406">
        <f t="shared" si="25"/>
        <v>0</v>
      </c>
      <c r="T81" s="388">
        <f>IF(OR(H101&lt;&gt;"",H181&lt;&gt;""),1,0)</f>
        <v>0</v>
      </c>
      <c r="U81" s="389">
        <f t="shared" si="22"/>
        <v>0</v>
      </c>
      <c r="V81" s="390">
        <f t="shared" si="23"/>
        <v>0</v>
      </c>
      <c r="W81" s="404">
        <f t="shared" si="28"/>
        <v>0</v>
      </c>
      <c r="X81" s="405">
        <f t="shared" si="26"/>
        <v>0</v>
      </c>
      <c r="Y81" s="406">
        <f t="shared" si="27"/>
        <v>0</v>
      </c>
    </row>
    <row r="82" spans="2:25" ht="13.15" x14ac:dyDescent="0.35">
      <c r="B82" s="20" t="s">
        <v>264</v>
      </c>
      <c r="C82" s="7" t="s">
        <v>204</v>
      </c>
      <c r="D82" s="13" t="s">
        <v>205</v>
      </c>
      <c r="E82" s="1720" t="str">
        <f>IF(AND($E$7=1,ROUND('1_Full_time'!G60,2)&lt;&gt;'1_Full_time'!G60),E$32&amp;", "&amp;E$33&amp;", Price group "&amp;$B82&amp;", "&amp;$C82&amp;" length, "&amp;"Level "&amp;$D82&amp;"; ","")</f>
        <v/>
      </c>
      <c r="F82" s="1412" t="str">
        <f>IF(AND($E$7=1,ROUND('1_Full_time'!H60,2)&lt;&gt;'1_Full_time'!H60),F$32&amp;", "&amp;F$33&amp;", Price group "&amp;$B82&amp;", "&amp;$C82&amp;" length, "&amp;"Level "&amp;$D82&amp;"; ","")</f>
        <v/>
      </c>
      <c r="G82" s="1789" t="str">
        <f>IF(AND($E$7=1,ROUND('1_Full_time'!I60,2)&lt;&gt;'1_Full_time'!I60),G$32&amp;", "&amp;G$33&amp;", Price group "&amp;$B82&amp;", "&amp;$C82&amp;" length, "&amp;"Level "&amp;$D82&amp;"; ","")</f>
        <v/>
      </c>
      <c r="H82" s="1720" t="str">
        <f>IF(AND($E$7=1,ROUND('1_Full_time'!J60,2)&lt;&gt;'1_Full_time'!J60),H$32&amp;", "&amp;H$33&amp;", Price group "&amp;$B82&amp;", "&amp;$C82&amp;" length, "&amp;"Level "&amp;$D82&amp;"; ","")</f>
        <v/>
      </c>
      <c r="I82" s="1412" t="str">
        <f>IF(AND($E$7=1,ROUND('1_Full_time'!K60,2)&lt;&gt;'1_Full_time'!K60),I$32&amp;", "&amp;I$33&amp;", Price group "&amp;$B82&amp;", "&amp;$C82&amp;" length, "&amp;"Level "&amp;$D82&amp;"; ","")</f>
        <v/>
      </c>
      <c r="J82" s="1789" t="str">
        <f>IF(AND($E$7=1,ROUND('1_Full_time'!L60,2)&lt;&gt;'1_Full_time'!L60),J$32&amp;", "&amp;J$33&amp;", Price group "&amp;$B82&amp;", "&amp;$C82&amp;" length, "&amp;"Level "&amp;$D82&amp;"; ","")</f>
        <v/>
      </c>
      <c r="L82" s="118"/>
      <c r="M82" s="30" t="s">
        <v>277</v>
      </c>
      <c r="N82" s="378">
        <f>IF(OR(E102&lt;&gt;"",E182&lt;&gt;""),1,0)</f>
        <v>0</v>
      </c>
      <c r="O82" s="379">
        <f t="shared" si="20"/>
        <v>0</v>
      </c>
      <c r="P82" s="380">
        <f t="shared" si="21"/>
        <v>0</v>
      </c>
      <c r="Q82" s="391">
        <f>N82</f>
        <v>0</v>
      </c>
      <c r="R82" s="392">
        <f t="shared" si="24"/>
        <v>0</v>
      </c>
      <c r="S82" s="393">
        <f t="shared" si="25"/>
        <v>0</v>
      </c>
      <c r="T82" s="378">
        <f>IF(OR(H102&lt;&gt;"",H182&lt;&gt;""),1,0)</f>
        <v>0</v>
      </c>
      <c r="U82" s="379">
        <f t="shared" si="22"/>
        <v>0</v>
      </c>
      <c r="V82" s="380">
        <f t="shared" si="23"/>
        <v>0</v>
      </c>
      <c r="W82" s="391">
        <f t="shared" si="28"/>
        <v>0</v>
      </c>
      <c r="X82" s="392">
        <f t="shared" si="26"/>
        <v>0</v>
      </c>
      <c r="Y82" s="393">
        <f t="shared" si="27"/>
        <v>0</v>
      </c>
    </row>
    <row r="83" spans="2:25" ht="13.15" x14ac:dyDescent="0.35">
      <c r="B83" s="20" t="s">
        <v>264</v>
      </c>
      <c r="C83" s="7" t="s">
        <v>204</v>
      </c>
      <c r="D83" s="13" t="s">
        <v>208</v>
      </c>
      <c r="E83" s="1609" t="str">
        <f>IF(AND($E$7=1,ROUND('1_Full_time'!G61,2)&lt;&gt;'1_Full_time'!G61),E$32&amp;", "&amp;E$33&amp;", Price group "&amp;$B83&amp;", "&amp;$C83&amp;" length, "&amp;"Level "&amp;$D83&amp;"; ","")</f>
        <v/>
      </c>
      <c r="F83" s="7" t="str">
        <f>IF(AND($E$7=1,ROUND('1_Full_time'!H61,2)&lt;&gt;'1_Full_time'!H61),F$32&amp;", "&amp;F$33&amp;", Price group "&amp;$B83&amp;", "&amp;$C83&amp;" length, "&amp;"Level "&amp;$D83&amp;"; ","")</f>
        <v/>
      </c>
      <c r="G83" s="211" t="str">
        <f>IF(AND($E$7=1,ROUND('1_Full_time'!I61,2)&lt;&gt;'1_Full_time'!I61),G$32&amp;", "&amp;G$33&amp;", Price group "&amp;$B83&amp;", "&amp;$C83&amp;" length, "&amp;"Level "&amp;$D83&amp;"; ","")</f>
        <v/>
      </c>
      <c r="H83" s="1609" t="str">
        <f>IF(AND($E$7=1,ROUND('1_Full_time'!J61,2)&lt;&gt;'1_Full_time'!J61),H$32&amp;", "&amp;H$33&amp;", Price group "&amp;$B83&amp;", "&amp;$C83&amp;" length, "&amp;"Level "&amp;$D83&amp;"; ","")</f>
        <v/>
      </c>
      <c r="I83" s="7" t="str">
        <f>IF(AND($E$7=1,ROUND('1_Full_time'!K61,2)&lt;&gt;'1_Full_time'!K61),I$32&amp;", "&amp;I$33&amp;", Price group "&amp;$B83&amp;", "&amp;$C83&amp;" length, "&amp;"Level "&amp;$D83&amp;"; ","")</f>
        <v/>
      </c>
      <c r="J83" s="211" t="str">
        <f>IF(AND($E$7=1,ROUND('1_Full_time'!L61,2)&lt;&gt;'1_Full_time'!L61),J$32&amp;", "&amp;J$33&amp;", Price group "&amp;$B83&amp;", "&amp;$C83&amp;" length, "&amp;"Level "&amp;$D83&amp;"; ","")</f>
        <v/>
      </c>
      <c r="L83" s="118"/>
      <c r="M83" s="30" t="s">
        <v>277</v>
      </c>
      <c r="N83" s="378">
        <f>IF(OR(E103&lt;&gt;"",E183&lt;&gt;""),1,0)</f>
        <v>0</v>
      </c>
      <c r="O83" s="379">
        <f t="shared" ref="O83:O85" si="29">IF(OR(F103&lt;&gt;"",F183&lt;&gt;""),1,0)</f>
        <v>0</v>
      </c>
      <c r="P83" s="380">
        <f t="shared" ref="P83:P85" si="30">IF(OR(G103&lt;&gt;"",G183&lt;&gt;""),1,0)</f>
        <v>0</v>
      </c>
      <c r="Q83" s="391">
        <f>N83</f>
        <v>0</v>
      </c>
      <c r="R83" s="392">
        <f t="shared" si="24"/>
        <v>0</v>
      </c>
      <c r="S83" s="393">
        <f t="shared" si="25"/>
        <v>0</v>
      </c>
      <c r="T83" s="378">
        <f>IF(OR(H103&lt;&gt;"",H183&lt;&gt;""),1,0)</f>
        <v>0</v>
      </c>
      <c r="U83" s="379">
        <f t="shared" ref="U83:U85" si="31">IF(OR(I103&lt;&gt;"",I183&lt;&gt;""),1,0)</f>
        <v>0</v>
      </c>
      <c r="V83" s="380">
        <f t="shared" ref="V83:V85" si="32">IF(OR(J103&lt;&gt;"",J183&lt;&gt;""),1,0)</f>
        <v>0</v>
      </c>
      <c r="W83" s="391">
        <f t="shared" si="28"/>
        <v>0</v>
      </c>
      <c r="X83" s="392">
        <f t="shared" si="26"/>
        <v>0</v>
      </c>
      <c r="Y83" s="393">
        <f t="shared" si="27"/>
        <v>0</v>
      </c>
    </row>
    <row r="84" spans="2:25" ht="13.15" x14ac:dyDescent="0.35">
      <c r="B84" s="20" t="s">
        <v>264</v>
      </c>
      <c r="C84" s="7" t="s">
        <v>204</v>
      </c>
      <c r="D84" s="13" t="s">
        <v>210</v>
      </c>
      <c r="E84" s="1609" t="str">
        <f>IF(AND($E$7=1,ROUND('1_Full_time'!G62,2)&lt;&gt;'1_Full_time'!G62),E$32&amp;", "&amp;E$33&amp;", Price group "&amp;$B84&amp;", "&amp;$C84&amp;" length, "&amp;"Level "&amp;$D84&amp;"; ","")</f>
        <v/>
      </c>
      <c r="F84" s="7" t="str">
        <f>IF(AND($E$7=1,ROUND('1_Full_time'!H62,2)&lt;&gt;'1_Full_time'!H62),F$32&amp;", "&amp;F$33&amp;", Price group "&amp;$B84&amp;", "&amp;$C84&amp;" length, "&amp;"Level "&amp;$D84&amp;"; ","")</f>
        <v/>
      </c>
      <c r="G84" s="211" t="str">
        <f>IF(AND($E$7=1,ROUND('1_Full_time'!I62,2)&lt;&gt;'1_Full_time'!I62),G$32&amp;", "&amp;G$33&amp;", Price group "&amp;$B84&amp;", "&amp;$C84&amp;" length, "&amp;"Level "&amp;$D84&amp;"; ","")</f>
        <v/>
      </c>
      <c r="H84" s="1609" t="str">
        <f>IF(AND($E$7=1,ROUND('1_Full_time'!J62,2)&lt;&gt;'1_Full_time'!J62),H$32&amp;", "&amp;H$33&amp;", Price group "&amp;$B84&amp;", "&amp;$C84&amp;" length, "&amp;"Level "&amp;$D84&amp;"; ","")</f>
        <v/>
      </c>
      <c r="I84" s="7" t="str">
        <f>IF(AND($E$7=1,ROUND('1_Full_time'!K62,2)&lt;&gt;'1_Full_time'!K62),I$32&amp;", "&amp;I$33&amp;", Price group "&amp;$B84&amp;", "&amp;$C84&amp;" length, "&amp;"Level "&amp;$D84&amp;"; ","")</f>
        <v/>
      </c>
      <c r="J84" s="211" t="str">
        <f>IF(AND($E$7=1,ROUND('1_Full_time'!L62,2)&lt;&gt;'1_Full_time'!L62),J$32&amp;", "&amp;J$33&amp;", Price group "&amp;$B84&amp;", "&amp;$C84&amp;" length, "&amp;"Level "&amp;$D84&amp;"; ","")</f>
        <v/>
      </c>
      <c r="L84" s="118"/>
      <c r="M84" s="30" t="s">
        <v>277</v>
      </c>
      <c r="N84" s="378">
        <f>IF(OR(E104&lt;&gt;"",E184&lt;&gt;""),1,0)</f>
        <v>0</v>
      </c>
      <c r="O84" s="379">
        <f t="shared" si="29"/>
        <v>0</v>
      </c>
      <c r="P84" s="380">
        <f t="shared" si="30"/>
        <v>0</v>
      </c>
      <c r="Q84" s="391">
        <f>N84</f>
        <v>0</v>
      </c>
      <c r="R84" s="392">
        <f t="shared" si="24"/>
        <v>0</v>
      </c>
      <c r="S84" s="393">
        <f t="shared" si="25"/>
        <v>0</v>
      </c>
      <c r="T84" s="378">
        <f>IF(OR(H104&lt;&gt;"",H184&lt;&gt;""),1,0)</f>
        <v>0</v>
      </c>
      <c r="U84" s="379">
        <f t="shared" si="31"/>
        <v>0</v>
      </c>
      <c r="V84" s="380">
        <f t="shared" si="32"/>
        <v>0</v>
      </c>
      <c r="W84" s="391">
        <f t="shared" si="28"/>
        <v>0</v>
      </c>
      <c r="X84" s="392">
        <f t="shared" si="26"/>
        <v>0</v>
      </c>
      <c r="Y84" s="393">
        <f t="shared" si="27"/>
        <v>0</v>
      </c>
    </row>
    <row r="85" spans="2:25" ht="13.5" thickBot="1" x14ac:dyDescent="0.4">
      <c r="B85" s="20" t="s">
        <v>264</v>
      </c>
      <c r="C85" s="7" t="s">
        <v>204</v>
      </c>
      <c r="D85" s="13" t="s">
        <v>212</v>
      </c>
      <c r="E85" s="1609" t="str">
        <f>IF(AND($E$7=1,ROUND('1_Full_time'!G63,2)&lt;&gt;'1_Full_time'!G63),E$32&amp;", "&amp;E$33&amp;", Price group "&amp;$B85&amp;", "&amp;$C85&amp;" length, "&amp;"Level "&amp;$D85&amp;"; ","")</f>
        <v/>
      </c>
      <c r="F85" s="7" t="str">
        <f>IF(AND($E$7=1,ROUND('1_Full_time'!H63,2)&lt;&gt;'1_Full_time'!H63),F$32&amp;", "&amp;F$33&amp;", Price group "&amp;$B85&amp;", "&amp;$C85&amp;" length, "&amp;"Level "&amp;$D85&amp;"; ","")</f>
        <v/>
      </c>
      <c r="G85" s="211" t="str">
        <f>IF(AND($E$7=1,ROUND('1_Full_time'!I63,2)&lt;&gt;'1_Full_time'!I63),G$32&amp;", "&amp;G$33&amp;", Price group "&amp;$B85&amp;", "&amp;$C85&amp;" length, "&amp;"Level "&amp;$D85&amp;"; ","")</f>
        <v/>
      </c>
      <c r="H85" s="1609" t="str">
        <f>IF(AND($E$7=1,ROUND('1_Full_time'!J63,2)&lt;&gt;'1_Full_time'!J63),H$32&amp;", "&amp;H$33&amp;", Price group "&amp;$B85&amp;", "&amp;$C85&amp;" length, "&amp;"Level "&amp;$D85&amp;"; ","")</f>
        <v/>
      </c>
      <c r="I85" s="7" t="str">
        <f>IF(AND($E$7=1,ROUND('1_Full_time'!K63,2)&lt;&gt;'1_Full_time'!K63),I$32&amp;", "&amp;I$33&amp;", Price group "&amp;$B85&amp;", "&amp;$C85&amp;" length, "&amp;"Level "&amp;$D85&amp;"; ","")</f>
        <v/>
      </c>
      <c r="J85" s="211" t="str">
        <f>IF(AND($E$7=1,ROUND('1_Full_time'!L63,2)&lt;&gt;'1_Full_time'!L63),J$32&amp;", "&amp;J$33&amp;", Price group "&amp;$B85&amp;", "&amp;$C85&amp;" length, "&amp;"Level "&amp;$D85&amp;"; ","")</f>
        <v/>
      </c>
      <c r="L85" s="118"/>
      <c r="M85" s="30" t="s">
        <v>277</v>
      </c>
      <c r="N85" s="384"/>
      <c r="O85" s="379">
        <f t="shared" si="29"/>
        <v>0</v>
      </c>
      <c r="P85" s="380">
        <f t="shared" si="30"/>
        <v>0</v>
      </c>
      <c r="Q85" s="384"/>
      <c r="R85" s="392"/>
      <c r="S85" s="393"/>
      <c r="T85" s="384"/>
      <c r="U85" s="379">
        <f t="shared" si="31"/>
        <v>0</v>
      </c>
      <c r="V85" s="380">
        <f t="shared" si="32"/>
        <v>0</v>
      </c>
      <c r="W85" s="384"/>
      <c r="X85" s="392">
        <f t="shared" si="26"/>
        <v>0</v>
      </c>
      <c r="Y85" s="393">
        <f t="shared" si="27"/>
        <v>0</v>
      </c>
    </row>
    <row r="86" spans="2:25" ht="13.5" thickTop="1" x14ac:dyDescent="0.35">
      <c r="B86" s="20" t="s">
        <v>264</v>
      </c>
      <c r="C86" s="7" t="s">
        <v>204</v>
      </c>
      <c r="D86" s="13" t="s">
        <v>214</v>
      </c>
      <c r="E86" s="1609" t="str">
        <f>IF(AND($E$7=1,ROUND('1_Full_time'!G64,2)&lt;&gt;'1_Full_time'!G64),E$32&amp;", "&amp;E$33&amp;", Price group "&amp;$B86&amp;", "&amp;$C86&amp;" length, "&amp;"Level "&amp;$D86&amp;"; ","")</f>
        <v/>
      </c>
      <c r="F86" s="7" t="str">
        <f>IF(AND($E$7=1,ROUND('1_Full_time'!H64,2)&lt;&gt;'1_Full_time'!H64),F$32&amp;", "&amp;F$33&amp;", Price group "&amp;$B86&amp;", "&amp;$C86&amp;" length, "&amp;"Level "&amp;$D86&amp;"; ","")</f>
        <v/>
      </c>
      <c r="G86" s="211" t="str">
        <f>IF(AND($E$7=1,ROUND('1_Full_time'!I64,2)&lt;&gt;'1_Full_time'!I64),G$32&amp;", "&amp;G$33&amp;", Price group "&amp;$B86&amp;", "&amp;$C86&amp;" length, "&amp;"Level "&amp;$D86&amp;"; ","")</f>
        <v/>
      </c>
      <c r="H86" s="1609" t="str">
        <f>IF(AND($E$7=1,ROUND('1_Full_time'!J64,2)&lt;&gt;'1_Full_time'!J64),H$32&amp;", "&amp;H$33&amp;", Price group "&amp;$B86&amp;", "&amp;$C86&amp;" length, "&amp;"Level "&amp;$D86&amp;"; ","")</f>
        <v/>
      </c>
      <c r="I86" s="7" t="str">
        <f>IF(AND($E$7=1,ROUND('1_Full_time'!K64,2)&lt;&gt;'1_Full_time'!K64),I$32&amp;", "&amp;I$33&amp;", Price group "&amp;$B86&amp;", "&amp;$C86&amp;" length, "&amp;"Level "&amp;$D86&amp;"; ","")</f>
        <v/>
      </c>
      <c r="J86" s="211" t="str">
        <f>IF(AND($E$7=1,ROUND('1_Full_time'!L64,2)&lt;&gt;'1_Full_time'!L64),J$32&amp;", "&amp;J$33&amp;", Price group "&amp;$B86&amp;", "&amp;$C86&amp;" length, "&amp;"Level "&amp;$D86&amp;"; ","")</f>
        <v/>
      </c>
      <c r="L86" s="118"/>
      <c r="M86" s="30" t="s">
        <v>277</v>
      </c>
      <c r="N86" s="407">
        <f t="shared" ref="N86:P90" si="33">IF(E14&lt;&gt;"",1,0)</f>
        <v>0</v>
      </c>
      <c r="O86" s="408">
        <f t="shared" si="33"/>
        <v>0</v>
      </c>
      <c r="P86" s="409">
        <f t="shared" si="33"/>
        <v>0</v>
      </c>
      <c r="Q86" s="407">
        <f>N86</f>
        <v>0</v>
      </c>
      <c r="R86" s="408">
        <f>O86</f>
        <v>0</v>
      </c>
      <c r="S86" s="409">
        <f>P86</f>
        <v>0</v>
      </c>
      <c r="T86" s="407">
        <f t="shared" ref="T86:V90" si="34">IF(H14&lt;&gt;"",1,0)</f>
        <v>0</v>
      </c>
      <c r="U86" s="408">
        <f t="shared" si="34"/>
        <v>0</v>
      </c>
      <c r="V86" s="409">
        <f t="shared" si="34"/>
        <v>0</v>
      </c>
      <c r="W86" s="407">
        <f t="shared" si="28"/>
        <v>0</v>
      </c>
      <c r="X86" s="408">
        <f t="shared" si="26"/>
        <v>0</v>
      </c>
      <c r="Y86" s="409">
        <f t="shared" si="27"/>
        <v>0</v>
      </c>
    </row>
    <row r="87" spans="2:25" ht="13.15" x14ac:dyDescent="0.35">
      <c r="B87" s="20" t="s">
        <v>264</v>
      </c>
      <c r="C87" s="7" t="s">
        <v>204</v>
      </c>
      <c r="D87" s="13" t="s">
        <v>216</v>
      </c>
      <c r="E87" s="1428"/>
      <c r="F87" s="1429" t="str">
        <f>IF(AND($E$7=1,ROUND('1_Full_time'!H65,2)&lt;&gt;'1_Full_time'!H65),F$32&amp;", "&amp;F$33&amp;", Price group "&amp;$B87&amp;", "&amp;$C87&amp;" length, "&amp;"Level "&amp;$D87&amp;"; ","")</f>
        <v/>
      </c>
      <c r="G87" s="1430" t="str">
        <f>IF(AND($E$7=1,ROUND('1_Full_time'!I65,2)&lt;&gt;'1_Full_time'!I65),G$32&amp;", "&amp;G$33&amp;", Price group "&amp;$B87&amp;", "&amp;$C87&amp;" length, "&amp;"Level "&amp;$D87&amp;"; ","")</f>
        <v/>
      </c>
      <c r="H87" s="1428"/>
      <c r="I87" s="1429" t="str">
        <f>IF(AND($E$7=1,ROUND('1_Full_time'!K65,2)&lt;&gt;'1_Full_time'!K65),I$32&amp;", "&amp;I$33&amp;", Price group "&amp;$B87&amp;", "&amp;$C87&amp;" length, "&amp;"Level "&amp;$D87&amp;"; ","")</f>
        <v/>
      </c>
      <c r="J87" s="1430" t="str">
        <f>IF(AND($E$7=1,ROUND('1_Full_time'!L65,2)&lt;&gt;'1_Full_time'!L65),J$32&amp;", "&amp;J$33&amp;", Price group "&amp;$B87&amp;", "&amp;$C87&amp;" length, "&amp;"Level "&amp;$D87&amp;"; ","")</f>
        <v/>
      </c>
      <c r="L87" s="118"/>
      <c r="M87" s="7"/>
      <c r="N87" s="404">
        <f t="shared" si="33"/>
        <v>0</v>
      </c>
      <c r="O87" s="405">
        <f t="shared" si="33"/>
        <v>0</v>
      </c>
      <c r="P87" s="406">
        <f t="shared" si="33"/>
        <v>0</v>
      </c>
      <c r="Q87" s="404">
        <f t="shared" ref="Q87:Q96" si="35">N87</f>
        <v>0</v>
      </c>
      <c r="R87" s="405">
        <f t="shared" ref="R87:R97" si="36">O87</f>
        <v>0</v>
      </c>
      <c r="S87" s="406">
        <f t="shared" ref="S87:S97" si="37">P87</f>
        <v>0</v>
      </c>
      <c r="T87" s="404">
        <f t="shared" si="34"/>
        <v>0</v>
      </c>
      <c r="U87" s="405">
        <f t="shared" si="34"/>
        <v>0</v>
      </c>
      <c r="V87" s="406">
        <f t="shared" si="34"/>
        <v>0</v>
      </c>
      <c r="W87" s="404">
        <f t="shared" si="28"/>
        <v>0</v>
      </c>
      <c r="X87" s="405">
        <f t="shared" si="26"/>
        <v>0</v>
      </c>
      <c r="Y87" s="406">
        <f t="shared" si="27"/>
        <v>0</v>
      </c>
    </row>
    <row r="88" spans="2:25" ht="13.15" x14ac:dyDescent="0.35">
      <c r="B88" s="20" t="s">
        <v>264</v>
      </c>
      <c r="C88" s="7" t="s">
        <v>218</v>
      </c>
      <c r="D88" s="13" t="s">
        <v>205</v>
      </c>
      <c r="E88" s="1609" t="str">
        <f>IF(AND($E$7=1,ROUND('1_Full_time'!G66,2)&lt;&gt;'1_Full_time'!G66),E$32&amp;", "&amp;E$33&amp;", Price group "&amp;$B88&amp;", "&amp;$C88&amp;" length, "&amp;"Level "&amp;$D88&amp;"; ","")</f>
        <v/>
      </c>
      <c r="F88" s="7" t="str">
        <f>IF(AND($E$7=1,ROUND('1_Full_time'!H66,2)&lt;&gt;'1_Full_time'!H66),F$32&amp;", "&amp;F$33&amp;", Price group "&amp;$B88&amp;", "&amp;$C88&amp;" length, "&amp;"Level "&amp;$D88&amp;"; ","")</f>
        <v/>
      </c>
      <c r="G88" s="211" t="str">
        <f>IF(AND($E$7=1,ROUND('1_Full_time'!I66,2)&lt;&gt;'1_Full_time'!I66),G$32&amp;", "&amp;G$33&amp;", Price group "&amp;$B88&amp;", "&amp;$C88&amp;" length, "&amp;"Level "&amp;$D88&amp;"; ","")</f>
        <v/>
      </c>
      <c r="H88" s="1609" t="str">
        <f>IF(AND($E$7=1,ROUND('1_Full_time'!J66,2)&lt;&gt;'1_Full_time'!J66),H$32&amp;", "&amp;H$33&amp;", Price group "&amp;$B88&amp;", "&amp;$C88&amp;" length, "&amp;"Level "&amp;$D88&amp;"; ","")</f>
        <v/>
      </c>
      <c r="I88" s="7" t="str">
        <f>IF(AND($E$7=1,ROUND('1_Full_time'!K66,2)&lt;&gt;'1_Full_time'!K66),I$32&amp;", "&amp;I$33&amp;", Price group "&amp;$B88&amp;", "&amp;$C88&amp;" length, "&amp;"Level "&amp;$D88&amp;"; ","")</f>
        <v/>
      </c>
      <c r="J88" s="211" t="str">
        <f>IF(AND($E$7=1,ROUND('1_Full_time'!L66,2)&lt;&gt;'1_Full_time'!L66),J$32&amp;", "&amp;J$33&amp;", Price group "&amp;$B88&amp;", "&amp;$C88&amp;" length, "&amp;"Level "&amp;$D88&amp;"; ","")</f>
        <v/>
      </c>
      <c r="L88" s="118"/>
      <c r="M88" s="7"/>
      <c r="N88" s="391">
        <f t="shared" si="33"/>
        <v>0</v>
      </c>
      <c r="O88" s="392">
        <f t="shared" si="33"/>
        <v>0</v>
      </c>
      <c r="P88" s="393">
        <f t="shared" si="33"/>
        <v>0</v>
      </c>
      <c r="Q88" s="391">
        <f t="shared" si="35"/>
        <v>0</v>
      </c>
      <c r="R88" s="392">
        <f t="shared" si="36"/>
        <v>0</v>
      </c>
      <c r="S88" s="393">
        <f t="shared" si="37"/>
        <v>0</v>
      </c>
      <c r="T88" s="391">
        <f t="shared" si="34"/>
        <v>0</v>
      </c>
      <c r="U88" s="392">
        <f t="shared" si="34"/>
        <v>0</v>
      </c>
      <c r="V88" s="393">
        <f t="shared" si="34"/>
        <v>0</v>
      </c>
      <c r="W88" s="391">
        <f t="shared" si="28"/>
        <v>0</v>
      </c>
      <c r="X88" s="392">
        <f t="shared" si="26"/>
        <v>0</v>
      </c>
      <c r="Y88" s="393">
        <f t="shared" si="27"/>
        <v>0</v>
      </c>
    </row>
    <row r="89" spans="2:25" ht="13.15" x14ac:dyDescent="0.35">
      <c r="B89" s="20" t="s">
        <v>264</v>
      </c>
      <c r="C89" s="7" t="s">
        <v>218</v>
      </c>
      <c r="D89" s="13" t="s">
        <v>208</v>
      </c>
      <c r="E89" s="1609" t="str">
        <f>IF(AND($E$7=1,ROUND('1_Full_time'!G67,2)&lt;&gt;'1_Full_time'!G67),E$32&amp;", "&amp;E$33&amp;", Price group "&amp;$B89&amp;", "&amp;$C89&amp;" length, "&amp;"Level "&amp;$D89&amp;"; ","")</f>
        <v/>
      </c>
      <c r="F89" s="7" t="str">
        <f>IF(AND($E$7=1,ROUND('1_Full_time'!H67,2)&lt;&gt;'1_Full_time'!H67),F$32&amp;", "&amp;F$33&amp;", Price group "&amp;$B89&amp;", "&amp;$C89&amp;" length, "&amp;"Level "&amp;$D89&amp;"; ","")</f>
        <v/>
      </c>
      <c r="G89" s="211" t="str">
        <f>IF(AND($E$7=1,ROUND('1_Full_time'!I67,2)&lt;&gt;'1_Full_time'!I67),G$32&amp;", "&amp;G$33&amp;", Price group "&amp;$B89&amp;", "&amp;$C89&amp;" length, "&amp;"Level "&amp;$D89&amp;"; ","")</f>
        <v/>
      </c>
      <c r="H89" s="1609" t="str">
        <f>IF(AND($E$7=1,ROUND('1_Full_time'!J67,2)&lt;&gt;'1_Full_time'!J67),H$32&amp;", "&amp;H$33&amp;", Price group "&amp;$B89&amp;", "&amp;$C89&amp;" length, "&amp;"Level "&amp;$D89&amp;"; ","")</f>
        <v/>
      </c>
      <c r="I89" s="7" t="str">
        <f>IF(AND($E$7=1,ROUND('1_Full_time'!K67,2)&lt;&gt;'1_Full_time'!K67),I$32&amp;", "&amp;I$33&amp;", Price group "&amp;$B89&amp;", "&amp;$C89&amp;" length, "&amp;"Level "&amp;$D89&amp;"; ","")</f>
        <v/>
      </c>
      <c r="J89" s="211" t="str">
        <f>IF(AND($E$7=1,ROUND('1_Full_time'!L67,2)&lt;&gt;'1_Full_time'!L67),J$32&amp;", "&amp;J$33&amp;", Price group "&amp;$B89&amp;", "&amp;$C89&amp;" length, "&amp;"Level "&amp;$D89&amp;"; ","")</f>
        <v/>
      </c>
      <c r="L89" s="118"/>
      <c r="M89" s="7"/>
      <c r="N89" s="391">
        <f t="shared" si="33"/>
        <v>0</v>
      </c>
      <c r="O89" s="392">
        <f t="shared" si="33"/>
        <v>0</v>
      </c>
      <c r="P89" s="393">
        <f t="shared" si="33"/>
        <v>0</v>
      </c>
      <c r="Q89" s="391">
        <f t="shared" si="35"/>
        <v>0</v>
      </c>
      <c r="R89" s="392">
        <f t="shared" si="36"/>
        <v>0</v>
      </c>
      <c r="S89" s="393">
        <f t="shared" si="37"/>
        <v>0</v>
      </c>
      <c r="T89" s="391">
        <f t="shared" si="34"/>
        <v>0</v>
      </c>
      <c r="U89" s="392">
        <f t="shared" si="34"/>
        <v>0</v>
      </c>
      <c r="V89" s="393">
        <f t="shared" si="34"/>
        <v>0</v>
      </c>
      <c r="W89" s="391">
        <f t="shared" si="28"/>
        <v>0</v>
      </c>
      <c r="X89" s="392">
        <f t="shared" si="26"/>
        <v>0</v>
      </c>
      <c r="Y89" s="393">
        <f t="shared" si="27"/>
        <v>0</v>
      </c>
    </row>
    <row r="90" spans="2:25" ht="13.15" x14ac:dyDescent="0.35">
      <c r="B90" s="20" t="s">
        <v>264</v>
      </c>
      <c r="C90" s="7" t="s">
        <v>218</v>
      </c>
      <c r="D90" s="13" t="s">
        <v>210</v>
      </c>
      <c r="E90" s="1609" t="str">
        <f>IF(AND($E$7=1,ROUND('1_Full_time'!G68,2)&lt;&gt;'1_Full_time'!G68),E$32&amp;", "&amp;E$33&amp;", Price group "&amp;$B90&amp;", "&amp;$C90&amp;" length, "&amp;"Level "&amp;$D90&amp;"; ","")</f>
        <v/>
      </c>
      <c r="F90" s="7" t="str">
        <f>IF(AND($E$7=1,ROUND('1_Full_time'!H68,2)&lt;&gt;'1_Full_time'!H68),F$32&amp;", "&amp;F$33&amp;", Price group "&amp;$B90&amp;", "&amp;$C90&amp;" length, "&amp;"Level "&amp;$D90&amp;"; ","")</f>
        <v/>
      </c>
      <c r="G90" s="211" t="str">
        <f>IF(AND($E$7=1,ROUND('1_Full_time'!I68,2)&lt;&gt;'1_Full_time'!I68),G$32&amp;", "&amp;G$33&amp;", Price group "&amp;$B90&amp;", "&amp;$C90&amp;" length, "&amp;"Level "&amp;$D90&amp;"; ","")</f>
        <v/>
      </c>
      <c r="H90" s="1609" t="str">
        <f>IF(AND($E$7=1,ROUND('1_Full_time'!J68,2)&lt;&gt;'1_Full_time'!J68),H$32&amp;", "&amp;H$33&amp;", Price group "&amp;$B90&amp;", "&amp;$C90&amp;" length, "&amp;"Level "&amp;$D90&amp;"; ","")</f>
        <v/>
      </c>
      <c r="I90" s="7" t="str">
        <f>IF(AND($E$7=1,ROUND('1_Full_time'!K68,2)&lt;&gt;'1_Full_time'!K68),I$32&amp;", "&amp;I$33&amp;", Price group "&amp;$B90&amp;", "&amp;$C90&amp;" length, "&amp;"Level "&amp;$D90&amp;"; ","")</f>
        <v/>
      </c>
      <c r="J90" s="211" t="str">
        <f>IF(AND($E$7=1,ROUND('1_Full_time'!L68,2)&lt;&gt;'1_Full_time'!L68),J$32&amp;", "&amp;J$33&amp;", Price group "&amp;$B90&amp;", "&amp;$C90&amp;" length, "&amp;"Level "&amp;$D90&amp;"; ","")</f>
        <v/>
      </c>
      <c r="L90" s="118"/>
      <c r="M90" s="7"/>
      <c r="N90" s="410">
        <f t="shared" si="33"/>
        <v>0</v>
      </c>
      <c r="O90" s="411">
        <f t="shared" si="33"/>
        <v>0</v>
      </c>
      <c r="P90" s="412">
        <f t="shared" si="33"/>
        <v>0</v>
      </c>
      <c r="Q90" s="410">
        <f t="shared" si="35"/>
        <v>0</v>
      </c>
      <c r="R90" s="411">
        <f t="shared" si="36"/>
        <v>0</v>
      </c>
      <c r="S90" s="412">
        <f t="shared" si="37"/>
        <v>0</v>
      </c>
      <c r="T90" s="410">
        <f t="shared" si="34"/>
        <v>0</v>
      </c>
      <c r="U90" s="411">
        <f t="shared" si="34"/>
        <v>0</v>
      </c>
      <c r="V90" s="412">
        <f t="shared" si="34"/>
        <v>0</v>
      </c>
      <c r="W90" s="410">
        <f t="shared" si="28"/>
        <v>0</v>
      </c>
      <c r="X90" s="411">
        <f t="shared" si="26"/>
        <v>0</v>
      </c>
      <c r="Y90" s="412">
        <f t="shared" si="27"/>
        <v>0</v>
      </c>
    </row>
    <row r="91" spans="2:25" ht="13.15" x14ac:dyDescent="0.35">
      <c r="B91" s="20" t="s">
        <v>264</v>
      </c>
      <c r="C91" s="7" t="s">
        <v>218</v>
      </c>
      <c r="D91" s="13" t="s">
        <v>212</v>
      </c>
      <c r="E91" s="1609" t="str">
        <f>IF(AND($E$7=1,ROUND('1_Full_time'!G69,2)&lt;&gt;'1_Full_time'!G69),E$32&amp;", "&amp;E$33&amp;", Price group "&amp;$B91&amp;", "&amp;$C91&amp;" length, "&amp;"Level "&amp;$D91&amp;"; ","")</f>
        <v/>
      </c>
      <c r="F91" s="7" t="str">
        <f>IF(AND($E$7=1,ROUND('1_Full_time'!H69,2)&lt;&gt;'1_Full_time'!H69),F$32&amp;", "&amp;F$33&amp;", Price group "&amp;$B91&amp;", "&amp;$C91&amp;" length, "&amp;"Level "&amp;$D91&amp;"; ","")</f>
        <v/>
      </c>
      <c r="G91" s="211" t="str">
        <f>IF(AND($E$7=1,ROUND('1_Full_time'!I69,2)&lt;&gt;'1_Full_time'!I69),G$32&amp;", "&amp;G$33&amp;", Price group "&amp;$B91&amp;", "&amp;$C91&amp;" length, "&amp;"Level "&amp;$D91&amp;"; ","")</f>
        <v/>
      </c>
      <c r="H91" s="1609" t="str">
        <f>IF(AND($E$7=1,ROUND('1_Full_time'!J69,2)&lt;&gt;'1_Full_time'!J69),H$32&amp;", "&amp;H$33&amp;", Price group "&amp;$B91&amp;", "&amp;$C91&amp;" length, "&amp;"Level "&amp;$D91&amp;"; ","")</f>
        <v/>
      </c>
      <c r="I91" s="7" t="str">
        <f>IF(AND($E$7=1,ROUND('1_Full_time'!K69,2)&lt;&gt;'1_Full_time'!K69),I$32&amp;", "&amp;I$33&amp;", Price group "&amp;$B91&amp;", "&amp;$C91&amp;" length, "&amp;"Level "&amp;$D91&amp;"; ","")</f>
        <v/>
      </c>
      <c r="J91" s="211" t="str">
        <f>IF(AND($E$7=1,ROUND('1_Full_time'!L69,2)&lt;&gt;'1_Full_time'!L69),J$32&amp;", "&amp;J$33&amp;", Price group "&amp;$B91&amp;", "&amp;$C91&amp;" length, "&amp;"Level "&amp;$D91&amp;"; ","")</f>
        <v/>
      </c>
      <c r="L91" s="118"/>
      <c r="M91" s="7"/>
      <c r="N91" s="1613"/>
      <c r="O91" s="413">
        <f t="shared" ref="O91:P97" si="38">IF(F19&lt;&gt;"",1,0)</f>
        <v>0</v>
      </c>
      <c r="P91" s="414">
        <f t="shared" si="38"/>
        <v>0</v>
      </c>
      <c r="Q91" s="1613"/>
      <c r="R91" s="413">
        <f t="shared" si="36"/>
        <v>0</v>
      </c>
      <c r="S91" s="414">
        <f t="shared" si="37"/>
        <v>0</v>
      </c>
      <c r="T91" s="1613"/>
      <c r="U91" s="413">
        <f t="shared" ref="U91:V97" si="39">IF(I19&lt;&gt;"",1,0)</f>
        <v>0</v>
      </c>
      <c r="V91" s="414">
        <f t="shared" si="39"/>
        <v>0</v>
      </c>
      <c r="W91" s="1613"/>
      <c r="X91" s="413">
        <f t="shared" si="26"/>
        <v>0</v>
      </c>
      <c r="Y91" s="414">
        <f t="shared" si="27"/>
        <v>0</v>
      </c>
    </row>
    <row r="92" spans="2:25" ht="13.15" x14ac:dyDescent="0.35">
      <c r="B92" s="20" t="s">
        <v>264</v>
      </c>
      <c r="C92" s="7" t="s">
        <v>218</v>
      </c>
      <c r="D92" s="13" t="s">
        <v>214</v>
      </c>
      <c r="E92" s="1609" t="str">
        <f>IF(AND($E$7=1,ROUND('1_Full_time'!G70,2)&lt;&gt;'1_Full_time'!G70),E$32&amp;", "&amp;E$33&amp;", Price group "&amp;$B92&amp;", "&amp;$C92&amp;" length, "&amp;"Level "&amp;$D92&amp;"; ","")</f>
        <v/>
      </c>
      <c r="F92" s="7" t="str">
        <f>IF(AND($E$7=1,ROUND('1_Full_time'!H70,2)&lt;&gt;'1_Full_time'!H70),F$32&amp;", "&amp;F$33&amp;", Price group "&amp;$B92&amp;", "&amp;$C92&amp;" length, "&amp;"Level "&amp;$D92&amp;"; ","")</f>
        <v/>
      </c>
      <c r="G92" s="211" t="str">
        <f>IF(AND($E$7=1,ROUND('1_Full_time'!I70,2)&lt;&gt;'1_Full_time'!I70),G$32&amp;", "&amp;G$33&amp;", Price group "&amp;$B92&amp;", "&amp;$C92&amp;" length, "&amp;"Level "&amp;$D92&amp;"; ","")</f>
        <v/>
      </c>
      <c r="H92" s="1609" t="str">
        <f>IF(AND($E$7=1,ROUND('1_Full_time'!J70,2)&lt;&gt;'1_Full_time'!J70),H$32&amp;", "&amp;H$33&amp;", Price group "&amp;$B92&amp;", "&amp;$C92&amp;" length, "&amp;"Level "&amp;$D92&amp;"; ","")</f>
        <v/>
      </c>
      <c r="I92" s="7" t="str">
        <f>IF(AND($E$7=1,ROUND('1_Full_time'!K70,2)&lt;&gt;'1_Full_time'!K70),I$32&amp;", "&amp;I$33&amp;", Price group "&amp;$B92&amp;", "&amp;$C92&amp;" length, "&amp;"Level "&amp;$D92&amp;"; ","")</f>
        <v/>
      </c>
      <c r="J92" s="211" t="str">
        <f>IF(AND($E$7=1,ROUND('1_Full_time'!L70,2)&lt;&gt;'1_Full_time'!L70),J$32&amp;", "&amp;J$33&amp;", Price group "&amp;$B92&amp;", "&amp;$C92&amp;" length, "&amp;"Level "&amp;$D92&amp;"; ","")</f>
        <v/>
      </c>
      <c r="L92" s="118"/>
      <c r="M92" s="7"/>
      <c r="N92" s="397">
        <f>IF(E20&lt;&gt;"",1,0)</f>
        <v>0</v>
      </c>
      <c r="O92" s="398">
        <f t="shared" si="38"/>
        <v>0</v>
      </c>
      <c r="P92" s="399">
        <f t="shared" si="38"/>
        <v>0</v>
      </c>
      <c r="Q92" s="397">
        <f t="shared" si="35"/>
        <v>0</v>
      </c>
      <c r="R92" s="398">
        <f t="shared" si="36"/>
        <v>0</v>
      </c>
      <c r="S92" s="399">
        <f t="shared" si="37"/>
        <v>0</v>
      </c>
      <c r="T92" s="397">
        <f>IF(H20&lt;&gt;"",1,0)</f>
        <v>0</v>
      </c>
      <c r="U92" s="398">
        <f t="shared" si="39"/>
        <v>0</v>
      </c>
      <c r="V92" s="399">
        <f t="shared" si="39"/>
        <v>0</v>
      </c>
      <c r="W92" s="397">
        <f t="shared" si="28"/>
        <v>0</v>
      </c>
      <c r="X92" s="398">
        <f t="shared" si="26"/>
        <v>0</v>
      </c>
      <c r="Y92" s="399">
        <f t="shared" si="27"/>
        <v>0</v>
      </c>
    </row>
    <row r="93" spans="2:25" ht="13.15" x14ac:dyDescent="0.35">
      <c r="B93" s="20" t="s">
        <v>264</v>
      </c>
      <c r="C93" s="7" t="s">
        <v>218</v>
      </c>
      <c r="D93" s="13" t="s">
        <v>216</v>
      </c>
      <c r="E93" s="1617"/>
      <c r="F93" s="7" t="str">
        <f>IF(AND($E$7=1,ROUND('1_Full_time'!H71,2)&lt;&gt;'1_Full_time'!H71),F$32&amp;", "&amp;F$33&amp;", Price group "&amp;$B93&amp;", "&amp;$C93&amp;" length, "&amp;"Level "&amp;$D93&amp;"; ","")</f>
        <v/>
      </c>
      <c r="G93" s="211" t="str">
        <f>IF(AND($E$7=1,ROUND('1_Full_time'!I71,2)&lt;&gt;'1_Full_time'!I71),G$32&amp;", "&amp;G$33&amp;", Price group "&amp;$B93&amp;", "&amp;$C93&amp;" length, "&amp;"Level "&amp;$D93&amp;"; ","")</f>
        <v/>
      </c>
      <c r="H93" s="1617"/>
      <c r="I93" s="7" t="str">
        <f>IF(AND($E$7=1,ROUND('1_Full_time'!K71,2)&lt;&gt;'1_Full_time'!K71),I$32&amp;", "&amp;I$33&amp;", Price group "&amp;$B93&amp;", "&amp;$C93&amp;" length, "&amp;"Level "&amp;$D93&amp;"; ","")</f>
        <v/>
      </c>
      <c r="J93" s="211" t="str">
        <f>IF(AND($E$7=1,ROUND('1_Full_time'!L71,2)&lt;&gt;'1_Full_time'!L71),J$32&amp;", "&amp;J$33&amp;", Price group "&amp;$B93&amp;", "&amp;$C93&amp;" length, "&amp;"Level "&amp;$D93&amp;"; ","")</f>
        <v/>
      </c>
      <c r="L93" s="118"/>
      <c r="M93" s="7"/>
      <c r="N93" s="404">
        <f>IF(E21&lt;&gt;"",1,0)</f>
        <v>0</v>
      </c>
      <c r="O93" s="405">
        <f t="shared" si="38"/>
        <v>0</v>
      </c>
      <c r="P93" s="406">
        <f t="shared" si="38"/>
        <v>0</v>
      </c>
      <c r="Q93" s="404">
        <f t="shared" si="35"/>
        <v>0</v>
      </c>
      <c r="R93" s="405">
        <f t="shared" si="36"/>
        <v>0</v>
      </c>
      <c r="S93" s="406">
        <f t="shared" si="37"/>
        <v>0</v>
      </c>
      <c r="T93" s="404">
        <f>IF(H21&lt;&gt;"",1,0)</f>
        <v>0</v>
      </c>
      <c r="U93" s="405">
        <f t="shared" si="39"/>
        <v>0</v>
      </c>
      <c r="V93" s="406">
        <f t="shared" si="39"/>
        <v>0</v>
      </c>
      <c r="W93" s="404">
        <f t="shared" si="28"/>
        <v>0</v>
      </c>
      <c r="X93" s="405">
        <f t="shared" si="26"/>
        <v>0</v>
      </c>
      <c r="Y93" s="406">
        <f t="shared" si="27"/>
        <v>0</v>
      </c>
    </row>
    <row r="94" spans="2:25" ht="13.15" x14ac:dyDescent="0.35">
      <c r="B94" s="20" t="s">
        <v>277</v>
      </c>
      <c r="C94" s="7" t="s">
        <v>204</v>
      </c>
      <c r="D94" s="13" t="s">
        <v>205</v>
      </c>
      <c r="E94" s="1720" t="str">
        <f>IF(AND($E$7=1,ROUND('1_Full_time'!G72,2)&lt;&gt;'1_Full_time'!G72),E$32&amp;", "&amp;E$33&amp;", Price group "&amp;$B94&amp;", "&amp;$C94&amp;" length, "&amp;"Level "&amp;$D94&amp;"; ","")</f>
        <v/>
      </c>
      <c r="F94" s="1412" t="str">
        <f>IF(AND($E$7=1,ROUND('1_Full_time'!H72,2)&lt;&gt;'1_Full_time'!H72),F$32&amp;", "&amp;F$33&amp;", Price group "&amp;$B94&amp;", "&amp;$C94&amp;" length, "&amp;"Level "&amp;$D94&amp;"; ","")</f>
        <v/>
      </c>
      <c r="G94" s="1789" t="str">
        <f>IF(AND($E$7=1,ROUND('1_Full_time'!I72,2)&lt;&gt;'1_Full_time'!I72),G$32&amp;", "&amp;G$33&amp;", Price group "&amp;$B94&amp;", "&amp;$C94&amp;" length, "&amp;"Level "&amp;$D94&amp;"; ","")</f>
        <v/>
      </c>
      <c r="H94" s="1720" t="str">
        <f>IF(AND($E$7=1,ROUND('1_Full_time'!J72,2)&lt;&gt;'1_Full_time'!J72),H$32&amp;", "&amp;H$33&amp;", Price group "&amp;$B94&amp;", "&amp;$C94&amp;" length, "&amp;"Level "&amp;$D94&amp;"; ","")</f>
        <v/>
      </c>
      <c r="I94" s="1412" t="str">
        <f>IF(AND($E$7=1,ROUND('1_Full_time'!K72,2)&lt;&gt;'1_Full_time'!K72),I$32&amp;", "&amp;I$33&amp;", Price group "&amp;$B94&amp;", "&amp;$C94&amp;" length, "&amp;"Level "&amp;$D94&amp;"; ","")</f>
        <v/>
      </c>
      <c r="J94" s="1789" t="str">
        <f>IF(AND($E$7=1,ROUND('1_Full_time'!L72,2)&lt;&gt;'1_Full_time'!L72),J$32&amp;", "&amp;J$33&amp;", Price group "&amp;$B94&amp;", "&amp;$C94&amp;" length, "&amp;"Level "&amp;$D94&amp;"; ","")</f>
        <v/>
      </c>
      <c r="L94" s="118"/>
      <c r="M94" s="7"/>
      <c r="N94" s="391">
        <f>IF(E22&lt;&gt;"",1,0)</f>
        <v>0</v>
      </c>
      <c r="O94" s="392">
        <f t="shared" si="38"/>
        <v>0</v>
      </c>
      <c r="P94" s="393">
        <f t="shared" si="38"/>
        <v>0</v>
      </c>
      <c r="Q94" s="391">
        <f t="shared" si="35"/>
        <v>0</v>
      </c>
      <c r="R94" s="392">
        <f t="shared" si="36"/>
        <v>0</v>
      </c>
      <c r="S94" s="393">
        <f t="shared" si="37"/>
        <v>0</v>
      </c>
      <c r="T94" s="391">
        <f>IF(H22&lt;&gt;"",1,0)</f>
        <v>0</v>
      </c>
      <c r="U94" s="392">
        <f t="shared" si="39"/>
        <v>0</v>
      </c>
      <c r="V94" s="393">
        <f t="shared" si="39"/>
        <v>0</v>
      </c>
      <c r="W94" s="391">
        <f t="shared" si="28"/>
        <v>0</v>
      </c>
      <c r="X94" s="392">
        <f t="shared" si="26"/>
        <v>0</v>
      </c>
      <c r="Y94" s="393">
        <f t="shared" si="27"/>
        <v>0</v>
      </c>
    </row>
    <row r="95" spans="2:25" ht="13.15" x14ac:dyDescent="0.35">
      <c r="B95" s="20" t="s">
        <v>277</v>
      </c>
      <c r="C95" s="7" t="s">
        <v>204</v>
      </c>
      <c r="D95" s="13" t="s">
        <v>208</v>
      </c>
      <c r="E95" s="1609" t="str">
        <f>IF(AND($E$7=1,ROUND('1_Full_time'!G73,2)&lt;&gt;'1_Full_time'!G73),E$32&amp;", "&amp;E$33&amp;", Price group "&amp;$B95&amp;", "&amp;$C95&amp;" length, "&amp;"Level "&amp;$D95&amp;"; ","")</f>
        <v/>
      </c>
      <c r="F95" s="7" t="str">
        <f>IF(AND($E$7=1,ROUND('1_Full_time'!H73,2)&lt;&gt;'1_Full_time'!H73),F$32&amp;", "&amp;F$33&amp;", Price group "&amp;$B95&amp;", "&amp;$C95&amp;" length, "&amp;"Level "&amp;$D95&amp;"; ","")</f>
        <v/>
      </c>
      <c r="G95" s="211" t="str">
        <f>IF(AND($E$7=1,ROUND('1_Full_time'!I73,2)&lt;&gt;'1_Full_time'!I73),G$32&amp;", "&amp;G$33&amp;", Price group "&amp;$B95&amp;", "&amp;$C95&amp;" length, "&amp;"Level "&amp;$D95&amp;"; ","")</f>
        <v/>
      </c>
      <c r="H95" s="1609" t="str">
        <f>IF(AND($E$7=1,ROUND('1_Full_time'!J73,2)&lt;&gt;'1_Full_time'!J73),H$32&amp;", "&amp;H$33&amp;", Price group "&amp;$B95&amp;", "&amp;$C95&amp;" length, "&amp;"Level "&amp;$D95&amp;"; ","")</f>
        <v/>
      </c>
      <c r="I95" s="7" t="str">
        <f>IF(AND($E$7=1,ROUND('1_Full_time'!K73,2)&lt;&gt;'1_Full_time'!K73),I$32&amp;", "&amp;I$33&amp;", Price group "&amp;$B95&amp;", "&amp;$C95&amp;" length, "&amp;"Level "&amp;$D95&amp;"; ","")</f>
        <v/>
      </c>
      <c r="J95" s="211" t="str">
        <f>IF(AND($E$7=1,ROUND('1_Full_time'!L73,2)&lt;&gt;'1_Full_time'!L73),J$32&amp;", "&amp;J$33&amp;", Price group "&amp;$B95&amp;", "&amp;$C95&amp;" length, "&amp;"Level "&amp;$D95&amp;"; ","")</f>
        <v/>
      </c>
      <c r="L95" s="118"/>
      <c r="M95" s="7"/>
      <c r="N95" s="391">
        <f>IF(E23&lt;&gt;"",1,0)</f>
        <v>0</v>
      </c>
      <c r="O95" s="392">
        <f t="shared" si="38"/>
        <v>0</v>
      </c>
      <c r="P95" s="393">
        <f t="shared" si="38"/>
        <v>0</v>
      </c>
      <c r="Q95" s="391">
        <f t="shared" si="35"/>
        <v>0</v>
      </c>
      <c r="R95" s="392">
        <f t="shared" si="36"/>
        <v>0</v>
      </c>
      <c r="S95" s="393">
        <f t="shared" si="37"/>
        <v>0</v>
      </c>
      <c r="T95" s="391">
        <f>IF(H23&lt;&gt;"",1,0)</f>
        <v>0</v>
      </c>
      <c r="U95" s="392">
        <f t="shared" si="39"/>
        <v>0</v>
      </c>
      <c r="V95" s="393">
        <f t="shared" si="39"/>
        <v>0</v>
      </c>
      <c r="W95" s="391">
        <f t="shared" si="28"/>
        <v>0</v>
      </c>
      <c r="X95" s="392">
        <f t="shared" si="26"/>
        <v>0</v>
      </c>
      <c r="Y95" s="393">
        <f t="shared" si="27"/>
        <v>0</v>
      </c>
    </row>
    <row r="96" spans="2:25" ht="13.15" x14ac:dyDescent="0.35">
      <c r="B96" s="20" t="s">
        <v>277</v>
      </c>
      <c r="C96" s="7" t="s">
        <v>204</v>
      </c>
      <c r="D96" s="13" t="s">
        <v>210</v>
      </c>
      <c r="E96" s="1609" t="str">
        <f>IF(AND($E$7=1,ROUND('1_Full_time'!G74,2)&lt;&gt;'1_Full_time'!G74),E$32&amp;", "&amp;E$33&amp;", Price group "&amp;$B96&amp;", "&amp;$C96&amp;" length, "&amp;"Level "&amp;$D96&amp;"; ","")</f>
        <v/>
      </c>
      <c r="F96" s="7" t="str">
        <f>IF(AND($E$7=1,ROUND('1_Full_time'!H74,2)&lt;&gt;'1_Full_time'!H74),F$32&amp;", "&amp;F$33&amp;", Price group "&amp;$B96&amp;", "&amp;$C96&amp;" length, "&amp;"Level "&amp;$D96&amp;"; ","")</f>
        <v/>
      </c>
      <c r="G96" s="211" t="str">
        <f>IF(AND($E$7=1,ROUND('1_Full_time'!I74,2)&lt;&gt;'1_Full_time'!I74),G$32&amp;", "&amp;G$33&amp;", Price group "&amp;$B96&amp;", "&amp;$C96&amp;" length, "&amp;"Level "&amp;$D96&amp;"; ","")</f>
        <v/>
      </c>
      <c r="H96" s="1609" t="str">
        <f>IF(AND($E$7=1,ROUND('1_Full_time'!J74,2)&lt;&gt;'1_Full_time'!J74),H$32&amp;", "&amp;H$33&amp;", Price group "&amp;$B96&amp;", "&amp;$C96&amp;" length, "&amp;"Level "&amp;$D96&amp;"; ","")</f>
        <v/>
      </c>
      <c r="I96" s="7" t="str">
        <f>IF(AND($E$7=1,ROUND('1_Full_time'!K74,2)&lt;&gt;'1_Full_time'!K74),I$32&amp;", "&amp;I$33&amp;", Price group "&amp;$B96&amp;", "&amp;$C96&amp;" length, "&amp;"Level "&amp;$D96&amp;"; ","")</f>
        <v/>
      </c>
      <c r="J96" s="211" t="str">
        <f>IF(AND($E$7=1,ROUND('1_Full_time'!L74,2)&lt;&gt;'1_Full_time'!L74),J$32&amp;", "&amp;J$33&amp;", Price group "&amp;$B96&amp;", "&amp;$C96&amp;" length, "&amp;"Level "&amp;$D96&amp;"; ","")</f>
        <v/>
      </c>
      <c r="L96" s="118"/>
      <c r="M96" s="7"/>
      <c r="N96" s="410">
        <f>IF(E24&lt;&gt;"",1,0)</f>
        <v>0</v>
      </c>
      <c r="O96" s="411">
        <f t="shared" si="38"/>
        <v>0</v>
      </c>
      <c r="P96" s="412">
        <f t="shared" si="38"/>
        <v>0</v>
      </c>
      <c r="Q96" s="410">
        <f t="shared" si="35"/>
        <v>0</v>
      </c>
      <c r="R96" s="411">
        <f t="shared" si="36"/>
        <v>0</v>
      </c>
      <c r="S96" s="412">
        <f t="shared" si="37"/>
        <v>0</v>
      </c>
      <c r="T96" s="410">
        <f>IF(H24&lt;&gt;"",1,0)</f>
        <v>0</v>
      </c>
      <c r="U96" s="411">
        <f t="shared" si="39"/>
        <v>0</v>
      </c>
      <c r="V96" s="412">
        <f t="shared" si="39"/>
        <v>0</v>
      </c>
      <c r="W96" s="410">
        <f t="shared" si="28"/>
        <v>0</v>
      </c>
      <c r="X96" s="411">
        <f t="shared" si="26"/>
        <v>0</v>
      </c>
      <c r="Y96" s="412">
        <f t="shared" si="27"/>
        <v>0</v>
      </c>
    </row>
    <row r="97" spans="2:26" ht="13.15" x14ac:dyDescent="0.35">
      <c r="B97" s="20" t="s">
        <v>277</v>
      </c>
      <c r="C97" s="7" t="s">
        <v>204</v>
      </c>
      <c r="D97" s="13" t="s">
        <v>212</v>
      </c>
      <c r="E97" s="1609" t="str">
        <f>IF(AND($E$7=1,ROUND('1_Full_time'!G75,2)&lt;&gt;'1_Full_time'!G75),E$32&amp;", "&amp;E$33&amp;", Price group "&amp;$B97&amp;", "&amp;$C97&amp;" length, "&amp;"Level "&amp;$D97&amp;"; ","")</f>
        <v/>
      </c>
      <c r="F97" s="7" t="str">
        <f>IF(AND($E$7=1,ROUND('1_Full_time'!H75,2)&lt;&gt;'1_Full_time'!H75),F$32&amp;", "&amp;F$33&amp;", Price group "&amp;$B97&amp;", "&amp;$C97&amp;" length, "&amp;"Level "&amp;$D97&amp;"; ","")</f>
        <v/>
      </c>
      <c r="G97" s="211" t="str">
        <f>IF(AND($E$7=1,ROUND('1_Full_time'!I75,2)&lt;&gt;'1_Full_time'!I75),G$32&amp;", "&amp;G$33&amp;", Price group "&amp;$B97&amp;", "&amp;$C97&amp;" length, "&amp;"Level "&amp;$D97&amp;"; ","")</f>
        <v/>
      </c>
      <c r="H97" s="1609" t="str">
        <f>IF(AND($E$7=1,ROUND('1_Full_time'!J75,2)&lt;&gt;'1_Full_time'!J75),H$32&amp;", "&amp;H$33&amp;", Price group "&amp;$B97&amp;", "&amp;$C97&amp;" length, "&amp;"Level "&amp;$D97&amp;"; ","")</f>
        <v/>
      </c>
      <c r="I97" s="7" t="str">
        <f>IF(AND($E$7=1,ROUND('1_Full_time'!K75,2)&lt;&gt;'1_Full_time'!K75),I$32&amp;", "&amp;I$33&amp;", Price group "&amp;$B97&amp;", "&amp;$C97&amp;" length, "&amp;"Level "&amp;$D97&amp;"; ","")</f>
        <v/>
      </c>
      <c r="J97" s="211" t="str">
        <f>IF(AND($E$7=1,ROUND('1_Full_time'!L75,2)&lt;&gt;'1_Full_time'!L75),J$32&amp;", "&amp;J$33&amp;", Price group "&amp;$B97&amp;", "&amp;$C97&amp;" length, "&amp;"Level "&amp;$D97&amp;"; ","")</f>
        <v/>
      </c>
      <c r="L97" s="118"/>
      <c r="M97" s="7"/>
      <c r="N97" s="1613"/>
      <c r="O97" s="413">
        <f t="shared" si="38"/>
        <v>0</v>
      </c>
      <c r="P97" s="414">
        <f t="shared" si="38"/>
        <v>0</v>
      </c>
      <c r="Q97" s="1613"/>
      <c r="R97" s="413">
        <f t="shared" si="36"/>
        <v>0</v>
      </c>
      <c r="S97" s="414">
        <f t="shared" si="37"/>
        <v>0</v>
      </c>
      <c r="T97" s="1613"/>
      <c r="U97" s="413">
        <f t="shared" si="39"/>
        <v>0</v>
      </c>
      <c r="V97" s="414">
        <f t="shared" si="39"/>
        <v>0</v>
      </c>
      <c r="W97" s="1613"/>
      <c r="X97" s="413">
        <f t="shared" si="26"/>
        <v>0</v>
      </c>
      <c r="Y97" s="414">
        <f t="shared" si="27"/>
        <v>0</v>
      </c>
    </row>
    <row r="98" spans="2:26" ht="13.5" thickBot="1" x14ac:dyDescent="0.4">
      <c r="B98" s="20" t="s">
        <v>277</v>
      </c>
      <c r="C98" s="7" t="s">
        <v>204</v>
      </c>
      <c r="D98" s="13" t="s">
        <v>214</v>
      </c>
      <c r="E98" s="1609" t="str">
        <f>IF(AND($E$7=1,ROUND('1_Full_time'!G76,2)&lt;&gt;'1_Full_time'!G76),E$32&amp;", "&amp;E$33&amp;", Price group "&amp;$B98&amp;", "&amp;$C98&amp;" length, "&amp;"Level "&amp;$D98&amp;"; ","")</f>
        <v/>
      </c>
      <c r="F98" s="7" t="str">
        <f>IF(AND($E$7=1,ROUND('1_Full_time'!H76,2)&lt;&gt;'1_Full_time'!H76),F$32&amp;", "&amp;F$33&amp;", Price group "&amp;$B98&amp;", "&amp;$C98&amp;" length, "&amp;"Level "&amp;$D98&amp;"; ","")</f>
        <v/>
      </c>
      <c r="G98" s="211" t="str">
        <f>IF(AND($E$7=1,ROUND('1_Full_time'!I76,2)&lt;&gt;'1_Full_time'!I76),G$32&amp;", "&amp;G$33&amp;", Price group "&amp;$B98&amp;", "&amp;$C98&amp;" length, "&amp;"Level "&amp;$D98&amp;"; ","")</f>
        <v/>
      </c>
      <c r="H98" s="1609" t="str">
        <f>IF(AND($E$7=1,ROUND('1_Full_time'!J76,2)&lt;&gt;'1_Full_time'!J76),H$32&amp;", "&amp;H$33&amp;", Price group "&amp;$B98&amp;", "&amp;$C98&amp;" length, "&amp;"Level "&amp;$D98&amp;"; ","")</f>
        <v/>
      </c>
      <c r="I98" s="7" t="str">
        <f>IF(AND($E$7=1,ROUND('1_Full_time'!K76,2)&lt;&gt;'1_Full_time'!K76),I$32&amp;", "&amp;I$33&amp;", Price group "&amp;$B98&amp;", "&amp;$C98&amp;" length, "&amp;"Level "&amp;$D98&amp;"; ","")</f>
        <v/>
      </c>
      <c r="J98" s="211" t="str">
        <f>IF(AND($E$7=1,ROUND('1_Full_time'!L76,2)&lt;&gt;'1_Full_time'!L76),J$32&amp;", "&amp;J$33&amp;", Price group "&amp;$B98&amp;", "&amp;$C98&amp;" length, "&amp;"Level "&amp;$D98&amp;"; ","")</f>
        <v/>
      </c>
      <c r="L98" s="118"/>
      <c r="M98" s="7"/>
      <c r="N98" s="1614"/>
      <c r="O98" s="1615"/>
      <c r="P98" s="1616"/>
      <c r="Q98" s="1614"/>
      <c r="R98" s="1615"/>
      <c r="S98" s="1616"/>
      <c r="T98" s="1614"/>
      <c r="U98" s="1615"/>
      <c r="V98" s="1616"/>
      <c r="W98" s="1614"/>
      <c r="X98" s="1615"/>
      <c r="Y98" s="1616"/>
      <c r="Z98" t="s">
        <v>28273</v>
      </c>
    </row>
    <row r="99" spans="2:26" x14ac:dyDescent="0.35">
      <c r="B99" s="20" t="s">
        <v>277</v>
      </c>
      <c r="C99" s="7" t="s">
        <v>204</v>
      </c>
      <c r="D99" s="13" t="s">
        <v>216</v>
      </c>
      <c r="E99" s="1428"/>
      <c r="F99" s="1429" t="str">
        <f>IF(AND($E$7=1,ROUND('1_Full_time'!H77,2)&lt;&gt;'1_Full_time'!H77),F$32&amp;", "&amp;F$33&amp;", Price group "&amp;$B99&amp;", "&amp;$C99&amp;" length, "&amp;"Level "&amp;$D99&amp;"; ","")</f>
        <v/>
      </c>
      <c r="G99" s="1430" t="str">
        <f>IF(AND($E$7=1,ROUND('1_Full_time'!I77,2)&lt;&gt;'1_Full_time'!I77),G$32&amp;", "&amp;G$33&amp;", Price group "&amp;$B99&amp;", "&amp;$C99&amp;" length, "&amp;"Level "&amp;$D99&amp;"; ","")</f>
        <v/>
      </c>
      <c r="H99" s="1428"/>
      <c r="I99" s="1429" t="str">
        <f>IF(AND($E$7=1,ROUND('1_Full_time'!K77,2)&lt;&gt;'1_Full_time'!K77),I$32&amp;", "&amp;I$33&amp;", Price group "&amp;$B99&amp;", "&amp;$C99&amp;" length, "&amp;"Level "&amp;$D99&amp;"; ","")</f>
        <v/>
      </c>
      <c r="J99" s="1430" t="str">
        <f>IF(AND($E$7=1,ROUND('1_Full_time'!L77,2)&lt;&gt;'1_Full_time'!L77),J$32&amp;", "&amp;J$33&amp;", Price group "&amp;$B99&amp;", "&amp;$C99&amp;" length, "&amp;"Level "&amp;$D99&amp;"; ","")</f>
        <v/>
      </c>
      <c r="L99" s="118"/>
      <c r="M99" s="7"/>
    </row>
    <row r="100" spans="2:26" x14ac:dyDescent="0.35">
      <c r="B100" s="20" t="s">
        <v>277</v>
      </c>
      <c r="C100" s="7" t="s">
        <v>218</v>
      </c>
      <c r="D100" s="13" t="s">
        <v>205</v>
      </c>
      <c r="E100" s="1609" t="str">
        <f>IF(AND($E$7=1,ROUND('1_Full_time'!G78,2)&lt;&gt;'1_Full_time'!G78),E$32&amp;", "&amp;E$33&amp;", Price group "&amp;$B100&amp;", "&amp;$C100&amp;" length, "&amp;"Level "&amp;$D100&amp;"; ","")</f>
        <v/>
      </c>
      <c r="F100" s="7" t="str">
        <f>IF(AND($E$7=1,ROUND('1_Full_time'!H78,2)&lt;&gt;'1_Full_time'!H78),F$32&amp;", "&amp;F$33&amp;", Price group "&amp;$B100&amp;", "&amp;$C100&amp;" length, "&amp;"Level "&amp;$D100&amp;"; ","")</f>
        <v/>
      </c>
      <c r="G100" s="211" t="str">
        <f>IF(AND($E$7=1,ROUND('1_Full_time'!I78,2)&lt;&gt;'1_Full_time'!I78),G$32&amp;", "&amp;G$33&amp;", Price group "&amp;$B100&amp;", "&amp;$C100&amp;" length, "&amp;"Level "&amp;$D100&amp;"; ","")</f>
        <v/>
      </c>
      <c r="H100" s="1609" t="str">
        <f>IF(AND($E$7=1,ROUND('1_Full_time'!J78,2)&lt;&gt;'1_Full_time'!J78),H$32&amp;", "&amp;H$33&amp;", Price group "&amp;$B100&amp;", "&amp;$C100&amp;" length, "&amp;"Level "&amp;$D100&amp;"; ","")</f>
        <v/>
      </c>
      <c r="I100" s="7" t="str">
        <f>IF(AND($E$7=1,ROUND('1_Full_time'!K78,2)&lt;&gt;'1_Full_time'!K78),I$32&amp;", "&amp;I$33&amp;", Price group "&amp;$B100&amp;", "&amp;$C100&amp;" length, "&amp;"Level "&amp;$D100&amp;"; ","")</f>
        <v/>
      </c>
      <c r="J100" s="211" t="str">
        <f>IF(AND($E$7=1,ROUND('1_Full_time'!L78,2)&lt;&gt;'1_Full_time'!L78),J$32&amp;", "&amp;J$33&amp;", Price group "&amp;$B100&amp;", "&amp;$C100&amp;" length, "&amp;"Level "&amp;$D100&amp;"; ","")</f>
        <v/>
      </c>
      <c r="L100" s="118"/>
      <c r="S100" s="7"/>
      <c r="T100" s="7"/>
      <c r="W100" s="195"/>
      <c r="X100" s="195"/>
    </row>
    <row r="101" spans="2:26" x14ac:dyDescent="0.35">
      <c r="B101" s="20" t="s">
        <v>277</v>
      </c>
      <c r="C101" s="7" t="s">
        <v>218</v>
      </c>
      <c r="D101" s="13" t="s">
        <v>208</v>
      </c>
      <c r="E101" s="1609" t="str">
        <f>IF(AND($E$7=1,ROUND('1_Full_time'!G79,2)&lt;&gt;'1_Full_time'!G79),E$32&amp;", "&amp;E$33&amp;", Price group "&amp;$B101&amp;", "&amp;$C101&amp;" length, "&amp;"Level "&amp;$D101&amp;"; ","")</f>
        <v/>
      </c>
      <c r="F101" s="7" t="str">
        <f>IF(AND($E$7=1,ROUND('1_Full_time'!H79,2)&lt;&gt;'1_Full_time'!H79),F$32&amp;", "&amp;F$33&amp;", Price group "&amp;$B101&amp;", "&amp;$C101&amp;" length, "&amp;"Level "&amp;$D101&amp;"; ","")</f>
        <v/>
      </c>
      <c r="G101" s="211" t="str">
        <f>IF(AND($E$7=1,ROUND('1_Full_time'!I79,2)&lt;&gt;'1_Full_time'!I79),G$32&amp;", "&amp;G$33&amp;", Price group "&amp;$B101&amp;", "&amp;$C101&amp;" length, "&amp;"Level "&amp;$D101&amp;"; ","")</f>
        <v/>
      </c>
      <c r="H101" s="1609" t="str">
        <f>IF(AND($E$7=1,ROUND('1_Full_time'!J79,2)&lt;&gt;'1_Full_time'!J79),H$32&amp;", "&amp;H$33&amp;", Price group "&amp;$B101&amp;", "&amp;$C101&amp;" length, "&amp;"Level "&amp;$D101&amp;"; ","")</f>
        <v/>
      </c>
      <c r="I101" s="7" t="str">
        <f>IF(AND($E$7=1,ROUND('1_Full_time'!K79,2)&lt;&gt;'1_Full_time'!K79),I$32&amp;", "&amp;I$33&amp;", Price group "&amp;$B101&amp;", "&amp;$C101&amp;" length, "&amp;"Level "&amp;$D101&amp;"; ","")</f>
        <v/>
      </c>
      <c r="J101" s="211" t="str">
        <f>IF(AND($E$7=1,ROUND('1_Full_time'!L79,2)&lt;&gt;'1_Full_time'!L79),J$32&amp;", "&amp;J$33&amp;", Price group "&amp;$B101&amp;", "&amp;$C101&amp;" length, "&amp;"Level "&amp;$D101&amp;"; ","")</f>
        <v/>
      </c>
      <c r="L101" s="118"/>
      <c r="S101" s="7"/>
      <c r="T101" s="7"/>
      <c r="W101" s="195"/>
      <c r="X101" s="195"/>
    </row>
    <row r="102" spans="2:26" x14ac:dyDescent="0.35">
      <c r="B102" s="20" t="s">
        <v>277</v>
      </c>
      <c r="C102" s="7" t="s">
        <v>218</v>
      </c>
      <c r="D102" s="13" t="s">
        <v>210</v>
      </c>
      <c r="E102" s="1609" t="str">
        <f>IF(AND($E$7=1,ROUND('1_Full_time'!G80,2)&lt;&gt;'1_Full_time'!G80),E$32&amp;", "&amp;E$33&amp;", Price group "&amp;$B102&amp;", "&amp;$C102&amp;" length, "&amp;"Level "&amp;$D102&amp;"; ","")</f>
        <v/>
      </c>
      <c r="F102" s="7" t="str">
        <f>IF(AND($E$7=1,ROUND('1_Full_time'!H80,2)&lt;&gt;'1_Full_time'!H80),F$32&amp;", "&amp;F$33&amp;", Price group "&amp;$B102&amp;", "&amp;$C102&amp;" length, "&amp;"Level "&amp;$D102&amp;"; ","")</f>
        <v/>
      </c>
      <c r="G102" s="211" t="str">
        <f>IF(AND($E$7=1,ROUND('1_Full_time'!I80,2)&lt;&gt;'1_Full_time'!I80),G$32&amp;", "&amp;G$33&amp;", Price group "&amp;$B102&amp;", "&amp;$C102&amp;" length, "&amp;"Level "&amp;$D102&amp;"; ","")</f>
        <v/>
      </c>
      <c r="H102" s="1609" t="str">
        <f>IF(AND($E$7=1,ROUND('1_Full_time'!J80,2)&lt;&gt;'1_Full_time'!J80),H$32&amp;", "&amp;H$33&amp;", Price group "&amp;$B102&amp;", "&amp;$C102&amp;" length, "&amp;"Level "&amp;$D102&amp;"; ","")</f>
        <v/>
      </c>
      <c r="I102" s="7" t="str">
        <f>IF(AND($E$7=1,ROUND('1_Full_time'!K80,2)&lt;&gt;'1_Full_time'!K80),I$32&amp;", "&amp;I$33&amp;", Price group "&amp;$B102&amp;", "&amp;$C102&amp;" length, "&amp;"Level "&amp;$D102&amp;"; ","")</f>
        <v/>
      </c>
      <c r="J102" s="211" t="str">
        <f>IF(AND($E$7=1,ROUND('1_Full_time'!L80,2)&lt;&gt;'1_Full_time'!L80),J$32&amp;", "&amp;J$33&amp;", Price group "&amp;$B102&amp;", "&amp;$C102&amp;" length, "&amp;"Level "&amp;$D102&amp;"; ","")</f>
        <v/>
      </c>
      <c r="L102" s="118"/>
      <c r="S102" s="7"/>
      <c r="T102" s="7"/>
      <c r="W102" s="195"/>
      <c r="X102" s="195"/>
    </row>
    <row r="103" spans="2:26" x14ac:dyDescent="0.35">
      <c r="B103" s="20" t="s">
        <v>277</v>
      </c>
      <c r="C103" s="7" t="s">
        <v>218</v>
      </c>
      <c r="D103" s="13" t="s">
        <v>212</v>
      </c>
      <c r="E103" s="1609" t="str">
        <f>IF(AND($E$7=1,ROUND('1_Full_time'!G81,2)&lt;&gt;'1_Full_time'!G81),E$32&amp;", "&amp;E$33&amp;", Price group "&amp;$B103&amp;", "&amp;$C103&amp;" length, "&amp;"Level "&amp;$D103&amp;"; ","")</f>
        <v/>
      </c>
      <c r="F103" s="7" t="str">
        <f>IF(AND($E$7=1,ROUND('1_Full_time'!H81,2)&lt;&gt;'1_Full_time'!H81),F$32&amp;", "&amp;F$33&amp;", Price group "&amp;$B103&amp;", "&amp;$C103&amp;" length, "&amp;"Level "&amp;$D103&amp;"; ","")</f>
        <v/>
      </c>
      <c r="G103" s="211" t="str">
        <f>IF(AND($E$7=1,ROUND('1_Full_time'!I81,2)&lt;&gt;'1_Full_time'!I81),G$32&amp;", "&amp;G$33&amp;", Price group "&amp;$B103&amp;", "&amp;$C103&amp;" length, "&amp;"Level "&amp;$D103&amp;"; ","")</f>
        <v/>
      </c>
      <c r="H103" s="1609" t="str">
        <f>IF(AND($E$7=1,ROUND('1_Full_time'!J81,2)&lt;&gt;'1_Full_time'!J81),H$32&amp;", "&amp;H$33&amp;", Price group "&amp;$B103&amp;", "&amp;$C103&amp;" length, "&amp;"Level "&amp;$D103&amp;"; ","")</f>
        <v/>
      </c>
      <c r="I103" s="7" t="str">
        <f>IF(AND($E$7=1,ROUND('1_Full_time'!K81,2)&lt;&gt;'1_Full_time'!K81),I$32&amp;", "&amp;I$33&amp;", Price group "&amp;$B103&amp;", "&amp;$C103&amp;" length, "&amp;"Level "&amp;$D103&amp;"; ","")</f>
        <v/>
      </c>
      <c r="J103" s="211" t="str">
        <f>IF(AND($E$7=1,ROUND('1_Full_time'!L81,2)&lt;&gt;'1_Full_time'!L81),J$32&amp;", "&amp;J$33&amp;", Price group "&amp;$B103&amp;", "&amp;$C103&amp;" length, "&amp;"Level "&amp;$D103&amp;"; ","")</f>
        <v/>
      </c>
      <c r="L103" s="118"/>
      <c r="S103" s="7"/>
      <c r="T103" s="7"/>
      <c r="W103" s="195"/>
      <c r="X103" s="195"/>
    </row>
    <row r="104" spans="2:26" x14ac:dyDescent="0.35">
      <c r="B104" s="20" t="s">
        <v>277</v>
      </c>
      <c r="C104" s="7" t="s">
        <v>218</v>
      </c>
      <c r="D104" s="13" t="s">
        <v>214</v>
      </c>
      <c r="E104" s="1609" t="str">
        <f>IF(AND($E$7=1,ROUND('1_Full_time'!G82,2)&lt;&gt;'1_Full_time'!G82),E$32&amp;", "&amp;E$33&amp;", Price group "&amp;$B104&amp;", "&amp;$C104&amp;" length, "&amp;"Level "&amp;$D104&amp;"; ","")</f>
        <v/>
      </c>
      <c r="F104" s="7" t="str">
        <f>IF(AND($E$7=1,ROUND('1_Full_time'!H82,2)&lt;&gt;'1_Full_time'!H82),F$32&amp;", "&amp;F$33&amp;", Price group "&amp;$B104&amp;", "&amp;$C104&amp;" length, "&amp;"Level "&amp;$D104&amp;"; ","")</f>
        <v/>
      </c>
      <c r="G104" s="211" t="str">
        <f>IF(AND($E$7=1,ROUND('1_Full_time'!I82,2)&lt;&gt;'1_Full_time'!I82),G$32&amp;", "&amp;G$33&amp;", Price group "&amp;$B104&amp;", "&amp;$C104&amp;" length, "&amp;"Level "&amp;$D104&amp;"; ","")</f>
        <v/>
      </c>
      <c r="H104" s="1609" t="str">
        <f>IF(AND($E$7=1,ROUND('1_Full_time'!J82,2)&lt;&gt;'1_Full_time'!J82),H$32&amp;", "&amp;H$33&amp;", Price group "&amp;$B104&amp;", "&amp;$C104&amp;" length, "&amp;"Level "&amp;$D104&amp;"; ","")</f>
        <v/>
      </c>
      <c r="I104" s="7" t="str">
        <f>IF(AND($E$7=1,ROUND('1_Full_time'!K82,2)&lt;&gt;'1_Full_time'!K82),I$32&amp;", "&amp;I$33&amp;", Price group "&amp;$B104&amp;", "&amp;$C104&amp;" length, "&amp;"Level "&amp;$D104&amp;"; ","")</f>
        <v/>
      </c>
      <c r="J104" s="211" t="str">
        <f>IF(AND($E$7=1,ROUND('1_Full_time'!L82,2)&lt;&gt;'1_Full_time'!L82),J$32&amp;", "&amp;J$33&amp;", Price group "&amp;$B104&amp;", "&amp;$C104&amp;" length, "&amp;"Level "&amp;$D104&amp;"; ","")</f>
        <v/>
      </c>
      <c r="L104" s="118"/>
      <c r="S104" s="7"/>
      <c r="T104" s="7"/>
      <c r="W104" s="195"/>
      <c r="X104" s="195"/>
    </row>
    <row r="105" spans="2:26" x14ac:dyDescent="0.35">
      <c r="B105" s="20" t="s">
        <v>277</v>
      </c>
      <c r="C105" s="7" t="s">
        <v>218</v>
      </c>
      <c r="D105" s="13" t="s">
        <v>216</v>
      </c>
      <c r="E105" s="1432"/>
      <c r="F105" s="1409" t="str">
        <f>IF(AND($E$7=1,ROUND('1_Full_time'!H83,2)&lt;&gt;'1_Full_time'!H83),F$32&amp;", "&amp;F$33&amp;", Price group "&amp;$B105&amp;", "&amp;$C105&amp;" length, "&amp;"Level "&amp;$D105&amp;"; ","")</f>
        <v/>
      </c>
      <c r="G105" s="1433" t="str">
        <f>IF(AND($E$7=1,ROUND('1_Full_time'!I83,2)&lt;&gt;'1_Full_time'!I83),G$32&amp;", "&amp;G$33&amp;", Price group "&amp;$B105&amp;", "&amp;$C105&amp;" length, "&amp;"Level "&amp;$D105&amp;"; ","")</f>
        <v/>
      </c>
      <c r="H105" s="1432"/>
      <c r="I105" s="1409" t="str">
        <f>IF(AND($E$7=1,ROUND('1_Full_time'!K83,2)&lt;&gt;'1_Full_time'!K83),I$32&amp;", "&amp;I$33&amp;", Price group "&amp;$B105&amp;", "&amp;$C105&amp;" length, "&amp;"Level "&amp;$D105&amp;"; ","")</f>
        <v/>
      </c>
      <c r="J105" s="1433" t="str">
        <f>IF(AND($E$7=1,ROUND('1_Full_time'!L83,2)&lt;&gt;'1_Full_time'!L83),J$32&amp;", "&amp;J$33&amp;", Price group "&amp;$B105&amp;", "&amp;$C105&amp;" length, "&amp;"Level "&amp;$D105&amp;"; ","")</f>
        <v/>
      </c>
      <c r="L105" s="118"/>
      <c r="S105" s="7"/>
      <c r="T105" s="7"/>
      <c r="W105" s="195"/>
      <c r="X105" s="195"/>
    </row>
    <row r="106" spans="2:26" x14ac:dyDescent="0.35">
      <c r="B106" s="24"/>
      <c r="C106" s="7"/>
      <c r="D106" s="7"/>
      <c r="F106" s="11"/>
      <c r="G106" s="11"/>
      <c r="H106" s="11"/>
      <c r="I106" s="11"/>
      <c r="J106" s="11"/>
      <c r="L106" s="118"/>
      <c r="S106" s="7"/>
      <c r="T106" s="7"/>
      <c r="W106" s="195"/>
      <c r="X106" s="195"/>
    </row>
    <row r="107" spans="2:26" x14ac:dyDescent="0.35">
      <c r="B107" s="24"/>
      <c r="C107" s="7"/>
      <c r="D107" s="7"/>
      <c r="E107" s="1790" t="str">
        <f>CONCATENATE(E34,E35,E36,E37,E38,E40,E41,E42,E43,E44,E46,E47,E48,E49,E50,E52,E53,E54,E55,E56,E58,E59,E60,E61,E62,E64,E65,E66,E67,E68,E70,E71,E72,E73,E74,E76,E77,E78,E79,E80,E82,E83,E84,E85,E86,E88,E89,E90,E91,E92,E94,E95,E96,E97,E98,E100,E101,E102,E103,E104)</f>
        <v/>
      </c>
      <c r="F107" s="1790" t="str">
        <f t="shared" ref="F107:J107" si="40">CONCATENATE(F34,F35,F36,F37,F38,F39,F40,F41,F42,F43,F44,F45,F46,F47,F48,F49,F50,F51,F52,F53,F54,F55,F56,F57,F58,F59,F60,F61,F62,F63,F64,F65,F66,F67,F68,F69,F70,F71,F72,F73,F74,F75,F76,F77,F78,F79,F80,F81,F82,F83,F84,F85,F86,F87,F88,F89,F90,F91,F92,F93,F94,F95,F96,F97,F98,F99,F100,F101,F102,F103,F104,F105)</f>
        <v/>
      </c>
      <c r="G107" s="1790" t="str">
        <f t="shared" si="40"/>
        <v/>
      </c>
      <c r="H107" s="1790" t="str">
        <f>CONCATENATE(H34,H35,H36,H37,H38,H40,H41,H42,H43,H44,H46,H47,H48,H49,H50,H52,H53,H54,H55,H56,H58,H59,H60,H61,H62,H64,H65,H66,H67,H68,H70,H71,H72,H73,H74,H76,H77,H78,H79,H80,H82,H83,H84,H85,H86,H88,H89,H90,H91,H92,H94,H95,H96,H97,H98,H100,H101,H102,H103,H104)</f>
        <v/>
      </c>
      <c r="I107" s="1790" t="str">
        <f t="shared" si="40"/>
        <v/>
      </c>
      <c r="J107" s="1790" t="str">
        <f t="shared" si="40"/>
        <v/>
      </c>
      <c r="L107" s="118"/>
      <c r="S107" s="7"/>
      <c r="T107" s="7"/>
      <c r="W107" s="195"/>
      <c r="X107" s="195"/>
    </row>
    <row r="108" spans="2:26" x14ac:dyDescent="0.35">
      <c r="B108" s="1284"/>
      <c r="C108" s="7"/>
      <c r="D108" s="7"/>
      <c r="E108" s="11" t="s">
        <v>28281</v>
      </c>
      <c r="F108" s="7"/>
      <c r="G108" s="7"/>
      <c r="H108" s="7"/>
      <c r="I108" s="7"/>
      <c r="J108" s="7"/>
      <c r="L108" s="118"/>
      <c r="S108" s="7"/>
      <c r="T108" s="7"/>
      <c r="W108" s="195"/>
      <c r="X108" s="195"/>
    </row>
    <row r="109" spans="2:26" x14ac:dyDescent="0.35">
      <c r="B109" s="1284"/>
      <c r="C109" s="1721" t="str">
        <f>E109&amp;H109</f>
        <v/>
      </c>
      <c r="D109" s="7"/>
      <c r="E109" s="1723" t="str">
        <f>E107&amp;F107&amp;G107</f>
        <v/>
      </c>
      <c r="F109" s="7"/>
      <c r="G109" s="7"/>
      <c r="H109" s="1724" t="str">
        <f>H107&amp;I107&amp;J107</f>
        <v/>
      </c>
      <c r="I109" s="7"/>
      <c r="J109" s="7"/>
      <c r="L109" s="118"/>
      <c r="S109" s="7"/>
      <c r="T109" s="7"/>
      <c r="W109" s="195"/>
      <c r="X109" s="195"/>
    </row>
    <row r="110" spans="2:26" x14ac:dyDescent="0.35">
      <c r="B110" s="1423"/>
      <c r="C110" s="1424"/>
      <c r="D110" s="1424"/>
      <c r="E110" s="1424"/>
      <c r="F110" s="1424"/>
      <c r="G110" s="1424"/>
      <c r="H110" s="1424"/>
      <c r="I110" s="1424"/>
      <c r="J110" s="1424"/>
      <c r="K110" s="1424"/>
      <c r="L110" s="118"/>
      <c r="S110" s="7"/>
      <c r="T110" s="7"/>
      <c r="W110" s="195"/>
      <c r="X110" s="195"/>
    </row>
    <row r="111" spans="2:26" x14ac:dyDescent="0.35">
      <c r="B111" s="327" t="s">
        <v>28266</v>
      </c>
      <c r="C111" s="1434"/>
      <c r="D111" s="1435"/>
      <c r="E111" s="18"/>
      <c r="F111" s="1434"/>
      <c r="G111" s="1434"/>
      <c r="H111" s="1435"/>
      <c r="I111" s="1435"/>
      <c r="J111" s="1435"/>
      <c r="K111" s="21"/>
      <c r="L111" s="118"/>
      <c r="S111" s="7"/>
      <c r="T111" s="7"/>
      <c r="W111" s="195"/>
      <c r="X111" s="195"/>
    </row>
    <row r="112" spans="2:26" x14ac:dyDescent="0.35">
      <c r="B112" s="1284"/>
      <c r="C112" s="7"/>
      <c r="D112" s="53"/>
      <c r="E112" s="7" t="s">
        <v>27679</v>
      </c>
      <c r="F112" s="7" t="s">
        <v>27679</v>
      </c>
      <c r="G112" s="7" t="s">
        <v>27679</v>
      </c>
      <c r="H112" s="83" t="s">
        <v>27680</v>
      </c>
      <c r="I112" s="83" t="s">
        <v>27680</v>
      </c>
      <c r="J112" s="83" t="s">
        <v>27680</v>
      </c>
      <c r="L112" s="118"/>
      <c r="S112" s="7"/>
      <c r="T112" s="7"/>
      <c r="W112" s="195"/>
      <c r="X112" s="195"/>
    </row>
    <row r="113" spans="2:24" x14ac:dyDescent="0.35">
      <c r="B113" s="1284"/>
      <c r="E113" t="s">
        <v>192</v>
      </c>
      <c r="F113" t="s">
        <v>193</v>
      </c>
      <c r="G113" t="s">
        <v>194</v>
      </c>
      <c r="H113" t="s">
        <v>192</v>
      </c>
      <c r="I113" t="s">
        <v>193</v>
      </c>
      <c r="J113" t="s">
        <v>194</v>
      </c>
      <c r="L113" s="118"/>
      <c r="S113" s="7"/>
      <c r="T113" s="7"/>
      <c r="W113" s="195"/>
      <c r="X113" s="195"/>
    </row>
    <row r="114" spans="2:24" x14ac:dyDescent="0.35">
      <c r="B114" s="20" t="s">
        <v>203</v>
      </c>
      <c r="C114" s="7" t="s">
        <v>204</v>
      </c>
      <c r="D114" s="13" t="s">
        <v>205</v>
      </c>
      <c r="E114" s="1720" t="str">
        <f>IF(AND($F$7=1,'1_Full_time'!G12&lt;0),E$112&amp;", "&amp;E$113&amp;", Price group "&amp;$B114&amp;", "&amp;$C114&amp;" length, Level "&amp;$D114&amp;"; ","")</f>
        <v/>
      </c>
      <c r="F114" s="1412" t="str">
        <f>IF(AND($F$7=1,'1_Full_time'!H12&lt;0),F$112&amp;", "&amp;F$113&amp;", Price group "&amp;$B114&amp;", "&amp;$C114&amp;" length, Level "&amp;$D114&amp;"; ","")</f>
        <v/>
      </c>
      <c r="G114" s="1789" t="str">
        <f>IF(AND($F$7=1,'1_Full_time'!I12&lt;0),G$112&amp;", "&amp;G$113&amp;", Price group "&amp;$B114&amp;", "&amp;$C114&amp;" length, Level "&amp;$D114&amp;"; ","")</f>
        <v/>
      </c>
      <c r="H114" s="1720" t="str">
        <f>IF(AND($F$7=1,'1_Full_time'!J12&lt;0),H$112&amp;", "&amp;H$113&amp;", Price group "&amp;$B114&amp;", "&amp;$C114&amp;" length, Level "&amp;$D114&amp;"; ","")</f>
        <v/>
      </c>
      <c r="I114" s="1412" t="str">
        <f>IF(AND($F$7=1,'1_Full_time'!K12&lt;0),I$112&amp;", "&amp;I$113&amp;", Price group "&amp;$B114&amp;", "&amp;$C114&amp;" length, Level "&amp;$D114&amp;"; ","")</f>
        <v/>
      </c>
      <c r="J114" s="1789" t="str">
        <f>IF(AND($F$7=1,'1_Full_time'!L12&lt;0),J$112&amp;", "&amp;J$113&amp;", Price group "&amp;$B114&amp;", "&amp;$C114&amp;" length, Level "&amp;$D114&amp;"; ","")</f>
        <v/>
      </c>
      <c r="L114" s="118"/>
      <c r="S114" s="7"/>
      <c r="T114" s="7"/>
      <c r="W114" s="195"/>
      <c r="X114" s="195"/>
    </row>
    <row r="115" spans="2:24" x14ac:dyDescent="0.35">
      <c r="B115" s="20" t="s">
        <v>203</v>
      </c>
      <c r="C115" s="7" t="s">
        <v>204</v>
      </c>
      <c r="D115" s="13" t="s">
        <v>208</v>
      </c>
      <c r="E115" s="1609" t="str">
        <f>IF(AND($F$7=1,'1_Full_time'!G13&lt;0),E$112&amp;", "&amp;E$113&amp;", Price group "&amp;$B115&amp;", "&amp;$C115&amp;" length, Level "&amp;$D115&amp;"; ","")</f>
        <v/>
      </c>
      <c r="F115" s="7" t="str">
        <f>IF(AND($F$7=1,'1_Full_time'!H13&lt;0),F$112&amp;", "&amp;F$113&amp;", Price group "&amp;$B115&amp;", "&amp;$C115&amp;" length, Level "&amp;$D115&amp;"; ","")</f>
        <v/>
      </c>
      <c r="G115" s="211" t="str">
        <f>IF(AND($F$7=1,'1_Full_time'!I13&lt;0),G$112&amp;", "&amp;G$113&amp;", Price group "&amp;$B115&amp;", "&amp;$C115&amp;" length, Level "&amp;$D115&amp;"; ","")</f>
        <v/>
      </c>
      <c r="H115" s="1609" t="str">
        <f>IF(AND($F$7=1,'1_Full_time'!J13&lt;0),H$112&amp;", "&amp;H$113&amp;", Price group "&amp;$B115&amp;", "&amp;$C115&amp;" length, Level "&amp;$D115&amp;"; ","")</f>
        <v/>
      </c>
      <c r="I115" s="7" t="str">
        <f>IF(AND($F$7=1,'1_Full_time'!K13&lt;0),I$112&amp;", "&amp;I$113&amp;", Price group "&amp;$B115&amp;", "&amp;$C115&amp;" length, Level "&amp;$D115&amp;"; ","")</f>
        <v/>
      </c>
      <c r="J115" s="211" t="str">
        <f>IF(AND($F$7=1,'1_Full_time'!L13&lt;0),J$112&amp;", "&amp;J$113&amp;", Price group "&amp;$B115&amp;", "&amp;$C115&amp;" length, Level "&amp;$D115&amp;"; ","")</f>
        <v/>
      </c>
      <c r="L115" s="118"/>
      <c r="S115" s="7"/>
      <c r="T115" s="7"/>
      <c r="W115" s="195"/>
      <c r="X115" s="195"/>
    </row>
    <row r="116" spans="2:24" x14ac:dyDescent="0.35">
      <c r="B116" s="20" t="s">
        <v>203</v>
      </c>
      <c r="C116" s="7" t="s">
        <v>204</v>
      </c>
      <c r="D116" s="13" t="s">
        <v>210</v>
      </c>
      <c r="E116" s="1609" t="str">
        <f>IF(AND($F$7=1,'1_Full_time'!G14&lt;0),E$112&amp;", "&amp;E$113&amp;", Price group "&amp;$B116&amp;", "&amp;$C116&amp;" length, Level "&amp;$D116&amp;"; ","")</f>
        <v/>
      </c>
      <c r="F116" s="7" t="str">
        <f>IF(AND($F$7=1,'1_Full_time'!H14&lt;0),F$112&amp;", "&amp;F$113&amp;", Price group "&amp;$B116&amp;", "&amp;$C116&amp;" length, Level "&amp;$D116&amp;"; ","")</f>
        <v/>
      </c>
      <c r="G116" s="211" t="str">
        <f>IF(AND($F$7=1,'1_Full_time'!I14&lt;0),G$112&amp;", "&amp;G$113&amp;", Price group "&amp;$B116&amp;", "&amp;$C116&amp;" length, Level "&amp;$D116&amp;"; ","")</f>
        <v/>
      </c>
      <c r="H116" s="1609" t="str">
        <f>IF(AND($F$7=1,'1_Full_time'!J14&lt;0),H$112&amp;", "&amp;H$113&amp;", Price group "&amp;$B116&amp;", "&amp;$C116&amp;" length, Level "&amp;$D116&amp;"; ","")</f>
        <v/>
      </c>
      <c r="I116" s="7" t="str">
        <f>IF(AND($F$7=1,'1_Full_time'!K14&lt;0),I$112&amp;", "&amp;I$113&amp;", Price group "&amp;$B116&amp;", "&amp;$C116&amp;" length, Level "&amp;$D116&amp;"; ","")</f>
        <v/>
      </c>
      <c r="J116" s="211" t="str">
        <f>IF(AND($F$7=1,'1_Full_time'!L14&lt;0),J$112&amp;", "&amp;J$113&amp;", Price group "&amp;$B116&amp;", "&amp;$C116&amp;" length, Level "&amp;$D116&amp;"; ","")</f>
        <v/>
      </c>
      <c r="L116" s="118"/>
      <c r="S116" s="7"/>
      <c r="T116" s="7"/>
      <c r="W116" s="195"/>
      <c r="X116" s="195"/>
    </row>
    <row r="117" spans="2:24" x14ac:dyDescent="0.35">
      <c r="B117" s="20" t="s">
        <v>203</v>
      </c>
      <c r="C117" s="7" t="s">
        <v>204</v>
      </c>
      <c r="D117" s="13" t="s">
        <v>212</v>
      </c>
      <c r="E117" s="1609" t="str">
        <f>IF(AND($F$7=1,'1_Full_time'!G15&lt;0),E$112&amp;", "&amp;E$113&amp;", Price group "&amp;$B117&amp;", "&amp;$C117&amp;" length, Level "&amp;$D117&amp;"; ","")</f>
        <v/>
      </c>
      <c r="F117" s="7" t="str">
        <f>IF(AND($F$7=1,'1_Full_time'!H15&lt;0),F$112&amp;", "&amp;F$113&amp;", Price group "&amp;$B117&amp;", "&amp;$C117&amp;" length, Level "&amp;$D117&amp;"; ","")</f>
        <v/>
      </c>
      <c r="G117" s="211" t="str">
        <f>IF(AND($F$7=1,'1_Full_time'!I15&lt;0),G$112&amp;", "&amp;G$113&amp;", Price group "&amp;$B117&amp;", "&amp;$C117&amp;" length, Level "&amp;$D117&amp;"; ","")</f>
        <v/>
      </c>
      <c r="H117" s="1609" t="str">
        <f>IF(AND($F$7=1,'1_Full_time'!J15&lt;0),H$112&amp;", "&amp;H$113&amp;", Price group "&amp;$B117&amp;", "&amp;$C117&amp;" length, Level "&amp;$D117&amp;"; ","")</f>
        <v/>
      </c>
      <c r="I117" s="7" t="str">
        <f>IF(AND($F$7=1,'1_Full_time'!K15&lt;0),I$112&amp;", "&amp;I$113&amp;", Price group "&amp;$B117&amp;", "&amp;$C117&amp;" length, Level "&amp;$D117&amp;"; ","")</f>
        <v/>
      </c>
      <c r="J117" s="211" t="str">
        <f>IF(AND($F$7=1,'1_Full_time'!L15&lt;0),J$112&amp;", "&amp;J$113&amp;", Price group "&amp;$B117&amp;", "&amp;$C117&amp;" length, Level "&amp;$D117&amp;"; ","")</f>
        <v/>
      </c>
      <c r="L117" s="118"/>
      <c r="S117" s="7"/>
      <c r="T117" s="7"/>
      <c r="W117" s="195"/>
      <c r="X117" s="195"/>
    </row>
    <row r="118" spans="2:24" x14ac:dyDescent="0.35">
      <c r="B118" s="20" t="s">
        <v>203</v>
      </c>
      <c r="C118" s="7" t="s">
        <v>204</v>
      </c>
      <c r="D118" s="13" t="s">
        <v>214</v>
      </c>
      <c r="E118" s="1609" t="str">
        <f>IF(AND($F$7=1,'1_Full_time'!G16&lt;0),E$112&amp;", "&amp;E$113&amp;", Price group "&amp;$B118&amp;", "&amp;$C118&amp;" length, Level "&amp;$D118&amp;"; ","")</f>
        <v/>
      </c>
      <c r="F118" s="7" t="str">
        <f>IF(AND($F$7=1,'1_Full_time'!H16&lt;0),F$112&amp;", "&amp;F$113&amp;", Price group "&amp;$B118&amp;", "&amp;$C118&amp;" length, Level "&amp;$D118&amp;"; ","")</f>
        <v/>
      </c>
      <c r="G118" s="211" t="str">
        <f>IF(AND($F$7=1,'1_Full_time'!I16&lt;0),G$112&amp;", "&amp;G$113&amp;", Price group "&amp;$B118&amp;", "&amp;$C118&amp;" length, Level "&amp;$D118&amp;"; ","")</f>
        <v/>
      </c>
      <c r="H118" s="1609" t="str">
        <f>IF(AND($F$7=1,'1_Full_time'!J16&lt;0),H$112&amp;", "&amp;H$113&amp;", Price group "&amp;$B118&amp;", "&amp;$C118&amp;" length, Level "&amp;$D118&amp;"; ","")</f>
        <v/>
      </c>
      <c r="I118" s="7" t="str">
        <f>IF(AND($F$7=1,'1_Full_time'!K16&lt;0),I$112&amp;", "&amp;I$113&amp;", Price group "&amp;$B118&amp;", "&amp;$C118&amp;" length, Level "&amp;$D118&amp;"; ","")</f>
        <v/>
      </c>
      <c r="J118" s="211" t="str">
        <f>IF(AND($F$7=1,'1_Full_time'!L16&lt;0),J$112&amp;", "&amp;J$113&amp;", Price group "&amp;$B118&amp;", "&amp;$C118&amp;" length, Level "&amp;$D118&amp;"; ","")</f>
        <v/>
      </c>
      <c r="L118" s="118"/>
      <c r="S118" s="7"/>
      <c r="T118" s="7"/>
      <c r="W118" s="195"/>
      <c r="X118" s="195"/>
    </row>
    <row r="119" spans="2:24" x14ac:dyDescent="0.35">
      <c r="B119" s="20" t="s">
        <v>203</v>
      </c>
      <c r="C119" s="7" t="s">
        <v>204</v>
      </c>
      <c r="D119" s="13" t="s">
        <v>216</v>
      </c>
      <c r="E119" s="1428"/>
      <c r="F119" s="1429" t="str">
        <f>IF(AND($F$7=1,'1_Full_time'!H17&lt;0),F$112&amp;", "&amp;F$113&amp;", Price group "&amp;$B119&amp;", "&amp;$C119&amp;" length, Level "&amp;$D119&amp;"; ","")</f>
        <v/>
      </c>
      <c r="G119" s="1430" t="str">
        <f>IF(AND($F$7=1,'1_Full_time'!I17&lt;0),G$112&amp;", "&amp;G$113&amp;", Price group "&amp;$B119&amp;", "&amp;$C119&amp;" length, Level "&amp;$D119&amp;"; ","")</f>
        <v/>
      </c>
      <c r="H119" s="1428"/>
      <c r="I119" s="1429" t="str">
        <f>IF(AND($F$7=1,'1_Full_time'!K17&lt;0),I$112&amp;", "&amp;I$113&amp;", Price group "&amp;$B119&amp;", "&amp;$C119&amp;" length, Level "&amp;$D119&amp;"; ","")</f>
        <v/>
      </c>
      <c r="J119" s="1430" t="str">
        <f>IF(AND($F$7=1,'1_Full_time'!L17&lt;0),J$112&amp;", "&amp;J$113&amp;", Price group "&amp;$B119&amp;", "&amp;$C119&amp;" length, Level "&amp;$D119&amp;"; ","")</f>
        <v/>
      </c>
      <c r="L119" s="118"/>
      <c r="S119" s="7"/>
      <c r="T119" s="7"/>
      <c r="W119" s="195"/>
      <c r="X119" s="195"/>
    </row>
    <row r="120" spans="2:24" x14ac:dyDescent="0.35">
      <c r="B120" s="20" t="s">
        <v>203</v>
      </c>
      <c r="C120" s="7" t="s">
        <v>218</v>
      </c>
      <c r="D120" s="13" t="s">
        <v>205</v>
      </c>
      <c r="E120" s="1609" t="str">
        <f>IF(AND($F$7=1,'1_Full_time'!G18&lt;0),E$112&amp;", "&amp;E$113&amp;", Price group "&amp;$B120&amp;", "&amp;$C120&amp;" length, Level "&amp;$D120&amp;"; ","")</f>
        <v/>
      </c>
      <c r="F120" s="7" t="str">
        <f>IF(AND($F$7=1,'1_Full_time'!H18&lt;0),F$112&amp;", "&amp;F$113&amp;", Price group "&amp;$B120&amp;", "&amp;$C120&amp;" length, Level "&amp;$D120&amp;"; ","")</f>
        <v/>
      </c>
      <c r="G120" s="211" t="str">
        <f>IF(AND($F$7=1,'1_Full_time'!I18&lt;0),G$112&amp;", "&amp;G$113&amp;", Price group "&amp;$B120&amp;", "&amp;$C120&amp;" length, Level "&amp;$D120&amp;"; ","")</f>
        <v/>
      </c>
      <c r="H120" s="1609" t="str">
        <f>IF(AND($F$7=1,'1_Full_time'!J18&lt;0),H$112&amp;", "&amp;H$113&amp;", Price group "&amp;$B120&amp;", "&amp;$C120&amp;" length, Level "&amp;$D120&amp;"; ","")</f>
        <v/>
      </c>
      <c r="I120" s="7" t="str">
        <f>IF(AND($F$7=1,'1_Full_time'!K18&lt;0),I$112&amp;", "&amp;I$113&amp;", Price group "&amp;$B120&amp;", "&amp;$C120&amp;" length, Level "&amp;$D120&amp;"; ","")</f>
        <v/>
      </c>
      <c r="J120" s="211" t="str">
        <f>IF(AND($F$7=1,'1_Full_time'!L18&lt;0),J$112&amp;", "&amp;J$113&amp;", Price group "&amp;$B120&amp;", "&amp;$C120&amp;" length, Level "&amp;$D120&amp;"; ","")</f>
        <v/>
      </c>
      <c r="L120" s="118"/>
      <c r="S120" s="7"/>
      <c r="T120" s="7"/>
      <c r="W120" s="195"/>
      <c r="X120" s="195"/>
    </row>
    <row r="121" spans="2:24" x14ac:dyDescent="0.35">
      <c r="B121" s="20" t="s">
        <v>203</v>
      </c>
      <c r="C121" s="7" t="s">
        <v>218</v>
      </c>
      <c r="D121" s="13" t="s">
        <v>208</v>
      </c>
      <c r="E121" s="1609" t="str">
        <f>IF(AND($F$7=1,'1_Full_time'!G19&lt;0),E$112&amp;", "&amp;E$113&amp;", Price group "&amp;$B121&amp;", "&amp;$C121&amp;" length, Level "&amp;$D121&amp;"; ","")</f>
        <v/>
      </c>
      <c r="F121" s="7" t="str">
        <f>IF(AND($F$7=1,'1_Full_time'!H19&lt;0),F$112&amp;", "&amp;F$113&amp;", Price group "&amp;$B121&amp;", "&amp;$C121&amp;" length, Level "&amp;$D121&amp;"; ","")</f>
        <v/>
      </c>
      <c r="G121" s="211" t="str">
        <f>IF(AND($F$7=1,'1_Full_time'!I19&lt;0),G$112&amp;", "&amp;G$113&amp;", Price group "&amp;$B121&amp;", "&amp;$C121&amp;" length, Level "&amp;$D121&amp;"; ","")</f>
        <v/>
      </c>
      <c r="H121" s="1609" t="str">
        <f>IF(AND($F$7=1,'1_Full_time'!J19&lt;0),H$112&amp;", "&amp;H$113&amp;", Price group "&amp;$B121&amp;", "&amp;$C121&amp;" length, Level "&amp;$D121&amp;"; ","")</f>
        <v/>
      </c>
      <c r="I121" s="7" t="str">
        <f>IF(AND($F$7=1,'1_Full_time'!K19&lt;0),I$112&amp;", "&amp;I$113&amp;", Price group "&amp;$B121&amp;", "&amp;$C121&amp;" length, Level "&amp;$D121&amp;"; ","")</f>
        <v/>
      </c>
      <c r="J121" s="211" t="str">
        <f>IF(AND($F$7=1,'1_Full_time'!L19&lt;0),J$112&amp;", "&amp;J$113&amp;", Price group "&amp;$B121&amp;", "&amp;$C121&amp;" length, Level "&amp;$D121&amp;"; ","")</f>
        <v/>
      </c>
      <c r="L121" s="118"/>
      <c r="S121" s="7"/>
      <c r="T121" s="7"/>
      <c r="W121" s="195"/>
      <c r="X121" s="195"/>
    </row>
    <row r="122" spans="2:24" x14ac:dyDescent="0.35">
      <c r="B122" s="20" t="s">
        <v>203</v>
      </c>
      <c r="C122" s="7" t="s">
        <v>218</v>
      </c>
      <c r="D122" s="13" t="s">
        <v>210</v>
      </c>
      <c r="E122" s="1609" t="str">
        <f>IF(AND($F$7=1,'1_Full_time'!G20&lt;0),E$112&amp;", "&amp;E$113&amp;", Price group "&amp;$B122&amp;", "&amp;$C122&amp;" length, Level "&amp;$D122&amp;"; ","")</f>
        <v/>
      </c>
      <c r="F122" s="7" t="str">
        <f>IF(AND($F$7=1,'1_Full_time'!H20&lt;0),F$112&amp;", "&amp;F$113&amp;", Price group "&amp;$B122&amp;", "&amp;$C122&amp;" length, Level "&amp;$D122&amp;"; ","")</f>
        <v/>
      </c>
      <c r="G122" s="211" t="str">
        <f>IF(AND($F$7=1,'1_Full_time'!I20&lt;0),G$112&amp;", "&amp;G$113&amp;", Price group "&amp;$B122&amp;", "&amp;$C122&amp;" length, Level "&amp;$D122&amp;"; ","")</f>
        <v/>
      </c>
      <c r="H122" s="1609" t="str">
        <f>IF(AND($F$7=1,'1_Full_time'!J20&lt;0),H$112&amp;", "&amp;H$113&amp;", Price group "&amp;$B122&amp;", "&amp;$C122&amp;" length, Level "&amp;$D122&amp;"; ","")</f>
        <v/>
      </c>
      <c r="I122" s="7" t="str">
        <f>IF(AND($F$7=1,'1_Full_time'!K20&lt;0),I$112&amp;", "&amp;I$113&amp;", Price group "&amp;$B122&amp;", "&amp;$C122&amp;" length, Level "&amp;$D122&amp;"; ","")</f>
        <v/>
      </c>
      <c r="J122" s="211" t="str">
        <f>IF(AND($F$7=1,'1_Full_time'!L20&lt;0),J$112&amp;", "&amp;J$113&amp;", Price group "&amp;$B122&amp;", "&amp;$C122&amp;" length, Level "&amp;$D122&amp;"; ","")</f>
        <v/>
      </c>
      <c r="L122" s="118"/>
      <c r="S122" s="7"/>
      <c r="T122" s="7"/>
      <c r="W122" s="195"/>
      <c r="X122" s="195"/>
    </row>
    <row r="123" spans="2:24" x14ac:dyDescent="0.35">
      <c r="B123" s="20" t="s">
        <v>203</v>
      </c>
      <c r="C123" s="7" t="s">
        <v>218</v>
      </c>
      <c r="D123" s="13" t="s">
        <v>212</v>
      </c>
      <c r="E123" s="1609" t="str">
        <f>IF(AND($F$7=1,'1_Full_time'!G21&lt;0),E$112&amp;", "&amp;E$113&amp;", Price group "&amp;$B123&amp;", "&amp;$C123&amp;" length, Level "&amp;$D123&amp;"; ","")</f>
        <v/>
      </c>
      <c r="F123" s="7" t="str">
        <f>IF(AND($F$7=1,'1_Full_time'!H21&lt;0),F$112&amp;", "&amp;F$113&amp;", Price group "&amp;$B123&amp;", "&amp;$C123&amp;" length, Level "&amp;$D123&amp;"; ","")</f>
        <v/>
      </c>
      <c r="G123" s="211" t="str">
        <f>IF(AND($F$7=1,'1_Full_time'!I21&lt;0),G$112&amp;", "&amp;G$113&amp;", Price group "&amp;$B123&amp;", "&amp;$C123&amp;" length, Level "&amp;$D123&amp;"; ","")</f>
        <v/>
      </c>
      <c r="H123" s="1609" t="str">
        <f>IF(AND($F$7=1,'1_Full_time'!J21&lt;0),H$112&amp;", "&amp;H$113&amp;", Price group "&amp;$B123&amp;", "&amp;$C123&amp;" length, Level "&amp;$D123&amp;"; ","")</f>
        <v/>
      </c>
      <c r="I123" s="7" t="str">
        <f>IF(AND($F$7=1,'1_Full_time'!K21&lt;0),I$112&amp;", "&amp;I$113&amp;", Price group "&amp;$B123&amp;", "&amp;$C123&amp;" length, Level "&amp;$D123&amp;"; ","")</f>
        <v/>
      </c>
      <c r="J123" s="211" t="str">
        <f>IF(AND($F$7=1,'1_Full_time'!L21&lt;0),J$112&amp;", "&amp;J$113&amp;", Price group "&amp;$B123&amp;", "&amp;$C123&amp;" length, Level "&amp;$D123&amp;"; ","")</f>
        <v/>
      </c>
      <c r="L123" s="118"/>
      <c r="S123" s="7"/>
      <c r="T123" s="7"/>
      <c r="W123" s="195"/>
      <c r="X123" s="195"/>
    </row>
    <row r="124" spans="2:24" x14ac:dyDescent="0.35">
      <c r="B124" s="20" t="s">
        <v>203</v>
      </c>
      <c r="C124" s="7" t="s">
        <v>218</v>
      </c>
      <c r="D124" s="13" t="s">
        <v>214</v>
      </c>
      <c r="E124" s="1609" t="str">
        <f>IF(AND($F$7=1,'1_Full_time'!G22&lt;0),E$112&amp;", "&amp;E$113&amp;", Price group "&amp;$B124&amp;", "&amp;$C124&amp;" length, Level "&amp;$D124&amp;"; ","")</f>
        <v/>
      </c>
      <c r="F124" s="7" t="str">
        <f>IF(AND($F$7=1,'1_Full_time'!H22&lt;0),F$112&amp;", "&amp;F$113&amp;", Price group "&amp;$B124&amp;", "&amp;$C124&amp;" length, Level "&amp;$D124&amp;"; ","")</f>
        <v/>
      </c>
      <c r="G124" s="211" t="str">
        <f>IF(AND($F$7=1,'1_Full_time'!I22&lt;0),G$112&amp;", "&amp;G$113&amp;", Price group "&amp;$B124&amp;", "&amp;$C124&amp;" length, Level "&amp;$D124&amp;"; ","")</f>
        <v/>
      </c>
      <c r="H124" s="1609" t="str">
        <f>IF(AND($F$7=1,'1_Full_time'!J22&lt;0),H$112&amp;", "&amp;H$113&amp;", Price group "&amp;$B124&amp;", "&amp;$C124&amp;" length, Level "&amp;$D124&amp;"; ","")</f>
        <v/>
      </c>
      <c r="I124" s="7" t="str">
        <f>IF(AND($F$7=1,'1_Full_time'!K22&lt;0),I$112&amp;", "&amp;I$113&amp;", Price group "&amp;$B124&amp;", "&amp;$C124&amp;" length, Level "&amp;$D124&amp;"; ","")</f>
        <v/>
      </c>
      <c r="J124" s="211" t="str">
        <f>IF(AND($F$7=1,'1_Full_time'!L22&lt;0),J$112&amp;", "&amp;J$113&amp;", Price group "&amp;$B124&amp;", "&amp;$C124&amp;" length, Level "&amp;$D124&amp;"; ","")</f>
        <v/>
      </c>
      <c r="L124" s="118"/>
      <c r="S124" s="7"/>
      <c r="T124" s="7"/>
      <c r="W124" s="195"/>
      <c r="X124" s="195"/>
    </row>
    <row r="125" spans="2:24" x14ac:dyDescent="0.35">
      <c r="B125" s="20" t="s">
        <v>203</v>
      </c>
      <c r="C125" s="7" t="s">
        <v>218</v>
      </c>
      <c r="D125" s="13" t="s">
        <v>216</v>
      </c>
      <c r="E125" s="1617"/>
      <c r="F125" s="7" t="str">
        <f>IF(AND($F$7=1,'1_Full_time'!H23&lt;0),F$112&amp;", "&amp;F$113&amp;", Price group "&amp;$B125&amp;", "&amp;$C125&amp;" length, Level "&amp;$D125&amp;"; ","")</f>
        <v/>
      </c>
      <c r="G125" s="211" t="str">
        <f>IF(AND($F$7=1,'1_Full_time'!I23&lt;0),G$112&amp;", "&amp;G$113&amp;", Price group "&amp;$B125&amp;", "&amp;$C125&amp;" length, Level "&amp;$D125&amp;"; ","")</f>
        <v/>
      </c>
      <c r="H125" s="1617"/>
      <c r="I125" s="7" t="str">
        <f>IF(AND($F$7=1,'1_Full_time'!K23&lt;0),I$112&amp;", "&amp;I$113&amp;", Price group "&amp;$B125&amp;", "&amp;$C125&amp;" length, Level "&amp;$D125&amp;"; ","")</f>
        <v/>
      </c>
      <c r="J125" s="211" t="str">
        <f>IF(AND($F$7=1,'1_Full_time'!L23&lt;0),J$112&amp;", "&amp;J$113&amp;", Price group "&amp;$B125&amp;", "&amp;$C125&amp;" length, Level "&amp;$D125&amp;"; ","")</f>
        <v/>
      </c>
      <c r="L125" s="118"/>
      <c r="S125" s="7"/>
      <c r="T125" s="7"/>
      <c r="W125" s="195"/>
      <c r="X125" s="195"/>
    </row>
    <row r="126" spans="2:24" x14ac:dyDescent="0.35">
      <c r="B126" s="20" t="s">
        <v>225</v>
      </c>
      <c r="C126" s="7" t="s">
        <v>204</v>
      </c>
      <c r="D126" s="13" t="s">
        <v>205</v>
      </c>
      <c r="E126" s="1720" t="str">
        <f>IF(AND($F$7=1,'1_Full_time'!G24&lt;0),E$112&amp;", "&amp;E$113&amp;", Price group "&amp;$B126&amp;", "&amp;$C126&amp;" length, Level "&amp;$D126&amp;"; ","")</f>
        <v/>
      </c>
      <c r="F126" s="1412" t="str">
        <f>IF(AND($F$7=1,'1_Full_time'!H24&lt;0),F$112&amp;", "&amp;F$113&amp;", Price group "&amp;$B126&amp;", "&amp;$C126&amp;" length, Level "&amp;$D126&amp;"; ","")</f>
        <v/>
      </c>
      <c r="G126" s="1789" t="str">
        <f>IF(AND($F$7=1,'1_Full_time'!I24&lt;0),G$112&amp;", "&amp;G$113&amp;", Price group "&amp;$B126&amp;", "&amp;$C126&amp;" length, Level "&amp;$D126&amp;"; ","")</f>
        <v/>
      </c>
      <c r="H126" s="1720" t="str">
        <f>IF(AND($F$7=1,'1_Full_time'!J24&lt;0),H$112&amp;", "&amp;H$113&amp;", Price group "&amp;$B126&amp;", "&amp;$C126&amp;" length, Level "&amp;$D126&amp;"; ","")</f>
        <v/>
      </c>
      <c r="I126" s="1412" t="str">
        <f>IF(AND($F$7=1,'1_Full_time'!K24&lt;0),I$112&amp;", "&amp;I$113&amp;", Price group "&amp;$B126&amp;", "&amp;$C126&amp;" length, Level "&amp;$D126&amp;"; ","")</f>
        <v/>
      </c>
      <c r="J126" s="1789" t="str">
        <f>IF(AND($F$7=1,'1_Full_time'!L24&lt;0),J$112&amp;", "&amp;J$113&amp;", Price group "&amp;$B126&amp;", "&amp;$C126&amp;" length, Level "&amp;$D126&amp;"; ","")</f>
        <v/>
      </c>
      <c r="L126" s="118"/>
      <c r="S126" s="7"/>
      <c r="T126" s="7"/>
      <c r="W126" s="195"/>
      <c r="X126" s="195"/>
    </row>
    <row r="127" spans="2:24" x14ac:dyDescent="0.35">
      <c r="B127" s="20" t="s">
        <v>225</v>
      </c>
      <c r="C127" s="7" t="s">
        <v>204</v>
      </c>
      <c r="D127" s="13" t="s">
        <v>208</v>
      </c>
      <c r="E127" s="1609" t="str">
        <f>IF(AND($F$7=1,'1_Full_time'!G25&lt;0),E$112&amp;", "&amp;E$113&amp;", Price group "&amp;$B127&amp;", "&amp;$C127&amp;" length, Level "&amp;$D127&amp;"; ","")</f>
        <v/>
      </c>
      <c r="F127" s="7" t="str">
        <f>IF(AND($F$7=1,'1_Full_time'!H25&lt;0),F$112&amp;", "&amp;F$113&amp;", Price group "&amp;$B127&amp;", "&amp;$C127&amp;" length, Level "&amp;$D127&amp;"; ","")</f>
        <v/>
      </c>
      <c r="G127" s="211" t="str">
        <f>IF(AND($F$7=1,'1_Full_time'!I25&lt;0),G$112&amp;", "&amp;G$113&amp;", Price group "&amp;$B127&amp;", "&amp;$C127&amp;" length, Level "&amp;$D127&amp;"; ","")</f>
        <v/>
      </c>
      <c r="H127" s="1609" t="str">
        <f>IF(AND($F$7=1,'1_Full_time'!J25&lt;0),H$112&amp;", "&amp;H$113&amp;", Price group "&amp;$B127&amp;", "&amp;$C127&amp;" length, Level "&amp;$D127&amp;"; ","")</f>
        <v/>
      </c>
      <c r="I127" s="7" t="str">
        <f>IF(AND($F$7=1,'1_Full_time'!K25&lt;0),I$112&amp;", "&amp;I$113&amp;", Price group "&amp;$B127&amp;", "&amp;$C127&amp;" length, Level "&amp;$D127&amp;"; ","")</f>
        <v/>
      </c>
      <c r="J127" s="211" t="str">
        <f>IF(AND($F$7=1,'1_Full_time'!L25&lt;0),J$112&amp;", "&amp;J$113&amp;", Price group "&amp;$B127&amp;", "&amp;$C127&amp;" length, Level "&amp;$D127&amp;"; ","")</f>
        <v/>
      </c>
      <c r="L127" s="118"/>
      <c r="S127" s="7"/>
      <c r="T127" s="7"/>
      <c r="W127" s="195"/>
      <c r="X127" s="195"/>
    </row>
    <row r="128" spans="2:24" x14ac:dyDescent="0.35">
      <c r="B128" s="20" t="s">
        <v>225</v>
      </c>
      <c r="C128" s="7" t="s">
        <v>204</v>
      </c>
      <c r="D128" s="13" t="s">
        <v>210</v>
      </c>
      <c r="E128" s="1609" t="str">
        <f>IF(AND($F$7=1,'1_Full_time'!G26&lt;0),E$112&amp;", "&amp;E$113&amp;", Price group "&amp;$B128&amp;", "&amp;$C128&amp;" length, Level "&amp;$D128&amp;"; ","")</f>
        <v/>
      </c>
      <c r="F128" s="7" t="str">
        <f>IF(AND($F$7=1,'1_Full_time'!H26&lt;0),F$112&amp;", "&amp;F$113&amp;", Price group "&amp;$B128&amp;", "&amp;$C128&amp;" length, Level "&amp;$D128&amp;"; ","")</f>
        <v/>
      </c>
      <c r="G128" s="211" t="str">
        <f>IF(AND($F$7=1,'1_Full_time'!I26&lt;0),G$112&amp;", "&amp;G$113&amp;", Price group "&amp;$B128&amp;", "&amp;$C128&amp;" length, Level "&amp;$D128&amp;"; ","")</f>
        <v/>
      </c>
      <c r="H128" s="1609" t="str">
        <f>IF(AND($F$7=1,'1_Full_time'!J26&lt;0),H$112&amp;", "&amp;H$113&amp;", Price group "&amp;$B128&amp;", "&amp;$C128&amp;" length, Level "&amp;$D128&amp;"; ","")</f>
        <v/>
      </c>
      <c r="I128" s="7" t="str">
        <f>IF(AND($F$7=1,'1_Full_time'!K26&lt;0),I$112&amp;", "&amp;I$113&amp;", Price group "&amp;$B128&amp;", "&amp;$C128&amp;" length, Level "&amp;$D128&amp;"; ","")</f>
        <v/>
      </c>
      <c r="J128" s="211" t="str">
        <f>IF(AND($F$7=1,'1_Full_time'!L26&lt;0),J$112&amp;", "&amp;J$113&amp;", Price group "&amp;$B128&amp;", "&amp;$C128&amp;" length, Level "&amp;$D128&amp;"; ","")</f>
        <v/>
      </c>
      <c r="L128" s="118"/>
      <c r="S128" s="7"/>
      <c r="T128" s="7"/>
      <c r="W128" s="195"/>
      <c r="X128" s="195"/>
    </row>
    <row r="129" spans="2:24" x14ac:dyDescent="0.35">
      <c r="B129" s="20" t="s">
        <v>225</v>
      </c>
      <c r="C129" s="7" t="s">
        <v>204</v>
      </c>
      <c r="D129" s="13" t="s">
        <v>212</v>
      </c>
      <c r="E129" s="1609" t="str">
        <f>IF(AND($F$7=1,'1_Full_time'!G27&lt;0),E$112&amp;", "&amp;E$113&amp;", Price group "&amp;$B129&amp;", "&amp;$C129&amp;" length, Level "&amp;$D129&amp;"; ","")</f>
        <v/>
      </c>
      <c r="F129" s="7" t="str">
        <f>IF(AND($F$7=1,'1_Full_time'!H27&lt;0),F$112&amp;", "&amp;F$113&amp;", Price group "&amp;$B129&amp;", "&amp;$C129&amp;" length, Level "&amp;$D129&amp;"; ","")</f>
        <v/>
      </c>
      <c r="G129" s="211" t="str">
        <f>IF(AND($F$7=1,'1_Full_time'!I27&lt;0),G$112&amp;", "&amp;G$113&amp;", Price group "&amp;$B129&amp;", "&amp;$C129&amp;" length, Level "&amp;$D129&amp;"; ","")</f>
        <v/>
      </c>
      <c r="H129" s="1609" t="str">
        <f>IF(AND($F$7=1,'1_Full_time'!J27&lt;0),H$112&amp;", "&amp;H$113&amp;", Price group "&amp;$B129&amp;", "&amp;$C129&amp;" length, Level "&amp;$D129&amp;"; ","")</f>
        <v/>
      </c>
      <c r="I129" s="7" t="str">
        <f>IF(AND($F$7=1,'1_Full_time'!K27&lt;0),I$112&amp;", "&amp;I$113&amp;", Price group "&amp;$B129&amp;", "&amp;$C129&amp;" length, Level "&amp;$D129&amp;"; ","")</f>
        <v/>
      </c>
      <c r="J129" s="211" t="str">
        <f>IF(AND($F$7=1,'1_Full_time'!L27&lt;0),J$112&amp;", "&amp;J$113&amp;", Price group "&amp;$B129&amp;", "&amp;$C129&amp;" length, Level "&amp;$D129&amp;"; ","")</f>
        <v/>
      </c>
      <c r="L129" s="118"/>
      <c r="S129" s="7"/>
      <c r="T129" s="7"/>
      <c r="W129" s="195"/>
      <c r="X129" s="195"/>
    </row>
    <row r="130" spans="2:24" x14ac:dyDescent="0.35">
      <c r="B130" s="20" t="s">
        <v>225</v>
      </c>
      <c r="C130" s="7" t="s">
        <v>204</v>
      </c>
      <c r="D130" s="13" t="s">
        <v>214</v>
      </c>
      <c r="E130" s="1609" t="str">
        <f>IF(AND($F$7=1,'1_Full_time'!G28&lt;0),E$112&amp;", "&amp;E$113&amp;", Price group "&amp;$B130&amp;", "&amp;$C130&amp;" length, Level "&amp;$D130&amp;"; ","")</f>
        <v/>
      </c>
      <c r="F130" s="7" t="str">
        <f>IF(AND($F$7=1,'1_Full_time'!H28&lt;0),F$112&amp;", "&amp;F$113&amp;", Price group "&amp;$B130&amp;", "&amp;$C130&amp;" length, Level "&amp;$D130&amp;"; ","")</f>
        <v/>
      </c>
      <c r="G130" s="211" t="str">
        <f>IF(AND($F$7=1,'1_Full_time'!I28&lt;0),G$112&amp;", "&amp;G$113&amp;", Price group "&amp;$B130&amp;", "&amp;$C130&amp;" length, Level "&amp;$D130&amp;"; ","")</f>
        <v/>
      </c>
      <c r="H130" s="1609" t="str">
        <f>IF(AND($F$7=1,'1_Full_time'!J28&lt;0),H$112&amp;", "&amp;H$113&amp;", Price group "&amp;$B130&amp;", "&amp;$C130&amp;" length, Level "&amp;$D130&amp;"; ","")</f>
        <v/>
      </c>
      <c r="I130" s="7" t="str">
        <f>IF(AND($F$7=1,'1_Full_time'!K28&lt;0),I$112&amp;", "&amp;I$113&amp;", Price group "&amp;$B130&amp;", "&amp;$C130&amp;" length, Level "&amp;$D130&amp;"; ","")</f>
        <v/>
      </c>
      <c r="J130" s="211" t="str">
        <f>IF(AND($F$7=1,'1_Full_time'!L28&lt;0),J$112&amp;", "&amp;J$113&amp;", Price group "&amp;$B130&amp;", "&amp;$C130&amp;" length, Level "&amp;$D130&amp;"; ","")</f>
        <v/>
      </c>
      <c r="L130" s="118"/>
      <c r="S130" s="7"/>
      <c r="T130" s="7"/>
      <c r="W130" s="195"/>
      <c r="X130" s="195"/>
    </row>
    <row r="131" spans="2:24" x14ac:dyDescent="0.35">
      <c r="B131" s="20" t="s">
        <v>225</v>
      </c>
      <c r="C131" s="7" t="s">
        <v>204</v>
      </c>
      <c r="D131" s="13" t="s">
        <v>216</v>
      </c>
      <c r="E131" s="1428"/>
      <c r="F131" s="1429" t="str">
        <f>IF(AND($F$7=1,'1_Full_time'!H29&lt;0),F$112&amp;", "&amp;F$113&amp;", Price group "&amp;$B131&amp;", "&amp;$C131&amp;" length, Level "&amp;$D131&amp;"; ","")</f>
        <v/>
      </c>
      <c r="G131" s="1430" t="str">
        <f>IF(AND($F$7=1,'1_Full_time'!I29&lt;0),G$112&amp;", "&amp;G$113&amp;", Price group "&amp;$B131&amp;", "&amp;$C131&amp;" length, Level "&amp;$D131&amp;"; ","")</f>
        <v/>
      </c>
      <c r="H131" s="1428"/>
      <c r="I131" s="1429" t="str">
        <f>IF(AND($F$7=1,'1_Full_time'!K29&lt;0),I$112&amp;", "&amp;I$113&amp;", Price group "&amp;$B131&amp;", "&amp;$C131&amp;" length, Level "&amp;$D131&amp;"; ","")</f>
        <v/>
      </c>
      <c r="J131" s="1430" t="str">
        <f>IF(AND($F$7=1,'1_Full_time'!L29&lt;0),J$112&amp;", "&amp;J$113&amp;", Price group "&amp;$B131&amp;", "&amp;$C131&amp;" length, Level "&amp;$D131&amp;"; ","")</f>
        <v/>
      </c>
      <c r="L131" s="118"/>
      <c r="S131" s="7"/>
      <c r="T131" s="7"/>
      <c r="W131" s="195"/>
      <c r="X131" s="195"/>
    </row>
    <row r="132" spans="2:24" x14ac:dyDescent="0.35">
      <c r="B132" s="20" t="s">
        <v>225</v>
      </c>
      <c r="C132" s="7" t="s">
        <v>218</v>
      </c>
      <c r="D132" s="13" t="s">
        <v>205</v>
      </c>
      <c r="E132" s="1609" t="str">
        <f>IF(AND($F$7=1,'1_Full_time'!G30&lt;0),E$112&amp;", "&amp;E$113&amp;", Price group "&amp;$B132&amp;", "&amp;$C132&amp;" length, Level "&amp;$D132&amp;"; ","")</f>
        <v/>
      </c>
      <c r="F132" s="7" t="str">
        <f>IF(AND($F$7=1,'1_Full_time'!H30&lt;0),F$112&amp;", "&amp;F$113&amp;", Price group "&amp;$B132&amp;", "&amp;$C132&amp;" length, Level "&amp;$D132&amp;"; ","")</f>
        <v/>
      </c>
      <c r="G132" s="211" t="str">
        <f>IF(AND($F$7=1,'1_Full_time'!I30&lt;0),G$112&amp;", "&amp;G$113&amp;", Price group "&amp;$B132&amp;", "&amp;$C132&amp;" length, Level "&amp;$D132&amp;"; ","")</f>
        <v/>
      </c>
      <c r="H132" s="1609" t="str">
        <f>IF(AND($F$7=1,'1_Full_time'!J30&lt;0),H$112&amp;", "&amp;H$113&amp;", Price group "&amp;$B132&amp;", "&amp;$C132&amp;" length, Level "&amp;$D132&amp;"; ","")</f>
        <v/>
      </c>
      <c r="I132" s="7" t="str">
        <f>IF(AND($F$7=1,'1_Full_time'!K30&lt;0),I$112&amp;", "&amp;I$113&amp;", Price group "&amp;$B132&amp;", "&amp;$C132&amp;" length, Level "&amp;$D132&amp;"; ","")</f>
        <v/>
      </c>
      <c r="J132" s="211" t="str">
        <f>IF(AND($F$7=1,'1_Full_time'!L30&lt;0),J$112&amp;", "&amp;J$113&amp;", Price group "&amp;$B132&amp;", "&amp;$C132&amp;" length, Level "&amp;$D132&amp;"; ","")</f>
        <v/>
      </c>
      <c r="L132" s="118"/>
      <c r="S132" s="7"/>
      <c r="T132" s="7"/>
      <c r="W132" s="195"/>
      <c r="X132" s="195"/>
    </row>
    <row r="133" spans="2:24" x14ac:dyDescent="0.35">
      <c r="B133" s="20" t="s">
        <v>225</v>
      </c>
      <c r="C133" s="7" t="s">
        <v>218</v>
      </c>
      <c r="D133" s="13" t="s">
        <v>208</v>
      </c>
      <c r="E133" s="1609" t="str">
        <f>IF(AND($F$7=1,'1_Full_time'!G31&lt;0),E$112&amp;", "&amp;E$113&amp;", Price group "&amp;$B133&amp;", "&amp;$C133&amp;" length, Level "&amp;$D133&amp;"; ","")</f>
        <v/>
      </c>
      <c r="F133" s="7" t="str">
        <f>IF(AND($F$7=1,'1_Full_time'!H31&lt;0),F$112&amp;", "&amp;F$113&amp;", Price group "&amp;$B133&amp;", "&amp;$C133&amp;" length, Level "&amp;$D133&amp;"; ","")</f>
        <v/>
      </c>
      <c r="G133" s="211" t="str">
        <f>IF(AND($F$7=1,'1_Full_time'!I31&lt;0),G$112&amp;", "&amp;G$113&amp;", Price group "&amp;$B133&amp;", "&amp;$C133&amp;" length, Level "&amp;$D133&amp;"; ","")</f>
        <v/>
      </c>
      <c r="H133" s="1609" t="str">
        <f>IF(AND($F$7=1,'1_Full_time'!J31&lt;0),H$112&amp;", "&amp;H$113&amp;", Price group "&amp;$B133&amp;", "&amp;$C133&amp;" length, Level "&amp;$D133&amp;"; ","")</f>
        <v/>
      </c>
      <c r="I133" s="7" t="str">
        <f>IF(AND($F$7=1,'1_Full_time'!K31&lt;0),I$112&amp;", "&amp;I$113&amp;", Price group "&amp;$B133&amp;", "&amp;$C133&amp;" length, Level "&amp;$D133&amp;"; ","")</f>
        <v/>
      </c>
      <c r="J133" s="211" t="str">
        <f>IF(AND($F$7=1,'1_Full_time'!L31&lt;0),J$112&amp;", "&amp;J$113&amp;", Price group "&amp;$B133&amp;", "&amp;$C133&amp;" length, Level "&amp;$D133&amp;"; ","")</f>
        <v/>
      </c>
      <c r="L133" s="118"/>
      <c r="S133" s="7"/>
      <c r="T133" s="7"/>
      <c r="W133" s="7"/>
      <c r="X133" s="7"/>
    </row>
    <row r="134" spans="2:24" x14ac:dyDescent="0.35">
      <c r="B134" s="20" t="s">
        <v>225</v>
      </c>
      <c r="C134" s="7" t="s">
        <v>218</v>
      </c>
      <c r="D134" s="13" t="s">
        <v>210</v>
      </c>
      <c r="E134" s="1609" t="str">
        <f>IF(AND($F$7=1,'1_Full_time'!G32&lt;0),E$112&amp;", "&amp;E$113&amp;", Price group "&amp;$B134&amp;", "&amp;$C134&amp;" length, Level "&amp;$D134&amp;"; ","")</f>
        <v/>
      </c>
      <c r="F134" s="7" t="str">
        <f>IF(AND($F$7=1,'1_Full_time'!H32&lt;0),F$112&amp;", "&amp;F$113&amp;", Price group "&amp;$B134&amp;", "&amp;$C134&amp;" length, Level "&amp;$D134&amp;"; ","")</f>
        <v/>
      </c>
      <c r="G134" s="211" t="str">
        <f>IF(AND($F$7=1,'1_Full_time'!I32&lt;0),G$112&amp;", "&amp;G$113&amp;", Price group "&amp;$B134&amp;", "&amp;$C134&amp;" length, Level "&amp;$D134&amp;"; ","")</f>
        <v/>
      </c>
      <c r="H134" s="1609" t="str">
        <f>IF(AND($F$7=1,'1_Full_time'!J32&lt;0),H$112&amp;", "&amp;H$113&amp;", Price group "&amp;$B134&amp;", "&amp;$C134&amp;" length, Level "&amp;$D134&amp;"; ","")</f>
        <v/>
      </c>
      <c r="I134" s="7" t="str">
        <f>IF(AND($F$7=1,'1_Full_time'!K32&lt;0),I$112&amp;", "&amp;I$113&amp;", Price group "&amp;$B134&amp;", "&amp;$C134&amp;" length, Level "&amp;$D134&amp;"; ","")</f>
        <v/>
      </c>
      <c r="J134" s="211" t="str">
        <f>IF(AND($F$7=1,'1_Full_time'!L32&lt;0),J$112&amp;", "&amp;J$113&amp;", Price group "&amp;$B134&amp;", "&amp;$C134&amp;" length, Level "&amp;$D134&amp;"; ","")</f>
        <v/>
      </c>
      <c r="L134" s="118"/>
      <c r="S134" s="7"/>
      <c r="T134" s="7"/>
      <c r="W134" s="7"/>
      <c r="X134" s="7"/>
    </row>
    <row r="135" spans="2:24" x14ac:dyDescent="0.35">
      <c r="B135" s="20" t="s">
        <v>225</v>
      </c>
      <c r="C135" s="7" t="s">
        <v>218</v>
      </c>
      <c r="D135" s="13" t="s">
        <v>212</v>
      </c>
      <c r="E135" s="1609" t="str">
        <f>IF(AND($F$7=1,'1_Full_time'!G33&lt;0),E$112&amp;", "&amp;E$113&amp;", Price group "&amp;$B135&amp;", "&amp;$C135&amp;" length, Level "&amp;$D135&amp;"; ","")</f>
        <v/>
      </c>
      <c r="F135" s="7" t="str">
        <f>IF(AND($F$7=1,'1_Full_time'!H33&lt;0),F$112&amp;", "&amp;F$113&amp;", Price group "&amp;$B135&amp;", "&amp;$C135&amp;" length, Level "&amp;$D135&amp;"; ","")</f>
        <v/>
      </c>
      <c r="G135" s="211" t="str">
        <f>IF(AND($F$7=1,'1_Full_time'!I33&lt;0),G$112&amp;", "&amp;G$113&amp;", Price group "&amp;$B135&amp;", "&amp;$C135&amp;" length, Level "&amp;$D135&amp;"; ","")</f>
        <v/>
      </c>
      <c r="H135" s="1609" t="str">
        <f>IF(AND($F$7=1,'1_Full_time'!J33&lt;0),H$112&amp;", "&amp;H$113&amp;", Price group "&amp;$B135&amp;", "&amp;$C135&amp;" length, Level "&amp;$D135&amp;"; ","")</f>
        <v/>
      </c>
      <c r="I135" s="7" t="str">
        <f>IF(AND($F$7=1,'1_Full_time'!K33&lt;0),I$112&amp;", "&amp;I$113&amp;", Price group "&amp;$B135&amp;", "&amp;$C135&amp;" length, Level "&amp;$D135&amp;"; ","")</f>
        <v/>
      </c>
      <c r="J135" s="211" t="str">
        <f>IF(AND($F$7=1,'1_Full_time'!L33&lt;0),J$112&amp;", "&amp;J$113&amp;", Price group "&amp;$B135&amp;", "&amp;$C135&amp;" length, Level "&amp;$D135&amp;"; ","")</f>
        <v/>
      </c>
      <c r="L135" s="118"/>
      <c r="S135" s="7"/>
      <c r="T135" s="7"/>
      <c r="W135" s="195"/>
      <c r="X135" s="195"/>
    </row>
    <row r="136" spans="2:24" x14ac:dyDescent="0.35">
      <c r="B136" s="20" t="s">
        <v>225</v>
      </c>
      <c r="C136" s="7" t="s">
        <v>218</v>
      </c>
      <c r="D136" s="13" t="s">
        <v>214</v>
      </c>
      <c r="E136" s="1609" t="str">
        <f>IF(AND($F$7=1,'1_Full_time'!G34&lt;0),E$112&amp;", "&amp;E$113&amp;", Price group "&amp;$B136&amp;", "&amp;$C136&amp;" length, Level "&amp;$D136&amp;"; ","")</f>
        <v/>
      </c>
      <c r="F136" s="7" t="str">
        <f>IF(AND($F$7=1,'1_Full_time'!H34&lt;0),F$112&amp;", "&amp;F$113&amp;", Price group "&amp;$B136&amp;", "&amp;$C136&amp;" length, Level "&amp;$D136&amp;"; ","")</f>
        <v/>
      </c>
      <c r="G136" s="211" t="str">
        <f>IF(AND($F$7=1,'1_Full_time'!I34&lt;0),G$112&amp;", "&amp;G$113&amp;", Price group "&amp;$B136&amp;", "&amp;$C136&amp;" length, Level "&amp;$D136&amp;"; ","")</f>
        <v/>
      </c>
      <c r="H136" s="1609" t="str">
        <f>IF(AND($F$7=1,'1_Full_time'!J34&lt;0),H$112&amp;", "&amp;H$113&amp;", Price group "&amp;$B136&amp;", "&amp;$C136&amp;" length, Level "&amp;$D136&amp;"; ","")</f>
        <v/>
      </c>
      <c r="I136" s="7" t="str">
        <f>IF(AND($F$7=1,'1_Full_time'!K34&lt;0),I$112&amp;", "&amp;I$113&amp;", Price group "&amp;$B136&amp;", "&amp;$C136&amp;" length, Level "&amp;$D136&amp;"; ","")</f>
        <v/>
      </c>
      <c r="J136" s="211" t="str">
        <f>IF(AND($F$7=1,'1_Full_time'!L34&lt;0),J$112&amp;", "&amp;J$113&amp;", Price group "&amp;$B136&amp;", "&amp;$C136&amp;" length, Level "&amp;$D136&amp;"; ","")</f>
        <v/>
      </c>
      <c r="L136" s="118"/>
      <c r="S136" s="7"/>
      <c r="T136" s="7"/>
      <c r="W136" s="195"/>
      <c r="X136" s="195"/>
    </row>
    <row r="137" spans="2:24" x14ac:dyDescent="0.35">
      <c r="B137" s="20" t="s">
        <v>225</v>
      </c>
      <c r="C137" s="7" t="s">
        <v>218</v>
      </c>
      <c r="D137" s="13" t="s">
        <v>216</v>
      </c>
      <c r="E137" s="1617"/>
      <c r="F137" s="7" t="str">
        <f>IF(AND($F$7=1,'1_Full_time'!H35&lt;0),F$112&amp;", "&amp;F$113&amp;", Price group "&amp;$B137&amp;", "&amp;$C137&amp;" length, Level "&amp;$D137&amp;"; ","")</f>
        <v/>
      </c>
      <c r="G137" s="211" t="str">
        <f>IF(AND($F$7=1,'1_Full_time'!I35&lt;0),G$112&amp;", "&amp;G$113&amp;", Price group "&amp;$B137&amp;", "&amp;$C137&amp;" length, Level "&amp;$D137&amp;"; ","")</f>
        <v/>
      </c>
      <c r="H137" s="1617"/>
      <c r="I137" s="7" t="str">
        <f>IF(AND($F$7=1,'1_Full_time'!K35&lt;0),I$112&amp;", "&amp;I$113&amp;", Price group "&amp;$B137&amp;", "&amp;$C137&amp;" length, Level "&amp;$D137&amp;"; ","")</f>
        <v/>
      </c>
      <c r="J137" s="211" t="str">
        <f>IF(AND($F$7=1,'1_Full_time'!L35&lt;0),J$112&amp;", "&amp;J$113&amp;", Price group "&amp;$B137&amp;", "&amp;$C137&amp;" length, Level "&amp;$D137&amp;"; ","")</f>
        <v/>
      </c>
      <c r="L137" s="118"/>
      <c r="S137" s="7"/>
      <c r="T137" s="7"/>
      <c r="W137" s="195"/>
      <c r="X137" s="195"/>
    </row>
    <row r="138" spans="2:24" x14ac:dyDescent="0.35">
      <c r="B138" s="20" t="s">
        <v>238</v>
      </c>
      <c r="C138" s="7" t="s">
        <v>204</v>
      </c>
      <c r="D138" s="13" t="s">
        <v>205</v>
      </c>
      <c r="E138" s="1720" t="str">
        <f>IF(AND($F$7=1,'1_Full_time'!G36&lt;0),E$112&amp;", "&amp;E$113&amp;", Price group "&amp;$B138&amp;", "&amp;$C138&amp;" length, Level "&amp;$D138&amp;"; ","")</f>
        <v/>
      </c>
      <c r="F138" s="1412" t="str">
        <f>IF(AND($F$7=1,'1_Full_time'!H36&lt;0),F$112&amp;", "&amp;F$113&amp;", Price group "&amp;$B138&amp;", "&amp;$C138&amp;" length, Level "&amp;$D138&amp;"; ","")</f>
        <v/>
      </c>
      <c r="G138" s="1789" t="str">
        <f>IF(AND($F$7=1,'1_Full_time'!I36&lt;0),G$112&amp;", "&amp;G$113&amp;", Price group "&amp;$B138&amp;", "&amp;$C138&amp;" length, Level "&amp;$D138&amp;"; ","")</f>
        <v/>
      </c>
      <c r="H138" s="1720" t="str">
        <f>IF(AND($F$7=1,'1_Full_time'!J36&lt;0),H$112&amp;", "&amp;H$113&amp;", Price group "&amp;$B138&amp;", "&amp;$C138&amp;" length, Level "&amp;$D138&amp;"; ","")</f>
        <v/>
      </c>
      <c r="I138" s="1412" t="str">
        <f>IF(AND($F$7=1,'1_Full_time'!K36&lt;0),I$112&amp;", "&amp;I$113&amp;", Price group "&amp;$B138&amp;", "&amp;$C138&amp;" length, Level "&amp;$D138&amp;"; ","")</f>
        <v/>
      </c>
      <c r="J138" s="1789" t="str">
        <f>IF(AND($F$7=1,'1_Full_time'!L36&lt;0),J$112&amp;", "&amp;J$113&amp;", Price group "&amp;$B138&amp;", "&amp;$C138&amp;" length, Level "&amp;$D138&amp;"; ","")</f>
        <v/>
      </c>
      <c r="L138" s="118"/>
      <c r="S138" s="7"/>
      <c r="T138" s="7"/>
      <c r="W138" s="195"/>
      <c r="X138" s="195"/>
    </row>
    <row r="139" spans="2:24" x14ac:dyDescent="0.35">
      <c r="B139" s="20" t="s">
        <v>238</v>
      </c>
      <c r="C139" s="7" t="s">
        <v>204</v>
      </c>
      <c r="D139" s="13" t="s">
        <v>208</v>
      </c>
      <c r="E139" s="1609" t="str">
        <f>IF(AND($F$7=1,'1_Full_time'!G37&lt;0),E$112&amp;", "&amp;E$113&amp;", Price group "&amp;$B139&amp;", "&amp;$C139&amp;" length, Level "&amp;$D139&amp;"; ","")</f>
        <v/>
      </c>
      <c r="F139" s="7" t="str">
        <f>IF(AND($F$7=1,'1_Full_time'!H37&lt;0),F$112&amp;", "&amp;F$113&amp;", Price group "&amp;$B139&amp;", "&amp;$C139&amp;" length, Level "&amp;$D139&amp;"; ","")</f>
        <v/>
      </c>
      <c r="G139" s="211" t="str">
        <f>IF(AND($F$7=1,'1_Full_time'!I37&lt;0),G$112&amp;", "&amp;G$113&amp;", Price group "&amp;$B139&amp;", "&amp;$C139&amp;" length, Level "&amp;$D139&amp;"; ","")</f>
        <v/>
      </c>
      <c r="H139" s="1609" t="str">
        <f>IF(AND($F$7=1,'1_Full_time'!J37&lt;0),H$112&amp;", "&amp;H$113&amp;", Price group "&amp;$B139&amp;", "&amp;$C139&amp;" length, Level "&amp;$D139&amp;"; ","")</f>
        <v/>
      </c>
      <c r="I139" s="7" t="str">
        <f>IF(AND($F$7=1,'1_Full_time'!K37&lt;0),I$112&amp;", "&amp;I$113&amp;", Price group "&amp;$B139&amp;", "&amp;$C139&amp;" length, Level "&amp;$D139&amp;"; ","")</f>
        <v/>
      </c>
      <c r="J139" s="211" t="str">
        <f>IF(AND($F$7=1,'1_Full_time'!L37&lt;0),J$112&amp;", "&amp;J$113&amp;", Price group "&amp;$B139&amp;", "&amp;$C139&amp;" length, Level "&amp;$D139&amp;"; ","")</f>
        <v/>
      </c>
      <c r="L139" s="118"/>
      <c r="S139" s="7"/>
      <c r="T139" s="7"/>
      <c r="W139" s="195"/>
      <c r="X139" s="195"/>
    </row>
    <row r="140" spans="2:24" x14ac:dyDescent="0.35">
      <c r="B140" s="20" t="s">
        <v>238</v>
      </c>
      <c r="C140" s="7" t="s">
        <v>204</v>
      </c>
      <c r="D140" s="13" t="s">
        <v>210</v>
      </c>
      <c r="E140" s="1609" t="str">
        <f>IF(AND($F$7=1,'1_Full_time'!G38&lt;0),E$112&amp;", "&amp;E$113&amp;", Price group "&amp;$B140&amp;", "&amp;$C140&amp;" length, Level "&amp;$D140&amp;"; ","")</f>
        <v/>
      </c>
      <c r="F140" s="7" t="str">
        <f>IF(AND($F$7=1,'1_Full_time'!H38&lt;0),F$112&amp;", "&amp;F$113&amp;", Price group "&amp;$B140&amp;", "&amp;$C140&amp;" length, Level "&amp;$D140&amp;"; ","")</f>
        <v/>
      </c>
      <c r="G140" s="211" t="str">
        <f>IF(AND($F$7=1,'1_Full_time'!I38&lt;0),G$112&amp;", "&amp;G$113&amp;", Price group "&amp;$B140&amp;", "&amp;$C140&amp;" length, Level "&amp;$D140&amp;"; ","")</f>
        <v/>
      </c>
      <c r="H140" s="1609" t="str">
        <f>IF(AND($F$7=1,'1_Full_time'!J38&lt;0),H$112&amp;", "&amp;H$113&amp;", Price group "&amp;$B140&amp;", "&amp;$C140&amp;" length, Level "&amp;$D140&amp;"; ","")</f>
        <v/>
      </c>
      <c r="I140" s="7" t="str">
        <f>IF(AND($F$7=1,'1_Full_time'!K38&lt;0),I$112&amp;", "&amp;I$113&amp;", Price group "&amp;$B140&amp;", "&amp;$C140&amp;" length, Level "&amp;$D140&amp;"; ","")</f>
        <v/>
      </c>
      <c r="J140" s="211" t="str">
        <f>IF(AND($F$7=1,'1_Full_time'!L38&lt;0),J$112&amp;", "&amp;J$113&amp;", Price group "&amp;$B140&amp;", "&amp;$C140&amp;" length, Level "&amp;$D140&amp;"; ","")</f>
        <v/>
      </c>
      <c r="L140" s="118"/>
      <c r="S140" s="7"/>
      <c r="T140" s="7"/>
      <c r="W140" s="195"/>
      <c r="X140" s="195"/>
    </row>
    <row r="141" spans="2:24" x14ac:dyDescent="0.35">
      <c r="B141" s="20" t="s">
        <v>238</v>
      </c>
      <c r="C141" s="7" t="s">
        <v>204</v>
      </c>
      <c r="D141" s="13" t="s">
        <v>212</v>
      </c>
      <c r="E141" s="1609" t="str">
        <f>IF(AND($F$7=1,'1_Full_time'!G39&lt;0),E$112&amp;", "&amp;E$113&amp;", Price group "&amp;$B141&amp;", "&amp;$C141&amp;" length, Level "&amp;$D141&amp;"; ","")</f>
        <v/>
      </c>
      <c r="F141" s="7" t="str">
        <f>IF(AND($F$7=1,'1_Full_time'!H39&lt;0),F$112&amp;", "&amp;F$113&amp;", Price group "&amp;$B141&amp;", "&amp;$C141&amp;" length, Level "&amp;$D141&amp;"; ","")</f>
        <v/>
      </c>
      <c r="G141" s="211" t="str">
        <f>IF(AND($F$7=1,'1_Full_time'!I39&lt;0),G$112&amp;", "&amp;G$113&amp;", Price group "&amp;$B141&amp;", "&amp;$C141&amp;" length, Level "&amp;$D141&amp;"; ","")</f>
        <v/>
      </c>
      <c r="H141" s="1609" t="str">
        <f>IF(AND($F$7=1,'1_Full_time'!J39&lt;0),H$112&amp;", "&amp;H$113&amp;", Price group "&amp;$B141&amp;", "&amp;$C141&amp;" length, Level "&amp;$D141&amp;"; ","")</f>
        <v/>
      </c>
      <c r="I141" s="7" t="str">
        <f>IF(AND($F$7=1,'1_Full_time'!K39&lt;0),I$112&amp;", "&amp;I$113&amp;", Price group "&amp;$B141&amp;", "&amp;$C141&amp;" length, Level "&amp;$D141&amp;"; ","")</f>
        <v/>
      </c>
      <c r="J141" s="211" t="str">
        <f>IF(AND($F$7=1,'1_Full_time'!L39&lt;0),J$112&amp;", "&amp;J$113&amp;", Price group "&amp;$B141&amp;", "&amp;$C141&amp;" length, Level "&amp;$D141&amp;"; ","")</f>
        <v/>
      </c>
      <c r="L141" s="118"/>
      <c r="S141" s="7"/>
      <c r="T141" s="7"/>
      <c r="W141" s="195"/>
      <c r="X141" s="195"/>
    </row>
    <row r="142" spans="2:24" x14ac:dyDescent="0.35">
      <c r="B142" s="20" t="s">
        <v>238</v>
      </c>
      <c r="C142" s="7" t="s">
        <v>204</v>
      </c>
      <c r="D142" s="13" t="s">
        <v>214</v>
      </c>
      <c r="E142" s="1609" t="str">
        <f>IF(AND($F$7=1,'1_Full_time'!G40&lt;0),E$112&amp;", "&amp;E$113&amp;", Price group "&amp;$B142&amp;", "&amp;$C142&amp;" length, Level "&amp;$D142&amp;"; ","")</f>
        <v/>
      </c>
      <c r="F142" s="7" t="str">
        <f>IF(AND($F$7=1,'1_Full_time'!H40&lt;0),F$112&amp;", "&amp;F$113&amp;", Price group "&amp;$B142&amp;", "&amp;$C142&amp;" length, Level "&amp;$D142&amp;"; ","")</f>
        <v/>
      </c>
      <c r="G142" s="211" t="str">
        <f>IF(AND($F$7=1,'1_Full_time'!I40&lt;0),G$112&amp;", "&amp;G$113&amp;", Price group "&amp;$B142&amp;", "&amp;$C142&amp;" length, Level "&amp;$D142&amp;"; ","")</f>
        <v/>
      </c>
      <c r="H142" s="1609" t="str">
        <f>IF(AND($F$7=1,'1_Full_time'!J40&lt;0),H$112&amp;", "&amp;H$113&amp;", Price group "&amp;$B142&amp;", "&amp;$C142&amp;" length, Level "&amp;$D142&amp;"; ","")</f>
        <v/>
      </c>
      <c r="I142" s="7" t="str">
        <f>IF(AND($F$7=1,'1_Full_time'!K40&lt;0),I$112&amp;", "&amp;I$113&amp;", Price group "&amp;$B142&amp;", "&amp;$C142&amp;" length, Level "&amp;$D142&amp;"; ","")</f>
        <v/>
      </c>
      <c r="J142" s="211" t="str">
        <f>IF(AND($F$7=1,'1_Full_time'!L40&lt;0),J$112&amp;", "&amp;J$113&amp;", Price group "&amp;$B142&amp;", "&amp;$C142&amp;" length, Level "&amp;$D142&amp;"; ","")</f>
        <v/>
      </c>
      <c r="L142" s="118"/>
      <c r="S142" s="7"/>
      <c r="T142" s="7"/>
      <c r="W142" s="195"/>
      <c r="X142" s="195"/>
    </row>
    <row r="143" spans="2:24" x14ac:dyDescent="0.35">
      <c r="B143" s="20" t="s">
        <v>238</v>
      </c>
      <c r="C143" s="7" t="s">
        <v>204</v>
      </c>
      <c r="D143" s="13" t="s">
        <v>216</v>
      </c>
      <c r="E143" s="1428"/>
      <c r="F143" s="1429" t="str">
        <f>IF(AND($F$7=1,'1_Full_time'!H41&lt;0),F$112&amp;", "&amp;F$113&amp;", Price group "&amp;$B143&amp;", "&amp;$C143&amp;" length, Level "&amp;$D143&amp;"; ","")</f>
        <v/>
      </c>
      <c r="G143" s="1430" t="str">
        <f>IF(AND($F$7=1,'1_Full_time'!I41&lt;0),G$112&amp;", "&amp;G$113&amp;", Price group "&amp;$B143&amp;", "&amp;$C143&amp;" length, Level "&amp;$D143&amp;"; ","")</f>
        <v/>
      </c>
      <c r="H143" s="1428"/>
      <c r="I143" s="1429" t="str">
        <f>IF(AND($F$7=1,'1_Full_time'!K41&lt;0),I$112&amp;", "&amp;I$113&amp;", Price group "&amp;$B143&amp;", "&amp;$C143&amp;" length, Level "&amp;$D143&amp;"; ","")</f>
        <v/>
      </c>
      <c r="J143" s="1430" t="str">
        <f>IF(AND($F$7=1,'1_Full_time'!L41&lt;0),J$112&amp;", "&amp;J$113&amp;", Price group "&amp;$B143&amp;", "&amp;$C143&amp;" length, Level "&amp;$D143&amp;"; ","")</f>
        <v/>
      </c>
      <c r="L143" s="118"/>
      <c r="S143" s="7"/>
      <c r="T143" s="7"/>
      <c r="W143" s="195"/>
      <c r="X143" s="195"/>
    </row>
    <row r="144" spans="2:24" x14ac:dyDescent="0.35">
      <c r="B144" s="20" t="s">
        <v>238</v>
      </c>
      <c r="C144" s="7" t="s">
        <v>218</v>
      </c>
      <c r="D144" s="13" t="s">
        <v>205</v>
      </c>
      <c r="E144" s="1609" t="str">
        <f>IF(AND($F$7=1,'1_Full_time'!G42&lt;0),E$112&amp;", "&amp;E$113&amp;", Price group "&amp;$B144&amp;", "&amp;$C144&amp;" length, Level "&amp;$D144&amp;"; ","")</f>
        <v/>
      </c>
      <c r="F144" s="7" t="str">
        <f>IF(AND($F$7=1,'1_Full_time'!H42&lt;0),F$112&amp;", "&amp;F$113&amp;", Price group "&amp;$B144&amp;", "&amp;$C144&amp;" length, Level "&amp;$D144&amp;"; ","")</f>
        <v/>
      </c>
      <c r="G144" s="211" t="str">
        <f>IF(AND($F$7=1,'1_Full_time'!I42&lt;0),G$112&amp;", "&amp;G$113&amp;", Price group "&amp;$B144&amp;", "&amp;$C144&amp;" length, Level "&amp;$D144&amp;"; ","")</f>
        <v/>
      </c>
      <c r="H144" s="1609" t="str">
        <f>IF(AND($F$7=1,'1_Full_time'!J42&lt;0),H$112&amp;", "&amp;H$113&amp;", Price group "&amp;$B144&amp;", "&amp;$C144&amp;" length, Level "&amp;$D144&amp;"; ","")</f>
        <v/>
      </c>
      <c r="I144" s="7" t="str">
        <f>IF(AND($F$7=1,'1_Full_time'!K42&lt;0),I$112&amp;", "&amp;I$113&amp;", Price group "&amp;$B144&amp;", "&amp;$C144&amp;" length, Level "&amp;$D144&amp;"; ","")</f>
        <v/>
      </c>
      <c r="J144" s="211" t="str">
        <f>IF(AND($F$7=1,'1_Full_time'!L42&lt;0),J$112&amp;", "&amp;J$113&amp;", Price group "&amp;$B144&amp;", "&amp;$C144&amp;" length, Level "&amp;$D144&amp;"; ","")</f>
        <v/>
      </c>
      <c r="L144" s="118"/>
      <c r="S144" s="7"/>
      <c r="T144" s="7"/>
      <c r="W144" s="195"/>
      <c r="X144" s="195"/>
    </row>
    <row r="145" spans="2:24" x14ac:dyDescent="0.35">
      <c r="B145" s="20" t="s">
        <v>238</v>
      </c>
      <c r="C145" s="7" t="s">
        <v>218</v>
      </c>
      <c r="D145" s="13" t="s">
        <v>208</v>
      </c>
      <c r="E145" s="1609" t="str">
        <f>IF(AND($F$7=1,'1_Full_time'!G43&lt;0),E$112&amp;", "&amp;E$113&amp;", Price group "&amp;$B145&amp;", "&amp;$C145&amp;" length, Level "&amp;$D145&amp;"; ","")</f>
        <v/>
      </c>
      <c r="F145" s="7" t="str">
        <f>IF(AND($F$7=1,'1_Full_time'!H43&lt;0),F$112&amp;", "&amp;F$113&amp;", Price group "&amp;$B145&amp;", "&amp;$C145&amp;" length, Level "&amp;$D145&amp;"; ","")</f>
        <v/>
      </c>
      <c r="G145" s="211" t="str">
        <f>IF(AND($F$7=1,'1_Full_time'!I43&lt;0),G$112&amp;", "&amp;G$113&amp;", Price group "&amp;$B145&amp;", "&amp;$C145&amp;" length, Level "&amp;$D145&amp;"; ","")</f>
        <v/>
      </c>
      <c r="H145" s="1609" t="str">
        <f>IF(AND($F$7=1,'1_Full_time'!J43&lt;0),H$112&amp;", "&amp;H$113&amp;", Price group "&amp;$B145&amp;", "&amp;$C145&amp;" length, Level "&amp;$D145&amp;"; ","")</f>
        <v/>
      </c>
      <c r="I145" s="7" t="str">
        <f>IF(AND($F$7=1,'1_Full_time'!K43&lt;0),I$112&amp;", "&amp;I$113&amp;", Price group "&amp;$B145&amp;", "&amp;$C145&amp;" length, Level "&amp;$D145&amp;"; ","")</f>
        <v/>
      </c>
      <c r="J145" s="211" t="str">
        <f>IF(AND($F$7=1,'1_Full_time'!L43&lt;0),J$112&amp;", "&amp;J$113&amp;", Price group "&amp;$B145&amp;", "&amp;$C145&amp;" length, Level "&amp;$D145&amp;"; ","")</f>
        <v/>
      </c>
      <c r="L145" s="118"/>
      <c r="S145" s="7"/>
      <c r="T145" s="7"/>
      <c r="W145" s="7"/>
      <c r="X145" s="7"/>
    </row>
    <row r="146" spans="2:24" x14ac:dyDescent="0.35">
      <c r="B146" s="20" t="s">
        <v>238</v>
      </c>
      <c r="C146" s="7" t="s">
        <v>218</v>
      </c>
      <c r="D146" s="13" t="s">
        <v>210</v>
      </c>
      <c r="E146" s="1609" t="str">
        <f>IF(AND($F$7=1,'1_Full_time'!G44&lt;0),E$112&amp;", "&amp;E$113&amp;", Price group "&amp;$B146&amp;", "&amp;$C146&amp;" length, Level "&amp;$D146&amp;"; ","")</f>
        <v/>
      </c>
      <c r="F146" s="7" t="str">
        <f>IF(AND($F$7=1,'1_Full_time'!H44&lt;0),F$112&amp;", "&amp;F$113&amp;", Price group "&amp;$B146&amp;", "&amp;$C146&amp;" length, Level "&amp;$D146&amp;"; ","")</f>
        <v/>
      </c>
      <c r="G146" s="211" t="str">
        <f>IF(AND($F$7=1,'1_Full_time'!I44&lt;0),G$112&amp;", "&amp;G$113&amp;", Price group "&amp;$B146&amp;", "&amp;$C146&amp;" length, Level "&amp;$D146&amp;"; ","")</f>
        <v/>
      </c>
      <c r="H146" s="1609" t="str">
        <f>IF(AND($F$7=1,'1_Full_time'!J44&lt;0),H$112&amp;", "&amp;H$113&amp;", Price group "&amp;$B146&amp;", "&amp;$C146&amp;" length, Level "&amp;$D146&amp;"; ","")</f>
        <v/>
      </c>
      <c r="I146" s="7" t="str">
        <f>IF(AND($F$7=1,'1_Full_time'!K44&lt;0),I$112&amp;", "&amp;I$113&amp;", Price group "&amp;$B146&amp;", "&amp;$C146&amp;" length, Level "&amp;$D146&amp;"; ","")</f>
        <v/>
      </c>
      <c r="J146" s="211" t="str">
        <f>IF(AND($F$7=1,'1_Full_time'!L44&lt;0),J$112&amp;", "&amp;J$113&amp;", Price group "&amp;$B146&amp;", "&amp;$C146&amp;" length, Level "&amp;$D146&amp;"; ","")</f>
        <v/>
      </c>
      <c r="L146" s="118"/>
      <c r="S146" s="7"/>
      <c r="T146" s="7"/>
      <c r="W146" s="7"/>
      <c r="X146" s="7"/>
    </row>
    <row r="147" spans="2:24" x14ac:dyDescent="0.35">
      <c r="B147" s="20" t="s">
        <v>238</v>
      </c>
      <c r="C147" s="7" t="s">
        <v>218</v>
      </c>
      <c r="D147" s="13" t="s">
        <v>212</v>
      </c>
      <c r="E147" s="1609" t="str">
        <f>IF(AND($F$7=1,'1_Full_time'!G45&lt;0),E$112&amp;", "&amp;E$113&amp;", Price group "&amp;$B147&amp;", "&amp;$C147&amp;" length, Level "&amp;$D147&amp;"; ","")</f>
        <v/>
      </c>
      <c r="F147" s="7" t="str">
        <f>IF(AND($F$7=1,'1_Full_time'!H45&lt;0),F$112&amp;", "&amp;F$113&amp;", Price group "&amp;$B147&amp;", "&amp;$C147&amp;" length, Level "&amp;$D147&amp;"; ","")</f>
        <v/>
      </c>
      <c r="G147" s="211" t="str">
        <f>IF(AND($F$7=1,'1_Full_time'!I45&lt;0),G$112&amp;", "&amp;G$113&amp;", Price group "&amp;$B147&amp;", "&amp;$C147&amp;" length, Level "&amp;$D147&amp;"; ","")</f>
        <v/>
      </c>
      <c r="H147" s="1609" t="str">
        <f>IF(AND($F$7=1,'1_Full_time'!J45&lt;0),H$112&amp;", "&amp;H$113&amp;", Price group "&amp;$B147&amp;", "&amp;$C147&amp;" length, Level "&amp;$D147&amp;"; ","")</f>
        <v/>
      </c>
      <c r="I147" s="7" t="str">
        <f>IF(AND($F$7=1,'1_Full_time'!K45&lt;0),I$112&amp;", "&amp;I$113&amp;", Price group "&amp;$B147&amp;", "&amp;$C147&amp;" length, Level "&amp;$D147&amp;"; ","")</f>
        <v/>
      </c>
      <c r="J147" s="211" t="str">
        <f>IF(AND($F$7=1,'1_Full_time'!L45&lt;0),J$112&amp;", "&amp;J$113&amp;", Price group "&amp;$B147&amp;", "&amp;$C147&amp;" length, Level "&amp;$D147&amp;"; ","")</f>
        <v/>
      </c>
      <c r="L147" s="118"/>
      <c r="S147" s="7"/>
      <c r="T147" s="7"/>
      <c r="W147" s="11"/>
      <c r="X147" s="11"/>
    </row>
    <row r="148" spans="2:24" x14ac:dyDescent="0.35">
      <c r="B148" s="20" t="s">
        <v>238</v>
      </c>
      <c r="C148" s="7" t="s">
        <v>218</v>
      </c>
      <c r="D148" s="13" t="s">
        <v>214</v>
      </c>
      <c r="E148" s="1609" t="str">
        <f>IF(AND($F$7=1,'1_Full_time'!G46&lt;0),E$112&amp;", "&amp;E$113&amp;", Price group "&amp;$B148&amp;", "&amp;$C148&amp;" length, Level "&amp;$D148&amp;"; ","")</f>
        <v/>
      </c>
      <c r="F148" s="7" t="str">
        <f>IF(AND($F$7=1,'1_Full_time'!H46&lt;0),F$112&amp;", "&amp;F$113&amp;", Price group "&amp;$B148&amp;", "&amp;$C148&amp;" length, Level "&amp;$D148&amp;"; ","")</f>
        <v/>
      </c>
      <c r="G148" s="211" t="str">
        <f>IF(AND($F$7=1,'1_Full_time'!I46&lt;0),G$112&amp;", "&amp;G$113&amp;", Price group "&amp;$B148&amp;", "&amp;$C148&amp;" length, Level "&amp;$D148&amp;"; ","")</f>
        <v/>
      </c>
      <c r="H148" s="1609" t="str">
        <f>IF(AND($F$7=1,'1_Full_time'!J46&lt;0),H$112&amp;", "&amp;H$113&amp;", Price group "&amp;$B148&amp;", "&amp;$C148&amp;" length, Level "&amp;$D148&amp;"; ","")</f>
        <v/>
      </c>
      <c r="I148" s="7" t="str">
        <f>IF(AND($F$7=1,'1_Full_time'!K46&lt;0),I$112&amp;", "&amp;I$113&amp;", Price group "&amp;$B148&amp;", "&amp;$C148&amp;" length, Level "&amp;$D148&amp;"; ","")</f>
        <v/>
      </c>
      <c r="J148" s="211" t="str">
        <f>IF(AND($F$7=1,'1_Full_time'!L46&lt;0),J$112&amp;", "&amp;J$113&amp;", Price group "&amp;$B148&amp;", "&amp;$C148&amp;" length, Level "&amp;$D148&amp;"; ","")</f>
        <v/>
      </c>
      <c r="L148" s="118"/>
      <c r="S148" s="7"/>
      <c r="T148" s="7"/>
      <c r="W148" s="11"/>
      <c r="X148" s="11"/>
    </row>
    <row r="149" spans="2:24" x14ac:dyDescent="0.35">
      <c r="B149" s="20" t="s">
        <v>238</v>
      </c>
      <c r="C149" s="7" t="s">
        <v>218</v>
      </c>
      <c r="D149" s="13" t="s">
        <v>216</v>
      </c>
      <c r="E149" s="1617"/>
      <c r="F149" s="7" t="str">
        <f>IF(AND($F$7=1,'1_Full_time'!H47&lt;0),F$112&amp;", "&amp;F$113&amp;", Price group "&amp;$B149&amp;", "&amp;$C149&amp;" length, Level "&amp;$D149&amp;"; ","")</f>
        <v/>
      </c>
      <c r="G149" s="211" t="str">
        <f>IF(AND($F$7=1,'1_Full_time'!I47&lt;0),G$112&amp;", "&amp;G$113&amp;", Price group "&amp;$B149&amp;", "&amp;$C149&amp;" length, Level "&amp;$D149&amp;"; ","")</f>
        <v/>
      </c>
      <c r="H149" s="1617"/>
      <c r="I149" s="7" t="str">
        <f>IF(AND($F$7=1,'1_Full_time'!K47&lt;0),I$112&amp;", "&amp;I$113&amp;", Price group "&amp;$B149&amp;", "&amp;$C149&amp;" length, Level "&amp;$D149&amp;"; ","")</f>
        <v/>
      </c>
      <c r="J149" s="211" t="str">
        <f>IF(AND($F$7=1,'1_Full_time'!L47&lt;0),J$112&amp;", "&amp;J$113&amp;", Price group "&amp;$B149&amp;", "&amp;$C149&amp;" length, Level "&amp;$D149&amp;"; ","")</f>
        <v/>
      </c>
      <c r="L149" s="118"/>
      <c r="S149" s="7"/>
      <c r="T149" s="7"/>
      <c r="W149" s="11"/>
      <c r="X149" s="11"/>
    </row>
    <row r="150" spans="2:24" x14ac:dyDescent="0.35">
      <c r="B150" s="20" t="s">
        <v>251</v>
      </c>
      <c r="C150" s="7" t="s">
        <v>204</v>
      </c>
      <c r="D150" s="13" t="s">
        <v>205</v>
      </c>
      <c r="E150" s="1720" t="str">
        <f>IF(AND($F$7=1,'1_Full_time'!G48&lt;0),E$112&amp;", "&amp;E$113&amp;", Price group "&amp;$B150&amp;", "&amp;$C150&amp;" length, Level "&amp;$D150&amp;"; ","")</f>
        <v/>
      </c>
      <c r="F150" s="1412" t="str">
        <f>IF(AND($F$7=1,'1_Full_time'!H48&lt;0),F$112&amp;", "&amp;F$113&amp;", Price group "&amp;$B150&amp;", "&amp;$C150&amp;" length, Level "&amp;$D150&amp;"; ","")</f>
        <v/>
      </c>
      <c r="G150" s="1789" t="str">
        <f>IF(AND($F$7=1,'1_Full_time'!I48&lt;0),G$112&amp;", "&amp;G$113&amp;", Price group "&amp;$B150&amp;", "&amp;$C150&amp;" length, Level "&amp;$D150&amp;"; ","")</f>
        <v/>
      </c>
      <c r="H150" s="1720" t="str">
        <f>IF(AND($F$7=1,'1_Full_time'!J48&lt;0),H$112&amp;", "&amp;H$113&amp;", Price group "&amp;$B150&amp;", "&amp;$C150&amp;" length, Level "&amp;$D150&amp;"; ","")</f>
        <v/>
      </c>
      <c r="I150" s="1412" t="str">
        <f>IF(AND($F$7=1,'1_Full_time'!K48&lt;0),I$112&amp;", "&amp;I$113&amp;", Price group "&amp;$B150&amp;", "&amp;$C150&amp;" length, Level "&amp;$D150&amp;"; ","")</f>
        <v/>
      </c>
      <c r="J150" s="1789" t="str">
        <f>IF(AND($F$7=1,'1_Full_time'!L48&lt;0),J$112&amp;", "&amp;J$113&amp;", Price group "&amp;$B150&amp;", "&amp;$C150&amp;" length, Level "&amp;$D150&amp;"; ","")</f>
        <v/>
      </c>
      <c r="L150" s="118"/>
      <c r="S150" s="7"/>
      <c r="T150" s="7"/>
      <c r="W150" s="11"/>
      <c r="X150" s="11"/>
    </row>
    <row r="151" spans="2:24" x14ac:dyDescent="0.35">
      <c r="B151" s="20" t="s">
        <v>251</v>
      </c>
      <c r="C151" s="7" t="s">
        <v>204</v>
      </c>
      <c r="D151" s="13" t="s">
        <v>208</v>
      </c>
      <c r="E151" s="1609" t="str">
        <f>IF(AND($F$7=1,'1_Full_time'!G49&lt;0),E$112&amp;", "&amp;E$113&amp;", Price group "&amp;$B151&amp;", "&amp;$C151&amp;" length, Level "&amp;$D151&amp;"; ","")</f>
        <v/>
      </c>
      <c r="F151" s="7" t="str">
        <f>IF(AND($F$7=1,'1_Full_time'!H49&lt;0),F$112&amp;", "&amp;F$113&amp;", Price group "&amp;$B151&amp;", "&amp;$C151&amp;" length, Level "&amp;$D151&amp;"; ","")</f>
        <v/>
      </c>
      <c r="G151" s="211" t="str">
        <f>IF(AND($F$7=1,'1_Full_time'!I49&lt;0),G$112&amp;", "&amp;G$113&amp;", Price group "&amp;$B151&amp;", "&amp;$C151&amp;" length, Level "&amp;$D151&amp;"; ","")</f>
        <v/>
      </c>
      <c r="H151" s="1609" t="str">
        <f>IF(AND($F$7=1,'1_Full_time'!J49&lt;0),H$112&amp;", "&amp;H$113&amp;", Price group "&amp;$B151&amp;", "&amp;$C151&amp;" length, Level "&amp;$D151&amp;"; ","")</f>
        <v/>
      </c>
      <c r="I151" s="7" t="str">
        <f>IF(AND($F$7=1,'1_Full_time'!K49&lt;0),I$112&amp;", "&amp;I$113&amp;", Price group "&amp;$B151&amp;", "&amp;$C151&amp;" length, Level "&amp;$D151&amp;"; ","")</f>
        <v/>
      </c>
      <c r="J151" s="211" t="str">
        <f>IF(AND($F$7=1,'1_Full_time'!L49&lt;0),J$112&amp;", "&amp;J$113&amp;", Price group "&amp;$B151&amp;", "&amp;$C151&amp;" length, Level "&amp;$D151&amp;"; ","")</f>
        <v/>
      </c>
      <c r="L151" s="118"/>
      <c r="S151" s="7"/>
      <c r="T151" s="7"/>
      <c r="W151" s="11"/>
      <c r="X151" s="11"/>
    </row>
    <row r="152" spans="2:24" x14ac:dyDescent="0.35">
      <c r="B152" s="20" t="s">
        <v>251</v>
      </c>
      <c r="C152" s="7" t="s">
        <v>204</v>
      </c>
      <c r="D152" s="13" t="s">
        <v>210</v>
      </c>
      <c r="E152" s="1609" t="str">
        <f>IF(AND($F$7=1,'1_Full_time'!G50&lt;0),E$112&amp;", "&amp;E$113&amp;", Price group "&amp;$B152&amp;", "&amp;$C152&amp;" length, Level "&amp;$D152&amp;"; ","")</f>
        <v/>
      </c>
      <c r="F152" s="7" t="str">
        <f>IF(AND($F$7=1,'1_Full_time'!H50&lt;0),F$112&amp;", "&amp;F$113&amp;", Price group "&amp;$B152&amp;", "&amp;$C152&amp;" length, Level "&amp;$D152&amp;"; ","")</f>
        <v/>
      </c>
      <c r="G152" s="211" t="str">
        <f>IF(AND($F$7=1,'1_Full_time'!I50&lt;0),G$112&amp;", "&amp;G$113&amp;", Price group "&amp;$B152&amp;", "&amp;$C152&amp;" length, Level "&amp;$D152&amp;"; ","")</f>
        <v/>
      </c>
      <c r="H152" s="1609" t="str">
        <f>IF(AND($F$7=1,'1_Full_time'!J50&lt;0),H$112&amp;", "&amp;H$113&amp;", Price group "&amp;$B152&amp;", "&amp;$C152&amp;" length, Level "&amp;$D152&amp;"; ","")</f>
        <v/>
      </c>
      <c r="I152" s="7" t="str">
        <f>IF(AND($F$7=1,'1_Full_time'!K50&lt;0),I$112&amp;", "&amp;I$113&amp;", Price group "&amp;$B152&amp;", "&amp;$C152&amp;" length, Level "&amp;$D152&amp;"; ","")</f>
        <v/>
      </c>
      <c r="J152" s="211" t="str">
        <f>IF(AND($F$7=1,'1_Full_time'!L50&lt;0),J$112&amp;", "&amp;J$113&amp;", Price group "&amp;$B152&amp;", "&amp;$C152&amp;" length, Level "&amp;$D152&amp;"; ","")</f>
        <v/>
      </c>
      <c r="L152" s="118"/>
      <c r="S152" s="7"/>
      <c r="T152" s="7"/>
      <c r="W152" s="11"/>
      <c r="X152" s="11"/>
    </row>
    <row r="153" spans="2:24" x14ac:dyDescent="0.35">
      <c r="B153" s="20" t="s">
        <v>251</v>
      </c>
      <c r="C153" s="7" t="s">
        <v>204</v>
      </c>
      <c r="D153" s="13" t="s">
        <v>212</v>
      </c>
      <c r="E153" s="1609" t="str">
        <f>IF(AND($F$7=1,'1_Full_time'!G51&lt;0),E$112&amp;", "&amp;E$113&amp;", Price group "&amp;$B153&amp;", "&amp;$C153&amp;" length, Level "&amp;$D153&amp;"; ","")</f>
        <v/>
      </c>
      <c r="F153" s="7" t="str">
        <f>IF(AND($F$7=1,'1_Full_time'!H51&lt;0),F$112&amp;", "&amp;F$113&amp;", Price group "&amp;$B153&amp;", "&amp;$C153&amp;" length, Level "&amp;$D153&amp;"; ","")</f>
        <v/>
      </c>
      <c r="G153" s="211" t="str">
        <f>IF(AND($F$7=1,'1_Full_time'!I51&lt;0),G$112&amp;", "&amp;G$113&amp;", Price group "&amp;$B153&amp;", "&amp;$C153&amp;" length, Level "&amp;$D153&amp;"; ","")</f>
        <v/>
      </c>
      <c r="H153" s="1609" t="str">
        <f>IF(AND($F$7=1,'1_Full_time'!J51&lt;0),H$112&amp;", "&amp;H$113&amp;", Price group "&amp;$B153&amp;", "&amp;$C153&amp;" length, Level "&amp;$D153&amp;"; ","")</f>
        <v/>
      </c>
      <c r="I153" s="7" t="str">
        <f>IF(AND($F$7=1,'1_Full_time'!K51&lt;0),I$112&amp;", "&amp;I$113&amp;", Price group "&amp;$B153&amp;", "&amp;$C153&amp;" length, Level "&amp;$D153&amp;"; ","")</f>
        <v/>
      </c>
      <c r="J153" s="211" t="str">
        <f>IF(AND($F$7=1,'1_Full_time'!L51&lt;0),J$112&amp;", "&amp;J$113&amp;", Price group "&amp;$B153&amp;", "&amp;$C153&amp;" length, Level "&amp;$D153&amp;"; ","")</f>
        <v/>
      </c>
      <c r="L153" s="118"/>
      <c r="S153" s="7"/>
      <c r="T153" s="7"/>
      <c r="W153" s="11"/>
      <c r="X153" s="11"/>
    </row>
    <row r="154" spans="2:24" x14ac:dyDescent="0.35">
      <c r="B154" s="20" t="s">
        <v>251</v>
      </c>
      <c r="C154" s="7" t="s">
        <v>204</v>
      </c>
      <c r="D154" s="13" t="s">
        <v>214</v>
      </c>
      <c r="E154" s="1609" t="str">
        <f>IF(AND($F$7=1,'1_Full_time'!G52&lt;0),E$112&amp;", "&amp;E$113&amp;", Price group "&amp;$B154&amp;", "&amp;$C154&amp;" length, Level "&amp;$D154&amp;"; ","")</f>
        <v/>
      </c>
      <c r="F154" s="7" t="str">
        <f>IF(AND($F$7=1,'1_Full_time'!H52&lt;0),F$112&amp;", "&amp;F$113&amp;", Price group "&amp;$B154&amp;", "&amp;$C154&amp;" length, Level "&amp;$D154&amp;"; ","")</f>
        <v/>
      </c>
      <c r="G154" s="211" t="str">
        <f>IF(AND($F$7=1,'1_Full_time'!I52&lt;0),G$112&amp;", "&amp;G$113&amp;", Price group "&amp;$B154&amp;", "&amp;$C154&amp;" length, Level "&amp;$D154&amp;"; ","")</f>
        <v/>
      </c>
      <c r="H154" s="1609" t="str">
        <f>IF(AND($F$7=1,'1_Full_time'!J52&lt;0),H$112&amp;", "&amp;H$113&amp;", Price group "&amp;$B154&amp;", "&amp;$C154&amp;" length, Level "&amp;$D154&amp;"; ","")</f>
        <v/>
      </c>
      <c r="I154" s="7" t="str">
        <f>IF(AND($F$7=1,'1_Full_time'!K52&lt;0),I$112&amp;", "&amp;I$113&amp;", Price group "&amp;$B154&amp;", "&amp;$C154&amp;" length, Level "&amp;$D154&amp;"; ","")</f>
        <v/>
      </c>
      <c r="J154" s="211" t="str">
        <f>IF(AND($F$7=1,'1_Full_time'!L52&lt;0),J$112&amp;", "&amp;J$113&amp;", Price group "&amp;$B154&amp;", "&amp;$C154&amp;" length, Level "&amp;$D154&amp;"; ","")</f>
        <v/>
      </c>
      <c r="L154" s="118"/>
      <c r="S154" s="7"/>
      <c r="T154" s="7"/>
      <c r="W154" s="11"/>
      <c r="X154" s="11"/>
    </row>
    <row r="155" spans="2:24" x14ac:dyDescent="0.35">
      <c r="B155" s="20" t="s">
        <v>251</v>
      </c>
      <c r="C155" s="7" t="s">
        <v>204</v>
      </c>
      <c r="D155" s="13" t="s">
        <v>216</v>
      </c>
      <c r="E155" s="1428"/>
      <c r="F155" s="1429" t="str">
        <f>IF(AND($F$7=1,'1_Full_time'!H53&lt;0),F$112&amp;", "&amp;F$113&amp;", Price group "&amp;$B155&amp;", "&amp;$C155&amp;" length, Level "&amp;$D155&amp;"; ","")</f>
        <v/>
      </c>
      <c r="G155" s="1430" t="str">
        <f>IF(AND($F$7=1,'1_Full_time'!I53&lt;0),G$112&amp;", "&amp;G$113&amp;", Price group "&amp;$B155&amp;", "&amp;$C155&amp;" length, Level "&amp;$D155&amp;"; ","")</f>
        <v/>
      </c>
      <c r="H155" s="1428"/>
      <c r="I155" s="1429" t="str">
        <f>IF(AND($F$7=1,'1_Full_time'!K53&lt;0),I$112&amp;", "&amp;I$113&amp;", Price group "&amp;$B155&amp;", "&amp;$C155&amp;" length, Level "&amp;$D155&amp;"; ","")</f>
        <v/>
      </c>
      <c r="J155" s="1430" t="str">
        <f>IF(AND($F$7=1,'1_Full_time'!L53&lt;0),J$112&amp;", "&amp;J$113&amp;", Price group "&amp;$B155&amp;", "&amp;$C155&amp;" length, Level "&amp;$D155&amp;"; ","")</f>
        <v/>
      </c>
      <c r="L155" s="118"/>
      <c r="S155" s="7"/>
      <c r="T155" s="7"/>
      <c r="W155" s="11"/>
      <c r="X155" s="11"/>
    </row>
    <row r="156" spans="2:24" x14ac:dyDescent="0.35">
      <c r="B156" s="20" t="s">
        <v>251</v>
      </c>
      <c r="C156" s="7" t="s">
        <v>218</v>
      </c>
      <c r="D156" s="13" t="s">
        <v>205</v>
      </c>
      <c r="E156" s="1609" t="str">
        <f>IF(AND($F$7=1,'1_Full_time'!G54&lt;0),E$112&amp;", "&amp;E$113&amp;", Price group "&amp;$B156&amp;", "&amp;$C156&amp;" length, Level "&amp;$D156&amp;"; ","")</f>
        <v/>
      </c>
      <c r="F156" s="7" t="str">
        <f>IF(AND($F$7=1,'1_Full_time'!H54&lt;0),F$112&amp;", "&amp;F$113&amp;", Price group "&amp;$B156&amp;", "&amp;$C156&amp;" length, Level "&amp;$D156&amp;"; ","")</f>
        <v/>
      </c>
      <c r="G156" s="211" t="str">
        <f>IF(AND($F$7=1,'1_Full_time'!I54&lt;0),G$112&amp;", "&amp;G$113&amp;", Price group "&amp;$B156&amp;", "&amp;$C156&amp;" length, Level "&amp;$D156&amp;"; ","")</f>
        <v/>
      </c>
      <c r="H156" s="1609" t="str">
        <f>IF(AND($F$7=1,'1_Full_time'!J54&lt;0),H$112&amp;", "&amp;H$113&amp;", Price group "&amp;$B156&amp;", "&amp;$C156&amp;" length, Level "&amp;$D156&amp;"; ","")</f>
        <v/>
      </c>
      <c r="I156" s="7" t="str">
        <f>IF(AND($F$7=1,'1_Full_time'!K54&lt;0),I$112&amp;", "&amp;I$113&amp;", Price group "&amp;$B156&amp;", "&amp;$C156&amp;" length, Level "&amp;$D156&amp;"; ","")</f>
        <v/>
      </c>
      <c r="J156" s="211" t="str">
        <f>IF(AND($F$7=1,'1_Full_time'!L54&lt;0),J$112&amp;", "&amp;J$113&amp;", Price group "&amp;$B156&amp;", "&amp;$C156&amp;" length, Level "&amp;$D156&amp;"; ","")</f>
        <v/>
      </c>
      <c r="L156" s="118"/>
      <c r="S156" s="7"/>
      <c r="T156" s="7"/>
      <c r="W156" s="11"/>
      <c r="X156" s="11"/>
    </row>
    <row r="157" spans="2:24" x14ac:dyDescent="0.35">
      <c r="B157" s="20" t="s">
        <v>251</v>
      </c>
      <c r="C157" s="7" t="s">
        <v>218</v>
      </c>
      <c r="D157" s="13" t="s">
        <v>208</v>
      </c>
      <c r="E157" s="1609" t="str">
        <f>IF(AND($F$7=1,'1_Full_time'!G55&lt;0),E$112&amp;", "&amp;E$113&amp;", Price group "&amp;$B157&amp;", "&amp;$C157&amp;" length, Level "&amp;$D157&amp;"; ","")</f>
        <v/>
      </c>
      <c r="F157" s="7" t="str">
        <f>IF(AND($F$7=1,'1_Full_time'!H55&lt;0),F$112&amp;", "&amp;F$113&amp;", Price group "&amp;$B157&amp;", "&amp;$C157&amp;" length, Level "&amp;$D157&amp;"; ","")</f>
        <v/>
      </c>
      <c r="G157" s="211" t="str">
        <f>IF(AND($F$7=1,'1_Full_time'!I55&lt;0),G$112&amp;", "&amp;G$113&amp;", Price group "&amp;$B157&amp;", "&amp;$C157&amp;" length, Level "&amp;$D157&amp;"; ","")</f>
        <v/>
      </c>
      <c r="H157" s="1609" t="str">
        <f>IF(AND($F$7=1,'1_Full_time'!J55&lt;0),H$112&amp;", "&amp;H$113&amp;", Price group "&amp;$B157&amp;", "&amp;$C157&amp;" length, Level "&amp;$D157&amp;"; ","")</f>
        <v/>
      </c>
      <c r="I157" s="7" t="str">
        <f>IF(AND($F$7=1,'1_Full_time'!K55&lt;0),I$112&amp;", "&amp;I$113&amp;", Price group "&amp;$B157&amp;", "&amp;$C157&amp;" length, Level "&amp;$D157&amp;"; ","")</f>
        <v/>
      </c>
      <c r="J157" s="211" t="str">
        <f>IF(AND($F$7=1,'1_Full_time'!L55&lt;0),J$112&amp;", "&amp;J$113&amp;", Price group "&amp;$B157&amp;", "&amp;$C157&amp;" length, Level "&amp;$D157&amp;"; ","")</f>
        <v/>
      </c>
      <c r="L157" s="118"/>
      <c r="S157" s="7"/>
      <c r="T157" s="7"/>
      <c r="W157" s="11"/>
      <c r="X157" s="11"/>
    </row>
    <row r="158" spans="2:24" x14ac:dyDescent="0.35">
      <c r="B158" s="20" t="s">
        <v>251</v>
      </c>
      <c r="C158" s="7" t="s">
        <v>218</v>
      </c>
      <c r="D158" s="13" t="s">
        <v>210</v>
      </c>
      <c r="E158" s="1609" t="str">
        <f>IF(AND($F$7=1,'1_Full_time'!G56&lt;0),E$112&amp;", "&amp;E$113&amp;", Price group "&amp;$B158&amp;", "&amp;$C158&amp;" length, Level "&amp;$D158&amp;"; ","")</f>
        <v/>
      </c>
      <c r="F158" s="7" t="str">
        <f>IF(AND($F$7=1,'1_Full_time'!H56&lt;0),F$112&amp;", "&amp;F$113&amp;", Price group "&amp;$B158&amp;", "&amp;$C158&amp;" length, Level "&amp;$D158&amp;"; ","")</f>
        <v/>
      </c>
      <c r="G158" s="211" t="str">
        <f>IF(AND($F$7=1,'1_Full_time'!I56&lt;0),G$112&amp;", "&amp;G$113&amp;", Price group "&amp;$B158&amp;", "&amp;$C158&amp;" length, Level "&amp;$D158&amp;"; ","")</f>
        <v/>
      </c>
      <c r="H158" s="1609" t="str">
        <f>IF(AND($F$7=1,'1_Full_time'!J56&lt;0),H$112&amp;", "&amp;H$113&amp;", Price group "&amp;$B158&amp;", "&amp;$C158&amp;" length, Level "&amp;$D158&amp;"; ","")</f>
        <v/>
      </c>
      <c r="I158" s="7" t="str">
        <f>IF(AND($F$7=1,'1_Full_time'!K56&lt;0),I$112&amp;", "&amp;I$113&amp;", Price group "&amp;$B158&amp;", "&amp;$C158&amp;" length, Level "&amp;$D158&amp;"; ","")</f>
        <v/>
      </c>
      <c r="J158" s="211" t="str">
        <f>IF(AND($F$7=1,'1_Full_time'!L56&lt;0),J$112&amp;", "&amp;J$113&amp;", Price group "&amp;$B158&amp;", "&amp;$C158&amp;" length, Level "&amp;$D158&amp;"; ","")</f>
        <v/>
      </c>
      <c r="L158" s="118"/>
      <c r="S158" s="7"/>
      <c r="T158" s="7"/>
      <c r="W158" s="11"/>
      <c r="X158" s="11"/>
    </row>
    <row r="159" spans="2:24" x14ac:dyDescent="0.35">
      <c r="B159" s="20" t="s">
        <v>251</v>
      </c>
      <c r="C159" s="7" t="s">
        <v>218</v>
      </c>
      <c r="D159" s="13" t="s">
        <v>212</v>
      </c>
      <c r="E159" s="1609" t="str">
        <f>IF(AND($F$7=1,'1_Full_time'!G57&lt;0),E$112&amp;", "&amp;E$113&amp;", Price group "&amp;$B159&amp;", "&amp;$C159&amp;" length, Level "&amp;$D159&amp;"; ","")</f>
        <v/>
      </c>
      <c r="F159" s="7" t="str">
        <f>IF(AND($F$7=1,'1_Full_time'!H57&lt;0),F$112&amp;", "&amp;F$113&amp;", Price group "&amp;$B159&amp;", "&amp;$C159&amp;" length, Level "&amp;$D159&amp;"; ","")</f>
        <v/>
      </c>
      <c r="G159" s="211" t="str">
        <f>IF(AND($F$7=1,'1_Full_time'!I57&lt;0),G$112&amp;", "&amp;G$113&amp;", Price group "&amp;$B159&amp;", "&amp;$C159&amp;" length, Level "&amp;$D159&amp;"; ","")</f>
        <v/>
      </c>
      <c r="H159" s="1609" t="str">
        <f>IF(AND($F$7=1,'1_Full_time'!J57&lt;0),H$112&amp;", "&amp;H$113&amp;", Price group "&amp;$B159&amp;", "&amp;$C159&amp;" length, Level "&amp;$D159&amp;"; ","")</f>
        <v/>
      </c>
      <c r="I159" s="7" t="str">
        <f>IF(AND($F$7=1,'1_Full_time'!K57&lt;0),I$112&amp;", "&amp;I$113&amp;", Price group "&amp;$B159&amp;", "&amp;$C159&amp;" length, Level "&amp;$D159&amp;"; ","")</f>
        <v/>
      </c>
      <c r="J159" s="211" t="str">
        <f>IF(AND($F$7=1,'1_Full_time'!L57&lt;0),J$112&amp;", "&amp;J$113&amp;", Price group "&amp;$B159&amp;", "&amp;$C159&amp;" length, Level "&amp;$D159&amp;"; ","")</f>
        <v/>
      </c>
      <c r="L159" s="118"/>
      <c r="S159" s="7"/>
      <c r="T159" s="7"/>
      <c r="W159" s="11"/>
      <c r="X159" s="11"/>
    </row>
    <row r="160" spans="2:24" x14ac:dyDescent="0.35">
      <c r="B160" s="20" t="s">
        <v>251</v>
      </c>
      <c r="C160" s="7" t="s">
        <v>218</v>
      </c>
      <c r="D160" s="13" t="s">
        <v>214</v>
      </c>
      <c r="E160" s="1609" t="str">
        <f>IF(AND($F$7=1,'1_Full_time'!G58&lt;0),E$112&amp;", "&amp;E$113&amp;", Price group "&amp;$B160&amp;", "&amp;$C160&amp;" length, Level "&amp;$D160&amp;"; ","")</f>
        <v/>
      </c>
      <c r="F160" s="7" t="str">
        <f>IF(AND($F$7=1,'1_Full_time'!H58&lt;0),F$112&amp;", "&amp;F$113&amp;", Price group "&amp;$B160&amp;", "&amp;$C160&amp;" length, Level "&amp;$D160&amp;"; ","")</f>
        <v/>
      </c>
      <c r="G160" s="211" t="str">
        <f>IF(AND($F$7=1,'1_Full_time'!I58&lt;0),G$112&amp;", "&amp;G$113&amp;", Price group "&amp;$B160&amp;", "&amp;$C160&amp;" length, Level "&amp;$D160&amp;"; ","")</f>
        <v/>
      </c>
      <c r="H160" s="1609" t="str">
        <f>IF(AND($F$7=1,'1_Full_time'!J58&lt;0),H$112&amp;", "&amp;H$113&amp;", Price group "&amp;$B160&amp;", "&amp;$C160&amp;" length, Level "&amp;$D160&amp;"; ","")</f>
        <v/>
      </c>
      <c r="I160" s="7" t="str">
        <f>IF(AND($F$7=1,'1_Full_time'!K58&lt;0),I$112&amp;", "&amp;I$113&amp;", Price group "&amp;$B160&amp;", "&amp;$C160&amp;" length, Level "&amp;$D160&amp;"; ","")</f>
        <v/>
      </c>
      <c r="J160" s="211" t="str">
        <f>IF(AND($F$7=1,'1_Full_time'!L58&lt;0),J$112&amp;", "&amp;J$113&amp;", Price group "&amp;$B160&amp;", "&amp;$C160&amp;" length, Level "&amp;$D160&amp;"; ","")</f>
        <v/>
      </c>
      <c r="L160" s="118"/>
      <c r="S160" s="7"/>
      <c r="T160" s="7"/>
      <c r="W160" s="11"/>
      <c r="X160" s="11"/>
    </row>
    <row r="161" spans="2:24" x14ac:dyDescent="0.35">
      <c r="B161" s="20" t="s">
        <v>251</v>
      </c>
      <c r="C161" s="7" t="s">
        <v>218</v>
      </c>
      <c r="D161" s="13" t="s">
        <v>216</v>
      </c>
      <c r="E161" s="1617"/>
      <c r="F161" s="7" t="str">
        <f>IF(AND($F$7=1,'1_Full_time'!H59&lt;0),F$112&amp;", "&amp;F$113&amp;", Price group "&amp;$B161&amp;", "&amp;$C161&amp;" length, Level "&amp;$D161&amp;"; ","")</f>
        <v/>
      </c>
      <c r="G161" s="211" t="str">
        <f>IF(AND($F$7=1,'1_Full_time'!I59&lt;0),G$112&amp;", "&amp;G$113&amp;", Price group "&amp;$B161&amp;", "&amp;$C161&amp;" length, Level "&amp;$D161&amp;"; ","")</f>
        <v/>
      </c>
      <c r="H161" s="1617"/>
      <c r="I161" s="7" t="str">
        <f>IF(AND($F$7=1,'1_Full_time'!K59&lt;0),I$112&amp;", "&amp;I$113&amp;", Price group "&amp;$B161&amp;", "&amp;$C161&amp;" length, Level "&amp;$D161&amp;"; ","")</f>
        <v/>
      </c>
      <c r="J161" s="211" t="str">
        <f>IF(AND($F$7=1,'1_Full_time'!L59&lt;0),J$112&amp;", "&amp;J$113&amp;", Price group "&amp;$B161&amp;", "&amp;$C161&amp;" length, Level "&amp;$D161&amp;"; ","")</f>
        <v/>
      </c>
      <c r="L161" s="118"/>
      <c r="S161" s="7"/>
      <c r="T161" s="7"/>
      <c r="W161" s="11"/>
      <c r="X161" s="11"/>
    </row>
    <row r="162" spans="2:24" x14ac:dyDescent="0.35">
      <c r="B162" s="20" t="s">
        <v>264</v>
      </c>
      <c r="C162" s="7" t="s">
        <v>204</v>
      </c>
      <c r="D162" s="13" t="s">
        <v>205</v>
      </c>
      <c r="E162" s="1720" t="str">
        <f>IF(AND($F$7=1,'1_Full_time'!G60&lt;0),E$112&amp;", "&amp;E$113&amp;", Price group "&amp;$B162&amp;", "&amp;$C162&amp;" length, Level "&amp;$D162&amp;"; ","")</f>
        <v/>
      </c>
      <c r="F162" s="1412" t="str">
        <f>IF(AND($F$7=1,'1_Full_time'!H60&lt;0),F$112&amp;", "&amp;F$113&amp;", Price group "&amp;$B162&amp;", "&amp;$C162&amp;" length, Level "&amp;$D162&amp;"; ","")</f>
        <v/>
      </c>
      <c r="G162" s="1789" t="str">
        <f>IF(AND($F$7=1,'1_Full_time'!I60&lt;0),G$112&amp;", "&amp;G$113&amp;", Price group "&amp;$B162&amp;", "&amp;$C162&amp;" length, Level "&amp;$D162&amp;"; ","")</f>
        <v/>
      </c>
      <c r="H162" s="1720" t="str">
        <f>IF(AND($F$7=1,'1_Full_time'!J60&lt;0),H$112&amp;", "&amp;H$113&amp;", Price group "&amp;$B162&amp;", "&amp;$C162&amp;" length, Level "&amp;$D162&amp;"; ","")</f>
        <v/>
      </c>
      <c r="I162" s="1412" t="str">
        <f>IF(AND($F$7=1,'1_Full_time'!K60&lt;0),I$112&amp;", "&amp;I$113&amp;", Price group "&amp;$B162&amp;", "&amp;$C162&amp;" length, Level "&amp;$D162&amp;"; ","")</f>
        <v/>
      </c>
      <c r="J162" s="1789" t="str">
        <f>IF(AND($F$7=1,'1_Full_time'!L60&lt;0),J$112&amp;", "&amp;J$113&amp;", Price group "&amp;$B162&amp;", "&amp;$C162&amp;" length, Level "&amp;$D162&amp;"; ","")</f>
        <v/>
      </c>
      <c r="L162" s="118"/>
      <c r="S162" s="7"/>
      <c r="T162" s="7"/>
      <c r="W162" s="11"/>
      <c r="X162" s="11"/>
    </row>
    <row r="163" spans="2:24" x14ac:dyDescent="0.35">
      <c r="B163" s="20" t="s">
        <v>264</v>
      </c>
      <c r="C163" s="7" t="s">
        <v>204</v>
      </c>
      <c r="D163" s="13" t="s">
        <v>208</v>
      </c>
      <c r="E163" s="1609" t="str">
        <f>IF(AND($F$7=1,'1_Full_time'!G61&lt;0),E$112&amp;", "&amp;E$113&amp;", Price group "&amp;$B163&amp;", "&amp;$C163&amp;" length, Level "&amp;$D163&amp;"; ","")</f>
        <v/>
      </c>
      <c r="F163" s="7" t="str">
        <f>IF(AND($F$7=1,'1_Full_time'!H61&lt;0),F$112&amp;", "&amp;F$113&amp;", Price group "&amp;$B163&amp;", "&amp;$C163&amp;" length, Level "&amp;$D163&amp;"; ","")</f>
        <v/>
      </c>
      <c r="G163" s="211" t="str">
        <f>IF(AND($F$7=1,'1_Full_time'!I61&lt;0),G$112&amp;", "&amp;G$113&amp;", Price group "&amp;$B163&amp;", "&amp;$C163&amp;" length, Level "&amp;$D163&amp;"; ","")</f>
        <v/>
      </c>
      <c r="H163" s="1609" t="str">
        <f>IF(AND($F$7=1,'1_Full_time'!J61&lt;0),H$112&amp;", "&amp;H$113&amp;", Price group "&amp;$B163&amp;", "&amp;$C163&amp;" length, Level "&amp;$D163&amp;"; ","")</f>
        <v/>
      </c>
      <c r="I163" s="7" t="str">
        <f>IF(AND($F$7=1,'1_Full_time'!K61&lt;0),I$112&amp;", "&amp;I$113&amp;", Price group "&amp;$B163&amp;", "&amp;$C163&amp;" length, Level "&amp;$D163&amp;"; ","")</f>
        <v/>
      </c>
      <c r="J163" s="211" t="str">
        <f>IF(AND($F$7=1,'1_Full_time'!L61&lt;0),J$112&amp;", "&amp;J$113&amp;", Price group "&amp;$B163&amp;", "&amp;$C163&amp;" length, Level "&amp;$D163&amp;"; ","")</f>
        <v/>
      </c>
      <c r="L163" s="118"/>
      <c r="S163" s="7"/>
      <c r="T163" s="7"/>
      <c r="W163" s="11"/>
      <c r="X163" s="11"/>
    </row>
    <row r="164" spans="2:24" x14ac:dyDescent="0.35">
      <c r="B164" s="20" t="s">
        <v>264</v>
      </c>
      <c r="C164" s="7" t="s">
        <v>204</v>
      </c>
      <c r="D164" s="13" t="s">
        <v>210</v>
      </c>
      <c r="E164" s="1609" t="str">
        <f>IF(AND($F$7=1,'1_Full_time'!G62&lt;0),E$112&amp;", "&amp;E$113&amp;", Price group "&amp;$B164&amp;", "&amp;$C164&amp;" length, Level "&amp;$D164&amp;"; ","")</f>
        <v/>
      </c>
      <c r="F164" s="7" t="str">
        <f>IF(AND($F$7=1,'1_Full_time'!H62&lt;0),F$112&amp;", "&amp;F$113&amp;", Price group "&amp;$B164&amp;", "&amp;$C164&amp;" length, Level "&amp;$D164&amp;"; ","")</f>
        <v/>
      </c>
      <c r="G164" s="211" t="str">
        <f>IF(AND($F$7=1,'1_Full_time'!I62&lt;0),G$112&amp;", "&amp;G$113&amp;", Price group "&amp;$B164&amp;", "&amp;$C164&amp;" length, Level "&amp;$D164&amp;"; ","")</f>
        <v/>
      </c>
      <c r="H164" s="1609" t="str">
        <f>IF(AND($F$7=1,'1_Full_time'!J62&lt;0),H$112&amp;", "&amp;H$113&amp;", Price group "&amp;$B164&amp;", "&amp;$C164&amp;" length, Level "&amp;$D164&amp;"; ","")</f>
        <v/>
      </c>
      <c r="I164" s="7" t="str">
        <f>IF(AND($F$7=1,'1_Full_time'!K62&lt;0),I$112&amp;", "&amp;I$113&amp;", Price group "&amp;$B164&amp;", "&amp;$C164&amp;" length, Level "&amp;$D164&amp;"; ","")</f>
        <v/>
      </c>
      <c r="J164" s="211" t="str">
        <f>IF(AND($F$7=1,'1_Full_time'!L62&lt;0),J$112&amp;", "&amp;J$113&amp;", Price group "&amp;$B164&amp;", "&amp;$C164&amp;" length, Level "&amp;$D164&amp;"; ","")</f>
        <v/>
      </c>
      <c r="L164" s="118"/>
      <c r="S164" s="7"/>
      <c r="T164" s="7"/>
      <c r="W164" s="11"/>
      <c r="X164" s="11"/>
    </row>
    <row r="165" spans="2:24" x14ac:dyDescent="0.35">
      <c r="B165" s="20" t="s">
        <v>264</v>
      </c>
      <c r="C165" s="7" t="s">
        <v>204</v>
      </c>
      <c r="D165" s="13" t="s">
        <v>212</v>
      </c>
      <c r="E165" s="1609" t="str">
        <f>IF(AND($F$7=1,'1_Full_time'!G63&lt;0),E$112&amp;", "&amp;E$113&amp;", Price group "&amp;$B165&amp;", "&amp;$C165&amp;" length, Level "&amp;$D165&amp;"; ","")</f>
        <v/>
      </c>
      <c r="F165" s="7" t="str">
        <f>IF(AND($F$7=1,'1_Full_time'!H63&lt;0),F$112&amp;", "&amp;F$113&amp;", Price group "&amp;$B165&amp;", "&amp;$C165&amp;" length, Level "&amp;$D165&amp;"; ","")</f>
        <v/>
      </c>
      <c r="G165" s="211" t="str">
        <f>IF(AND($F$7=1,'1_Full_time'!I63&lt;0),G$112&amp;", "&amp;G$113&amp;", Price group "&amp;$B165&amp;", "&amp;$C165&amp;" length, Level "&amp;$D165&amp;"; ","")</f>
        <v/>
      </c>
      <c r="H165" s="1609" t="str">
        <f>IF(AND($F$7=1,'1_Full_time'!J63&lt;0),H$112&amp;", "&amp;H$113&amp;", Price group "&amp;$B165&amp;", "&amp;$C165&amp;" length, Level "&amp;$D165&amp;"; ","")</f>
        <v/>
      </c>
      <c r="I165" s="7" t="str">
        <f>IF(AND($F$7=1,'1_Full_time'!K63&lt;0),I$112&amp;", "&amp;I$113&amp;", Price group "&amp;$B165&amp;", "&amp;$C165&amp;" length, Level "&amp;$D165&amp;"; ","")</f>
        <v/>
      </c>
      <c r="J165" s="211" t="str">
        <f>IF(AND($F$7=1,'1_Full_time'!L63&lt;0),J$112&amp;", "&amp;J$113&amp;", Price group "&amp;$B165&amp;", "&amp;$C165&amp;" length, Level "&amp;$D165&amp;"; ","")</f>
        <v/>
      </c>
      <c r="L165" s="118"/>
      <c r="S165" s="7"/>
      <c r="T165" s="7"/>
      <c r="W165" s="11"/>
      <c r="X165" s="11"/>
    </row>
    <row r="166" spans="2:24" x14ac:dyDescent="0.35">
      <c r="B166" s="20" t="s">
        <v>264</v>
      </c>
      <c r="C166" s="7" t="s">
        <v>204</v>
      </c>
      <c r="D166" s="13" t="s">
        <v>214</v>
      </c>
      <c r="E166" s="1609" t="str">
        <f>IF(AND($F$7=1,'1_Full_time'!G64&lt;0),E$112&amp;", "&amp;E$113&amp;", Price group "&amp;$B166&amp;", "&amp;$C166&amp;" length, Level "&amp;$D166&amp;"; ","")</f>
        <v/>
      </c>
      <c r="F166" s="7" t="str">
        <f>IF(AND($F$7=1,'1_Full_time'!H64&lt;0),F$112&amp;", "&amp;F$113&amp;", Price group "&amp;$B166&amp;", "&amp;$C166&amp;" length, Level "&amp;$D166&amp;"; ","")</f>
        <v/>
      </c>
      <c r="G166" s="211" t="str">
        <f>IF(AND($F$7=1,'1_Full_time'!I64&lt;0),G$112&amp;", "&amp;G$113&amp;", Price group "&amp;$B166&amp;", "&amp;$C166&amp;" length, Level "&amp;$D166&amp;"; ","")</f>
        <v/>
      </c>
      <c r="H166" s="1609" t="str">
        <f>IF(AND($F$7=1,'1_Full_time'!J64&lt;0),H$112&amp;", "&amp;H$113&amp;", Price group "&amp;$B166&amp;", "&amp;$C166&amp;" length, Level "&amp;$D166&amp;"; ","")</f>
        <v/>
      </c>
      <c r="I166" s="7" t="str">
        <f>IF(AND($F$7=1,'1_Full_time'!K64&lt;0),I$112&amp;", "&amp;I$113&amp;", Price group "&amp;$B166&amp;", "&amp;$C166&amp;" length, Level "&amp;$D166&amp;"; ","")</f>
        <v/>
      </c>
      <c r="J166" s="211" t="str">
        <f>IF(AND($F$7=1,'1_Full_time'!L64&lt;0),J$112&amp;", "&amp;J$113&amp;", Price group "&amp;$B166&amp;", "&amp;$C166&amp;" length, Level "&amp;$D166&amp;"; ","")</f>
        <v/>
      </c>
      <c r="L166" s="118"/>
      <c r="S166" s="7"/>
      <c r="T166" s="7"/>
      <c r="W166" s="11"/>
      <c r="X166" s="11"/>
    </row>
    <row r="167" spans="2:24" x14ac:dyDescent="0.35">
      <c r="B167" s="20" t="s">
        <v>264</v>
      </c>
      <c r="C167" s="7" t="s">
        <v>204</v>
      </c>
      <c r="D167" s="13" t="s">
        <v>216</v>
      </c>
      <c r="E167" s="1428"/>
      <c r="F167" s="1429" t="str">
        <f>IF(AND($F$7=1,'1_Full_time'!H65&lt;0),F$112&amp;", "&amp;F$113&amp;", Price group "&amp;$B167&amp;", "&amp;$C167&amp;" length, Level "&amp;$D167&amp;"; ","")</f>
        <v/>
      </c>
      <c r="G167" s="1430" t="str">
        <f>IF(AND($F$7=1,'1_Full_time'!I65&lt;0),G$112&amp;", "&amp;G$113&amp;", Price group "&amp;$B167&amp;", "&amp;$C167&amp;" length, Level "&amp;$D167&amp;"; ","")</f>
        <v/>
      </c>
      <c r="H167" s="1428"/>
      <c r="I167" s="1429" t="str">
        <f>IF(AND($F$7=1,'1_Full_time'!K65&lt;0),I$112&amp;", "&amp;I$113&amp;", Price group "&amp;$B167&amp;", "&amp;$C167&amp;" length, Level "&amp;$D167&amp;"; ","")</f>
        <v/>
      </c>
      <c r="J167" s="1430" t="str">
        <f>IF(AND($F$7=1,'1_Full_time'!L65&lt;0),J$112&amp;", "&amp;J$113&amp;", Price group "&amp;$B167&amp;", "&amp;$C167&amp;" length, Level "&amp;$D167&amp;"; ","")</f>
        <v/>
      </c>
      <c r="L167" s="118"/>
      <c r="S167" s="7"/>
      <c r="T167" s="7"/>
      <c r="W167" s="11"/>
      <c r="X167" s="11"/>
    </row>
    <row r="168" spans="2:24" x14ac:dyDescent="0.35">
      <c r="B168" s="20" t="s">
        <v>264</v>
      </c>
      <c r="C168" s="7" t="s">
        <v>218</v>
      </c>
      <c r="D168" s="13" t="s">
        <v>205</v>
      </c>
      <c r="E168" s="1609" t="str">
        <f>IF(AND($F$7=1,'1_Full_time'!G66&lt;0),E$112&amp;", "&amp;E$113&amp;", Price group "&amp;$B168&amp;", "&amp;$C168&amp;" length, Level "&amp;$D168&amp;"; ","")</f>
        <v/>
      </c>
      <c r="F168" s="7" t="str">
        <f>IF(AND($F$7=1,'1_Full_time'!H66&lt;0),F$112&amp;", "&amp;F$113&amp;", Price group "&amp;$B168&amp;", "&amp;$C168&amp;" length, Level "&amp;$D168&amp;"; ","")</f>
        <v/>
      </c>
      <c r="G168" s="211" t="str">
        <f>IF(AND($F$7=1,'1_Full_time'!I66&lt;0),G$112&amp;", "&amp;G$113&amp;", Price group "&amp;$B168&amp;", "&amp;$C168&amp;" length, Level "&amp;$D168&amp;"; ","")</f>
        <v/>
      </c>
      <c r="H168" s="1609" t="str">
        <f>IF(AND($F$7=1,'1_Full_time'!J66&lt;0),H$112&amp;", "&amp;H$113&amp;", Price group "&amp;$B168&amp;", "&amp;$C168&amp;" length, Level "&amp;$D168&amp;"; ","")</f>
        <v/>
      </c>
      <c r="I168" s="7" t="str">
        <f>IF(AND($F$7=1,'1_Full_time'!K66&lt;0),I$112&amp;", "&amp;I$113&amp;", Price group "&amp;$B168&amp;", "&amp;$C168&amp;" length, Level "&amp;$D168&amp;"; ","")</f>
        <v/>
      </c>
      <c r="J168" s="211" t="str">
        <f>IF(AND($F$7=1,'1_Full_time'!L66&lt;0),J$112&amp;", "&amp;J$113&amp;", Price group "&amp;$B168&amp;", "&amp;$C168&amp;" length, Level "&amp;$D168&amp;"; ","")</f>
        <v/>
      </c>
      <c r="L168" s="118"/>
      <c r="S168" s="7"/>
      <c r="T168" s="7"/>
      <c r="W168" s="11"/>
      <c r="X168" s="11"/>
    </row>
    <row r="169" spans="2:24" x14ac:dyDescent="0.35">
      <c r="B169" s="20" t="s">
        <v>264</v>
      </c>
      <c r="C169" s="7" t="s">
        <v>218</v>
      </c>
      <c r="D169" s="13" t="s">
        <v>208</v>
      </c>
      <c r="E169" s="1609" t="str">
        <f>IF(AND($F$7=1,'1_Full_time'!G67&lt;0),E$112&amp;", "&amp;E$113&amp;", Price group "&amp;$B169&amp;", "&amp;$C169&amp;" length, Level "&amp;$D169&amp;"; ","")</f>
        <v/>
      </c>
      <c r="F169" s="7" t="str">
        <f>IF(AND($F$7=1,'1_Full_time'!H67&lt;0),F$112&amp;", "&amp;F$113&amp;", Price group "&amp;$B169&amp;", "&amp;$C169&amp;" length, Level "&amp;$D169&amp;"; ","")</f>
        <v/>
      </c>
      <c r="G169" s="211" t="str">
        <f>IF(AND($F$7=1,'1_Full_time'!I67&lt;0),G$112&amp;", "&amp;G$113&amp;", Price group "&amp;$B169&amp;", "&amp;$C169&amp;" length, Level "&amp;$D169&amp;"; ","")</f>
        <v/>
      </c>
      <c r="H169" s="1609" t="str">
        <f>IF(AND($F$7=1,'1_Full_time'!J67&lt;0),H$112&amp;", "&amp;H$113&amp;", Price group "&amp;$B169&amp;", "&amp;$C169&amp;" length, Level "&amp;$D169&amp;"; ","")</f>
        <v/>
      </c>
      <c r="I169" s="7" t="str">
        <f>IF(AND($F$7=1,'1_Full_time'!K67&lt;0),I$112&amp;", "&amp;I$113&amp;", Price group "&amp;$B169&amp;", "&amp;$C169&amp;" length, Level "&amp;$D169&amp;"; ","")</f>
        <v/>
      </c>
      <c r="J169" s="211" t="str">
        <f>IF(AND($F$7=1,'1_Full_time'!L67&lt;0),J$112&amp;", "&amp;J$113&amp;", Price group "&amp;$B169&amp;", "&amp;$C169&amp;" length, Level "&amp;$D169&amp;"; ","")</f>
        <v/>
      </c>
      <c r="L169" s="118"/>
      <c r="S169" s="7"/>
      <c r="T169" s="7"/>
      <c r="W169" s="11"/>
      <c r="X169" s="11"/>
    </row>
    <row r="170" spans="2:24" x14ac:dyDescent="0.35">
      <c r="B170" s="20" t="s">
        <v>264</v>
      </c>
      <c r="C170" s="7" t="s">
        <v>218</v>
      </c>
      <c r="D170" s="13" t="s">
        <v>210</v>
      </c>
      <c r="E170" s="1609" t="str">
        <f>IF(AND($F$7=1,'1_Full_time'!G68&lt;0),E$112&amp;", "&amp;E$113&amp;", Price group "&amp;$B170&amp;", "&amp;$C170&amp;" length, Level "&amp;$D170&amp;"; ","")</f>
        <v/>
      </c>
      <c r="F170" s="7" t="str">
        <f>IF(AND($F$7=1,'1_Full_time'!H68&lt;0),F$112&amp;", "&amp;F$113&amp;", Price group "&amp;$B170&amp;", "&amp;$C170&amp;" length, Level "&amp;$D170&amp;"; ","")</f>
        <v/>
      </c>
      <c r="G170" s="211" t="str">
        <f>IF(AND($F$7=1,'1_Full_time'!I68&lt;0),G$112&amp;", "&amp;G$113&amp;", Price group "&amp;$B170&amp;", "&amp;$C170&amp;" length, Level "&amp;$D170&amp;"; ","")</f>
        <v/>
      </c>
      <c r="H170" s="1609" t="str">
        <f>IF(AND($F$7=1,'1_Full_time'!J68&lt;0),H$112&amp;", "&amp;H$113&amp;", Price group "&amp;$B170&amp;", "&amp;$C170&amp;" length, Level "&amp;$D170&amp;"; ","")</f>
        <v/>
      </c>
      <c r="I170" s="7" t="str">
        <f>IF(AND($F$7=1,'1_Full_time'!K68&lt;0),I$112&amp;", "&amp;I$113&amp;", Price group "&amp;$B170&amp;", "&amp;$C170&amp;" length, Level "&amp;$D170&amp;"; ","")</f>
        <v/>
      </c>
      <c r="J170" s="211" t="str">
        <f>IF(AND($F$7=1,'1_Full_time'!L68&lt;0),J$112&amp;", "&amp;J$113&amp;", Price group "&amp;$B170&amp;", "&amp;$C170&amp;" length, Level "&amp;$D170&amp;"; ","")</f>
        <v/>
      </c>
      <c r="L170" s="118"/>
      <c r="S170" s="7"/>
      <c r="T170" s="7"/>
      <c r="W170" s="11"/>
      <c r="X170" s="11"/>
    </row>
    <row r="171" spans="2:24" x14ac:dyDescent="0.35">
      <c r="B171" s="20" t="s">
        <v>264</v>
      </c>
      <c r="C171" s="7" t="s">
        <v>218</v>
      </c>
      <c r="D171" s="13" t="s">
        <v>212</v>
      </c>
      <c r="E171" s="1609" t="str">
        <f>IF(AND($F$7=1,'1_Full_time'!G69&lt;0),E$112&amp;", "&amp;E$113&amp;", Price group "&amp;$B171&amp;", "&amp;$C171&amp;" length, Level "&amp;$D171&amp;"; ","")</f>
        <v/>
      </c>
      <c r="F171" s="7" t="str">
        <f>IF(AND($F$7=1,'1_Full_time'!H69&lt;0),F$112&amp;", "&amp;F$113&amp;", Price group "&amp;$B171&amp;", "&amp;$C171&amp;" length, Level "&amp;$D171&amp;"; ","")</f>
        <v/>
      </c>
      <c r="G171" s="211" t="str">
        <f>IF(AND($F$7=1,'1_Full_time'!I69&lt;0),G$112&amp;", "&amp;G$113&amp;", Price group "&amp;$B171&amp;", "&amp;$C171&amp;" length, Level "&amp;$D171&amp;"; ","")</f>
        <v/>
      </c>
      <c r="H171" s="1609" t="str">
        <f>IF(AND($F$7=1,'1_Full_time'!J69&lt;0),H$112&amp;", "&amp;H$113&amp;", Price group "&amp;$B171&amp;", "&amp;$C171&amp;" length, Level "&amp;$D171&amp;"; ","")</f>
        <v/>
      </c>
      <c r="I171" s="7" t="str">
        <f>IF(AND($F$7=1,'1_Full_time'!K69&lt;0),I$112&amp;", "&amp;I$113&amp;", Price group "&amp;$B171&amp;", "&amp;$C171&amp;" length, Level "&amp;$D171&amp;"; ","")</f>
        <v/>
      </c>
      <c r="J171" s="211" t="str">
        <f>IF(AND($F$7=1,'1_Full_time'!L69&lt;0),J$112&amp;", "&amp;J$113&amp;", Price group "&amp;$B171&amp;", "&amp;$C171&amp;" length, Level "&amp;$D171&amp;"; ","")</f>
        <v/>
      </c>
      <c r="L171" s="118"/>
      <c r="S171" s="7"/>
      <c r="T171" s="7"/>
      <c r="W171" s="11"/>
      <c r="X171" s="11"/>
    </row>
    <row r="172" spans="2:24" x14ac:dyDescent="0.35">
      <c r="B172" s="20" t="s">
        <v>264</v>
      </c>
      <c r="C172" s="7" t="s">
        <v>218</v>
      </c>
      <c r="D172" s="13" t="s">
        <v>214</v>
      </c>
      <c r="E172" s="1609" t="str">
        <f>IF(AND($F$7=1,'1_Full_time'!G70&lt;0),E$112&amp;", "&amp;E$113&amp;", Price group "&amp;$B172&amp;", "&amp;$C172&amp;" length, Level "&amp;$D172&amp;"; ","")</f>
        <v/>
      </c>
      <c r="F172" s="7" t="str">
        <f>IF(AND($F$7=1,'1_Full_time'!H70&lt;0),F$112&amp;", "&amp;F$113&amp;", Price group "&amp;$B172&amp;", "&amp;$C172&amp;" length, Level "&amp;$D172&amp;"; ","")</f>
        <v/>
      </c>
      <c r="G172" s="211" t="str">
        <f>IF(AND($F$7=1,'1_Full_time'!I70&lt;0),G$112&amp;", "&amp;G$113&amp;", Price group "&amp;$B172&amp;", "&amp;$C172&amp;" length, Level "&amp;$D172&amp;"; ","")</f>
        <v/>
      </c>
      <c r="H172" s="1609" t="str">
        <f>IF(AND($F$7=1,'1_Full_time'!J70&lt;0),H$112&amp;", "&amp;H$113&amp;", Price group "&amp;$B172&amp;", "&amp;$C172&amp;" length, Level "&amp;$D172&amp;"; ","")</f>
        <v/>
      </c>
      <c r="I172" s="7" t="str">
        <f>IF(AND($F$7=1,'1_Full_time'!K70&lt;0),I$112&amp;", "&amp;I$113&amp;", Price group "&amp;$B172&amp;", "&amp;$C172&amp;" length, Level "&amp;$D172&amp;"; ","")</f>
        <v/>
      </c>
      <c r="J172" s="211" t="str">
        <f>IF(AND($F$7=1,'1_Full_time'!L70&lt;0),J$112&amp;", "&amp;J$113&amp;", Price group "&amp;$B172&amp;", "&amp;$C172&amp;" length, Level "&amp;$D172&amp;"; ","")</f>
        <v/>
      </c>
      <c r="L172" s="118"/>
      <c r="S172" s="7"/>
      <c r="T172" s="7"/>
      <c r="W172" s="11"/>
      <c r="X172" s="11"/>
    </row>
    <row r="173" spans="2:24" x14ac:dyDescent="0.35">
      <c r="B173" s="20" t="s">
        <v>264</v>
      </c>
      <c r="C173" s="7" t="s">
        <v>218</v>
      </c>
      <c r="D173" s="13" t="s">
        <v>216</v>
      </c>
      <c r="E173" s="1617"/>
      <c r="F173" s="7" t="str">
        <f>IF(AND($F$7=1,'1_Full_time'!H71&lt;0),F$112&amp;", "&amp;F$113&amp;", Price group "&amp;$B173&amp;", "&amp;$C173&amp;" length, Level "&amp;$D173&amp;"; ","")</f>
        <v/>
      </c>
      <c r="G173" s="211" t="str">
        <f>IF(AND($F$7=1,'1_Full_time'!I71&lt;0),G$112&amp;", "&amp;G$113&amp;", Price group "&amp;$B173&amp;", "&amp;$C173&amp;" length, Level "&amp;$D173&amp;"; ","")</f>
        <v/>
      </c>
      <c r="H173" s="1617"/>
      <c r="I173" s="7" t="str">
        <f>IF(AND($F$7=1,'1_Full_time'!K71&lt;0),I$112&amp;", "&amp;I$113&amp;", Price group "&amp;$B173&amp;", "&amp;$C173&amp;" length, Level "&amp;$D173&amp;"; ","")</f>
        <v/>
      </c>
      <c r="J173" s="211" t="str">
        <f>IF(AND($F$7=1,'1_Full_time'!L71&lt;0),J$112&amp;", "&amp;J$113&amp;", Price group "&amp;$B173&amp;", "&amp;$C173&amp;" length, Level "&amp;$D173&amp;"; ","")</f>
        <v/>
      </c>
      <c r="L173" s="118"/>
      <c r="S173" s="7"/>
      <c r="T173" s="7"/>
      <c r="W173" s="11"/>
      <c r="X173" s="11"/>
    </row>
    <row r="174" spans="2:24" x14ac:dyDescent="0.35">
      <c r="B174" s="20" t="s">
        <v>277</v>
      </c>
      <c r="C174" s="7" t="s">
        <v>204</v>
      </c>
      <c r="D174" s="13" t="s">
        <v>205</v>
      </c>
      <c r="E174" s="1720" t="str">
        <f>IF(AND($F$7=1,'1_Full_time'!G72&lt;0),E$112&amp;", "&amp;E$113&amp;", Price group "&amp;$B174&amp;", "&amp;$C174&amp;" length, Level "&amp;$D174&amp;"; ","")</f>
        <v/>
      </c>
      <c r="F174" s="1412" t="str">
        <f>IF(AND($F$7=1,'1_Full_time'!H72&lt;0),F$112&amp;", "&amp;F$113&amp;", Price group "&amp;$B174&amp;", "&amp;$C174&amp;" length, Level "&amp;$D174&amp;"; ","")</f>
        <v/>
      </c>
      <c r="G174" s="1789" t="str">
        <f>IF(AND($F$7=1,'1_Full_time'!I72&lt;0),G$112&amp;", "&amp;G$113&amp;", Price group "&amp;$B174&amp;", "&amp;$C174&amp;" length, Level "&amp;$D174&amp;"; ","")</f>
        <v/>
      </c>
      <c r="H174" s="1720" t="str">
        <f>IF(AND($F$7=1,'1_Full_time'!J72&lt;0),H$112&amp;", "&amp;H$113&amp;", Price group "&amp;$B174&amp;", "&amp;$C174&amp;" length, Level "&amp;$D174&amp;"; ","")</f>
        <v/>
      </c>
      <c r="I174" s="1412" t="str">
        <f>IF(AND($F$7=1,'1_Full_time'!K72&lt;0),I$112&amp;", "&amp;I$113&amp;", Price group "&amp;$B174&amp;", "&amp;$C174&amp;" length, Level "&amp;$D174&amp;"; ","")</f>
        <v/>
      </c>
      <c r="J174" s="1789" t="str">
        <f>IF(AND($F$7=1,'1_Full_time'!L72&lt;0),J$112&amp;", "&amp;J$113&amp;", Price group "&amp;$B174&amp;", "&amp;$C174&amp;" length, Level "&amp;$D174&amp;"; ","")</f>
        <v/>
      </c>
      <c r="L174" s="118"/>
      <c r="S174" s="7"/>
      <c r="T174" s="7"/>
      <c r="W174" s="11"/>
      <c r="X174" s="11"/>
    </row>
    <row r="175" spans="2:24" x14ac:dyDescent="0.35">
      <c r="B175" s="20" t="s">
        <v>277</v>
      </c>
      <c r="C175" s="7" t="s">
        <v>204</v>
      </c>
      <c r="D175" s="13" t="s">
        <v>208</v>
      </c>
      <c r="E175" s="1609" t="str">
        <f>IF(AND($F$7=1,'1_Full_time'!G73&lt;0),E$112&amp;", "&amp;E$113&amp;", Price group "&amp;$B175&amp;", "&amp;$C175&amp;" length, Level "&amp;$D175&amp;"; ","")</f>
        <v/>
      </c>
      <c r="F175" s="7" t="str">
        <f>IF(AND($F$7=1,'1_Full_time'!H73&lt;0),F$112&amp;", "&amp;F$113&amp;", Price group "&amp;$B175&amp;", "&amp;$C175&amp;" length, Level "&amp;$D175&amp;"; ","")</f>
        <v/>
      </c>
      <c r="G175" s="211" t="str">
        <f>IF(AND($F$7=1,'1_Full_time'!I73&lt;0),G$112&amp;", "&amp;G$113&amp;", Price group "&amp;$B175&amp;", "&amp;$C175&amp;" length, Level "&amp;$D175&amp;"; ","")</f>
        <v/>
      </c>
      <c r="H175" s="1609" t="str">
        <f>IF(AND($F$7=1,'1_Full_time'!J73&lt;0),H$112&amp;", "&amp;H$113&amp;", Price group "&amp;$B175&amp;", "&amp;$C175&amp;" length, Level "&amp;$D175&amp;"; ","")</f>
        <v/>
      </c>
      <c r="I175" s="7" t="str">
        <f>IF(AND($F$7=1,'1_Full_time'!K73&lt;0),I$112&amp;", "&amp;I$113&amp;", Price group "&amp;$B175&amp;", "&amp;$C175&amp;" length, Level "&amp;$D175&amp;"; ","")</f>
        <v/>
      </c>
      <c r="J175" s="211" t="str">
        <f>IF(AND($F$7=1,'1_Full_time'!L73&lt;0),J$112&amp;", "&amp;J$113&amp;", Price group "&amp;$B175&amp;", "&amp;$C175&amp;" length, Level "&amp;$D175&amp;"; ","")</f>
        <v/>
      </c>
      <c r="L175" s="118"/>
      <c r="S175" s="7"/>
      <c r="T175" s="7"/>
      <c r="W175" s="11"/>
      <c r="X175" s="11"/>
    </row>
    <row r="176" spans="2:24" x14ac:dyDescent="0.35">
      <c r="B176" s="20" t="s">
        <v>277</v>
      </c>
      <c r="C176" s="7" t="s">
        <v>204</v>
      </c>
      <c r="D176" s="13" t="s">
        <v>210</v>
      </c>
      <c r="E176" s="1609" t="str">
        <f>IF(AND($F$7=1,'1_Full_time'!G74&lt;0),E$112&amp;", "&amp;E$113&amp;", Price group "&amp;$B176&amp;", "&amp;$C176&amp;" length, Level "&amp;$D176&amp;"; ","")</f>
        <v/>
      </c>
      <c r="F176" s="7" t="str">
        <f>IF(AND($F$7=1,'1_Full_time'!H74&lt;0),F$112&amp;", "&amp;F$113&amp;", Price group "&amp;$B176&amp;", "&amp;$C176&amp;" length, Level "&amp;$D176&amp;"; ","")</f>
        <v/>
      </c>
      <c r="G176" s="211" t="str">
        <f>IF(AND($F$7=1,'1_Full_time'!I74&lt;0),G$112&amp;", "&amp;G$113&amp;", Price group "&amp;$B176&amp;", "&amp;$C176&amp;" length, Level "&amp;$D176&amp;"; ","")</f>
        <v/>
      </c>
      <c r="H176" s="1609" t="str">
        <f>IF(AND($F$7=1,'1_Full_time'!J74&lt;0),H$112&amp;", "&amp;H$113&amp;", Price group "&amp;$B176&amp;", "&amp;$C176&amp;" length, Level "&amp;$D176&amp;"; ","")</f>
        <v/>
      </c>
      <c r="I176" s="7" t="str">
        <f>IF(AND($F$7=1,'1_Full_time'!K74&lt;0),I$112&amp;", "&amp;I$113&amp;", Price group "&amp;$B176&amp;", "&amp;$C176&amp;" length, Level "&amp;$D176&amp;"; ","")</f>
        <v/>
      </c>
      <c r="J176" s="211" t="str">
        <f>IF(AND($F$7=1,'1_Full_time'!L74&lt;0),J$112&amp;", "&amp;J$113&amp;", Price group "&amp;$B176&amp;", "&amp;$C176&amp;" length, Level "&amp;$D176&amp;"; ","")</f>
        <v/>
      </c>
      <c r="L176" s="118"/>
      <c r="S176" s="7"/>
      <c r="T176" s="7"/>
      <c r="W176" s="11"/>
      <c r="X176" s="11"/>
    </row>
    <row r="177" spans="2:24" x14ac:dyDescent="0.35">
      <c r="B177" s="20" t="s">
        <v>277</v>
      </c>
      <c r="C177" s="7" t="s">
        <v>204</v>
      </c>
      <c r="D177" s="13" t="s">
        <v>212</v>
      </c>
      <c r="E177" s="1609" t="str">
        <f>IF(AND($F$7=1,'1_Full_time'!G75&lt;0),E$112&amp;", "&amp;E$113&amp;", Price group "&amp;$B177&amp;", "&amp;$C177&amp;" length, Level "&amp;$D177&amp;"; ","")</f>
        <v/>
      </c>
      <c r="F177" s="7" t="str">
        <f>IF(AND($F$7=1,'1_Full_time'!H75&lt;0),F$112&amp;", "&amp;F$113&amp;", Price group "&amp;$B177&amp;", "&amp;$C177&amp;" length, Level "&amp;$D177&amp;"; ","")</f>
        <v/>
      </c>
      <c r="G177" s="211" t="str">
        <f>IF(AND($F$7=1,'1_Full_time'!I75&lt;0),G$112&amp;", "&amp;G$113&amp;", Price group "&amp;$B177&amp;", "&amp;$C177&amp;" length, Level "&amp;$D177&amp;"; ","")</f>
        <v/>
      </c>
      <c r="H177" s="1609" t="str">
        <f>IF(AND($F$7=1,'1_Full_time'!J75&lt;0),H$112&amp;", "&amp;H$113&amp;", Price group "&amp;$B177&amp;", "&amp;$C177&amp;" length, Level "&amp;$D177&amp;"; ","")</f>
        <v/>
      </c>
      <c r="I177" s="7" t="str">
        <f>IF(AND($F$7=1,'1_Full_time'!K75&lt;0),I$112&amp;", "&amp;I$113&amp;", Price group "&amp;$B177&amp;", "&amp;$C177&amp;" length, Level "&amp;$D177&amp;"; ","")</f>
        <v/>
      </c>
      <c r="J177" s="211" t="str">
        <f>IF(AND($F$7=1,'1_Full_time'!L75&lt;0),J$112&amp;", "&amp;J$113&amp;", Price group "&amp;$B177&amp;", "&amp;$C177&amp;" length, Level "&amp;$D177&amp;"; ","")</f>
        <v/>
      </c>
      <c r="L177" s="118"/>
      <c r="S177" s="7"/>
      <c r="T177" s="7"/>
      <c r="W177" s="11"/>
      <c r="X177" s="11"/>
    </row>
    <row r="178" spans="2:24" x14ac:dyDescent="0.35">
      <c r="B178" s="20" t="s">
        <v>277</v>
      </c>
      <c r="C178" s="7" t="s">
        <v>204</v>
      </c>
      <c r="D178" s="13" t="s">
        <v>214</v>
      </c>
      <c r="E178" s="1609" t="str">
        <f>IF(AND($F$7=1,'1_Full_time'!G76&lt;0),E$112&amp;", "&amp;E$113&amp;", Price group "&amp;$B178&amp;", "&amp;$C178&amp;" length, Level "&amp;$D178&amp;"; ","")</f>
        <v/>
      </c>
      <c r="F178" s="7" t="str">
        <f>IF(AND($F$7=1,'1_Full_time'!H76&lt;0),F$112&amp;", "&amp;F$113&amp;", Price group "&amp;$B178&amp;", "&amp;$C178&amp;" length, Level "&amp;$D178&amp;"; ","")</f>
        <v/>
      </c>
      <c r="G178" s="211" t="str">
        <f>IF(AND($F$7=1,'1_Full_time'!I76&lt;0),G$112&amp;", "&amp;G$113&amp;", Price group "&amp;$B178&amp;", "&amp;$C178&amp;" length, Level "&amp;$D178&amp;"; ","")</f>
        <v/>
      </c>
      <c r="H178" s="1609" t="str">
        <f>IF(AND($F$7=1,'1_Full_time'!J76&lt;0),H$112&amp;", "&amp;H$113&amp;", Price group "&amp;$B178&amp;", "&amp;$C178&amp;" length, Level "&amp;$D178&amp;"; ","")</f>
        <v/>
      </c>
      <c r="I178" s="7" t="str">
        <f>IF(AND($F$7=1,'1_Full_time'!K76&lt;0),I$112&amp;", "&amp;I$113&amp;", Price group "&amp;$B178&amp;", "&amp;$C178&amp;" length, Level "&amp;$D178&amp;"; ","")</f>
        <v/>
      </c>
      <c r="J178" s="211" t="str">
        <f>IF(AND($F$7=1,'1_Full_time'!L76&lt;0),J$112&amp;", "&amp;J$113&amp;", Price group "&amp;$B178&amp;", "&amp;$C178&amp;" length, Level "&amp;$D178&amp;"; ","")</f>
        <v/>
      </c>
      <c r="L178" s="118"/>
      <c r="S178" s="7"/>
      <c r="T178" s="7"/>
      <c r="W178" s="11"/>
      <c r="X178" s="11"/>
    </row>
    <row r="179" spans="2:24" x14ac:dyDescent="0.35">
      <c r="B179" s="20" t="s">
        <v>277</v>
      </c>
      <c r="C179" s="7" t="s">
        <v>204</v>
      </c>
      <c r="D179" s="13" t="s">
        <v>216</v>
      </c>
      <c r="E179" s="1428"/>
      <c r="F179" s="1429" t="str">
        <f>IF(AND($F$7=1,'1_Full_time'!H77&lt;0),F$112&amp;", "&amp;F$113&amp;", Price group "&amp;$B179&amp;", "&amp;$C179&amp;" length, Level "&amp;$D179&amp;"; ","")</f>
        <v/>
      </c>
      <c r="G179" s="1430" t="str">
        <f>IF(AND($F$7=1,'1_Full_time'!I77&lt;0),G$112&amp;", "&amp;G$113&amp;", Price group "&amp;$B179&amp;", "&amp;$C179&amp;" length, Level "&amp;$D179&amp;"; ","")</f>
        <v/>
      </c>
      <c r="H179" s="1428"/>
      <c r="I179" s="1429" t="str">
        <f>IF(AND($F$7=1,'1_Full_time'!K77&lt;0),I$112&amp;", "&amp;I$113&amp;", Price group "&amp;$B179&amp;", "&amp;$C179&amp;" length, Level "&amp;$D179&amp;"; ","")</f>
        <v/>
      </c>
      <c r="J179" s="1430" t="str">
        <f>IF(AND($F$7=1,'1_Full_time'!L77&lt;0),J$112&amp;", "&amp;J$113&amp;", Price group "&amp;$B179&amp;", "&amp;$C179&amp;" length, Level "&amp;$D179&amp;"; ","")</f>
        <v/>
      </c>
      <c r="L179" s="118"/>
      <c r="S179" s="7"/>
      <c r="T179" s="7"/>
      <c r="W179" s="11"/>
      <c r="X179" s="11"/>
    </row>
    <row r="180" spans="2:24" x14ac:dyDescent="0.35">
      <c r="B180" s="20" t="s">
        <v>277</v>
      </c>
      <c r="C180" s="7" t="s">
        <v>218</v>
      </c>
      <c r="D180" s="13" t="s">
        <v>205</v>
      </c>
      <c r="E180" s="1609" t="str">
        <f>IF(AND($F$7=1,'1_Full_time'!G78&lt;0),E$112&amp;", "&amp;E$113&amp;", Price group "&amp;$B180&amp;", "&amp;$C180&amp;" length, Level "&amp;$D180&amp;"; ","")</f>
        <v/>
      </c>
      <c r="F180" s="7" t="str">
        <f>IF(AND($F$7=1,'1_Full_time'!H78&lt;0),F$112&amp;", "&amp;F$113&amp;", Price group "&amp;$B180&amp;", "&amp;$C180&amp;" length, Level "&amp;$D180&amp;"; ","")</f>
        <v/>
      </c>
      <c r="G180" s="211" t="str">
        <f>IF(AND($F$7=1,'1_Full_time'!I78&lt;0),G$112&amp;", "&amp;G$113&amp;", Price group "&amp;$B180&amp;", "&amp;$C180&amp;" length, Level "&amp;$D180&amp;"; ","")</f>
        <v/>
      </c>
      <c r="H180" s="1609" t="str">
        <f>IF(AND($F$7=1,'1_Full_time'!J78&lt;0),H$112&amp;", "&amp;H$113&amp;", Price group "&amp;$B180&amp;", "&amp;$C180&amp;" length, Level "&amp;$D180&amp;"; ","")</f>
        <v/>
      </c>
      <c r="I180" s="7" t="str">
        <f>IF(AND($F$7=1,'1_Full_time'!K78&lt;0),I$112&amp;", "&amp;I$113&amp;", Price group "&amp;$B180&amp;", "&amp;$C180&amp;" length, Level "&amp;$D180&amp;"; ","")</f>
        <v/>
      </c>
      <c r="J180" s="211" t="str">
        <f>IF(AND($F$7=1,'1_Full_time'!L78&lt;0),J$112&amp;", "&amp;J$113&amp;", Price group "&amp;$B180&amp;", "&amp;$C180&amp;" length, Level "&amp;$D180&amp;"; ","")</f>
        <v/>
      </c>
      <c r="L180" s="118"/>
      <c r="S180" s="7"/>
      <c r="T180" s="7"/>
      <c r="W180" s="7"/>
      <c r="X180" s="7"/>
    </row>
    <row r="181" spans="2:24" x14ac:dyDescent="0.35">
      <c r="B181" s="20" t="s">
        <v>277</v>
      </c>
      <c r="C181" s="7" t="s">
        <v>218</v>
      </c>
      <c r="D181" s="13" t="s">
        <v>208</v>
      </c>
      <c r="E181" s="1609" t="str">
        <f>IF(AND($F$7=1,'1_Full_time'!G79&lt;0),E$112&amp;", "&amp;E$113&amp;", Price group "&amp;$B181&amp;", "&amp;$C181&amp;" length, Level "&amp;$D181&amp;"; ","")</f>
        <v/>
      </c>
      <c r="F181" s="7" t="str">
        <f>IF(AND($F$7=1,'1_Full_time'!H79&lt;0),F$112&amp;", "&amp;F$113&amp;", Price group "&amp;$B181&amp;", "&amp;$C181&amp;" length, Level "&amp;$D181&amp;"; ","")</f>
        <v/>
      </c>
      <c r="G181" s="211" t="str">
        <f>IF(AND($F$7=1,'1_Full_time'!I79&lt;0),G$112&amp;", "&amp;G$113&amp;", Price group "&amp;$B181&amp;", "&amp;$C181&amp;" length, Level "&amp;$D181&amp;"; ","")</f>
        <v/>
      </c>
      <c r="H181" s="1609" t="str">
        <f>IF(AND($F$7=1,'1_Full_time'!J79&lt;0),H$112&amp;", "&amp;H$113&amp;", Price group "&amp;$B181&amp;", "&amp;$C181&amp;" length, Level "&amp;$D181&amp;"; ","")</f>
        <v/>
      </c>
      <c r="I181" s="7" t="str">
        <f>IF(AND($F$7=1,'1_Full_time'!K79&lt;0),I$112&amp;", "&amp;I$113&amp;", Price group "&amp;$B181&amp;", "&amp;$C181&amp;" length, Level "&amp;$D181&amp;"; ","")</f>
        <v/>
      </c>
      <c r="J181" s="211" t="str">
        <f>IF(AND($F$7=1,'1_Full_time'!L79&lt;0),J$112&amp;", "&amp;J$113&amp;", Price group "&amp;$B181&amp;", "&amp;$C181&amp;" length, Level "&amp;$D181&amp;"; ","")</f>
        <v/>
      </c>
      <c r="L181" s="118"/>
      <c r="S181" s="7"/>
      <c r="T181" s="7"/>
      <c r="W181" s="7"/>
      <c r="X181" s="7"/>
    </row>
    <row r="182" spans="2:24" x14ac:dyDescent="0.35">
      <c r="B182" s="20" t="s">
        <v>277</v>
      </c>
      <c r="C182" s="7" t="s">
        <v>218</v>
      </c>
      <c r="D182" s="13" t="s">
        <v>210</v>
      </c>
      <c r="E182" s="1609" t="str">
        <f>IF(AND($F$7=1,'1_Full_time'!G80&lt;0),E$112&amp;", "&amp;E$113&amp;", Price group "&amp;$B182&amp;", "&amp;$C182&amp;" length, Level "&amp;$D182&amp;"; ","")</f>
        <v/>
      </c>
      <c r="F182" s="7" t="str">
        <f>IF(AND($F$7=1,'1_Full_time'!H80&lt;0),F$112&amp;", "&amp;F$113&amp;", Price group "&amp;$B182&amp;", "&amp;$C182&amp;" length, Level "&amp;$D182&amp;"; ","")</f>
        <v/>
      </c>
      <c r="G182" s="211" t="str">
        <f>IF(AND($F$7=1,'1_Full_time'!I80&lt;0),G$112&amp;", "&amp;G$113&amp;", Price group "&amp;$B182&amp;", "&amp;$C182&amp;" length, Level "&amp;$D182&amp;"; ","")</f>
        <v/>
      </c>
      <c r="H182" s="1609" t="str">
        <f>IF(AND($F$7=1,'1_Full_time'!J80&lt;0),H$112&amp;", "&amp;H$113&amp;", Price group "&amp;$B182&amp;", "&amp;$C182&amp;" length, Level "&amp;$D182&amp;"; ","")</f>
        <v/>
      </c>
      <c r="I182" s="7" t="str">
        <f>IF(AND($F$7=1,'1_Full_time'!K80&lt;0),I$112&amp;", "&amp;I$113&amp;", Price group "&amp;$B182&amp;", "&amp;$C182&amp;" length, Level "&amp;$D182&amp;"; ","")</f>
        <v/>
      </c>
      <c r="J182" s="211" t="str">
        <f>IF(AND($F$7=1,'1_Full_time'!L80&lt;0),J$112&amp;", "&amp;J$113&amp;", Price group "&amp;$B182&amp;", "&amp;$C182&amp;" length, Level "&amp;$D182&amp;"; ","")</f>
        <v/>
      </c>
      <c r="L182" s="118"/>
      <c r="S182" s="7"/>
      <c r="T182" s="7"/>
      <c r="W182" s="7"/>
      <c r="X182" s="7"/>
    </row>
    <row r="183" spans="2:24" x14ac:dyDescent="0.35">
      <c r="B183" s="20" t="s">
        <v>277</v>
      </c>
      <c r="C183" s="7" t="s">
        <v>218</v>
      </c>
      <c r="D183" s="13" t="s">
        <v>212</v>
      </c>
      <c r="E183" s="1609" t="str">
        <f>IF(AND($F$7=1,'1_Full_time'!G81&lt;0),E$112&amp;", "&amp;E$113&amp;", Price group "&amp;$B183&amp;", "&amp;$C183&amp;" length, Level "&amp;$D183&amp;"; ","")</f>
        <v/>
      </c>
      <c r="F183" s="7" t="str">
        <f>IF(AND($F$7=1,'1_Full_time'!H81&lt;0),F$112&amp;", "&amp;F$113&amp;", Price group "&amp;$B183&amp;", "&amp;$C183&amp;" length, Level "&amp;$D183&amp;"; ","")</f>
        <v/>
      </c>
      <c r="G183" s="211" t="str">
        <f>IF(AND($F$7=1,'1_Full_time'!I81&lt;0),G$112&amp;", "&amp;G$113&amp;", Price group "&amp;$B183&amp;", "&amp;$C183&amp;" length, Level "&amp;$D183&amp;"; ","")</f>
        <v/>
      </c>
      <c r="H183" s="1609" t="str">
        <f>IF(AND($F$7=1,'1_Full_time'!J81&lt;0),H$112&amp;", "&amp;H$113&amp;", Price group "&amp;$B183&amp;", "&amp;$C183&amp;" length, Level "&amp;$D183&amp;"; ","")</f>
        <v/>
      </c>
      <c r="I183" s="7" t="str">
        <f>IF(AND($F$7=1,'1_Full_time'!K81&lt;0),I$112&amp;", "&amp;I$113&amp;", Price group "&amp;$B183&amp;", "&amp;$C183&amp;" length, Level "&amp;$D183&amp;"; ","")</f>
        <v/>
      </c>
      <c r="J183" s="211" t="str">
        <f>IF(AND($F$7=1,'1_Full_time'!L81&lt;0),J$112&amp;", "&amp;J$113&amp;", Price group "&amp;$B183&amp;", "&amp;$C183&amp;" length, Level "&amp;$D183&amp;"; ","")</f>
        <v/>
      </c>
      <c r="L183" s="118"/>
      <c r="S183" s="7"/>
      <c r="T183" s="7"/>
      <c r="W183" s="7"/>
      <c r="X183" s="7"/>
    </row>
    <row r="184" spans="2:24" x14ac:dyDescent="0.35">
      <c r="B184" s="20" t="s">
        <v>277</v>
      </c>
      <c r="C184" s="7" t="s">
        <v>218</v>
      </c>
      <c r="D184" s="13" t="s">
        <v>214</v>
      </c>
      <c r="E184" s="1609" t="str">
        <f>IF(AND($F$7=1,'1_Full_time'!G82&lt;0),E$112&amp;", "&amp;E$113&amp;", Price group "&amp;$B184&amp;", "&amp;$C184&amp;" length, Level "&amp;$D184&amp;"; ","")</f>
        <v/>
      </c>
      <c r="F184" s="7" t="str">
        <f>IF(AND($F$7=1,'1_Full_time'!H82&lt;0),F$112&amp;", "&amp;F$113&amp;", Price group "&amp;$B184&amp;", "&amp;$C184&amp;" length, Level "&amp;$D184&amp;"; ","")</f>
        <v/>
      </c>
      <c r="G184" s="211" t="str">
        <f>IF(AND($F$7=1,'1_Full_time'!I82&lt;0),G$112&amp;", "&amp;G$113&amp;", Price group "&amp;$B184&amp;", "&amp;$C184&amp;" length, Level "&amp;$D184&amp;"; ","")</f>
        <v/>
      </c>
      <c r="H184" s="1609" t="str">
        <f>IF(AND($F$7=1,'1_Full_time'!J82&lt;0),H$112&amp;", "&amp;H$113&amp;", Price group "&amp;$B184&amp;", "&amp;$C184&amp;" length, Level "&amp;$D184&amp;"; ","")</f>
        <v/>
      </c>
      <c r="I184" s="7" t="str">
        <f>IF(AND($F$7=1,'1_Full_time'!K82&lt;0),I$112&amp;", "&amp;I$113&amp;", Price group "&amp;$B184&amp;", "&amp;$C184&amp;" length, Level "&amp;$D184&amp;"; ","")</f>
        <v/>
      </c>
      <c r="J184" s="211" t="str">
        <f>IF(AND($F$7=1,'1_Full_time'!L82&lt;0),J$112&amp;", "&amp;J$113&amp;", Price group "&amp;$B184&amp;", "&amp;$C184&amp;" length, Level "&amp;$D184&amp;"; ","")</f>
        <v/>
      </c>
      <c r="L184" s="118"/>
      <c r="S184" s="7"/>
      <c r="T184" s="7"/>
      <c r="W184" s="7"/>
      <c r="X184" s="7"/>
    </row>
    <row r="185" spans="2:24" x14ac:dyDescent="0.35">
      <c r="B185" s="20" t="s">
        <v>277</v>
      </c>
      <c r="C185" s="7" t="s">
        <v>218</v>
      </c>
      <c r="D185" s="13" t="s">
        <v>216</v>
      </c>
      <c r="E185" s="1432"/>
      <c r="F185" s="1409" t="str">
        <f>IF(AND($F$7=1,'1_Full_time'!H83&lt;0),F$112&amp;", "&amp;F$113&amp;", Price group "&amp;$B185&amp;", "&amp;$C185&amp;" length, Level "&amp;$D185&amp;"; ","")</f>
        <v/>
      </c>
      <c r="G185" s="1433" t="str">
        <f>IF(AND($F$7=1,'1_Full_time'!I83&lt;0),G$112&amp;", "&amp;G$113&amp;", Price group "&amp;$B185&amp;", "&amp;$C185&amp;" length, Level "&amp;$D185&amp;"; ","")</f>
        <v/>
      </c>
      <c r="H185" s="1432"/>
      <c r="I185" s="1409" t="str">
        <f>IF(AND($F$7=1,'1_Full_time'!K83&lt;0),I$112&amp;", "&amp;I$113&amp;", Price group "&amp;$B185&amp;", "&amp;$C185&amp;" length, Level "&amp;$D185&amp;"; ","")</f>
        <v/>
      </c>
      <c r="J185" s="1433" t="str">
        <f>IF(AND($F$7=1,'1_Full_time'!L83&lt;0),J$112&amp;", "&amp;J$113&amp;", Price group "&amp;$B185&amp;", "&amp;$C185&amp;" length, Level "&amp;$D185&amp;"; ","")</f>
        <v/>
      </c>
      <c r="L185" s="118"/>
      <c r="S185" s="7"/>
      <c r="T185" s="7"/>
      <c r="W185" s="7"/>
      <c r="X185" s="7"/>
    </row>
    <row r="186" spans="2:24" x14ac:dyDescent="0.35">
      <c r="B186" s="1284"/>
      <c r="C186" s="7"/>
      <c r="D186" s="7"/>
      <c r="F186" s="53"/>
      <c r="G186" s="53"/>
      <c r="H186" s="53"/>
      <c r="I186" s="53"/>
      <c r="J186" s="53"/>
      <c r="L186" s="118"/>
      <c r="S186" s="7"/>
      <c r="T186" s="7"/>
      <c r="W186" s="7"/>
      <c r="X186" s="7"/>
    </row>
    <row r="187" spans="2:24" x14ac:dyDescent="0.35">
      <c r="B187" s="1284"/>
      <c r="C187" s="7"/>
      <c r="D187" s="7"/>
      <c r="E187" s="1790" t="str">
        <f>CONCATENATE(E114,E115,E116,E117,E118,E120,E121,E122,E123,E124,E126,E127,E128,E129,E130,E132,E133,E134,E135,E136,E138,E139,E140,E141,E142,E144,E145,E146,E147,E148,E150,E151,E152,E153,E154,E156,E157,E158,E159,E160,E162,E163,E164,E165,E166,E168,E169,E170,E171,E172,E174,E175,E176,E177,E178,E180,E181,E182,E183,E184)</f>
        <v/>
      </c>
      <c r="F187" s="1790" t="str">
        <f t="shared" ref="F187:J187" si="41">CONCATENATE(F114,F115,F116,F117,F118,F119,F120,F121,F122,F123,F124,F125,F126,F127,F128,F129,F130,F131,F132,F133,F134,F135,F136,F137,F138,F139,F140,F141,F142,F143,F144,F145,F146,F147,F148,F149,F150,F151,F152,F153,F154,F155,F156,F157,F158,F159,F160,F161,F162,F163,F164,F165,F166,F167,F168,F169,F170,F171,F172,F173,F174,F175,F176,F177,F178,F179,F180,F181,F182,F183,F184,F185)</f>
        <v/>
      </c>
      <c r="G187" s="1790" t="str">
        <f t="shared" si="41"/>
        <v/>
      </c>
      <c r="H187" s="1790" t="str">
        <f>CONCATENATE(H114,H115,H116,H117,H118,H120,H121,H122,H123,H124,H126,H127,H128,H129,H130,H132,H133,H134,H135,H136,H138,H139,H140,H141,H142,H144,H145,H146,H147,H148,H150,H151,H152,H153,H154,H156,H157,H158,H159,H160,H162,H163,H164,H165,H166,H168,H169,H170,H171,H172,H174,H175,H176,H177,H178,H180,H181,H182,H183,H184)</f>
        <v/>
      </c>
      <c r="I187" s="1790" t="str">
        <f t="shared" si="41"/>
        <v/>
      </c>
      <c r="J187" s="1790" t="str">
        <f t="shared" si="41"/>
        <v/>
      </c>
      <c r="L187" s="118"/>
      <c r="S187" s="7"/>
      <c r="T187" s="7"/>
      <c r="W187" s="7"/>
      <c r="X187" s="7"/>
    </row>
    <row r="188" spans="2:24" x14ac:dyDescent="0.35">
      <c r="B188" s="1284"/>
      <c r="C188" s="7"/>
      <c r="D188" s="7"/>
      <c r="E188" s="11" t="s">
        <v>28281</v>
      </c>
      <c r="F188" s="7"/>
      <c r="G188" s="7"/>
      <c r="H188" s="7"/>
      <c r="I188" s="7"/>
      <c r="J188" s="7"/>
      <c r="L188" s="118"/>
      <c r="S188" s="7"/>
      <c r="T188" s="7"/>
      <c r="W188" s="7"/>
      <c r="X188" s="7"/>
    </row>
    <row r="189" spans="2:24" x14ac:dyDescent="0.35">
      <c r="B189" s="1284"/>
      <c r="C189" s="1721" t="str">
        <f>E189&amp;H189</f>
        <v/>
      </c>
      <c r="D189" s="7"/>
      <c r="E189" s="1723" t="str">
        <f>E187&amp;F187&amp;G187</f>
        <v/>
      </c>
      <c r="F189" s="7"/>
      <c r="G189" s="7"/>
      <c r="H189" s="1724" t="str">
        <f>H187&amp;I187&amp;J187</f>
        <v/>
      </c>
      <c r="I189" s="7"/>
      <c r="J189" s="7"/>
      <c r="L189" s="118"/>
      <c r="S189" s="7"/>
      <c r="T189" s="7"/>
      <c r="W189" s="7"/>
      <c r="X189" s="7"/>
    </row>
    <row r="190" spans="2:24" x14ac:dyDescent="0.35">
      <c r="B190" s="1423"/>
      <c r="C190" s="1424"/>
      <c r="D190" s="1424"/>
      <c r="E190" s="1424"/>
      <c r="F190" s="1424"/>
      <c r="G190" s="1424"/>
      <c r="H190" s="1424"/>
      <c r="I190" s="1424"/>
      <c r="J190" s="1424"/>
      <c r="K190" s="1424"/>
      <c r="L190" s="1372"/>
      <c r="M190" s="133"/>
      <c r="N190" s="133"/>
      <c r="O190" s="133"/>
      <c r="P190" s="133"/>
      <c r="Q190" s="133"/>
      <c r="R190" s="7"/>
      <c r="S190" s="7"/>
      <c r="T190" s="7"/>
      <c r="W190" s="7"/>
      <c r="X190" s="7"/>
    </row>
    <row r="191" spans="2:24" x14ac:dyDescent="0.35">
      <c r="B191" s="2150" t="s">
        <v>28270</v>
      </c>
      <c r="C191" s="1389"/>
      <c r="D191" s="1389"/>
      <c r="E191" s="128"/>
      <c r="F191" s="128"/>
      <c r="G191" s="128"/>
      <c r="H191" s="128"/>
      <c r="I191" s="128"/>
      <c r="J191" s="128"/>
      <c r="K191" s="128"/>
      <c r="L191" s="2157" t="s">
        <v>28271</v>
      </c>
      <c r="O191" s="128"/>
      <c r="P191" s="128"/>
      <c r="Q191" s="128"/>
      <c r="R191" s="128"/>
      <c r="S191" s="128"/>
      <c r="T191" s="128"/>
      <c r="U191" s="129"/>
    </row>
    <row r="192" spans="2:24" x14ac:dyDescent="0.35">
      <c r="B192" s="622"/>
      <c r="C192" s="8"/>
      <c r="D192" s="8"/>
      <c r="E192" s="184" t="s">
        <v>27679</v>
      </c>
      <c r="F192" s="184" t="s">
        <v>27679</v>
      </c>
      <c r="G192" s="184" t="s">
        <v>27679</v>
      </c>
      <c r="H192" s="184" t="s">
        <v>27680</v>
      </c>
      <c r="I192" s="184" t="s">
        <v>27680</v>
      </c>
      <c r="J192" s="184" t="s">
        <v>27680</v>
      </c>
      <c r="L192" s="130"/>
      <c r="O192" s="11" t="s">
        <v>27679</v>
      </c>
      <c r="P192" s="11" t="s">
        <v>27679</v>
      </c>
      <c r="Q192" s="11" t="s">
        <v>27679</v>
      </c>
      <c r="R192" s="11" t="s">
        <v>27680</v>
      </c>
      <c r="S192" s="11" t="s">
        <v>27680</v>
      </c>
      <c r="T192" s="11" t="s">
        <v>27680</v>
      </c>
      <c r="U192" s="131"/>
    </row>
    <row r="193" spans="2:21" ht="13.15" x14ac:dyDescent="0.35">
      <c r="B193" s="622"/>
      <c r="C193" s="8"/>
      <c r="D193" s="196"/>
      <c r="E193" t="s">
        <v>192</v>
      </c>
      <c r="F193" t="s">
        <v>193</v>
      </c>
      <c r="G193" t="s">
        <v>194</v>
      </c>
      <c r="H193" t="s">
        <v>192</v>
      </c>
      <c r="I193" t="s">
        <v>193</v>
      </c>
      <c r="J193" t="s">
        <v>194</v>
      </c>
      <c r="L193" s="623"/>
      <c r="M193" s="182"/>
      <c r="N193" s="182"/>
      <c r="O193" t="s">
        <v>192</v>
      </c>
      <c r="P193" t="s">
        <v>193</v>
      </c>
      <c r="Q193" t="s">
        <v>194</v>
      </c>
      <c r="R193" t="s">
        <v>192</v>
      </c>
      <c r="S193" t="s">
        <v>193</v>
      </c>
      <c r="T193" t="s">
        <v>194</v>
      </c>
      <c r="U193" s="624"/>
    </row>
    <row r="194" spans="2:21" ht="13.15" x14ac:dyDescent="0.35">
      <c r="B194" s="325" t="s">
        <v>203</v>
      </c>
      <c r="C194" s="7" t="s">
        <v>204</v>
      </c>
      <c r="D194" s="136" t="s">
        <v>205</v>
      </c>
      <c r="E194" s="2153" t="str">
        <f>IF(AND($K$7=1,FEC=1,OR('1_Full_time'!D12&lt;&gt;0,'1_Full_time'!G12&lt;&gt;0)),CONCATENATE(E$192,", ",E$193,", ",$C194," length, ","Level ",$D194,"; "),"")</f>
        <v/>
      </c>
      <c r="F194" s="311" t="str">
        <f>IF(AND($K$7=1,FEC=1,OR('1_Full_time'!E12&lt;&gt;0,'1_Full_time'!H12&lt;&gt;0)),CONCATENATE(F$192,", ",F$193,", ",$C194," length, ","Level ",$D194,"; "),"")</f>
        <v/>
      </c>
      <c r="G194" s="311" t="str">
        <f>IF(AND($K$7=1,FEC=1,OR('1_Full_time'!F12&lt;&gt;0,'1_Full_time'!I12&lt;&gt;0)),CONCATENATE(G$192,", ",G$193,", ",$C194," length, ","Level ",$D194,"; "),"")</f>
        <v/>
      </c>
      <c r="H194" s="1725" t="str">
        <f>IF(AND($K$7=1,FEC=1,'1_Full_time'!J12&lt;&gt;0),CONCATENATE(H$192,", ",H$193,", ",$C194," length, ","Level ",$D194,"; "),"")</f>
        <v/>
      </c>
      <c r="I194" s="311" t="str">
        <f>IF(AND($K$7=1,FEC=1,'1_Full_time'!K12&lt;&gt;0),CONCATENATE(I$192,", ",I$193,", ",$C194," length, ","Level ",$D194,"; "),"")</f>
        <v/>
      </c>
      <c r="J194" s="1726" t="str">
        <f>IF(AND($K$7=1,FEC=1,'1_Full_time'!L12&lt;&gt;0),CONCATENATE(J$192,", ",J$193,", ",$C194," length, ","Level ",$D194,"; "),"")</f>
        <v/>
      </c>
      <c r="L194" s="621"/>
      <c r="M194" s="182"/>
      <c r="N194" s="625"/>
      <c r="O194" s="1791"/>
      <c r="P194" s="626"/>
      <c r="Q194" s="1792"/>
      <c r="R194" s="1791"/>
      <c r="S194" s="626"/>
      <c r="T194" s="1792"/>
      <c r="U194" s="624"/>
    </row>
    <row r="195" spans="2:21" ht="13.15" x14ac:dyDescent="0.35">
      <c r="B195" s="325" t="s">
        <v>203</v>
      </c>
      <c r="C195" s="7" t="s">
        <v>204</v>
      </c>
      <c r="D195" s="136" t="s">
        <v>208</v>
      </c>
      <c r="E195" s="2154" t="str">
        <f>IF(AND($K$7=1,FEC=1,OR('1_Full_time'!D13&lt;&gt;0,'1_Full_time'!G13&lt;&gt;0)),CONCATENATE(E$192,", ",E$193,", ",$C195," length, ","Level ",$D195,"; "),"")</f>
        <v/>
      </c>
      <c r="F195" s="310" t="str">
        <f>IF(AND($K$7=1,FEC=1,OR('1_Full_time'!E13&lt;&gt;0,'1_Full_time'!H13&lt;&gt;0)),CONCATENATE(F$192,", ",F$193,", ",$C195," length, ","Level ",$D195,"; "),"")</f>
        <v/>
      </c>
      <c r="G195" s="310" t="str">
        <f>IF(AND($K$7=1,FEC=1,OR('1_Full_time'!F13&lt;&gt;0,'1_Full_time'!I13&lt;&gt;0)),CONCATENATE(G$192,", ",G$193,", ",$C195," length, ","Level ",$D195,"; "),"")</f>
        <v/>
      </c>
      <c r="H195" s="1618" t="str">
        <f>IF(AND($K$7=1,FEC=1,'1_Full_time'!J13&lt;&gt;0),CONCATENATE(H$192,", ",H$193,", ",$C195," length, ","Level ",$D195,"; "),"")</f>
        <v/>
      </c>
      <c r="I195" s="310" t="str">
        <f>IF(AND($K$7=1,FEC=1,'1_Full_time'!K13&lt;&gt;0),CONCATENATE(I$192,", ",I$193,", ",$C195," length, ","Level ",$D195,"; "),"")</f>
        <v/>
      </c>
      <c r="J195" s="312" t="str">
        <f>IF(AND($K$7=1,FEC=1,'1_Full_time'!L13&lt;&gt;0),CONCATENATE(J$192,", ",J$193,", ",$C195," length, ","Level ",$D195,"; "),"")</f>
        <v/>
      </c>
      <c r="L195" s="325"/>
      <c r="N195" s="183"/>
      <c r="O195" s="1619"/>
      <c r="P195" s="323"/>
      <c r="Q195" s="324"/>
      <c r="R195" s="1619"/>
      <c r="S195" s="323"/>
      <c r="T195" s="324"/>
      <c r="U195" s="131"/>
    </row>
    <row r="196" spans="2:21" ht="13.15" x14ac:dyDescent="0.35">
      <c r="B196" s="325" t="s">
        <v>203</v>
      </c>
      <c r="C196" s="7" t="s">
        <v>204</v>
      </c>
      <c r="D196" s="136" t="s">
        <v>210</v>
      </c>
      <c r="E196" s="2154" t="str">
        <f>IF(AND($K$7=1,FEC=1,OR('1_Full_time'!D14&lt;&gt;0,'1_Full_time'!G14&lt;&gt;0)),CONCATENATE(E$192,", ",E$193,", ",$C196," length, ","Level ",$D196,"; "),"")</f>
        <v/>
      </c>
      <c r="F196" s="310" t="str">
        <f>IF(AND($K$7=1,FEC=1,OR('1_Full_time'!E14&lt;&gt;0,'1_Full_time'!H14&lt;&gt;0)),CONCATENATE(F$192,", ",F$193,", ",$C196," length, ","Level ",$D196,"; "),"")</f>
        <v/>
      </c>
      <c r="G196" s="310" t="str">
        <f>IF(AND($K$7=1,FEC=1,OR('1_Full_time'!F14&lt;&gt;0,'1_Full_time'!I14&lt;&gt;0)),CONCATENATE(G$192,", ",G$193,", ",$C196," length, ","Level ",$D196,"; "),"")</f>
        <v/>
      </c>
      <c r="H196" s="1618" t="str">
        <f>IF(AND($K$7=1,FEC=1,'1_Full_time'!J14&lt;&gt;0),CONCATENATE(H$192,", ",H$193,", ",$C196," length, ","Level ",$D196,"; "),"")</f>
        <v/>
      </c>
      <c r="I196" s="310" t="str">
        <f>IF(AND($K$7=1,FEC=1,'1_Full_time'!K14&lt;&gt;0),CONCATENATE(I$192,", ",I$193,", ",$C196," length, ","Level ",$D196,"; "),"")</f>
        <v/>
      </c>
      <c r="J196" s="312" t="str">
        <f>IF(AND($K$7=1,FEC=1,'1_Full_time'!L14&lt;&gt;0),CONCATENATE(J$192,", ",J$193,", ",$C196," length, ","Level ",$D196,"; "),"")</f>
        <v/>
      </c>
      <c r="L196" s="325"/>
      <c r="N196" s="183"/>
      <c r="O196" s="1619"/>
      <c r="P196" s="323"/>
      <c r="Q196" s="324"/>
      <c r="R196" s="1619"/>
      <c r="S196" s="323"/>
      <c r="T196" s="324"/>
      <c r="U196" s="131"/>
    </row>
    <row r="197" spans="2:21" ht="13.15" x14ac:dyDescent="0.35">
      <c r="B197" s="325" t="s">
        <v>203</v>
      </c>
      <c r="C197" s="7" t="s">
        <v>204</v>
      </c>
      <c r="D197" s="136" t="s">
        <v>212</v>
      </c>
      <c r="E197" s="2154" t="str">
        <f>IF(AND($K$7=1,FEC=1,OR('1_Full_time'!D15&lt;&gt;0,'1_Full_time'!G15&lt;&gt;0)),CONCATENATE(E$192,", ",E$193,", ",$C197," length, ","Level ",$D197,"; "),"")</f>
        <v/>
      </c>
      <c r="F197" s="310" t="str">
        <f>IF(AND($K$7=1,FEC=1,OR('1_Full_time'!E15&lt;&gt;0,'1_Full_time'!H15&lt;&gt;0)),CONCATENATE(F$192,", ",F$193,", ",$C197," length, ","Level ",$D197,"; "),"")</f>
        <v/>
      </c>
      <c r="G197" s="310" t="str">
        <f>IF(AND($K$7=1,FEC=1,OR('1_Full_time'!F15&lt;&gt;0,'1_Full_time'!I15&lt;&gt;0)),CONCATENATE(G$192,", ",G$193,", ",$C197," length, ","Level ",$D197,"; "),"")</f>
        <v/>
      </c>
      <c r="H197" s="1618" t="str">
        <f>IF(AND($K$7=1,FEC=1,'1_Full_time'!J15&lt;&gt;0),CONCATENATE(H$192,", ",H$193,", ",$C197," length, ","Level ",$D197,"; "),"")</f>
        <v/>
      </c>
      <c r="I197" s="310" t="str">
        <f>IF(AND($K$7=1,FEC=1,'1_Full_time'!K15&lt;&gt;0),CONCATENATE(I$192,", ",I$193,", ",$C197," length, ","Level ",$D197,"; "),"")</f>
        <v/>
      </c>
      <c r="J197" s="312" t="str">
        <f>IF(AND($K$7=1,FEC=1,'1_Full_time'!L15&lt;&gt;0),CONCATENATE(J$192,", ",J$193,", ",$C197," length, ","Level ",$D197,"; "),"")</f>
        <v/>
      </c>
      <c r="L197" s="325"/>
      <c r="N197" s="183"/>
      <c r="O197" s="1619"/>
      <c r="P197" s="323"/>
      <c r="Q197" s="324"/>
      <c r="R197" s="1619"/>
      <c r="S197" s="323"/>
      <c r="T197" s="324"/>
      <c r="U197" s="131"/>
    </row>
    <row r="198" spans="2:21" ht="13.15" x14ac:dyDescent="0.35">
      <c r="B198" s="325" t="s">
        <v>203</v>
      </c>
      <c r="C198" s="7" t="s">
        <v>204</v>
      </c>
      <c r="D198" s="136" t="s">
        <v>214</v>
      </c>
      <c r="E198" s="2154" t="str">
        <f>IF(AND($K$7=1,FEC=1,OR('1_Full_time'!D16&lt;&gt;0,'1_Full_time'!G16&lt;&gt;0)),CONCATENATE(E$192,", ",E$193,", ",$C198," length, ","Level ",$D198,"; "),"")</f>
        <v/>
      </c>
      <c r="F198" s="310" t="str">
        <f>IF(AND($K$7=1,FEC=1,OR('1_Full_time'!E16&lt;&gt;0,'1_Full_time'!H16&lt;&gt;0)),CONCATENATE(F$192,", ",F$193,", ",$C198," length, ","Level ",$D198,"; "),"")</f>
        <v/>
      </c>
      <c r="G198" s="310" t="str">
        <f>IF(AND($K$7=1,FEC=1,OR('1_Full_time'!F16&lt;&gt;0,'1_Full_time'!I16&lt;&gt;0)),CONCATENATE(G$192,", ",G$193,", ",$C198," length, ","Level ",$D198,"; "),"")</f>
        <v/>
      </c>
      <c r="H198" s="1618" t="str">
        <f>IF(AND($K$7=1,FEC=1,'1_Full_time'!J16&lt;&gt;0),CONCATENATE(H$192,", ",H$193,", ",$C198," length, ","Level ",$D198,"; "),"")</f>
        <v/>
      </c>
      <c r="I198" s="310" t="str">
        <f>IF(AND($K$7=1,FEC=1,'1_Full_time'!K16&lt;&gt;0),CONCATENATE(I$192,", ",I$193,", ",$C198," length, ","Level ",$D198,"; "),"")</f>
        <v/>
      </c>
      <c r="J198" s="312" t="str">
        <f>IF(AND($K$7=1,FEC=1,'1_Full_time'!L16&lt;&gt;0),CONCATENATE(J$192,", ",J$193,", ",$C198," length, ","Level ",$D198,"; "),"")</f>
        <v/>
      </c>
      <c r="L198" s="325"/>
      <c r="N198" s="183"/>
      <c r="O198" s="1619"/>
      <c r="P198" s="323"/>
      <c r="Q198" s="324"/>
      <c r="R198" s="1619"/>
      <c r="S198" s="323"/>
      <c r="T198" s="324"/>
      <c r="U198" s="131"/>
    </row>
    <row r="199" spans="2:21" ht="13.15" x14ac:dyDescent="0.35">
      <c r="B199" s="325" t="s">
        <v>203</v>
      </c>
      <c r="C199" s="7" t="s">
        <v>204</v>
      </c>
      <c r="D199" s="136" t="s">
        <v>216</v>
      </c>
      <c r="E199" s="2155"/>
      <c r="F199" s="313" t="str">
        <f>IF(AND($K$7=1,FEC=1,OR('1_Full_time'!E17&lt;&gt;0,'1_Full_time'!H17&lt;&gt;0)),CONCATENATE(F$192,", ",F$193,", ",$C199," length, ","Level ",$D199,"; "),"")</f>
        <v/>
      </c>
      <c r="G199" s="313" t="str">
        <f>IF(AND($K$7=1,FEC=1,OR('1_Full_time'!F17&lt;&gt;0,'1_Full_time'!I17&lt;&gt;0)),CONCATENATE(G$192,", ",G$193,", ",$C199," length, ","Level ",$D199,"; "),"")</f>
        <v/>
      </c>
      <c r="H199" s="314"/>
      <c r="I199" s="313" t="str">
        <f>IF(AND($K$7=1,FEC=1,'1_Full_time'!K17&lt;&gt;0),CONCATENATE(I$192,", ",I$193,", ",$C199," length, ","Level ",$D199,"; "),"")</f>
        <v/>
      </c>
      <c r="J199" s="315" t="str">
        <f>IF(AND($K$7=1,FEC=1,'1_Full_time'!L17&lt;&gt;0),CONCATENATE(J$192,", ",J$193,", ",$C199," length, ","Level ",$D199,"; "),"")</f>
        <v/>
      </c>
      <c r="L199" s="325" t="s">
        <v>203</v>
      </c>
      <c r="M199" t="s">
        <v>204</v>
      </c>
      <c r="N199" s="183" t="s">
        <v>216</v>
      </c>
      <c r="O199" s="2155"/>
      <c r="P199" s="1436" t="str">
        <f>IF(AND($K$7=1,FEC=1,OR('1_Full_time'!E17&lt;&gt;0,'1_Full_time'!H17&lt;&gt;0)),CONCATENATE(P$192,", ",P$193,", Price group ",$L199,", ",$M199," length; "),"")</f>
        <v/>
      </c>
      <c r="Q199" s="1437" t="str">
        <f>IF(AND($K$7=1,FEC=1,OR('1_Full_time'!F17&lt;&gt;0,'1_Full_time'!I17&lt;&gt;0)),CONCATENATE(Q$192,", ",Q$193,", Price group ",$L199,", ",$M199," length; "),"")</f>
        <v/>
      </c>
      <c r="R199" s="314"/>
      <c r="S199" s="313" t="str">
        <f>IF(AND($K$7=1,FEC=1,'1_Full_time'!K17&lt;&gt;0),CONCATENATE(S$192,", ",S$193,", Price group ",$L199,", ",$M199," length; "),"")</f>
        <v/>
      </c>
      <c r="T199" s="315" t="str">
        <f>IF(AND($K$7=1,FEC=1,'1_Full_time'!L17&lt;&gt;0),CONCATENATE(T$192,", ",T$193,", Price group ",$L199,", ",$M199," length; "),"")</f>
        <v/>
      </c>
      <c r="U199" s="131"/>
    </row>
    <row r="200" spans="2:21" ht="13.15" x14ac:dyDescent="0.35">
      <c r="B200" s="325" t="s">
        <v>203</v>
      </c>
      <c r="C200" s="7" t="s">
        <v>218</v>
      </c>
      <c r="D200" s="136" t="s">
        <v>205</v>
      </c>
      <c r="E200" s="2154" t="str">
        <f>IF(AND($K$7=1,FEC=1,OR('1_Full_time'!D18&lt;&gt;0,'1_Full_time'!G18&lt;&gt;0)),CONCATENATE(E$192,", ",E$193,", ",$C200," length, ","Level ",$D200,"; "),"")</f>
        <v/>
      </c>
      <c r="F200" s="310" t="str">
        <f>IF(AND($K$7=1,FEC=1,OR('1_Full_time'!E18&lt;&gt;0,'1_Full_time'!H18&lt;&gt;0)),CONCATENATE(F$192,", ",F$193,", ",$C200," length, ","Level ",$D200,"; "),"")</f>
        <v/>
      </c>
      <c r="G200" s="310" t="str">
        <f>IF(AND($K$7=1,FEC=1,OR('1_Full_time'!F18&lt;&gt;0,'1_Full_time'!I18&lt;&gt;0)),CONCATENATE(G$192,", ",G$193,", ",$C200," length, ","Level ",$D200,"; "),"")</f>
        <v/>
      </c>
      <c r="H200" s="1618" t="str">
        <f>IF(AND($K$7=1,FEC=1,'1_Full_time'!J18&lt;&gt;0),CONCATENATE(H$192,", ",H$193,", ",$C200," length, ","Level ",$D200,"; "),"")</f>
        <v/>
      </c>
      <c r="I200" s="310" t="str">
        <f>IF(AND($K$7=1,FEC=1,'1_Full_time'!K18&lt;&gt;0),CONCATENATE(I$192,", ",I$193,", ",$C200," length, ","Level ",$D200,"; "),"")</f>
        <v/>
      </c>
      <c r="J200" s="312" t="str">
        <f>IF(AND($K$7=1,FEC=1,'1_Full_time'!L18&lt;&gt;0),CONCATENATE(J$192,", ",J$193,", ",$C200," length, ","Level ",$D200,"; "),"")</f>
        <v/>
      </c>
      <c r="L200" s="325"/>
      <c r="N200" s="183"/>
      <c r="O200" s="1619"/>
      <c r="P200" s="323"/>
      <c r="Q200" s="324"/>
      <c r="R200" s="1619"/>
      <c r="S200" s="323"/>
      <c r="T200" s="324"/>
      <c r="U200" s="131"/>
    </row>
    <row r="201" spans="2:21" ht="13.15" x14ac:dyDescent="0.35">
      <c r="B201" s="325" t="s">
        <v>203</v>
      </c>
      <c r="C201" s="7" t="s">
        <v>218</v>
      </c>
      <c r="D201" s="136" t="s">
        <v>208</v>
      </c>
      <c r="E201" s="2154" t="str">
        <f>IF(AND($K$7=1,FEC=1,OR('1_Full_time'!D19&lt;&gt;0,'1_Full_time'!G19&lt;&gt;0)),CONCATENATE(E$192,", ",E$193,", ",$C201," length, ","Level ",$D201,"; "),"")</f>
        <v/>
      </c>
      <c r="F201" s="310" t="str">
        <f>IF(AND($K$7=1,FEC=1,OR('1_Full_time'!E19&lt;&gt;0,'1_Full_time'!H19&lt;&gt;0)),CONCATENATE(F$192,", ",F$193,", ",$C201," length, ","Level ",$D201,"; "),"")</f>
        <v/>
      </c>
      <c r="G201" s="310" t="str">
        <f>IF(AND($K$7=1,FEC=1,OR('1_Full_time'!F19&lt;&gt;0,'1_Full_time'!I19&lt;&gt;0)),CONCATENATE(G$192,", ",G$193,", ",$C201," length, ","Level ",$D201,"; "),"")</f>
        <v/>
      </c>
      <c r="H201" s="1618" t="str">
        <f>IF(AND($K$7=1,FEC=1,'1_Full_time'!J19&lt;&gt;0),CONCATENATE(H$192,", ",H$193,", ",$C201," length, ","Level ",$D201,"; "),"")</f>
        <v/>
      </c>
      <c r="I201" s="310" t="str">
        <f>IF(AND($K$7=1,FEC=1,'1_Full_time'!K19&lt;&gt;0),CONCATENATE(I$192,", ",I$193,", ",$C201," length, ","Level ",$D201,"; "),"")</f>
        <v/>
      </c>
      <c r="J201" s="312" t="str">
        <f>IF(AND($K$7=1,FEC=1,'1_Full_time'!L19&lt;&gt;0),CONCATENATE(J$192,", ",J$193,", ",$C201," length, ","Level ",$D201,"; "),"")</f>
        <v/>
      </c>
      <c r="L201" s="325"/>
      <c r="N201" s="183"/>
      <c r="O201" s="1619"/>
      <c r="P201" s="323"/>
      <c r="Q201" s="324"/>
      <c r="R201" s="1619"/>
      <c r="S201" s="323"/>
      <c r="T201" s="324"/>
      <c r="U201" s="131"/>
    </row>
    <row r="202" spans="2:21" ht="13.15" x14ac:dyDescent="0.35">
      <c r="B202" s="325" t="s">
        <v>203</v>
      </c>
      <c r="C202" s="7" t="s">
        <v>218</v>
      </c>
      <c r="D202" s="136" t="s">
        <v>210</v>
      </c>
      <c r="E202" s="2154" t="str">
        <f>IF(AND($K$7=1,FEC=1,OR('1_Full_time'!D20&lt;&gt;0,'1_Full_time'!G20&lt;&gt;0)),CONCATENATE(E$192,", ",E$193,", ",$C202," length, ","Level ",$D202,"; "),"")</f>
        <v/>
      </c>
      <c r="F202" s="310" t="str">
        <f>IF(AND($K$7=1,FEC=1,OR('1_Full_time'!E20&lt;&gt;0,'1_Full_time'!H20&lt;&gt;0)),CONCATENATE(F$192,", ",F$193,", ",$C202," length, ","Level ",$D202,"; "),"")</f>
        <v/>
      </c>
      <c r="G202" s="310" t="str">
        <f>IF(AND($K$7=1,FEC=1,OR('1_Full_time'!F20&lt;&gt;0,'1_Full_time'!I20&lt;&gt;0)),CONCATENATE(G$192,", ",G$193,", ",$C202," length, ","Level ",$D202,"; "),"")</f>
        <v/>
      </c>
      <c r="H202" s="1618" t="str">
        <f>IF(AND($K$7=1,FEC=1,'1_Full_time'!J20&lt;&gt;0),CONCATENATE(H$192,", ",H$193,", ",$C202," length, ","Level ",$D202,"; "),"")</f>
        <v/>
      </c>
      <c r="I202" s="310" t="str">
        <f>IF(AND($K$7=1,FEC=1,'1_Full_time'!K20&lt;&gt;0),CONCATENATE(I$192,", ",I$193,", ",$C202," length, ","Level ",$D202,"; "),"")</f>
        <v/>
      </c>
      <c r="J202" s="312" t="str">
        <f>IF(AND($K$7=1,FEC=1,'1_Full_time'!L20&lt;&gt;0),CONCATENATE(J$192,", ",J$193,", ",$C202," length, ","Level ",$D202,"; "),"")</f>
        <v/>
      </c>
      <c r="L202" s="325"/>
      <c r="N202" s="183"/>
      <c r="O202" s="1619"/>
      <c r="P202" s="323"/>
      <c r="Q202" s="324"/>
      <c r="R202" s="1619"/>
      <c r="S202" s="323"/>
      <c r="T202" s="324"/>
      <c r="U202" s="131"/>
    </row>
    <row r="203" spans="2:21" ht="13.15" x14ac:dyDescent="0.35">
      <c r="B203" s="325" t="s">
        <v>203</v>
      </c>
      <c r="C203" s="7" t="s">
        <v>218</v>
      </c>
      <c r="D203" s="136" t="s">
        <v>212</v>
      </c>
      <c r="E203" s="2154" t="str">
        <f>IF(AND($K$7=1,FEC=1,OR('1_Full_time'!D21&lt;&gt;0,'1_Full_time'!G21&lt;&gt;0)),CONCATENATE(E$192,", ",E$193,", ",$C203," length, ","Level ",$D203,"; "),"")</f>
        <v/>
      </c>
      <c r="F203" s="310" t="str">
        <f>IF(AND($K$7=1,FEC=1,OR('1_Full_time'!E21&lt;&gt;0,'1_Full_time'!H21&lt;&gt;0)),CONCATENATE(F$192,", ",F$193,", ",$C203," length, ","Level ",$D203,"; "),"")</f>
        <v/>
      </c>
      <c r="G203" s="310" t="str">
        <f>IF(AND($K$7=1,FEC=1,OR('1_Full_time'!F21&lt;&gt;0,'1_Full_time'!I21&lt;&gt;0)),CONCATENATE(G$192,", ",G$193,", ",$C203," length, ","Level ",$D203,"; "),"")</f>
        <v/>
      </c>
      <c r="H203" s="1618" t="str">
        <f>IF(AND($K$7=1,FEC=1,'1_Full_time'!J21&lt;&gt;0),CONCATENATE(H$192,", ",H$193,", ",$C203," length, ","Level ",$D203,"; "),"")</f>
        <v/>
      </c>
      <c r="I203" s="310" t="str">
        <f>IF(AND($K$7=1,FEC=1,'1_Full_time'!K21&lt;&gt;0),CONCATENATE(I$192,", ",I$193,", ",$C203," length, ","Level ",$D203,"; "),"")</f>
        <v/>
      </c>
      <c r="J203" s="312" t="str">
        <f>IF(AND($K$7=1,FEC=1,'1_Full_time'!L21&lt;&gt;0),CONCATENATE(J$192,", ",J$193,", ",$C203," length, ","Level ",$D203,"; "),"")</f>
        <v/>
      </c>
      <c r="L203" s="325"/>
      <c r="N203" s="183"/>
      <c r="O203" s="1619"/>
      <c r="P203" s="323"/>
      <c r="Q203" s="324"/>
      <c r="R203" s="1619"/>
      <c r="S203" s="323"/>
      <c r="T203" s="324"/>
      <c r="U203" s="131"/>
    </row>
    <row r="204" spans="2:21" ht="13.15" x14ac:dyDescent="0.35">
      <c r="B204" s="325" t="s">
        <v>203</v>
      </c>
      <c r="C204" s="7" t="s">
        <v>218</v>
      </c>
      <c r="D204" s="136" t="s">
        <v>214</v>
      </c>
      <c r="E204" s="2154" t="str">
        <f>IF(AND($K$7=1,FEC=1,OR('1_Full_time'!D22&lt;&gt;0,'1_Full_time'!G22&lt;&gt;0)),CONCATENATE(E$192,", ",E$193,", ",$C204," length, ","Level ",$D204,"; "),"")</f>
        <v/>
      </c>
      <c r="F204" s="310" t="str">
        <f>IF(AND($K$7=1,FEC=1,OR('1_Full_time'!E22&lt;&gt;0,'1_Full_time'!H22&lt;&gt;0)),CONCATENATE(F$192,", ",F$193,", ",$C204," length, ","Level ",$D204,"; "),"")</f>
        <v/>
      </c>
      <c r="G204" s="310" t="str">
        <f>IF(AND($K$7=1,FEC=1,OR('1_Full_time'!F22&lt;&gt;0,'1_Full_time'!I22&lt;&gt;0)),CONCATENATE(G$192,", ",G$193,", ",$C204," length, ","Level ",$D204,"; "),"")</f>
        <v/>
      </c>
      <c r="H204" s="1618" t="str">
        <f>IF(AND($K$7=1,FEC=1,'1_Full_time'!J22&lt;&gt;0),CONCATENATE(H$192,", ",H$193,", ",$C204," length, ","Level ",$D204,"; "),"")</f>
        <v/>
      </c>
      <c r="I204" s="310" t="str">
        <f>IF(AND($K$7=1,FEC=1,'1_Full_time'!K22&lt;&gt;0),CONCATENATE(I$192,", ",I$193,", ",$C204," length, ","Level ",$D204,"; "),"")</f>
        <v/>
      </c>
      <c r="J204" s="312" t="str">
        <f>IF(AND($K$7=1,FEC=1,'1_Full_time'!L22&lt;&gt;0),CONCATENATE(J$192,", ",J$193,", ",$C204," length, ","Level ",$D204,"; "),"")</f>
        <v/>
      </c>
      <c r="L204" s="325"/>
      <c r="N204" s="183"/>
      <c r="O204" s="1619"/>
      <c r="P204" s="323"/>
      <c r="Q204" s="324"/>
      <c r="R204" s="1619"/>
      <c r="S204" s="323"/>
      <c r="T204" s="324"/>
      <c r="U204" s="131"/>
    </row>
    <row r="205" spans="2:21" ht="13.15" x14ac:dyDescent="0.35">
      <c r="B205" s="325" t="s">
        <v>203</v>
      </c>
      <c r="C205" s="7" t="s">
        <v>218</v>
      </c>
      <c r="D205" s="136" t="s">
        <v>216</v>
      </c>
      <c r="E205" s="2156"/>
      <c r="F205" s="329" t="str">
        <f>IF(AND($K$7=1,FEC=1,OR('1_Full_time'!E23&lt;&gt;0,'1_Full_time'!H23&lt;&gt;0)),CONCATENATE(F$192,", ",F$193,", ",$C205," length, ","Level ",$D205,"; "),"")</f>
        <v/>
      </c>
      <c r="G205" s="329" t="str">
        <f>IF(AND($K$7=1,FEC=1,OR('1_Full_time'!F23&lt;&gt;0,'1_Full_time'!I23&lt;&gt;0)),CONCATENATE(G$192,", ",G$193,", ",$C205," length, ","Level ",$D205,"; "),"")</f>
        <v/>
      </c>
      <c r="H205" s="316"/>
      <c r="I205" s="329" t="str">
        <f>IF(AND($K$7=1,FEC=1,'1_Full_time'!K23&lt;&gt;0),CONCATENATE(I$192,", ",I$193,", ",$C205," length, ","Level ",$D205,"; "),"")</f>
        <v/>
      </c>
      <c r="J205" s="317" t="str">
        <f>IF(AND($K$7=1,FEC=1,'1_Full_time'!L23&lt;&gt;0),CONCATENATE(J$192,", ",J$193,", ",$C205," length, ","Level ",$D205,"; "),"")</f>
        <v/>
      </c>
      <c r="L205" s="325" t="s">
        <v>203</v>
      </c>
      <c r="M205" t="s">
        <v>218</v>
      </c>
      <c r="N205" s="183" t="s">
        <v>216</v>
      </c>
      <c r="O205" s="2155"/>
      <c r="P205" s="1436" t="str">
        <f>IF(AND($K$7=1,FEC=1,OR('1_Full_time'!E23&lt;&gt;0,'1_Full_time'!H23&lt;&gt;0)),CONCATENATE(P$192,", ",P$193,", Price group ",$L205,", ",$M205," length; "),"")</f>
        <v/>
      </c>
      <c r="Q205" s="1437" t="str">
        <f>IF(AND($K$7=1,FEC=1,OR('1_Full_time'!F23&lt;&gt;0,'1_Full_time'!I23&lt;&gt;0)),CONCATENATE(Q$192,", ",Q$193,", Price group ",$L205,", ",$M205," length; "),"")</f>
        <v/>
      </c>
      <c r="R205" s="314"/>
      <c r="S205" s="313" t="str">
        <f>IF(AND($K$7=1,FEC=1,'1_Full_time'!K23&lt;&gt;0),CONCATENATE(S$192,", ",S$193,", Price group ",$L205,", ",$M205," length; "),"")</f>
        <v/>
      </c>
      <c r="T205" s="315" t="str">
        <f>IF(AND($K$7=1,FEC=1,'1_Full_time'!L23&lt;&gt;0),CONCATENATE(T$192,", ",T$193,", Price group ",$L205,", ",$M205," length; "),"")</f>
        <v/>
      </c>
      <c r="U205" s="131"/>
    </row>
    <row r="206" spans="2:21" ht="13.15" x14ac:dyDescent="0.35">
      <c r="B206" s="62"/>
      <c r="C206" s="7"/>
      <c r="D206" s="196"/>
      <c r="L206" s="325"/>
      <c r="N206" s="183"/>
      <c r="O206" s="1727"/>
      <c r="P206" s="322"/>
      <c r="Q206" s="1728"/>
      <c r="R206" s="1727"/>
      <c r="S206" s="322"/>
      <c r="T206" s="1728"/>
      <c r="U206" s="131"/>
    </row>
    <row r="207" spans="2:21" ht="13.15" x14ac:dyDescent="0.35">
      <c r="B207" s="62"/>
      <c r="C207" s="7"/>
      <c r="D207" s="196"/>
      <c r="E207" s="1729" t="str">
        <f>CONCATENATE(E194,E195,E196,E197,E198,E200,E201,E202,E203,E204)</f>
        <v/>
      </c>
      <c r="F207" s="1729" t="str">
        <f t="shared" ref="F207:J207" si="42">CONCATENATE(F194,F195,F196,F197,F198,F199,F200,F201,F202,F203,F204,F205)</f>
        <v/>
      </c>
      <c r="G207" s="1729" t="str">
        <f t="shared" si="42"/>
        <v/>
      </c>
      <c r="H207" s="1729" t="str">
        <f>CONCATENATE(H194,H195,H196,H197,H198,H200,H201,H202,H203,H204)</f>
        <v/>
      </c>
      <c r="I207" s="1729" t="str">
        <f t="shared" si="42"/>
        <v/>
      </c>
      <c r="J207" s="1729" t="str">
        <f t="shared" si="42"/>
        <v/>
      </c>
      <c r="L207" s="325"/>
      <c r="N207" s="183"/>
      <c r="O207" s="1619"/>
      <c r="P207" s="323"/>
      <c r="Q207" s="324"/>
      <c r="R207" s="1619"/>
      <c r="S207" s="323"/>
      <c r="T207" s="324"/>
      <c r="U207" s="131"/>
    </row>
    <row r="208" spans="2:21" ht="13.15" x14ac:dyDescent="0.35">
      <c r="B208" s="62"/>
      <c r="C208" s="7"/>
      <c r="D208" s="196"/>
      <c r="E208" s="11" t="s">
        <v>28281</v>
      </c>
      <c r="L208" s="325"/>
      <c r="N208" s="183"/>
      <c r="O208" s="1619"/>
      <c r="P208" s="323"/>
      <c r="Q208" s="324"/>
      <c r="R208" s="1619"/>
      <c r="S208" s="323"/>
      <c r="T208" s="324"/>
      <c r="U208" s="131"/>
    </row>
    <row r="209" spans="2:21" ht="13.15" x14ac:dyDescent="0.35">
      <c r="B209" s="62"/>
      <c r="C209" s="7"/>
      <c r="D209" s="196"/>
      <c r="E209" s="1722" t="str">
        <f>CONCATENATE(E207,F207,G207)</f>
        <v/>
      </c>
      <c r="H209" s="1730" t="str">
        <f>CONCATENATE(H207,I207,J207)</f>
        <v/>
      </c>
      <c r="L209" s="325"/>
      <c r="N209" s="183"/>
      <c r="O209" s="1619"/>
      <c r="P209" s="323"/>
      <c r="Q209" s="324"/>
      <c r="R209" s="1619"/>
      <c r="S209" s="323"/>
      <c r="T209" s="324"/>
      <c r="U209" s="131"/>
    </row>
    <row r="210" spans="2:21" ht="13.15" x14ac:dyDescent="0.35">
      <c r="B210" s="62"/>
      <c r="C210" s="7"/>
      <c r="D210" s="196"/>
      <c r="L210" s="130"/>
      <c r="O210" s="1619"/>
      <c r="P210" s="323"/>
      <c r="Q210" s="324"/>
      <c r="R210" s="1619"/>
      <c r="S210" s="323"/>
      <c r="T210" s="324"/>
    </row>
    <row r="211" spans="2:21" x14ac:dyDescent="0.35">
      <c r="B211" s="130"/>
      <c r="E211" s="1721" t="str">
        <f>CONCATENATE(E209,H209)</f>
        <v/>
      </c>
      <c r="L211" s="325" t="s">
        <v>225</v>
      </c>
      <c r="M211" t="s">
        <v>204</v>
      </c>
      <c r="N211" s="183" t="s">
        <v>216</v>
      </c>
      <c r="O211" s="2155"/>
      <c r="P211" s="1436" t="str">
        <f>IF(AND($K$7=1,FEC=1,OR('1_Full_time'!E29&lt;&gt;0,'1_Full_time'!H29&lt;&gt;0)),CONCATENATE(P$192,", ",P$193,", Price group ",$L211,", ",$M211," length; "),"")</f>
        <v/>
      </c>
      <c r="Q211" s="1437" t="str">
        <f>IF(AND($K$7=1,FEC=1,OR('1_Full_time'!F29&lt;&gt;0,'1_Full_time'!I29&lt;&gt;0)),CONCATENATE(Q$192,", ",Q$193,", Price group ",$L211,", ",$M211," length; "),"")</f>
        <v/>
      </c>
      <c r="R211" s="2155"/>
      <c r="S211" s="313" t="str">
        <f>IF(AND($K$7=1,FEC=1,'1_Full_time'!K29&lt;&gt;0),CONCATENATE(S$192,", ",S$193,", Price group ",$L211,", ",$M211," length; "),"")</f>
        <v/>
      </c>
      <c r="T211" s="315" t="str">
        <f>IF(AND($K$7=1,FEC=1,'1_Full_time'!L29&lt;&gt;0),CONCATENATE(T$192,", ",T$193,", Price group ",$L211,", ",$M211," length; "),"")</f>
        <v/>
      </c>
      <c r="U211" s="131"/>
    </row>
    <row r="212" spans="2:21" ht="13.15" x14ac:dyDescent="0.35">
      <c r="B212" s="1438"/>
      <c r="C212" s="28"/>
      <c r="D212" s="318"/>
      <c r="E212" s="28"/>
      <c r="F212" s="133"/>
      <c r="G212" s="133"/>
      <c r="H212" s="133"/>
      <c r="I212" s="133"/>
      <c r="J212" s="133"/>
      <c r="K212" s="134"/>
      <c r="L212" s="325"/>
      <c r="N212" s="183"/>
      <c r="O212" s="1619"/>
      <c r="P212" s="323"/>
      <c r="Q212" s="324"/>
      <c r="R212" s="1619"/>
      <c r="S212" s="323"/>
      <c r="T212" s="324"/>
      <c r="U212" s="131"/>
    </row>
    <row r="213" spans="2:21" ht="13.15" x14ac:dyDescent="0.35">
      <c r="B213" s="7"/>
      <c r="C213" s="7"/>
      <c r="D213" s="196"/>
      <c r="E213" s="7"/>
      <c r="F213" s="7"/>
      <c r="G213" s="7"/>
      <c r="H213" s="7"/>
      <c r="L213" s="325"/>
      <c r="N213" s="183"/>
      <c r="O213" s="1619"/>
      <c r="P213" s="323"/>
      <c r="Q213" s="324"/>
      <c r="R213" s="1619"/>
      <c r="S213" s="323"/>
      <c r="T213" s="324"/>
      <c r="U213" s="131"/>
    </row>
    <row r="214" spans="2:21" ht="13.15" x14ac:dyDescent="0.35">
      <c r="B214" s="7"/>
      <c r="C214" s="7"/>
      <c r="D214" s="196"/>
      <c r="E214" s="7"/>
      <c r="F214" s="7"/>
      <c r="G214" s="7"/>
      <c r="H214" s="7"/>
      <c r="L214" s="325"/>
      <c r="N214" s="183"/>
      <c r="O214" s="1619"/>
      <c r="P214" s="323"/>
      <c r="Q214" s="324"/>
      <c r="R214" s="1619"/>
      <c r="S214" s="323"/>
      <c r="T214" s="324"/>
      <c r="U214" s="131"/>
    </row>
    <row r="215" spans="2:21" ht="13.15" x14ac:dyDescent="0.35">
      <c r="B215" s="7"/>
      <c r="C215" s="7"/>
      <c r="D215" s="196"/>
      <c r="E215" s="7"/>
      <c r="F215" s="7"/>
      <c r="G215" s="7"/>
      <c r="H215" s="7"/>
      <c r="L215" s="325"/>
      <c r="N215" s="183"/>
      <c r="O215" s="1619"/>
      <c r="P215" s="323"/>
      <c r="Q215" s="324"/>
      <c r="R215" s="1619"/>
      <c r="S215" s="323"/>
      <c r="T215" s="324"/>
      <c r="U215" s="131"/>
    </row>
    <row r="216" spans="2:21" ht="13.15" x14ac:dyDescent="0.35">
      <c r="B216" s="7"/>
      <c r="C216" s="7"/>
      <c r="D216" s="196"/>
      <c r="E216" s="7"/>
      <c r="F216" s="7"/>
      <c r="G216" s="7"/>
      <c r="H216" s="7"/>
      <c r="L216" s="325"/>
      <c r="N216" s="183"/>
      <c r="O216" s="1619"/>
      <c r="P216" s="323"/>
      <c r="Q216" s="324"/>
      <c r="R216" s="1619"/>
      <c r="S216" s="323"/>
      <c r="T216" s="324"/>
      <c r="U216" s="131"/>
    </row>
    <row r="217" spans="2:21" x14ac:dyDescent="0.35">
      <c r="B217" s="7"/>
      <c r="C217" s="7"/>
      <c r="D217" s="7"/>
      <c r="E217" s="7"/>
      <c r="F217" s="7"/>
      <c r="G217" s="7"/>
      <c r="H217" s="7"/>
      <c r="L217" s="325" t="s">
        <v>225</v>
      </c>
      <c r="M217" t="s">
        <v>218</v>
      </c>
      <c r="N217" s="183" t="s">
        <v>216</v>
      </c>
      <c r="O217" s="2155"/>
      <c r="P217" s="1436" t="str">
        <f>IF(AND($K$7=1,FEC=1,OR('1_Full_time'!E35&lt;&gt;0,'1_Full_time'!H35&lt;&gt;0)),CONCATENATE(P$192,", ",P$193,", Price group ",$L217,", ",$M217," length; "),"")</f>
        <v/>
      </c>
      <c r="Q217" s="1437" t="str">
        <f>IF(AND($K$7=1,FEC=1,OR('1_Full_time'!F35&lt;&gt;0,'1_Full_time'!I35&lt;&gt;0)),CONCATENATE(Q$192,", ",Q$193,", Price group ",$L217,", ",$M217," length; "),"")</f>
        <v/>
      </c>
      <c r="R217" s="314"/>
      <c r="S217" s="313" t="str">
        <f>IF(AND($K$7=1,FEC=1,'1_Full_time'!K35&lt;&gt;0),CONCATENATE(S$192,", ",S$193,", Price group ",$L217,", ",$M217," length; "),"")</f>
        <v/>
      </c>
      <c r="T217" s="315" t="str">
        <f>IF(AND($K$7=1,FEC=1,'1_Full_time'!L35&lt;&gt;0),CONCATENATE(T$192,", ",T$193,", Price group ",$L217,", ",$M217," length; "),"")</f>
        <v/>
      </c>
      <c r="U217" s="131"/>
    </row>
    <row r="218" spans="2:21" x14ac:dyDescent="0.35">
      <c r="B218" s="7"/>
      <c r="C218" s="7"/>
      <c r="D218" s="7"/>
      <c r="E218" s="7"/>
      <c r="F218" s="7"/>
      <c r="G218" s="7"/>
      <c r="H218" s="7"/>
      <c r="L218" s="130"/>
      <c r="O218" s="1727"/>
      <c r="P218" s="322"/>
      <c r="Q218" s="1728"/>
      <c r="R218" s="1727"/>
      <c r="S218" s="322"/>
      <c r="T218" s="1728"/>
      <c r="U218" s="131"/>
    </row>
    <row r="219" spans="2:21" x14ac:dyDescent="0.35">
      <c r="B219" s="7"/>
      <c r="C219" s="7"/>
      <c r="D219" s="7"/>
      <c r="E219" s="7"/>
      <c r="F219" s="7"/>
      <c r="G219" s="7"/>
      <c r="H219" s="7"/>
      <c r="L219" s="325"/>
      <c r="N219" s="183"/>
      <c r="O219" s="1619"/>
      <c r="P219" s="323"/>
      <c r="Q219" s="324"/>
      <c r="R219" s="1619"/>
      <c r="S219" s="323"/>
      <c r="T219" s="324"/>
      <c r="U219" s="131"/>
    </row>
    <row r="220" spans="2:21" x14ac:dyDescent="0.35">
      <c r="B220" s="7"/>
      <c r="C220" s="7"/>
      <c r="D220" s="7"/>
      <c r="E220" s="7"/>
      <c r="F220" s="7"/>
      <c r="G220" s="7"/>
      <c r="H220" s="7"/>
      <c r="L220" s="325"/>
      <c r="N220" s="183"/>
      <c r="O220" s="1619"/>
      <c r="P220" s="323"/>
      <c r="Q220" s="324"/>
      <c r="R220" s="1619"/>
      <c r="S220" s="323"/>
      <c r="T220" s="324"/>
      <c r="U220" s="131"/>
    </row>
    <row r="221" spans="2:21" x14ac:dyDescent="0.35">
      <c r="B221" s="7"/>
      <c r="C221" s="7"/>
      <c r="D221" s="7"/>
      <c r="E221" s="7"/>
      <c r="F221" s="7"/>
      <c r="G221" s="7"/>
      <c r="H221" s="7"/>
      <c r="L221" s="325"/>
      <c r="N221" s="183"/>
      <c r="O221" s="1619"/>
      <c r="P221" s="323"/>
      <c r="Q221" s="324"/>
      <c r="R221" s="1619"/>
      <c r="S221" s="323"/>
      <c r="T221" s="324"/>
      <c r="U221" s="131"/>
    </row>
    <row r="222" spans="2:21" x14ac:dyDescent="0.35">
      <c r="B222" s="7"/>
      <c r="C222" s="7"/>
      <c r="D222" s="7"/>
      <c r="E222" s="7"/>
      <c r="F222" s="7"/>
      <c r="G222" s="7"/>
      <c r="H222" s="7"/>
      <c r="L222" s="325"/>
      <c r="N222" s="183"/>
      <c r="O222" s="1619"/>
      <c r="P222" s="323"/>
      <c r="Q222" s="324"/>
      <c r="R222" s="1619"/>
      <c r="S222" s="323"/>
      <c r="T222" s="324"/>
      <c r="U222" s="131"/>
    </row>
    <row r="223" spans="2:21" x14ac:dyDescent="0.35">
      <c r="B223" s="7"/>
      <c r="C223" s="7"/>
      <c r="D223" s="7"/>
      <c r="E223" s="7"/>
      <c r="F223" s="7"/>
      <c r="G223" s="7"/>
      <c r="H223" s="7"/>
      <c r="L223" s="325" t="s">
        <v>238</v>
      </c>
      <c r="M223" t="s">
        <v>204</v>
      </c>
      <c r="N223" s="183" t="s">
        <v>216</v>
      </c>
      <c r="O223" s="2155"/>
      <c r="P223" s="1436" t="str">
        <f>IF(AND($K$7=1,FEC=1,OR('1_Full_time'!E41&lt;&gt;0,'1_Full_time'!H41&lt;&gt;0)),CONCATENATE(P$192,", ",P$193,", Price group ",$L223,", ",$M223," length; "),"")</f>
        <v/>
      </c>
      <c r="Q223" s="1437" t="str">
        <f>IF(AND($K$7=1,FEC=1,OR('1_Full_time'!F41&lt;&gt;0,'1_Full_time'!I41&lt;&gt;0)),CONCATENATE(Q$192,", ",Q$193,", Price group ",$L223,", ",$M223," length; "),"")</f>
        <v/>
      </c>
      <c r="R223" s="2155"/>
      <c r="S223" s="313" t="str">
        <f>IF(AND($K$7=1,FEC=1,'1_Full_time'!K41&lt;&gt;0),CONCATENATE(S$192,", ",S$193,", Price group ",$L223,", ",$M223," length; "),"")</f>
        <v/>
      </c>
      <c r="T223" s="315" t="str">
        <f>IF(AND($K$7=1,FEC=1,'1_Full_time'!L41&lt;&gt;0),CONCATENATE(T$192,", ",T$193,", Price group ",$L223,", ",$M223," length; "),"")</f>
        <v/>
      </c>
      <c r="U223" s="131"/>
    </row>
    <row r="224" spans="2:21" x14ac:dyDescent="0.35">
      <c r="B224" s="7"/>
      <c r="C224" s="7"/>
      <c r="D224" s="7"/>
      <c r="E224" s="7"/>
      <c r="F224" s="7"/>
      <c r="G224" s="7"/>
      <c r="H224" s="7"/>
      <c r="L224" s="130"/>
      <c r="O224" s="1619"/>
      <c r="P224" s="323"/>
      <c r="Q224" s="324"/>
      <c r="R224" s="1619"/>
      <c r="S224" s="323"/>
      <c r="T224" s="324"/>
      <c r="U224" s="131"/>
    </row>
    <row r="225" spans="2:21" x14ac:dyDescent="0.35">
      <c r="B225" s="7"/>
      <c r="C225" s="7"/>
      <c r="D225" s="7"/>
      <c r="E225" s="7"/>
      <c r="F225" s="7"/>
      <c r="G225" s="7"/>
      <c r="H225" s="7"/>
      <c r="L225" s="325"/>
      <c r="N225" s="183"/>
      <c r="O225" s="1619"/>
      <c r="P225" s="323"/>
      <c r="Q225" s="324"/>
      <c r="R225" s="1619"/>
      <c r="S225" s="323"/>
      <c r="T225" s="324"/>
      <c r="U225" s="131"/>
    </row>
    <row r="226" spans="2:21" x14ac:dyDescent="0.35">
      <c r="B226" s="7"/>
      <c r="C226" s="7"/>
      <c r="D226" s="7"/>
      <c r="E226" s="7"/>
      <c r="F226" s="7"/>
      <c r="G226" s="7"/>
      <c r="H226" s="7"/>
      <c r="L226" s="325"/>
      <c r="N226" s="183"/>
      <c r="O226" s="1619"/>
      <c r="P226" s="323"/>
      <c r="Q226" s="324"/>
      <c r="R226" s="1619"/>
      <c r="S226" s="323"/>
      <c r="T226" s="324"/>
      <c r="U226" s="131"/>
    </row>
    <row r="227" spans="2:21" x14ac:dyDescent="0.35">
      <c r="B227" s="7"/>
      <c r="C227" s="7"/>
      <c r="D227" s="7"/>
      <c r="E227" s="7"/>
      <c r="F227" s="7"/>
      <c r="G227" s="7"/>
      <c r="H227" s="7"/>
      <c r="L227" s="325"/>
      <c r="N227" s="183"/>
      <c r="O227" s="1619"/>
      <c r="P227" s="323"/>
      <c r="Q227" s="324"/>
      <c r="R227" s="1619"/>
      <c r="S227" s="323"/>
      <c r="T227" s="324"/>
      <c r="U227" s="131"/>
    </row>
    <row r="228" spans="2:21" x14ac:dyDescent="0.35">
      <c r="B228" s="7"/>
      <c r="C228" s="7"/>
      <c r="D228" s="7"/>
      <c r="E228" s="7"/>
      <c r="F228" s="7"/>
      <c r="G228" s="7"/>
      <c r="H228" s="7"/>
      <c r="L228" s="325"/>
      <c r="N228" s="183"/>
      <c r="O228" s="1619"/>
      <c r="P228" s="323"/>
      <c r="Q228" s="324"/>
      <c r="R228" s="1619"/>
      <c r="S228" s="323"/>
      <c r="T228" s="324"/>
      <c r="U228" s="131"/>
    </row>
    <row r="229" spans="2:21" x14ac:dyDescent="0.35">
      <c r="B229" s="7"/>
      <c r="C229" s="7"/>
      <c r="D229" s="7"/>
      <c r="E229" s="7"/>
      <c r="F229" s="7"/>
      <c r="G229" s="7"/>
      <c r="H229" s="7"/>
      <c r="L229" s="325" t="s">
        <v>238</v>
      </c>
      <c r="M229" t="s">
        <v>218</v>
      </c>
      <c r="N229" s="183" t="s">
        <v>216</v>
      </c>
      <c r="O229" s="2156"/>
      <c r="P229" s="1439" t="str">
        <f>IF(AND($K$7=1,FEC=1,OR('1_Full_time'!E47&lt;&gt;0,'1_Full_time'!H47&lt;&gt;0)),CONCATENATE(P$192,", ",P$193,", Price group ",$L229,", ",$M229," length; "),"")</f>
        <v/>
      </c>
      <c r="Q229" s="1440" t="str">
        <f>IF(AND($K$7=1,FEC=1,OR('1_Full_time'!F47&lt;&gt;0,'1_Full_time'!I47&lt;&gt;0)),CONCATENATE(Q$192,", ",Q$193,", Price group ",$L229,", ",$M229," length; "),"")</f>
        <v/>
      </c>
      <c r="R229" s="316"/>
      <c r="S229" s="329" t="str">
        <f>IF(AND($K$7=1,FEC=1,'1_Full_time'!K47&lt;&gt;0),CONCATENATE(S$192,", ",S$193,", Price group ",$L229,", ",$M229," length; "),"")</f>
        <v/>
      </c>
      <c r="T229" s="317" t="str">
        <f>IF(AND($K$7=1,FEC=1,'1_Full_time'!L47&lt;&gt;0),CONCATENATE(T$192,", ",T$193,", Price group ",$L229,", ",$M229," length; "),"")</f>
        <v/>
      </c>
      <c r="U229" s="131"/>
    </row>
    <row r="230" spans="2:21" x14ac:dyDescent="0.35">
      <c r="B230" s="7"/>
      <c r="C230" s="7"/>
      <c r="D230" s="7"/>
      <c r="E230" s="7"/>
      <c r="F230" s="7"/>
      <c r="G230" s="7"/>
      <c r="H230" s="7"/>
      <c r="L230" s="130"/>
      <c r="O230" s="1619"/>
      <c r="P230" s="323"/>
      <c r="Q230" s="324"/>
      <c r="R230" s="1619"/>
      <c r="S230" s="323"/>
      <c r="T230" s="324"/>
      <c r="U230" s="131"/>
    </row>
    <row r="231" spans="2:21" x14ac:dyDescent="0.35">
      <c r="B231" s="7"/>
      <c r="C231" s="7"/>
      <c r="D231" s="7"/>
      <c r="E231" s="7"/>
      <c r="F231" s="7"/>
      <c r="G231" s="7"/>
      <c r="H231" s="7"/>
      <c r="L231" s="325"/>
      <c r="N231" s="183"/>
      <c r="O231" s="1619"/>
      <c r="P231" s="323"/>
      <c r="Q231" s="324"/>
      <c r="R231" s="1619"/>
      <c r="S231" s="323"/>
      <c r="T231" s="324"/>
      <c r="U231" s="131"/>
    </row>
    <row r="232" spans="2:21" x14ac:dyDescent="0.35">
      <c r="B232" s="7"/>
      <c r="C232" s="7"/>
      <c r="D232" s="7"/>
      <c r="E232" s="7"/>
      <c r="F232" s="7"/>
      <c r="G232" s="7"/>
      <c r="H232" s="7"/>
      <c r="L232" s="325"/>
      <c r="N232" s="183"/>
      <c r="O232" s="1619"/>
      <c r="P232" s="323"/>
      <c r="Q232" s="324"/>
      <c r="R232" s="1619"/>
      <c r="S232" s="323"/>
      <c r="T232" s="324"/>
      <c r="U232" s="131"/>
    </row>
    <row r="233" spans="2:21" x14ac:dyDescent="0.35">
      <c r="B233" s="7"/>
      <c r="C233" s="7"/>
      <c r="D233" s="7"/>
      <c r="E233" s="7"/>
      <c r="F233" s="7"/>
      <c r="G233" s="7"/>
      <c r="H233" s="7"/>
      <c r="L233" s="325"/>
      <c r="N233" s="183"/>
      <c r="O233" s="1619"/>
      <c r="P233" s="323"/>
      <c r="Q233" s="324"/>
      <c r="R233" s="1619"/>
      <c r="S233" s="323"/>
      <c r="T233" s="324"/>
      <c r="U233" s="131"/>
    </row>
    <row r="234" spans="2:21" x14ac:dyDescent="0.35">
      <c r="B234" s="7"/>
      <c r="C234" s="7"/>
      <c r="D234" s="7"/>
      <c r="E234" s="7"/>
      <c r="F234" s="7"/>
      <c r="G234" s="7"/>
      <c r="H234" s="7"/>
      <c r="L234" s="325"/>
      <c r="N234" s="183"/>
      <c r="O234" s="1619"/>
      <c r="P234" s="323"/>
      <c r="Q234" s="324"/>
      <c r="R234" s="1619"/>
      <c r="S234" s="323"/>
      <c r="T234" s="324"/>
      <c r="U234" s="131"/>
    </row>
    <row r="235" spans="2:21" x14ac:dyDescent="0.35">
      <c r="B235" s="7"/>
      <c r="C235" s="7"/>
      <c r="D235" s="7"/>
      <c r="E235" s="7"/>
      <c r="F235" s="7"/>
      <c r="G235" s="7"/>
      <c r="H235" s="7"/>
      <c r="L235" s="325" t="s">
        <v>251</v>
      </c>
      <c r="M235" t="s">
        <v>204</v>
      </c>
      <c r="N235" s="183" t="s">
        <v>216</v>
      </c>
      <c r="O235" s="2155"/>
      <c r="P235" s="1436" t="str">
        <f>IF(AND($K$7=1,FEC=1,OR('1_Full_time'!E53&lt;&gt;0,'1_Full_time'!H53&lt;&gt;0)),CONCATENATE(P$192,", ",P$193,", Price group ",$L235,", ",$M235," length; "),"")</f>
        <v/>
      </c>
      <c r="Q235" s="1437" t="str">
        <f>IF(AND($K$7=1,FEC=1,OR('1_Full_time'!F53&lt;&gt;0,'1_Full_time'!I53&lt;&gt;0)),CONCATENATE(Q$192,", ",Q$193,", Price group ",$L235,", ",$M235," length; "),"")</f>
        <v/>
      </c>
      <c r="R235" s="314"/>
      <c r="S235" s="313" t="str">
        <f>IF(AND($K$7=1,FEC=1,'1_Full_time'!K53&lt;&gt;0),CONCATENATE(S$192,", ",S$193,", Price group ",$L235,", ",$M235," length; "),"")</f>
        <v/>
      </c>
      <c r="T235" s="315" t="str">
        <f>IF(AND($K$7=1,FEC=1,'1_Full_time'!L53&lt;&gt;0),CONCATENATE(T$192,", ",T$193,", Price group ",$L235,", ",$M235," length; "),"")</f>
        <v/>
      </c>
      <c r="U235" s="131"/>
    </row>
    <row r="236" spans="2:21" x14ac:dyDescent="0.35">
      <c r="B236" s="7"/>
      <c r="C236" s="7"/>
      <c r="D236" s="7"/>
      <c r="E236" s="7"/>
      <c r="F236" s="7"/>
      <c r="G236" s="7"/>
      <c r="H236" s="7"/>
      <c r="L236" s="130"/>
      <c r="O236" s="1619"/>
      <c r="P236" s="323"/>
      <c r="Q236" s="324"/>
      <c r="R236" s="1619"/>
      <c r="S236" s="323"/>
      <c r="T236" s="324"/>
      <c r="U236" s="131"/>
    </row>
    <row r="237" spans="2:21" x14ac:dyDescent="0.35">
      <c r="B237" s="7"/>
      <c r="C237" s="7"/>
      <c r="D237" s="7"/>
      <c r="E237" s="7"/>
      <c r="F237" s="7"/>
      <c r="G237" s="7"/>
      <c r="H237" s="7"/>
      <c r="L237" s="325"/>
      <c r="N237" s="183"/>
      <c r="O237" s="1619"/>
      <c r="P237" s="323"/>
      <c r="Q237" s="324"/>
      <c r="R237" s="1619"/>
      <c r="S237" s="323"/>
      <c r="T237" s="324"/>
      <c r="U237" s="131"/>
    </row>
    <row r="238" spans="2:21" x14ac:dyDescent="0.35">
      <c r="B238" s="7"/>
      <c r="C238" s="7"/>
      <c r="D238" s="7"/>
      <c r="E238" s="7"/>
      <c r="F238" s="7"/>
      <c r="G238" s="7"/>
      <c r="H238" s="7"/>
      <c r="L238" s="325"/>
      <c r="N238" s="183"/>
      <c r="O238" s="1619"/>
      <c r="P238" s="323"/>
      <c r="Q238" s="324"/>
      <c r="R238" s="1619"/>
      <c r="S238" s="323"/>
      <c r="T238" s="324"/>
      <c r="U238" s="131"/>
    </row>
    <row r="239" spans="2:21" x14ac:dyDescent="0.35">
      <c r="B239" s="7"/>
      <c r="C239" s="7"/>
      <c r="D239" s="7"/>
      <c r="L239" s="325"/>
      <c r="N239" s="183"/>
      <c r="O239" s="1619"/>
      <c r="P239" s="323"/>
      <c r="Q239" s="324"/>
      <c r="R239" s="1619"/>
      <c r="S239" s="323"/>
      <c r="T239" s="324"/>
      <c r="U239" s="131"/>
    </row>
    <row r="240" spans="2:21" x14ac:dyDescent="0.35">
      <c r="B240" s="7"/>
      <c r="C240" s="7"/>
      <c r="D240" s="7"/>
      <c r="L240" s="325"/>
      <c r="N240" s="183"/>
      <c r="O240" s="1619"/>
      <c r="P240" s="323"/>
      <c r="Q240" s="324"/>
      <c r="R240" s="1619"/>
      <c r="S240" s="323"/>
      <c r="T240" s="324"/>
      <c r="U240" s="131"/>
    </row>
    <row r="241" spans="2:21" x14ac:dyDescent="0.35">
      <c r="B241" s="7"/>
      <c r="C241" s="7"/>
      <c r="D241" s="7"/>
      <c r="L241" s="325" t="s">
        <v>251</v>
      </c>
      <c r="M241" t="s">
        <v>218</v>
      </c>
      <c r="N241" s="183" t="s">
        <v>216</v>
      </c>
      <c r="O241" s="2156"/>
      <c r="P241" s="1439" t="str">
        <f>IF(AND($K$7=1,FEC=1,OR('1_Full_time'!E59&lt;&gt;0,'1_Full_time'!H59&lt;&gt;0)),CONCATENATE(P$192,", ",P$193,", Price group ",$L241,", ",$M241," length; "),"")</f>
        <v/>
      </c>
      <c r="Q241" s="1440" t="str">
        <f>IF(AND($K$7=1,FEC=1,OR('1_Full_time'!F59&lt;&gt;0,'1_Full_time'!I59&lt;&gt;0)),CONCATENATE(Q$192,", ",Q$193,", Price group ",$L241,", ",$M241," length; "),"")</f>
        <v/>
      </c>
      <c r="R241" s="316"/>
      <c r="S241" s="329" t="str">
        <f>IF(AND($K$7=1,FEC=1,'1_Full_time'!K59&lt;&gt;0),CONCATENATE(S$192,", ",S$193,", Price group ",$L241,", ",$M241," length; "),"")</f>
        <v/>
      </c>
      <c r="T241" s="317" t="str">
        <f>IF(AND($K$7=1,FEC=1,'1_Full_time'!L59&lt;&gt;0),CONCATENATE(T$192,", ",T$193,", Price group ",$L241,", ",$M241," length; "),"")</f>
        <v/>
      </c>
      <c r="U241" s="131"/>
    </row>
    <row r="242" spans="2:21" x14ac:dyDescent="0.35">
      <c r="B242" s="7"/>
      <c r="C242" s="7"/>
      <c r="D242" s="7"/>
      <c r="L242" s="130"/>
      <c r="O242" s="1619"/>
      <c r="P242" s="323"/>
      <c r="Q242" s="324"/>
      <c r="R242" s="1619"/>
      <c r="S242" s="323"/>
      <c r="T242" s="324"/>
      <c r="U242" s="131"/>
    </row>
    <row r="243" spans="2:21" x14ac:dyDescent="0.35">
      <c r="L243" s="325"/>
      <c r="N243" s="183"/>
      <c r="O243" s="1619"/>
      <c r="P243" s="323"/>
      <c r="Q243" s="324"/>
      <c r="R243" s="1619"/>
      <c r="S243" s="323"/>
      <c r="T243" s="324"/>
      <c r="U243" s="131"/>
    </row>
    <row r="244" spans="2:21" x14ac:dyDescent="0.35">
      <c r="L244" s="325"/>
      <c r="N244" s="183"/>
      <c r="O244" s="1619"/>
      <c r="P244" s="323"/>
      <c r="Q244" s="324"/>
      <c r="R244" s="1619"/>
      <c r="S244" s="323"/>
      <c r="T244" s="324"/>
      <c r="U244" s="131"/>
    </row>
    <row r="245" spans="2:21" x14ac:dyDescent="0.35">
      <c r="L245" s="325"/>
      <c r="N245" s="183"/>
      <c r="O245" s="1619"/>
      <c r="P245" s="323"/>
      <c r="Q245" s="324"/>
      <c r="R245" s="1619"/>
      <c r="S245" s="323"/>
      <c r="T245" s="324"/>
      <c r="U245" s="131"/>
    </row>
    <row r="246" spans="2:21" x14ac:dyDescent="0.35">
      <c r="L246" s="325"/>
      <c r="N246" s="183"/>
      <c r="O246" s="1619"/>
      <c r="P246" s="323"/>
      <c r="Q246" s="324"/>
      <c r="R246" s="1619"/>
      <c r="S246" s="323"/>
      <c r="T246" s="324"/>
      <c r="U246" s="131"/>
    </row>
    <row r="247" spans="2:21" x14ac:dyDescent="0.35">
      <c r="L247" s="325" t="s">
        <v>264</v>
      </c>
      <c r="M247" t="s">
        <v>204</v>
      </c>
      <c r="N247" s="183" t="s">
        <v>216</v>
      </c>
      <c r="O247" s="2155"/>
      <c r="P247" s="1436" t="str">
        <f>IF(AND($K$7=1,FEC=1,OR('1_Full_time'!E65&lt;&gt;0,'1_Full_time'!H65&lt;&gt;0)),CONCATENATE(P$192,", ",P$193,", Price group ",$L247,", ",$M247," length; "),"")</f>
        <v/>
      </c>
      <c r="Q247" s="1437" t="str">
        <f>IF(AND($K$7=1,FEC=1,OR('1_Full_time'!F65&lt;&gt;0,'1_Full_time'!I65&lt;&gt;0)),CONCATENATE(Q$192,", ",Q$193,", Price group ",$L247,", ",$M247," length; "),"")</f>
        <v/>
      </c>
      <c r="R247" s="314"/>
      <c r="S247" s="313" t="str">
        <f>IF(AND($K$7=1,FEC=1,'1_Full_time'!K65&lt;&gt;0),CONCATENATE(S$192,", ",S$193,", Price group ",$L247,", ",$M247," length; "),"")</f>
        <v/>
      </c>
      <c r="T247" s="315" t="str">
        <f>IF(AND($K$7=1,FEC=1,'1_Full_time'!L65&lt;&gt;0),CONCATENATE(T$192,", ",T$193,", Price group ",$L247,", ",$M247," length; "),"")</f>
        <v/>
      </c>
      <c r="U247" s="131"/>
    </row>
    <row r="248" spans="2:21" x14ac:dyDescent="0.35">
      <c r="L248" s="130"/>
      <c r="O248" s="1619"/>
      <c r="P248" s="323"/>
      <c r="Q248" s="324"/>
      <c r="R248" s="1619"/>
      <c r="S248" s="323"/>
      <c r="T248" s="324"/>
      <c r="U248" s="131"/>
    </row>
    <row r="249" spans="2:21" x14ac:dyDescent="0.35">
      <c r="L249" s="325"/>
      <c r="N249" s="183"/>
      <c r="O249" s="1619"/>
      <c r="P249" s="323"/>
      <c r="Q249" s="324"/>
      <c r="R249" s="1619"/>
      <c r="S249" s="323"/>
      <c r="T249" s="324"/>
      <c r="U249" s="131"/>
    </row>
    <row r="250" spans="2:21" x14ac:dyDescent="0.35">
      <c r="L250" s="325"/>
      <c r="N250" s="183"/>
      <c r="O250" s="1619"/>
      <c r="P250" s="323"/>
      <c r="Q250" s="324"/>
      <c r="R250" s="1619"/>
      <c r="S250" s="323"/>
      <c r="T250" s="324"/>
      <c r="U250" s="131"/>
    </row>
    <row r="251" spans="2:21" x14ac:dyDescent="0.35">
      <c r="L251" s="325"/>
      <c r="N251" s="183"/>
      <c r="O251" s="1619"/>
      <c r="P251" s="323"/>
      <c r="Q251" s="324"/>
      <c r="R251" s="1619"/>
      <c r="S251" s="323"/>
      <c r="T251" s="324"/>
      <c r="U251" s="131"/>
    </row>
    <row r="252" spans="2:21" x14ac:dyDescent="0.35">
      <c r="L252" s="325"/>
      <c r="N252" s="183"/>
      <c r="O252" s="1619"/>
      <c r="P252" s="323"/>
      <c r="Q252" s="324"/>
      <c r="R252" s="1619"/>
      <c r="S252" s="323"/>
      <c r="T252" s="324"/>
      <c r="U252" s="131"/>
    </row>
    <row r="253" spans="2:21" x14ac:dyDescent="0.35">
      <c r="L253" s="325" t="s">
        <v>264</v>
      </c>
      <c r="M253" t="s">
        <v>218</v>
      </c>
      <c r="N253" s="183" t="s">
        <v>216</v>
      </c>
      <c r="O253" s="2156"/>
      <c r="P253" s="1439" t="str">
        <f>IF(AND($K$7=1,FEC=1,OR('1_Full_time'!E71&lt;&gt;0,'1_Full_time'!H71&lt;&gt;0)),CONCATENATE(P$192,", ",P$193,", Price group ",$L253,", ",$M253," length; "),"")</f>
        <v/>
      </c>
      <c r="Q253" s="1440" t="str">
        <f>IF(AND($K$7=1,FEC=1,OR('1_Full_time'!F71&lt;&gt;0,'1_Full_time'!I71&lt;&gt;0)),CONCATENATE(Q$192,", ",Q$193,", Price group ",$L253,", ",$M253," length; "),"")</f>
        <v/>
      </c>
      <c r="R253" s="316"/>
      <c r="S253" s="329" t="str">
        <f>IF(AND($K$7=1,FEC=1,'1_Full_time'!K71&lt;&gt;0),CONCATENATE(S$192,", ",S$193,", Price group ",$L253,", ",$M253," length; "),"")</f>
        <v/>
      </c>
      <c r="T253" s="317" t="str">
        <f>IF(AND($K$7=1,FEC=1,'1_Full_time'!L71&lt;&gt;0),CONCATENATE(T$192,", ",T$193,", Price group ",$L253,", ",$M253," length; "),"")</f>
        <v/>
      </c>
      <c r="U253" s="131"/>
    </row>
    <row r="254" spans="2:21" x14ac:dyDescent="0.35">
      <c r="L254" s="130"/>
      <c r="O254" s="1619"/>
      <c r="P254" s="323"/>
      <c r="Q254" s="324"/>
      <c r="R254" s="1619"/>
      <c r="S254" s="323"/>
      <c r="T254" s="324"/>
      <c r="U254" s="131"/>
    </row>
    <row r="255" spans="2:21" x14ac:dyDescent="0.35">
      <c r="L255" s="325"/>
      <c r="N255" s="183"/>
      <c r="O255" s="1619"/>
      <c r="P255" s="323"/>
      <c r="Q255" s="324"/>
      <c r="R255" s="1619"/>
      <c r="S255" s="323"/>
      <c r="T255" s="324"/>
      <c r="U255" s="131"/>
    </row>
    <row r="256" spans="2:21" x14ac:dyDescent="0.35">
      <c r="L256" s="325"/>
      <c r="N256" s="183"/>
      <c r="O256" s="1619"/>
      <c r="P256" s="323"/>
      <c r="Q256" s="324"/>
      <c r="R256" s="1619"/>
      <c r="S256" s="323"/>
      <c r="T256" s="324"/>
      <c r="U256" s="131"/>
    </row>
    <row r="257" spans="2:45" x14ac:dyDescent="0.35">
      <c r="L257" s="325"/>
      <c r="N257" s="183"/>
      <c r="O257" s="1619"/>
      <c r="P257" s="323"/>
      <c r="Q257" s="324"/>
      <c r="R257" s="1619"/>
      <c r="S257" s="323"/>
      <c r="T257" s="324"/>
      <c r="U257" s="131"/>
    </row>
    <row r="258" spans="2:45" x14ac:dyDescent="0.35">
      <c r="L258" s="325"/>
      <c r="N258" s="183"/>
      <c r="O258" s="1619"/>
      <c r="P258" s="323"/>
      <c r="Q258" s="324"/>
      <c r="R258" s="1619"/>
      <c r="S258" s="323"/>
      <c r="T258" s="324"/>
      <c r="U258" s="131"/>
    </row>
    <row r="259" spans="2:45" x14ac:dyDescent="0.35">
      <c r="L259" s="325" t="s">
        <v>277</v>
      </c>
      <c r="M259" t="s">
        <v>204</v>
      </c>
      <c r="N259" s="183" t="s">
        <v>216</v>
      </c>
      <c r="O259" s="2155"/>
      <c r="P259" s="1436" t="str">
        <f>IF(AND($K$7=1,FEC=1,OR('1_Full_time'!E77&lt;&gt;0,'1_Full_time'!H77&lt;&gt;0)),CONCATENATE(P$192,", ",P$193,", Price group ",$L259,", ",$M259," length; "),"")</f>
        <v/>
      </c>
      <c r="Q259" s="1437" t="str">
        <f>IF(AND($K$7=1,FEC=1,OR('1_Full_time'!F77&lt;&gt;0,'1_Full_time'!I77&lt;&gt;0)),CONCATENATE(Q$192,", ",Q$193,", Price group ",$L259,", ",$M259," length; "),"")</f>
        <v/>
      </c>
      <c r="R259" s="314"/>
      <c r="S259" s="313" t="str">
        <f>IF(AND($K$7=1,FEC=1,'1_Full_time'!K77&lt;&gt;0),CONCATENATE(S$192,", ",S$193,", Price group ",$L259,", ",$M259," length; "),"")</f>
        <v/>
      </c>
      <c r="T259" s="315" t="str">
        <f>IF(AND($K$7=1,FEC=1,'1_Full_time'!L77&lt;&gt;0),CONCATENATE(T$192,", ",T$193,", Price group ",$L259,", ",$M259," length; "),"")</f>
        <v/>
      </c>
      <c r="U259" s="131"/>
    </row>
    <row r="260" spans="2:45" x14ac:dyDescent="0.35">
      <c r="L260" s="130"/>
      <c r="O260" s="1619"/>
      <c r="P260" s="323"/>
      <c r="Q260" s="324"/>
      <c r="R260" s="1619"/>
      <c r="S260" s="323"/>
      <c r="T260" s="324"/>
      <c r="U260" s="131"/>
    </row>
    <row r="261" spans="2:45" x14ac:dyDescent="0.35">
      <c r="L261" s="325"/>
      <c r="N261" s="183"/>
      <c r="O261" s="1619"/>
      <c r="P261" s="323"/>
      <c r="Q261" s="324"/>
      <c r="R261" s="1619"/>
      <c r="S261" s="323"/>
      <c r="T261" s="324"/>
      <c r="U261" s="131"/>
    </row>
    <row r="262" spans="2:45" x14ac:dyDescent="0.35">
      <c r="L262" s="325"/>
      <c r="N262" s="183"/>
      <c r="O262" s="1619"/>
      <c r="P262" s="323"/>
      <c r="Q262" s="324"/>
      <c r="R262" s="1619"/>
      <c r="S262" s="323"/>
      <c r="T262" s="324"/>
      <c r="U262" s="131"/>
    </row>
    <row r="263" spans="2:45" x14ac:dyDescent="0.35">
      <c r="L263" s="325"/>
      <c r="N263" s="183"/>
      <c r="O263" s="1619"/>
      <c r="P263" s="323"/>
      <c r="Q263" s="324"/>
      <c r="R263" s="1619"/>
      <c r="S263" s="323"/>
      <c r="T263" s="324"/>
      <c r="U263" s="131"/>
    </row>
    <row r="264" spans="2:45" x14ac:dyDescent="0.35">
      <c r="L264" s="325"/>
      <c r="N264" s="183"/>
      <c r="O264" s="1619"/>
      <c r="P264" s="323"/>
      <c r="Q264" s="324"/>
      <c r="R264" s="1619"/>
      <c r="S264" s="323"/>
      <c r="T264" s="324"/>
      <c r="U264" s="131"/>
    </row>
    <row r="265" spans="2:45" x14ac:dyDescent="0.35">
      <c r="L265" s="325" t="s">
        <v>277</v>
      </c>
      <c r="M265" t="s">
        <v>218</v>
      </c>
      <c r="N265" s="183" t="s">
        <v>216</v>
      </c>
      <c r="O265" s="2156"/>
      <c r="P265" s="1439" t="str">
        <f>IF(AND($K$7=1,FEC=1,OR('1_Full_time'!E83&lt;&gt;0,'1_Full_time'!H83&lt;&gt;0)),CONCATENATE(P$192,", ",P$193,", Price group ",$L265,", ",$M265," length; "),"")</f>
        <v/>
      </c>
      <c r="Q265" s="1440" t="str">
        <f>IF(AND($K$7=1,FEC=1,OR('1_Full_time'!F83&lt;&gt;0,'1_Full_time'!I83&lt;&gt;0)),CONCATENATE(Q$192,", ",Q$193,", Price group ",$L265,", ",$M265," length; "),"")</f>
        <v/>
      </c>
      <c r="R265" s="316"/>
      <c r="S265" s="329" t="str">
        <f>IF(AND($K$7=1,FEC=1,'1_Full_time'!K83&lt;&gt;0),CONCATENATE(S$192,", ",S$193,", Price group ",$L265,", ",$M265," length; "),"")</f>
        <v/>
      </c>
      <c r="T265" s="317" t="str">
        <f>IF(AND($K$7=1,FEC=1,'1_Full_time'!L83&lt;&gt;0),CONCATENATE(T$192,", ",T$193,", Price group ",$L265,", ",$M265," length; "),"")</f>
        <v/>
      </c>
      <c r="U265" s="131"/>
    </row>
    <row r="266" spans="2:45" x14ac:dyDescent="0.35">
      <c r="L266" s="130"/>
      <c r="U266" s="131"/>
    </row>
    <row r="267" spans="2:45" x14ac:dyDescent="0.35">
      <c r="L267" s="130"/>
      <c r="O267" s="2158"/>
      <c r="P267" s="1731" t="str">
        <f t="shared" ref="P267:T267" si="43">CONCATENATE(P199,P205,P211,P217,P223,P229,P235,P241,P247,P253,P259,P265)</f>
        <v/>
      </c>
      <c r="Q267" s="1731" t="str">
        <f t="shared" si="43"/>
        <v/>
      </c>
      <c r="R267" s="2158"/>
      <c r="S267" s="1731" t="str">
        <f t="shared" si="43"/>
        <v/>
      </c>
      <c r="T267" s="1731" t="str">
        <f t="shared" si="43"/>
        <v/>
      </c>
      <c r="U267" s="131"/>
    </row>
    <row r="268" spans="2:45" x14ac:dyDescent="0.35">
      <c r="L268" s="130"/>
      <c r="U268" s="131"/>
    </row>
    <row r="269" spans="2:45" x14ac:dyDescent="0.35">
      <c r="L269" s="130"/>
      <c r="O269" s="1744" t="str">
        <f>CONCATENATE(P267,Q267)</f>
        <v/>
      </c>
      <c r="R269" s="1733" t="str">
        <f>CONCATENATE(S267,T267)</f>
        <v/>
      </c>
      <c r="U269" s="131"/>
    </row>
    <row r="270" spans="2:45" x14ac:dyDescent="0.35">
      <c r="L270" s="130"/>
      <c r="U270" s="131"/>
    </row>
    <row r="271" spans="2:45" x14ac:dyDescent="0.35">
      <c r="L271" s="130"/>
      <c r="O271" s="1731" t="str">
        <f>CONCATENATE(O269,R269)</f>
        <v/>
      </c>
      <c r="U271" s="131"/>
    </row>
    <row r="272" spans="2:45" s="182" customFormat="1" x14ac:dyDescent="0.35">
      <c r="B272"/>
      <c r="C272"/>
      <c r="D272"/>
      <c r="E272"/>
      <c r="F272"/>
      <c r="G272"/>
      <c r="H272"/>
      <c r="I272"/>
      <c r="J272"/>
      <c r="K272"/>
      <c r="L272" s="132"/>
      <c r="M272" s="133"/>
      <c r="N272" s="133"/>
      <c r="O272" s="133"/>
      <c r="P272" s="133"/>
      <c r="Q272" s="133"/>
      <c r="R272" s="133"/>
      <c r="S272" s="133"/>
      <c r="T272" s="133"/>
      <c r="U272" s="134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</row>
    <row r="273" spans="2:45" s="182" customFormat="1" x14ac:dyDescent="0.35">
      <c r="B273" s="7"/>
      <c r="C273" s="7"/>
      <c r="D273" s="11"/>
      <c r="E273" s="11"/>
      <c r="F273" s="11"/>
      <c r="G273" s="11"/>
      <c r="H273" s="11"/>
      <c r="N273" s="7"/>
      <c r="O273" s="7"/>
      <c r="P273" s="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</row>
    <row r="274" spans="2:45" ht="13.5" customHeight="1" x14ac:dyDescent="0.35"/>
    <row r="275" spans="2:45" ht="13.5" customHeight="1" x14ac:dyDescent="0.35"/>
  </sheetData>
  <sheetProtection algorithmName="SHA-512" hashValue="FgCqncAR83PqLFNZa+hfUJbPNSuQkuBsmg/r6OtGbojVCuIq+Lmcod0NO4H/5bPuJ62U2icLJh+6n77nB+NrmQ==" saltValue="Tx27OssRbOALtxWbQmpX5Q==" spinCount="100000" sheet="1" objects="1" scenarios="1"/>
  <phoneticPr fontId="86" type="noConversion"/>
  <conditionalFormatting sqref="N14:Y98">
    <cfRule type="cellIs" dxfId="21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>
    <tabColor rgb="FF92D050"/>
    <pageSetUpPr fitToPage="1"/>
  </sheetPr>
  <dimension ref="A1:R32"/>
  <sheetViews>
    <sheetView showGridLines="0" workbookViewId="0"/>
  </sheetViews>
  <sheetFormatPr defaultColWidth="9" defaultRowHeight="13.5" x14ac:dyDescent="0.35"/>
  <cols>
    <col min="1" max="1" width="11" style="74" customWidth="1"/>
    <col min="2" max="2" width="20" style="74" customWidth="1"/>
    <col min="3" max="5" width="10.86328125" style="74" customWidth="1"/>
    <col min="6" max="8" width="11" style="74" hidden="1" customWidth="1"/>
    <col min="9" max="10" width="10.86328125" style="74" customWidth="1"/>
    <col min="11" max="11" width="11.59765625" style="74" customWidth="1"/>
    <col min="12" max="14" width="10.86328125" style="74" customWidth="1"/>
    <col min="15" max="15" width="11.86328125" style="74" customWidth="1"/>
    <col min="16" max="16" width="11.73046875" style="74" hidden="1" customWidth="1"/>
    <col min="17" max="17" width="9.86328125" style="74" hidden="1" customWidth="1"/>
    <col min="18" max="18" width="9.59765625" style="74" hidden="1" customWidth="1"/>
    <col min="19" max="16384" width="9" style="74"/>
  </cols>
  <sheetData>
    <row r="1" spans="1:18" s="2" customFormat="1" ht="25.15" x14ac:dyDescent="0.35">
      <c r="A1" s="636" t="s">
        <v>29786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ht="25.5" customHeight="1" x14ac:dyDescent="0.4">
      <c r="A2" s="1385" t="str">
        <f>IF(PROVIDER="","Provider name",PROVIDER&amp;" ("&amp;UKPRN&amp;")")</f>
        <v>Provider name</v>
      </c>
      <c r="C2" s="669"/>
      <c r="D2" s="669"/>
      <c r="E2" s="669"/>
    </row>
    <row r="3" spans="1:18" s="1276" customFormat="1" ht="16.5" customHeight="1" x14ac:dyDescent="0.35">
      <c r="A3" s="1501" t="s">
        <v>27713</v>
      </c>
    </row>
    <row r="4" spans="1:18" ht="27" customHeight="1" thickBot="1" x14ac:dyDescent="0.4">
      <c r="C4" s="3404" t="str">
        <f>'Table 2 Valid'!F3</f>
        <v>Validation: OK</v>
      </c>
      <c r="D4" s="3404"/>
      <c r="E4" s="3404"/>
      <c r="F4" s="3404" t="str">
        <f>'Table 2 Valid'!F3</f>
        <v>Validation: OK</v>
      </c>
      <c r="G4" s="3404"/>
      <c r="H4" s="3404"/>
      <c r="I4" s="3404" t="str">
        <f>'Table 2 Valid'!H3</f>
        <v>Validation: OK</v>
      </c>
      <c r="J4" s="3404"/>
      <c r="K4" s="3404"/>
      <c r="L4" s="3404" t="str">
        <f>'Table 2 Valid'!J3</f>
        <v>Validation: OK</v>
      </c>
      <c r="M4" s="3404"/>
      <c r="N4" s="3404"/>
      <c r="O4" s="732"/>
    </row>
    <row r="5" spans="1:18" ht="14.45" customHeight="1" x14ac:dyDescent="0.4">
      <c r="A5" s="677"/>
      <c r="B5" s="733"/>
      <c r="C5" s="675" t="s">
        <v>27679</v>
      </c>
      <c r="D5" s="677"/>
      <c r="E5" s="677"/>
      <c r="F5" s="675" t="s">
        <v>27679</v>
      </c>
      <c r="G5" s="677"/>
      <c r="H5" s="677"/>
      <c r="I5" s="675" t="s">
        <v>27680</v>
      </c>
      <c r="J5" s="734"/>
      <c r="K5" s="734"/>
      <c r="L5" s="675" t="s">
        <v>28274</v>
      </c>
      <c r="M5" s="734"/>
      <c r="N5" s="734"/>
    </row>
    <row r="6" spans="1:18" ht="14.45" customHeight="1" x14ac:dyDescent="0.35">
      <c r="B6" s="736"/>
      <c r="C6" s="1621"/>
      <c r="D6" s="737"/>
      <c r="E6" s="738"/>
      <c r="F6" s="1621" t="s">
        <v>27681</v>
      </c>
      <c r="G6" s="737"/>
      <c r="H6" s="738"/>
      <c r="I6" s="1584"/>
      <c r="J6" s="739"/>
      <c r="K6" s="739"/>
      <c r="L6" s="1598" t="s">
        <v>27681</v>
      </c>
      <c r="M6" s="739"/>
      <c r="N6" s="739"/>
    </row>
    <row r="7" spans="1:18" ht="45" customHeight="1" x14ac:dyDescent="0.35">
      <c r="B7" s="736"/>
      <c r="C7" s="3378" t="str">
        <f>"Years countable between 1 August 20"&amp;YEAR&amp;" and census date inclusive"</f>
        <v>Years countable between 1 August 2024 and census date inclusive</v>
      </c>
      <c r="D7" s="3402"/>
      <c r="E7" s="3403"/>
      <c r="F7" s="3378" t="str">
        <f>"Years countable between 1 August 20"&amp;YEAR&amp;" and census date inclusive"</f>
        <v>Years countable between 1 August 2024 and census date inclusive</v>
      </c>
      <c r="G7" s="3402"/>
      <c r="H7" s="3403"/>
      <c r="I7" s="3378" t="str">
        <f>"Forecast of years countable after census date and before 1 August 20"&amp;(YEAR+1)</f>
        <v>Forecast of years countable after census date and before 1 August 2025</v>
      </c>
      <c r="J7" s="3402"/>
      <c r="K7" s="3403"/>
      <c r="L7" s="3378" t="str">
        <f>"Years countable in academic year 20"&amp;ACYEAR&amp;"
(Columns 1 + 2)"</f>
        <v>Years countable in academic year 2024-25
(Columns 1 + 2)</v>
      </c>
      <c r="M7" s="3402"/>
      <c r="N7" s="3402"/>
    </row>
    <row r="8" spans="1:18" ht="14.45" customHeight="1" x14ac:dyDescent="0.35">
      <c r="B8" s="736"/>
      <c r="C8" s="740" t="s">
        <v>293</v>
      </c>
      <c r="D8" s="741"/>
      <c r="F8" s="740" t="s">
        <v>293</v>
      </c>
      <c r="G8" s="741"/>
      <c r="I8" s="740" t="s">
        <v>293</v>
      </c>
      <c r="J8" s="741"/>
      <c r="L8" s="740" t="s">
        <v>293</v>
      </c>
      <c r="M8" s="741"/>
    </row>
    <row r="9" spans="1:18" s="732" customFormat="1" ht="29.25" customHeight="1" x14ac:dyDescent="0.35">
      <c r="A9" s="3406" t="s">
        <v>200</v>
      </c>
      <c r="B9" s="736"/>
      <c r="C9" s="742" t="s">
        <v>192</v>
      </c>
      <c r="D9" s="690" t="s">
        <v>193</v>
      </c>
      <c r="E9" s="690" t="s">
        <v>194</v>
      </c>
      <c r="F9" s="742" t="s">
        <v>192</v>
      </c>
      <c r="G9" s="690" t="s">
        <v>193</v>
      </c>
      <c r="H9" s="690" t="s">
        <v>194</v>
      </c>
      <c r="I9" s="742" t="s">
        <v>192</v>
      </c>
      <c r="J9" s="690" t="s">
        <v>193</v>
      </c>
      <c r="K9" s="690" t="s">
        <v>194</v>
      </c>
      <c r="L9" s="742" t="s">
        <v>192</v>
      </c>
      <c r="M9" s="690" t="s">
        <v>193</v>
      </c>
      <c r="N9" s="690" t="s">
        <v>194</v>
      </c>
    </row>
    <row r="10" spans="1:18" ht="14.45" customHeight="1" x14ac:dyDescent="0.35">
      <c r="A10" s="3402"/>
      <c r="B10" s="1530" t="s">
        <v>57</v>
      </c>
      <c r="C10" s="1164" t="s">
        <v>27682</v>
      </c>
      <c r="D10" s="1165" t="s">
        <v>27683</v>
      </c>
      <c r="E10" s="1165" t="s">
        <v>27684</v>
      </c>
      <c r="F10" s="1164" t="s">
        <v>27682</v>
      </c>
      <c r="G10" s="1165" t="s">
        <v>27683</v>
      </c>
      <c r="H10" s="1165" t="s">
        <v>27684</v>
      </c>
      <c r="I10" s="1164" t="s">
        <v>27682</v>
      </c>
      <c r="J10" s="1165" t="s">
        <v>27683</v>
      </c>
      <c r="K10" s="1165" t="s">
        <v>27684</v>
      </c>
      <c r="L10" s="1599" t="s">
        <v>27682</v>
      </c>
      <c r="M10" s="744" t="s">
        <v>27683</v>
      </c>
      <c r="N10" s="744" t="s">
        <v>27684</v>
      </c>
      <c r="P10" s="746" t="s">
        <v>63</v>
      </c>
      <c r="Q10" s="746" t="s">
        <v>65</v>
      </c>
      <c r="R10" s="746" t="s">
        <v>66</v>
      </c>
    </row>
    <row r="11" spans="1:18" ht="14.45" customHeight="1" x14ac:dyDescent="0.35">
      <c r="A11" s="808" t="s">
        <v>264</v>
      </c>
      <c r="B11" s="1745" t="s">
        <v>205</v>
      </c>
      <c r="C11" s="1793">
        <v>0</v>
      </c>
      <c r="D11" s="1693">
        <v>0</v>
      </c>
      <c r="E11" s="1705">
        <v>0</v>
      </c>
      <c r="F11" s="1794">
        <f>IF(FEC=1,'Column 1'!AE56,C11)</f>
        <v>0</v>
      </c>
      <c r="G11" s="1694">
        <f>IF(FEC=1,'Column 1'!AF56,D11)</f>
        <v>0</v>
      </c>
      <c r="H11" s="1710">
        <f>IF(FEC=1,'Column 1'!AG56,E11)</f>
        <v>0</v>
      </c>
      <c r="I11" s="1793">
        <v>0</v>
      </c>
      <c r="J11" s="1693">
        <v>0</v>
      </c>
      <c r="K11" s="1705">
        <v>0</v>
      </c>
      <c r="L11" s="1794">
        <f>SUM(F11,I11)</f>
        <v>0</v>
      </c>
      <c r="M11" s="1694">
        <f t="shared" ref="M11:N11" si="0">SUM(G11,J11)</f>
        <v>0</v>
      </c>
      <c r="N11" s="1710">
        <f t="shared" si="0"/>
        <v>0</v>
      </c>
      <c r="P11" s="747" t="s">
        <v>264</v>
      </c>
      <c r="Q11" s="748" t="s">
        <v>27685</v>
      </c>
      <c r="R11" s="748" t="s">
        <v>27686</v>
      </c>
    </row>
    <row r="12" spans="1:18" ht="14.45" customHeight="1" x14ac:dyDescent="0.35">
      <c r="A12" s="1178" t="s">
        <v>264</v>
      </c>
      <c r="B12" s="1161" t="s">
        <v>208</v>
      </c>
      <c r="C12" s="749">
        <v>0</v>
      </c>
      <c r="D12" s="750">
        <v>0</v>
      </c>
      <c r="E12" s="751">
        <v>0</v>
      </c>
      <c r="F12" s="752">
        <f>IF(FEC=1,'Column 1'!AE57,C12)</f>
        <v>0</v>
      </c>
      <c r="G12" s="753">
        <f>IF(FEC=1,'Column 1'!AF57,D12)</f>
        <v>0</v>
      </c>
      <c r="H12" s="754">
        <f>IF(FEC=1,'Column 1'!AG57,E12)</f>
        <v>0</v>
      </c>
      <c r="I12" s="749">
        <v>0</v>
      </c>
      <c r="J12" s="750">
        <v>0</v>
      </c>
      <c r="K12" s="751">
        <v>0</v>
      </c>
      <c r="L12" s="752">
        <f t="shared" ref="L12:L15" si="1">SUM(F12,I12)</f>
        <v>0</v>
      </c>
      <c r="M12" s="753">
        <f t="shared" ref="M12:M15" si="2">SUM(G12,J12)</f>
        <v>0</v>
      </c>
      <c r="N12" s="754">
        <f t="shared" ref="N12:N15" si="3">SUM(H12,K12)</f>
        <v>0</v>
      </c>
      <c r="P12" s="747" t="s">
        <v>264</v>
      </c>
      <c r="Q12" s="748" t="s">
        <v>27685</v>
      </c>
      <c r="R12" s="748" t="s">
        <v>27687</v>
      </c>
    </row>
    <row r="13" spans="1:18" ht="14.45" customHeight="1" x14ac:dyDescent="0.35">
      <c r="A13" s="1178" t="s">
        <v>264</v>
      </c>
      <c r="B13" s="1161" t="s">
        <v>210</v>
      </c>
      <c r="C13" s="755">
        <v>0</v>
      </c>
      <c r="D13" s="756">
        <v>0</v>
      </c>
      <c r="E13" s="757">
        <v>0</v>
      </c>
      <c r="F13" s="758">
        <f>IF(FEC=1,'Column 1'!AE58,C13)</f>
        <v>0</v>
      </c>
      <c r="G13" s="759">
        <f>IF(FEC=1,'Column 1'!AF58,D13)</f>
        <v>0</v>
      </c>
      <c r="H13" s="760">
        <f>IF(FEC=1,'Column 1'!AG58,E13)</f>
        <v>0</v>
      </c>
      <c r="I13" s="755">
        <v>0</v>
      </c>
      <c r="J13" s="756">
        <v>0</v>
      </c>
      <c r="K13" s="757">
        <v>0</v>
      </c>
      <c r="L13" s="758">
        <f t="shared" si="1"/>
        <v>0</v>
      </c>
      <c r="M13" s="759">
        <f t="shared" si="2"/>
        <v>0</v>
      </c>
      <c r="N13" s="760">
        <f t="shared" si="3"/>
        <v>0</v>
      </c>
      <c r="P13" s="747" t="s">
        <v>264</v>
      </c>
      <c r="Q13" s="748" t="s">
        <v>27685</v>
      </c>
      <c r="R13" s="748" t="s">
        <v>27688</v>
      </c>
    </row>
    <row r="14" spans="1:18" ht="14.45" customHeight="1" x14ac:dyDescent="0.35">
      <c r="A14" s="1178" t="s">
        <v>264</v>
      </c>
      <c r="B14" s="1161" t="s">
        <v>212</v>
      </c>
      <c r="C14" s="761">
        <v>0</v>
      </c>
      <c r="D14" s="762">
        <v>0</v>
      </c>
      <c r="E14" s="763">
        <v>0</v>
      </c>
      <c r="F14" s="764">
        <f>IF(FEC=1,'Column 1'!AE59,C14)</f>
        <v>0</v>
      </c>
      <c r="G14" s="765">
        <f>IF(FEC=1,'Column 1'!AF59,D14)</f>
        <v>0</v>
      </c>
      <c r="H14" s="766">
        <f>IF(FEC=1,'Column 1'!AG59,E14)</f>
        <v>0</v>
      </c>
      <c r="I14" s="761">
        <v>0</v>
      </c>
      <c r="J14" s="762">
        <v>0</v>
      </c>
      <c r="K14" s="763">
        <v>0</v>
      </c>
      <c r="L14" s="764">
        <f t="shared" si="1"/>
        <v>0</v>
      </c>
      <c r="M14" s="765">
        <f t="shared" si="2"/>
        <v>0</v>
      </c>
      <c r="N14" s="766">
        <f t="shared" si="3"/>
        <v>0</v>
      </c>
      <c r="P14" s="747" t="s">
        <v>264</v>
      </c>
      <c r="Q14" s="748" t="s">
        <v>27685</v>
      </c>
      <c r="R14" s="748" t="s">
        <v>27689</v>
      </c>
    </row>
    <row r="15" spans="1:18" ht="14.45" customHeight="1" thickBot="1" x14ac:dyDescent="0.4">
      <c r="A15" s="1312" t="s">
        <v>264</v>
      </c>
      <c r="B15" s="1161" t="s">
        <v>214</v>
      </c>
      <c r="C15" s="761">
        <v>0</v>
      </c>
      <c r="D15" s="762">
        <v>0</v>
      </c>
      <c r="E15" s="763">
        <v>0</v>
      </c>
      <c r="F15" s="764">
        <f>IF(FEC=1,'Column 1'!AE60,C15)</f>
        <v>0</v>
      </c>
      <c r="G15" s="765">
        <f>IF(FEC=1,'Column 1'!AF60,D15)</f>
        <v>0</v>
      </c>
      <c r="H15" s="767">
        <f>IF(FEC=1,'Column 1'!AG60,E15)</f>
        <v>0</v>
      </c>
      <c r="I15" s="761">
        <v>0</v>
      </c>
      <c r="J15" s="762">
        <v>0</v>
      </c>
      <c r="K15" s="763">
        <v>0</v>
      </c>
      <c r="L15" s="764">
        <f t="shared" si="1"/>
        <v>0</v>
      </c>
      <c r="M15" s="765">
        <f t="shared" si="2"/>
        <v>0</v>
      </c>
      <c r="N15" s="766">
        <f t="shared" si="3"/>
        <v>0</v>
      </c>
      <c r="P15" s="747" t="s">
        <v>264</v>
      </c>
      <c r="Q15" s="748" t="s">
        <v>27685</v>
      </c>
      <c r="R15" s="748" t="s">
        <v>27690</v>
      </c>
    </row>
    <row r="16" spans="1:18" ht="14.45" customHeight="1" thickTop="1" thickBot="1" x14ac:dyDescent="0.4">
      <c r="A16" s="768"/>
      <c r="B16" s="1534" t="s">
        <v>27696</v>
      </c>
      <c r="C16" s="769">
        <f>SUM(C11:C15)</f>
        <v>0</v>
      </c>
      <c r="D16" s="770">
        <f>SUM(D11:D15)</f>
        <v>0</v>
      </c>
      <c r="E16" s="771">
        <f>SUM(E11:E15)</f>
        <v>0</v>
      </c>
      <c r="F16" s="769">
        <f t="shared" ref="F16:N16" si="4">SUM(F11:F15)</f>
        <v>0</v>
      </c>
      <c r="G16" s="770">
        <f t="shared" si="4"/>
        <v>0</v>
      </c>
      <c r="H16" s="772">
        <f t="shared" si="4"/>
        <v>0</v>
      </c>
      <c r="I16" s="769">
        <f t="shared" si="4"/>
        <v>0</v>
      </c>
      <c r="J16" s="770">
        <f t="shared" si="4"/>
        <v>0</v>
      </c>
      <c r="K16" s="771">
        <f t="shared" si="4"/>
        <v>0</v>
      </c>
      <c r="L16" s="769">
        <f t="shared" si="4"/>
        <v>0</v>
      </c>
      <c r="M16" s="770">
        <f t="shared" si="4"/>
        <v>0</v>
      </c>
      <c r="N16" s="771">
        <f t="shared" si="4"/>
        <v>0</v>
      </c>
      <c r="P16" s="747" t="s">
        <v>28321</v>
      </c>
      <c r="Q16" s="748" t="s">
        <v>203</v>
      </c>
      <c r="R16" s="748" t="s">
        <v>28321</v>
      </c>
    </row>
    <row r="17" spans="1:18" hidden="1" x14ac:dyDescent="0.35">
      <c r="B17" s="744"/>
      <c r="C17" s="744"/>
      <c r="D17" s="744"/>
      <c r="E17" s="744"/>
      <c r="O17" s="773"/>
    </row>
    <row r="18" spans="1:18" hidden="1" x14ac:dyDescent="0.35">
      <c r="B18" s="774" t="s">
        <v>67</v>
      </c>
      <c r="C18" s="775" t="s">
        <v>27697</v>
      </c>
      <c r="D18" s="775" t="s">
        <v>27697</v>
      </c>
      <c r="E18" s="775" t="s">
        <v>27697</v>
      </c>
      <c r="F18" s="775" t="s">
        <v>27698</v>
      </c>
      <c r="G18" s="775" t="s">
        <v>27698</v>
      </c>
      <c r="H18" s="775" t="s">
        <v>27698</v>
      </c>
      <c r="I18" s="775">
        <v>2</v>
      </c>
      <c r="J18" s="775">
        <v>2</v>
      </c>
      <c r="K18" s="775">
        <v>2</v>
      </c>
      <c r="L18" s="775">
        <v>12</v>
      </c>
      <c r="M18" s="775">
        <v>12</v>
      </c>
      <c r="N18" s="775">
        <v>12</v>
      </c>
      <c r="O18" s="776"/>
      <c r="P18" s="308"/>
      <c r="Q18" s="308"/>
      <c r="R18" s="308"/>
    </row>
    <row r="19" spans="1:18" hidden="1" x14ac:dyDescent="0.35">
      <c r="B19" s="774" t="s">
        <v>27699</v>
      </c>
      <c r="C19" s="775" t="s">
        <v>27714</v>
      </c>
      <c r="D19" s="775" t="s">
        <v>27715</v>
      </c>
      <c r="E19" s="775" t="s">
        <v>27716</v>
      </c>
      <c r="F19" s="775" t="s">
        <v>27714</v>
      </c>
      <c r="G19" s="775" t="s">
        <v>27715</v>
      </c>
      <c r="H19" s="775" t="s">
        <v>27716</v>
      </c>
      <c r="I19" s="775" t="s">
        <v>27714</v>
      </c>
      <c r="J19" s="775" t="s">
        <v>27715</v>
      </c>
      <c r="K19" s="775" t="s">
        <v>27716</v>
      </c>
      <c r="L19" s="775" t="s">
        <v>27714</v>
      </c>
      <c r="M19" s="775" t="s">
        <v>27715</v>
      </c>
      <c r="N19" s="775" t="s">
        <v>27716</v>
      </c>
      <c r="O19" s="776"/>
      <c r="P19" s="308"/>
      <c r="Q19" s="308"/>
      <c r="R19" s="308"/>
    </row>
    <row r="20" spans="1:18" hidden="1" x14ac:dyDescent="0.35">
      <c r="B20" s="309"/>
      <c r="C20" s="777"/>
      <c r="D20" s="777"/>
      <c r="E20" s="777"/>
      <c r="F20" s="778"/>
      <c r="G20" s="778"/>
      <c r="H20" s="778"/>
      <c r="I20" s="776"/>
      <c r="J20" s="776"/>
      <c r="K20" s="776"/>
      <c r="L20" s="776"/>
      <c r="M20" s="776"/>
      <c r="N20" s="776"/>
      <c r="O20" s="776"/>
      <c r="P20" s="777" t="s">
        <v>306</v>
      </c>
      <c r="Q20" s="346"/>
      <c r="R20" s="308"/>
    </row>
    <row r="21" spans="1:18" x14ac:dyDescent="0.35">
      <c r="H21" s="779"/>
      <c r="K21" s="731"/>
      <c r="L21" s="780"/>
      <c r="M21" s="781"/>
    </row>
    <row r="22" spans="1:18" s="657" customFormat="1" ht="20.45" customHeight="1" x14ac:dyDescent="0.35">
      <c r="A22" s="657" t="s">
        <v>27717</v>
      </c>
      <c r="O22" s="1250"/>
    </row>
    <row r="23" spans="1:18" ht="14.45" customHeight="1" x14ac:dyDescent="0.35">
      <c r="A23" s="74" t="s">
        <v>146</v>
      </c>
      <c r="O23" s="783"/>
    </row>
    <row r="24" spans="1:18" ht="14.45" customHeight="1" x14ac:dyDescent="0.35">
      <c r="A24" s="782" t="str">
        <f>'Table 2 Valid'!B23</f>
        <v/>
      </c>
      <c r="F24" s="744"/>
      <c r="G24" s="346"/>
      <c r="H24" s="346"/>
      <c r="I24" s="783"/>
      <c r="J24" s="346"/>
      <c r="K24" s="346"/>
      <c r="L24" s="783"/>
      <c r="M24" s="784"/>
      <c r="N24" s="346"/>
      <c r="O24" s="783"/>
    </row>
    <row r="25" spans="1:18" s="346" customFormat="1" ht="14.45" customHeight="1" x14ac:dyDescent="0.35">
      <c r="A25" s="74" t="s">
        <v>28279</v>
      </c>
      <c r="B25" s="74"/>
      <c r="C25" s="74"/>
      <c r="D25" s="74"/>
      <c r="E25" s="74"/>
      <c r="F25" s="744"/>
      <c r="I25" s="783"/>
      <c r="L25" s="783"/>
    </row>
    <row r="26" spans="1:18" s="346" customFormat="1" ht="13.5" customHeight="1" x14ac:dyDescent="0.35">
      <c r="A26" s="782" t="str">
        <f>'Table 2 Valid'!B36</f>
        <v/>
      </c>
    </row>
    <row r="27" spans="1:18" s="346" customFormat="1" ht="13.5" customHeight="1" x14ac:dyDescent="0.35">
      <c r="A27" s="785"/>
    </row>
    <row r="28" spans="1:18" s="346" customFormat="1" x14ac:dyDescent="0.35">
      <c r="A28" s="785"/>
    </row>
    <row r="29" spans="1:18" s="346" customFormat="1" ht="13.5" customHeight="1" x14ac:dyDescent="0.35"/>
    <row r="30" spans="1:18" s="346" customFormat="1" x14ac:dyDescent="0.35"/>
    <row r="31" spans="1:18" s="346" customFormat="1" x14ac:dyDescent="0.35"/>
    <row r="32" spans="1:18" x14ac:dyDescent="0.35">
      <c r="A32" s="346"/>
      <c r="B32" s="346"/>
      <c r="C32" s="346"/>
      <c r="D32" s="346"/>
      <c r="E32" s="346"/>
      <c r="F32" s="346"/>
      <c r="G32" s="346"/>
      <c r="H32" s="346"/>
      <c r="I32" s="346"/>
      <c r="J32" s="346"/>
      <c r="K32" s="346"/>
      <c r="L32" s="346"/>
      <c r="M32" s="346"/>
      <c r="N32" s="346"/>
    </row>
  </sheetData>
  <sheetProtection algorithmName="SHA-512" hashValue="q2IBcEsMcIAj15aK2Agxu9hCHA3UlvtVDH93rP7y01LD9UV5B9JUTt1/6B8s5Pg5lo24HQprC142LEo025qC0Q==" saltValue="Zjl7U0kC4myE3CQWDVYCuw==" spinCount="100000" sheet="1" objects="1" scenarios="1"/>
  <mergeCells count="9">
    <mergeCell ref="A9:A10"/>
    <mergeCell ref="L4:N4"/>
    <mergeCell ref="I4:K4"/>
    <mergeCell ref="F4:H4"/>
    <mergeCell ref="F7:H7"/>
    <mergeCell ref="I7:K7"/>
    <mergeCell ref="C4:E4"/>
    <mergeCell ref="C7:E7"/>
    <mergeCell ref="L7:N7"/>
  </mergeCells>
  <phoneticPr fontId="0" type="noConversion"/>
  <conditionalFormatting sqref="C4:N4">
    <cfRule type="cellIs" dxfId="209" priority="388621" operator="notEqual">
      <formula>"Validation: OK"</formula>
    </cfRule>
  </conditionalFormatting>
  <conditionalFormatting sqref="C11:N16">
    <cfRule type="cellIs" dxfId="207" priority="18" operator="equal">
      <formula>0</formula>
    </cfRule>
  </conditionalFormatting>
  <dataValidations count="2">
    <dataValidation type="custom" allowBlank="1" showInputMessage="1" showErrorMessage="1" errorTitle="Validation check" error="Table 2, Column 2 can only contain positive integers or zero." sqref="I11:K15" xr:uid="{0D1C01ED-907F-4A22-A515-41E132C3BC84}">
      <formula1>AND(I11&gt;=0,ROUND(I11,0)=I11)</formula1>
    </dataValidation>
    <dataValidation type="custom" allowBlank="1" showInputMessage="1" showErrorMessage="1" errorTitle="Validation check" error="Table 2, Column 1 can only contain positive integers or zero." sqref="C11:E15" xr:uid="{DB2EFB8B-8286-4972-B36E-AE459F6F4FEB}">
      <formula1>AND(C11&gt;=0,ROUND(C11,0)=C11)</formula1>
    </dataValidation>
  </dataValidations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27" id="{C69AD4A7-77E1-49C0-8742-95E07B081B79}">
            <xm:f>IF('Table 2 Valid'!L15=1,1,0)</xm:f>
            <x14:dxf>
              <font>
                <b/>
                <i val="0"/>
                <color rgb="FFFF0000"/>
              </font>
            </x14:dxf>
          </x14:cfRule>
          <xm:sqref>C11:N15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Z53"/>
  <sheetViews>
    <sheetView workbookViewId="0"/>
  </sheetViews>
  <sheetFormatPr defaultColWidth="9" defaultRowHeight="12.75" x14ac:dyDescent="0.35"/>
  <cols>
    <col min="3" max="3" width="16" bestFit="1" customWidth="1"/>
  </cols>
  <sheetData>
    <row r="1" spans="1:26" ht="15" x14ac:dyDescent="0.4">
      <c r="A1" s="102" t="s">
        <v>27718</v>
      </c>
    </row>
    <row r="2" spans="1:26" ht="13.15" x14ac:dyDescent="0.4">
      <c r="D2" s="11" t="s">
        <v>28277</v>
      </c>
      <c r="F2" s="6" t="s">
        <v>27679</v>
      </c>
      <c r="H2" s="6" t="s">
        <v>27680</v>
      </c>
      <c r="J2" s="6" t="s">
        <v>28272</v>
      </c>
      <c r="K2" s="6"/>
      <c r="L2" s="6"/>
    </row>
    <row r="3" spans="1:26" ht="13.15" x14ac:dyDescent="0.4">
      <c r="B3" s="14" t="s">
        <v>343</v>
      </c>
      <c r="D3" s="7">
        <f>IF(AND(F3="Validation: OK",H3="Validation: OK"),0,1)</f>
        <v>0</v>
      </c>
      <c r="F3" s="570" t="str">
        <f>IF(AND(D23="",D36=""),"Validation: OK","Validation: Failure (see below table)")</f>
        <v>Validation: OK</v>
      </c>
      <c r="H3" s="571" t="str">
        <f>IF(AND(G23="",G36=""),"Validation: OK","Validation: Failure (see below table)")</f>
        <v>Validation: OK</v>
      </c>
      <c r="J3" s="587" t="str">
        <f>IF(AND(F3="Validation: OK",H3="Validation: OK"),"Validation: OK","Validation: Failure (see below table)")</f>
        <v>Validation: OK</v>
      </c>
      <c r="K3" s="7"/>
      <c r="L3" s="7"/>
    </row>
    <row r="4" spans="1:26" ht="13.15" x14ac:dyDescent="0.4">
      <c r="B4" s="14" t="s">
        <v>344</v>
      </c>
      <c r="D4" s="7">
        <f>IF(AND(F4="Credibility: OK",H4="Credibility: OK"),0,1)</f>
        <v>0</v>
      </c>
      <c r="F4" s="573" t="s">
        <v>345</v>
      </c>
      <c r="H4" s="573" t="s">
        <v>345</v>
      </c>
      <c r="J4" s="2152" t="str">
        <f>IF(AND(F4="Credibility: OK",H4="Credibility: OK"),"Credibility: OK","Credibility: Warnings (see below table)")</f>
        <v>Credibility: OK</v>
      </c>
      <c r="K4" s="7"/>
      <c r="L4" s="7"/>
    </row>
    <row r="7" spans="1:26" ht="128.65" x14ac:dyDescent="0.4">
      <c r="B7" s="1735" t="s">
        <v>346</v>
      </c>
      <c r="C7" s="331"/>
      <c r="D7" s="320" t="s">
        <v>28275</v>
      </c>
      <c r="E7" s="320" t="s">
        <v>28276</v>
      </c>
      <c r="F7" s="1716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1:26" x14ac:dyDescent="0.35">
      <c r="B8" s="1609" t="s">
        <v>363</v>
      </c>
      <c r="C8" s="11"/>
      <c r="D8" s="7">
        <v>1</v>
      </c>
      <c r="E8" s="7">
        <v>1</v>
      </c>
      <c r="F8" s="54"/>
      <c r="H8" s="11"/>
      <c r="I8" s="11"/>
      <c r="J8" s="11"/>
      <c r="K8" s="11"/>
      <c r="L8" s="11"/>
      <c r="M8" s="11"/>
      <c r="N8" s="11"/>
      <c r="O8" s="11"/>
      <c r="P8" s="11"/>
      <c r="Q8" s="11"/>
    </row>
    <row r="9" spans="1:26" s="182" customFormat="1" x14ac:dyDescent="0.35">
      <c r="B9" s="600"/>
      <c r="C9" s="598"/>
      <c r="D9" s="598"/>
      <c r="E9" s="598"/>
      <c r="F9" s="599"/>
      <c r="H9" s="184"/>
      <c r="I9" s="184"/>
      <c r="J9" s="184"/>
      <c r="K9" s="184"/>
      <c r="L9" s="184"/>
      <c r="M9" s="184"/>
      <c r="N9" s="184"/>
      <c r="O9" s="184"/>
      <c r="P9" s="184"/>
      <c r="Q9" s="184"/>
    </row>
    <row r="10" spans="1:26" s="182" customFormat="1" x14ac:dyDescent="0.35">
      <c r="B10" s="8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</row>
    <row r="11" spans="1:26" s="182" customFormat="1" ht="13.15" x14ac:dyDescent="0.4">
      <c r="B11" s="8"/>
      <c r="C11" s="184"/>
      <c r="D11" s="184"/>
      <c r="E11" s="184"/>
      <c r="F11" s="184"/>
      <c r="G11" s="184"/>
      <c r="H11" s="184"/>
      <c r="I11" s="184"/>
      <c r="J11" s="184"/>
      <c r="K11" s="184"/>
      <c r="L11" s="6" t="s">
        <v>27709</v>
      </c>
      <c r="M11"/>
      <c r="N11"/>
      <c r="O11" s="11" t="s">
        <v>27719</v>
      </c>
      <c r="P11"/>
      <c r="Q11"/>
      <c r="R11"/>
      <c r="S11"/>
      <c r="T11"/>
      <c r="U11"/>
      <c r="V11"/>
      <c r="W11"/>
      <c r="X11"/>
      <c r="Y11"/>
      <c r="Z11"/>
    </row>
    <row r="12" spans="1:26" s="182" customFormat="1" ht="25.5" x14ac:dyDescent="0.35">
      <c r="B12" s="19"/>
      <c r="C12" s="21"/>
      <c r="D12" s="21"/>
      <c r="E12" s="21"/>
      <c r="F12" s="21"/>
      <c r="G12" s="21"/>
      <c r="H12" s="21"/>
      <c r="I12" s="21"/>
      <c r="J12" s="21"/>
      <c r="K12" s="118"/>
      <c r="L12" s="184" t="s">
        <v>27710</v>
      </c>
      <c r="O12" s="184" t="s">
        <v>27711</v>
      </c>
      <c r="R12" s="184" t="s">
        <v>27680</v>
      </c>
      <c r="U12" s="184" t="s">
        <v>28272</v>
      </c>
    </row>
    <row r="13" spans="1:26" s="182" customFormat="1" x14ac:dyDescent="0.35">
      <c r="B13" s="22" t="s">
        <v>27723</v>
      </c>
      <c r="C13" s="1442"/>
      <c r="D13" s="11" t="s">
        <v>27679</v>
      </c>
      <c r="E13" s="11" t="s">
        <v>27679</v>
      </c>
      <c r="F13" s="11" t="s">
        <v>27679</v>
      </c>
      <c r="G13" s="11" t="s">
        <v>27680</v>
      </c>
      <c r="H13" s="11" t="s">
        <v>27680</v>
      </c>
      <c r="I13" s="11" t="s">
        <v>27680</v>
      </c>
      <c r="J13"/>
      <c r="K13" s="118"/>
      <c r="L13" t="s">
        <v>293</v>
      </c>
      <c r="O13" s="182" t="s">
        <v>293</v>
      </c>
      <c r="R13" s="182" t="s">
        <v>293</v>
      </c>
      <c r="U13" s="182" t="s">
        <v>293</v>
      </c>
    </row>
    <row r="14" spans="1:26" ht="25.5" x14ac:dyDescent="0.35">
      <c r="B14" s="118"/>
      <c r="D14" s="182" t="s">
        <v>192</v>
      </c>
      <c r="E14" s="182" t="s">
        <v>193</v>
      </c>
      <c r="F14" s="182" t="s">
        <v>194</v>
      </c>
      <c r="G14" s="182" t="s">
        <v>192</v>
      </c>
      <c r="H14" s="182" t="s">
        <v>193</v>
      </c>
      <c r="I14" s="182" t="s">
        <v>194</v>
      </c>
      <c r="K14" s="118"/>
      <c r="L14" s="182" t="s">
        <v>192</v>
      </c>
      <c r="M14" s="182" t="s">
        <v>193</v>
      </c>
      <c r="N14" t="s">
        <v>194</v>
      </c>
      <c r="O14" s="182" t="s">
        <v>192</v>
      </c>
      <c r="P14" s="182" t="s">
        <v>193</v>
      </c>
      <c r="Q14" s="182" t="s">
        <v>194</v>
      </c>
      <c r="R14" s="182" t="s">
        <v>192</v>
      </c>
      <c r="S14" s="182" t="s">
        <v>193</v>
      </c>
      <c r="T14" s="182" t="s">
        <v>194</v>
      </c>
      <c r="U14" s="182" t="s">
        <v>192</v>
      </c>
      <c r="V14" s="182" t="s">
        <v>193</v>
      </c>
      <c r="W14" s="182" t="s">
        <v>194</v>
      </c>
    </row>
    <row r="15" spans="1:26" ht="13.5" x14ac:dyDescent="0.35">
      <c r="B15" s="22" t="s">
        <v>264</v>
      </c>
      <c r="C15" s="13" t="s">
        <v>205</v>
      </c>
      <c r="D15" s="1793" t="str">
        <f>IF(AND($D$8=1,TRUNC('2_Sandwich'!F11)&lt;&gt;'2_Sandwich'!F11),D$13&amp;", "&amp;D$14&amp;", Level "&amp;$C15&amp;"; ","")</f>
        <v/>
      </c>
      <c r="E15" s="1693" t="str">
        <f>IF(AND($D$8=1,TRUNC('2_Sandwich'!G11)&lt;&gt;'2_Sandwich'!G11),E$13&amp;", "&amp;E$14&amp;", Level "&amp;$C15&amp;"; ","")</f>
        <v/>
      </c>
      <c r="F15" s="1705" t="str">
        <f>IF(AND($D$8=1,TRUNC('2_Sandwich'!H11)&lt;&gt;'2_Sandwich'!H11),F$13&amp;", "&amp;F$14&amp;", Level "&amp;$C15&amp;"; ","")</f>
        <v/>
      </c>
      <c r="G15" s="1793" t="str">
        <f>IF(AND($D$8=1,TRUNC('2_Sandwich'!I11)&lt;&gt;'2_Sandwich'!I11),G$13&amp;", "&amp;G$14&amp;", Level "&amp;$C15&amp;"; ","")</f>
        <v/>
      </c>
      <c r="H15" s="1693" t="str">
        <f>IF(AND($D$8=1,TRUNC('2_Sandwich'!J11)&lt;&gt;'2_Sandwich'!J11),H$13&amp;", "&amp;H$14&amp;", Level "&amp;$C15&amp;"; ","")</f>
        <v/>
      </c>
      <c r="I15" s="1705" t="str">
        <f>IF(AND($D$8=1,TRUNC('2_Sandwich'!K11)&lt;&gt;'2_Sandwich'!K11),I$13&amp;", "&amp;I$14&amp;", Level "&amp;$C15&amp;"; ","")</f>
        <v/>
      </c>
      <c r="J15" s="1596"/>
      <c r="K15" s="118"/>
      <c r="L15" s="1795">
        <f t="shared" ref="L15:N19" si="0">IF(OR(D15&lt;&gt;"",D28&lt;&gt;""),1,0)</f>
        <v>0</v>
      </c>
      <c r="M15" s="1695">
        <f t="shared" si="0"/>
        <v>0</v>
      </c>
      <c r="N15" s="1711">
        <f t="shared" si="0"/>
        <v>0</v>
      </c>
      <c r="O15" s="1796">
        <f t="shared" ref="O15:Q19" si="1">L15</f>
        <v>0</v>
      </c>
      <c r="P15" s="1696">
        <f t="shared" si="1"/>
        <v>0</v>
      </c>
      <c r="Q15" s="1712">
        <f t="shared" si="1"/>
        <v>0</v>
      </c>
      <c r="R15" s="1795">
        <f t="shared" ref="R15:T19" si="2">IF(OR(G15&lt;&gt;"",G28&lt;&gt;""),1,0)</f>
        <v>0</v>
      </c>
      <c r="S15" s="1695">
        <f t="shared" si="2"/>
        <v>0</v>
      </c>
      <c r="T15" s="1711">
        <f t="shared" si="2"/>
        <v>0</v>
      </c>
      <c r="U15" s="1796">
        <f>IF(OR(L15=1,R15=1),1,0)</f>
        <v>0</v>
      </c>
      <c r="V15" s="1696">
        <f t="shared" ref="V15:W15" si="3">IF(OR(M15=1,S15=1),1,0)</f>
        <v>0</v>
      </c>
      <c r="W15" s="1712">
        <f t="shared" si="3"/>
        <v>0</v>
      </c>
    </row>
    <row r="16" spans="1:26" ht="13.5" x14ac:dyDescent="0.35">
      <c r="B16" s="22" t="s">
        <v>264</v>
      </c>
      <c r="C16" s="13" t="s">
        <v>208</v>
      </c>
      <c r="D16" s="749" t="str">
        <f>IF(AND($D$8=1,TRUNC('2_Sandwich'!F12)&lt;&gt;'2_Sandwich'!F12),D$13&amp;", "&amp;D$14&amp;", Level "&amp;$C16&amp;"; ","")</f>
        <v/>
      </c>
      <c r="E16" s="750" t="str">
        <f>IF(AND($D$8=1,TRUNC('2_Sandwich'!G12)&lt;&gt;'2_Sandwich'!G12),E$13&amp;", "&amp;E$14&amp;", Level "&amp;$C16&amp;"; ","")</f>
        <v/>
      </c>
      <c r="F16" s="751" t="str">
        <f>IF(AND($D$8=1,TRUNC('2_Sandwich'!H12)&lt;&gt;'2_Sandwich'!H12),F$13&amp;", "&amp;F$14&amp;", Level "&amp;$C16&amp;"; ","")</f>
        <v/>
      </c>
      <c r="G16" s="749" t="str">
        <f>IF(AND($D$8=1,TRUNC('2_Sandwich'!I12)&lt;&gt;'2_Sandwich'!I12),G$13&amp;", "&amp;G$14&amp;", Level "&amp;$C16&amp;"; ","")</f>
        <v/>
      </c>
      <c r="H16" s="750" t="str">
        <f>IF(AND($D$8=1,TRUNC('2_Sandwich'!J12)&lt;&gt;'2_Sandwich'!J12),H$13&amp;", "&amp;H$14&amp;", Level "&amp;$C16&amp;"; ","")</f>
        <v/>
      </c>
      <c r="I16" s="751" t="str">
        <f>IF(AND($D$8=1,TRUNC('2_Sandwich'!K12)&lt;&gt;'2_Sandwich'!K12),I$13&amp;", "&amp;I$14&amp;", Level "&amp;$C16&amp;"; ","")</f>
        <v/>
      </c>
      <c r="J16" s="1596"/>
      <c r="K16" s="118"/>
      <c r="L16" s="1278">
        <f t="shared" si="0"/>
        <v>0</v>
      </c>
      <c r="M16" s="1279">
        <f t="shared" si="0"/>
        <v>0</v>
      </c>
      <c r="N16" s="1280">
        <f t="shared" si="0"/>
        <v>0</v>
      </c>
      <c r="O16" s="1281">
        <f t="shared" si="1"/>
        <v>0</v>
      </c>
      <c r="P16" s="1282">
        <f t="shared" si="1"/>
        <v>0</v>
      </c>
      <c r="Q16" s="1283">
        <f t="shared" si="1"/>
        <v>0</v>
      </c>
      <c r="R16" s="1278">
        <f t="shared" si="2"/>
        <v>0</v>
      </c>
      <c r="S16" s="1279">
        <f t="shared" si="2"/>
        <v>0</v>
      </c>
      <c r="T16" s="1280">
        <f t="shared" si="2"/>
        <v>0</v>
      </c>
      <c r="U16" s="1281">
        <f t="shared" ref="U16:U19" si="4">IF(OR(L16=1,R16=1),1,0)</f>
        <v>0</v>
      </c>
      <c r="V16" s="1282">
        <f t="shared" ref="V16:V19" si="5">IF(OR(M16=1,S16=1),1,0)</f>
        <v>0</v>
      </c>
      <c r="W16" s="1283">
        <f t="shared" ref="W16:W19" si="6">IF(OR(N16=1,T16=1),1,0)</f>
        <v>0</v>
      </c>
    </row>
    <row r="17" spans="1:23" ht="13.5" x14ac:dyDescent="0.35">
      <c r="B17" s="22" t="s">
        <v>264</v>
      </c>
      <c r="C17" s="13" t="s">
        <v>27720</v>
      </c>
      <c r="D17" s="755" t="str">
        <f>IF(AND($D$8=1,TRUNC('2_Sandwich'!F13)&lt;&gt;'2_Sandwich'!F13),D$13&amp;", "&amp;D$14&amp;", Level "&amp;$C17&amp;"; ","")</f>
        <v/>
      </c>
      <c r="E17" s="756" t="str">
        <f>IF(AND($D$8=1,TRUNC('2_Sandwich'!G13)&lt;&gt;'2_Sandwich'!G13),E$13&amp;", "&amp;E$14&amp;", Level "&amp;$C17&amp;"; ","")</f>
        <v/>
      </c>
      <c r="F17" s="757" t="str">
        <f>IF(AND($D$8=1,TRUNC('2_Sandwich'!H13)&lt;&gt;'2_Sandwich'!H13),F$13&amp;", "&amp;F$14&amp;", Level "&amp;$C17&amp;"; ","")</f>
        <v/>
      </c>
      <c r="G17" s="755" t="str">
        <f>IF(AND($D$8=1,TRUNC('2_Sandwich'!I13)&lt;&gt;'2_Sandwich'!I13),G$13&amp;", "&amp;G$14&amp;", Level "&amp;$C17&amp;"; ","")</f>
        <v/>
      </c>
      <c r="H17" s="756" t="str">
        <f>IF(AND($D$8=1,TRUNC('2_Sandwich'!J13)&lt;&gt;'2_Sandwich'!J13),H$13&amp;", "&amp;H$14&amp;", Level "&amp;$C17&amp;"; ","")</f>
        <v/>
      </c>
      <c r="I17" s="757" t="str">
        <f>IF(AND($D$8=1,TRUNC('2_Sandwich'!K13)&lt;&gt;'2_Sandwich'!K13),I$13&amp;", "&amp;I$14&amp;", Level "&amp;$C17&amp;"; ","")</f>
        <v/>
      </c>
      <c r="J17" s="1596"/>
      <c r="K17" s="118"/>
      <c r="L17" s="140">
        <f t="shared" si="0"/>
        <v>0</v>
      </c>
      <c r="M17" s="141">
        <f t="shared" si="0"/>
        <v>0</v>
      </c>
      <c r="N17" s="142">
        <f t="shared" si="0"/>
        <v>0</v>
      </c>
      <c r="O17" s="137">
        <f t="shared" si="1"/>
        <v>0</v>
      </c>
      <c r="P17" s="138">
        <f t="shared" si="1"/>
        <v>0</v>
      </c>
      <c r="Q17" s="139">
        <f t="shared" si="1"/>
        <v>0</v>
      </c>
      <c r="R17" s="140">
        <f t="shared" si="2"/>
        <v>0</v>
      </c>
      <c r="S17" s="141">
        <f t="shared" si="2"/>
        <v>0</v>
      </c>
      <c r="T17" s="142">
        <f t="shared" si="2"/>
        <v>0</v>
      </c>
      <c r="U17" s="137">
        <f t="shared" si="4"/>
        <v>0</v>
      </c>
      <c r="V17" s="138">
        <f t="shared" si="5"/>
        <v>0</v>
      </c>
      <c r="W17" s="139">
        <f t="shared" si="6"/>
        <v>0</v>
      </c>
    </row>
    <row r="18" spans="1:23" ht="13.5" x14ac:dyDescent="0.35">
      <c r="B18" s="22" t="s">
        <v>264</v>
      </c>
      <c r="C18" s="13" t="s">
        <v>27721</v>
      </c>
      <c r="D18" s="761" t="str">
        <f>IF(AND($D$8=1,TRUNC('2_Sandwich'!F14)&lt;&gt;'2_Sandwich'!F14),D$13&amp;", "&amp;D$14&amp;", Level "&amp;$C18&amp;"; ","")</f>
        <v/>
      </c>
      <c r="E18" s="762" t="str">
        <f>IF(AND($D$8=1,TRUNC('2_Sandwich'!G14)&lt;&gt;'2_Sandwich'!G14),E$13&amp;", "&amp;E$14&amp;", Level "&amp;$C18&amp;"; ","")</f>
        <v/>
      </c>
      <c r="F18" s="763" t="str">
        <f>IF(AND($D$8=1,TRUNC('2_Sandwich'!H14)&lt;&gt;'2_Sandwich'!H14),F$13&amp;", "&amp;F$14&amp;", Level "&amp;$C18&amp;"; ","")</f>
        <v/>
      </c>
      <c r="G18" s="761" t="str">
        <f>IF(AND($D$8=1,TRUNC('2_Sandwich'!I14)&lt;&gt;'2_Sandwich'!I14),G$13&amp;", "&amp;G$14&amp;", Level "&amp;$C18&amp;"; ","")</f>
        <v/>
      </c>
      <c r="H18" s="762" t="str">
        <f>IF(AND($D$8=1,TRUNC('2_Sandwich'!J14)&lt;&gt;'2_Sandwich'!J14),H$13&amp;", "&amp;H$14&amp;", Level "&amp;$C18&amp;"; ","")</f>
        <v/>
      </c>
      <c r="I18" s="763" t="str">
        <f>IF(AND($D$8=1,TRUNC('2_Sandwich'!K14)&lt;&gt;'2_Sandwich'!K14),I$13&amp;", "&amp;I$14&amp;", Level "&amp;$C18&amp;"; ","")</f>
        <v/>
      </c>
      <c r="J18" s="1596"/>
      <c r="K18" s="118"/>
      <c r="L18" s="146">
        <f t="shared" si="0"/>
        <v>0</v>
      </c>
      <c r="M18" s="147">
        <f t="shared" si="0"/>
        <v>0</v>
      </c>
      <c r="N18" s="148">
        <f t="shared" si="0"/>
        <v>0</v>
      </c>
      <c r="O18" s="143">
        <f t="shared" si="1"/>
        <v>0</v>
      </c>
      <c r="P18" s="144">
        <f t="shared" si="1"/>
        <v>0</v>
      </c>
      <c r="Q18" s="145">
        <f t="shared" si="1"/>
        <v>0</v>
      </c>
      <c r="R18" s="146">
        <f t="shared" si="2"/>
        <v>0</v>
      </c>
      <c r="S18" s="147">
        <f t="shared" si="2"/>
        <v>0</v>
      </c>
      <c r="T18" s="148">
        <f t="shared" si="2"/>
        <v>0</v>
      </c>
      <c r="U18" s="143">
        <f t="shared" si="4"/>
        <v>0</v>
      </c>
      <c r="V18" s="144">
        <f t="shared" si="5"/>
        <v>0</v>
      </c>
      <c r="W18" s="145">
        <f t="shared" si="6"/>
        <v>0</v>
      </c>
    </row>
    <row r="19" spans="1:23" ht="13.5" x14ac:dyDescent="0.35">
      <c r="B19" s="22" t="s">
        <v>264</v>
      </c>
      <c r="C19" s="13" t="s">
        <v>27722</v>
      </c>
      <c r="D19" s="2159" t="str">
        <f>IF(AND($D$8=1,TRUNC('2_Sandwich'!F15)&lt;&gt;'2_Sandwich'!F15),D$13&amp;", "&amp;D$14&amp;", Level "&amp;$C19&amp;"; ","")</f>
        <v/>
      </c>
      <c r="E19" s="2160" t="str">
        <f>IF(AND($D$8=1,TRUNC('2_Sandwich'!G15)&lt;&gt;'2_Sandwich'!G15),E$13&amp;", "&amp;E$14&amp;", Level "&amp;$C19&amp;"; ","")</f>
        <v/>
      </c>
      <c r="F19" s="2161" t="str">
        <f>IF(AND($D$8=1,TRUNC('2_Sandwich'!H15)&lt;&gt;'2_Sandwich'!H15),F$13&amp;", "&amp;F$14&amp;", Level "&amp;$C19&amp;"; ","")</f>
        <v/>
      </c>
      <c r="G19" s="2159" t="str">
        <f>IF(AND($D$8=1,TRUNC('2_Sandwich'!I15)&lt;&gt;'2_Sandwich'!I15),G$13&amp;", "&amp;G$14&amp;", Level "&amp;$C19&amp;"; ","")</f>
        <v/>
      </c>
      <c r="H19" s="2160" t="str">
        <f>IF(AND($D$8=1,TRUNC('2_Sandwich'!J15)&lt;&gt;'2_Sandwich'!J15),H$13&amp;", "&amp;H$14&amp;", Level "&amp;$C19&amp;"; ","")</f>
        <v/>
      </c>
      <c r="I19" s="2161" t="str">
        <f>IF(AND($D$8=1,TRUNC('2_Sandwich'!K15)&lt;&gt;'2_Sandwich'!K15),I$13&amp;", "&amp;I$14&amp;", Level "&amp;$C19&amp;"; ","")</f>
        <v/>
      </c>
      <c r="J19" s="1596"/>
      <c r="K19" s="118"/>
      <c r="L19" s="249">
        <f t="shared" si="0"/>
        <v>0</v>
      </c>
      <c r="M19" s="250">
        <f t="shared" si="0"/>
        <v>0</v>
      </c>
      <c r="N19" s="251">
        <f t="shared" si="0"/>
        <v>0</v>
      </c>
      <c r="O19" s="252">
        <f t="shared" si="1"/>
        <v>0</v>
      </c>
      <c r="P19" s="253">
        <f t="shared" si="1"/>
        <v>0</v>
      </c>
      <c r="Q19" s="254">
        <f t="shared" si="1"/>
        <v>0</v>
      </c>
      <c r="R19" s="249">
        <f t="shared" si="2"/>
        <v>0</v>
      </c>
      <c r="S19" s="250">
        <f t="shared" si="2"/>
        <v>0</v>
      </c>
      <c r="T19" s="251">
        <f t="shared" si="2"/>
        <v>0</v>
      </c>
      <c r="U19" s="252">
        <f t="shared" si="4"/>
        <v>0</v>
      </c>
      <c r="V19" s="253">
        <f t="shared" si="5"/>
        <v>0</v>
      </c>
      <c r="W19" s="255">
        <f t="shared" si="6"/>
        <v>0</v>
      </c>
    </row>
    <row r="20" spans="1:23" ht="13.5" thickBot="1" x14ac:dyDescent="0.4">
      <c r="B20" s="1443"/>
      <c r="C20" s="1442"/>
      <c r="D20" s="7"/>
      <c r="E20" s="7"/>
      <c r="F20" s="7"/>
      <c r="G20" s="7"/>
      <c r="H20" s="7"/>
      <c r="I20" s="7"/>
      <c r="K20" s="118"/>
      <c r="L20" s="1622"/>
      <c r="M20" s="1623"/>
      <c r="N20" s="1624"/>
      <c r="O20" s="1622"/>
      <c r="P20" s="1623"/>
      <c r="Q20" s="1625"/>
      <c r="R20" s="1622"/>
      <c r="S20" s="1623"/>
      <c r="T20" s="1624"/>
      <c r="U20" s="1622"/>
      <c r="V20" s="1623"/>
      <c r="W20" s="1624"/>
    </row>
    <row r="21" spans="1:23" x14ac:dyDescent="0.35">
      <c r="B21" s="1284"/>
      <c r="C21" s="1442"/>
      <c r="D21" s="1790" t="str">
        <f>CONCATENATE(D15,D16,D17,D18,D19)</f>
        <v/>
      </c>
      <c r="E21" s="1790" t="str">
        <f t="shared" ref="E21:I21" si="7">CONCATENATE(E15,E16,E17,E18,E19)</f>
        <v/>
      </c>
      <c r="F21" s="1790" t="str">
        <f t="shared" si="7"/>
        <v/>
      </c>
      <c r="G21" s="1790" t="str">
        <f t="shared" si="7"/>
        <v/>
      </c>
      <c r="H21" s="1790" t="str">
        <f t="shared" si="7"/>
        <v/>
      </c>
      <c r="I21" s="1790" t="str">
        <f t="shared" si="7"/>
        <v/>
      </c>
      <c r="K21" s="118"/>
      <c r="Q21" s="7"/>
    </row>
    <row r="22" spans="1:23" x14ac:dyDescent="0.35">
      <c r="B22" s="1284"/>
      <c r="C22" s="1442"/>
      <c r="D22" s="7"/>
      <c r="E22" s="7"/>
      <c r="F22" s="7"/>
      <c r="G22" s="7"/>
      <c r="H22" s="7"/>
      <c r="I22" s="7"/>
      <c r="K22" s="118"/>
      <c r="Q22" s="7"/>
    </row>
    <row r="23" spans="1:23" x14ac:dyDescent="0.35">
      <c r="B23" s="1721" t="str">
        <f>D23&amp;G23</f>
        <v/>
      </c>
      <c r="C23" s="1442"/>
      <c r="D23" s="1797" t="str">
        <f>D21&amp;E21&amp;F21</f>
        <v/>
      </c>
      <c r="E23" s="7"/>
      <c r="F23" s="7"/>
      <c r="G23" s="1798" t="str">
        <f>G21&amp;H21&amp;I21</f>
        <v/>
      </c>
      <c r="H23" s="7"/>
      <c r="I23" s="7"/>
      <c r="K23" s="118"/>
    </row>
    <row r="24" spans="1:23" x14ac:dyDescent="0.35">
      <c r="B24" s="1423"/>
      <c r="C24" s="1444"/>
      <c r="D24" s="1424"/>
      <c r="E24" s="1424"/>
      <c r="F24" s="1424"/>
      <c r="G24" s="1424"/>
      <c r="H24" s="1424"/>
      <c r="I24" s="1424"/>
      <c r="J24" s="25"/>
      <c r="K24" s="118"/>
    </row>
    <row r="25" spans="1:23" x14ac:dyDescent="0.35">
      <c r="B25" s="19"/>
      <c r="C25" s="21"/>
      <c r="D25" s="21"/>
      <c r="E25" s="21"/>
      <c r="F25" s="21"/>
      <c r="G25" s="59"/>
      <c r="H25" s="21"/>
      <c r="I25" s="59"/>
      <c r="K25" s="118"/>
      <c r="Q25" s="7"/>
    </row>
    <row r="26" spans="1:23" x14ac:dyDescent="0.35">
      <c r="B26" s="22" t="s">
        <v>27724</v>
      </c>
      <c r="C26" s="7"/>
      <c r="D26" s="11" t="s">
        <v>27679</v>
      </c>
      <c r="E26" s="11" t="s">
        <v>27679</v>
      </c>
      <c r="F26" s="11" t="s">
        <v>27679</v>
      </c>
      <c r="G26" s="11" t="s">
        <v>27680</v>
      </c>
      <c r="H26" s="11" t="s">
        <v>27680</v>
      </c>
      <c r="I26" s="11" t="s">
        <v>27680</v>
      </c>
      <c r="K26" s="118"/>
      <c r="Q26" s="7"/>
    </row>
    <row r="27" spans="1:23" ht="25.5" x14ac:dyDescent="0.35">
      <c r="A27" s="17"/>
      <c r="B27" s="118"/>
      <c r="C27" s="53"/>
      <c r="D27" s="182" t="s">
        <v>192</v>
      </c>
      <c r="E27" s="182" t="s">
        <v>193</v>
      </c>
      <c r="F27" s="182" t="s">
        <v>194</v>
      </c>
      <c r="G27" s="182" t="s">
        <v>192</v>
      </c>
      <c r="H27" s="182" t="s">
        <v>193</v>
      </c>
      <c r="I27" s="182" t="s">
        <v>194</v>
      </c>
      <c r="K27" s="118"/>
      <c r="Q27" s="7"/>
    </row>
    <row r="28" spans="1:23" ht="13.5" x14ac:dyDescent="0.35">
      <c r="B28" s="22" t="s">
        <v>264</v>
      </c>
      <c r="C28" s="13" t="s">
        <v>205</v>
      </c>
      <c r="D28" s="1793" t="str">
        <f>IF(AND($E$8=1,'2_Sandwich'!F11&lt;0),D$26&amp;", "&amp;D$27&amp;", Level "&amp;$C28&amp;"; ","")</f>
        <v/>
      </c>
      <c r="E28" s="1693" t="str">
        <f>IF(AND($E$8=1,'2_Sandwich'!G11&lt;0),E$26&amp;", "&amp;E$27&amp;", Level "&amp;$C28&amp;"; ","")</f>
        <v/>
      </c>
      <c r="F28" s="1705" t="str">
        <f>IF(AND($E$8=1,'2_Sandwich'!H11&lt;0),F$26&amp;", "&amp;F$27&amp;", Level "&amp;$C28&amp;"; ","")</f>
        <v/>
      </c>
      <c r="G28" s="1793" t="str">
        <f>IF(AND($E$8=1,'2_Sandwich'!I11&lt;0),G$26&amp;", "&amp;G$27&amp;", Level "&amp;$C28&amp;"; ","")</f>
        <v/>
      </c>
      <c r="H28" s="1693" t="str">
        <f>IF(AND($E$8=1,'2_Sandwich'!J11&lt;0),H$26&amp;", "&amp;H$27&amp;", Level "&amp;$C28&amp;"; ","")</f>
        <v/>
      </c>
      <c r="I28" s="1705" t="str">
        <f>IF(AND($E$8=1,'2_Sandwich'!K11&lt;0),I$26&amp;", "&amp;I$27&amp;", Level "&amp;$C28&amp;"; ","")</f>
        <v/>
      </c>
      <c r="K28" s="118"/>
      <c r="Q28" s="7"/>
    </row>
    <row r="29" spans="1:23" ht="13.5" x14ac:dyDescent="0.35">
      <c r="B29" s="22" t="s">
        <v>264</v>
      </c>
      <c r="C29" s="13" t="s">
        <v>208</v>
      </c>
      <c r="D29" s="749" t="str">
        <f>IF(AND($E$8=1,'2_Sandwich'!F12&lt;0),D$26&amp;", "&amp;D$27&amp;", Level "&amp;$C29&amp;"; ","")</f>
        <v/>
      </c>
      <c r="E29" s="750" t="str">
        <f>IF(AND($E$8=1,'2_Sandwich'!G12&lt;0),E$26&amp;", "&amp;E$27&amp;", Level "&amp;$C29&amp;"; ","")</f>
        <v/>
      </c>
      <c r="F29" s="751" t="str">
        <f>IF(AND($E$8=1,'2_Sandwich'!H12&lt;0),F$26&amp;", "&amp;F$27&amp;", Level "&amp;$C29&amp;"; ","")</f>
        <v/>
      </c>
      <c r="G29" s="749" t="str">
        <f>IF(AND($E$8=1,'2_Sandwich'!I12&lt;0),G$26&amp;", "&amp;G$27&amp;", Level "&amp;$C29&amp;"; ","")</f>
        <v/>
      </c>
      <c r="H29" s="750" t="str">
        <f>IF(AND($E$8=1,'2_Sandwich'!J12&lt;0),H$26&amp;", "&amp;H$27&amp;", Level "&amp;$C29&amp;"; ","")</f>
        <v/>
      </c>
      <c r="I29" s="751" t="str">
        <f>IF(AND($E$8=1,'2_Sandwich'!K12&lt;0),I$26&amp;", "&amp;I$27&amp;", Level "&amp;$C29&amp;"; ","")</f>
        <v/>
      </c>
      <c r="K29" s="118"/>
      <c r="Q29" s="7"/>
    </row>
    <row r="30" spans="1:23" ht="13.5" x14ac:dyDescent="0.35">
      <c r="B30" s="22" t="s">
        <v>264</v>
      </c>
      <c r="C30" s="13" t="s">
        <v>27720</v>
      </c>
      <c r="D30" s="755" t="str">
        <f>IF(AND($E$8=1,'2_Sandwich'!F13&lt;0),D$26&amp;", "&amp;D$27&amp;", Level "&amp;$C30&amp;"; ","")</f>
        <v/>
      </c>
      <c r="E30" s="756" t="str">
        <f>IF(AND($E$8=1,'2_Sandwich'!G13&lt;0),E$26&amp;", "&amp;E$27&amp;", Level "&amp;$C30&amp;"; ","")</f>
        <v/>
      </c>
      <c r="F30" s="757" t="str">
        <f>IF(AND($E$8=1,'2_Sandwich'!H13&lt;0),F$26&amp;", "&amp;F$27&amp;", Level "&amp;$C30&amp;"; ","")</f>
        <v/>
      </c>
      <c r="G30" s="755" t="str">
        <f>IF(AND($E$8=1,'2_Sandwich'!I13&lt;0),G$26&amp;", "&amp;G$27&amp;", Level "&amp;$C30&amp;"; ","")</f>
        <v/>
      </c>
      <c r="H30" s="756" t="str">
        <f>IF(AND($E$8=1,'2_Sandwich'!J13&lt;0),H$26&amp;", "&amp;H$27&amp;", Level "&amp;$C30&amp;"; ","")</f>
        <v/>
      </c>
      <c r="I30" s="757" t="str">
        <f>IF(AND($E$8=1,'2_Sandwich'!K13&lt;0),I$26&amp;", "&amp;I$27&amp;", Level "&amp;$C30&amp;"; ","")</f>
        <v/>
      </c>
      <c r="K30" s="118"/>
      <c r="Q30" s="7"/>
    </row>
    <row r="31" spans="1:23" ht="13.5" x14ac:dyDescent="0.35">
      <c r="B31" s="22" t="s">
        <v>264</v>
      </c>
      <c r="C31" s="13" t="s">
        <v>27721</v>
      </c>
      <c r="D31" s="761" t="str">
        <f>IF(AND($E$8=1,'2_Sandwich'!F14&lt;0),D$26&amp;", "&amp;D$27&amp;", Level "&amp;$C31&amp;"; ","")</f>
        <v/>
      </c>
      <c r="E31" s="762" t="str">
        <f>IF(AND($E$8=1,'2_Sandwich'!G14&lt;0),E$26&amp;", "&amp;E$27&amp;", Level "&amp;$C31&amp;"; ","")</f>
        <v/>
      </c>
      <c r="F31" s="763" t="str">
        <f>IF(AND($E$8=1,'2_Sandwich'!H14&lt;0),F$26&amp;", "&amp;F$27&amp;", Level "&amp;$C31&amp;"; ","")</f>
        <v/>
      </c>
      <c r="G31" s="761" t="str">
        <f>IF(AND($E$8=1,'2_Sandwich'!I14&lt;0),G$26&amp;", "&amp;G$27&amp;", Level "&amp;$C31&amp;"; ","")</f>
        <v/>
      </c>
      <c r="H31" s="762" t="str">
        <f>IF(AND($E$8=1,'2_Sandwich'!J14&lt;0),H$26&amp;", "&amp;H$27&amp;", Level "&amp;$C31&amp;"; ","")</f>
        <v/>
      </c>
      <c r="I31" s="763" t="str">
        <f>IF(AND($E$8=1,'2_Sandwich'!K14&lt;0),I$26&amp;", "&amp;I$27&amp;", Level "&amp;$C31&amp;"; ","")</f>
        <v/>
      </c>
      <c r="K31" s="118"/>
      <c r="Q31" s="7"/>
    </row>
    <row r="32" spans="1:23" ht="13.5" x14ac:dyDescent="0.35">
      <c r="B32" s="22" t="s">
        <v>264</v>
      </c>
      <c r="C32" s="13" t="s">
        <v>27722</v>
      </c>
      <c r="D32" s="2159" t="str">
        <f>IF(AND($E$8=1,'2_Sandwich'!F15&lt;0),D$26&amp;", "&amp;D$27&amp;", Level "&amp;$C32&amp;"; ","")</f>
        <v/>
      </c>
      <c r="E32" s="2160" t="str">
        <f>IF(AND($E$8=1,'2_Sandwich'!G15&lt;0),E$26&amp;", "&amp;E$27&amp;", Level "&amp;$C32&amp;"; ","")</f>
        <v/>
      </c>
      <c r="F32" s="2161" t="str">
        <f>IF(AND($E$8=1,'2_Sandwich'!H15&lt;0),F$26&amp;", "&amp;F$27&amp;", Level "&amp;$C32&amp;"; ","")</f>
        <v/>
      </c>
      <c r="G32" s="2159" t="str">
        <f>IF(AND($E$8=1,'2_Sandwich'!I15&lt;0),G$26&amp;", "&amp;G$27&amp;", Level "&amp;$C32&amp;"; ","")</f>
        <v/>
      </c>
      <c r="H32" s="2160" t="str">
        <f>IF(AND($E$8=1,'2_Sandwich'!J15&lt;0),H$26&amp;", "&amp;H$27&amp;", Level "&amp;$C32&amp;"; ","")</f>
        <v/>
      </c>
      <c r="I32" s="2161" t="str">
        <f>IF(AND($E$8=1,'2_Sandwich'!K15&lt;0),I$26&amp;", "&amp;I$27&amp;", Level "&amp;$C32&amp;"; ","")</f>
        <v/>
      </c>
      <c r="K32" s="118"/>
      <c r="Q32" s="7"/>
    </row>
    <row r="33" spans="2:17" x14ac:dyDescent="0.35">
      <c r="B33" s="1445"/>
      <c r="C33" s="1446"/>
      <c r="D33" s="53"/>
      <c r="E33" s="1447"/>
      <c r="F33" s="1447"/>
      <c r="G33" s="1446"/>
      <c r="H33" s="1446"/>
      <c r="I33" s="1446"/>
      <c r="K33" s="118"/>
      <c r="Q33" s="7"/>
    </row>
    <row r="34" spans="2:17" x14ac:dyDescent="0.35">
      <c r="B34" s="1284"/>
      <c r="C34" s="7"/>
      <c r="D34" s="1790" t="str">
        <f>CONCATENATE(D28,D29,D30,D31,D32)</f>
        <v/>
      </c>
      <c r="E34" s="1790" t="str">
        <f t="shared" ref="E34:I34" si="8">CONCATENATE(E28,E29,E30,E31,E32)</f>
        <v/>
      </c>
      <c r="F34" s="1790" t="str">
        <f t="shared" si="8"/>
        <v/>
      </c>
      <c r="G34" s="1790" t="str">
        <f t="shared" si="8"/>
        <v/>
      </c>
      <c r="H34" s="1790" t="str">
        <f t="shared" si="8"/>
        <v/>
      </c>
      <c r="I34" s="1790" t="str">
        <f t="shared" si="8"/>
        <v/>
      </c>
      <c r="K34" s="118"/>
      <c r="Q34" s="7"/>
    </row>
    <row r="35" spans="2:17" x14ac:dyDescent="0.35">
      <c r="B35" s="1284"/>
      <c r="C35" s="7"/>
      <c r="D35" s="7"/>
      <c r="E35" s="7"/>
      <c r="F35" s="7"/>
      <c r="G35" s="7"/>
      <c r="H35" s="7"/>
      <c r="I35" s="7"/>
      <c r="K35" s="118"/>
      <c r="Q35" s="7"/>
    </row>
    <row r="36" spans="2:17" x14ac:dyDescent="0.35">
      <c r="B36" s="1799" t="str">
        <f>D36&amp;G36</f>
        <v/>
      </c>
      <c r="C36" s="7"/>
      <c r="D36" s="1797" t="str">
        <f>D34&amp;E34&amp;F34</f>
        <v/>
      </c>
      <c r="E36" s="7"/>
      <c r="F36" s="7"/>
      <c r="G36" s="1798" t="str">
        <f>G34&amp;H34&amp;I34</f>
        <v/>
      </c>
      <c r="H36" s="7"/>
      <c r="I36" s="7"/>
      <c r="K36" s="118"/>
      <c r="Q36" s="7"/>
    </row>
    <row r="37" spans="2:17" x14ac:dyDescent="0.35">
      <c r="B37" s="1423"/>
      <c r="C37" s="1424"/>
      <c r="D37" s="1424"/>
      <c r="E37" s="1424"/>
      <c r="F37" s="1424"/>
      <c r="G37" s="1424"/>
      <c r="H37" s="1424"/>
      <c r="I37" s="1424"/>
      <c r="J37" s="1424"/>
      <c r="K37" s="118"/>
      <c r="Q37" s="7"/>
    </row>
    <row r="38" spans="2:17" x14ac:dyDescent="0.35">
      <c r="Q38" s="7"/>
    </row>
    <row r="39" spans="2:17" x14ac:dyDescent="0.35">
      <c r="Q39" s="7"/>
    </row>
    <row r="40" spans="2:17" x14ac:dyDescent="0.35">
      <c r="Q40" s="7"/>
    </row>
    <row r="41" spans="2:17" x14ac:dyDescent="0.35">
      <c r="Q41" s="7"/>
    </row>
    <row r="42" spans="2:17" x14ac:dyDescent="0.35">
      <c r="Q42" s="7"/>
    </row>
    <row r="43" spans="2:17" x14ac:dyDescent="0.35">
      <c r="Q43" s="7"/>
    </row>
    <row r="44" spans="2:17" x14ac:dyDescent="0.35">
      <c r="Q44" s="7"/>
    </row>
    <row r="45" spans="2:17" x14ac:dyDescent="0.35">
      <c r="Q45" s="7"/>
    </row>
    <row r="46" spans="2:17" x14ac:dyDescent="0.35">
      <c r="Q46" s="7"/>
    </row>
    <row r="47" spans="2:17" x14ac:dyDescent="0.35">
      <c r="Q47" s="7"/>
    </row>
    <row r="48" spans="2:17" x14ac:dyDescent="0.35">
      <c r="Q48" s="7"/>
    </row>
    <row r="49" spans="2:17" x14ac:dyDescent="0.35">
      <c r="Q49" s="7"/>
    </row>
    <row r="50" spans="2:17" x14ac:dyDescent="0.35">
      <c r="Q50" s="7"/>
    </row>
    <row r="51" spans="2:17" x14ac:dyDescent="0.35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2:17" x14ac:dyDescent="0.35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2:17" x14ac:dyDescent="0.35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</sheetData>
  <sheetProtection algorithmName="SHA-512" hashValue="eV9skEMOfUUPONQ7/r13pCTys9FM83K0S1cxvMFxXKDVJTEcU3G6TMMNepu3YAVfSey/0JiNg9kaUYNm0pkeFA==" saltValue="Q3uvUOmCzyqyT1OmuCy8gw==" spinCount="100000" sheet="1" objects="1" scenarios="1"/>
  <phoneticPr fontId="101" type="noConversion"/>
  <conditionalFormatting sqref="D15:I19">
    <cfRule type="expression" dxfId="206" priority="5">
      <formula>IF(M18=1,1,0)</formula>
    </cfRule>
    <cfRule type="cellIs" dxfId="205" priority="6" operator="equal">
      <formula>0</formula>
    </cfRule>
  </conditionalFormatting>
  <conditionalFormatting sqref="D28:I32">
    <cfRule type="expression" dxfId="204" priority="1">
      <formula>IF(M31=1,1,0)</formula>
    </cfRule>
    <cfRule type="cellIs" dxfId="203" priority="2" operator="equal">
      <formula>0</formula>
    </cfRule>
  </conditionalFormatting>
  <conditionalFormatting sqref="L15:W20">
    <cfRule type="cellIs" dxfId="202" priority="1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>
    <tabColor rgb="FF92D050"/>
    <pageSetUpPr fitToPage="1"/>
  </sheetPr>
  <dimension ref="A1:S384"/>
  <sheetViews>
    <sheetView showGridLines="0" workbookViewId="0"/>
  </sheetViews>
  <sheetFormatPr defaultColWidth="9" defaultRowHeight="13.5" x14ac:dyDescent="0.35"/>
  <cols>
    <col min="1" max="1" width="16.86328125" style="74" customWidth="1"/>
    <col min="2" max="2" width="9.1328125" style="74" customWidth="1"/>
    <col min="3" max="3" width="20" style="74" customWidth="1"/>
    <col min="4" max="6" width="10.86328125" style="74" customWidth="1"/>
    <col min="7" max="9" width="11" style="74" hidden="1" customWidth="1"/>
    <col min="10" max="11" width="10.86328125" style="74" customWidth="1"/>
    <col min="12" max="12" width="12" style="74" customWidth="1"/>
    <col min="13" max="15" width="10.86328125" style="74" customWidth="1"/>
    <col min="16" max="16" width="10" style="74" customWidth="1"/>
    <col min="17" max="17" width="12" style="74" hidden="1" customWidth="1"/>
    <col min="18" max="18" width="10.59765625" style="74" hidden="1" customWidth="1"/>
    <col min="19" max="19" width="9.1328125" style="74" hidden="1" customWidth="1"/>
    <col min="20" max="20" width="9.59765625" style="74" bestFit="1" customWidth="1"/>
    <col min="21" max="16384" width="9" style="74"/>
  </cols>
  <sheetData>
    <row r="1" spans="1:19" s="2" customFormat="1" ht="25.15" x14ac:dyDescent="0.35">
      <c r="A1" s="636" t="s">
        <v>29787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25.5" customHeight="1" x14ac:dyDescent="0.4">
      <c r="A2" s="1385" t="str">
        <f>IF(PROVIDER="","Provider name",PROVIDER&amp;" ("&amp;UKPRN&amp;")")</f>
        <v>Provider name</v>
      </c>
      <c r="D2" s="346"/>
      <c r="E2" s="346"/>
      <c r="F2" s="346"/>
      <c r="G2" s="346"/>
      <c r="H2" s="346"/>
      <c r="I2" s="346"/>
      <c r="K2" s="73"/>
    </row>
    <row r="3" spans="1:19" ht="16.5" customHeight="1" x14ac:dyDescent="0.4">
      <c r="A3" s="1501" t="s">
        <v>27678</v>
      </c>
      <c r="D3" s="346"/>
      <c r="E3" s="346"/>
      <c r="F3" s="346"/>
      <c r="G3" s="346"/>
      <c r="H3" s="346"/>
      <c r="I3" s="346"/>
      <c r="K3" s="73"/>
    </row>
    <row r="4" spans="1:19" ht="27" customHeight="1" x14ac:dyDescent="0.35">
      <c r="D4" s="3404" t="str">
        <f>'Table 3 Valid'!F3</f>
        <v>Validation: OK</v>
      </c>
      <c r="E4" s="3404"/>
      <c r="F4" s="3404"/>
      <c r="G4" s="3404" t="str">
        <f>'Table 3 Valid'!F3</f>
        <v>Validation: OK</v>
      </c>
      <c r="H4" s="3404"/>
      <c r="I4" s="3404"/>
      <c r="J4" s="3404" t="str">
        <f>'Table 3 Valid'!H3</f>
        <v>Validation: OK</v>
      </c>
      <c r="K4" s="3404"/>
      <c r="L4" s="3404"/>
      <c r="M4" s="3404" t="str">
        <f>'Table 3 Valid'!J3</f>
        <v>Validation: OK</v>
      </c>
      <c r="N4" s="3404"/>
      <c r="O4" s="3404"/>
      <c r="P4" s="1162"/>
    </row>
    <row r="5" spans="1:19" ht="27" customHeight="1" thickBot="1" x14ac:dyDescent="0.4">
      <c r="C5" s="1520"/>
      <c r="D5" s="3405" t="str">
        <f>'Table 3 Valid'!F4</f>
        <v>Credibility: OK</v>
      </c>
      <c r="E5" s="3405"/>
      <c r="F5" s="3405"/>
      <c r="G5" s="3405" t="str">
        <f>'Table 3 Valid'!F4</f>
        <v>Credibility: OK</v>
      </c>
      <c r="H5" s="3405"/>
      <c r="I5" s="3405"/>
      <c r="J5" s="3405" t="str">
        <f>'Table 3 Valid'!H4</f>
        <v>Credibility: OK</v>
      </c>
      <c r="K5" s="3405"/>
      <c r="L5" s="3405"/>
      <c r="M5" s="3405" t="str">
        <f>'Table 3 Valid'!J4</f>
        <v>Credibility: OK</v>
      </c>
      <c r="N5" s="3405"/>
      <c r="O5" s="3405"/>
      <c r="P5" s="1162"/>
    </row>
    <row r="6" spans="1:19" ht="13.9" x14ac:dyDescent="0.4">
      <c r="A6" s="677"/>
      <c r="B6" s="677"/>
      <c r="C6" s="733"/>
      <c r="D6" s="675" t="s">
        <v>27679</v>
      </c>
      <c r="E6" s="734"/>
      <c r="F6" s="734"/>
      <c r="G6" s="675" t="s">
        <v>27679</v>
      </c>
      <c r="H6" s="734"/>
      <c r="I6" s="734"/>
      <c r="J6" s="675" t="s">
        <v>27680</v>
      </c>
      <c r="K6" s="734"/>
      <c r="L6" s="734"/>
      <c r="M6" s="675" t="s">
        <v>28274</v>
      </c>
      <c r="N6" s="734"/>
      <c r="O6" s="734"/>
      <c r="P6" s="2162"/>
    </row>
    <row r="7" spans="1:19" ht="14.25" customHeight="1" x14ac:dyDescent="0.35">
      <c r="C7" s="736"/>
      <c r="D7" s="1621"/>
      <c r="E7" s="737"/>
      <c r="F7" s="738"/>
      <c r="G7" s="1621" t="s">
        <v>27681</v>
      </c>
      <c r="H7" s="737"/>
      <c r="I7" s="738"/>
      <c r="J7" s="1584"/>
      <c r="K7" s="739"/>
      <c r="L7" s="739"/>
      <c r="M7" s="1598" t="s">
        <v>27681</v>
      </c>
      <c r="N7" s="739"/>
      <c r="O7" s="739"/>
      <c r="P7" s="2162"/>
    </row>
    <row r="8" spans="1:19" ht="45" customHeight="1" x14ac:dyDescent="0.35">
      <c r="C8" s="736"/>
      <c r="D8" s="3378" t="str">
        <f>"Years countable between 1 August 20"&amp;YEAR&amp;" and census date inclusive"</f>
        <v>Years countable between 1 August 2024 and census date inclusive</v>
      </c>
      <c r="E8" s="3402"/>
      <c r="F8" s="3403"/>
      <c r="G8" s="3378" t="str">
        <f>"Years countable between 1 August 20"&amp;YEAR&amp;" and census date inclusive"</f>
        <v>Years countable between 1 August 2024 and census date inclusive</v>
      </c>
      <c r="H8" s="3402"/>
      <c r="I8" s="3403"/>
      <c r="J8" s="3378" t="str">
        <f>"Forecast of years countable after census date and before 1 August 20"&amp;(YEAR+1)</f>
        <v>Forecast of years countable after census date and before 1 August 2025</v>
      </c>
      <c r="K8" s="3402"/>
      <c r="L8" s="3403"/>
      <c r="M8" s="3378" t="str">
        <f>"Years countable in academic year 20"&amp;ACYEAR&amp;"
(Columns 1 + 2)"</f>
        <v>Years countable in academic year 2024-25
(Columns 1 + 2)</v>
      </c>
      <c r="N8" s="3402"/>
      <c r="O8" s="3402"/>
      <c r="P8" s="735"/>
    </row>
    <row r="9" spans="1:19" ht="14.25" customHeight="1" x14ac:dyDescent="0.35">
      <c r="C9" s="736"/>
      <c r="D9" s="740" t="s">
        <v>293</v>
      </c>
      <c r="E9" s="741"/>
      <c r="G9" s="740" t="s">
        <v>293</v>
      </c>
      <c r="H9" s="741"/>
      <c r="J9" s="740" t="s">
        <v>293</v>
      </c>
      <c r="K9" s="741"/>
      <c r="M9" s="740" t="s">
        <v>293</v>
      </c>
      <c r="N9" s="741"/>
    </row>
    <row r="10" spans="1:19" ht="29.25" customHeight="1" x14ac:dyDescent="0.35">
      <c r="A10" s="732"/>
      <c r="C10" s="736"/>
      <c r="D10" s="742" t="s">
        <v>192</v>
      </c>
      <c r="E10" s="690" t="s">
        <v>193</v>
      </c>
      <c r="F10" s="690" t="s">
        <v>194</v>
      </c>
      <c r="G10" s="742" t="s">
        <v>192</v>
      </c>
      <c r="H10" s="690" t="s">
        <v>193</v>
      </c>
      <c r="I10" s="690" t="s">
        <v>194</v>
      </c>
      <c r="J10" s="742" t="s">
        <v>192</v>
      </c>
      <c r="K10" s="690" t="s">
        <v>193</v>
      </c>
      <c r="L10" s="690" t="s">
        <v>194</v>
      </c>
      <c r="M10" s="742" t="s">
        <v>192</v>
      </c>
      <c r="N10" s="690" t="s">
        <v>193</v>
      </c>
      <c r="O10" s="690" t="s">
        <v>194</v>
      </c>
      <c r="P10" s="690"/>
    </row>
    <row r="11" spans="1:19" ht="14.25" customHeight="1" x14ac:dyDescent="0.35">
      <c r="A11" s="1163" t="s">
        <v>200</v>
      </c>
      <c r="B11" s="74" t="s">
        <v>56</v>
      </c>
      <c r="C11" s="1161" t="s">
        <v>57</v>
      </c>
      <c r="D11" s="1599" t="s">
        <v>27682</v>
      </c>
      <c r="E11" s="744" t="s">
        <v>27683</v>
      </c>
      <c r="F11" s="744" t="s">
        <v>27684</v>
      </c>
      <c r="G11" s="1164" t="s">
        <v>27682</v>
      </c>
      <c r="H11" s="1165" t="s">
        <v>27683</v>
      </c>
      <c r="I11" s="743" t="s">
        <v>27684</v>
      </c>
      <c r="J11" s="1164" t="s">
        <v>27682</v>
      </c>
      <c r="K11" s="744" t="s">
        <v>27683</v>
      </c>
      <c r="L11" s="744" t="s">
        <v>27684</v>
      </c>
      <c r="M11" s="1164" t="s">
        <v>27682</v>
      </c>
      <c r="N11" s="1165" t="s">
        <v>27683</v>
      </c>
      <c r="O11" s="1165" t="s">
        <v>27684</v>
      </c>
      <c r="P11" s="744"/>
      <c r="Q11" s="746" t="s">
        <v>63</v>
      </c>
      <c r="R11" s="746" t="s">
        <v>65</v>
      </c>
      <c r="S11" s="746" t="s">
        <v>66</v>
      </c>
    </row>
    <row r="12" spans="1:19" ht="14.25" customHeight="1" x14ac:dyDescent="0.35">
      <c r="A12" s="808" t="s">
        <v>203</v>
      </c>
      <c r="B12" s="808" t="s">
        <v>204</v>
      </c>
      <c r="C12" s="1745" t="s">
        <v>205</v>
      </c>
      <c r="D12" s="1800">
        <v>0</v>
      </c>
      <c r="E12" s="1697">
        <v>0</v>
      </c>
      <c r="F12" s="1698">
        <v>0</v>
      </c>
      <c r="G12" s="1166">
        <f>IF(FEC=1,'Column 1'!AH8,D12)</f>
        <v>0</v>
      </c>
      <c r="H12" s="1166">
        <f>IF(FEC=1,'Column 1'!AI8,E12)</f>
        <v>0</v>
      </c>
      <c r="I12" s="1166">
        <f>IF(FEC=1,'Column 1'!AJ8,F12)</f>
        <v>0</v>
      </c>
      <c r="J12" s="1787">
        <v>0</v>
      </c>
      <c r="K12" s="1684">
        <v>0</v>
      </c>
      <c r="L12" s="1685">
        <v>0</v>
      </c>
      <c r="M12" s="1788">
        <f>SUM(G12,J12)</f>
        <v>0</v>
      </c>
      <c r="N12" s="1686">
        <f t="shared" ref="N12:O12" si="0">SUM(H12,K12)</f>
        <v>0</v>
      </c>
      <c r="O12" s="1709">
        <f t="shared" si="0"/>
        <v>0</v>
      </c>
      <c r="P12" s="744"/>
      <c r="Q12" s="748" t="s">
        <v>203</v>
      </c>
      <c r="R12" s="748" t="s">
        <v>27685</v>
      </c>
      <c r="S12" s="748" t="s">
        <v>27686</v>
      </c>
    </row>
    <row r="13" spans="1:19" ht="14.45" customHeight="1" x14ac:dyDescent="0.35">
      <c r="A13" s="1178" t="s">
        <v>203</v>
      </c>
      <c r="B13" s="1178" t="s">
        <v>204</v>
      </c>
      <c r="C13" s="1161" t="s">
        <v>208</v>
      </c>
      <c r="D13" s="1167">
        <v>0</v>
      </c>
      <c r="E13" s="1168">
        <v>0</v>
      </c>
      <c r="F13" s="1169">
        <v>0</v>
      </c>
      <c r="G13" s="1170">
        <f>IF(FEC=1,'Column 1'!AH9,D13)</f>
        <v>0</v>
      </c>
      <c r="H13" s="1170">
        <f>IF(FEC=1,'Column 1'!AI9,E13)</f>
        <v>0</v>
      </c>
      <c r="I13" s="1171">
        <f>IF(FEC=1,'Column 1'!AJ9,F13)</f>
        <v>0</v>
      </c>
      <c r="J13" s="1172">
        <v>0</v>
      </c>
      <c r="K13" s="1173">
        <v>0</v>
      </c>
      <c r="L13" s="1174">
        <v>0</v>
      </c>
      <c r="M13" s="1175">
        <f t="shared" ref="M13:M76" si="1">SUM(G13,J13)</f>
        <v>0</v>
      </c>
      <c r="N13" s="1170">
        <f t="shared" ref="N13:N76" si="2">SUM(H13,K13)</f>
        <v>0</v>
      </c>
      <c r="O13" s="1176">
        <f t="shared" ref="O13:O76" si="3">SUM(I13,L13)</f>
        <v>0</v>
      </c>
      <c r="P13" s="744"/>
      <c r="Q13" s="748" t="s">
        <v>203</v>
      </c>
      <c r="R13" s="748" t="s">
        <v>27685</v>
      </c>
      <c r="S13" s="748" t="s">
        <v>27687</v>
      </c>
    </row>
    <row r="14" spans="1:19" ht="14.45" customHeight="1" x14ac:dyDescent="0.35">
      <c r="A14" s="1178" t="s">
        <v>203</v>
      </c>
      <c r="B14" s="1178" t="s">
        <v>204</v>
      </c>
      <c r="C14" s="1161" t="s">
        <v>210</v>
      </c>
      <c r="D14" s="1167">
        <v>0</v>
      </c>
      <c r="E14" s="1168">
        <v>0</v>
      </c>
      <c r="F14" s="1169">
        <v>0</v>
      </c>
      <c r="G14" s="1170">
        <f>IF(FEC=1,'Column 1'!AH10,D14)</f>
        <v>0</v>
      </c>
      <c r="H14" s="1170">
        <f>IF(FEC=1,'Column 1'!AI10,E14)</f>
        <v>0</v>
      </c>
      <c r="I14" s="1171">
        <f>IF(FEC=1,'Column 1'!AJ10,F14)</f>
        <v>0</v>
      </c>
      <c r="J14" s="1172">
        <v>0</v>
      </c>
      <c r="K14" s="1173">
        <v>0</v>
      </c>
      <c r="L14" s="1174">
        <v>0</v>
      </c>
      <c r="M14" s="1175">
        <f t="shared" si="1"/>
        <v>0</v>
      </c>
      <c r="N14" s="1170">
        <f t="shared" si="2"/>
        <v>0</v>
      </c>
      <c r="O14" s="1176">
        <f t="shared" si="3"/>
        <v>0</v>
      </c>
      <c r="P14" s="744"/>
      <c r="Q14" s="748" t="s">
        <v>203</v>
      </c>
      <c r="R14" s="748" t="s">
        <v>27685</v>
      </c>
      <c r="S14" s="748" t="s">
        <v>27688</v>
      </c>
    </row>
    <row r="15" spans="1:19" ht="14.45" customHeight="1" x14ac:dyDescent="0.35">
      <c r="A15" s="1178" t="s">
        <v>203</v>
      </c>
      <c r="B15" s="1178" t="s">
        <v>204</v>
      </c>
      <c r="C15" s="1161" t="s">
        <v>212</v>
      </c>
      <c r="D15" s="1167">
        <v>0</v>
      </c>
      <c r="E15" s="1168">
        <v>0</v>
      </c>
      <c r="F15" s="1169">
        <v>0</v>
      </c>
      <c r="G15" s="1170">
        <f>IF(FEC=1,'Column 1'!AH11,D15)</f>
        <v>0</v>
      </c>
      <c r="H15" s="1170">
        <f>IF(FEC=1,'Column 1'!AI11,E15)</f>
        <v>0</v>
      </c>
      <c r="I15" s="1171">
        <f>IF(FEC=1,'Column 1'!AJ11,F15)</f>
        <v>0</v>
      </c>
      <c r="J15" s="1172">
        <v>0</v>
      </c>
      <c r="K15" s="1173">
        <v>0</v>
      </c>
      <c r="L15" s="1174">
        <v>0</v>
      </c>
      <c r="M15" s="1175">
        <f t="shared" si="1"/>
        <v>0</v>
      </c>
      <c r="N15" s="1170">
        <f t="shared" si="2"/>
        <v>0</v>
      </c>
      <c r="O15" s="1176">
        <f t="shared" si="3"/>
        <v>0</v>
      </c>
      <c r="P15" s="744"/>
      <c r="Q15" s="748" t="s">
        <v>203</v>
      </c>
      <c r="R15" s="748" t="s">
        <v>27685</v>
      </c>
      <c r="S15" s="748" t="s">
        <v>27689</v>
      </c>
    </row>
    <row r="16" spans="1:19" ht="14.45" customHeight="1" x14ac:dyDescent="0.35">
      <c r="A16" s="1178" t="s">
        <v>203</v>
      </c>
      <c r="B16" s="1178" t="s">
        <v>204</v>
      </c>
      <c r="C16" s="1161" t="s">
        <v>214</v>
      </c>
      <c r="D16" s="1179">
        <v>0</v>
      </c>
      <c r="E16" s="1180">
        <v>0</v>
      </c>
      <c r="F16" s="1181">
        <v>0</v>
      </c>
      <c r="G16" s="1170">
        <f>IF(FEC=1,'Column 1'!AH12,D16)</f>
        <v>0</v>
      </c>
      <c r="H16" s="1170">
        <f>IF(FEC=1,'Column 1'!AI12,E16)</f>
        <v>0</v>
      </c>
      <c r="I16" s="1171">
        <f>IF(FEC=1,'Column 1'!AJ12,F16)</f>
        <v>0</v>
      </c>
      <c r="J16" s="1182">
        <v>0</v>
      </c>
      <c r="K16" s="1183">
        <v>0</v>
      </c>
      <c r="L16" s="1184">
        <v>0</v>
      </c>
      <c r="M16" s="1185">
        <f t="shared" si="1"/>
        <v>0</v>
      </c>
      <c r="N16" s="1186">
        <f t="shared" si="2"/>
        <v>0</v>
      </c>
      <c r="O16" s="1187">
        <f t="shared" si="3"/>
        <v>0</v>
      </c>
      <c r="P16" s="744"/>
      <c r="Q16" s="748" t="s">
        <v>203</v>
      </c>
      <c r="R16" s="748" t="s">
        <v>27685</v>
      </c>
      <c r="S16" s="748" t="s">
        <v>27690</v>
      </c>
    </row>
    <row r="17" spans="1:19" ht="14.45" customHeight="1" x14ac:dyDescent="0.35">
      <c r="A17" s="974" t="s">
        <v>203</v>
      </c>
      <c r="B17" s="1178" t="s">
        <v>204</v>
      </c>
      <c r="C17" s="1531" t="s">
        <v>216</v>
      </c>
      <c r="D17" s="1189"/>
      <c r="E17" s="1168">
        <v>0</v>
      </c>
      <c r="F17" s="1169">
        <v>0</v>
      </c>
      <c r="G17" s="1190"/>
      <c r="H17" s="1170">
        <f>IF(FEC=1,'Column 1'!AI13,E17)</f>
        <v>0</v>
      </c>
      <c r="I17" s="1171">
        <f>IF(FEC=1,'Column 1'!AJ13,F17)</f>
        <v>0</v>
      </c>
      <c r="J17" s="1190"/>
      <c r="K17" s="1173">
        <v>0</v>
      </c>
      <c r="L17" s="1174">
        <v>0</v>
      </c>
      <c r="M17" s="1191"/>
      <c r="N17" s="1186">
        <f t="shared" si="2"/>
        <v>0</v>
      </c>
      <c r="O17" s="1187">
        <f t="shared" si="3"/>
        <v>0</v>
      </c>
      <c r="P17" s="744"/>
      <c r="Q17" s="748" t="s">
        <v>203</v>
      </c>
      <c r="R17" s="748" t="s">
        <v>27685</v>
      </c>
      <c r="S17" s="748" t="s">
        <v>216</v>
      </c>
    </row>
    <row r="18" spans="1:19" ht="14.45" customHeight="1" x14ac:dyDescent="0.35">
      <c r="A18" s="1178" t="s">
        <v>203</v>
      </c>
      <c r="B18" s="739" t="s">
        <v>218</v>
      </c>
      <c r="C18" s="1161" t="s">
        <v>205</v>
      </c>
      <c r="D18" s="1192">
        <v>0</v>
      </c>
      <c r="E18" s="1193">
        <v>0</v>
      </c>
      <c r="F18" s="1194">
        <v>0</v>
      </c>
      <c r="G18" s="1195">
        <f>IF(FEC=1,'Column 1'!AH14,D18)</f>
        <v>0</v>
      </c>
      <c r="H18" s="1196">
        <f>IF(FEC=1,'Column 1'!AI14,E18)</f>
        <v>0</v>
      </c>
      <c r="I18" s="1197">
        <f>IF(FEC=1,'Column 1'!AJ14,F18)</f>
        <v>0</v>
      </c>
      <c r="J18" s="1198">
        <v>0</v>
      </c>
      <c r="K18" s="1199">
        <v>0</v>
      </c>
      <c r="L18" s="1200">
        <v>0</v>
      </c>
      <c r="M18" s="1204">
        <f t="shared" si="1"/>
        <v>0</v>
      </c>
      <c r="N18" s="1205">
        <f t="shared" si="2"/>
        <v>0</v>
      </c>
      <c r="O18" s="1206">
        <f t="shared" si="3"/>
        <v>0</v>
      </c>
      <c r="P18" s="744"/>
      <c r="Q18" s="748" t="s">
        <v>203</v>
      </c>
      <c r="R18" s="748" t="s">
        <v>27691</v>
      </c>
      <c r="S18" s="748" t="s">
        <v>27686</v>
      </c>
    </row>
    <row r="19" spans="1:19" ht="14.45" customHeight="1" x14ac:dyDescent="0.35">
      <c r="A19" s="1178" t="s">
        <v>203</v>
      </c>
      <c r="B19" s="974" t="s">
        <v>218</v>
      </c>
      <c r="C19" s="1161" t="s">
        <v>208</v>
      </c>
      <c r="D19" s="1167">
        <v>0</v>
      </c>
      <c r="E19" s="1168">
        <v>0</v>
      </c>
      <c r="F19" s="1169">
        <v>0</v>
      </c>
      <c r="G19" s="1170">
        <f>IF(FEC=1,'Column 1'!AH15,D19)</f>
        <v>0</v>
      </c>
      <c r="H19" s="1170">
        <f>IF(FEC=1,'Column 1'!AI15,E19)</f>
        <v>0</v>
      </c>
      <c r="I19" s="1171">
        <f>IF(FEC=1,'Column 1'!AJ15,F19)</f>
        <v>0</v>
      </c>
      <c r="J19" s="1172">
        <v>0</v>
      </c>
      <c r="K19" s="1173">
        <v>0</v>
      </c>
      <c r="L19" s="1174">
        <v>0</v>
      </c>
      <c r="M19" s="1175">
        <f t="shared" si="1"/>
        <v>0</v>
      </c>
      <c r="N19" s="1170">
        <f t="shared" si="2"/>
        <v>0</v>
      </c>
      <c r="O19" s="1176">
        <f t="shared" si="3"/>
        <v>0</v>
      </c>
      <c r="P19" s="744"/>
      <c r="Q19" s="748" t="s">
        <v>203</v>
      </c>
      <c r="R19" s="748" t="s">
        <v>27691</v>
      </c>
      <c r="S19" s="748" t="s">
        <v>27687</v>
      </c>
    </row>
    <row r="20" spans="1:19" ht="14.45" customHeight="1" x14ac:dyDescent="0.35">
      <c r="A20" s="1178" t="s">
        <v>203</v>
      </c>
      <c r="B20" s="974" t="s">
        <v>218</v>
      </c>
      <c r="C20" s="1161" t="s">
        <v>210</v>
      </c>
      <c r="D20" s="1167">
        <v>0</v>
      </c>
      <c r="E20" s="1168">
        <v>0</v>
      </c>
      <c r="F20" s="1169">
        <v>0</v>
      </c>
      <c r="G20" s="1170">
        <f>IF(FEC=1,'Column 1'!AH16,D20)</f>
        <v>0</v>
      </c>
      <c r="H20" s="1170">
        <f>IF(FEC=1,'Column 1'!AI16,E20)</f>
        <v>0</v>
      </c>
      <c r="I20" s="1171">
        <f>IF(FEC=1,'Column 1'!AJ16,F20)</f>
        <v>0</v>
      </c>
      <c r="J20" s="1172">
        <v>0</v>
      </c>
      <c r="K20" s="1173">
        <v>0</v>
      </c>
      <c r="L20" s="1174">
        <v>0</v>
      </c>
      <c r="M20" s="1175">
        <f t="shared" si="1"/>
        <v>0</v>
      </c>
      <c r="N20" s="1170">
        <f t="shared" si="2"/>
        <v>0</v>
      </c>
      <c r="O20" s="1176">
        <f t="shared" si="3"/>
        <v>0</v>
      </c>
      <c r="P20" s="744"/>
      <c r="Q20" s="748" t="s">
        <v>203</v>
      </c>
      <c r="R20" s="748" t="s">
        <v>27691</v>
      </c>
      <c r="S20" s="748" t="s">
        <v>27688</v>
      </c>
    </row>
    <row r="21" spans="1:19" ht="14.45" customHeight="1" x14ac:dyDescent="0.35">
      <c r="A21" s="1178" t="s">
        <v>203</v>
      </c>
      <c r="B21" s="974" t="s">
        <v>218</v>
      </c>
      <c r="C21" s="1161" t="s">
        <v>212</v>
      </c>
      <c r="D21" s="1167">
        <v>0</v>
      </c>
      <c r="E21" s="1168">
        <v>0</v>
      </c>
      <c r="F21" s="1169">
        <v>0</v>
      </c>
      <c r="G21" s="1170">
        <f>IF(FEC=1,'Column 1'!AH17,D21)</f>
        <v>0</v>
      </c>
      <c r="H21" s="1170">
        <f>IF(FEC=1,'Column 1'!AI17,E21)</f>
        <v>0</v>
      </c>
      <c r="I21" s="1170">
        <f>IF(FEC=1,'Column 1'!AJ17,F21)</f>
        <v>0</v>
      </c>
      <c r="J21" s="1172">
        <v>0</v>
      </c>
      <c r="K21" s="1173">
        <v>0</v>
      </c>
      <c r="L21" s="1174">
        <v>0</v>
      </c>
      <c r="M21" s="1175">
        <f t="shared" si="1"/>
        <v>0</v>
      </c>
      <c r="N21" s="1170">
        <f t="shared" si="2"/>
        <v>0</v>
      </c>
      <c r="O21" s="1176">
        <f t="shared" si="3"/>
        <v>0</v>
      </c>
      <c r="P21" s="744"/>
      <c r="Q21" s="748" t="s">
        <v>203</v>
      </c>
      <c r="R21" s="748" t="s">
        <v>27691</v>
      </c>
      <c r="S21" s="748" t="s">
        <v>27689</v>
      </c>
    </row>
    <row r="22" spans="1:19" ht="14.45" customHeight="1" x14ac:dyDescent="0.35">
      <c r="A22" s="1178" t="s">
        <v>203</v>
      </c>
      <c r="B22" s="974" t="s">
        <v>218</v>
      </c>
      <c r="C22" s="1161" t="s">
        <v>214</v>
      </c>
      <c r="D22" s="1167">
        <v>0</v>
      </c>
      <c r="E22" s="1168">
        <v>0</v>
      </c>
      <c r="F22" s="1169">
        <v>0</v>
      </c>
      <c r="G22" s="1170">
        <f>IF(FEC=1,'Column 1'!AH18,D22)</f>
        <v>0</v>
      </c>
      <c r="H22" s="1170">
        <f>IF(FEC=1,'Column 1'!AI18,E22)</f>
        <v>0</v>
      </c>
      <c r="I22" s="1170">
        <f>IF(FEC=1,'Column 1'!AJ18,F22)</f>
        <v>0</v>
      </c>
      <c r="J22" s="1172">
        <v>0</v>
      </c>
      <c r="K22" s="1173">
        <v>0</v>
      </c>
      <c r="L22" s="1174">
        <v>0</v>
      </c>
      <c r="M22" s="1175">
        <f t="shared" si="1"/>
        <v>0</v>
      </c>
      <c r="N22" s="1170">
        <f t="shared" si="2"/>
        <v>0</v>
      </c>
      <c r="O22" s="1176">
        <f t="shared" si="3"/>
        <v>0</v>
      </c>
      <c r="P22" s="744"/>
      <c r="Q22" s="748" t="s">
        <v>203</v>
      </c>
      <c r="R22" s="748" t="s">
        <v>27691</v>
      </c>
      <c r="S22" s="748" t="s">
        <v>27690</v>
      </c>
    </row>
    <row r="23" spans="1:19" ht="14.45" customHeight="1" x14ac:dyDescent="0.35">
      <c r="A23" s="1207" t="s">
        <v>203</v>
      </c>
      <c r="B23" s="974" t="s">
        <v>218</v>
      </c>
      <c r="C23" s="1530" t="s">
        <v>216</v>
      </c>
      <c r="D23" s="1189"/>
      <c r="E23" s="1168">
        <v>0</v>
      </c>
      <c r="F23" s="1169">
        <v>0</v>
      </c>
      <c r="G23" s="1190"/>
      <c r="H23" s="1170">
        <f>IF(FEC=1,'Column 1'!AI19,E23)</f>
        <v>0</v>
      </c>
      <c r="I23" s="1170">
        <f>IF(FEC=1,'Column 1'!AJ19,F23)</f>
        <v>0</v>
      </c>
      <c r="J23" s="1190"/>
      <c r="K23" s="1173">
        <v>0</v>
      </c>
      <c r="L23" s="1174">
        <v>0</v>
      </c>
      <c r="M23" s="1208"/>
      <c r="N23" s="1209">
        <f t="shared" si="2"/>
        <v>0</v>
      </c>
      <c r="O23" s="1210">
        <f t="shared" si="3"/>
        <v>0</v>
      </c>
      <c r="P23" s="744"/>
      <c r="Q23" s="748" t="s">
        <v>203</v>
      </c>
      <c r="R23" s="748" t="s">
        <v>27691</v>
      </c>
      <c r="S23" s="748" t="s">
        <v>216</v>
      </c>
    </row>
    <row r="24" spans="1:19" ht="14.45" customHeight="1" x14ac:dyDescent="0.35">
      <c r="A24" s="808" t="s">
        <v>225</v>
      </c>
      <c r="B24" s="808" t="s">
        <v>204</v>
      </c>
      <c r="C24" s="1745" t="s">
        <v>205</v>
      </c>
      <c r="D24" s="1800">
        <v>0</v>
      </c>
      <c r="E24" s="1697">
        <v>0</v>
      </c>
      <c r="F24" s="1698">
        <v>0</v>
      </c>
      <c r="G24" s="1788">
        <f>IF(FEC=1,'Column 1'!AH20,D24)</f>
        <v>0</v>
      </c>
      <c r="H24" s="1686">
        <f>IF(FEC=1,'Column 1'!AI20,E24)</f>
        <v>0</v>
      </c>
      <c r="I24" s="1687">
        <f>IF(FEC=1,'Column 1'!AJ20,F24)</f>
        <v>0</v>
      </c>
      <c r="J24" s="1787">
        <v>0</v>
      </c>
      <c r="K24" s="1684">
        <v>0</v>
      </c>
      <c r="L24" s="1685">
        <v>0</v>
      </c>
      <c r="M24" s="1788">
        <f t="shared" si="1"/>
        <v>0</v>
      </c>
      <c r="N24" s="1686">
        <f t="shared" si="2"/>
        <v>0</v>
      </c>
      <c r="O24" s="1709">
        <f t="shared" si="3"/>
        <v>0</v>
      </c>
      <c r="P24" s="1211"/>
      <c r="Q24" s="748" t="s">
        <v>225</v>
      </c>
      <c r="R24" s="748" t="s">
        <v>27685</v>
      </c>
      <c r="S24" s="748" t="s">
        <v>27686</v>
      </c>
    </row>
    <row r="25" spans="1:19" ht="14.45" customHeight="1" x14ac:dyDescent="0.35">
      <c r="A25" s="1178" t="s">
        <v>225</v>
      </c>
      <c r="B25" s="1178" t="s">
        <v>204</v>
      </c>
      <c r="C25" s="1161" t="s">
        <v>208</v>
      </c>
      <c r="D25" s="1167">
        <v>0</v>
      </c>
      <c r="E25" s="1168">
        <v>0</v>
      </c>
      <c r="F25" s="1169">
        <v>0</v>
      </c>
      <c r="G25" s="1170">
        <f>IF(FEC=1,'Column 1'!AH21,D25)</f>
        <v>0</v>
      </c>
      <c r="H25" s="1170">
        <f>IF(FEC=1,'Column 1'!AI21,E25)</f>
        <v>0</v>
      </c>
      <c r="I25" s="1171">
        <f>IF(FEC=1,'Column 1'!AJ21,F25)</f>
        <v>0</v>
      </c>
      <c r="J25" s="1172">
        <v>0</v>
      </c>
      <c r="K25" s="1173">
        <v>0</v>
      </c>
      <c r="L25" s="1174">
        <v>0</v>
      </c>
      <c r="M25" s="1175">
        <f t="shared" si="1"/>
        <v>0</v>
      </c>
      <c r="N25" s="1170">
        <f t="shared" si="2"/>
        <v>0</v>
      </c>
      <c r="O25" s="1176">
        <f t="shared" si="3"/>
        <v>0</v>
      </c>
      <c r="P25" s="1211"/>
      <c r="Q25" s="748" t="s">
        <v>225</v>
      </c>
      <c r="R25" s="748" t="s">
        <v>27685</v>
      </c>
      <c r="S25" s="748" t="s">
        <v>27687</v>
      </c>
    </row>
    <row r="26" spans="1:19" ht="14.45" customHeight="1" x14ac:dyDescent="0.35">
      <c r="A26" s="1178" t="s">
        <v>225</v>
      </c>
      <c r="B26" s="1178" t="s">
        <v>204</v>
      </c>
      <c r="C26" s="1161" t="s">
        <v>210</v>
      </c>
      <c r="D26" s="1212">
        <v>0</v>
      </c>
      <c r="E26" s="1213">
        <v>0</v>
      </c>
      <c r="F26" s="1214">
        <v>0</v>
      </c>
      <c r="G26" s="1215">
        <f>IF(FEC=1,'Column 1'!AH22,D26)</f>
        <v>0</v>
      </c>
      <c r="H26" s="1216">
        <f>IF(FEC=1,'Column 1'!AI22,E26)</f>
        <v>0</v>
      </c>
      <c r="I26" s="1217">
        <f>IF(FEC=1,'Column 1'!AJ22,F26)</f>
        <v>0</v>
      </c>
      <c r="J26" s="1218">
        <v>0</v>
      </c>
      <c r="K26" s="1219">
        <v>0</v>
      </c>
      <c r="L26" s="1220">
        <v>0</v>
      </c>
      <c r="M26" s="1215">
        <f t="shared" si="1"/>
        <v>0</v>
      </c>
      <c r="N26" s="1216">
        <f t="shared" si="2"/>
        <v>0</v>
      </c>
      <c r="O26" s="1221">
        <f t="shared" si="3"/>
        <v>0</v>
      </c>
      <c r="P26" s="1211"/>
      <c r="Q26" s="748" t="s">
        <v>225</v>
      </c>
      <c r="R26" s="748" t="s">
        <v>27685</v>
      </c>
      <c r="S26" s="748" t="s">
        <v>27688</v>
      </c>
    </row>
    <row r="27" spans="1:19" ht="14.45" customHeight="1" x14ac:dyDescent="0.35">
      <c r="A27" s="1178" t="s">
        <v>225</v>
      </c>
      <c r="B27" s="1178" t="s">
        <v>204</v>
      </c>
      <c r="C27" s="1161" t="s">
        <v>212</v>
      </c>
      <c r="D27" s="1167">
        <v>0</v>
      </c>
      <c r="E27" s="1168">
        <v>0</v>
      </c>
      <c r="F27" s="1169">
        <v>0</v>
      </c>
      <c r="G27" s="1175">
        <f>IF(FEC=1,'Column 1'!AH23,D27)</f>
        <v>0</v>
      </c>
      <c r="H27" s="1170">
        <f>IF(FEC=1,'Column 1'!AI23,E27)</f>
        <v>0</v>
      </c>
      <c r="I27" s="1171">
        <f>IF(FEC=1,'Column 1'!AJ23,F27)</f>
        <v>0</v>
      </c>
      <c r="J27" s="1172">
        <v>0</v>
      </c>
      <c r="K27" s="1173">
        <v>0</v>
      </c>
      <c r="L27" s="1174">
        <v>0</v>
      </c>
      <c r="M27" s="1175">
        <f t="shared" si="1"/>
        <v>0</v>
      </c>
      <c r="N27" s="1170">
        <f t="shared" si="2"/>
        <v>0</v>
      </c>
      <c r="O27" s="1176">
        <f t="shared" si="3"/>
        <v>0</v>
      </c>
      <c r="P27" s="1211"/>
      <c r="Q27" s="748" t="s">
        <v>225</v>
      </c>
      <c r="R27" s="748" t="s">
        <v>27685</v>
      </c>
      <c r="S27" s="748" t="s">
        <v>27689</v>
      </c>
    </row>
    <row r="28" spans="1:19" ht="14.45" customHeight="1" x14ac:dyDescent="0.35">
      <c r="A28" s="1178" t="s">
        <v>225</v>
      </c>
      <c r="B28" s="1178" t="s">
        <v>204</v>
      </c>
      <c r="C28" s="1161" t="s">
        <v>214</v>
      </c>
      <c r="D28" s="1179">
        <v>0</v>
      </c>
      <c r="E28" s="1180">
        <v>0</v>
      </c>
      <c r="F28" s="1181">
        <v>0</v>
      </c>
      <c r="G28" s="1185">
        <f>IF(FEC=1,'Column 1'!AH24,D28)</f>
        <v>0</v>
      </c>
      <c r="H28" s="1186">
        <f>IF(FEC=1,'Column 1'!AI24,E28)</f>
        <v>0</v>
      </c>
      <c r="I28" s="1222">
        <f>IF(FEC=1,'Column 1'!AJ24,F28)</f>
        <v>0</v>
      </c>
      <c r="J28" s="1182">
        <v>0</v>
      </c>
      <c r="K28" s="1183">
        <v>0</v>
      </c>
      <c r="L28" s="1184">
        <v>0</v>
      </c>
      <c r="M28" s="1185">
        <f t="shared" si="1"/>
        <v>0</v>
      </c>
      <c r="N28" s="1186">
        <f t="shared" si="2"/>
        <v>0</v>
      </c>
      <c r="O28" s="1187">
        <f t="shared" si="3"/>
        <v>0</v>
      </c>
      <c r="P28" s="1211"/>
      <c r="Q28" s="748" t="s">
        <v>225</v>
      </c>
      <c r="R28" s="748" t="s">
        <v>27685</v>
      </c>
      <c r="S28" s="748" t="s">
        <v>27690</v>
      </c>
    </row>
    <row r="29" spans="1:19" ht="14.45" customHeight="1" x14ac:dyDescent="0.35">
      <c r="A29" s="974" t="s">
        <v>225</v>
      </c>
      <c r="B29" s="1178" t="s">
        <v>204</v>
      </c>
      <c r="C29" s="1531" t="s">
        <v>216</v>
      </c>
      <c r="D29" s="1189"/>
      <c r="E29" s="1168">
        <v>0</v>
      </c>
      <c r="F29" s="1169">
        <v>0</v>
      </c>
      <c r="G29" s="1190"/>
      <c r="H29" s="1170">
        <f>IF(FEC=1,'Column 1'!AI25,E29)</f>
        <v>0</v>
      </c>
      <c r="I29" s="1171">
        <f>IF(FEC=1,'Column 1'!AJ25,F29)</f>
        <v>0</v>
      </c>
      <c r="J29" s="1190"/>
      <c r="K29" s="1173">
        <v>0</v>
      </c>
      <c r="L29" s="1174">
        <v>0</v>
      </c>
      <c r="M29" s="1191"/>
      <c r="N29" s="1186">
        <f t="shared" si="2"/>
        <v>0</v>
      </c>
      <c r="O29" s="1187">
        <f t="shared" si="3"/>
        <v>0</v>
      </c>
      <c r="P29" s="1211"/>
      <c r="Q29" s="748" t="s">
        <v>225</v>
      </c>
      <c r="R29" s="748" t="s">
        <v>27685</v>
      </c>
      <c r="S29" s="748" t="s">
        <v>216</v>
      </c>
    </row>
    <row r="30" spans="1:19" ht="14.45" customHeight="1" x14ac:dyDescent="0.35">
      <c r="A30" s="1178" t="s">
        <v>225</v>
      </c>
      <c r="B30" s="739" t="s">
        <v>218</v>
      </c>
      <c r="C30" s="1161" t="s">
        <v>205</v>
      </c>
      <c r="D30" s="1192">
        <v>0</v>
      </c>
      <c r="E30" s="1193">
        <v>0</v>
      </c>
      <c r="F30" s="1194">
        <v>0</v>
      </c>
      <c r="G30" s="1195">
        <f>IF(FEC=1,'Column 1'!AH26,D30)</f>
        <v>0</v>
      </c>
      <c r="H30" s="1196">
        <f>IF(FEC=1,'Column 1'!AI26,E30)</f>
        <v>0</v>
      </c>
      <c r="I30" s="1197">
        <f>IF(FEC=1,'Column 1'!AJ26,F30)</f>
        <v>0</v>
      </c>
      <c r="J30" s="1198">
        <v>0</v>
      </c>
      <c r="K30" s="1199">
        <v>0</v>
      </c>
      <c r="L30" s="1200">
        <v>0</v>
      </c>
      <c r="M30" s="1204">
        <f t="shared" si="1"/>
        <v>0</v>
      </c>
      <c r="N30" s="1205">
        <f t="shared" si="2"/>
        <v>0</v>
      </c>
      <c r="O30" s="1206">
        <f t="shared" si="3"/>
        <v>0</v>
      </c>
      <c r="P30" s="1211"/>
      <c r="Q30" s="748" t="s">
        <v>225</v>
      </c>
      <c r="R30" s="748" t="s">
        <v>27691</v>
      </c>
      <c r="S30" s="748" t="s">
        <v>27686</v>
      </c>
    </row>
    <row r="31" spans="1:19" ht="14.45" customHeight="1" x14ac:dyDescent="0.35">
      <c r="A31" s="1178" t="s">
        <v>225</v>
      </c>
      <c r="B31" s="974" t="s">
        <v>218</v>
      </c>
      <c r="C31" s="1161" t="s">
        <v>208</v>
      </c>
      <c r="D31" s="1167">
        <v>0</v>
      </c>
      <c r="E31" s="1168">
        <v>0</v>
      </c>
      <c r="F31" s="1169">
        <v>0</v>
      </c>
      <c r="G31" s="1170">
        <f>IF(FEC=1,'Column 1'!AH27,D31)</f>
        <v>0</v>
      </c>
      <c r="H31" s="1170">
        <f>IF(FEC=1,'Column 1'!AI27,E31)</f>
        <v>0</v>
      </c>
      <c r="I31" s="1171">
        <f>IF(FEC=1,'Column 1'!AJ27,F31)</f>
        <v>0</v>
      </c>
      <c r="J31" s="1172">
        <v>0</v>
      </c>
      <c r="K31" s="1173">
        <v>0</v>
      </c>
      <c r="L31" s="1174">
        <v>0</v>
      </c>
      <c r="M31" s="1175">
        <f t="shared" si="1"/>
        <v>0</v>
      </c>
      <c r="N31" s="1170">
        <f t="shared" si="2"/>
        <v>0</v>
      </c>
      <c r="O31" s="1176">
        <f t="shared" si="3"/>
        <v>0</v>
      </c>
      <c r="P31" s="1211"/>
      <c r="Q31" s="748" t="s">
        <v>225</v>
      </c>
      <c r="R31" s="748" t="s">
        <v>27691</v>
      </c>
      <c r="S31" s="748" t="s">
        <v>27687</v>
      </c>
    </row>
    <row r="32" spans="1:19" ht="14.45" customHeight="1" x14ac:dyDescent="0.35">
      <c r="A32" s="1178" t="s">
        <v>225</v>
      </c>
      <c r="B32" s="974" t="s">
        <v>218</v>
      </c>
      <c r="C32" s="1161" t="s">
        <v>210</v>
      </c>
      <c r="D32" s="1212">
        <v>0</v>
      </c>
      <c r="E32" s="1213">
        <v>0</v>
      </c>
      <c r="F32" s="1214">
        <v>0</v>
      </c>
      <c r="G32" s="1215">
        <f>IF(FEC=1,'Column 1'!AH28,D32)</f>
        <v>0</v>
      </c>
      <c r="H32" s="1216">
        <f>IF(FEC=1,'Column 1'!AI28,E32)</f>
        <v>0</v>
      </c>
      <c r="I32" s="1217">
        <f>IF(FEC=1,'Column 1'!AJ28,F32)</f>
        <v>0</v>
      </c>
      <c r="J32" s="1218">
        <v>0</v>
      </c>
      <c r="K32" s="1219">
        <v>0</v>
      </c>
      <c r="L32" s="1220">
        <v>0</v>
      </c>
      <c r="M32" s="1215">
        <f t="shared" si="1"/>
        <v>0</v>
      </c>
      <c r="N32" s="1216">
        <f t="shared" si="2"/>
        <v>0</v>
      </c>
      <c r="O32" s="1221">
        <f t="shared" si="3"/>
        <v>0</v>
      </c>
      <c r="P32" s="1211"/>
      <c r="Q32" s="748" t="s">
        <v>225</v>
      </c>
      <c r="R32" s="748" t="s">
        <v>27691</v>
      </c>
      <c r="S32" s="748" t="s">
        <v>27688</v>
      </c>
    </row>
    <row r="33" spans="1:19" ht="14.45" customHeight="1" x14ac:dyDescent="0.35">
      <c r="A33" s="1178" t="s">
        <v>225</v>
      </c>
      <c r="B33" s="974" t="s">
        <v>218</v>
      </c>
      <c r="C33" s="1161" t="s">
        <v>212</v>
      </c>
      <c r="D33" s="1167">
        <v>0</v>
      </c>
      <c r="E33" s="1168">
        <v>0</v>
      </c>
      <c r="F33" s="1169">
        <v>0</v>
      </c>
      <c r="G33" s="1175">
        <f>IF(FEC=1,'Column 1'!AH29,D33)</f>
        <v>0</v>
      </c>
      <c r="H33" s="1170">
        <f>IF(FEC=1,'Column 1'!AI29,E33)</f>
        <v>0</v>
      </c>
      <c r="I33" s="1171">
        <f>IF(FEC=1,'Column 1'!AJ29,F33)</f>
        <v>0</v>
      </c>
      <c r="J33" s="1172">
        <v>0</v>
      </c>
      <c r="K33" s="1173">
        <v>0</v>
      </c>
      <c r="L33" s="1174">
        <v>0</v>
      </c>
      <c r="M33" s="1175">
        <f t="shared" si="1"/>
        <v>0</v>
      </c>
      <c r="N33" s="1170">
        <f t="shared" si="2"/>
        <v>0</v>
      </c>
      <c r="O33" s="1176">
        <f t="shared" si="3"/>
        <v>0</v>
      </c>
      <c r="P33" s="1211"/>
      <c r="Q33" s="748" t="s">
        <v>225</v>
      </c>
      <c r="R33" s="748" t="s">
        <v>27691</v>
      </c>
      <c r="S33" s="748" t="s">
        <v>27689</v>
      </c>
    </row>
    <row r="34" spans="1:19" ht="14.45" customHeight="1" x14ac:dyDescent="0.35">
      <c r="A34" s="1178" t="s">
        <v>225</v>
      </c>
      <c r="B34" s="974" t="s">
        <v>218</v>
      </c>
      <c r="C34" s="1161" t="s">
        <v>214</v>
      </c>
      <c r="D34" s="1167">
        <v>0</v>
      </c>
      <c r="E34" s="1168">
        <v>0</v>
      </c>
      <c r="F34" s="1169">
        <v>0</v>
      </c>
      <c r="G34" s="1175">
        <f>IF(FEC=1,'Column 1'!AH30,D34)</f>
        <v>0</v>
      </c>
      <c r="H34" s="1170">
        <f>IF(FEC=1,'Column 1'!AI30,E34)</f>
        <v>0</v>
      </c>
      <c r="I34" s="1171">
        <f>IF(FEC=1,'Column 1'!AJ30,F34)</f>
        <v>0</v>
      </c>
      <c r="J34" s="1172">
        <v>0</v>
      </c>
      <c r="K34" s="1173">
        <v>0</v>
      </c>
      <c r="L34" s="1174">
        <v>0</v>
      </c>
      <c r="M34" s="1175">
        <f t="shared" si="1"/>
        <v>0</v>
      </c>
      <c r="N34" s="1170">
        <f t="shared" si="2"/>
        <v>0</v>
      </c>
      <c r="O34" s="1176">
        <f t="shared" si="3"/>
        <v>0</v>
      </c>
      <c r="P34" s="1211"/>
      <c r="Q34" s="748" t="s">
        <v>225</v>
      </c>
      <c r="R34" s="748" t="s">
        <v>27691</v>
      </c>
      <c r="S34" s="748" t="s">
        <v>27690</v>
      </c>
    </row>
    <row r="35" spans="1:19" ht="14.45" customHeight="1" x14ac:dyDescent="0.35">
      <c r="A35" s="1207" t="s">
        <v>225</v>
      </c>
      <c r="B35" s="974" t="s">
        <v>218</v>
      </c>
      <c r="C35" s="1530" t="s">
        <v>216</v>
      </c>
      <c r="D35" s="1189"/>
      <c r="E35" s="1168">
        <v>0</v>
      </c>
      <c r="F35" s="1169">
        <v>0</v>
      </c>
      <c r="G35" s="1190"/>
      <c r="H35" s="1170">
        <f>IF(FEC=1,'Column 1'!AI31,E35)</f>
        <v>0</v>
      </c>
      <c r="I35" s="1171">
        <f>IF(FEC=1,'Column 1'!AJ31,F35)</f>
        <v>0</v>
      </c>
      <c r="J35" s="1190"/>
      <c r="K35" s="1173">
        <v>0</v>
      </c>
      <c r="L35" s="1174">
        <v>0</v>
      </c>
      <c r="M35" s="1208"/>
      <c r="N35" s="1209">
        <f t="shared" si="2"/>
        <v>0</v>
      </c>
      <c r="O35" s="1210">
        <f t="shared" si="3"/>
        <v>0</v>
      </c>
      <c r="P35" s="1211"/>
      <c r="Q35" s="748" t="s">
        <v>225</v>
      </c>
      <c r="R35" s="748" t="s">
        <v>27691</v>
      </c>
      <c r="S35" s="748" t="s">
        <v>216</v>
      </c>
    </row>
    <row r="36" spans="1:19" ht="14.45" customHeight="1" x14ac:dyDescent="0.35">
      <c r="A36" s="809" t="s">
        <v>238</v>
      </c>
      <c r="B36" s="808" t="s">
        <v>204</v>
      </c>
      <c r="C36" s="1745" t="s">
        <v>205</v>
      </c>
      <c r="D36" s="1800">
        <v>0</v>
      </c>
      <c r="E36" s="1697">
        <v>0</v>
      </c>
      <c r="F36" s="1698">
        <v>0</v>
      </c>
      <c r="G36" s="1788">
        <f>IF(FEC=1,'Column 1'!AH32,D36)</f>
        <v>0</v>
      </c>
      <c r="H36" s="1686">
        <f>IF(FEC=1,'Column 1'!AI32,E36)</f>
        <v>0</v>
      </c>
      <c r="I36" s="1687">
        <f>IF(FEC=1,'Column 1'!AJ32,F36)</f>
        <v>0</v>
      </c>
      <c r="J36" s="1787">
        <v>0</v>
      </c>
      <c r="K36" s="1684">
        <v>0</v>
      </c>
      <c r="L36" s="1685">
        <v>0</v>
      </c>
      <c r="M36" s="1788">
        <f t="shared" si="1"/>
        <v>0</v>
      </c>
      <c r="N36" s="1686">
        <f t="shared" si="2"/>
        <v>0</v>
      </c>
      <c r="O36" s="1709">
        <f t="shared" si="3"/>
        <v>0</v>
      </c>
      <c r="P36" s="1223"/>
      <c r="Q36" s="747" t="s">
        <v>27692</v>
      </c>
      <c r="R36" s="748" t="s">
        <v>27685</v>
      </c>
      <c r="S36" s="748" t="s">
        <v>27686</v>
      </c>
    </row>
    <row r="37" spans="1:19" ht="14.45" customHeight="1" x14ac:dyDescent="0.35">
      <c r="A37" s="974" t="s">
        <v>238</v>
      </c>
      <c r="B37" s="1178" t="s">
        <v>204</v>
      </c>
      <c r="C37" s="1161" t="s">
        <v>208</v>
      </c>
      <c r="D37" s="1167">
        <v>0</v>
      </c>
      <c r="E37" s="1168">
        <v>0</v>
      </c>
      <c r="F37" s="1169">
        <v>0</v>
      </c>
      <c r="G37" s="1170">
        <f>IF(FEC=1,'Column 1'!AH33,D37)</f>
        <v>0</v>
      </c>
      <c r="H37" s="1170">
        <f>IF(FEC=1,'Column 1'!AI33,E37)</f>
        <v>0</v>
      </c>
      <c r="I37" s="1171">
        <f>IF(FEC=1,'Column 1'!AJ33,F37)</f>
        <v>0</v>
      </c>
      <c r="J37" s="1172">
        <v>0</v>
      </c>
      <c r="K37" s="1173">
        <v>0</v>
      </c>
      <c r="L37" s="1174">
        <v>0</v>
      </c>
      <c r="M37" s="1175">
        <f t="shared" si="1"/>
        <v>0</v>
      </c>
      <c r="N37" s="1170">
        <f t="shared" si="2"/>
        <v>0</v>
      </c>
      <c r="O37" s="1176">
        <f t="shared" si="3"/>
        <v>0</v>
      </c>
      <c r="P37" s="1223"/>
      <c r="Q37" s="747" t="s">
        <v>27692</v>
      </c>
      <c r="R37" s="748" t="s">
        <v>27685</v>
      </c>
      <c r="S37" s="748" t="s">
        <v>27687</v>
      </c>
    </row>
    <row r="38" spans="1:19" ht="14.45" customHeight="1" x14ac:dyDescent="0.35">
      <c r="A38" s="974" t="s">
        <v>238</v>
      </c>
      <c r="B38" s="1178" t="s">
        <v>204</v>
      </c>
      <c r="C38" s="1161" t="s">
        <v>210</v>
      </c>
      <c r="D38" s="1212">
        <v>0</v>
      </c>
      <c r="E38" s="1213">
        <v>0</v>
      </c>
      <c r="F38" s="1214">
        <v>0</v>
      </c>
      <c r="G38" s="1215">
        <f>IF(FEC=1,'Column 1'!AH34,D38)</f>
        <v>0</v>
      </c>
      <c r="H38" s="1216">
        <f>IF(FEC=1,'Column 1'!AI34,E38)</f>
        <v>0</v>
      </c>
      <c r="I38" s="1217">
        <f>IF(FEC=1,'Column 1'!AJ34,F38)</f>
        <v>0</v>
      </c>
      <c r="J38" s="1218">
        <v>0</v>
      </c>
      <c r="K38" s="1219">
        <v>0</v>
      </c>
      <c r="L38" s="1220">
        <v>0</v>
      </c>
      <c r="M38" s="1215">
        <f t="shared" si="1"/>
        <v>0</v>
      </c>
      <c r="N38" s="1216">
        <f t="shared" si="2"/>
        <v>0</v>
      </c>
      <c r="O38" s="1221">
        <f t="shared" si="3"/>
        <v>0</v>
      </c>
      <c r="P38" s="1223"/>
      <c r="Q38" s="747" t="s">
        <v>27692</v>
      </c>
      <c r="R38" s="748" t="s">
        <v>27685</v>
      </c>
      <c r="S38" s="748" t="s">
        <v>27688</v>
      </c>
    </row>
    <row r="39" spans="1:19" ht="14.45" customHeight="1" x14ac:dyDescent="0.35">
      <c r="A39" s="974" t="s">
        <v>238</v>
      </c>
      <c r="B39" s="1178" t="s">
        <v>204</v>
      </c>
      <c r="C39" s="1161" t="s">
        <v>212</v>
      </c>
      <c r="D39" s="1167">
        <v>0</v>
      </c>
      <c r="E39" s="1168">
        <v>0</v>
      </c>
      <c r="F39" s="1169">
        <v>0</v>
      </c>
      <c r="G39" s="1175">
        <f>IF(FEC=1,'Column 1'!AH35,D39)</f>
        <v>0</v>
      </c>
      <c r="H39" s="1170">
        <f>IF(FEC=1,'Column 1'!AI35,E39)</f>
        <v>0</v>
      </c>
      <c r="I39" s="1171">
        <f>IF(FEC=1,'Column 1'!AJ35,F39)</f>
        <v>0</v>
      </c>
      <c r="J39" s="1172">
        <v>0</v>
      </c>
      <c r="K39" s="1173">
        <v>0</v>
      </c>
      <c r="L39" s="1174">
        <v>0</v>
      </c>
      <c r="M39" s="1175">
        <f t="shared" si="1"/>
        <v>0</v>
      </c>
      <c r="N39" s="1170">
        <f t="shared" si="2"/>
        <v>0</v>
      </c>
      <c r="O39" s="1176">
        <f t="shared" si="3"/>
        <v>0</v>
      </c>
      <c r="P39" s="1223"/>
      <c r="Q39" s="747" t="s">
        <v>27692</v>
      </c>
      <c r="R39" s="748" t="s">
        <v>27685</v>
      </c>
      <c r="S39" s="748" t="s">
        <v>27689</v>
      </c>
    </row>
    <row r="40" spans="1:19" ht="14.45" customHeight="1" x14ac:dyDescent="0.35">
      <c r="A40" s="1224" t="s">
        <v>238</v>
      </c>
      <c r="B40" s="1178" t="s">
        <v>204</v>
      </c>
      <c r="C40" s="1161" t="s">
        <v>214</v>
      </c>
      <c r="D40" s="1179">
        <v>0</v>
      </c>
      <c r="E40" s="1180">
        <v>0</v>
      </c>
      <c r="F40" s="1181">
        <v>0</v>
      </c>
      <c r="G40" s="1185">
        <f>IF(FEC=1,'Column 1'!AH36,D40)</f>
        <v>0</v>
      </c>
      <c r="H40" s="1186">
        <f>IF(FEC=1,'Column 1'!AI36,E40)</f>
        <v>0</v>
      </c>
      <c r="I40" s="1222">
        <f>IF(FEC=1,'Column 1'!AJ36,F40)</f>
        <v>0</v>
      </c>
      <c r="J40" s="1182">
        <v>0</v>
      </c>
      <c r="K40" s="1183">
        <v>0</v>
      </c>
      <c r="L40" s="1184">
        <v>0</v>
      </c>
      <c r="M40" s="1185">
        <f t="shared" si="1"/>
        <v>0</v>
      </c>
      <c r="N40" s="1186">
        <f t="shared" si="2"/>
        <v>0</v>
      </c>
      <c r="O40" s="1187">
        <f t="shared" si="3"/>
        <v>0</v>
      </c>
      <c r="P40" s="1223"/>
      <c r="Q40" s="747" t="s">
        <v>27692</v>
      </c>
      <c r="R40" s="748" t="s">
        <v>27685</v>
      </c>
      <c r="S40" s="748" t="s">
        <v>27690</v>
      </c>
    </row>
    <row r="41" spans="1:19" ht="14.45" customHeight="1" x14ac:dyDescent="0.35">
      <c r="A41" s="1224" t="s">
        <v>238</v>
      </c>
      <c r="B41" s="1178" t="s">
        <v>204</v>
      </c>
      <c r="C41" s="1531" t="s">
        <v>216</v>
      </c>
      <c r="D41" s="1189"/>
      <c r="E41" s="1168">
        <v>0</v>
      </c>
      <c r="F41" s="1169">
        <v>0</v>
      </c>
      <c r="G41" s="1190"/>
      <c r="H41" s="1170">
        <f>IF(FEC=1,'Column 1'!AI37,E41)</f>
        <v>0</v>
      </c>
      <c r="I41" s="1171">
        <f>IF(FEC=1,'Column 1'!AJ37,F41)</f>
        <v>0</v>
      </c>
      <c r="J41" s="1190"/>
      <c r="K41" s="1173">
        <v>0</v>
      </c>
      <c r="L41" s="1174">
        <v>0</v>
      </c>
      <c r="M41" s="1191"/>
      <c r="N41" s="1186">
        <f t="shared" si="2"/>
        <v>0</v>
      </c>
      <c r="O41" s="1187">
        <f t="shared" si="3"/>
        <v>0</v>
      </c>
      <c r="P41" s="1223"/>
      <c r="Q41" s="747" t="s">
        <v>27692</v>
      </c>
      <c r="R41" s="748" t="s">
        <v>27685</v>
      </c>
      <c r="S41" s="748" t="s">
        <v>216</v>
      </c>
    </row>
    <row r="42" spans="1:19" ht="14.45" customHeight="1" x14ac:dyDescent="0.35">
      <c r="A42" s="974" t="s">
        <v>238</v>
      </c>
      <c r="B42" s="739" t="s">
        <v>218</v>
      </c>
      <c r="C42" s="1161" t="s">
        <v>205</v>
      </c>
      <c r="D42" s="1192">
        <v>0</v>
      </c>
      <c r="E42" s="1193">
        <v>0</v>
      </c>
      <c r="F42" s="1194">
        <v>0</v>
      </c>
      <c r="G42" s="1195">
        <f>IF(FEC=1,'Column 1'!AH38,D42)</f>
        <v>0</v>
      </c>
      <c r="H42" s="1196">
        <f>IF(FEC=1,'Column 1'!AI38,E42)</f>
        <v>0</v>
      </c>
      <c r="I42" s="1197">
        <f>IF(FEC=1,'Column 1'!AJ38,F42)</f>
        <v>0</v>
      </c>
      <c r="J42" s="1198">
        <v>0</v>
      </c>
      <c r="K42" s="1199">
        <v>0</v>
      </c>
      <c r="L42" s="1200">
        <v>0</v>
      </c>
      <c r="M42" s="1204">
        <f t="shared" si="1"/>
        <v>0</v>
      </c>
      <c r="N42" s="1205">
        <f t="shared" si="2"/>
        <v>0</v>
      </c>
      <c r="O42" s="1206">
        <f t="shared" si="3"/>
        <v>0</v>
      </c>
      <c r="P42" s="1223"/>
      <c r="Q42" s="747" t="s">
        <v>27692</v>
      </c>
      <c r="R42" s="748" t="s">
        <v>27691</v>
      </c>
      <c r="S42" s="748" t="s">
        <v>27686</v>
      </c>
    </row>
    <row r="43" spans="1:19" ht="14.45" customHeight="1" x14ac:dyDescent="0.35">
      <c r="A43" s="974" t="s">
        <v>238</v>
      </c>
      <c r="B43" s="974" t="s">
        <v>218</v>
      </c>
      <c r="C43" s="1161" t="s">
        <v>208</v>
      </c>
      <c r="D43" s="1167">
        <v>0</v>
      </c>
      <c r="E43" s="1168">
        <v>0</v>
      </c>
      <c r="F43" s="1169">
        <v>0</v>
      </c>
      <c r="G43" s="1170">
        <f>IF(FEC=1,'Column 1'!AH39,D43)</f>
        <v>0</v>
      </c>
      <c r="H43" s="1170">
        <f>IF(FEC=1,'Column 1'!AI39,E43)</f>
        <v>0</v>
      </c>
      <c r="I43" s="1171">
        <f>IF(FEC=1,'Column 1'!AJ39,F43)</f>
        <v>0</v>
      </c>
      <c r="J43" s="1172">
        <v>0</v>
      </c>
      <c r="K43" s="1173">
        <v>0</v>
      </c>
      <c r="L43" s="1174">
        <v>0</v>
      </c>
      <c r="M43" s="1175">
        <f t="shared" si="1"/>
        <v>0</v>
      </c>
      <c r="N43" s="1170">
        <f t="shared" si="2"/>
        <v>0</v>
      </c>
      <c r="O43" s="1176">
        <f t="shared" si="3"/>
        <v>0</v>
      </c>
      <c r="P43" s="1223"/>
      <c r="Q43" s="747" t="s">
        <v>27692</v>
      </c>
      <c r="R43" s="748" t="s">
        <v>27691</v>
      </c>
      <c r="S43" s="748" t="s">
        <v>27687</v>
      </c>
    </row>
    <row r="44" spans="1:19" ht="14.45" customHeight="1" x14ac:dyDescent="0.35">
      <c r="A44" s="974" t="s">
        <v>238</v>
      </c>
      <c r="B44" s="974" t="s">
        <v>218</v>
      </c>
      <c r="C44" s="1161" t="s">
        <v>210</v>
      </c>
      <c r="D44" s="1212">
        <v>0</v>
      </c>
      <c r="E44" s="1213">
        <v>0</v>
      </c>
      <c r="F44" s="1214">
        <v>0</v>
      </c>
      <c r="G44" s="1215">
        <f>IF(FEC=1,'Column 1'!AH40,D44)</f>
        <v>0</v>
      </c>
      <c r="H44" s="1216">
        <f>IF(FEC=1,'Column 1'!AI40,E44)</f>
        <v>0</v>
      </c>
      <c r="I44" s="1217">
        <f>IF(FEC=1,'Column 1'!AJ40,F44)</f>
        <v>0</v>
      </c>
      <c r="J44" s="1218">
        <v>0</v>
      </c>
      <c r="K44" s="1219">
        <v>0</v>
      </c>
      <c r="L44" s="1220">
        <v>0</v>
      </c>
      <c r="M44" s="1215">
        <f t="shared" si="1"/>
        <v>0</v>
      </c>
      <c r="N44" s="1216">
        <f t="shared" si="2"/>
        <v>0</v>
      </c>
      <c r="O44" s="1221">
        <f t="shared" si="3"/>
        <v>0</v>
      </c>
      <c r="P44" s="1223"/>
      <c r="Q44" s="747" t="s">
        <v>27692</v>
      </c>
      <c r="R44" s="748" t="s">
        <v>27691</v>
      </c>
      <c r="S44" s="748" t="s">
        <v>27688</v>
      </c>
    </row>
    <row r="45" spans="1:19" ht="14.45" customHeight="1" x14ac:dyDescent="0.35">
      <c r="A45" s="974" t="s">
        <v>238</v>
      </c>
      <c r="B45" s="974" t="s">
        <v>218</v>
      </c>
      <c r="C45" s="1161" t="s">
        <v>212</v>
      </c>
      <c r="D45" s="1167">
        <v>0</v>
      </c>
      <c r="E45" s="1168">
        <v>0</v>
      </c>
      <c r="F45" s="1169">
        <v>0</v>
      </c>
      <c r="G45" s="1175">
        <f>IF(FEC=1,'Column 1'!AH41,D45)</f>
        <v>0</v>
      </c>
      <c r="H45" s="1170">
        <f>IF(FEC=1,'Column 1'!AI41,E45)</f>
        <v>0</v>
      </c>
      <c r="I45" s="1171">
        <f>IF(FEC=1,'Column 1'!AJ41,F45)</f>
        <v>0</v>
      </c>
      <c r="J45" s="1172">
        <v>0</v>
      </c>
      <c r="K45" s="1173">
        <v>0</v>
      </c>
      <c r="L45" s="1174">
        <v>0</v>
      </c>
      <c r="M45" s="1175">
        <f t="shared" si="1"/>
        <v>0</v>
      </c>
      <c r="N45" s="1170">
        <f t="shared" si="2"/>
        <v>0</v>
      </c>
      <c r="O45" s="1176">
        <f t="shared" si="3"/>
        <v>0</v>
      </c>
      <c r="P45" s="1223"/>
      <c r="Q45" s="747" t="s">
        <v>27692</v>
      </c>
      <c r="R45" s="748" t="s">
        <v>27691</v>
      </c>
      <c r="S45" s="748" t="s">
        <v>27689</v>
      </c>
    </row>
    <row r="46" spans="1:19" ht="14.45" customHeight="1" x14ac:dyDescent="0.35">
      <c r="A46" s="974" t="s">
        <v>238</v>
      </c>
      <c r="B46" s="974" t="s">
        <v>218</v>
      </c>
      <c r="C46" s="1161" t="s">
        <v>214</v>
      </c>
      <c r="D46" s="1167">
        <v>0</v>
      </c>
      <c r="E46" s="1168">
        <v>0</v>
      </c>
      <c r="F46" s="1169">
        <v>0</v>
      </c>
      <c r="G46" s="1175">
        <f>IF(FEC=1,'Column 1'!AH42,D46)</f>
        <v>0</v>
      </c>
      <c r="H46" s="1170">
        <f>IF(FEC=1,'Column 1'!AI42,E46)</f>
        <v>0</v>
      </c>
      <c r="I46" s="1171">
        <f>IF(FEC=1,'Column 1'!AJ42,F46)</f>
        <v>0</v>
      </c>
      <c r="J46" s="1172">
        <v>0</v>
      </c>
      <c r="K46" s="1173">
        <v>0</v>
      </c>
      <c r="L46" s="1174">
        <v>0</v>
      </c>
      <c r="M46" s="1175">
        <f t="shared" si="1"/>
        <v>0</v>
      </c>
      <c r="N46" s="1170">
        <f t="shared" si="2"/>
        <v>0</v>
      </c>
      <c r="O46" s="1176">
        <f t="shared" si="3"/>
        <v>0</v>
      </c>
      <c r="P46" s="1223"/>
      <c r="Q46" s="747" t="s">
        <v>27692</v>
      </c>
      <c r="R46" s="748" t="s">
        <v>27691</v>
      </c>
      <c r="S46" s="748" t="s">
        <v>27690</v>
      </c>
    </row>
    <row r="47" spans="1:19" ht="14.45" customHeight="1" x14ac:dyDescent="0.35">
      <c r="A47" s="974" t="s">
        <v>238</v>
      </c>
      <c r="B47" s="974" t="s">
        <v>218</v>
      </c>
      <c r="C47" s="1530" t="s">
        <v>216</v>
      </c>
      <c r="D47" s="1189"/>
      <c r="E47" s="1168">
        <v>0</v>
      </c>
      <c r="F47" s="1169">
        <v>0</v>
      </c>
      <c r="G47" s="1190"/>
      <c r="H47" s="1170">
        <f>IF(FEC=1,'Column 1'!AI43,E47)</f>
        <v>0</v>
      </c>
      <c r="I47" s="1171">
        <f>IF(FEC=1,'Column 1'!AJ43,F47)</f>
        <v>0</v>
      </c>
      <c r="J47" s="1190"/>
      <c r="K47" s="1173">
        <v>0</v>
      </c>
      <c r="L47" s="1174">
        <v>0</v>
      </c>
      <c r="M47" s="1208"/>
      <c r="N47" s="1209">
        <f t="shared" si="2"/>
        <v>0</v>
      </c>
      <c r="O47" s="1210">
        <f t="shared" si="3"/>
        <v>0</v>
      </c>
      <c r="P47" s="1223"/>
      <c r="Q47" s="747" t="s">
        <v>27692</v>
      </c>
      <c r="R47" s="748" t="s">
        <v>27691</v>
      </c>
      <c r="S47" s="748" t="s">
        <v>216</v>
      </c>
    </row>
    <row r="48" spans="1:19" ht="14.45" customHeight="1" x14ac:dyDescent="0.35">
      <c r="A48" s="809" t="s">
        <v>251</v>
      </c>
      <c r="B48" s="808" t="s">
        <v>204</v>
      </c>
      <c r="C48" s="1745" t="s">
        <v>205</v>
      </c>
      <c r="D48" s="1800">
        <v>0</v>
      </c>
      <c r="E48" s="1697">
        <v>0</v>
      </c>
      <c r="F48" s="1698">
        <v>0</v>
      </c>
      <c r="G48" s="1788">
        <f>IF(FEC=1,'Column 1'!AH44,D48)</f>
        <v>0</v>
      </c>
      <c r="H48" s="1686">
        <f>IF(FEC=1,'Column 1'!AI44,E48)</f>
        <v>0</v>
      </c>
      <c r="I48" s="1687">
        <f>IF(FEC=1,'Column 1'!AJ44,F48)</f>
        <v>0</v>
      </c>
      <c r="J48" s="1787">
        <v>0</v>
      </c>
      <c r="K48" s="1684">
        <v>0</v>
      </c>
      <c r="L48" s="1685">
        <v>0</v>
      </c>
      <c r="M48" s="1788">
        <f t="shared" si="1"/>
        <v>0</v>
      </c>
      <c r="N48" s="1686">
        <f t="shared" si="2"/>
        <v>0</v>
      </c>
      <c r="O48" s="1709">
        <f t="shared" si="3"/>
        <v>0</v>
      </c>
      <c r="P48" s="1223"/>
      <c r="Q48" s="747" t="s">
        <v>27693</v>
      </c>
      <c r="R48" s="748" t="s">
        <v>27685</v>
      </c>
      <c r="S48" s="748" t="s">
        <v>27686</v>
      </c>
    </row>
    <row r="49" spans="1:19" ht="14.45" customHeight="1" x14ac:dyDescent="0.35">
      <c r="A49" s="974" t="s">
        <v>251</v>
      </c>
      <c r="B49" s="1178" t="s">
        <v>204</v>
      </c>
      <c r="C49" s="1161" t="s">
        <v>208</v>
      </c>
      <c r="D49" s="1167">
        <v>0</v>
      </c>
      <c r="E49" s="1168">
        <v>0</v>
      </c>
      <c r="F49" s="1169">
        <v>0</v>
      </c>
      <c r="G49" s="1170">
        <f>IF(FEC=1,'Column 1'!AH45,D49)</f>
        <v>0</v>
      </c>
      <c r="H49" s="1170">
        <f>IF(FEC=1,'Column 1'!AI45,E49)</f>
        <v>0</v>
      </c>
      <c r="I49" s="1171">
        <f>IF(FEC=1,'Column 1'!AJ45,F49)</f>
        <v>0</v>
      </c>
      <c r="J49" s="1172">
        <v>0</v>
      </c>
      <c r="K49" s="1173">
        <v>0</v>
      </c>
      <c r="L49" s="1174">
        <v>0</v>
      </c>
      <c r="M49" s="1175">
        <f t="shared" si="1"/>
        <v>0</v>
      </c>
      <c r="N49" s="1170">
        <f t="shared" si="2"/>
        <v>0</v>
      </c>
      <c r="O49" s="1176">
        <f t="shared" si="3"/>
        <v>0</v>
      </c>
      <c r="P49" s="1223"/>
      <c r="Q49" s="747" t="s">
        <v>27693</v>
      </c>
      <c r="R49" s="748" t="s">
        <v>27685</v>
      </c>
      <c r="S49" s="748" t="s">
        <v>27687</v>
      </c>
    </row>
    <row r="50" spans="1:19" ht="14.45" customHeight="1" x14ac:dyDescent="0.35">
      <c r="A50" s="974" t="s">
        <v>251</v>
      </c>
      <c r="B50" s="1178" t="s">
        <v>204</v>
      </c>
      <c r="C50" s="1161" t="s">
        <v>210</v>
      </c>
      <c r="D50" s="1212">
        <v>0</v>
      </c>
      <c r="E50" s="1213">
        <v>0</v>
      </c>
      <c r="F50" s="1214">
        <v>0</v>
      </c>
      <c r="G50" s="1215">
        <f>IF(FEC=1,'Column 1'!AH46,D50)</f>
        <v>0</v>
      </c>
      <c r="H50" s="1216">
        <f>IF(FEC=1,'Column 1'!AI46,E50)</f>
        <v>0</v>
      </c>
      <c r="I50" s="1217">
        <f>IF(FEC=1,'Column 1'!AJ46,F50)</f>
        <v>0</v>
      </c>
      <c r="J50" s="1218">
        <v>0</v>
      </c>
      <c r="K50" s="1219">
        <v>0</v>
      </c>
      <c r="L50" s="1220">
        <v>0</v>
      </c>
      <c r="M50" s="1215">
        <f t="shared" si="1"/>
        <v>0</v>
      </c>
      <c r="N50" s="1216">
        <f t="shared" si="2"/>
        <v>0</v>
      </c>
      <c r="O50" s="1221">
        <f t="shared" si="3"/>
        <v>0</v>
      </c>
      <c r="P50" s="1223"/>
      <c r="Q50" s="747" t="s">
        <v>27693</v>
      </c>
      <c r="R50" s="748" t="s">
        <v>27685</v>
      </c>
      <c r="S50" s="748" t="s">
        <v>27688</v>
      </c>
    </row>
    <row r="51" spans="1:19" ht="14.45" customHeight="1" x14ac:dyDescent="0.35">
      <c r="A51" s="974" t="s">
        <v>251</v>
      </c>
      <c r="B51" s="1178" t="s">
        <v>204</v>
      </c>
      <c r="C51" s="1161" t="s">
        <v>212</v>
      </c>
      <c r="D51" s="1167">
        <v>0</v>
      </c>
      <c r="E51" s="1168">
        <v>0</v>
      </c>
      <c r="F51" s="1169">
        <v>0</v>
      </c>
      <c r="G51" s="1175">
        <f>IF(FEC=1,'Column 1'!AH47,D51)</f>
        <v>0</v>
      </c>
      <c r="H51" s="1170">
        <f>IF(FEC=1,'Column 1'!AI47,E51)</f>
        <v>0</v>
      </c>
      <c r="I51" s="1171">
        <f>IF(FEC=1,'Column 1'!AJ47,F51)</f>
        <v>0</v>
      </c>
      <c r="J51" s="1172">
        <v>0</v>
      </c>
      <c r="K51" s="1173">
        <v>0</v>
      </c>
      <c r="L51" s="1174">
        <v>0</v>
      </c>
      <c r="M51" s="1175">
        <f t="shared" si="1"/>
        <v>0</v>
      </c>
      <c r="N51" s="1170">
        <f t="shared" si="2"/>
        <v>0</v>
      </c>
      <c r="O51" s="1176">
        <f t="shared" si="3"/>
        <v>0</v>
      </c>
      <c r="P51" s="1223"/>
      <c r="Q51" s="747" t="s">
        <v>27693</v>
      </c>
      <c r="R51" s="748" t="s">
        <v>27685</v>
      </c>
      <c r="S51" s="748" t="s">
        <v>27689</v>
      </c>
    </row>
    <row r="52" spans="1:19" ht="14.45" customHeight="1" x14ac:dyDescent="0.35">
      <c r="A52" s="1224" t="s">
        <v>251</v>
      </c>
      <c r="B52" s="1178" t="s">
        <v>204</v>
      </c>
      <c r="C52" s="1161" t="s">
        <v>214</v>
      </c>
      <c r="D52" s="1179">
        <v>0</v>
      </c>
      <c r="E52" s="1180">
        <v>0</v>
      </c>
      <c r="F52" s="1181">
        <v>0</v>
      </c>
      <c r="G52" s="1185">
        <f>IF(FEC=1,'Column 1'!AH48,D52)</f>
        <v>0</v>
      </c>
      <c r="H52" s="1186">
        <f>IF(FEC=1,'Column 1'!AI48,E52)</f>
        <v>0</v>
      </c>
      <c r="I52" s="1222">
        <f>IF(FEC=1,'Column 1'!AJ48,F52)</f>
        <v>0</v>
      </c>
      <c r="J52" s="1182">
        <v>0</v>
      </c>
      <c r="K52" s="1183">
        <v>0</v>
      </c>
      <c r="L52" s="1184">
        <v>0</v>
      </c>
      <c r="M52" s="1185">
        <f t="shared" si="1"/>
        <v>0</v>
      </c>
      <c r="N52" s="1186">
        <f t="shared" si="2"/>
        <v>0</v>
      </c>
      <c r="O52" s="1187">
        <f t="shared" si="3"/>
        <v>0</v>
      </c>
      <c r="P52" s="1223"/>
      <c r="Q52" s="747" t="s">
        <v>27693</v>
      </c>
      <c r="R52" s="748" t="s">
        <v>27685</v>
      </c>
      <c r="S52" s="748" t="s">
        <v>27690</v>
      </c>
    </row>
    <row r="53" spans="1:19" ht="14.45" customHeight="1" x14ac:dyDescent="0.35">
      <c r="A53" s="1224" t="s">
        <v>251</v>
      </c>
      <c r="B53" s="1178" t="s">
        <v>204</v>
      </c>
      <c r="C53" s="1531" t="s">
        <v>216</v>
      </c>
      <c r="D53" s="1189"/>
      <c r="E53" s="1168">
        <v>0</v>
      </c>
      <c r="F53" s="1169">
        <v>0</v>
      </c>
      <c r="G53" s="1190"/>
      <c r="H53" s="1170">
        <f>IF(FEC=1,'Column 1'!AI49,E53)</f>
        <v>0</v>
      </c>
      <c r="I53" s="1171">
        <f>IF(FEC=1,'Column 1'!AJ49,F53)</f>
        <v>0</v>
      </c>
      <c r="J53" s="1190"/>
      <c r="K53" s="1173">
        <v>0</v>
      </c>
      <c r="L53" s="1174">
        <v>0</v>
      </c>
      <c r="M53" s="1191"/>
      <c r="N53" s="1186">
        <f t="shared" si="2"/>
        <v>0</v>
      </c>
      <c r="O53" s="1187">
        <f t="shared" si="3"/>
        <v>0</v>
      </c>
      <c r="P53" s="1223"/>
      <c r="Q53" s="747" t="s">
        <v>27693</v>
      </c>
      <c r="R53" s="748" t="s">
        <v>27685</v>
      </c>
      <c r="S53" s="748" t="s">
        <v>216</v>
      </c>
    </row>
    <row r="54" spans="1:19" ht="14.45" customHeight="1" x14ac:dyDescent="0.35">
      <c r="A54" s="974" t="s">
        <v>251</v>
      </c>
      <c r="B54" s="739" t="s">
        <v>218</v>
      </c>
      <c r="C54" s="1161" t="s">
        <v>205</v>
      </c>
      <c r="D54" s="1192">
        <v>0</v>
      </c>
      <c r="E54" s="1193">
        <v>0</v>
      </c>
      <c r="F54" s="1194">
        <v>0</v>
      </c>
      <c r="G54" s="1195">
        <f>IF(FEC=1,'Column 1'!AH50,D54)</f>
        <v>0</v>
      </c>
      <c r="H54" s="1196">
        <f>IF(FEC=1,'Column 1'!AI50,E54)</f>
        <v>0</v>
      </c>
      <c r="I54" s="1197">
        <f>IF(FEC=1,'Column 1'!AJ50,F54)</f>
        <v>0</v>
      </c>
      <c r="J54" s="1198">
        <v>0</v>
      </c>
      <c r="K54" s="1199">
        <v>0</v>
      </c>
      <c r="L54" s="1200">
        <v>0</v>
      </c>
      <c r="M54" s="1204">
        <f t="shared" si="1"/>
        <v>0</v>
      </c>
      <c r="N54" s="1205">
        <f t="shared" si="2"/>
        <v>0</v>
      </c>
      <c r="O54" s="1206">
        <f t="shared" si="3"/>
        <v>0</v>
      </c>
      <c r="P54" s="1223"/>
      <c r="Q54" s="747" t="s">
        <v>27693</v>
      </c>
      <c r="R54" s="748" t="s">
        <v>27691</v>
      </c>
      <c r="S54" s="748" t="s">
        <v>27686</v>
      </c>
    </row>
    <row r="55" spans="1:19" ht="14.45" customHeight="1" x14ac:dyDescent="0.35">
      <c r="A55" s="974" t="s">
        <v>251</v>
      </c>
      <c r="B55" s="974" t="s">
        <v>218</v>
      </c>
      <c r="C55" s="1161" t="s">
        <v>208</v>
      </c>
      <c r="D55" s="1167">
        <v>0</v>
      </c>
      <c r="E55" s="1168">
        <v>0</v>
      </c>
      <c r="F55" s="1169">
        <v>0</v>
      </c>
      <c r="G55" s="1170">
        <f>IF(FEC=1,'Column 1'!AH51,D55)</f>
        <v>0</v>
      </c>
      <c r="H55" s="1170">
        <f>IF(FEC=1,'Column 1'!AI51,E55)</f>
        <v>0</v>
      </c>
      <c r="I55" s="1171">
        <f>IF(FEC=1,'Column 1'!AJ51,F55)</f>
        <v>0</v>
      </c>
      <c r="J55" s="1172">
        <v>0</v>
      </c>
      <c r="K55" s="1173">
        <v>0</v>
      </c>
      <c r="L55" s="1174">
        <v>0</v>
      </c>
      <c r="M55" s="1175">
        <f t="shared" si="1"/>
        <v>0</v>
      </c>
      <c r="N55" s="1170">
        <f t="shared" si="2"/>
        <v>0</v>
      </c>
      <c r="O55" s="1176">
        <f t="shared" si="3"/>
        <v>0</v>
      </c>
      <c r="P55" s="1223"/>
      <c r="Q55" s="747" t="s">
        <v>27693</v>
      </c>
      <c r="R55" s="748" t="s">
        <v>27691</v>
      </c>
      <c r="S55" s="748" t="s">
        <v>27687</v>
      </c>
    </row>
    <row r="56" spans="1:19" ht="14.45" customHeight="1" x14ac:dyDescent="0.35">
      <c r="A56" s="974" t="s">
        <v>251</v>
      </c>
      <c r="B56" s="974" t="s">
        <v>218</v>
      </c>
      <c r="C56" s="1161" t="s">
        <v>210</v>
      </c>
      <c r="D56" s="1212">
        <v>0</v>
      </c>
      <c r="E56" s="1213">
        <v>0</v>
      </c>
      <c r="F56" s="1214">
        <v>0</v>
      </c>
      <c r="G56" s="1215">
        <f>IF(FEC=1,'Column 1'!AH52,D56)</f>
        <v>0</v>
      </c>
      <c r="H56" s="1216">
        <f>IF(FEC=1,'Column 1'!AI52,E56)</f>
        <v>0</v>
      </c>
      <c r="I56" s="1217">
        <f>IF(FEC=1,'Column 1'!AJ52,F56)</f>
        <v>0</v>
      </c>
      <c r="J56" s="1218">
        <v>0</v>
      </c>
      <c r="K56" s="1219">
        <v>0</v>
      </c>
      <c r="L56" s="1220">
        <v>0</v>
      </c>
      <c r="M56" s="1215">
        <f t="shared" si="1"/>
        <v>0</v>
      </c>
      <c r="N56" s="1216">
        <f t="shared" si="2"/>
        <v>0</v>
      </c>
      <c r="O56" s="1221">
        <f t="shared" si="3"/>
        <v>0</v>
      </c>
      <c r="P56" s="1223"/>
      <c r="Q56" s="747" t="s">
        <v>27693</v>
      </c>
      <c r="R56" s="748" t="s">
        <v>27691</v>
      </c>
      <c r="S56" s="748" t="s">
        <v>27688</v>
      </c>
    </row>
    <row r="57" spans="1:19" ht="14.45" customHeight="1" x14ac:dyDescent="0.35">
      <c r="A57" s="974" t="s">
        <v>251</v>
      </c>
      <c r="B57" s="974" t="s">
        <v>218</v>
      </c>
      <c r="C57" s="1161" t="s">
        <v>212</v>
      </c>
      <c r="D57" s="1167">
        <v>0</v>
      </c>
      <c r="E57" s="1168">
        <v>0</v>
      </c>
      <c r="F57" s="1169">
        <v>0</v>
      </c>
      <c r="G57" s="1175">
        <f>IF(FEC=1,'Column 1'!AH53,D57)</f>
        <v>0</v>
      </c>
      <c r="H57" s="1170">
        <f>IF(FEC=1,'Column 1'!AI53,E57)</f>
        <v>0</v>
      </c>
      <c r="I57" s="1171">
        <f>IF(FEC=1,'Column 1'!AJ53,F57)</f>
        <v>0</v>
      </c>
      <c r="J57" s="1172">
        <v>0</v>
      </c>
      <c r="K57" s="1173">
        <v>0</v>
      </c>
      <c r="L57" s="1174">
        <v>0</v>
      </c>
      <c r="M57" s="1175">
        <f t="shared" si="1"/>
        <v>0</v>
      </c>
      <c r="N57" s="1170">
        <f t="shared" si="2"/>
        <v>0</v>
      </c>
      <c r="O57" s="1176">
        <f t="shared" si="3"/>
        <v>0</v>
      </c>
      <c r="P57" s="1223"/>
      <c r="Q57" s="747" t="s">
        <v>27693</v>
      </c>
      <c r="R57" s="748" t="s">
        <v>27691</v>
      </c>
      <c r="S57" s="748" t="s">
        <v>27689</v>
      </c>
    </row>
    <row r="58" spans="1:19" ht="14.45" customHeight="1" x14ac:dyDescent="0.35">
      <c r="A58" s="974" t="s">
        <v>251</v>
      </c>
      <c r="B58" s="974" t="s">
        <v>218</v>
      </c>
      <c r="C58" s="1161" t="s">
        <v>214</v>
      </c>
      <c r="D58" s="1167">
        <v>0</v>
      </c>
      <c r="E58" s="1168">
        <v>0</v>
      </c>
      <c r="F58" s="1169">
        <v>0</v>
      </c>
      <c r="G58" s="1175">
        <f>IF(FEC=1,'Column 1'!AH54,D58)</f>
        <v>0</v>
      </c>
      <c r="H58" s="1170">
        <f>IF(FEC=1,'Column 1'!AI54,E58)</f>
        <v>0</v>
      </c>
      <c r="I58" s="1171">
        <f>IF(FEC=1,'Column 1'!AJ54,F58)</f>
        <v>0</v>
      </c>
      <c r="J58" s="1172">
        <v>0</v>
      </c>
      <c r="K58" s="1173">
        <v>0</v>
      </c>
      <c r="L58" s="1174">
        <v>0</v>
      </c>
      <c r="M58" s="1175">
        <f t="shared" si="1"/>
        <v>0</v>
      </c>
      <c r="N58" s="1170">
        <f t="shared" si="2"/>
        <v>0</v>
      </c>
      <c r="O58" s="1176">
        <f t="shared" si="3"/>
        <v>0</v>
      </c>
      <c r="P58" s="1223"/>
      <c r="Q58" s="747" t="s">
        <v>27693</v>
      </c>
      <c r="R58" s="748" t="s">
        <v>27691</v>
      </c>
      <c r="S58" s="748" t="s">
        <v>27690</v>
      </c>
    </row>
    <row r="59" spans="1:19" ht="14.45" customHeight="1" x14ac:dyDescent="0.35">
      <c r="A59" s="974" t="s">
        <v>251</v>
      </c>
      <c r="B59" s="974" t="s">
        <v>218</v>
      </c>
      <c r="C59" s="1530" t="s">
        <v>216</v>
      </c>
      <c r="D59" s="1189"/>
      <c r="E59" s="1168">
        <v>0</v>
      </c>
      <c r="F59" s="1169">
        <v>0</v>
      </c>
      <c r="G59" s="1190"/>
      <c r="H59" s="1170">
        <f>IF(FEC=1,'Column 1'!AI55,E59)</f>
        <v>0</v>
      </c>
      <c r="I59" s="1171">
        <f>IF(FEC=1,'Column 1'!AJ55,F59)</f>
        <v>0</v>
      </c>
      <c r="J59" s="1190"/>
      <c r="K59" s="1173">
        <v>0</v>
      </c>
      <c r="L59" s="1174">
        <v>0</v>
      </c>
      <c r="M59" s="1208"/>
      <c r="N59" s="1209">
        <f t="shared" si="2"/>
        <v>0</v>
      </c>
      <c r="O59" s="1210">
        <f t="shared" si="3"/>
        <v>0</v>
      </c>
      <c r="P59" s="1223"/>
      <c r="Q59" s="747" t="s">
        <v>27693</v>
      </c>
      <c r="R59" s="748" t="s">
        <v>27691</v>
      </c>
      <c r="S59" s="748" t="s">
        <v>216</v>
      </c>
    </row>
    <row r="60" spans="1:19" ht="14.45" customHeight="1" x14ac:dyDescent="0.35">
      <c r="A60" s="809" t="s">
        <v>264</v>
      </c>
      <c r="B60" s="808" t="s">
        <v>204</v>
      </c>
      <c r="C60" s="1745" t="s">
        <v>205</v>
      </c>
      <c r="D60" s="1800">
        <v>0</v>
      </c>
      <c r="E60" s="1697">
        <v>0</v>
      </c>
      <c r="F60" s="1698">
        <v>0</v>
      </c>
      <c r="G60" s="1788">
        <f>IF(FEC=1,'Column 1'!AH56,D60)</f>
        <v>0</v>
      </c>
      <c r="H60" s="1686">
        <f>IF(FEC=1,'Column 1'!AI56,E60)</f>
        <v>0</v>
      </c>
      <c r="I60" s="1687">
        <f>IF(FEC=1,'Column 1'!AJ56,F60)</f>
        <v>0</v>
      </c>
      <c r="J60" s="1787">
        <v>0</v>
      </c>
      <c r="K60" s="1684">
        <v>0</v>
      </c>
      <c r="L60" s="1685">
        <v>0</v>
      </c>
      <c r="M60" s="1788">
        <f t="shared" si="1"/>
        <v>0</v>
      </c>
      <c r="N60" s="1686">
        <f t="shared" si="2"/>
        <v>0</v>
      </c>
      <c r="O60" s="1709">
        <f t="shared" si="3"/>
        <v>0</v>
      </c>
      <c r="P60" s="1223"/>
      <c r="Q60" s="747" t="s">
        <v>264</v>
      </c>
      <c r="R60" s="748" t="s">
        <v>27685</v>
      </c>
      <c r="S60" s="748" t="s">
        <v>27686</v>
      </c>
    </row>
    <row r="61" spans="1:19" ht="14.45" customHeight="1" x14ac:dyDescent="0.35">
      <c r="A61" s="974" t="s">
        <v>264</v>
      </c>
      <c r="B61" s="1178" t="s">
        <v>204</v>
      </c>
      <c r="C61" s="1161" t="s">
        <v>208</v>
      </c>
      <c r="D61" s="1167">
        <v>0</v>
      </c>
      <c r="E61" s="1168">
        <v>0</v>
      </c>
      <c r="F61" s="1169">
        <v>0</v>
      </c>
      <c r="G61" s="1170">
        <f>IF(FEC=1,'Column 1'!AH57,D61)</f>
        <v>0</v>
      </c>
      <c r="H61" s="1170">
        <f>IF(FEC=1,'Column 1'!AI57,E61)</f>
        <v>0</v>
      </c>
      <c r="I61" s="1171">
        <f>IF(FEC=1,'Column 1'!AJ57,F61)</f>
        <v>0</v>
      </c>
      <c r="J61" s="1172">
        <v>0</v>
      </c>
      <c r="K61" s="1173">
        <v>0</v>
      </c>
      <c r="L61" s="1174">
        <v>0</v>
      </c>
      <c r="M61" s="1175">
        <f t="shared" si="1"/>
        <v>0</v>
      </c>
      <c r="N61" s="1170">
        <f t="shared" si="2"/>
        <v>0</v>
      </c>
      <c r="O61" s="1176">
        <f t="shared" si="3"/>
        <v>0</v>
      </c>
      <c r="P61" s="1223"/>
      <c r="Q61" s="747" t="s">
        <v>264</v>
      </c>
      <c r="R61" s="748" t="s">
        <v>27685</v>
      </c>
      <c r="S61" s="748" t="s">
        <v>27687</v>
      </c>
    </row>
    <row r="62" spans="1:19" ht="14.45" customHeight="1" x14ac:dyDescent="0.35">
      <c r="A62" s="974" t="s">
        <v>264</v>
      </c>
      <c r="B62" s="1178" t="s">
        <v>204</v>
      </c>
      <c r="C62" s="1161" t="s">
        <v>210</v>
      </c>
      <c r="D62" s="1212">
        <v>0</v>
      </c>
      <c r="E62" s="1213">
        <v>0</v>
      </c>
      <c r="F62" s="1214">
        <v>0</v>
      </c>
      <c r="G62" s="1215">
        <f>IF(FEC=1,'Column 1'!AH58,D62)</f>
        <v>0</v>
      </c>
      <c r="H62" s="1216">
        <f>IF(FEC=1,'Column 1'!AI58,E62)</f>
        <v>0</v>
      </c>
      <c r="I62" s="1217">
        <f>IF(FEC=1,'Column 1'!AJ58,F62)</f>
        <v>0</v>
      </c>
      <c r="J62" s="1218">
        <v>0</v>
      </c>
      <c r="K62" s="1219">
        <v>0</v>
      </c>
      <c r="L62" s="1220">
        <v>0</v>
      </c>
      <c r="M62" s="1215">
        <f t="shared" si="1"/>
        <v>0</v>
      </c>
      <c r="N62" s="1216">
        <f t="shared" si="2"/>
        <v>0</v>
      </c>
      <c r="O62" s="1221">
        <f t="shared" si="3"/>
        <v>0</v>
      </c>
      <c r="P62" s="1223"/>
      <c r="Q62" s="747" t="s">
        <v>264</v>
      </c>
      <c r="R62" s="748" t="s">
        <v>27685</v>
      </c>
      <c r="S62" s="748" t="s">
        <v>27688</v>
      </c>
    </row>
    <row r="63" spans="1:19" ht="14.45" customHeight="1" x14ac:dyDescent="0.35">
      <c r="A63" s="974" t="s">
        <v>264</v>
      </c>
      <c r="B63" s="1178" t="s">
        <v>204</v>
      </c>
      <c r="C63" s="1161" t="s">
        <v>212</v>
      </c>
      <c r="D63" s="1167">
        <v>0</v>
      </c>
      <c r="E63" s="1168">
        <v>0</v>
      </c>
      <c r="F63" s="1169">
        <v>0</v>
      </c>
      <c r="G63" s="1175">
        <f>IF(FEC=1,'Column 1'!AH59,D63)</f>
        <v>0</v>
      </c>
      <c r="H63" s="1170">
        <f>IF(FEC=1,'Column 1'!AI59,E63)</f>
        <v>0</v>
      </c>
      <c r="I63" s="1171">
        <f>IF(FEC=1,'Column 1'!AJ59,F63)</f>
        <v>0</v>
      </c>
      <c r="J63" s="1172">
        <v>0</v>
      </c>
      <c r="K63" s="1173">
        <v>0</v>
      </c>
      <c r="L63" s="1174">
        <v>0</v>
      </c>
      <c r="M63" s="1175">
        <f t="shared" si="1"/>
        <v>0</v>
      </c>
      <c r="N63" s="1170">
        <f t="shared" si="2"/>
        <v>0</v>
      </c>
      <c r="O63" s="1176">
        <f t="shared" si="3"/>
        <v>0</v>
      </c>
      <c r="P63" s="1223"/>
      <c r="Q63" s="747" t="s">
        <v>264</v>
      </c>
      <c r="R63" s="748" t="s">
        <v>27685</v>
      </c>
      <c r="S63" s="748" t="s">
        <v>27689</v>
      </c>
    </row>
    <row r="64" spans="1:19" ht="14.45" customHeight="1" x14ac:dyDescent="0.35">
      <c r="A64" s="1224" t="s">
        <v>264</v>
      </c>
      <c r="B64" s="1178" t="s">
        <v>204</v>
      </c>
      <c r="C64" s="1161" t="s">
        <v>214</v>
      </c>
      <c r="D64" s="1179">
        <v>0</v>
      </c>
      <c r="E64" s="1180">
        <v>0</v>
      </c>
      <c r="F64" s="1181">
        <v>0</v>
      </c>
      <c r="G64" s="1185">
        <f>IF(FEC=1,'Column 1'!AH60,D64)</f>
        <v>0</v>
      </c>
      <c r="H64" s="1186">
        <f>IF(FEC=1,'Column 1'!AI60,E64)</f>
        <v>0</v>
      </c>
      <c r="I64" s="1222">
        <f>IF(FEC=1,'Column 1'!AJ60,F64)</f>
        <v>0</v>
      </c>
      <c r="J64" s="1182">
        <v>0</v>
      </c>
      <c r="K64" s="1183">
        <v>0</v>
      </c>
      <c r="L64" s="1184">
        <v>0</v>
      </c>
      <c r="M64" s="1185">
        <f t="shared" si="1"/>
        <v>0</v>
      </c>
      <c r="N64" s="1186">
        <f t="shared" si="2"/>
        <v>0</v>
      </c>
      <c r="O64" s="1187">
        <f t="shared" si="3"/>
        <v>0</v>
      </c>
      <c r="P64" s="1223"/>
      <c r="Q64" s="747" t="s">
        <v>264</v>
      </c>
      <c r="R64" s="748" t="s">
        <v>27685</v>
      </c>
      <c r="S64" s="748" t="s">
        <v>27690</v>
      </c>
    </row>
    <row r="65" spans="1:19" ht="14.45" customHeight="1" x14ac:dyDescent="0.35">
      <c r="A65" s="1224" t="s">
        <v>264</v>
      </c>
      <c r="B65" s="1178" t="s">
        <v>204</v>
      </c>
      <c r="C65" s="1531" t="s">
        <v>216</v>
      </c>
      <c r="D65" s="1189"/>
      <c r="E65" s="1168">
        <v>0</v>
      </c>
      <c r="F65" s="1169">
        <v>0</v>
      </c>
      <c r="G65" s="1190"/>
      <c r="H65" s="1170">
        <f>IF(FEC=1,'Column 1'!AI61,E65)</f>
        <v>0</v>
      </c>
      <c r="I65" s="1171">
        <f>IF(FEC=1,'Column 1'!AJ61,F65)</f>
        <v>0</v>
      </c>
      <c r="J65" s="1190"/>
      <c r="K65" s="1173">
        <v>0</v>
      </c>
      <c r="L65" s="1174">
        <v>0</v>
      </c>
      <c r="M65" s="1191"/>
      <c r="N65" s="1186">
        <f t="shared" si="2"/>
        <v>0</v>
      </c>
      <c r="O65" s="1187">
        <f t="shared" si="3"/>
        <v>0</v>
      </c>
      <c r="P65" s="1223"/>
      <c r="Q65" s="747" t="s">
        <v>264</v>
      </c>
      <c r="R65" s="748" t="s">
        <v>27685</v>
      </c>
      <c r="S65" s="748" t="s">
        <v>216</v>
      </c>
    </row>
    <row r="66" spans="1:19" ht="14.45" customHeight="1" x14ac:dyDescent="0.35">
      <c r="A66" s="974" t="s">
        <v>264</v>
      </c>
      <c r="B66" s="739" t="s">
        <v>218</v>
      </c>
      <c r="C66" s="1161" t="s">
        <v>205</v>
      </c>
      <c r="D66" s="1192">
        <v>0</v>
      </c>
      <c r="E66" s="1193">
        <v>0</v>
      </c>
      <c r="F66" s="1194">
        <v>0</v>
      </c>
      <c r="G66" s="1195">
        <f>IF(FEC=1,'Column 1'!AH62,D66)</f>
        <v>0</v>
      </c>
      <c r="H66" s="1196">
        <f>IF(FEC=1,'Column 1'!AI62,E66)</f>
        <v>0</v>
      </c>
      <c r="I66" s="1197">
        <f>IF(FEC=1,'Column 1'!AJ62,F66)</f>
        <v>0</v>
      </c>
      <c r="J66" s="1198">
        <v>0</v>
      </c>
      <c r="K66" s="1199">
        <v>0</v>
      </c>
      <c r="L66" s="1200">
        <v>0</v>
      </c>
      <c r="M66" s="1204">
        <f t="shared" si="1"/>
        <v>0</v>
      </c>
      <c r="N66" s="1205">
        <f t="shared" si="2"/>
        <v>0</v>
      </c>
      <c r="O66" s="1206">
        <f t="shared" si="3"/>
        <v>0</v>
      </c>
      <c r="P66" s="1223"/>
      <c r="Q66" s="747" t="s">
        <v>264</v>
      </c>
      <c r="R66" s="748" t="s">
        <v>27691</v>
      </c>
      <c r="S66" s="748" t="s">
        <v>27686</v>
      </c>
    </row>
    <row r="67" spans="1:19" ht="14.45" customHeight="1" x14ac:dyDescent="0.35">
      <c r="A67" s="974" t="s">
        <v>264</v>
      </c>
      <c r="B67" s="974" t="s">
        <v>218</v>
      </c>
      <c r="C67" s="1161" t="s">
        <v>208</v>
      </c>
      <c r="D67" s="1167">
        <v>0</v>
      </c>
      <c r="E67" s="1168">
        <v>0</v>
      </c>
      <c r="F67" s="1169">
        <v>0</v>
      </c>
      <c r="G67" s="1170">
        <f>IF(FEC=1,'Column 1'!AH63,D67)</f>
        <v>0</v>
      </c>
      <c r="H67" s="1170">
        <f>IF(FEC=1,'Column 1'!AI63,E67)</f>
        <v>0</v>
      </c>
      <c r="I67" s="1171">
        <f>IF(FEC=1,'Column 1'!AJ63,F67)</f>
        <v>0</v>
      </c>
      <c r="J67" s="1172">
        <v>0</v>
      </c>
      <c r="K67" s="1173">
        <v>0</v>
      </c>
      <c r="L67" s="1174">
        <v>0</v>
      </c>
      <c r="M67" s="1175">
        <f t="shared" si="1"/>
        <v>0</v>
      </c>
      <c r="N67" s="1170">
        <f t="shared" si="2"/>
        <v>0</v>
      </c>
      <c r="O67" s="1176">
        <f t="shared" si="3"/>
        <v>0</v>
      </c>
      <c r="P67" s="1223"/>
      <c r="Q67" s="747" t="s">
        <v>264</v>
      </c>
      <c r="R67" s="748" t="s">
        <v>27691</v>
      </c>
      <c r="S67" s="748" t="s">
        <v>27687</v>
      </c>
    </row>
    <row r="68" spans="1:19" ht="14.45" customHeight="1" x14ac:dyDescent="0.35">
      <c r="A68" s="974" t="s">
        <v>264</v>
      </c>
      <c r="B68" s="974" t="s">
        <v>218</v>
      </c>
      <c r="C68" s="1161" t="s">
        <v>210</v>
      </c>
      <c r="D68" s="1212">
        <v>0</v>
      </c>
      <c r="E68" s="1213">
        <v>0</v>
      </c>
      <c r="F68" s="1214">
        <v>0</v>
      </c>
      <c r="G68" s="1215">
        <f>IF(FEC=1,'Column 1'!AH64,D68)</f>
        <v>0</v>
      </c>
      <c r="H68" s="1216">
        <f>IF(FEC=1,'Column 1'!AI64,E68)</f>
        <v>0</v>
      </c>
      <c r="I68" s="1217">
        <f>IF(FEC=1,'Column 1'!AJ64,F68)</f>
        <v>0</v>
      </c>
      <c r="J68" s="1218">
        <v>0</v>
      </c>
      <c r="K68" s="1219">
        <v>0</v>
      </c>
      <c r="L68" s="1220">
        <v>0</v>
      </c>
      <c r="M68" s="1215">
        <f t="shared" si="1"/>
        <v>0</v>
      </c>
      <c r="N68" s="1216">
        <f t="shared" si="2"/>
        <v>0</v>
      </c>
      <c r="O68" s="1221">
        <f t="shared" si="3"/>
        <v>0</v>
      </c>
      <c r="P68" s="1223"/>
      <c r="Q68" s="747" t="s">
        <v>264</v>
      </c>
      <c r="R68" s="748" t="s">
        <v>27691</v>
      </c>
      <c r="S68" s="748" t="s">
        <v>27688</v>
      </c>
    </row>
    <row r="69" spans="1:19" ht="14.45" customHeight="1" x14ac:dyDescent="0.35">
      <c r="A69" s="974" t="s">
        <v>264</v>
      </c>
      <c r="B69" s="974" t="s">
        <v>218</v>
      </c>
      <c r="C69" s="1161" t="s">
        <v>212</v>
      </c>
      <c r="D69" s="1167">
        <v>0</v>
      </c>
      <c r="E69" s="1168">
        <v>0</v>
      </c>
      <c r="F69" s="1169">
        <v>0</v>
      </c>
      <c r="G69" s="1175">
        <f>IF(FEC=1,'Column 1'!AH65,D69)</f>
        <v>0</v>
      </c>
      <c r="H69" s="1170">
        <f>IF(FEC=1,'Column 1'!AI65,E69)</f>
        <v>0</v>
      </c>
      <c r="I69" s="1171">
        <f>IF(FEC=1,'Column 1'!AJ65,F69)</f>
        <v>0</v>
      </c>
      <c r="J69" s="1172">
        <v>0</v>
      </c>
      <c r="K69" s="1173">
        <v>0</v>
      </c>
      <c r="L69" s="1174">
        <v>0</v>
      </c>
      <c r="M69" s="1175">
        <f t="shared" si="1"/>
        <v>0</v>
      </c>
      <c r="N69" s="1170">
        <f t="shared" si="2"/>
        <v>0</v>
      </c>
      <c r="O69" s="1176">
        <f t="shared" si="3"/>
        <v>0</v>
      </c>
      <c r="P69" s="1223"/>
      <c r="Q69" s="747" t="s">
        <v>264</v>
      </c>
      <c r="R69" s="748" t="s">
        <v>27691</v>
      </c>
      <c r="S69" s="748" t="s">
        <v>27689</v>
      </c>
    </row>
    <row r="70" spans="1:19" ht="14.45" customHeight="1" x14ac:dyDescent="0.35">
      <c r="A70" s="974" t="s">
        <v>264</v>
      </c>
      <c r="B70" s="974" t="s">
        <v>218</v>
      </c>
      <c r="C70" s="1161" t="s">
        <v>214</v>
      </c>
      <c r="D70" s="1167">
        <v>0</v>
      </c>
      <c r="E70" s="1168">
        <v>0</v>
      </c>
      <c r="F70" s="1169">
        <v>0</v>
      </c>
      <c r="G70" s="1175">
        <f>IF(FEC=1,'Column 1'!AH66,D70)</f>
        <v>0</v>
      </c>
      <c r="H70" s="1170">
        <f>IF(FEC=1,'Column 1'!AI66,E70)</f>
        <v>0</v>
      </c>
      <c r="I70" s="1171">
        <f>IF(FEC=1,'Column 1'!AJ66,F70)</f>
        <v>0</v>
      </c>
      <c r="J70" s="1172">
        <v>0</v>
      </c>
      <c r="K70" s="1173">
        <v>0</v>
      </c>
      <c r="L70" s="1174">
        <v>0</v>
      </c>
      <c r="M70" s="1175">
        <f t="shared" si="1"/>
        <v>0</v>
      </c>
      <c r="N70" s="1170">
        <f t="shared" si="2"/>
        <v>0</v>
      </c>
      <c r="O70" s="1176">
        <f t="shared" si="3"/>
        <v>0</v>
      </c>
      <c r="P70" s="1223"/>
      <c r="Q70" s="747" t="s">
        <v>264</v>
      </c>
      <c r="R70" s="748" t="s">
        <v>27691</v>
      </c>
      <c r="S70" s="748" t="s">
        <v>27690</v>
      </c>
    </row>
    <row r="71" spans="1:19" ht="14.45" customHeight="1" x14ac:dyDescent="0.35">
      <c r="A71" s="974" t="s">
        <v>264</v>
      </c>
      <c r="B71" s="974" t="s">
        <v>218</v>
      </c>
      <c r="C71" s="1530" t="s">
        <v>216</v>
      </c>
      <c r="D71" s="1189"/>
      <c r="E71" s="1168">
        <v>0</v>
      </c>
      <c r="F71" s="1169">
        <v>0</v>
      </c>
      <c r="G71" s="1190"/>
      <c r="H71" s="1170">
        <f>IF(FEC=1,'Column 1'!AI67,E71)</f>
        <v>0</v>
      </c>
      <c r="I71" s="1171">
        <f>IF(FEC=1,'Column 1'!AJ67,F71)</f>
        <v>0</v>
      </c>
      <c r="J71" s="1190"/>
      <c r="K71" s="1173">
        <v>0</v>
      </c>
      <c r="L71" s="1174">
        <v>0</v>
      </c>
      <c r="M71" s="1208"/>
      <c r="N71" s="1209">
        <f t="shared" si="2"/>
        <v>0</v>
      </c>
      <c r="O71" s="1210">
        <f t="shared" si="3"/>
        <v>0</v>
      </c>
      <c r="P71" s="1223"/>
      <c r="Q71" s="747" t="s">
        <v>264</v>
      </c>
      <c r="R71" s="748" t="s">
        <v>27691</v>
      </c>
      <c r="S71" s="748" t="s">
        <v>216</v>
      </c>
    </row>
    <row r="72" spans="1:19" ht="14.45" customHeight="1" x14ac:dyDescent="0.35">
      <c r="A72" s="809" t="s">
        <v>277</v>
      </c>
      <c r="B72" s="808" t="s">
        <v>204</v>
      </c>
      <c r="C72" s="1745" t="s">
        <v>205</v>
      </c>
      <c r="D72" s="1800">
        <v>0</v>
      </c>
      <c r="E72" s="1697">
        <v>0</v>
      </c>
      <c r="F72" s="1698">
        <v>0</v>
      </c>
      <c r="G72" s="1788">
        <f>IF(FEC=1,'Column 1'!AH68,D72)</f>
        <v>0</v>
      </c>
      <c r="H72" s="1686">
        <f>IF(FEC=1,'Column 1'!AI68,E72)</f>
        <v>0</v>
      </c>
      <c r="I72" s="1687">
        <f>IF(FEC=1,'Column 1'!AJ68,F72)</f>
        <v>0</v>
      </c>
      <c r="J72" s="1787">
        <v>0</v>
      </c>
      <c r="K72" s="1684">
        <v>0</v>
      </c>
      <c r="L72" s="1685">
        <v>0</v>
      </c>
      <c r="M72" s="1788">
        <f t="shared" si="1"/>
        <v>0</v>
      </c>
      <c r="N72" s="1686">
        <f t="shared" si="2"/>
        <v>0</v>
      </c>
      <c r="O72" s="1709">
        <f t="shared" si="3"/>
        <v>0</v>
      </c>
      <c r="P72" s="1223"/>
      <c r="Q72" s="747" t="s">
        <v>277</v>
      </c>
      <c r="R72" s="748" t="s">
        <v>27685</v>
      </c>
      <c r="S72" s="748" t="s">
        <v>27686</v>
      </c>
    </row>
    <row r="73" spans="1:19" ht="14.45" customHeight="1" x14ac:dyDescent="0.35">
      <c r="A73" s="974" t="s">
        <v>277</v>
      </c>
      <c r="B73" s="1178" t="s">
        <v>204</v>
      </c>
      <c r="C73" s="1161" t="s">
        <v>208</v>
      </c>
      <c r="D73" s="1167">
        <v>0</v>
      </c>
      <c r="E73" s="1168">
        <v>0</v>
      </c>
      <c r="F73" s="1169">
        <v>0</v>
      </c>
      <c r="G73" s="1170">
        <f>IF(FEC=1,'Column 1'!AH69,D73)</f>
        <v>0</v>
      </c>
      <c r="H73" s="1170">
        <f>IF(FEC=1,'Column 1'!AI69,E73)</f>
        <v>0</v>
      </c>
      <c r="I73" s="1171">
        <f>IF(FEC=1,'Column 1'!AJ69,F73)</f>
        <v>0</v>
      </c>
      <c r="J73" s="1172">
        <v>0</v>
      </c>
      <c r="K73" s="1173">
        <v>0</v>
      </c>
      <c r="L73" s="1174">
        <v>0</v>
      </c>
      <c r="M73" s="1175">
        <f t="shared" si="1"/>
        <v>0</v>
      </c>
      <c r="N73" s="1170">
        <f t="shared" si="2"/>
        <v>0</v>
      </c>
      <c r="O73" s="1176">
        <f t="shared" si="3"/>
        <v>0</v>
      </c>
      <c r="P73" s="1223"/>
      <c r="Q73" s="747" t="s">
        <v>277</v>
      </c>
      <c r="R73" s="748" t="s">
        <v>27685</v>
      </c>
      <c r="S73" s="748" t="s">
        <v>27687</v>
      </c>
    </row>
    <row r="74" spans="1:19" ht="14.45" customHeight="1" x14ac:dyDescent="0.35">
      <c r="A74" s="974" t="s">
        <v>277</v>
      </c>
      <c r="B74" s="1178" t="s">
        <v>204</v>
      </c>
      <c r="C74" s="1161" t="s">
        <v>210</v>
      </c>
      <c r="D74" s="1212">
        <v>0</v>
      </c>
      <c r="E74" s="1213">
        <v>0</v>
      </c>
      <c r="F74" s="1214">
        <v>0</v>
      </c>
      <c r="G74" s="1215">
        <f>IF(FEC=1,'Column 1'!AH70,D74)</f>
        <v>0</v>
      </c>
      <c r="H74" s="1216">
        <f>IF(FEC=1,'Column 1'!AI70,E74)</f>
        <v>0</v>
      </c>
      <c r="I74" s="1217">
        <f>IF(FEC=1,'Column 1'!AJ70,F74)</f>
        <v>0</v>
      </c>
      <c r="J74" s="1218">
        <v>0</v>
      </c>
      <c r="K74" s="1219">
        <v>0</v>
      </c>
      <c r="L74" s="1220">
        <v>0</v>
      </c>
      <c r="M74" s="1215">
        <f t="shared" si="1"/>
        <v>0</v>
      </c>
      <c r="N74" s="1216">
        <f t="shared" si="2"/>
        <v>0</v>
      </c>
      <c r="O74" s="1221">
        <f t="shared" si="3"/>
        <v>0</v>
      </c>
      <c r="P74" s="1223"/>
      <c r="Q74" s="747" t="s">
        <v>277</v>
      </c>
      <c r="R74" s="748" t="s">
        <v>27685</v>
      </c>
      <c r="S74" s="748" t="s">
        <v>27688</v>
      </c>
    </row>
    <row r="75" spans="1:19" ht="14.45" customHeight="1" x14ac:dyDescent="0.35">
      <c r="A75" s="974" t="s">
        <v>277</v>
      </c>
      <c r="B75" s="1178" t="s">
        <v>204</v>
      </c>
      <c r="C75" s="1161" t="s">
        <v>212</v>
      </c>
      <c r="D75" s="1167">
        <v>0</v>
      </c>
      <c r="E75" s="1168">
        <v>0</v>
      </c>
      <c r="F75" s="1169">
        <v>0</v>
      </c>
      <c r="G75" s="1175">
        <f>IF(FEC=1,'Column 1'!AH71,D75)</f>
        <v>0</v>
      </c>
      <c r="H75" s="1170">
        <f>IF(FEC=1,'Column 1'!AI71,E75)</f>
        <v>0</v>
      </c>
      <c r="I75" s="1171">
        <f>IF(FEC=1,'Column 1'!AJ71,F75)</f>
        <v>0</v>
      </c>
      <c r="J75" s="1172">
        <v>0</v>
      </c>
      <c r="K75" s="1173">
        <v>0</v>
      </c>
      <c r="L75" s="1174">
        <v>0</v>
      </c>
      <c r="M75" s="1175">
        <f t="shared" si="1"/>
        <v>0</v>
      </c>
      <c r="N75" s="1170">
        <f t="shared" si="2"/>
        <v>0</v>
      </c>
      <c r="O75" s="1176">
        <f t="shared" si="3"/>
        <v>0</v>
      </c>
      <c r="P75" s="1223"/>
      <c r="Q75" s="747" t="s">
        <v>277</v>
      </c>
      <c r="R75" s="748" t="s">
        <v>27685</v>
      </c>
      <c r="S75" s="748" t="s">
        <v>27689</v>
      </c>
    </row>
    <row r="76" spans="1:19" ht="14.45" customHeight="1" x14ac:dyDescent="0.35">
      <c r="A76" s="974" t="s">
        <v>277</v>
      </c>
      <c r="B76" s="1178" t="s">
        <v>204</v>
      </c>
      <c r="C76" s="1161" t="s">
        <v>214</v>
      </c>
      <c r="D76" s="1179">
        <v>0</v>
      </c>
      <c r="E76" s="1180">
        <v>0</v>
      </c>
      <c r="F76" s="1181">
        <v>0</v>
      </c>
      <c r="G76" s="1185">
        <f>IF(FEC=1,'Column 1'!AH72,D76)</f>
        <v>0</v>
      </c>
      <c r="H76" s="1186">
        <f>IF(FEC=1,'Column 1'!AI72,E76)</f>
        <v>0</v>
      </c>
      <c r="I76" s="1222">
        <f>IF(FEC=1,'Column 1'!AJ72,F76)</f>
        <v>0</v>
      </c>
      <c r="J76" s="1182">
        <v>0</v>
      </c>
      <c r="K76" s="1183">
        <v>0</v>
      </c>
      <c r="L76" s="1184">
        <v>0</v>
      </c>
      <c r="M76" s="1185">
        <f t="shared" si="1"/>
        <v>0</v>
      </c>
      <c r="N76" s="1186">
        <f t="shared" si="2"/>
        <v>0</v>
      </c>
      <c r="O76" s="1187">
        <f t="shared" si="3"/>
        <v>0</v>
      </c>
      <c r="P76" s="1223"/>
      <c r="Q76" s="747" t="s">
        <v>277</v>
      </c>
      <c r="R76" s="748" t="s">
        <v>27685</v>
      </c>
      <c r="S76" s="748" t="s">
        <v>27690</v>
      </c>
    </row>
    <row r="77" spans="1:19" ht="14.45" customHeight="1" x14ac:dyDescent="0.35">
      <c r="A77" s="974" t="s">
        <v>277</v>
      </c>
      <c r="B77" s="1178" t="s">
        <v>204</v>
      </c>
      <c r="C77" s="1531" t="s">
        <v>216</v>
      </c>
      <c r="D77" s="1189"/>
      <c r="E77" s="1168">
        <v>0</v>
      </c>
      <c r="F77" s="1169">
        <v>0</v>
      </c>
      <c r="G77" s="1190"/>
      <c r="H77" s="1170">
        <f>IF(FEC=1,'Column 1'!AI73,E77)</f>
        <v>0</v>
      </c>
      <c r="I77" s="1171">
        <f>IF(FEC=1,'Column 1'!AJ73,F77)</f>
        <v>0</v>
      </c>
      <c r="J77" s="1190"/>
      <c r="K77" s="1173">
        <v>0</v>
      </c>
      <c r="L77" s="1174">
        <v>0</v>
      </c>
      <c r="M77" s="1191"/>
      <c r="N77" s="1186">
        <f t="shared" ref="N77:N83" si="4">SUM(H77,K77)</f>
        <v>0</v>
      </c>
      <c r="O77" s="1187">
        <f t="shared" ref="O77:O83" si="5">SUM(I77,L77)</f>
        <v>0</v>
      </c>
      <c r="P77" s="1223"/>
      <c r="Q77" s="747" t="s">
        <v>277</v>
      </c>
      <c r="R77" s="748" t="s">
        <v>27685</v>
      </c>
      <c r="S77" s="748" t="s">
        <v>216</v>
      </c>
    </row>
    <row r="78" spans="1:19" ht="14.45" customHeight="1" x14ac:dyDescent="0.35">
      <c r="A78" s="974" t="s">
        <v>277</v>
      </c>
      <c r="B78" s="739" t="s">
        <v>218</v>
      </c>
      <c r="C78" s="1161" t="s">
        <v>205</v>
      </c>
      <c r="D78" s="1192">
        <v>0</v>
      </c>
      <c r="E78" s="1193">
        <v>0</v>
      </c>
      <c r="F78" s="1194">
        <v>0</v>
      </c>
      <c r="G78" s="1195">
        <f>IF(FEC=1,'Column 1'!AH74,D78)</f>
        <v>0</v>
      </c>
      <c r="H78" s="1196">
        <f>IF(FEC=1,'Column 1'!AI74,E78)</f>
        <v>0</v>
      </c>
      <c r="I78" s="1197">
        <f>IF(FEC=1,'Column 1'!AJ74,F78)</f>
        <v>0</v>
      </c>
      <c r="J78" s="1198">
        <v>0</v>
      </c>
      <c r="K78" s="1199">
        <v>0</v>
      </c>
      <c r="L78" s="1200">
        <v>0</v>
      </c>
      <c r="M78" s="1204">
        <f t="shared" ref="M78:M82" si="6">SUM(G78,J78)</f>
        <v>0</v>
      </c>
      <c r="N78" s="1205">
        <f t="shared" si="4"/>
        <v>0</v>
      </c>
      <c r="O78" s="1206">
        <f t="shared" si="5"/>
        <v>0</v>
      </c>
      <c r="P78" s="1223"/>
      <c r="Q78" s="747" t="s">
        <v>277</v>
      </c>
      <c r="R78" s="748" t="s">
        <v>27691</v>
      </c>
      <c r="S78" s="748" t="s">
        <v>27686</v>
      </c>
    </row>
    <row r="79" spans="1:19" ht="14.45" customHeight="1" x14ac:dyDescent="0.35">
      <c r="A79" s="974" t="s">
        <v>277</v>
      </c>
      <c r="B79" s="974" t="s">
        <v>218</v>
      </c>
      <c r="C79" s="1161" t="s">
        <v>208</v>
      </c>
      <c r="D79" s="1167">
        <v>0</v>
      </c>
      <c r="E79" s="1168">
        <v>0</v>
      </c>
      <c r="F79" s="1169">
        <v>0</v>
      </c>
      <c r="G79" s="1170">
        <f>IF(FEC=1,'Column 1'!AH75,D79)</f>
        <v>0</v>
      </c>
      <c r="H79" s="1170">
        <f>IF(FEC=1,'Column 1'!AI75,E79)</f>
        <v>0</v>
      </c>
      <c r="I79" s="1171">
        <f>IF(FEC=1,'Column 1'!AJ75,F79)</f>
        <v>0</v>
      </c>
      <c r="J79" s="1172">
        <v>0</v>
      </c>
      <c r="K79" s="1173">
        <v>0</v>
      </c>
      <c r="L79" s="1174">
        <v>0</v>
      </c>
      <c r="M79" s="1175">
        <f t="shared" si="6"/>
        <v>0</v>
      </c>
      <c r="N79" s="1170">
        <f t="shared" si="4"/>
        <v>0</v>
      </c>
      <c r="O79" s="1176">
        <f t="shared" si="5"/>
        <v>0</v>
      </c>
      <c r="P79" s="1223"/>
      <c r="Q79" s="747" t="s">
        <v>277</v>
      </c>
      <c r="R79" s="748" t="s">
        <v>27691</v>
      </c>
      <c r="S79" s="748" t="s">
        <v>27687</v>
      </c>
    </row>
    <row r="80" spans="1:19" ht="14.45" customHeight="1" x14ac:dyDescent="0.35">
      <c r="A80" s="974" t="s">
        <v>277</v>
      </c>
      <c r="B80" s="974" t="s">
        <v>218</v>
      </c>
      <c r="C80" s="1161" t="s">
        <v>210</v>
      </c>
      <c r="D80" s="1212">
        <v>0</v>
      </c>
      <c r="E80" s="1213">
        <v>0</v>
      </c>
      <c r="F80" s="1214">
        <v>0</v>
      </c>
      <c r="G80" s="1215">
        <f>IF(FEC=1,'Column 1'!AH76,D80)</f>
        <v>0</v>
      </c>
      <c r="H80" s="1216">
        <f>IF(FEC=1,'Column 1'!AI76,E80)</f>
        <v>0</v>
      </c>
      <c r="I80" s="1217">
        <f>IF(FEC=1,'Column 1'!AJ76,F80)</f>
        <v>0</v>
      </c>
      <c r="J80" s="1218">
        <v>0</v>
      </c>
      <c r="K80" s="1219">
        <v>0</v>
      </c>
      <c r="L80" s="1220">
        <v>0</v>
      </c>
      <c r="M80" s="1215">
        <f t="shared" si="6"/>
        <v>0</v>
      </c>
      <c r="N80" s="1216">
        <f t="shared" si="4"/>
        <v>0</v>
      </c>
      <c r="O80" s="1221">
        <f t="shared" si="5"/>
        <v>0</v>
      </c>
      <c r="P80" s="1223"/>
      <c r="Q80" s="747" t="s">
        <v>277</v>
      </c>
      <c r="R80" s="748" t="s">
        <v>27691</v>
      </c>
      <c r="S80" s="748" t="s">
        <v>27688</v>
      </c>
    </row>
    <row r="81" spans="1:19" ht="14.45" customHeight="1" x14ac:dyDescent="0.35">
      <c r="A81" s="974" t="s">
        <v>277</v>
      </c>
      <c r="B81" s="974" t="s">
        <v>218</v>
      </c>
      <c r="C81" s="1161" t="s">
        <v>212</v>
      </c>
      <c r="D81" s="1167">
        <v>0</v>
      </c>
      <c r="E81" s="1168">
        <v>0</v>
      </c>
      <c r="F81" s="1169">
        <v>0</v>
      </c>
      <c r="G81" s="1175">
        <f>IF(FEC=1,'Column 1'!AH77,D81)</f>
        <v>0</v>
      </c>
      <c r="H81" s="1170">
        <f>IF(FEC=1,'Column 1'!AI77,E81)</f>
        <v>0</v>
      </c>
      <c r="I81" s="1171">
        <f>IF(FEC=1,'Column 1'!AJ77,F81)</f>
        <v>0</v>
      </c>
      <c r="J81" s="1172">
        <v>0</v>
      </c>
      <c r="K81" s="1173">
        <v>0</v>
      </c>
      <c r="L81" s="1174">
        <v>0</v>
      </c>
      <c r="M81" s="1175">
        <f t="shared" si="6"/>
        <v>0</v>
      </c>
      <c r="N81" s="1170">
        <f t="shared" si="4"/>
        <v>0</v>
      </c>
      <c r="O81" s="1176">
        <f t="shared" si="5"/>
        <v>0</v>
      </c>
      <c r="P81" s="1223"/>
      <c r="Q81" s="747" t="s">
        <v>277</v>
      </c>
      <c r="R81" s="748" t="s">
        <v>27691</v>
      </c>
      <c r="S81" s="748" t="s">
        <v>27689</v>
      </c>
    </row>
    <row r="82" spans="1:19" ht="14.45" customHeight="1" x14ac:dyDescent="0.35">
      <c r="A82" s="974" t="s">
        <v>277</v>
      </c>
      <c r="B82" s="974" t="s">
        <v>218</v>
      </c>
      <c r="C82" s="1161" t="s">
        <v>214</v>
      </c>
      <c r="D82" s="1167">
        <v>0</v>
      </c>
      <c r="E82" s="1168">
        <v>0</v>
      </c>
      <c r="F82" s="1169">
        <v>0</v>
      </c>
      <c r="G82" s="1175">
        <f>IF(FEC=1,'Column 1'!AH78,D82)</f>
        <v>0</v>
      </c>
      <c r="H82" s="1170">
        <f>IF(FEC=1,'Column 1'!AI78,E82)</f>
        <v>0</v>
      </c>
      <c r="I82" s="1171">
        <f>IF(FEC=1,'Column 1'!AJ78,F82)</f>
        <v>0</v>
      </c>
      <c r="J82" s="1172">
        <v>0</v>
      </c>
      <c r="K82" s="1173">
        <v>0</v>
      </c>
      <c r="L82" s="1174">
        <v>0</v>
      </c>
      <c r="M82" s="1175">
        <f t="shared" si="6"/>
        <v>0</v>
      </c>
      <c r="N82" s="1170">
        <f t="shared" si="4"/>
        <v>0</v>
      </c>
      <c r="O82" s="1176">
        <f t="shared" si="5"/>
        <v>0</v>
      </c>
      <c r="P82" s="1223"/>
      <c r="Q82" s="747" t="s">
        <v>277</v>
      </c>
      <c r="R82" s="748" t="s">
        <v>27691</v>
      </c>
      <c r="S82" s="748" t="s">
        <v>27690</v>
      </c>
    </row>
    <row r="83" spans="1:19" ht="14.45" customHeight="1" thickBot="1" x14ac:dyDescent="0.4">
      <c r="A83" s="974" t="s">
        <v>277</v>
      </c>
      <c r="B83" s="974" t="s">
        <v>218</v>
      </c>
      <c r="C83" s="1530" t="s">
        <v>216</v>
      </c>
      <c r="D83" s="1189"/>
      <c r="E83" s="1168">
        <v>0</v>
      </c>
      <c r="F83" s="1169">
        <v>0</v>
      </c>
      <c r="G83" s="1190"/>
      <c r="H83" s="1170">
        <f>IF(FEC=1,'Column 1'!AI79,E83)</f>
        <v>0</v>
      </c>
      <c r="I83" s="1171">
        <f>IF(FEC=1,'Column 1'!AJ79,F83)</f>
        <v>0</v>
      </c>
      <c r="J83" s="1190"/>
      <c r="K83" s="1173">
        <v>0</v>
      </c>
      <c r="L83" s="1174">
        <v>0</v>
      </c>
      <c r="M83" s="1208"/>
      <c r="N83" s="1209">
        <f t="shared" si="4"/>
        <v>0</v>
      </c>
      <c r="O83" s="1210">
        <f t="shared" si="5"/>
        <v>0</v>
      </c>
      <c r="P83" s="1223"/>
      <c r="Q83" s="747" t="s">
        <v>277</v>
      </c>
      <c r="R83" s="748" t="s">
        <v>27691</v>
      </c>
      <c r="S83" s="748" t="s">
        <v>216</v>
      </c>
    </row>
    <row r="84" spans="1:19" ht="14.45" customHeight="1" thickTop="1" x14ac:dyDescent="0.35">
      <c r="A84" s="1225" t="s">
        <v>27694</v>
      </c>
      <c r="B84" s="1226" t="s">
        <v>204</v>
      </c>
      <c r="C84" s="1532" t="s">
        <v>205</v>
      </c>
      <c r="D84" s="1227">
        <f t="shared" ref="D84:O84" si="7">SUM(D12,D24,D36,D48,D60,D72)</f>
        <v>0</v>
      </c>
      <c r="E84" s="1228">
        <f t="shared" si="7"/>
        <v>0</v>
      </c>
      <c r="F84" s="1229">
        <f t="shared" si="7"/>
        <v>0</v>
      </c>
      <c r="G84" s="1227">
        <f t="shared" si="7"/>
        <v>0</v>
      </c>
      <c r="H84" s="1228">
        <f t="shared" si="7"/>
        <v>0</v>
      </c>
      <c r="I84" s="1229">
        <f t="shared" si="7"/>
        <v>0</v>
      </c>
      <c r="J84" s="1227">
        <f t="shared" si="7"/>
        <v>0</v>
      </c>
      <c r="K84" s="1228">
        <f t="shared" si="7"/>
        <v>0</v>
      </c>
      <c r="L84" s="1229">
        <f t="shared" si="7"/>
        <v>0</v>
      </c>
      <c r="M84" s="1227">
        <f t="shared" si="7"/>
        <v>0</v>
      </c>
      <c r="N84" s="1228">
        <f t="shared" si="7"/>
        <v>0</v>
      </c>
      <c r="O84" s="1230">
        <f t="shared" si="7"/>
        <v>0</v>
      </c>
      <c r="P84" s="716"/>
      <c r="Q84" s="747" t="s">
        <v>28321</v>
      </c>
      <c r="R84" s="748" t="s">
        <v>27685</v>
      </c>
      <c r="S84" s="748" t="s">
        <v>27686</v>
      </c>
    </row>
    <row r="85" spans="1:19" ht="14.45" customHeight="1" x14ac:dyDescent="0.35">
      <c r="A85" s="1231" t="s">
        <v>27694</v>
      </c>
      <c r="B85" s="1178" t="s">
        <v>204</v>
      </c>
      <c r="C85" s="1161" t="s">
        <v>208</v>
      </c>
      <c r="D85" s="1215">
        <f t="shared" ref="D85:G86" si="8">SUM(D13,D25,D37,D49,D61,D73)</f>
        <v>0</v>
      </c>
      <c r="E85" s="1216">
        <f t="shared" si="8"/>
        <v>0</v>
      </c>
      <c r="F85" s="1217">
        <f t="shared" si="8"/>
        <v>0</v>
      </c>
      <c r="G85" s="1215">
        <f t="shared" si="8"/>
        <v>0</v>
      </c>
      <c r="H85" s="1216">
        <f t="shared" ref="H85:L86" si="9">SUM(H13,H25,H37,H49,H61,H73)</f>
        <v>0</v>
      </c>
      <c r="I85" s="1217">
        <f t="shared" si="9"/>
        <v>0</v>
      </c>
      <c r="J85" s="1215">
        <f t="shared" si="9"/>
        <v>0</v>
      </c>
      <c r="K85" s="1216">
        <f t="shared" si="9"/>
        <v>0</v>
      </c>
      <c r="L85" s="1217">
        <f t="shared" si="9"/>
        <v>0</v>
      </c>
      <c r="M85" s="1215">
        <f t="shared" ref="M85:O86" si="10">SUM(M13,M25,M37,M49,M61,M73)</f>
        <v>0</v>
      </c>
      <c r="N85" s="1216">
        <f t="shared" si="10"/>
        <v>0</v>
      </c>
      <c r="O85" s="1221">
        <f t="shared" si="10"/>
        <v>0</v>
      </c>
      <c r="P85" s="716"/>
      <c r="Q85" s="747" t="s">
        <v>28321</v>
      </c>
      <c r="R85" s="748" t="s">
        <v>27685</v>
      </c>
      <c r="S85" s="748" t="s">
        <v>27687</v>
      </c>
    </row>
    <row r="86" spans="1:19" ht="14.45" customHeight="1" x14ac:dyDescent="0.35">
      <c r="A86" s="1231" t="s">
        <v>27694</v>
      </c>
      <c r="B86" s="1178" t="s">
        <v>204</v>
      </c>
      <c r="C86" s="1161" t="s">
        <v>210</v>
      </c>
      <c r="D86" s="1215">
        <f t="shared" si="8"/>
        <v>0</v>
      </c>
      <c r="E86" s="1216">
        <f t="shared" si="8"/>
        <v>0</v>
      </c>
      <c r="F86" s="1217">
        <f t="shared" si="8"/>
        <v>0</v>
      </c>
      <c r="G86" s="1215">
        <f t="shared" si="8"/>
        <v>0</v>
      </c>
      <c r="H86" s="1216">
        <f t="shared" si="9"/>
        <v>0</v>
      </c>
      <c r="I86" s="1217">
        <f t="shared" si="9"/>
        <v>0</v>
      </c>
      <c r="J86" s="1215">
        <f t="shared" si="9"/>
        <v>0</v>
      </c>
      <c r="K86" s="1216">
        <f t="shared" si="9"/>
        <v>0</v>
      </c>
      <c r="L86" s="1217">
        <f t="shared" si="9"/>
        <v>0</v>
      </c>
      <c r="M86" s="1215">
        <f t="shared" si="10"/>
        <v>0</v>
      </c>
      <c r="N86" s="1216">
        <f t="shared" si="10"/>
        <v>0</v>
      </c>
      <c r="O86" s="1221">
        <f t="shared" si="10"/>
        <v>0</v>
      </c>
      <c r="P86" s="1223"/>
      <c r="Q86" s="747" t="s">
        <v>28321</v>
      </c>
      <c r="R86" s="748" t="s">
        <v>27685</v>
      </c>
      <c r="S86" s="748" t="s">
        <v>27688</v>
      </c>
    </row>
    <row r="87" spans="1:19" ht="14.45" customHeight="1" x14ac:dyDescent="0.35">
      <c r="A87" s="1231" t="s">
        <v>27694</v>
      </c>
      <c r="B87" s="1178" t="s">
        <v>204</v>
      </c>
      <c r="C87" s="1161" t="s">
        <v>212</v>
      </c>
      <c r="D87" s="1175">
        <f t="shared" ref="D87:O87" si="11">SUM(D15,D27,D39,D51,D63,D75)</f>
        <v>0</v>
      </c>
      <c r="E87" s="1170">
        <f t="shared" si="11"/>
        <v>0</v>
      </c>
      <c r="F87" s="1171">
        <f t="shared" si="11"/>
        <v>0</v>
      </c>
      <c r="G87" s="1175">
        <f t="shared" si="11"/>
        <v>0</v>
      </c>
      <c r="H87" s="1170">
        <f t="shared" si="11"/>
        <v>0</v>
      </c>
      <c r="I87" s="1171">
        <f t="shared" si="11"/>
        <v>0</v>
      </c>
      <c r="J87" s="1175">
        <f t="shared" si="11"/>
        <v>0</v>
      </c>
      <c r="K87" s="1170">
        <f t="shared" si="11"/>
        <v>0</v>
      </c>
      <c r="L87" s="1171">
        <f t="shared" si="11"/>
        <v>0</v>
      </c>
      <c r="M87" s="1175">
        <f t="shared" si="11"/>
        <v>0</v>
      </c>
      <c r="N87" s="1170">
        <f t="shared" si="11"/>
        <v>0</v>
      </c>
      <c r="O87" s="1176">
        <f t="shared" si="11"/>
        <v>0</v>
      </c>
      <c r="P87" s="1223"/>
      <c r="Q87" s="747" t="s">
        <v>28321</v>
      </c>
      <c r="R87" s="748" t="s">
        <v>27685</v>
      </c>
      <c r="S87" s="748" t="s">
        <v>27689</v>
      </c>
    </row>
    <row r="88" spans="1:19" ht="14.45" customHeight="1" x14ac:dyDescent="0.35">
      <c r="A88" s="1231" t="s">
        <v>27694</v>
      </c>
      <c r="B88" s="1178" t="s">
        <v>204</v>
      </c>
      <c r="C88" s="1161" t="s">
        <v>214</v>
      </c>
      <c r="D88" s="1232">
        <f t="shared" ref="D88:O88" si="12">SUM(D16,D28,D40,D52,D64,D76)</f>
        <v>0</v>
      </c>
      <c r="E88" s="1233">
        <f t="shared" si="12"/>
        <v>0</v>
      </c>
      <c r="F88" s="1234">
        <f t="shared" si="12"/>
        <v>0</v>
      </c>
      <c r="G88" s="1232">
        <f t="shared" si="12"/>
        <v>0</v>
      </c>
      <c r="H88" s="1233">
        <f t="shared" si="12"/>
        <v>0</v>
      </c>
      <c r="I88" s="1234">
        <f t="shared" si="12"/>
        <v>0</v>
      </c>
      <c r="J88" s="1232">
        <f t="shared" si="12"/>
        <v>0</v>
      </c>
      <c r="K88" s="1233">
        <f t="shared" si="12"/>
        <v>0</v>
      </c>
      <c r="L88" s="1234">
        <f t="shared" si="12"/>
        <v>0</v>
      </c>
      <c r="M88" s="1232">
        <f t="shared" si="12"/>
        <v>0</v>
      </c>
      <c r="N88" s="1233">
        <f t="shared" si="12"/>
        <v>0</v>
      </c>
      <c r="O88" s="1235">
        <f t="shared" si="12"/>
        <v>0</v>
      </c>
      <c r="P88" s="716"/>
      <c r="Q88" s="747" t="s">
        <v>28321</v>
      </c>
      <c r="R88" s="748" t="s">
        <v>27685</v>
      </c>
      <c r="S88" s="748" t="s">
        <v>27690</v>
      </c>
    </row>
    <row r="89" spans="1:19" ht="14.45" customHeight="1" x14ac:dyDescent="0.35">
      <c r="A89" s="1231" t="s">
        <v>27694</v>
      </c>
      <c r="B89" s="1178" t="s">
        <v>204</v>
      </c>
      <c r="C89" s="1161" t="s">
        <v>216</v>
      </c>
      <c r="D89" s="1600"/>
      <c r="E89" s="1166">
        <f t="shared" ref="E89:F92" si="13">SUM(E17,E29,E41,E53,E65,E77)</f>
        <v>0</v>
      </c>
      <c r="F89" s="1236">
        <f t="shared" si="13"/>
        <v>0</v>
      </c>
      <c r="G89" s="1600"/>
      <c r="H89" s="1166">
        <f t="shared" ref="H89:I92" si="14">SUM(H17,H29,H41,H53,H65,H77)</f>
        <v>0</v>
      </c>
      <c r="I89" s="1236">
        <f t="shared" si="14"/>
        <v>0</v>
      </c>
      <c r="J89" s="1600"/>
      <c r="K89" s="1166">
        <f>SUM(K17,K29,K41,K53,K65,K77)</f>
        <v>0</v>
      </c>
      <c r="L89" s="1236">
        <f>SUM(L17,L29,L41,L53,L65,L77)</f>
        <v>0</v>
      </c>
      <c r="M89" s="1600"/>
      <c r="N89" s="1166">
        <f t="shared" ref="N89:O92" si="15">SUM(N17,N29,N41,N53,N65,N77)</f>
        <v>0</v>
      </c>
      <c r="O89" s="1237">
        <f t="shared" si="15"/>
        <v>0</v>
      </c>
      <c r="P89" s="716"/>
      <c r="Q89" s="747" t="s">
        <v>28321</v>
      </c>
      <c r="R89" s="748" t="s">
        <v>27685</v>
      </c>
      <c r="S89" s="748" t="s">
        <v>216</v>
      </c>
    </row>
    <row r="90" spans="1:19" ht="14.45" customHeight="1" x14ac:dyDescent="0.35">
      <c r="A90" s="1231" t="s">
        <v>27694</v>
      </c>
      <c r="B90" s="1238" t="s">
        <v>218</v>
      </c>
      <c r="C90" s="1533" t="s">
        <v>205</v>
      </c>
      <c r="D90" s="1195">
        <f>SUM(D18,D30,D42,D54,D66,D78)</f>
        <v>0</v>
      </c>
      <c r="E90" s="1196">
        <f t="shared" si="13"/>
        <v>0</v>
      </c>
      <c r="F90" s="1197">
        <f t="shared" si="13"/>
        <v>0</v>
      </c>
      <c r="G90" s="1195">
        <f>SUM(G18,G30,G42,G54,G66,G78)</f>
        <v>0</v>
      </c>
      <c r="H90" s="1196">
        <f t="shared" si="14"/>
        <v>0</v>
      </c>
      <c r="I90" s="1197">
        <f t="shared" si="14"/>
        <v>0</v>
      </c>
      <c r="J90" s="1195">
        <f>SUM(J18,J30,J42,J54,J66,J78)</f>
        <v>0</v>
      </c>
      <c r="K90" s="1196">
        <f>SUM(K18,K30,K42,K54,K66,K78)</f>
        <v>0</v>
      </c>
      <c r="L90" s="1197">
        <f>SUM(L18,L30,L42,L54,L66,L78)</f>
        <v>0</v>
      </c>
      <c r="M90" s="1195">
        <f>SUM(M18,M30,M42,M54,M66,M78)</f>
        <v>0</v>
      </c>
      <c r="N90" s="1196">
        <f t="shared" si="15"/>
        <v>0</v>
      </c>
      <c r="O90" s="1239">
        <f t="shared" si="15"/>
        <v>0</v>
      </c>
      <c r="P90" s="716"/>
      <c r="Q90" s="747" t="s">
        <v>28321</v>
      </c>
      <c r="R90" s="748" t="s">
        <v>27691</v>
      </c>
      <c r="S90" s="748" t="s">
        <v>27686</v>
      </c>
    </row>
    <row r="91" spans="1:19" ht="14.45" customHeight="1" x14ac:dyDescent="0.35">
      <c r="A91" s="1231" t="s">
        <v>27694</v>
      </c>
      <c r="B91" s="974" t="s">
        <v>218</v>
      </c>
      <c r="C91" s="1161" t="s">
        <v>208</v>
      </c>
      <c r="D91" s="1215">
        <f>SUM(D19,D31,D43,D55,D67,D79)</f>
        <v>0</v>
      </c>
      <c r="E91" s="1216">
        <f t="shared" si="13"/>
        <v>0</v>
      </c>
      <c r="F91" s="1217">
        <f t="shared" si="13"/>
        <v>0</v>
      </c>
      <c r="G91" s="1196">
        <f>SUM(G19,G31,G43,G55,G67,G79)</f>
        <v>0</v>
      </c>
      <c r="H91" s="1196">
        <f t="shared" si="14"/>
        <v>0</v>
      </c>
      <c r="I91" s="1196">
        <f t="shared" si="14"/>
        <v>0</v>
      </c>
      <c r="J91" s="1215">
        <f t="shared" ref="J91:L92" si="16">SUM(J19,J31,J43,J55,J67,J79)</f>
        <v>0</v>
      </c>
      <c r="K91" s="1216">
        <f t="shared" si="16"/>
        <v>0</v>
      </c>
      <c r="L91" s="1217">
        <f t="shared" si="16"/>
        <v>0</v>
      </c>
      <c r="M91" s="1215">
        <f>SUM(M19,M31,M43,M55,M67,M79)</f>
        <v>0</v>
      </c>
      <c r="N91" s="1216">
        <f t="shared" si="15"/>
        <v>0</v>
      </c>
      <c r="O91" s="1221">
        <f t="shared" si="15"/>
        <v>0</v>
      </c>
      <c r="P91" s="716"/>
      <c r="Q91" s="747" t="s">
        <v>28321</v>
      </c>
      <c r="R91" s="748" t="s">
        <v>27691</v>
      </c>
      <c r="S91" s="748" t="s">
        <v>27687</v>
      </c>
    </row>
    <row r="92" spans="1:19" ht="14.45" customHeight="1" x14ac:dyDescent="0.35">
      <c r="A92" s="1231" t="s">
        <v>27694</v>
      </c>
      <c r="B92" s="974" t="s">
        <v>218</v>
      </c>
      <c r="C92" s="1161" t="s">
        <v>210</v>
      </c>
      <c r="D92" s="1215">
        <f>SUM(D20,D32,D44,D56,D68,D80)</f>
        <v>0</v>
      </c>
      <c r="E92" s="1216">
        <f t="shared" si="13"/>
        <v>0</v>
      </c>
      <c r="F92" s="1217">
        <f t="shared" si="13"/>
        <v>0</v>
      </c>
      <c r="G92" s="1215">
        <f>SUM(G20,G32,G44,G56,G68,G80)</f>
        <v>0</v>
      </c>
      <c r="H92" s="1216">
        <f t="shared" si="14"/>
        <v>0</v>
      </c>
      <c r="I92" s="1217">
        <f t="shared" si="14"/>
        <v>0</v>
      </c>
      <c r="J92" s="1215">
        <f t="shared" si="16"/>
        <v>0</v>
      </c>
      <c r="K92" s="1216">
        <f t="shared" si="16"/>
        <v>0</v>
      </c>
      <c r="L92" s="1217">
        <f t="shared" si="16"/>
        <v>0</v>
      </c>
      <c r="M92" s="1215">
        <f>SUM(M20,M32,M44,M56,M68,M80)</f>
        <v>0</v>
      </c>
      <c r="N92" s="1216">
        <f t="shared" si="15"/>
        <v>0</v>
      </c>
      <c r="O92" s="1221">
        <f t="shared" si="15"/>
        <v>0</v>
      </c>
      <c r="P92" s="716"/>
      <c r="Q92" s="747" t="s">
        <v>28321</v>
      </c>
      <c r="R92" s="748" t="s">
        <v>27691</v>
      </c>
      <c r="S92" s="748" t="s">
        <v>27688</v>
      </c>
    </row>
    <row r="93" spans="1:19" ht="14.45" customHeight="1" x14ac:dyDescent="0.35">
      <c r="A93" s="1231" t="s">
        <v>27694</v>
      </c>
      <c r="B93" s="974" t="s">
        <v>218</v>
      </c>
      <c r="C93" s="1161" t="s">
        <v>212</v>
      </c>
      <c r="D93" s="1175">
        <f t="shared" ref="D93:O93" si="17">SUM(D21,D33,D45,D57,D69,D81)</f>
        <v>0</v>
      </c>
      <c r="E93" s="1170">
        <f t="shared" si="17"/>
        <v>0</v>
      </c>
      <c r="F93" s="1171">
        <f t="shared" si="17"/>
        <v>0</v>
      </c>
      <c r="G93" s="1175">
        <f t="shared" si="17"/>
        <v>0</v>
      </c>
      <c r="H93" s="1170">
        <f t="shared" si="17"/>
        <v>0</v>
      </c>
      <c r="I93" s="1171">
        <f t="shared" si="17"/>
        <v>0</v>
      </c>
      <c r="J93" s="1175">
        <f t="shared" si="17"/>
        <v>0</v>
      </c>
      <c r="K93" s="1170">
        <f t="shared" si="17"/>
        <v>0</v>
      </c>
      <c r="L93" s="1171">
        <f t="shared" si="17"/>
        <v>0</v>
      </c>
      <c r="M93" s="1175">
        <f t="shared" si="17"/>
        <v>0</v>
      </c>
      <c r="N93" s="1170">
        <f t="shared" si="17"/>
        <v>0</v>
      </c>
      <c r="O93" s="1176">
        <f t="shared" si="17"/>
        <v>0</v>
      </c>
      <c r="P93" s="716"/>
      <c r="Q93" s="747" t="s">
        <v>28321</v>
      </c>
      <c r="R93" s="748" t="s">
        <v>27691</v>
      </c>
      <c r="S93" s="748" t="s">
        <v>27689</v>
      </c>
    </row>
    <row r="94" spans="1:19" ht="14.45" customHeight="1" x14ac:dyDescent="0.35">
      <c r="A94" s="1231" t="s">
        <v>27694</v>
      </c>
      <c r="B94" s="974" t="s">
        <v>218</v>
      </c>
      <c r="C94" s="1161" t="s">
        <v>214</v>
      </c>
      <c r="D94" s="1232">
        <f t="shared" ref="D94:O94" si="18">SUM(D22,D34,D46,D58,D70,D82)</f>
        <v>0</v>
      </c>
      <c r="E94" s="1233">
        <f t="shared" si="18"/>
        <v>0</v>
      </c>
      <c r="F94" s="1234">
        <f t="shared" si="18"/>
        <v>0</v>
      </c>
      <c r="G94" s="1232">
        <f t="shared" si="18"/>
        <v>0</v>
      </c>
      <c r="H94" s="1233">
        <f t="shared" si="18"/>
        <v>0</v>
      </c>
      <c r="I94" s="1234">
        <f t="shared" si="18"/>
        <v>0</v>
      </c>
      <c r="J94" s="1232">
        <f t="shared" si="18"/>
        <v>0</v>
      </c>
      <c r="K94" s="1233">
        <f t="shared" si="18"/>
        <v>0</v>
      </c>
      <c r="L94" s="1234">
        <f t="shared" si="18"/>
        <v>0</v>
      </c>
      <c r="M94" s="1232">
        <f t="shared" si="18"/>
        <v>0</v>
      </c>
      <c r="N94" s="1233">
        <f t="shared" si="18"/>
        <v>0</v>
      </c>
      <c r="O94" s="1235">
        <f t="shared" si="18"/>
        <v>0</v>
      </c>
      <c r="P94" s="716"/>
      <c r="Q94" s="747" t="s">
        <v>28321</v>
      </c>
      <c r="R94" s="748" t="s">
        <v>27691</v>
      </c>
      <c r="S94" s="748" t="s">
        <v>27690</v>
      </c>
    </row>
    <row r="95" spans="1:19" ht="14.45" customHeight="1" x14ac:dyDescent="0.35">
      <c r="A95" s="1231" t="s">
        <v>27694</v>
      </c>
      <c r="B95" s="974" t="s">
        <v>218</v>
      </c>
      <c r="C95" s="1161" t="s">
        <v>216</v>
      </c>
      <c r="D95" s="1600"/>
      <c r="E95" s="1166">
        <f>SUM(E83,E71,E59,E47,E35,E23)</f>
        <v>0</v>
      </c>
      <c r="F95" s="1236">
        <f>SUM(F83,F71,F59,F47,F35,F23)</f>
        <v>0</v>
      </c>
      <c r="G95" s="1600"/>
      <c r="H95" s="1166">
        <f>SUM(H83,H71,H59,H47,H35,H23)</f>
        <v>0</v>
      </c>
      <c r="I95" s="1236">
        <f>SUM(I83,I71,I59,I47,I35,I23)</f>
        <v>0</v>
      </c>
      <c r="J95" s="1600"/>
      <c r="K95" s="1166">
        <f>SUM(K83,K71,K59,K47,K35,K23)</f>
        <v>0</v>
      </c>
      <c r="L95" s="1236">
        <f>SUM(L83,L71,L59,L47,L35,L23)</f>
        <v>0</v>
      </c>
      <c r="M95" s="1240"/>
      <c r="N95" s="1241">
        <f>SUM(N83,N71,N59,N47,N35,N23)</f>
        <v>0</v>
      </c>
      <c r="O95" s="1242">
        <f>SUM(O83,O71,O59,O47,O35,O23)</f>
        <v>0</v>
      </c>
      <c r="P95" s="716"/>
      <c r="Q95" s="747" t="s">
        <v>28321</v>
      </c>
      <c r="R95" s="748" t="s">
        <v>27691</v>
      </c>
      <c r="S95" s="748" t="s">
        <v>216</v>
      </c>
    </row>
    <row r="96" spans="1:19" ht="14.45" customHeight="1" thickBot="1" x14ac:dyDescent="0.4">
      <c r="A96" s="1231" t="s">
        <v>27694</v>
      </c>
      <c r="B96" s="1688" t="s">
        <v>27695</v>
      </c>
      <c r="C96" s="1601" t="s">
        <v>27696</v>
      </c>
      <c r="D96" s="1602">
        <f>SUM(D84:D88,D90:D94)</f>
        <v>0</v>
      </c>
      <c r="E96" s="1603">
        <f>SUM(E84:E95)</f>
        <v>0</v>
      </c>
      <c r="F96" s="1604">
        <f>SUM(F84:F95)</f>
        <v>0</v>
      </c>
      <c r="G96" s="1605">
        <f>SUM(G84:G88,G90:G94)</f>
        <v>0</v>
      </c>
      <c r="H96" s="1606">
        <f>SUM(H84:H95)</f>
        <v>0</v>
      </c>
      <c r="I96" s="1607">
        <f>SUM(I84:I95)</f>
        <v>0</v>
      </c>
      <c r="J96" s="1605">
        <f>SUM(J84:J88,J90:J94)</f>
        <v>0</v>
      </c>
      <c r="K96" s="1606">
        <f>SUM(K84:K95)</f>
        <v>0</v>
      </c>
      <c r="L96" s="1607">
        <f>SUM(L84:L95)</f>
        <v>0</v>
      </c>
      <c r="M96" s="1605">
        <f>SUM(M84:M88,M90:M94)</f>
        <v>0</v>
      </c>
      <c r="N96" s="1606">
        <f>SUM(N84:N95)</f>
        <v>0</v>
      </c>
      <c r="O96" s="2163">
        <f>SUM(O84:O95)</f>
        <v>0</v>
      </c>
      <c r="P96" s="716"/>
      <c r="Q96" s="747" t="s">
        <v>28321</v>
      </c>
      <c r="R96" s="748" t="s">
        <v>203</v>
      </c>
      <c r="S96" s="748" t="s">
        <v>28321</v>
      </c>
    </row>
    <row r="97" spans="1:19" ht="12.75" hidden="1" customHeight="1" x14ac:dyDescent="0.35">
      <c r="A97" s="979"/>
      <c r="B97" s="677"/>
      <c r="C97" s="980"/>
      <c r="D97" s="980"/>
      <c r="E97" s="980"/>
      <c r="F97" s="980"/>
      <c r="G97" s="1243"/>
      <c r="H97" s="1243"/>
      <c r="I97" s="1243"/>
      <c r="J97" s="1243"/>
      <c r="K97" s="1243"/>
      <c r="L97" s="1243"/>
      <c r="M97" s="1243"/>
      <c r="N97" s="1243"/>
      <c r="O97" s="1243"/>
      <c r="P97" s="716"/>
    </row>
    <row r="98" spans="1:19" ht="12.75" hidden="1" customHeight="1" x14ac:dyDescent="0.35">
      <c r="A98" s="974"/>
      <c r="C98" s="774" t="s">
        <v>67</v>
      </c>
      <c r="D98" s="775" t="s">
        <v>27697</v>
      </c>
      <c r="E98" s="775" t="s">
        <v>27697</v>
      </c>
      <c r="F98" s="775" t="s">
        <v>27697</v>
      </c>
      <c r="G98" s="775" t="s">
        <v>27698</v>
      </c>
      <c r="H98" s="775" t="s">
        <v>27698</v>
      </c>
      <c r="I98" s="775" t="s">
        <v>27698</v>
      </c>
      <c r="J98" s="775">
        <v>2</v>
      </c>
      <c r="K98" s="775">
        <v>2</v>
      </c>
      <c r="L98" s="775">
        <v>2</v>
      </c>
      <c r="M98" s="775">
        <v>12</v>
      </c>
      <c r="N98" s="775">
        <v>12</v>
      </c>
      <c r="O98" s="775">
        <v>12</v>
      </c>
      <c r="P98" s="308"/>
      <c r="Q98" s="308"/>
      <c r="R98" s="308"/>
      <c r="S98" s="308"/>
    </row>
    <row r="99" spans="1:19" ht="12.75" hidden="1" customHeight="1" x14ac:dyDescent="0.35">
      <c r="A99" s="974"/>
      <c r="C99" s="774" t="s">
        <v>27699</v>
      </c>
      <c r="D99" s="775" t="s">
        <v>27714</v>
      </c>
      <c r="E99" s="775" t="s">
        <v>27715</v>
      </c>
      <c r="F99" s="775" t="s">
        <v>27716</v>
      </c>
      <c r="G99" s="775" t="s">
        <v>27714</v>
      </c>
      <c r="H99" s="775" t="s">
        <v>27715</v>
      </c>
      <c r="I99" s="775" t="s">
        <v>27716</v>
      </c>
      <c r="J99" s="775" t="s">
        <v>27714</v>
      </c>
      <c r="K99" s="775" t="s">
        <v>27715</v>
      </c>
      <c r="L99" s="775" t="s">
        <v>27716</v>
      </c>
      <c r="M99" s="775" t="s">
        <v>27714</v>
      </c>
      <c r="N99" s="775" t="s">
        <v>27715</v>
      </c>
      <c r="O99" s="775" t="s">
        <v>27716</v>
      </c>
      <c r="P99" s="308"/>
      <c r="Q99" s="308"/>
      <c r="R99" s="308"/>
      <c r="S99" s="308"/>
    </row>
    <row r="100" spans="1:19" ht="12.75" hidden="1" customHeight="1" x14ac:dyDescent="0.35">
      <c r="A100" s="974"/>
      <c r="C100" s="309"/>
      <c r="D100" s="777"/>
      <c r="E100" s="777"/>
      <c r="F100" s="777"/>
      <c r="G100" s="778"/>
      <c r="H100" s="778"/>
      <c r="I100" s="778"/>
      <c r="J100" s="776"/>
      <c r="K100" s="776"/>
      <c r="L100" s="776"/>
      <c r="M100" s="776"/>
      <c r="N100" s="776"/>
      <c r="O100" s="776"/>
      <c r="P100" s="308"/>
      <c r="Q100" s="777" t="s">
        <v>306</v>
      </c>
      <c r="R100" s="346"/>
      <c r="S100" s="308"/>
    </row>
    <row r="102" spans="1:19" s="657" customFormat="1" ht="20.45" customHeight="1" x14ac:dyDescent="0.35">
      <c r="A102" s="657" t="s">
        <v>27725</v>
      </c>
    </row>
    <row r="103" spans="1:19" ht="14.45" customHeight="1" x14ac:dyDescent="0.35">
      <c r="A103" s="74" t="s">
        <v>133</v>
      </c>
      <c r="N103" s="780"/>
    </row>
    <row r="104" spans="1:19" ht="14.45" customHeight="1" x14ac:dyDescent="0.35">
      <c r="A104" s="1244" t="str">
        <f>'Table 3 Valid'!C33</f>
        <v/>
      </c>
    </row>
    <row r="105" spans="1:19" ht="14.45" customHeight="1" x14ac:dyDescent="0.35">
      <c r="A105" s="74" t="s">
        <v>28263</v>
      </c>
    </row>
    <row r="106" spans="1:19" ht="14.45" customHeight="1" x14ac:dyDescent="0.35">
      <c r="A106" s="1244" t="str">
        <f>'Table 3 Valid'!C113</f>
        <v/>
      </c>
    </row>
    <row r="107" spans="1:19" ht="14.45" customHeight="1" x14ac:dyDescent="0.35">
      <c r="A107" s="74" t="s">
        <v>28278</v>
      </c>
    </row>
    <row r="108" spans="1:19" ht="14.45" customHeight="1" x14ac:dyDescent="0.35">
      <c r="A108" s="1244" t="str">
        <f>'Table 3 Valid'!C193</f>
        <v/>
      </c>
    </row>
    <row r="109" spans="1:19" x14ac:dyDescent="0.35">
      <c r="A109" s="785"/>
      <c r="C109" s="744"/>
      <c r="D109" s="744"/>
      <c r="E109" s="744"/>
      <c r="F109" s="744"/>
      <c r="G109" s="346"/>
      <c r="H109" s="346"/>
      <c r="I109" s="346"/>
      <c r="J109" s="346"/>
      <c r="K109" s="346"/>
      <c r="L109" s="346"/>
      <c r="M109" s="346"/>
      <c r="N109" s="346"/>
      <c r="O109" s="346"/>
      <c r="P109" s="346"/>
    </row>
    <row r="110" spans="1:19" s="657" customFormat="1" ht="20.25" hidden="1" customHeight="1" x14ac:dyDescent="0.35">
      <c r="A110" s="657" t="s">
        <v>27726</v>
      </c>
      <c r="Q110" s="2164"/>
    </row>
    <row r="111" spans="1:19" ht="14.45" hidden="1" customHeight="1" x14ac:dyDescent="0.35">
      <c r="A111" s="74" t="s">
        <v>28268</v>
      </c>
      <c r="C111" s="744"/>
      <c r="D111" s="744"/>
      <c r="E111" s="744"/>
      <c r="F111" s="744"/>
      <c r="G111" s="346"/>
      <c r="H111" s="346"/>
      <c r="I111" s="346"/>
      <c r="J111" s="346"/>
      <c r="K111" s="346"/>
      <c r="L111" s="346"/>
      <c r="M111" s="346"/>
      <c r="N111" s="346"/>
      <c r="O111" s="346"/>
      <c r="P111" s="346"/>
      <c r="Q111" s="1246"/>
    </row>
    <row r="112" spans="1:19" ht="14.45" hidden="1" customHeight="1" x14ac:dyDescent="0.35">
      <c r="A112" s="1245" t="str">
        <f>'Table 3 Valid'!E216</f>
        <v/>
      </c>
      <c r="C112" s="744"/>
      <c r="D112" s="744"/>
      <c r="E112" s="744"/>
      <c r="F112" s="744"/>
      <c r="G112" s="346"/>
      <c r="H112" s="346"/>
      <c r="I112" s="346"/>
      <c r="J112" s="346"/>
      <c r="K112" s="346"/>
      <c r="L112" s="346"/>
      <c r="M112" s="346"/>
      <c r="N112" s="346"/>
      <c r="O112" s="346"/>
      <c r="P112" s="346"/>
    </row>
    <row r="113" spans="1:17" ht="14.45" hidden="1" customHeight="1" x14ac:dyDescent="0.35">
      <c r="A113" s="346" t="s">
        <v>28269</v>
      </c>
      <c r="Q113" s="1246"/>
    </row>
    <row r="114" spans="1:17" ht="14.45" customHeight="1" x14ac:dyDescent="0.35">
      <c r="A114" s="1245" t="str">
        <f>'Table 3 Valid'!O275</f>
        <v/>
      </c>
    </row>
    <row r="115" spans="1:17" s="346" customFormat="1" x14ac:dyDescent="0.35"/>
    <row r="116" spans="1:17" s="346" customFormat="1" x14ac:dyDescent="0.35"/>
    <row r="117" spans="1:17" s="346" customFormat="1" x14ac:dyDescent="0.35"/>
    <row r="118" spans="1:17" s="346" customFormat="1" x14ac:dyDescent="0.35"/>
    <row r="119" spans="1:17" s="346" customFormat="1" x14ac:dyDescent="0.35"/>
    <row r="120" spans="1:17" s="346" customFormat="1" x14ac:dyDescent="0.35"/>
    <row r="122" spans="1:17" s="346" customFormat="1" x14ac:dyDescent="0.35"/>
    <row r="311" ht="13.5" customHeight="1" x14ac:dyDescent="0.35"/>
    <row r="312" ht="13.5" customHeight="1" x14ac:dyDescent="0.35"/>
    <row r="313" ht="13.5" customHeight="1" x14ac:dyDescent="0.35"/>
    <row r="378" ht="14.25" customHeight="1" x14ac:dyDescent="0.35"/>
    <row r="379" ht="14.25" customHeight="1" x14ac:dyDescent="0.35"/>
    <row r="384" ht="14.25" customHeight="1" x14ac:dyDescent="0.35"/>
  </sheetData>
  <sheetProtection algorithmName="SHA-512" hashValue="17+vdbxtfkiH4ci+iHhTpxR9U8s+0ijtANxyIPJ2MSX7h55JbDLlR3qDN6SbxXoYLkhLWwPczqwcEo0gULSlKA==" saltValue="S4VBucKugPbOF6sx0UT++w==" spinCount="100000" sheet="1" objects="1" scenarios="1"/>
  <autoFilter ref="A11:A96" xr:uid="{00000000-0009-0000-0000-00000A000000}"/>
  <mergeCells count="12">
    <mergeCell ref="J8:L8"/>
    <mergeCell ref="M8:O8"/>
    <mergeCell ref="D8:F8"/>
    <mergeCell ref="G8:I8"/>
    <mergeCell ref="D4:F4"/>
    <mergeCell ref="D5:F5"/>
    <mergeCell ref="G5:I5"/>
    <mergeCell ref="J5:L5"/>
    <mergeCell ref="M5:O5"/>
    <mergeCell ref="G4:I4"/>
    <mergeCell ref="J4:L4"/>
    <mergeCell ref="M4:O4"/>
  </mergeCells>
  <phoneticPr fontId="0" type="noConversion"/>
  <conditionalFormatting sqref="D4:O4">
    <cfRule type="cellIs" dxfId="201" priority="385980" operator="notEqual">
      <formula>"Validation: OK"</formula>
    </cfRule>
  </conditionalFormatting>
  <conditionalFormatting sqref="D5:O5">
    <cfRule type="cellIs" dxfId="200" priority="86" operator="notEqual">
      <formula>"Credibility: OK"</formula>
    </cfRule>
  </conditionalFormatting>
  <conditionalFormatting sqref="D12:O96">
    <cfRule type="cellIs" dxfId="198" priority="41" operator="equal">
      <formula>0</formula>
    </cfRule>
  </conditionalFormatting>
  <dataValidations disablePrompts="1" count="2">
    <dataValidation type="custom" allowBlank="1" showInputMessage="1" showErrorMessage="1" errorTitle="Validation check" error="Table 3, Column 1 can only contain positive values up to two decimal places or zero." sqref="E83:F83 D78:F82 E77:F77 D72:F76 E71:F71 D66:F70 E65:F65 D60:F64 E59:F59 D54:F58 E53:F53 D48:F52 E47:F47 D42:F46 E41:F41 D36:F40 E35:F35 D30:F34 E29:F29 D24:F28 E23:F23 D18:F22 E17:F17 D12:F16" xr:uid="{5AF5B7FE-7DA5-45FF-84E2-D71D6D7F6E8B}">
      <formula1>AND(D12&gt;=0,ROUND(D12,2)=D12)</formula1>
    </dataValidation>
    <dataValidation type="custom" allowBlank="1" showInputMessage="1" showErrorMessage="1" errorTitle="Validation check" error="Table 3, Column 2 can only contain positive values up to two decimal places or zero." sqref="K83:L83 J78:L82 K77:L77 J72:L76 K71:L71 J66:L70 K65:L65 J60:L64 K59:L59 J54:L58 K53:L53 J48:L52 K47:L47 J42:L46 K41:L41 J36:L40 K35:L35 J30:L34 K29:L29 J24:L28 K23:L23 J18:L22 K17:L17 J12:L16" xr:uid="{7EC0D864-8E45-46DE-BF10-AFCB1FF4002E}">
      <formula1>AND(J12&gt;=0,ROUND(J12,2)=J12)</formula1>
    </dataValidation>
  </dataValidations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31" id="{70CA9D1F-3AA4-45ED-B632-94B46F732DF4}">
            <xm:f>IF('Table 3 Valid'!N15=1,1,0)</xm:f>
            <x14:dxf>
              <font>
                <b/>
                <i val="0"/>
                <color rgb="FFFF0000"/>
              </font>
            </x14:dxf>
          </x14:cfRule>
          <xm:sqref>D12:O95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570"/>
  <sheetViews>
    <sheetView workbookViewId="0"/>
  </sheetViews>
  <sheetFormatPr defaultColWidth="9" defaultRowHeight="12.75" x14ac:dyDescent="0.35"/>
  <cols>
    <col min="3" max="3" width="17.3984375" customWidth="1"/>
    <col min="4" max="4" width="27.1328125" bestFit="1" customWidth="1"/>
    <col min="10" max="10" width="11.59765625" bestFit="1" customWidth="1"/>
    <col min="13" max="13" width="8.86328125" bestFit="1" customWidth="1"/>
    <col min="14" max="14" width="16.265625" customWidth="1"/>
    <col min="17" max="17" width="9.59765625" customWidth="1"/>
    <col min="18" max="18" width="12" bestFit="1" customWidth="1"/>
    <col min="19" max="19" width="10" customWidth="1"/>
    <col min="20" max="20" width="16.73046875" customWidth="1"/>
    <col min="22" max="22" width="17.1328125" customWidth="1"/>
    <col min="23" max="23" width="11.1328125" customWidth="1"/>
    <col min="24" max="24" width="12" bestFit="1" customWidth="1"/>
    <col min="25" max="25" width="8.86328125" bestFit="1" customWidth="1"/>
    <col min="26" max="26" width="11.59765625" bestFit="1" customWidth="1"/>
    <col min="27" max="27" width="11.73046875" customWidth="1"/>
    <col min="29" max="29" width="11.59765625" bestFit="1" customWidth="1"/>
    <col min="30" max="30" width="12" bestFit="1" customWidth="1"/>
    <col min="32" max="32" width="11.59765625" bestFit="1" customWidth="1"/>
    <col min="33" max="33" width="12" bestFit="1" customWidth="1"/>
    <col min="34" max="34" width="8.86328125" bestFit="1" customWidth="1"/>
    <col min="35" max="35" width="11.1328125" customWidth="1"/>
    <col min="36" max="36" width="11.86328125" customWidth="1"/>
    <col min="37" max="37" width="8.86328125" bestFit="1" customWidth="1"/>
    <col min="38" max="38" width="13.265625" customWidth="1"/>
    <col min="39" max="39" width="11.59765625" bestFit="1" customWidth="1"/>
    <col min="41" max="41" width="11.59765625" bestFit="1" customWidth="1"/>
    <col min="42" max="42" width="12" bestFit="1" customWidth="1"/>
    <col min="44" max="44" width="11.59765625" bestFit="1" customWidth="1"/>
    <col min="45" max="45" width="12" bestFit="1" customWidth="1"/>
    <col min="47" max="47" width="11.59765625" bestFit="1" customWidth="1"/>
    <col min="48" max="48" width="12" bestFit="1" customWidth="1"/>
    <col min="50" max="50" width="11.59765625" bestFit="1" customWidth="1"/>
    <col min="51" max="51" width="12" bestFit="1" customWidth="1"/>
  </cols>
  <sheetData>
    <row r="1" spans="1:31" ht="15" x14ac:dyDescent="0.4">
      <c r="A1" s="102" t="s">
        <v>27727</v>
      </c>
    </row>
    <row r="2" spans="1:31" ht="13.15" x14ac:dyDescent="0.4">
      <c r="F2" s="6" t="s">
        <v>27679</v>
      </c>
      <c r="H2" s="6" t="s">
        <v>27680</v>
      </c>
      <c r="I2" s="6"/>
      <c r="J2" s="6" t="s">
        <v>28272</v>
      </c>
    </row>
    <row r="3" spans="1:31" ht="13.15" x14ac:dyDescent="0.4">
      <c r="B3" s="14" t="s">
        <v>343</v>
      </c>
      <c r="D3" s="7">
        <f>IF(AND(F3="Validation: OK",H3="Validation: OK"),0,1)</f>
        <v>0</v>
      </c>
      <c r="F3" s="570" t="str">
        <f>IF(AND(E33="",E113="",E193=""),"Validation: OK","Validation: Failure (see below table)")</f>
        <v>Validation: OK</v>
      </c>
      <c r="H3" s="571" t="str">
        <f>IF(AND(H33="",H113="",H193=""),"Validation: OK","Validation: Failure (see below table)")</f>
        <v>Validation: OK</v>
      </c>
      <c r="I3" s="7"/>
      <c r="J3" s="587" t="str">
        <f>IF(AND(F3="Validation: OK",H3="Validation: OK"),"Validation: OK","Validation: Failure (see below table)")</f>
        <v>Validation: OK</v>
      </c>
      <c r="T3" s="11"/>
    </row>
    <row r="4" spans="1:31" ht="13.15" x14ac:dyDescent="0.4">
      <c r="B4" s="14" t="s">
        <v>344</v>
      </c>
      <c r="D4" s="7">
        <f>IF(AND(F4="Credibility: OK",H4="Credibility: OK"),0,1)</f>
        <v>0</v>
      </c>
      <c r="F4" s="586" t="str">
        <f>IF(AND(E214="",O273=""),"Credibility: OK","Credibility: Warnings (see below table)")</f>
        <v>Credibility: OK</v>
      </c>
      <c r="H4" s="585" t="str">
        <f>IF(AND(H214="",R273=""),"Credibility: OK","Credibility: Warnings (see below table)")</f>
        <v>Credibility: OK</v>
      </c>
      <c r="I4" s="7"/>
      <c r="J4" s="2152" t="str">
        <f>IF(AND(F4="Credibility: OK",H4="Credibility: OK"),"Credibility: OK","Credibility: Warnings (see below table)")</f>
        <v>Credibility: OK</v>
      </c>
      <c r="T4" s="11"/>
    </row>
    <row r="7" spans="1:31" ht="156.4" x14ac:dyDescent="0.4">
      <c r="B7" s="1735" t="s">
        <v>346</v>
      </c>
      <c r="C7" s="1412"/>
      <c r="D7" s="320" t="s">
        <v>27728</v>
      </c>
      <c r="E7" s="320" t="s">
        <v>28265</v>
      </c>
      <c r="F7" s="320" t="s">
        <v>28267</v>
      </c>
      <c r="G7" s="1789"/>
      <c r="K7" s="7"/>
      <c r="L7" s="1735" t="s">
        <v>360</v>
      </c>
      <c r="M7" s="320"/>
      <c r="N7" s="320" t="s">
        <v>27729</v>
      </c>
      <c r="O7" s="320" t="s">
        <v>27730</v>
      </c>
      <c r="P7" s="320" t="s">
        <v>27731</v>
      </c>
      <c r="Q7" s="320" t="s">
        <v>27732</v>
      </c>
      <c r="R7" s="198" t="s">
        <v>27733</v>
      </c>
      <c r="S7" s="320" t="s">
        <v>27734</v>
      </c>
      <c r="T7" s="1789"/>
      <c r="U7" s="7"/>
      <c r="V7" s="7"/>
      <c r="W7" s="7"/>
    </row>
    <row r="8" spans="1:31" x14ac:dyDescent="0.35">
      <c r="B8" s="1609" t="s">
        <v>363</v>
      </c>
      <c r="C8" s="7"/>
      <c r="D8" s="7">
        <v>1</v>
      </c>
      <c r="E8" s="7">
        <v>1</v>
      </c>
      <c r="F8" s="7">
        <v>1</v>
      </c>
      <c r="G8" s="211"/>
      <c r="K8" s="7"/>
      <c r="L8" s="1609" t="s">
        <v>363</v>
      </c>
      <c r="M8" s="7"/>
      <c r="N8" s="7">
        <v>1</v>
      </c>
      <c r="O8" s="7">
        <v>1</v>
      </c>
      <c r="P8" s="7">
        <v>1</v>
      </c>
      <c r="Q8" s="7">
        <v>1</v>
      </c>
      <c r="R8" s="321">
        <v>1</v>
      </c>
      <c r="S8" s="7">
        <v>1</v>
      </c>
      <c r="T8" s="211"/>
      <c r="U8" s="7"/>
      <c r="V8" s="7"/>
      <c r="W8" s="7"/>
    </row>
    <row r="9" spans="1:31" ht="13.15" x14ac:dyDescent="0.4">
      <c r="B9" s="55"/>
      <c r="C9" s="42"/>
      <c r="D9" s="42"/>
      <c r="E9" s="42"/>
      <c r="F9" s="42"/>
      <c r="G9" s="56"/>
      <c r="K9" s="11"/>
      <c r="L9" s="57"/>
      <c r="M9" s="42"/>
      <c r="N9" s="42"/>
      <c r="O9" s="42"/>
      <c r="P9" s="42"/>
      <c r="Q9" s="42"/>
      <c r="R9" s="42"/>
      <c r="S9" s="42"/>
      <c r="T9" s="56"/>
      <c r="U9" s="11"/>
      <c r="V9" s="7"/>
      <c r="W9" s="7"/>
    </row>
    <row r="10" spans="1:31" ht="13.15" x14ac:dyDescent="0.4">
      <c r="B10" s="1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7"/>
      <c r="W10" s="7"/>
    </row>
    <row r="11" spans="1:31" ht="13.15" x14ac:dyDescent="0.4">
      <c r="B11" s="14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7"/>
      <c r="N11" s="14" t="s">
        <v>27735</v>
      </c>
    </row>
    <row r="12" spans="1:31" s="182" customFormat="1" ht="11.65" customHeight="1" x14ac:dyDescent="0.4">
      <c r="B12" s="601"/>
      <c r="C12" s="184"/>
      <c r="D12" s="184"/>
      <c r="E12" s="184" t="s">
        <v>27679</v>
      </c>
      <c r="F12" s="184" t="s">
        <v>27679</v>
      </c>
      <c r="G12" s="184" t="s">
        <v>27679</v>
      </c>
      <c r="H12" s="184" t="s">
        <v>27680</v>
      </c>
      <c r="I12" s="184" t="s">
        <v>27680</v>
      </c>
      <c r="J12" s="184" t="s">
        <v>27680</v>
      </c>
      <c r="K12" s="184"/>
      <c r="L12" s="184"/>
      <c r="M12" s="8"/>
      <c r="N12" s="8" t="s">
        <v>27679</v>
      </c>
      <c r="Q12" s="184" t="s">
        <v>27679</v>
      </c>
      <c r="T12" s="184" t="s">
        <v>27680</v>
      </c>
      <c r="W12" s="184" t="s">
        <v>28274</v>
      </c>
      <c r="AC12"/>
      <c r="AD12"/>
      <c r="AE12"/>
    </row>
    <row r="13" spans="1:31" s="182" customFormat="1" ht="12.4" customHeight="1" x14ac:dyDescent="0.4">
      <c r="B13" s="601"/>
      <c r="C13" s="184"/>
      <c r="D13" s="184"/>
      <c r="E13" s="184" t="s">
        <v>192</v>
      </c>
      <c r="F13" s="184" t="s">
        <v>193</v>
      </c>
      <c r="G13" s="184" t="s">
        <v>194</v>
      </c>
      <c r="H13" s="184" t="s">
        <v>192</v>
      </c>
      <c r="I13" s="184" t="s">
        <v>193</v>
      </c>
      <c r="J13" s="182" t="s">
        <v>194</v>
      </c>
      <c r="K13" s="184"/>
      <c r="L13" s="184"/>
      <c r="M13" s="8"/>
      <c r="N13" s="8" t="s">
        <v>293</v>
      </c>
      <c r="Q13" s="603" t="s">
        <v>293</v>
      </c>
      <c r="T13" s="603" t="s">
        <v>293</v>
      </c>
      <c r="W13" s="603" t="s">
        <v>293</v>
      </c>
      <c r="AC13"/>
      <c r="AD13"/>
      <c r="AE13"/>
    </row>
    <row r="14" spans="1:31" s="182" customFormat="1" ht="14.65" customHeight="1" x14ac:dyDescent="0.4">
      <c r="B14" s="602"/>
      <c r="C14" s="1441"/>
      <c r="D14" s="1441"/>
      <c r="E14" s="184"/>
      <c r="F14" s="184"/>
      <c r="G14" s="184"/>
      <c r="H14" s="184"/>
      <c r="I14" s="184"/>
      <c r="J14" s="184"/>
      <c r="K14" s="184"/>
      <c r="L14" s="184"/>
      <c r="M14" s="8"/>
      <c r="N14" s="8" t="s">
        <v>192</v>
      </c>
      <c r="O14" s="182" t="s">
        <v>193</v>
      </c>
      <c r="P14" s="182" t="s">
        <v>194</v>
      </c>
      <c r="Q14" s="182" t="s">
        <v>192</v>
      </c>
      <c r="R14" s="182" t="s">
        <v>193</v>
      </c>
      <c r="S14" s="182" t="s">
        <v>194</v>
      </c>
      <c r="T14" s="182" t="s">
        <v>192</v>
      </c>
      <c r="U14" s="182" t="s">
        <v>193</v>
      </c>
      <c r="V14" s="182" t="s">
        <v>194</v>
      </c>
      <c r="W14" s="182" t="s">
        <v>192</v>
      </c>
      <c r="X14" s="182" t="s">
        <v>193</v>
      </c>
      <c r="Y14" s="182" t="s">
        <v>194</v>
      </c>
      <c r="AC14"/>
      <c r="AD14"/>
      <c r="AE14"/>
    </row>
    <row r="15" spans="1:31" ht="13.15" x14ac:dyDescent="0.35">
      <c r="B15" s="1528" t="s">
        <v>27736</v>
      </c>
      <c r="C15" s="11"/>
      <c r="D15" s="11"/>
      <c r="E15" s="1801"/>
      <c r="F15" s="1801"/>
      <c r="G15" s="1801"/>
      <c r="H15" s="1801"/>
      <c r="I15" s="1801"/>
      <c r="J15" s="1801"/>
      <c r="K15" s="1802"/>
      <c r="M15" s="30" t="s">
        <v>203</v>
      </c>
      <c r="N15" s="1803">
        <f t="shared" ref="N15:P19" si="0">IF(OR(E38&lt;&gt;"",E118&lt;&gt;""),1,0)</f>
        <v>0</v>
      </c>
      <c r="O15" s="1699">
        <f t="shared" si="0"/>
        <v>0</v>
      </c>
      <c r="P15" s="1700">
        <f t="shared" si="0"/>
        <v>0</v>
      </c>
      <c r="Q15" s="1804">
        <f>N15</f>
        <v>0</v>
      </c>
      <c r="R15" s="1691">
        <f>O15</f>
        <v>0</v>
      </c>
      <c r="S15" s="1692">
        <f>P15</f>
        <v>0</v>
      </c>
      <c r="T15" s="1805">
        <f t="shared" ref="T15:V19" si="1">IF(OR(H38&lt;&gt;"",H118&lt;&gt;""),1,0)</f>
        <v>0</v>
      </c>
      <c r="U15" s="1689">
        <f t="shared" si="1"/>
        <v>0</v>
      </c>
      <c r="V15" s="1690">
        <f t="shared" si="1"/>
        <v>0</v>
      </c>
      <c r="W15" s="1713">
        <f>IF(OR(N15=1,T15=1),1,0)</f>
        <v>0</v>
      </c>
      <c r="X15" s="1691">
        <f t="shared" ref="X15:Y30" si="2">IF(OR(O15=1,U15=1),1,0)</f>
        <v>0</v>
      </c>
      <c r="Y15" s="1692">
        <f t="shared" si="2"/>
        <v>0</v>
      </c>
    </row>
    <row r="16" spans="1:31" ht="12" customHeight="1" x14ac:dyDescent="0.35">
      <c r="B16" s="118"/>
      <c r="C16" s="11"/>
      <c r="D16" s="11"/>
      <c r="E16" s="184" t="s">
        <v>27679</v>
      </c>
      <c r="F16" s="184" t="s">
        <v>27679</v>
      </c>
      <c r="G16" s="184" t="s">
        <v>27679</v>
      </c>
      <c r="H16" s="184" t="s">
        <v>27680</v>
      </c>
      <c r="I16" s="184" t="s">
        <v>27680</v>
      </c>
      <c r="J16" s="184" t="s">
        <v>27680</v>
      </c>
      <c r="K16" s="27"/>
      <c r="M16" s="30" t="s">
        <v>203</v>
      </c>
      <c r="N16" s="1285">
        <f t="shared" si="0"/>
        <v>0</v>
      </c>
      <c r="O16" s="1286">
        <f t="shared" si="0"/>
        <v>0</v>
      </c>
      <c r="P16" s="1287">
        <f t="shared" si="0"/>
        <v>0</v>
      </c>
      <c r="Q16" s="654">
        <f t="shared" ref="Q16:Q79" si="3">N16</f>
        <v>0</v>
      </c>
      <c r="R16" s="472">
        <f t="shared" ref="R16:R79" si="4">O16</f>
        <v>0</v>
      </c>
      <c r="S16" s="655">
        <f t="shared" ref="S16:S79" si="5">P16</f>
        <v>0</v>
      </c>
      <c r="T16" s="653">
        <f t="shared" si="1"/>
        <v>0</v>
      </c>
      <c r="U16" s="471">
        <f t="shared" si="1"/>
        <v>0</v>
      </c>
      <c r="V16" s="469">
        <f t="shared" si="1"/>
        <v>0</v>
      </c>
      <c r="W16" s="654">
        <f t="shared" ref="W16:Y79" si="6">IF(OR(N16=1,T16=1),1,0)</f>
        <v>0</v>
      </c>
      <c r="X16" s="472">
        <f t="shared" si="2"/>
        <v>0</v>
      </c>
      <c r="Y16" s="655">
        <f t="shared" si="2"/>
        <v>0</v>
      </c>
    </row>
    <row r="17" spans="2:25" ht="13.15" x14ac:dyDescent="0.35">
      <c r="B17" s="118"/>
      <c r="C17" s="11"/>
      <c r="D17" s="11"/>
      <c r="E17" s="11" t="s">
        <v>192</v>
      </c>
      <c r="F17" s="11" t="s">
        <v>193</v>
      </c>
      <c r="G17" s="11" t="s">
        <v>194</v>
      </c>
      <c r="H17" s="11" t="s">
        <v>192</v>
      </c>
      <c r="I17" s="11" t="s">
        <v>193</v>
      </c>
      <c r="J17" t="s">
        <v>194</v>
      </c>
      <c r="K17" s="1431"/>
      <c r="M17" s="30" t="s">
        <v>203</v>
      </c>
      <c r="N17" s="1285">
        <f t="shared" si="0"/>
        <v>0</v>
      </c>
      <c r="O17" s="1286">
        <f t="shared" si="0"/>
        <v>0</v>
      </c>
      <c r="P17" s="1287">
        <f t="shared" si="0"/>
        <v>0</v>
      </c>
      <c r="Q17" s="654">
        <f t="shared" ref="Q17" si="7">N17</f>
        <v>0</v>
      </c>
      <c r="R17" s="472">
        <f t="shared" ref="R17" si="8">O17</f>
        <v>0</v>
      </c>
      <c r="S17" s="655">
        <f t="shared" ref="S17" si="9">P17</f>
        <v>0</v>
      </c>
      <c r="T17" s="653">
        <f t="shared" si="1"/>
        <v>0</v>
      </c>
      <c r="U17" s="471">
        <f t="shared" si="1"/>
        <v>0</v>
      </c>
      <c r="V17" s="469">
        <f t="shared" si="1"/>
        <v>0</v>
      </c>
      <c r="W17" s="654">
        <f t="shared" si="6"/>
        <v>0</v>
      </c>
      <c r="X17" s="472">
        <f t="shared" si="2"/>
        <v>0</v>
      </c>
      <c r="Y17" s="655">
        <f t="shared" si="2"/>
        <v>0</v>
      </c>
    </row>
    <row r="18" spans="2:25" ht="13.15" x14ac:dyDescent="0.35">
      <c r="B18" s="1528"/>
      <c r="C18" s="7" t="s">
        <v>204</v>
      </c>
      <c r="D18" s="13" t="s">
        <v>205</v>
      </c>
      <c r="E18" s="1806" t="str">
        <f>IF(AND($D$8=1,TRUNC('3_Part_time'!G84)&lt;&gt;'3_Part_time'!G84), E$12&amp;", "&amp;E$13&amp;", "&amp;$C18&amp;" length, Level "&amp;$D18&amp;"; ","")</f>
        <v/>
      </c>
      <c r="F18" s="331" t="str">
        <f>IF(AND($D$8=1,TRUNC('3_Part_time'!H84)&lt;&gt;'3_Part_time'!H84), F$12&amp;", "&amp;F$13&amp;", "&amp;$C18&amp;" length, Level "&amp;$D18&amp;"; ","")</f>
        <v/>
      </c>
      <c r="G18" s="1807" t="str">
        <f>IF(AND($D$8=1,TRUNC('3_Part_time'!I84)&lt;&gt;'3_Part_time'!I84), G$12&amp;", "&amp;G$13&amp;", "&amp;$C18&amp;" length, Level "&amp;$D18&amp;"; ","")</f>
        <v/>
      </c>
      <c r="H18" s="1806" t="str">
        <f>IF(AND($D$8=1,TRUNC('3_Part_time'!J84)&lt;&gt;'3_Part_time'!J84), H$12&amp;", "&amp;H$13&amp;", "&amp;$C18&amp;" length, Level "&amp;$D18&amp;"; ","")</f>
        <v/>
      </c>
      <c r="I18" s="331" t="str">
        <f>IF(AND($D$8=1,TRUNC('3_Part_time'!K84)&lt;&gt;'3_Part_time'!K84), I$12&amp;", "&amp;I$13&amp;", "&amp;$C18&amp;" length, Level "&amp;$D18&amp;"; ","")</f>
        <v/>
      </c>
      <c r="J18" s="1807" t="str">
        <f>IF(AND($D$8=1,TRUNC('3_Part_time'!L84)&lt;&gt;'3_Part_time'!L84), J$12&amp;", "&amp;J$13&amp;", "&amp;$C18&amp;" length, Level "&amp;$D18&amp;"; ","")</f>
        <v/>
      </c>
      <c r="K18" s="1431"/>
      <c r="M18" s="30" t="s">
        <v>203</v>
      </c>
      <c r="N18" s="417">
        <f t="shared" si="0"/>
        <v>0</v>
      </c>
      <c r="O18" s="418">
        <f t="shared" si="0"/>
        <v>0</v>
      </c>
      <c r="P18" s="419">
        <f t="shared" si="0"/>
        <v>0</v>
      </c>
      <c r="Q18" s="391">
        <f t="shared" si="3"/>
        <v>0</v>
      </c>
      <c r="R18" s="392">
        <f t="shared" si="4"/>
        <v>0</v>
      </c>
      <c r="S18" s="393">
        <f t="shared" si="5"/>
        <v>0</v>
      </c>
      <c r="T18" s="378">
        <f t="shared" si="1"/>
        <v>0</v>
      </c>
      <c r="U18" s="379">
        <f t="shared" si="1"/>
        <v>0</v>
      </c>
      <c r="V18" s="380">
        <f t="shared" si="1"/>
        <v>0</v>
      </c>
      <c r="W18" s="391">
        <f t="shared" si="6"/>
        <v>0</v>
      </c>
      <c r="X18" s="392">
        <f t="shared" si="2"/>
        <v>0</v>
      </c>
      <c r="Y18" s="393">
        <f t="shared" si="2"/>
        <v>0</v>
      </c>
    </row>
    <row r="19" spans="2:25" ht="13.15" x14ac:dyDescent="0.35">
      <c r="B19" s="1528"/>
      <c r="C19" s="7" t="s">
        <v>204</v>
      </c>
      <c r="D19" s="13" t="s">
        <v>208</v>
      </c>
      <c r="E19" s="1610" t="str">
        <f>IF(AND($D$8=1,TRUNC('3_Part_time'!G85)&lt;&gt;'3_Part_time'!G85), E$12&amp;", "&amp;E$13&amp;", "&amp;$C19&amp;" length, Level "&amp;$D19&amp;"; ","")</f>
        <v/>
      </c>
      <c r="F19" s="11" t="str">
        <f>IF(AND($D$8=1,TRUNC('3_Part_time'!H85)&lt;&gt;'3_Part_time'!H85), F$12&amp;", "&amp;F$13&amp;", "&amp;$C19&amp;" length, Level "&amp;$D19&amp;"; ","")</f>
        <v/>
      </c>
      <c r="G19" s="54" t="str">
        <f>IF(AND($D$8=1,TRUNC('3_Part_time'!I85)&lt;&gt;'3_Part_time'!I85), G$12&amp;", "&amp;G$13&amp;", "&amp;$C19&amp;" length, Level "&amp;$D19&amp;"; ","")</f>
        <v/>
      </c>
      <c r="H19" s="1610" t="str">
        <f>IF(AND($D$8=1,TRUNC('3_Part_time'!J85)&lt;&gt;'3_Part_time'!J85), H$12&amp;", "&amp;H$13&amp;", "&amp;$C19&amp;" length, Level "&amp;$D19&amp;"; ","")</f>
        <v/>
      </c>
      <c r="I19" s="11" t="str">
        <f>IF(AND($D$8=1,TRUNC('3_Part_time'!K85)&lt;&gt;'3_Part_time'!K85), I$12&amp;", "&amp;I$13&amp;", "&amp;$C19&amp;" length, Level "&amp;$D19&amp;"; ","")</f>
        <v/>
      </c>
      <c r="J19" s="54" t="str">
        <f>IF(AND($D$8=1,TRUNC('3_Part_time'!L85)&lt;&gt;'3_Part_time'!L85), J$12&amp;", "&amp;J$13&amp;", "&amp;$C19&amp;" length, Level "&amp;$D19&amp;"; ","")</f>
        <v/>
      </c>
      <c r="K19" s="1431"/>
      <c r="M19" s="30" t="s">
        <v>203</v>
      </c>
      <c r="N19" s="417">
        <f t="shared" si="0"/>
        <v>0</v>
      </c>
      <c r="O19" s="418">
        <f t="shared" si="0"/>
        <v>0</v>
      </c>
      <c r="P19" s="419">
        <f t="shared" si="0"/>
        <v>0</v>
      </c>
      <c r="Q19" s="391">
        <f t="shared" si="3"/>
        <v>0</v>
      </c>
      <c r="R19" s="392">
        <f t="shared" si="4"/>
        <v>0</v>
      </c>
      <c r="S19" s="393">
        <f t="shared" si="5"/>
        <v>0</v>
      </c>
      <c r="T19" s="378">
        <f t="shared" si="1"/>
        <v>0</v>
      </c>
      <c r="U19" s="379">
        <f t="shared" si="1"/>
        <v>0</v>
      </c>
      <c r="V19" s="380">
        <f t="shared" si="1"/>
        <v>0</v>
      </c>
      <c r="W19" s="394">
        <f t="shared" si="6"/>
        <v>0</v>
      </c>
      <c r="X19" s="395">
        <f t="shared" si="2"/>
        <v>0</v>
      </c>
      <c r="Y19" s="396">
        <f t="shared" si="2"/>
        <v>0</v>
      </c>
    </row>
    <row r="20" spans="2:25" ht="13.15" x14ac:dyDescent="0.35">
      <c r="B20" s="1528"/>
      <c r="C20" s="7" t="s">
        <v>204</v>
      </c>
      <c r="D20" s="13" t="s">
        <v>210</v>
      </c>
      <c r="E20" s="1610" t="str">
        <f>IF(AND($D$8=1,TRUNC('3_Part_time'!G86)&lt;&gt;'3_Part_time'!G86), E$12&amp;", "&amp;E$13&amp;", "&amp;$C20&amp;" length, Level "&amp;$D20&amp;"; ","")</f>
        <v/>
      </c>
      <c r="F20" s="11" t="str">
        <f>IF(AND($D$8=1,TRUNC('3_Part_time'!H86)&lt;&gt;'3_Part_time'!H86), F$12&amp;", "&amp;F$13&amp;", "&amp;$C20&amp;" length, Level "&amp;$D20&amp;"; ","")</f>
        <v/>
      </c>
      <c r="G20" s="54" t="str">
        <f>IF(AND($D$8=1,TRUNC('3_Part_time'!I86)&lt;&gt;'3_Part_time'!I86), G$12&amp;", "&amp;G$13&amp;", "&amp;$C20&amp;" length, Level "&amp;$D20&amp;"; ","")</f>
        <v/>
      </c>
      <c r="H20" s="1610" t="str">
        <f>IF(AND($D$8=1,TRUNC('3_Part_time'!J86)&lt;&gt;'3_Part_time'!J86), H$12&amp;", "&amp;H$13&amp;", "&amp;$C20&amp;" length, Level "&amp;$D20&amp;"; ","")</f>
        <v/>
      </c>
      <c r="I20" s="11" t="str">
        <f>IF(AND($D$8=1,TRUNC('3_Part_time'!K86)&lt;&gt;'3_Part_time'!K86), I$12&amp;", "&amp;I$13&amp;", "&amp;$C20&amp;" length, Level "&amp;$D20&amp;"; ","")</f>
        <v/>
      </c>
      <c r="J20" s="54" t="str">
        <f>IF(AND($D$8=1,TRUNC('3_Part_time'!L86)&lt;&gt;'3_Part_time'!L86), J$12&amp;", "&amp;J$13&amp;", "&amp;$C20&amp;" length, Level "&amp;$D20&amp;"; ","")</f>
        <v/>
      </c>
      <c r="K20" s="1431"/>
      <c r="M20" s="30" t="s">
        <v>203</v>
      </c>
      <c r="N20" s="420"/>
      <c r="O20" s="418">
        <f t="shared" ref="O20:O51" si="10">IF(OR(F43&lt;&gt;"",F123&lt;&gt;""),1,0)</f>
        <v>0</v>
      </c>
      <c r="P20" s="419">
        <f t="shared" ref="P20:P51" si="11">IF(OR(G43&lt;&gt;"",G123&lt;&gt;""),1,0)</f>
        <v>0</v>
      </c>
      <c r="Q20" s="384"/>
      <c r="R20" s="392">
        <f t="shared" si="4"/>
        <v>0</v>
      </c>
      <c r="S20" s="393">
        <f t="shared" si="5"/>
        <v>0</v>
      </c>
      <c r="T20" s="384"/>
      <c r="U20" s="379">
        <f t="shared" ref="U20:U51" si="12">IF(OR(I43&lt;&gt;"",I123&lt;&gt;""),1,0)</f>
        <v>0</v>
      </c>
      <c r="V20" s="380">
        <f t="shared" ref="V20:V51" si="13">IF(OR(J43&lt;&gt;"",J123&lt;&gt;""),1,0)</f>
        <v>0</v>
      </c>
      <c r="W20" s="384"/>
      <c r="X20" s="392">
        <f t="shared" si="2"/>
        <v>0</v>
      </c>
      <c r="Y20" s="393">
        <f t="shared" si="2"/>
        <v>0</v>
      </c>
    </row>
    <row r="21" spans="2:25" ht="13.15" x14ac:dyDescent="0.35">
      <c r="B21" s="1528"/>
      <c r="C21" s="7" t="s">
        <v>204</v>
      </c>
      <c r="D21" s="13" t="s">
        <v>212</v>
      </c>
      <c r="E21" s="1610" t="str">
        <f>IF(AND($D$8=1,TRUNC('3_Part_time'!G87)&lt;&gt;'3_Part_time'!G87), E$12&amp;", "&amp;E$13&amp;", "&amp;$C21&amp;" length, Level "&amp;$D21&amp;"; ","")</f>
        <v/>
      </c>
      <c r="F21" s="11" t="str">
        <f>IF(AND($D$8=1,TRUNC('3_Part_time'!H87)&lt;&gt;'3_Part_time'!H87), F$12&amp;", "&amp;F$13&amp;", "&amp;$C21&amp;" length, Level "&amp;$D21&amp;"; ","")</f>
        <v/>
      </c>
      <c r="G21" s="54" t="str">
        <f>IF(AND($D$8=1,TRUNC('3_Part_time'!I87)&lt;&gt;'3_Part_time'!I87), G$12&amp;", "&amp;G$13&amp;", "&amp;$C21&amp;" length, Level "&amp;$D21&amp;"; ","")</f>
        <v/>
      </c>
      <c r="H21" s="1610" t="str">
        <f>IF(AND($D$8=1,TRUNC('3_Part_time'!J87)&lt;&gt;'3_Part_time'!J87), H$12&amp;", "&amp;H$13&amp;", "&amp;$C21&amp;" length, Level "&amp;$D21&amp;"; ","")</f>
        <v/>
      </c>
      <c r="I21" s="11" t="str">
        <f>IF(AND($D$8=1,TRUNC('3_Part_time'!K87)&lt;&gt;'3_Part_time'!K87), I$12&amp;", "&amp;I$13&amp;", "&amp;$C21&amp;" length, Level "&amp;$D21&amp;"; ","")</f>
        <v/>
      </c>
      <c r="J21" s="54" t="str">
        <f>IF(AND($D$8=1,TRUNC('3_Part_time'!L87)&lt;&gt;'3_Part_time'!L87), J$12&amp;", "&amp;J$13&amp;", "&amp;$C21&amp;" length, Level "&amp;$D21&amp;"; ","")</f>
        <v/>
      </c>
      <c r="K21" s="1431"/>
      <c r="M21" s="30" t="s">
        <v>203</v>
      </c>
      <c r="N21" s="421">
        <f>IF(OR(E44&lt;&gt;"",E124&lt;&gt;""),1,0)</f>
        <v>0</v>
      </c>
      <c r="O21" s="422">
        <f t="shared" si="10"/>
        <v>0</v>
      </c>
      <c r="P21" s="423">
        <f t="shared" si="11"/>
        <v>0</v>
      </c>
      <c r="Q21" s="397">
        <f t="shared" si="3"/>
        <v>0</v>
      </c>
      <c r="R21" s="398">
        <f t="shared" si="4"/>
        <v>0</v>
      </c>
      <c r="S21" s="399">
        <f t="shared" si="5"/>
        <v>0</v>
      </c>
      <c r="T21" s="385">
        <f>IF(OR(H44&lt;&gt;"",H124&lt;&gt;""),1,0)</f>
        <v>0</v>
      </c>
      <c r="U21" s="386">
        <f t="shared" si="12"/>
        <v>0</v>
      </c>
      <c r="V21" s="387">
        <f t="shared" si="13"/>
        <v>0</v>
      </c>
      <c r="W21" s="397">
        <f t="shared" si="6"/>
        <v>0</v>
      </c>
      <c r="X21" s="398">
        <f t="shared" si="2"/>
        <v>0</v>
      </c>
      <c r="Y21" s="399">
        <f t="shared" si="2"/>
        <v>0</v>
      </c>
    </row>
    <row r="22" spans="2:25" ht="13.15" x14ac:dyDescent="0.35">
      <c r="B22" s="1528"/>
      <c r="C22" s="7" t="s">
        <v>204</v>
      </c>
      <c r="D22" s="13" t="s">
        <v>214</v>
      </c>
      <c r="E22" s="1610" t="str">
        <f>IF(AND($D$8=1,TRUNC('3_Part_time'!G88)&lt;&gt;'3_Part_time'!G88), E$12&amp;", "&amp;E$13&amp;", "&amp;$C22&amp;" length, Level "&amp;$D22&amp;"; ","")</f>
        <v/>
      </c>
      <c r="F22" s="11" t="str">
        <f>IF(AND($D$8=1,TRUNC('3_Part_time'!H88)&lt;&gt;'3_Part_time'!H88), F$12&amp;", "&amp;F$13&amp;", "&amp;$C22&amp;" length, Level "&amp;$D22&amp;"; ","")</f>
        <v/>
      </c>
      <c r="G22" s="54" t="str">
        <f>IF(AND($D$8=1,TRUNC('3_Part_time'!I88)&lt;&gt;'3_Part_time'!I88), G$12&amp;", "&amp;G$13&amp;", "&amp;$C22&amp;" length, Level "&amp;$D22&amp;"; ","")</f>
        <v/>
      </c>
      <c r="H22" s="1610" t="str">
        <f>IF(AND($D$8=1,TRUNC('3_Part_time'!J88)&lt;&gt;'3_Part_time'!J88), H$12&amp;", "&amp;H$13&amp;", "&amp;$C22&amp;" length, Level "&amp;$D22&amp;"; ","")</f>
        <v/>
      </c>
      <c r="I22" s="11" t="str">
        <f>IF(AND($D$8=1,TRUNC('3_Part_time'!K88)&lt;&gt;'3_Part_time'!K88), I$12&amp;", "&amp;I$13&amp;", "&amp;$C22&amp;" length, Level "&amp;$D22&amp;"; ","")</f>
        <v/>
      </c>
      <c r="J22" s="54" t="str">
        <f>IF(AND($D$8=1,TRUNC('3_Part_time'!L88)&lt;&gt;'3_Part_time'!L88), J$12&amp;", "&amp;J$13&amp;", "&amp;$C22&amp;" length, Level "&amp;$D22&amp;"; ","")</f>
        <v/>
      </c>
      <c r="K22" s="1431"/>
      <c r="M22" s="30" t="s">
        <v>203</v>
      </c>
      <c r="N22" s="421">
        <f>IF(OR(E45&lt;&gt;"",E125&lt;&gt;""),1,0)</f>
        <v>0</v>
      </c>
      <c r="O22" s="422">
        <f t="shared" si="10"/>
        <v>0</v>
      </c>
      <c r="P22" s="423">
        <f t="shared" si="11"/>
        <v>0</v>
      </c>
      <c r="Q22" s="397">
        <f t="shared" si="3"/>
        <v>0</v>
      </c>
      <c r="R22" s="398">
        <f t="shared" si="4"/>
        <v>0</v>
      </c>
      <c r="S22" s="399">
        <f t="shared" si="5"/>
        <v>0</v>
      </c>
      <c r="T22" s="385">
        <f>IF(OR(H45&lt;&gt;"",H125&lt;&gt;""),1,0)</f>
        <v>0</v>
      </c>
      <c r="U22" s="386">
        <f t="shared" si="12"/>
        <v>0</v>
      </c>
      <c r="V22" s="387">
        <f t="shared" si="13"/>
        <v>0</v>
      </c>
      <c r="W22" s="391">
        <f t="shared" si="6"/>
        <v>0</v>
      </c>
      <c r="X22" s="392">
        <f t="shared" si="2"/>
        <v>0</v>
      </c>
      <c r="Y22" s="393">
        <f t="shared" si="2"/>
        <v>0</v>
      </c>
    </row>
    <row r="23" spans="2:25" ht="13.15" x14ac:dyDescent="0.35">
      <c r="B23" s="1528"/>
      <c r="C23" s="7" t="s">
        <v>204</v>
      </c>
      <c r="D23" s="13" t="s">
        <v>216</v>
      </c>
      <c r="E23" s="1448"/>
      <c r="F23" s="1387" t="str">
        <f>IF(AND($D$8=1,TRUNC('3_Part_time'!H89)&lt;&gt;'3_Part_time'!H89), F$12&amp;", "&amp;F$13&amp;", "&amp;$C23&amp;" length, Level "&amp;$D23&amp;"; ","")</f>
        <v/>
      </c>
      <c r="G23" s="1421" t="str">
        <f>IF(AND($D$8=1,TRUNC('3_Part_time'!I89)&lt;&gt;'3_Part_time'!I89), G$12&amp;", "&amp;G$13&amp;", "&amp;$C23&amp;" length, Level "&amp;$D23&amp;"; ","")</f>
        <v/>
      </c>
      <c r="H23" s="1448"/>
      <c r="I23" s="1387" t="str">
        <f>IF(AND($D$8=1,TRUNC('3_Part_time'!K89)&lt;&gt;'3_Part_time'!K89), I$12&amp;", "&amp;I$13&amp;", "&amp;$C23&amp;" length, Level "&amp;$D23&amp;"; ","")</f>
        <v/>
      </c>
      <c r="J23" s="1421" t="str">
        <f>IF(AND($D$8=1,TRUNC('3_Part_time'!L89)&lt;&gt;'3_Part_time'!L89), J$12&amp;", "&amp;J$13&amp;", "&amp;$C23&amp;" length, Level "&amp;$D23&amp;"; ","")</f>
        <v/>
      </c>
      <c r="K23" s="1431"/>
      <c r="M23" s="30" t="s">
        <v>203</v>
      </c>
      <c r="N23" s="421">
        <f>IF(OR(E46&lt;&gt;"",E126&lt;&gt;""),1,0)</f>
        <v>0</v>
      </c>
      <c r="O23" s="422">
        <f t="shared" si="10"/>
        <v>0</v>
      </c>
      <c r="P23" s="423">
        <f t="shared" si="11"/>
        <v>0</v>
      </c>
      <c r="Q23" s="397">
        <f t="shared" ref="Q23" si="14">N23</f>
        <v>0</v>
      </c>
      <c r="R23" s="398">
        <f t="shared" ref="R23" si="15">O23</f>
        <v>0</v>
      </c>
      <c r="S23" s="399">
        <f t="shared" ref="S23" si="16">P23</f>
        <v>0</v>
      </c>
      <c r="T23" s="385">
        <f>IF(OR(H46&lt;&gt;"",H126&lt;&gt;""),1,0)</f>
        <v>0</v>
      </c>
      <c r="U23" s="386">
        <f t="shared" si="12"/>
        <v>0</v>
      </c>
      <c r="V23" s="387">
        <f t="shared" si="13"/>
        <v>0</v>
      </c>
      <c r="W23" s="391">
        <f t="shared" si="6"/>
        <v>0</v>
      </c>
      <c r="X23" s="392">
        <f t="shared" si="2"/>
        <v>0</v>
      </c>
      <c r="Y23" s="393">
        <f t="shared" si="2"/>
        <v>0</v>
      </c>
    </row>
    <row r="24" spans="2:25" ht="13.15" x14ac:dyDescent="0.35">
      <c r="B24" s="1528"/>
      <c r="C24" s="7" t="s">
        <v>218</v>
      </c>
      <c r="D24" s="13" t="s">
        <v>205</v>
      </c>
      <c r="E24" s="1610" t="str">
        <f>IF(AND($D$8=1,TRUNC('3_Part_time'!G90)&lt;&gt;'3_Part_time'!G90), E$12&amp;", "&amp;E$13&amp;", "&amp;$C24&amp;" length, Level "&amp;$D24&amp;"; ","")</f>
        <v/>
      </c>
      <c r="F24" s="11" t="str">
        <f>IF(AND($D$8=1,TRUNC('3_Part_time'!H90)&lt;&gt;'3_Part_time'!H90), F$12&amp;", "&amp;F$13&amp;", "&amp;$C24&amp;" length, Level "&amp;$D24&amp;"; ","")</f>
        <v/>
      </c>
      <c r="G24" s="54" t="str">
        <f>IF(AND($D$8=1,TRUNC('3_Part_time'!I90)&lt;&gt;'3_Part_time'!I90), G$12&amp;", "&amp;G$13&amp;", "&amp;$C24&amp;" length, Level "&amp;$D24&amp;"; ","")</f>
        <v/>
      </c>
      <c r="H24" s="1610" t="str">
        <f>IF(AND($D$8=1,TRUNC('3_Part_time'!J90)&lt;&gt;'3_Part_time'!J90), H$12&amp;", "&amp;H$13&amp;", "&amp;$C24&amp;" length, Level "&amp;$D24&amp;"; ","")</f>
        <v/>
      </c>
      <c r="I24" s="11" t="str">
        <f>IF(AND($D$8=1,TRUNC('3_Part_time'!K90)&lt;&gt;'3_Part_time'!K90), I$12&amp;", "&amp;I$13&amp;", "&amp;$C24&amp;" length, Level "&amp;$D24&amp;"; ","")</f>
        <v/>
      </c>
      <c r="J24" s="54" t="str">
        <f>IF(AND($D$8=1,TRUNC('3_Part_time'!L90)&lt;&gt;'3_Part_time'!L90), J$12&amp;", "&amp;J$13&amp;", "&amp;$C24&amp;" length, Level "&amp;$D24&amp;"; ","")</f>
        <v/>
      </c>
      <c r="K24" s="1431"/>
      <c r="M24" s="30" t="s">
        <v>203</v>
      </c>
      <c r="N24" s="417">
        <f>IF(OR(E47&lt;&gt;"",E127&lt;&gt;""),1,0)</f>
        <v>0</v>
      </c>
      <c r="O24" s="418">
        <f t="shared" si="10"/>
        <v>0</v>
      </c>
      <c r="P24" s="419">
        <f t="shared" si="11"/>
        <v>0</v>
      </c>
      <c r="Q24" s="391">
        <f t="shared" si="3"/>
        <v>0</v>
      </c>
      <c r="R24" s="392">
        <f t="shared" si="4"/>
        <v>0</v>
      </c>
      <c r="S24" s="393">
        <f t="shared" si="5"/>
        <v>0</v>
      </c>
      <c r="T24" s="378">
        <f>IF(OR(H47&lt;&gt;"",H127&lt;&gt;""),1,0)</f>
        <v>0</v>
      </c>
      <c r="U24" s="379">
        <f t="shared" si="12"/>
        <v>0</v>
      </c>
      <c r="V24" s="380">
        <f t="shared" si="13"/>
        <v>0</v>
      </c>
      <c r="W24" s="391">
        <f t="shared" si="6"/>
        <v>0</v>
      </c>
      <c r="X24" s="392">
        <f t="shared" si="2"/>
        <v>0</v>
      </c>
      <c r="Y24" s="393">
        <f t="shared" si="2"/>
        <v>0</v>
      </c>
    </row>
    <row r="25" spans="2:25" ht="13.15" x14ac:dyDescent="0.35">
      <c r="B25" s="1528"/>
      <c r="C25" s="7" t="s">
        <v>218</v>
      </c>
      <c r="D25" s="13" t="s">
        <v>208</v>
      </c>
      <c r="E25" s="1610" t="str">
        <f>IF(AND($D$8=1,TRUNC('3_Part_time'!G91)&lt;&gt;'3_Part_time'!G91), E$12&amp;", "&amp;E$13&amp;", "&amp;$C25&amp;" length, Level "&amp;$D25&amp;"; ","")</f>
        <v/>
      </c>
      <c r="F25" s="11" t="str">
        <f>IF(AND($D$8=1,TRUNC('3_Part_time'!H91)&lt;&gt;'3_Part_time'!H91), F$12&amp;", "&amp;F$13&amp;", "&amp;$C25&amp;" length, Level "&amp;$D25&amp;"; ","")</f>
        <v/>
      </c>
      <c r="G25" s="54" t="str">
        <f>IF(AND($D$8=1,TRUNC('3_Part_time'!I91)&lt;&gt;'3_Part_time'!I91), G$12&amp;", "&amp;G$13&amp;", "&amp;$C25&amp;" length, Level "&amp;$D25&amp;"; ","")</f>
        <v/>
      </c>
      <c r="H25" s="1610" t="str">
        <f>IF(AND($D$8=1,TRUNC('3_Part_time'!J91)&lt;&gt;'3_Part_time'!J91), H$12&amp;", "&amp;H$13&amp;", "&amp;$C25&amp;" length, Level "&amp;$D25&amp;"; ","")</f>
        <v/>
      </c>
      <c r="I25" s="11" t="str">
        <f>IF(AND($D$8=1,TRUNC('3_Part_time'!K91)&lt;&gt;'3_Part_time'!K91), I$12&amp;", "&amp;I$13&amp;", "&amp;$C25&amp;" length, Level "&amp;$D25&amp;"; ","")</f>
        <v/>
      </c>
      <c r="J25" s="54" t="str">
        <f>IF(AND($D$8=1,TRUNC('3_Part_time'!L91)&lt;&gt;'3_Part_time'!L91), J$12&amp;", "&amp;J$13&amp;", "&amp;$C25&amp;" length, Level "&amp;$D25&amp;"; ","")</f>
        <v/>
      </c>
      <c r="K25" s="1431"/>
      <c r="M25" s="30" t="s">
        <v>203</v>
      </c>
      <c r="N25" s="417">
        <f>IF(OR(E48&lt;&gt;"",E128&lt;&gt;""),1,0)</f>
        <v>0</v>
      </c>
      <c r="O25" s="418">
        <f t="shared" si="10"/>
        <v>0</v>
      </c>
      <c r="P25" s="419">
        <f t="shared" si="11"/>
        <v>0</v>
      </c>
      <c r="Q25" s="391">
        <f t="shared" si="3"/>
        <v>0</v>
      </c>
      <c r="R25" s="392">
        <f t="shared" si="4"/>
        <v>0</v>
      </c>
      <c r="S25" s="393">
        <f t="shared" si="5"/>
        <v>0</v>
      </c>
      <c r="T25" s="378">
        <f>IF(OR(H48&lt;&gt;"",H128&lt;&gt;""),1,0)</f>
        <v>0</v>
      </c>
      <c r="U25" s="379">
        <f t="shared" si="12"/>
        <v>0</v>
      </c>
      <c r="V25" s="380">
        <f t="shared" si="13"/>
        <v>0</v>
      </c>
      <c r="W25" s="391">
        <f t="shared" si="6"/>
        <v>0</v>
      </c>
      <c r="X25" s="392">
        <f t="shared" si="2"/>
        <v>0</v>
      </c>
      <c r="Y25" s="393">
        <f t="shared" si="2"/>
        <v>0</v>
      </c>
    </row>
    <row r="26" spans="2:25" ht="13.15" x14ac:dyDescent="0.35">
      <c r="B26" s="1528"/>
      <c r="C26" s="7" t="s">
        <v>218</v>
      </c>
      <c r="D26" s="13" t="s">
        <v>210</v>
      </c>
      <c r="E26" s="1610" t="str">
        <f>IF(AND($D$8=1,TRUNC('3_Part_time'!G92)&lt;&gt;'3_Part_time'!G92), E$12&amp;", "&amp;E$13&amp;", "&amp;$C26&amp;" length, Level "&amp;$D26&amp;"; ","")</f>
        <v/>
      </c>
      <c r="F26" s="11" t="str">
        <f>IF(AND($D$8=1,TRUNC('3_Part_time'!H92)&lt;&gt;'3_Part_time'!H92), F$12&amp;", "&amp;F$13&amp;", "&amp;$C26&amp;" length, Level "&amp;$D26&amp;"; ","")</f>
        <v/>
      </c>
      <c r="G26" s="54" t="str">
        <f>IF(AND($D$8=1,TRUNC('3_Part_time'!I92)&lt;&gt;'3_Part_time'!I92), G$12&amp;", "&amp;G$13&amp;", "&amp;$C26&amp;" length, Level "&amp;$D26&amp;"; ","")</f>
        <v/>
      </c>
      <c r="H26" s="1610" t="str">
        <f>IF(AND($D$8=1,TRUNC('3_Part_time'!J92)&lt;&gt;'3_Part_time'!J92), H$12&amp;", "&amp;H$13&amp;", "&amp;$C26&amp;" length, Level "&amp;$D26&amp;"; ","")</f>
        <v/>
      </c>
      <c r="I26" s="11" t="str">
        <f>IF(AND($D$8=1,TRUNC('3_Part_time'!K92)&lt;&gt;'3_Part_time'!K92), I$12&amp;", "&amp;I$13&amp;", "&amp;$C26&amp;" length, Level "&amp;$D26&amp;"; ","")</f>
        <v/>
      </c>
      <c r="J26" s="54" t="str">
        <f>IF(AND($D$8=1,TRUNC('3_Part_time'!L92)&lt;&gt;'3_Part_time'!L92), J$12&amp;", "&amp;J$13&amp;", "&amp;$C26&amp;" length, Level "&amp;$D26&amp;"; ","")</f>
        <v/>
      </c>
      <c r="K26" s="1431"/>
      <c r="M26" s="30" t="s">
        <v>203</v>
      </c>
      <c r="N26" s="1288"/>
      <c r="O26" s="1289">
        <f t="shared" si="10"/>
        <v>0</v>
      </c>
      <c r="P26" s="1290">
        <f t="shared" si="11"/>
        <v>0</v>
      </c>
      <c r="Q26" s="400"/>
      <c r="R26" s="403">
        <f t="shared" si="4"/>
        <v>0</v>
      </c>
      <c r="S26" s="1291">
        <f t="shared" si="5"/>
        <v>0</v>
      </c>
      <c r="T26" s="400"/>
      <c r="U26" s="401">
        <f t="shared" si="12"/>
        <v>0</v>
      </c>
      <c r="V26" s="402">
        <f t="shared" si="13"/>
        <v>0</v>
      </c>
      <c r="W26" s="384"/>
      <c r="X26" s="392">
        <f t="shared" si="2"/>
        <v>0</v>
      </c>
      <c r="Y26" s="393">
        <f t="shared" si="2"/>
        <v>0</v>
      </c>
    </row>
    <row r="27" spans="2:25" ht="13.15" x14ac:dyDescent="0.35">
      <c r="B27" s="1528"/>
      <c r="C27" s="7" t="s">
        <v>218</v>
      </c>
      <c r="D27" s="13" t="s">
        <v>212</v>
      </c>
      <c r="E27" s="1610" t="str">
        <f>IF(AND($D$8=1,TRUNC('3_Part_time'!G93)&lt;&gt;'3_Part_time'!G93), E$12&amp;", "&amp;E$13&amp;", "&amp;$C27&amp;" length, Level "&amp;$D27&amp;"; ","")</f>
        <v/>
      </c>
      <c r="F27" s="11" t="str">
        <f>IF(AND($D$8=1,TRUNC('3_Part_time'!H93)&lt;&gt;'3_Part_time'!H93), F$12&amp;", "&amp;F$13&amp;", "&amp;$C27&amp;" length, Level "&amp;$D27&amp;"; ","")</f>
        <v/>
      </c>
      <c r="G27" s="54" t="str">
        <f>IF(AND($D$8=1,TRUNC('3_Part_time'!I93)&lt;&gt;'3_Part_time'!I93), G$12&amp;", "&amp;G$13&amp;", "&amp;$C27&amp;" length, Level "&amp;$D27&amp;"; ","")</f>
        <v/>
      </c>
      <c r="H27" s="1610" t="str">
        <f>IF(AND($D$8=1,TRUNC('3_Part_time'!J93)&lt;&gt;'3_Part_time'!J93), H$12&amp;", "&amp;H$13&amp;", "&amp;$C27&amp;" length, Level "&amp;$D27&amp;"; ","")</f>
        <v/>
      </c>
      <c r="I27" s="11" t="str">
        <f>IF(AND($D$8=1,TRUNC('3_Part_time'!K93)&lt;&gt;'3_Part_time'!K93), I$12&amp;", "&amp;I$13&amp;", "&amp;$C27&amp;" length, Level "&amp;$D27&amp;"; ","")</f>
        <v/>
      </c>
      <c r="J27" s="54" t="str">
        <f>IF(AND($D$8=1,TRUNC('3_Part_time'!L93)&lt;&gt;'3_Part_time'!L93), J$12&amp;", "&amp;J$13&amp;", "&amp;$C27&amp;" length, Level "&amp;$D27&amp;"; ","")</f>
        <v/>
      </c>
      <c r="K27" s="1431"/>
      <c r="M27" s="30" t="s">
        <v>225</v>
      </c>
      <c r="N27" s="1803">
        <f>IF(OR(E50&lt;&gt;"",E130&lt;&gt;""),1,0)</f>
        <v>0</v>
      </c>
      <c r="O27" s="1699">
        <f t="shared" si="10"/>
        <v>0</v>
      </c>
      <c r="P27" s="1700">
        <f t="shared" si="11"/>
        <v>0</v>
      </c>
      <c r="Q27" s="1804">
        <f t="shared" si="3"/>
        <v>0</v>
      </c>
      <c r="R27" s="1691">
        <f t="shared" si="4"/>
        <v>0</v>
      </c>
      <c r="S27" s="1692">
        <f t="shared" si="5"/>
        <v>0</v>
      </c>
      <c r="T27" s="1805">
        <f>IF(OR(H50&lt;&gt;"",H130&lt;&gt;""),1,0)</f>
        <v>0</v>
      </c>
      <c r="U27" s="1689">
        <f t="shared" si="12"/>
        <v>0</v>
      </c>
      <c r="V27" s="1690">
        <f t="shared" si="13"/>
        <v>0</v>
      </c>
      <c r="W27" s="1713">
        <f t="shared" si="6"/>
        <v>0</v>
      </c>
      <c r="X27" s="1691">
        <f t="shared" si="2"/>
        <v>0</v>
      </c>
      <c r="Y27" s="1692">
        <f t="shared" si="2"/>
        <v>0</v>
      </c>
    </row>
    <row r="28" spans="2:25" ht="13.5" x14ac:dyDescent="0.4">
      <c r="B28" s="1529"/>
      <c r="C28" s="7" t="s">
        <v>218</v>
      </c>
      <c r="D28" s="13" t="s">
        <v>214</v>
      </c>
      <c r="E28" s="1610" t="str">
        <f>IF(AND($D$8=1,TRUNC('3_Part_time'!G94)&lt;&gt;'3_Part_time'!G94), E$12&amp;", "&amp;E$13&amp;", "&amp;$C28&amp;" length, Level "&amp;$D28&amp;"; ","")</f>
        <v/>
      </c>
      <c r="F28" s="11" t="str">
        <f>IF(AND($D$8=1,TRUNC('3_Part_time'!H94)&lt;&gt;'3_Part_time'!H94), F$12&amp;", "&amp;F$13&amp;", "&amp;$C28&amp;" length, Level "&amp;$D28&amp;"; ","")</f>
        <v/>
      </c>
      <c r="G28" s="54" t="str">
        <f>IF(AND($D$8=1,TRUNC('3_Part_time'!I94)&lt;&gt;'3_Part_time'!I94), G$12&amp;", "&amp;G$13&amp;", "&amp;$C28&amp;" length, Level "&amp;$D28&amp;"; ","")</f>
        <v/>
      </c>
      <c r="H28" s="1610" t="str">
        <f>IF(AND($D$8=1,TRUNC('3_Part_time'!J94)&lt;&gt;'3_Part_time'!J94), H$12&amp;", "&amp;H$13&amp;", "&amp;$C28&amp;" length, Level "&amp;$D28&amp;"; ","")</f>
        <v/>
      </c>
      <c r="I28" s="11" t="str">
        <f>IF(AND($D$8=1,TRUNC('3_Part_time'!K94)&lt;&gt;'3_Part_time'!K94), I$12&amp;", "&amp;I$13&amp;", "&amp;$C28&amp;" length, Level "&amp;$D28&amp;"; ","")</f>
        <v/>
      </c>
      <c r="J28" s="54" t="str">
        <f>IF(AND($D$8=1,TRUNC('3_Part_time'!L94)&lt;&gt;'3_Part_time'!L94), J$12&amp;", "&amp;J$13&amp;", "&amp;$C28&amp;" length, Level "&amp;$D28&amp;"; ","")</f>
        <v/>
      </c>
      <c r="K28" s="1431"/>
      <c r="M28" s="30" t="s">
        <v>225</v>
      </c>
      <c r="N28" s="1285">
        <f>IF(OR(E51&lt;&gt;"",E131&lt;&gt;""),1,0)</f>
        <v>0</v>
      </c>
      <c r="O28" s="1286">
        <f t="shared" si="10"/>
        <v>0</v>
      </c>
      <c r="P28" s="1287">
        <f t="shared" si="11"/>
        <v>0</v>
      </c>
      <c r="Q28" s="654">
        <f t="shared" si="3"/>
        <v>0</v>
      </c>
      <c r="R28" s="472">
        <f t="shared" si="4"/>
        <v>0</v>
      </c>
      <c r="S28" s="655">
        <f t="shared" si="5"/>
        <v>0</v>
      </c>
      <c r="T28" s="653">
        <f>IF(OR(H51&lt;&gt;"",H131&lt;&gt;""),1,0)</f>
        <v>0</v>
      </c>
      <c r="U28" s="471">
        <f t="shared" si="12"/>
        <v>0</v>
      </c>
      <c r="V28" s="469">
        <f t="shared" si="13"/>
        <v>0</v>
      </c>
      <c r="W28" s="391">
        <f t="shared" si="6"/>
        <v>0</v>
      </c>
      <c r="X28" s="392">
        <f t="shared" si="2"/>
        <v>0</v>
      </c>
      <c r="Y28" s="393">
        <f t="shared" si="2"/>
        <v>0</v>
      </c>
    </row>
    <row r="29" spans="2:25" ht="13.5" x14ac:dyDescent="0.4">
      <c r="B29" s="1529"/>
      <c r="C29" s="7" t="s">
        <v>218</v>
      </c>
      <c r="D29" s="30" t="s">
        <v>216</v>
      </c>
      <c r="E29" s="1449"/>
      <c r="F29" s="42" t="str">
        <f>IF(AND($D$8=1,TRUNC('3_Part_time'!H95)&lt;&gt;'3_Part_time'!H95), F$12&amp;", "&amp;F$13&amp;", "&amp;$C29&amp;" length, Level "&amp;$D29&amp;"; ","")</f>
        <v/>
      </c>
      <c r="G29" s="56" t="str">
        <f>IF(AND($D$8=1,TRUNC('3_Part_time'!I95)&lt;&gt;'3_Part_time'!I95), G$12&amp;", "&amp;G$13&amp;", "&amp;$C29&amp;" length, Level "&amp;$D29&amp;"; ","")</f>
        <v/>
      </c>
      <c r="H29" s="1449"/>
      <c r="I29" s="42" t="str">
        <f>IF(AND($D$8=1,TRUNC('3_Part_time'!K95)&lt;&gt;'3_Part_time'!K95), I$12&amp;", "&amp;I$13&amp;", "&amp;$C29&amp;" length, Level "&amp;$D29&amp;"; ","")</f>
        <v/>
      </c>
      <c r="J29" s="56" t="str">
        <f>IF(AND($D$8=1,TRUNC('3_Part_time'!L95)&lt;&gt;'3_Part_time'!L95), J$12&amp;", "&amp;J$13&amp;", "&amp;$C29&amp;" length, Level "&amp;$D29&amp;"; ","")</f>
        <v/>
      </c>
      <c r="K29" s="1431"/>
      <c r="M29" s="30" t="s">
        <v>225</v>
      </c>
      <c r="N29" s="1292">
        <f>IF(OR(E52&lt;&gt;"",E132&lt;&gt;""),1,0)</f>
        <v>0</v>
      </c>
      <c r="O29" s="1293">
        <f t="shared" si="10"/>
        <v>0</v>
      </c>
      <c r="P29" s="1294">
        <f t="shared" si="11"/>
        <v>0</v>
      </c>
      <c r="Q29" s="1295">
        <f t="shared" si="3"/>
        <v>0</v>
      </c>
      <c r="R29" s="1296">
        <f t="shared" si="4"/>
        <v>0</v>
      </c>
      <c r="S29" s="1297">
        <f t="shared" si="5"/>
        <v>0</v>
      </c>
      <c r="T29" s="1292">
        <f>IF(OR(H52&lt;&gt;"",H132&lt;&gt;""),1,0)</f>
        <v>0</v>
      </c>
      <c r="U29" s="1293">
        <f t="shared" si="12"/>
        <v>0</v>
      </c>
      <c r="V29" s="1294">
        <f t="shared" si="13"/>
        <v>0</v>
      </c>
      <c r="W29" s="391">
        <f t="shared" si="6"/>
        <v>0</v>
      </c>
      <c r="X29" s="392">
        <f t="shared" si="2"/>
        <v>0</v>
      </c>
      <c r="Y29" s="393">
        <f t="shared" si="2"/>
        <v>0</v>
      </c>
    </row>
    <row r="30" spans="2:25" ht="13.5" x14ac:dyDescent="0.4">
      <c r="B30" s="1529"/>
      <c r="C30" s="7"/>
      <c r="D30" s="13"/>
      <c r="E30" s="1808"/>
      <c r="F30" s="1808"/>
      <c r="G30" s="1808"/>
      <c r="H30" s="1808"/>
      <c r="I30" s="1808"/>
      <c r="J30" s="1808"/>
      <c r="K30" s="1431"/>
      <c r="M30" s="30" t="s">
        <v>225</v>
      </c>
      <c r="N30" s="417">
        <f>IF(OR(E53&lt;&gt;"",E133&lt;&gt;""),1,0)</f>
        <v>0</v>
      </c>
      <c r="O30" s="418">
        <f t="shared" si="10"/>
        <v>0</v>
      </c>
      <c r="P30" s="419">
        <f t="shared" si="11"/>
        <v>0</v>
      </c>
      <c r="Q30" s="391">
        <f t="shared" si="3"/>
        <v>0</v>
      </c>
      <c r="R30" s="392">
        <f t="shared" si="4"/>
        <v>0</v>
      </c>
      <c r="S30" s="393">
        <f t="shared" si="5"/>
        <v>0</v>
      </c>
      <c r="T30" s="378">
        <f>IF(OR(H53&lt;&gt;"",H133&lt;&gt;""),1,0)</f>
        <v>0</v>
      </c>
      <c r="U30" s="379">
        <f t="shared" si="12"/>
        <v>0</v>
      </c>
      <c r="V30" s="380">
        <f t="shared" si="13"/>
        <v>0</v>
      </c>
      <c r="W30" s="391">
        <f t="shared" si="6"/>
        <v>0</v>
      </c>
      <c r="X30" s="392">
        <f t="shared" si="2"/>
        <v>0</v>
      </c>
      <c r="Y30" s="393">
        <f t="shared" si="2"/>
        <v>0</v>
      </c>
    </row>
    <row r="31" spans="2:25" ht="13.5" x14ac:dyDescent="0.4">
      <c r="B31" s="1529"/>
      <c r="C31" s="14"/>
      <c r="D31" s="13"/>
      <c r="E31" s="1809" t="str">
        <f>CONCATENATE(E18,E19,E20,E21,E22,E24,E25,E26,E27,E28)</f>
        <v/>
      </c>
      <c r="F31" s="1809" t="str">
        <f t="shared" ref="F31:J31" si="17">CONCATENATE(F18,F19,F20,F21,F22,F23,F24,F25,F26,F27,F28,F29)</f>
        <v/>
      </c>
      <c r="G31" s="1809" t="str">
        <f t="shared" si="17"/>
        <v/>
      </c>
      <c r="H31" s="1809" t="str">
        <f>CONCATENATE(H18,H19,H20,H21,H22,H24,H25,H26,H27,H28)</f>
        <v/>
      </c>
      <c r="I31" s="1809" t="str">
        <f t="shared" si="17"/>
        <v/>
      </c>
      <c r="J31" s="1809" t="str">
        <f t="shared" si="17"/>
        <v/>
      </c>
      <c r="K31" s="1431"/>
      <c r="M31" s="30" t="s">
        <v>225</v>
      </c>
      <c r="N31" s="417">
        <f>IF(OR(E54&lt;&gt;"",E134&lt;&gt;""),1,0)</f>
        <v>0</v>
      </c>
      <c r="O31" s="418">
        <f t="shared" si="10"/>
        <v>0</v>
      </c>
      <c r="P31" s="419">
        <f t="shared" si="11"/>
        <v>0</v>
      </c>
      <c r="Q31" s="391">
        <f t="shared" si="3"/>
        <v>0</v>
      </c>
      <c r="R31" s="392">
        <f t="shared" si="4"/>
        <v>0</v>
      </c>
      <c r="S31" s="393">
        <f t="shared" si="5"/>
        <v>0</v>
      </c>
      <c r="T31" s="378">
        <f>IF(OR(H54&lt;&gt;"",H134&lt;&gt;""),1,0)</f>
        <v>0</v>
      </c>
      <c r="U31" s="379">
        <f t="shared" si="12"/>
        <v>0</v>
      </c>
      <c r="V31" s="380">
        <f t="shared" si="13"/>
        <v>0</v>
      </c>
      <c r="W31" s="394">
        <f t="shared" si="6"/>
        <v>0</v>
      </c>
      <c r="X31" s="395">
        <f t="shared" si="6"/>
        <v>0</v>
      </c>
      <c r="Y31" s="396">
        <f t="shared" si="6"/>
        <v>0</v>
      </c>
    </row>
    <row r="32" spans="2:25" ht="13.5" x14ac:dyDescent="0.4">
      <c r="B32" s="1529"/>
      <c r="C32" s="14"/>
      <c r="D32" s="13"/>
      <c r="E32" s="11" t="s">
        <v>28281</v>
      </c>
      <c r="F32" s="11"/>
      <c r="G32" s="11"/>
      <c r="H32" s="11"/>
      <c r="I32" s="11"/>
      <c r="J32" s="11"/>
      <c r="K32" s="1431"/>
      <c r="M32" s="30" t="s">
        <v>225</v>
      </c>
      <c r="N32" s="420"/>
      <c r="O32" s="418">
        <f t="shared" si="10"/>
        <v>0</v>
      </c>
      <c r="P32" s="419">
        <f t="shared" si="11"/>
        <v>0</v>
      </c>
      <c r="Q32" s="384"/>
      <c r="R32" s="392">
        <f t="shared" si="4"/>
        <v>0</v>
      </c>
      <c r="S32" s="393">
        <f t="shared" si="5"/>
        <v>0</v>
      </c>
      <c r="T32" s="384"/>
      <c r="U32" s="379">
        <f t="shared" si="12"/>
        <v>0</v>
      </c>
      <c r="V32" s="380">
        <f t="shared" si="13"/>
        <v>0</v>
      </c>
      <c r="W32" s="384"/>
      <c r="X32" s="392">
        <f t="shared" si="6"/>
        <v>0</v>
      </c>
      <c r="Y32" s="393">
        <f t="shared" si="6"/>
        <v>0</v>
      </c>
    </row>
    <row r="33" spans="2:25" ht="13.5" x14ac:dyDescent="0.4">
      <c r="B33" s="1529"/>
      <c r="C33" s="1810" t="str">
        <f>E33&amp;H33</f>
        <v/>
      </c>
      <c r="D33" s="13"/>
      <c r="E33" s="1811" t="str">
        <f>E31&amp;F31&amp;G31</f>
        <v/>
      </c>
      <c r="F33" s="11"/>
      <c r="G33" s="11"/>
      <c r="H33" s="1812" t="str">
        <f>H31&amp;I31&amp;J31</f>
        <v/>
      </c>
      <c r="I33" s="11"/>
      <c r="J33" s="11"/>
      <c r="K33" s="1431"/>
      <c r="M33" s="30" t="s">
        <v>225</v>
      </c>
      <c r="N33" s="421">
        <f>IF(OR(E56&lt;&gt;"",E136&lt;&gt;""),1,0)</f>
        <v>0</v>
      </c>
      <c r="O33" s="422">
        <f t="shared" si="10"/>
        <v>0</v>
      </c>
      <c r="P33" s="423">
        <f t="shared" si="11"/>
        <v>0</v>
      </c>
      <c r="Q33" s="397">
        <f t="shared" si="3"/>
        <v>0</v>
      </c>
      <c r="R33" s="398">
        <f t="shared" si="4"/>
        <v>0</v>
      </c>
      <c r="S33" s="399">
        <f t="shared" si="5"/>
        <v>0</v>
      </c>
      <c r="T33" s="385">
        <f>IF(OR(H56&lt;&gt;"",H136&lt;&gt;""),1,0)</f>
        <v>0</v>
      </c>
      <c r="U33" s="386">
        <f t="shared" si="12"/>
        <v>0</v>
      </c>
      <c r="V33" s="387">
        <f t="shared" si="13"/>
        <v>0</v>
      </c>
      <c r="W33" s="397">
        <f t="shared" si="6"/>
        <v>0</v>
      </c>
      <c r="X33" s="398">
        <f t="shared" si="6"/>
        <v>0</v>
      </c>
      <c r="Y33" s="399">
        <f t="shared" si="6"/>
        <v>0</v>
      </c>
    </row>
    <row r="34" spans="2:25" ht="13.5" x14ac:dyDescent="0.4">
      <c r="B34" s="1450"/>
      <c r="C34" s="1451"/>
      <c r="D34" s="1425"/>
      <c r="E34" s="1424"/>
      <c r="F34" s="1424"/>
      <c r="G34" s="1424"/>
      <c r="H34" s="1424"/>
      <c r="I34" s="1424"/>
      <c r="J34" s="1424"/>
      <c r="K34" s="1426"/>
      <c r="M34" s="30" t="s">
        <v>225</v>
      </c>
      <c r="N34" s="421">
        <f>IF(OR(E57&lt;&gt;"",E137&lt;&gt;""),1,0)</f>
        <v>0</v>
      </c>
      <c r="O34" s="422">
        <f t="shared" si="10"/>
        <v>0</v>
      </c>
      <c r="P34" s="423">
        <f t="shared" si="11"/>
        <v>0</v>
      </c>
      <c r="Q34" s="397">
        <f t="shared" si="3"/>
        <v>0</v>
      </c>
      <c r="R34" s="398">
        <f t="shared" si="4"/>
        <v>0</v>
      </c>
      <c r="S34" s="399">
        <f t="shared" si="5"/>
        <v>0</v>
      </c>
      <c r="T34" s="385">
        <f>IF(OR(H57&lt;&gt;"",H137&lt;&gt;""),1,0)</f>
        <v>0</v>
      </c>
      <c r="U34" s="386">
        <f t="shared" si="12"/>
        <v>0</v>
      </c>
      <c r="V34" s="387">
        <f t="shared" si="13"/>
        <v>0</v>
      </c>
      <c r="W34" s="404">
        <f t="shared" si="6"/>
        <v>0</v>
      </c>
      <c r="X34" s="405">
        <f t="shared" si="6"/>
        <v>0</v>
      </c>
      <c r="Y34" s="406">
        <f t="shared" si="6"/>
        <v>0</v>
      </c>
    </row>
    <row r="35" spans="2:25" ht="13.15" x14ac:dyDescent="0.35">
      <c r="B35" s="1284" t="s">
        <v>28280</v>
      </c>
      <c r="D35" s="21"/>
      <c r="E35" s="21"/>
      <c r="F35" s="21"/>
      <c r="G35" s="21"/>
      <c r="H35" s="21"/>
      <c r="I35" s="21"/>
      <c r="J35" s="21"/>
      <c r="K35" s="21"/>
      <c r="L35" s="118"/>
      <c r="M35" s="30" t="s">
        <v>225</v>
      </c>
      <c r="N35" s="1292">
        <f>IF(OR(E58&lt;&gt;"",E138&lt;&gt;""),1,0)</f>
        <v>0</v>
      </c>
      <c r="O35" s="1293">
        <f t="shared" si="10"/>
        <v>0</v>
      </c>
      <c r="P35" s="1294">
        <f t="shared" si="11"/>
        <v>0</v>
      </c>
      <c r="Q35" s="1295">
        <f t="shared" si="3"/>
        <v>0</v>
      </c>
      <c r="R35" s="1296">
        <f t="shared" si="4"/>
        <v>0</v>
      </c>
      <c r="S35" s="1297">
        <f t="shared" si="5"/>
        <v>0</v>
      </c>
      <c r="T35" s="1292">
        <f>IF(OR(H58&lt;&gt;"",H138&lt;&gt;""),1,0)</f>
        <v>0</v>
      </c>
      <c r="U35" s="1293">
        <f t="shared" si="12"/>
        <v>0</v>
      </c>
      <c r="V35" s="1294">
        <f t="shared" si="13"/>
        <v>0</v>
      </c>
      <c r="W35" s="391">
        <f t="shared" si="6"/>
        <v>0</v>
      </c>
      <c r="X35" s="392">
        <f t="shared" si="6"/>
        <v>0</v>
      </c>
      <c r="Y35" s="393">
        <f t="shared" si="6"/>
        <v>0</v>
      </c>
    </row>
    <row r="36" spans="2:25" ht="13.15" x14ac:dyDescent="0.35">
      <c r="B36" s="118"/>
      <c r="D36" s="7"/>
      <c r="E36" s="184" t="s">
        <v>27679</v>
      </c>
      <c r="F36" s="184" t="s">
        <v>27679</v>
      </c>
      <c r="G36" s="184" t="s">
        <v>27679</v>
      </c>
      <c r="H36" s="184" t="s">
        <v>27680</v>
      </c>
      <c r="I36" s="184" t="s">
        <v>27680</v>
      </c>
      <c r="J36" s="184" t="s">
        <v>27680</v>
      </c>
      <c r="L36" s="118"/>
      <c r="M36" s="30" t="s">
        <v>225</v>
      </c>
      <c r="N36" s="417">
        <f>IF(OR(E59&lt;&gt;"",E139&lt;&gt;""),1,0)</f>
        <v>0</v>
      </c>
      <c r="O36" s="418">
        <f t="shared" si="10"/>
        <v>0</v>
      </c>
      <c r="P36" s="419">
        <f t="shared" si="11"/>
        <v>0</v>
      </c>
      <c r="Q36" s="391">
        <f t="shared" si="3"/>
        <v>0</v>
      </c>
      <c r="R36" s="392">
        <f t="shared" si="4"/>
        <v>0</v>
      </c>
      <c r="S36" s="393">
        <f t="shared" si="5"/>
        <v>0</v>
      </c>
      <c r="T36" s="378">
        <f>IF(OR(H59&lt;&gt;"",H139&lt;&gt;""),1,0)</f>
        <v>0</v>
      </c>
      <c r="U36" s="379">
        <f t="shared" si="12"/>
        <v>0</v>
      </c>
      <c r="V36" s="380">
        <f t="shared" si="13"/>
        <v>0</v>
      </c>
      <c r="W36" s="391">
        <f t="shared" si="6"/>
        <v>0</v>
      </c>
      <c r="X36" s="392">
        <f t="shared" si="6"/>
        <v>0</v>
      </c>
      <c r="Y36" s="393">
        <f t="shared" si="6"/>
        <v>0</v>
      </c>
    </row>
    <row r="37" spans="2:25" ht="13.15" x14ac:dyDescent="0.35">
      <c r="B37" s="1284"/>
      <c r="C37" s="7"/>
      <c r="D37" s="53"/>
      <c r="E37" s="11" t="s">
        <v>192</v>
      </c>
      <c r="F37" s="11" t="s">
        <v>193</v>
      </c>
      <c r="G37" s="11" t="s">
        <v>194</v>
      </c>
      <c r="H37" s="11" t="s">
        <v>192</v>
      </c>
      <c r="I37" s="11" t="s">
        <v>193</v>
      </c>
      <c r="J37" t="s">
        <v>194</v>
      </c>
      <c r="L37" s="118"/>
      <c r="M37" s="30" t="s">
        <v>225</v>
      </c>
      <c r="N37" s="417">
        <f>IF(OR(E60&lt;&gt;"",E140&lt;&gt;""),1,0)</f>
        <v>0</v>
      </c>
      <c r="O37" s="418">
        <f t="shared" si="10"/>
        <v>0</v>
      </c>
      <c r="P37" s="419">
        <f t="shared" si="11"/>
        <v>0</v>
      </c>
      <c r="Q37" s="391">
        <f t="shared" si="3"/>
        <v>0</v>
      </c>
      <c r="R37" s="392">
        <f t="shared" si="4"/>
        <v>0</v>
      </c>
      <c r="S37" s="393">
        <f t="shared" si="5"/>
        <v>0</v>
      </c>
      <c r="T37" s="378">
        <f>IF(OR(H60&lt;&gt;"",H140&lt;&gt;""),1,0)</f>
        <v>0</v>
      </c>
      <c r="U37" s="379">
        <f t="shared" si="12"/>
        <v>0</v>
      </c>
      <c r="V37" s="380">
        <f t="shared" si="13"/>
        <v>0</v>
      </c>
      <c r="W37" s="391">
        <f t="shared" si="6"/>
        <v>0</v>
      </c>
      <c r="X37" s="392">
        <f t="shared" si="6"/>
        <v>0</v>
      </c>
      <c r="Y37" s="393">
        <f t="shared" si="6"/>
        <v>0</v>
      </c>
    </row>
    <row r="38" spans="2:25" ht="13.15" x14ac:dyDescent="0.35">
      <c r="B38" s="20" t="s">
        <v>203</v>
      </c>
      <c r="C38" s="53" t="s">
        <v>204</v>
      </c>
      <c r="D38" s="13" t="s">
        <v>205</v>
      </c>
      <c r="E38" s="1813" t="str">
        <f>IF(AND($E$8=1,ROUND('3_Part_time'!G12,2)&lt;&gt;'3_Part_time'!G12),E$36&amp;", "&amp;E$37&amp;", Price group "&amp;$B38&amp;", "&amp;$C38&amp;" length, Level "&amp;$D38&amp;"; ","")</f>
        <v/>
      </c>
      <c r="F38" s="1412" t="str">
        <f>IF(AND($E$8=1,ROUND('3_Part_time'!H12,2)&lt;&gt;'3_Part_time'!H12),F$36&amp;", "&amp;F$37&amp;", Price group "&amp;$B38&amp;", "&amp;$C38&amp;" length, Level "&amp;$D38&amp;"; ","")</f>
        <v/>
      </c>
      <c r="G38" s="1789" t="str">
        <f>IF(AND($E$8=1,ROUND('3_Part_time'!I12,2)&lt;&gt;'3_Part_time'!I12),G$36&amp;", "&amp;G$37&amp;", Price group "&amp;$B38&amp;", "&amp;$C38&amp;" length, Level "&amp;$D38&amp;"; ","")</f>
        <v/>
      </c>
      <c r="H38" s="1813" t="str">
        <f>IF(AND($E$8=1,ROUND('3_Part_time'!J12,2)&lt;&gt;'3_Part_time'!J12),H$36&amp;", "&amp;H$37&amp;", Price group "&amp;$B38&amp;", "&amp;$C38&amp;" length, Level "&amp;$D38&amp;"; ","")</f>
        <v/>
      </c>
      <c r="I38" s="1412" t="str">
        <f>IF(AND($E$8=1,ROUND('3_Part_time'!K12,2)&lt;&gt;'3_Part_time'!K12),I$36&amp;", "&amp;I$37&amp;", Price group "&amp;$B38&amp;", "&amp;$C38&amp;" length, Level "&amp;$D38&amp;"; ","")</f>
        <v/>
      </c>
      <c r="J38" s="1789" t="str">
        <f>IF(AND($E$8=1,ROUND('3_Part_time'!L12,2)&lt;&gt;'3_Part_time'!L12),J$36&amp;", "&amp;J$37&amp;", Price group "&amp;$B38&amp;", "&amp;$C38&amp;" length, Level "&amp;$D38&amp;"; ","")</f>
        <v/>
      </c>
      <c r="L38" s="118"/>
      <c r="M38" s="30" t="s">
        <v>225</v>
      </c>
      <c r="N38" s="1288"/>
      <c r="O38" s="1289">
        <f t="shared" si="10"/>
        <v>0</v>
      </c>
      <c r="P38" s="1290">
        <f t="shared" si="11"/>
        <v>0</v>
      </c>
      <c r="Q38" s="400"/>
      <c r="R38" s="403">
        <f t="shared" si="4"/>
        <v>0</v>
      </c>
      <c r="S38" s="1291">
        <f t="shared" si="5"/>
        <v>0</v>
      </c>
      <c r="T38" s="400"/>
      <c r="U38" s="401">
        <f t="shared" si="12"/>
        <v>0</v>
      </c>
      <c r="V38" s="402">
        <f t="shared" si="13"/>
        <v>0</v>
      </c>
      <c r="W38" s="384"/>
      <c r="X38" s="392">
        <f t="shared" si="6"/>
        <v>0</v>
      </c>
      <c r="Y38" s="393">
        <f t="shared" si="6"/>
        <v>0</v>
      </c>
    </row>
    <row r="39" spans="2:25" ht="13.15" x14ac:dyDescent="0.35">
      <c r="B39" s="20" t="s">
        <v>203</v>
      </c>
      <c r="C39" s="53" t="s">
        <v>204</v>
      </c>
      <c r="D39" s="13" t="s">
        <v>208</v>
      </c>
      <c r="E39" s="1609" t="str">
        <f>IF(AND($E$8=1,ROUND('3_Part_time'!G13,2)&lt;&gt;'3_Part_time'!G13),E$36&amp;", "&amp;E$37&amp;", Price group "&amp;$B39&amp;", "&amp;$C39&amp;" length, Level "&amp;$D39&amp;"; ","")</f>
        <v/>
      </c>
      <c r="F39" s="7" t="str">
        <f>IF(AND($E$8=1,ROUND('3_Part_time'!H13,2)&lt;&gt;'3_Part_time'!H13),F$36&amp;", "&amp;F$37&amp;", Price group "&amp;$B39&amp;", "&amp;$C39&amp;" length, Level "&amp;$D39&amp;"; ","")</f>
        <v/>
      </c>
      <c r="G39" s="211" t="str">
        <f>IF(AND($E$8=1,ROUND('3_Part_time'!I13,2)&lt;&gt;'3_Part_time'!I13),G$36&amp;", "&amp;G$37&amp;", Price group "&amp;$B39&amp;", "&amp;$C39&amp;" length, Level "&amp;$D39&amp;"; ","")</f>
        <v/>
      </c>
      <c r="H39" s="1609" t="str">
        <f>IF(AND($E$8=1,ROUND('3_Part_time'!J13,2)&lt;&gt;'3_Part_time'!J13),H$36&amp;", "&amp;H$37&amp;", Price group "&amp;$B39&amp;", "&amp;$C39&amp;" length, Level "&amp;$D39&amp;"; ","")</f>
        <v/>
      </c>
      <c r="I39" s="7" t="str">
        <f>IF(AND($E$8=1,ROUND('3_Part_time'!K13,2)&lt;&gt;'3_Part_time'!K13),I$36&amp;", "&amp;I$37&amp;", Price group "&amp;$B39&amp;", "&amp;$C39&amp;" length, Level "&amp;$D39&amp;"; ","")</f>
        <v/>
      </c>
      <c r="J39" s="211" t="str">
        <f>IF(AND($E$8=1,ROUND('3_Part_time'!L13,2)&lt;&gt;'3_Part_time'!L13),J$36&amp;", "&amp;J$37&amp;", Price group "&amp;$B39&amp;", "&amp;$C39&amp;" length, Level "&amp;$D39&amp;"; ","")</f>
        <v/>
      </c>
      <c r="L39" s="118"/>
      <c r="M39" s="30" t="s">
        <v>238</v>
      </c>
      <c r="N39" s="1803">
        <f>IF(OR(E62&lt;&gt;"",E142&lt;&gt;""),1,0)</f>
        <v>0</v>
      </c>
      <c r="O39" s="1699">
        <f t="shared" si="10"/>
        <v>0</v>
      </c>
      <c r="P39" s="1700">
        <f t="shared" si="11"/>
        <v>0</v>
      </c>
      <c r="Q39" s="1804">
        <f t="shared" si="3"/>
        <v>0</v>
      </c>
      <c r="R39" s="1691">
        <f t="shared" si="4"/>
        <v>0</v>
      </c>
      <c r="S39" s="1692">
        <f t="shared" si="5"/>
        <v>0</v>
      </c>
      <c r="T39" s="1805">
        <f>IF(OR(H62&lt;&gt;"",H142&lt;&gt;""),1,0)</f>
        <v>0</v>
      </c>
      <c r="U39" s="1689">
        <f t="shared" si="12"/>
        <v>0</v>
      </c>
      <c r="V39" s="1690">
        <f t="shared" si="13"/>
        <v>0</v>
      </c>
      <c r="W39" s="1713">
        <f t="shared" si="6"/>
        <v>0</v>
      </c>
      <c r="X39" s="1691">
        <f t="shared" si="6"/>
        <v>0</v>
      </c>
      <c r="Y39" s="1692">
        <f t="shared" si="6"/>
        <v>0</v>
      </c>
    </row>
    <row r="40" spans="2:25" ht="13.15" x14ac:dyDescent="0.35">
      <c r="B40" s="20" t="s">
        <v>203</v>
      </c>
      <c r="C40" s="53" t="s">
        <v>204</v>
      </c>
      <c r="D40" s="13" t="s">
        <v>210</v>
      </c>
      <c r="E40" s="1609" t="str">
        <f>IF(AND($E$8=1,ROUND('3_Part_time'!G14,2)&lt;&gt;'3_Part_time'!G14),E$36&amp;", "&amp;E$37&amp;", Price group "&amp;$B40&amp;", "&amp;$C40&amp;" length, Level "&amp;$D40&amp;"; ","")</f>
        <v/>
      </c>
      <c r="F40" s="7" t="str">
        <f>IF(AND($E$8=1,ROUND('3_Part_time'!H14,2)&lt;&gt;'3_Part_time'!H14),F$36&amp;", "&amp;F$37&amp;", Price group "&amp;$B40&amp;", "&amp;$C40&amp;" length, Level "&amp;$D40&amp;"; ","")</f>
        <v/>
      </c>
      <c r="G40" s="211" t="str">
        <f>IF(AND($E$8=1,ROUND('3_Part_time'!I14,2)&lt;&gt;'3_Part_time'!I14),G$36&amp;", "&amp;G$37&amp;", Price group "&amp;$B40&amp;", "&amp;$C40&amp;" length, Level "&amp;$D40&amp;"; ","")</f>
        <v/>
      </c>
      <c r="H40" s="1609" t="str">
        <f>IF(AND($E$8=1,ROUND('3_Part_time'!J14,2)&lt;&gt;'3_Part_time'!J14),H$36&amp;", "&amp;H$37&amp;", Price group "&amp;$B40&amp;", "&amp;$C40&amp;" length, Level "&amp;$D40&amp;"; ","")</f>
        <v/>
      </c>
      <c r="I40" s="7" t="str">
        <f>IF(AND($E$8=1,ROUND('3_Part_time'!K14,2)&lt;&gt;'3_Part_time'!K14),I$36&amp;", "&amp;I$37&amp;", Price group "&amp;$B40&amp;", "&amp;$C40&amp;" length, Level "&amp;$D40&amp;"; ","")</f>
        <v/>
      </c>
      <c r="J40" s="211" t="str">
        <f>IF(AND($E$8=1,ROUND('3_Part_time'!L14,2)&lt;&gt;'3_Part_time'!L14),J$36&amp;", "&amp;J$37&amp;", Price group "&amp;$B40&amp;", "&amp;$C40&amp;" length, Level "&amp;$D40&amp;"; ","")</f>
        <v/>
      </c>
      <c r="L40" s="118"/>
      <c r="M40" s="30" t="s">
        <v>238</v>
      </c>
      <c r="N40" s="1285">
        <f>IF(OR(E63&lt;&gt;"",E143&lt;&gt;""),1,0)</f>
        <v>0</v>
      </c>
      <c r="O40" s="1286">
        <f t="shared" si="10"/>
        <v>0</v>
      </c>
      <c r="P40" s="1287">
        <f t="shared" si="11"/>
        <v>0</v>
      </c>
      <c r="Q40" s="654">
        <f t="shared" si="3"/>
        <v>0</v>
      </c>
      <c r="R40" s="472">
        <f t="shared" si="4"/>
        <v>0</v>
      </c>
      <c r="S40" s="655">
        <f t="shared" si="5"/>
        <v>0</v>
      </c>
      <c r="T40" s="653">
        <f>IF(OR(H63&lt;&gt;"",H143&lt;&gt;""),1,0)</f>
        <v>0</v>
      </c>
      <c r="U40" s="471">
        <f t="shared" si="12"/>
        <v>0</v>
      </c>
      <c r="V40" s="469">
        <f t="shared" si="13"/>
        <v>0</v>
      </c>
      <c r="W40" s="404">
        <f t="shared" si="6"/>
        <v>0</v>
      </c>
      <c r="X40" s="405">
        <f t="shared" si="6"/>
        <v>0</v>
      </c>
      <c r="Y40" s="406">
        <f t="shared" si="6"/>
        <v>0</v>
      </c>
    </row>
    <row r="41" spans="2:25" ht="13.15" x14ac:dyDescent="0.35">
      <c r="B41" s="20" t="s">
        <v>203</v>
      </c>
      <c r="C41" s="53" t="s">
        <v>204</v>
      </c>
      <c r="D41" s="13" t="s">
        <v>212</v>
      </c>
      <c r="E41" s="1609" t="str">
        <f>IF(AND($E$8=1,ROUND('3_Part_time'!G15,2)&lt;&gt;'3_Part_time'!G15),E$36&amp;", "&amp;E$37&amp;", Price group "&amp;$B41&amp;", "&amp;$C41&amp;" length, Level "&amp;$D41&amp;"; ","")</f>
        <v/>
      </c>
      <c r="F41" s="7" t="str">
        <f>IF(AND($E$8=1,ROUND('3_Part_time'!H15,2)&lt;&gt;'3_Part_time'!H15),F$36&amp;", "&amp;F$37&amp;", Price group "&amp;$B41&amp;", "&amp;$C41&amp;" length, Level "&amp;$D41&amp;"; ","")</f>
        <v/>
      </c>
      <c r="G41" s="211" t="str">
        <f>IF(AND($E$8=1,ROUND('3_Part_time'!I15,2)&lt;&gt;'3_Part_time'!I15),G$36&amp;", "&amp;G$37&amp;", Price group "&amp;$B41&amp;", "&amp;$C41&amp;" length, Level "&amp;$D41&amp;"; ","")</f>
        <v/>
      </c>
      <c r="H41" s="1609" t="str">
        <f>IF(AND($E$8=1,ROUND('3_Part_time'!J15,2)&lt;&gt;'3_Part_time'!J15),H$36&amp;", "&amp;H$37&amp;", Price group "&amp;$B41&amp;", "&amp;$C41&amp;" length, Level "&amp;$D41&amp;"; ","")</f>
        <v/>
      </c>
      <c r="I41" s="7" t="str">
        <f>IF(AND($E$8=1,ROUND('3_Part_time'!K15,2)&lt;&gt;'3_Part_time'!K15),I$36&amp;", "&amp;I$37&amp;", Price group "&amp;$B41&amp;", "&amp;$C41&amp;" length, Level "&amp;$D41&amp;"; ","")</f>
        <v/>
      </c>
      <c r="J41" s="211" t="str">
        <f>IF(AND($E$8=1,ROUND('3_Part_time'!L15,2)&lt;&gt;'3_Part_time'!L15),J$36&amp;", "&amp;J$37&amp;", Price group "&amp;$B41&amp;", "&amp;$C41&amp;" length, Level "&amp;$D41&amp;"; ","")</f>
        <v/>
      </c>
      <c r="L41" s="118"/>
      <c r="M41" s="30" t="s">
        <v>238</v>
      </c>
      <c r="N41" s="1292">
        <f>IF(OR(E64&lt;&gt;"",E144&lt;&gt;""),1,0)</f>
        <v>0</v>
      </c>
      <c r="O41" s="1293">
        <f t="shared" si="10"/>
        <v>0</v>
      </c>
      <c r="P41" s="1294">
        <f t="shared" si="11"/>
        <v>0</v>
      </c>
      <c r="Q41" s="1295">
        <f t="shared" si="3"/>
        <v>0</v>
      </c>
      <c r="R41" s="1296">
        <f t="shared" si="4"/>
        <v>0</v>
      </c>
      <c r="S41" s="1297">
        <f t="shared" si="5"/>
        <v>0</v>
      </c>
      <c r="T41" s="1292">
        <f>IF(OR(H64&lt;&gt;"",H144&lt;&gt;""),1,0)</f>
        <v>0</v>
      </c>
      <c r="U41" s="1293">
        <f t="shared" si="12"/>
        <v>0</v>
      </c>
      <c r="V41" s="1294">
        <f t="shared" si="13"/>
        <v>0</v>
      </c>
      <c r="W41" s="391">
        <f t="shared" si="6"/>
        <v>0</v>
      </c>
      <c r="X41" s="392">
        <f t="shared" si="6"/>
        <v>0</v>
      </c>
      <c r="Y41" s="393">
        <f t="shared" si="6"/>
        <v>0</v>
      </c>
    </row>
    <row r="42" spans="2:25" ht="13.15" x14ac:dyDescent="0.35">
      <c r="B42" s="20" t="s">
        <v>203</v>
      </c>
      <c r="C42" s="53" t="s">
        <v>204</v>
      </c>
      <c r="D42" s="13" t="s">
        <v>214</v>
      </c>
      <c r="E42" s="1609" t="str">
        <f>IF(AND($E$8=1,ROUND('3_Part_time'!G16,2)&lt;&gt;'3_Part_time'!G16),E$36&amp;", "&amp;E$37&amp;", Price group "&amp;$B42&amp;", "&amp;$C42&amp;" length, Level "&amp;$D42&amp;"; ","")</f>
        <v/>
      </c>
      <c r="F42" s="7" t="str">
        <f>IF(AND($E$8=1,ROUND('3_Part_time'!H16,2)&lt;&gt;'3_Part_time'!H16),F$36&amp;", "&amp;F$37&amp;", Price group "&amp;$B42&amp;", "&amp;$C42&amp;" length, Level "&amp;$D42&amp;"; ","")</f>
        <v/>
      </c>
      <c r="G42" s="211" t="str">
        <f>IF(AND($E$8=1,ROUND('3_Part_time'!I16,2)&lt;&gt;'3_Part_time'!I16),G$36&amp;", "&amp;G$37&amp;", Price group "&amp;$B42&amp;", "&amp;$C42&amp;" length, Level "&amp;$D42&amp;"; ","")</f>
        <v/>
      </c>
      <c r="H42" s="1609" t="str">
        <f>IF(AND($E$8=1,ROUND('3_Part_time'!J16,2)&lt;&gt;'3_Part_time'!J16),H$36&amp;", "&amp;H$37&amp;", Price group "&amp;$B42&amp;", "&amp;$C42&amp;" length, Level "&amp;$D42&amp;"; ","")</f>
        <v/>
      </c>
      <c r="I42" s="7" t="str">
        <f>IF(AND($E$8=1,ROUND('3_Part_time'!K16,2)&lt;&gt;'3_Part_time'!K16),I$36&amp;", "&amp;I$37&amp;", Price group "&amp;$B42&amp;", "&amp;$C42&amp;" length, Level "&amp;$D42&amp;"; ","")</f>
        <v/>
      </c>
      <c r="J42" s="211" t="str">
        <f>IF(AND($E$8=1,ROUND('3_Part_time'!L16,2)&lt;&gt;'3_Part_time'!L16),J$36&amp;", "&amp;J$37&amp;", Price group "&amp;$B42&amp;", "&amp;$C42&amp;" length, Level "&amp;$D42&amp;"; ","")</f>
        <v/>
      </c>
      <c r="L42" s="118"/>
      <c r="M42" s="30" t="s">
        <v>238</v>
      </c>
      <c r="N42" s="417">
        <f>IF(OR(E65&lt;&gt;"",E145&lt;&gt;""),1,0)</f>
        <v>0</v>
      </c>
      <c r="O42" s="418">
        <f t="shared" si="10"/>
        <v>0</v>
      </c>
      <c r="P42" s="419">
        <f t="shared" si="11"/>
        <v>0</v>
      </c>
      <c r="Q42" s="391">
        <f t="shared" si="3"/>
        <v>0</v>
      </c>
      <c r="R42" s="392">
        <f t="shared" si="4"/>
        <v>0</v>
      </c>
      <c r="S42" s="393">
        <f t="shared" si="5"/>
        <v>0</v>
      </c>
      <c r="T42" s="378">
        <f>IF(OR(H65&lt;&gt;"",H145&lt;&gt;""),1,0)</f>
        <v>0</v>
      </c>
      <c r="U42" s="379">
        <f t="shared" si="12"/>
        <v>0</v>
      </c>
      <c r="V42" s="380">
        <f t="shared" si="13"/>
        <v>0</v>
      </c>
      <c r="W42" s="391">
        <f t="shared" si="6"/>
        <v>0</v>
      </c>
      <c r="X42" s="392">
        <f t="shared" si="6"/>
        <v>0</v>
      </c>
      <c r="Y42" s="393">
        <f t="shared" si="6"/>
        <v>0</v>
      </c>
    </row>
    <row r="43" spans="2:25" ht="13.15" x14ac:dyDescent="0.35">
      <c r="B43" s="20" t="s">
        <v>203</v>
      </c>
      <c r="C43" s="53" t="s">
        <v>204</v>
      </c>
      <c r="D43" s="13" t="s">
        <v>216</v>
      </c>
      <c r="E43" s="1428"/>
      <c r="F43" s="1429" t="str">
        <f>IF(AND($E$8=1,ROUND('3_Part_time'!H17,2)&lt;&gt;'3_Part_time'!H17),F$36&amp;", "&amp;F$37&amp;", Price group "&amp;$B43&amp;", "&amp;$C43&amp;" length, Level "&amp;$D43&amp;"; ","")</f>
        <v/>
      </c>
      <c r="G43" s="1430" t="str">
        <f>IF(AND($E$8=1,ROUND('3_Part_time'!I17,2)&lt;&gt;'3_Part_time'!I17),G$36&amp;", "&amp;G$37&amp;", Price group "&amp;$B43&amp;", "&amp;$C43&amp;" length, Level "&amp;$D43&amp;"; ","")</f>
        <v/>
      </c>
      <c r="H43" s="1428"/>
      <c r="I43" s="1429" t="str">
        <f>IF(AND($E$8=1,ROUND('3_Part_time'!K17,2)&lt;&gt;'3_Part_time'!K17),I$36&amp;", "&amp;I$37&amp;", Price group "&amp;$B43&amp;", "&amp;$C43&amp;" length, Level "&amp;$D43&amp;"; ","")</f>
        <v/>
      </c>
      <c r="J43" s="1430" t="str">
        <f>IF(AND($E$8=1,ROUND('3_Part_time'!L17,2)&lt;&gt;'3_Part_time'!L17),J$36&amp;", "&amp;J$37&amp;", Price group "&amp;$B43&amp;", "&amp;$C43&amp;" length, Level "&amp;$D43&amp;"; ","")</f>
        <v/>
      </c>
      <c r="L43" s="118"/>
      <c r="M43" s="30" t="s">
        <v>238</v>
      </c>
      <c r="N43" s="417">
        <f>IF(OR(E66&lt;&gt;"",E146&lt;&gt;""),1,0)</f>
        <v>0</v>
      </c>
      <c r="O43" s="418">
        <f t="shared" si="10"/>
        <v>0</v>
      </c>
      <c r="P43" s="419">
        <f t="shared" si="11"/>
        <v>0</v>
      </c>
      <c r="Q43" s="391">
        <f t="shared" si="3"/>
        <v>0</v>
      </c>
      <c r="R43" s="392">
        <f t="shared" si="4"/>
        <v>0</v>
      </c>
      <c r="S43" s="393">
        <f t="shared" si="5"/>
        <v>0</v>
      </c>
      <c r="T43" s="378">
        <f>IF(OR(H66&lt;&gt;"",H146&lt;&gt;""),1,0)</f>
        <v>0</v>
      </c>
      <c r="U43" s="379">
        <f t="shared" si="12"/>
        <v>0</v>
      </c>
      <c r="V43" s="380">
        <f t="shared" si="13"/>
        <v>0</v>
      </c>
      <c r="W43" s="394">
        <f t="shared" si="6"/>
        <v>0</v>
      </c>
      <c r="X43" s="395">
        <f t="shared" si="6"/>
        <v>0</v>
      </c>
      <c r="Y43" s="396">
        <f t="shared" si="6"/>
        <v>0</v>
      </c>
    </row>
    <row r="44" spans="2:25" ht="13.15" x14ac:dyDescent="0.35">
      <c r="B44" s="20" t="s">
        <v>203</v>
      </c>
      <c r="C44" s="53" t="s">
        <v>218</v>
      </c>
      <c r="D44" s="13" t="s">
        <v>205</v>
      </c>
      <c r="E44" s="1609" t="str">
        <f>IF(AND($E$8=1,ROUND('3_Part_time'!G18,2)&lt;&gt;'3_Part_time'!G18),E$36&amp;", "&amp;E$37&amp;", Price group "&amp;$B44&amp;", "&amp;$C44&amp;" length, Level "&amp;$D44&amp;"; ","")</f>
        <v/>
      </c>
      <c r="F44" s="7" t="str">
        <f>IF(AND($E$8=1,ROUND('3_Part_time'!H18,2)&lt;&gt;'3_Part_time'!H18),F$36&amp;", "&amp;F$37&amp;", Price group "&amp;$B44&amp;", "&amp;$C44&amp;" length, Level "&amp;$D44&amp;"; ","")</f>
        <v/>
      </c>
      <c r="G44" s="211" t="str">
        <f>IF(AND($E$8=1,ROUND('3_Part_time'!I18,2)&lt;&gt;'3_Part_time'!I18),G$36&amp;", "&amp;G$37&amp;", Price group "&amp;$B44&amp;", "&amp;$C44&amp;" length, Level "&amp;$D44&amp;"; ","")</f>
        <v/>
      </c>
      <c r="H44" s="1609" t="str">
        <f>IF(AND($E$8=1,ROUND('3_Part_time'!J18,2)&lt;&gt;'3_Part_time'!J18),H$36&amp;", "&amp;H$37&amp;", Price group "&amp;$B44&amp;", "&amp;$C44&amp;" length, Level "&amp;$D44&amp;"; ","")</f>
        <v/>
      </c>
      <c r="I44" s="7" t="str">
        <f>IF(AND($E$8=1,ROUND('3_Part_time'!K18,2)&lt;&gt;'3_Part_time'!K18),I$36&amp;", "&amp;I$37&amp;", Price group "&amp;$B44&amp;", "&amp;$C44&amp;" length, Level "&amp;$D44&amp;"; ","")</f>
        <v/>
      </c>
      <c r="J44" s="211" t="str">
        <f>IF(AND($E$8=1,ROUND('3_Part_time'!L18,2)&lt;&gt;'3_Part_time'!L18),J$36&amp;", "&amp;J$37&amp;", Price group "&amp;$B44&amp;", "&amp;$C44&amp;" length, Level "&amp;$D44&amp;"; ","")</f>
        <v/>
      </c>
      <c r="L44" s="118"/>
      <c r="M44" s="30" t="s">
        <v>238</v>
      </c>
      <c r="N44" s="420"/>
      <c r="O44" s="418">
        <f t="shared" si="10"/>
        <v>0</v>
      </c>
      <c r="P44" s="419">
        <f t="shared" si="11"/>
        <v>0</v>
      </c>
      <c r="Q44" s="384"/>
      <c r="R44" s="392">
        <f t="shared" si="4"/>
        <v>0</v>
      </c>
      <c r="S44" s="393">
        <f t="shared" si="5"/>
        <v>0</v>
      </c>
      <c r="T44" s="384"/>
      <c r="U44" s="379">
        <f t="shared" si="12"/>
        <v>0</v>
      </c>
      <c r="V44" s="380">
        <f t="shared" si="13"/>
        <v>0</v>
      </c>
      <c r="W44" s="384">
        <f t="shared" si="6"/>
        <v>0</v>
      </c>
      <c r="X44" s="392">
        <f t="shared" si="6"/>
        <v>0</v>
      </c>
      <c r="Y44" s="393">
        <f t="shared" si="6"/>
        <v>0</v>
      </c>
    </row>
    <row r="45" spans="2:25" ht="13.15" x14ac:dyDescent="0.35">
      <c r="B45" s="20" t="s">
        <v>203</v>
      </c>
      <c r="C45" s="53" t="s">
        <v>218</v>
      </c>
      <c r="D45" s="13" t="s">
        <v>208</v>
      </c>
      <c r="E45" s="1609" t="str">
        <f>IF(AND($E$8=1,ROUND('3_Part_time'!G19,2)&lt;&gt;'3_Part_time'!G19),E$36&amp;", "&amp;E$37&amp;", Price group "&amp;$B45&amp;", "&amp;$C45&amp;" length, Level "&amp;$D45&amp;"; ","")</f>
        <v/>
      </c>
      <c r="F45" s="7" t="str">
        <f>IF(AND($E$8=1,ROUND('3_Part_time'!H19,2)&lt;&gt;'3_Part_time'!H19),F$36&amp;", "&amp;F$37&amp;", Price group "&amp;$B45&amp;", "&amp;$C45&amp;" length, Level "&amp;$D45&amp;"; ","")</f>
        <v/>
      </c>
      <c r="G45" s="211" t="str">
        <f>IF(AND($E$8=1,ROUND('3_Part_time'!I19,2)&lt;&gt;'3_Part_time'!I19),G$36&amp;", "&amp;G$37&amp;", Price group "&amp;$B45&amp;", "&amp;$C45&amp;" length, Level "&amp;$D45&amp;"; ","")</f>
        <v/>
      </c>
      <c r="H45" s="1609" t="str">
        <f>IF(AND($E$8=1,ROUND('3_Part_time'!J19,2)&lt;&gt;'3_Part_time'!J19),H$36&amp;", "&amp;H$37&amp;", Price group "&amp;$B45&amp;", "&amp;$C45&amp;" length, Level "&amp;$D45&amp;"; ","")</f>
        <v/>
      </c>
      <c r="I45" s="7" t="str">
        <f>IF(AND($E$8=1,ROUND('3_Part_time'!K19,2)&lt;&gt;'3_Part_time'!K19),I$36&amp;", "&amp;I$37&amp;", Price group "&amp;$B45&amp;", "&amp;$C45&amp;" length, Level "&amp;$D45&amp;"; ","")</f>
        <v/>
      </c>
      <c r="J45" s="211" t="str">
        <f>IF(AND($E$8=1,ROUND('3_Part_time'!L19,2)&lt;&gt;'3_Part_time'!L19),J$36&amp;", "&amp;J$37&amp;", Price group "&amp;$B45&amp;", "&amp;$C45&amp;" length, Level "&amp;$D45&amp;"; ","")</f>
        <v/>
      </c>
      <c r="L45" s="118"/>
      <c r="M45" s="30" t="s">
        <v>238</v>
      </c>
      <c r="N45" s="421">
        <f>IF(OR(E68&lt;&gt;"",E148&lt;&gt;""),1,0)</f>
        <v>0</v>
      </c>
      <c r="O45" s="422">
        <f t="shared" si="10"/>
        <v>0</v>
      </c>
      <c r="P45" s="423">
        <f t="shared" si="11"/>
        <v>0</v>
      </c>
      <c r="Q45" s="397">
        <f t="shared" si="3"/>
        <v>0</v>
      </c>
      <c r="R45" s="398">
        <f t="shared" si="4"/>
        <v>0</v>
      </c>
      <c r="S45" s="399">
        <f t="shared" si="5"/>
        <v>0</v>
      </c>
      <c r="T45" s="385">
        <f>IF(OR(H68&lt;&gt;"",H148&lt;&gt;""),1,0)</f>
        <v>0</v>
      </c>
      <c r="U45" s="386">
        <f t="shared" si="12"/>
        <v>0</v>
      </c>
      <c r="V45" s="387">
        <f t="shared" si="13"/>
        <v>0</v>
      </c>
      <c r="W45" s="397">
        <f t="shared" si="6"/>
        <v>0</v>
      </c>
      <c r="X45" s="398">
        <f t="shared" si="6"/>
        <v>0</v>
      </c>
      <c r="Y45" s="399">
        <f t="shared" si="6"/>
        <v>0</v>
      </c>
    </row>
    <row r="46" spans="2:25" ht="13.15" x14ac:dyDescent="0.35">
      <c r="B46" s="20" t="s">
        <v>203</v>
      </c>
      <c r="C46" s="53" t="s">
        <v>218</v>
      </c>
      <c r="D46" s="13" t="s">
        <v>210</v>
      </c>
      <c r="E46" s="1609" t="str">
        <f>IF(AND($E$8=1,ROUND('3_Part_time'!G20,2)&lt;&gt;'3_Part_time'!G20),E$36&amp;", "&amp;E$37&amp;", Price group "&amp;$B46&amp;", "&amp;$C46&amp;" length, Level "&amp;$D46&amp;"; ","")</f>
        <v/>
      </c>
      <c r="F46" s="7" t="str">
        <f>IF(AND($E$8=1,ROUND('3_Part_time'!H20,2)&lt;&gt;'3_Part_time'!H20),F$36&amp;", "&amp;F$37&amp;", Price group "&amp;$B46&amp;", "&amp;$C46&amp;" length, Level "&amp;$D46&amp;"; ","")</f>
        <v/>
      </c>
      <c r="G46" s="211" t="str">
        <f>IF(AND($E$8=1,ROUND('3_Part_time'!I20,2)&lt;&gt;'3_Part_time'!I20),G$36&amp;", "&amp;G$37&amp;", Price group "&amp;$B46&amp;", "&amp;$C46&amp;" length, Level "&amp;$D46&amp;"; ","")</f>
        <v/>
      </c>
      <c r="H46" s="1609" t="str">
        <f>IF(AND($E$8=1,ROUND('3_Part_time'!J20,2)&lt;&gt;'3_Part_time'!J20),H$36&amp;", "&amp;H$37&amp;", Price group "&amp;$B46&amp;", "&amp;$C46&amp;" length, Level "&amp;$D46&amp;"; ","")</f>
        <v/>
      </c>
      <c r="I46" s="7" t="str">
        <f>IF(AND($E$8=1,ROUND('3_Part_time'!K20,2)&lt;&gt;'3_Part_time'!K20),I$36&amp;", "&amp;I$37&amp;", Price group "&amp;$B46&amp;", "&amp;$C46&amp;" length, Level "&amp;$D46&amp;"; ","")</f>
        <v/>
      </c>
      <c r="J46" s="211" t="str">
        <f>IF(AND($E$8=1,ROUND('3_Part_time'!L20,2)&lt;&gt;'3_Part_time'!L20),J$36&amp;", "&amp;J$37&amp;", Price group "&amp;$B46&amp;", "&amp;$C46&amp;" length, Level "&amp;$D46&amp;"; ","")</f>
        <v/>
      </c>
      <c r="L46" s="118"/>
      <c r="M46" s="30" t="s">
        <v>238</v>
      </c>
      <c r="N46" s="421">
        <f>IF(OR(E69&lt;&gt;"",E149&lt;&gt;""),1,0)</f>
        <v>0</v>
      </c>
      <c r="O46" s="422">
        <f t="shared" si="10"/>
        <v>0</v>
      </c>
      <c r="P46" s="423">
        <f t="shared" si="11"/>
        <v>0</v>
      </c>
      <c r="Q46" s="397">
        <f t="shared" si="3"/>
        <v>0</v>
      </c>
      <c r="R46" s="398">
        <f t="shared" si="4"/>
        <v>0</v>
      </c>
      <c r="S46" s="399">
        <f t="shared" si="5"/>
        <v>0</v>
      </c>
      <c r="T46" s="385">
        <f>IF(OR(H69&lt;&gt;"",H149&lt;&gt;""),1,0)</f>
        <v>0</v>
      </c>
      <c r="U46" s="386">
        <f t="shared" si="12"/>
        <v>0</v>
      </c>
      <c r="V46" s="387">
        <f t="shared" si="13"/>
        <v>0</v>
      </c>
      <c r="W46" s="404">
        <f t="shared" si="6"/>
        <v>0</v>
      </c>
      <c r="X46" s="405">
        <f t="shared" si="6"/>
        <v>0</v>
      </c>
      <c r="Y46" s="406">
        <f t="shared" si="6"/>
        <v>0</v>
      </c>
    </row>
    <row r="47" spans="2:25" ht="13.15" x14ac:dyDescent="0.35">
      <c r="B47" s="20" t="s">
        <v>203</v>
      </c>
      <c r="C47" s="53" t="s">
        <v>218</v>
      </c>
      <c r="D47" s="13" t="s">
        <v>212</v>
      </c>
      <c r="E47" s="1609" t="str">
        <f>IF(AND($E$8=1,ROUND('3_Part_time'!G21,2)&lt;&gt;'3_Part_time'!G21),E$36&amp;", "&amp;E$37&amp;", Price group "&amp;$B47&amp;", "&amp;$C47&amp;" length, Level "&amp;$D47&amp;"; ","")</f>
        <v/>
      </c>
      <c r="F47" s="7" t="str">
        <f>IF(AND($E$8=1,ROUND('3_Part_time'!H21,2)&lt;&gt;'3_Part_time'!H21),F$36&amp;", "&amp;F$37&amp;", Price group "&amp;$B47&amp;", "&amp;$C47&amp;" length, Level "&amp;$D47&amp;"; ","")</f>
        <v/>
      </c>
      <c r="G47" s="211" t="str">
        <f>IF(AND($E$8=1,ROUND('3_Part_time'!I21,2)&lt;&gt;'3_Part_time'!I21),G$36&amp;", "&amp;G$37&amp;", Price group "&amp;$B47&amp;", "&amp;$C47&amp;" length, Level "&amp;$D47&amp;"; ","")</f>
        <v/>
      </c>
      <c r="H47" s="1609" t="str">
        <f>IF(AND($E$8=1,ROUND('3_Part_time'!J21,2)&lt;&gt;'3_Part_time'!J21),H$36&amp;", "&amp;H$37&amp;", Price group "&amp;$B47&amp;", "&amp;$C47&amp;" length, Level "&amp;$D47&amp;"; ","")</f>
        <v/>
      </c>
      <c r="I47" s="7" t="str">
        <f>IF(AND($E$8=1,ROUND('3_Part_time'!K21,2)&lt;&gt;'3_Part_time'!K21),I$36&amp;", "&amp;I$37&amp;", Price group "&amp;$B47&amp;", "&amp;$C47&amp;" length, Level "&amp;$D47&amp;"; ","")</f>
        <v/>
      </c>
      <c r="J47" s="211" t="str">
        <f>IF(AND($E$8=1,ROUND('3_Part_time'!L21,2)&lt;&gt;'3_Part_time'!L21),J$36&amp;", "&amp;J$37&amp;", Price group "&amp;$B47&amp;", "&amp;$C47&amp;" length, Level "&amp;$D47&amp;"; ","")</f>
        <v/>
      </c>
      <c r="L47" s="118"/>
      <c r="M47" s="30" t="s">
        <v>238</v>
      </c>
      <c r="N47" s="1292">
        <f>IF(OR(E70&lt;&gt;"",E150&lt;&gt;""),1,0)</f>
        <v>0</v>
      </c>
      <c r="O47" s="1293">
        <f t="shared" si="10"/>
        <v>0</v>
      </c>
      <c r="P47" s="1294">
        <f t="shared" si="11"/>
        <v>0</v>
      </c>
      <c r="Q47" s="1295">
        <f t="shared" si="3"/>
        <v>0</v>
      </c>
      <c r="R47" s="1296">
        <f t="shared" si="4"/>
        <v>0</v>
      </c>
      <c r="S47" s="1297">
        <f t="shared" si="5"/>
        <v>0</v>
      </c>
      <c r="T47" s="1292">
        <f>IF(OR(H70&lt;&gt;"",H150&lt;&gt;""),1,0)</f>
        <v>0</v>
      </c>
      <c r="U47" s="1293">
        <f t="shared" si="12"/>
        <v>0</v>
      </c>
      <c r="V47" s="1294">
        <f t="shared" si="13"/>
        <v>0</v>
      </c>
      <c r="W47" s="391">
        <f t="shared" si="6"/>
        <v>0</v>
      </c>
      <c r="X47" s="392">
        <f t="shared" si="6"/>
        <v>0</v>
      </c>
      <c r="Y47" s="393">
        <f t="shared" si="6"/>
        <v>0</v>
      </c>
    </row>
    <row r="48" spans="2:25" ht="13.15" x14ac:dyDescent="0.35">
      <c r="B48" s="20" t="s">
        <v>203</v>
      </c>
      <c r="C48" s="53" t="s">
        <v>218</v>
      </c>
      <c r="D48" s="13" t="s">
        <v>214</v>
      </c>
      <c r="E48" s="1609" t="str">
        <f>IF(AND($E$8=1,ROUND('3_Part_time'!G22,2)&lt;&gt;'3_Part_time'!G22),E$36&amp;", "&amp;E$37&amp;", Price group "&amp;$B48&amp;", "&amp;$C48&amp;" length, Level "&amp;$D48&amp;"; ","")</f>
        <v/>
      </c>
      <c r="F48" s="7" t="str">
        <f>IF(AND($E$8=1,ROUND('3_Part_time'!H22,2)&lt;&gt;'3_Part_time'!H22),F$36&amp;", "&amp;F$37&amp;", Price group "&amp;$B48&amp;", "&amp;$C48&amp;" length, Level "&amp;$D48&amp;"; ","")</f>
        <v/>
      </c>
      <c r="G48" s="211" t="str">
        <f>IF(AND($E$8=1,ROUND('3_Part_time'!I22,2)&lt;&gt;'3_Part_time'!I22),G$36&amp;", "&amp;G$37&amp;", Price group "&amp;$B48&amp;", "&amp;$C48&amp;" length, Level "&amp;$D48&amp;"; ","")</f>
        <v/>
      </c>
      <c r="H48" s="1609" t="str">
        <f>IF(AND($E$8=1,ROUND('3_Part_time'!J22,2)&lt;&gt;'3_Part_time'!J22),H$36&amp;", "&amp;H$37&amp;", Price group "&amp;$B48&amp;", "&amp;$C48&amp;" length, Level "&amp;$D48&amp;"; ","")</f>
        <v/>
      </c>
      <c r="I48" s="7" t="str">
        <f>IF(AND($E$8=1,ROUND('3_Part_time'!K22,2)&lt;&gt;'3_Part_time'!K22),I$36&amp;", "&amp;I$37&amp;", Price group "&amp;$B48&amp;", "&amp;$C48&amp;" length, Level "&amp;$D48&amp;"; ","")</f>
        <v/>
      </c>
      <c r="J48" s="211" t="str">
        <f>IF(AND($E$8=1,ROUND('3_Part_time'!L22,2)&lt;&gt;'3_Part_time'!L22),J$36&amp;", "&amp;J$37&amp;", Price group "&amp;$B48&amp;", "&amp;$C48&amp;" length, Level "&amp;$D48&amp;"; ","")</f>
        <v/>
      </c>
      <c r="L48" s="118"/>
      <c r="M48" s="30" t="s">
        <v>238</v>
      </c>
      <c r="N48" s="417">
        <f>IF(OR(E71&lt;&gt;"",E151&lt;&gt;""),1,0)</f>
        <v>0</v>
      </c>
      <c r="O48" s="418">
        <f t="shared" si="10"/>
        <v>0</v>
      </c>
      <c r="P48" s="419">
        <f t="shared" si="11"/>
        <v>0</v>
      </c>
      <c r="Q48" s="391">
        <f t="shared" si="3"/>
        <v>0</v>
      </c>
      <c r="R48" s="392">
        <f t="shared" si="4"/>
        <v>0</v>
      </c>
      <c r="S48" s="393">
        <f t="shared" si="5"/>
        <v>0</v>
      </c>
      <c r="T48" s="378">
        <f>IF(OR(H71&lt;&gt;"",H151&lt;&gt;""),1,0)</f>
        <v>0</v>
      </c>
      <c r="U48" s="379">
        <f t="shared" si="12"/>
        <v>0</v>
      </c>
      <c r="V48" s="380">
        <f t="shared" si="13"/>
        <v>0</v>
      </c>
      <c r="W48" s="391">
        <f t="shared" si="6"/>
        <v>0</v>
      </c>
      <c r="X48" s="392">
        <f t="shared" si="6"/>
        <v>0</v>
      </c>
      <c r="Y48" s="393">
        <f t="shared" si="6"/>
        <v>0</v>
      </c>
    </row>
    <row r="49" spans="2:25" ht="13.15" x14ac:dyDescent="0.35">
      <c r="B49" s="20" t="s">
        <v>203</v>
      </c>
      <c r="C49" s="53" t="s">
        <v>218</v>
      </c>
      <c r="D49" s="13" t="s">
        <v>216</v>
      </c>
      <c r="E49" s="1432"/>
      <c r="F49" s="1409" t="str">
        <f>IF(AND($E$8=1,ROUND('3_Part_time'!H23,2)&lt;&gt;'3_Part_time'!H23),F$36&amp;", "&amp;F$37&amp;", Price group "&amp;$B49&amp;", "&amp;$C49&amp;" length, Level "&amp;$D49&amp;"; ","")</f>
        <v/>
      </c>
      <c r="G49" s="1433" t="str">
        <f>IF(AND($E$8=1,ROUND('3_Part_time'!I23,2)&lt;&gt;'3_Part_time'!I23),G$36&amp;", "&amp;G$37&amp;", Price group "&amp;$B49&amp;", "&amp;$C49&amp;" length, Level "&amp;$D49&amp;"; ","")</f>
        <v/>
      </c>
      <c r="H49" s="1432"/>
      <c r="I49" s="1409" t="str">
        <f>IF(AND($E$8=1,ROUND('3_Part_time'!K23,2)&lt;&gt;'3_Part_time'!K23),I$36&amp;", "&amp;I$37&amp;", Price group "&amp;$B49&amp;", "&amp;$C49&amp;" length, Level "&amp;$D49&amp;"; ","")</f>
        <v/>
      </c>
      <c r="J49" s="1433" t="str">
        <f>IF(AND($E$8=1,ROUND('3_Part_time'!L23,2)&lt;&gt;'3_Part_time'!L23),J$36&amp;", "&amp;J$37&amp;", Price group "&amp;$B49&amp;", "&amp;$C49&amp;" length, Level "&amp;$D49&amp;"; ","")</f>
        <v/>
      </c>
      <c r="L49" s="118"/>
      <c r="M49" s="30" t="s">
        <v>238</v>
      </c>
      <c r="N49" s="417">
        <f>IF(OR(E72&lt;&gt;"",E152&lt;&gt;""),1,0)</f>
        <v>0</v>
      </c>
      <c r="O49" s="418">
        <f t="shared" si="10"/>
        <v>0</v>
      </c>
      <c r="P49" s="419">
        <f t="shared" si="11"/>
        <v>0</v>
      </c>
      <c r="Q49" s="391">
        <f t="shared" si="3"/>
        <v>0</v>
      </c>
      <c r="R49" s="392">
        <f t="shared" si="4"/>
        <v>0</v>
      </c>
      <c r="S49" s="393">
        <f t="shared" si="5"/>
        <v>0</v>
      </c>
      <c r="T49" s="378">
        <f>IF(OR(H72&lt;&gt;"",H152&lt;&gt;""),1,0)</f>
        <v>0</v>
      </c>
      <c r="U49" s="379">
        <f t="shared" si="12"/>
        <v>0</v>
      </c>
      <c r="V49" s="380">
        <f t="shared" si="13"/>
        <v>0</v>
      </c>
      <c r="W49" s="391">
        <f t="shared" si="6"/>
        <v>0</v>
      </c>
      <c r="X49" s="392">
        <f t="shared" si="6"/>
        <v>0</v>
      </c>
      <c r="Y49" s="393">
        <f t="shared" si="6"/>
        <v>0</v>
      </c>
    </row>
    <row r="50" spans="2:25" ht="13.15" x14ac:dyDescent="0.35">
      <c r="B50" s="20" t="s">
        <v>225</v>
      </c>
      <c r="C50" s="53" t="s">
        <v>204</v>
      </c>
      <c r="D50" s="13" t="s">
        <v>205</v>
      </c>
      <c r="E50" s="1813" t="str">
        <f>IF(AND($E$8=1,ROUND('3_Part_time'!G24,2)&lt;&gt;'3_Part_time'!G24),E$36&amp;", "&amp;E$37&amp;", Price group "&amp;$B50&amp;", "&amp;$C50&amp;" length, Level "&amp;$D50&amp;"; ","")</f>
        <v/>
      </c>
      <c r="F50" s="1412" t="str">
        <f>IF(AND($E$8=1,ROUND('3_Part_time'!H24,2)&lt;&gt;'3_Part_time'!H24),F$36&amp;", "&amp;F$37&amp;", Price group "&amp;$B50&amp;", "&amp;$C50&amp;" length, Level "&amp;$D50&amp;"; ","")</f>
        <v/>
      </c>
      <c r="G50" s="1789" t="str">
        <f>IF(AND($E$8=1,ROUND('3_Part_time'!I24,2)&lt;&gt;'3_Part_time'!I24),G$36&amp;", "&amp;G$37&amp;", Price group "&amp;$B50&amp;", "&amp;$C50&amp;" length, Level "&amp;$D50&amp;"; ","")</f>
        <v/>
      </c>
      <c r="H50" s="1813" t="str">
        <f>IF(AND($E$8=1,ROUND('3_Part_time'!J24,2)&lt;&gt;'3_Part_time'!J24),H$36&amp;", "&amp;H$37&amp;", Price group "&amp;$B50&amp;", "&amp;$C50&amp;" length, Level "&amp;$D50&amp;"; ","")</f>
        <v/>
      </c>
      <c r="I50" s="1412" t="str">
        <f>IF(AND($E$8=1,ROUND('3_Part_time'!K24,2)&lt;&gt;'3_Part_time'!K24),I$36&amp;", "&amp;I$37&amp;", Price group "&amp;$B50&amp;", "&amp;$C50&amp;" length, Level "&amp;$D50&amp;"; ","")</f>
        <v/>
      </c>
      <c r="J50" s="1789" t="str">
        <f>IF(AND($E$8=1,ROUND('3_Part_time'!L24,2)&lt;&gt;'3_Part_time'!L24),J$36&amp;", "&amp;J$37&amp;", Price group "&amp;$B50&amp;", "&amp;$C50&amp;" length, Level "&amp;$D50&amp;"; ","")</f>
        <v/>
      </c>
      <c r="L50" s="118"/>
      <c r="M50" s="30" t="s">
        <v>238</v>
      </c>
      <c r="N50" s="1288"/>
      <c r="O50" s="1289">
        <f t="shared" si="10"/>
        <v>0</v>
      </c>
      <c r="P50" s="1290">
        <f t="shared" si="11"/>
        <v>0</v>
      </c>
      <c r="Q50" s="400"/>
      <c r="R50" s="403">
        <f t="shared" si="4"/>
        <v>0</v>
      </c>
      <c r="S50" s="1291">
        <f t="shared" si="5"/>
        <v>0</v>
      </c>
      <c r="T50" s="400"/>
      <c r="U50" s="401">
        <f t="shared" si="12"/>
        <v>0</v>
      </c>
      <c r="V50" s="402">
        <f t="shared" si="13"/>
        <v>0</v>
      </c>
      <c r="W50" s="384"/>
      <c r="X50" s="392">
        <f t="shared" si="6"/>
        <v>0</v>
      </c>
      <c r="Y50" s="393">
        <f t="shared" si="6"/>
        <v>0</v>
      </c>
    </row>
    <row r="51" spans="2:25" ht="13.15" x14ac:dyDescent="0.35">
      <c r="B51" s="20" t="s">
        <v>225</v>
      </c>
      <c r="C51" s="53" t="s">
        <v>204</v>
      </c>
      <c r="D51" s="13" t="s">
        <v>208</v>
      </c>
      <c r="E51" s="1609" t="str">
        <f>IF(AND($E$8=1,ROUND('3_Part_time'!G25,2)&lt;&gt;'3_Part_time'!G25),E$36&amp;", "&amp;E$37&amp;", Price group "&amp;$B51&amp;", "&amp;$C51&amp;" length, Level "&amp;$D51&amp;"; ","")</f>
        <v/>
      </c>
      <c r="F51" s="7" t="str">
        <f>IF(AND($E$8=1,ROUND('3_Part_time'!H25,2)&lt;&gt;'3_Part_time'!H25),F$36&amp;", "&amp;F$37&amp;", Price group "&amp;$B51&amp;", "&amp;$C51&amp;" length, Level "&amp;$D51&amp;"; ","")</f>
        <v/>
      </c>
      <c r="G51" s="211" t="str">
        <f>IF(AND($E$8=1,ROUND('3_Part_time'!I25,2)&lt;&gt;'3_Part_time'!I25),G$36&amp;", "&amp;G$37&amp;", Price group "&amp;$B51&amp;", "&amp;$C51&amp;" length, Level "&amp;$D51&amp;"; ","")</f>
        <v/>
      </c>
      <c r="H51" s="1609" t="str">
        <f>IF(AND($E$8=1,ROUND('3_Part_time'!J25,2)&lt;&gt;'3_Part_time'!J25),H$36&amp;", "&amp;H$37&amp;", Price group "&amp;$B51&amp;", "&amp;$C51&amp;" length, Level "&amp;$D51&amp;"; ","")</f>
        <v/>
      </c>
      <c r="I51" s="7" t="str">
        <f>IF(AND($E$8=1,ROUND('3_Part_time'!K25,2)&lt;&gt;'3_Part_time'!K25),I$36&amp;", "&amp;I$37&amp;", Price group "&amp;$B51&amp;", "&amp;$C51&amp;" length, Level "&amp;$D51&amp;"; ","")</f>
        <v/>
      </c>
      <c r="J51" s="211" t="str">
        <f>IF(AND($E$8=1,ROUND('3_Part_time'!L25,2)&lt;&gt;'3_Part_time'!L25),J$36&amp;", "&amp;J$37&amp;", Price group "&amp;$B51&amp;", "&amp;$C51&amp;" length, Level "&amp;$D51&amp;"; ","")</f>
        <v/>
      </c>
      <c r="L51" s="118"/>
      <c r="M51" s="30" t="s">
        <v>251</v>
      </c>
      <c r="N51" s="1803">
        <f>IF(OR(E74&lt;&gt;"",E154&lt;&gt;""),1,0)</f>
        <v>0</v>
      </c>
      <c r="O51" s="1699">
        <f t="shared" si="10"/>
        <v>0</v>
      </c>
      <c r="P51" s="1700">
        <f t="shared" si="11"/>
        <v>0</v>
      </c>
      <c r="Q51" s="1804">
        <f t="shared" si="3"/>
        <v>0</v>
      </c>
      <c r="R51" s="1691">
        <f t="shared" si="4"/>
        <v>0</v>
      </c>
      <c r="S51" s="1692">
        <f t="shared" si="5"/>
        <v>0</v>
      </c>
      <c r="T51" s="1805">
        <f>IF(OR(H74&lt;&gt;"",H154&lt;&gt;""),1,0)</f>
        <v>0</v>
      </c>
      <c r="U51" s="1689">
        <f t="shared" si="12"/>
        <v>0</v>
      </c>
      <c r="V51" s="1690">
        <f t="shared" si="13"/>
        <v>0</v>
      </c>
      <c r="W51" s="1713">
        <f t="shared" si="6"/>
        <v>0</v>
      </c>
      <c r="X51" s="1691">
        <f t="shared" si="6"/>
        <v>0</v>
      </c>
      <c r="Y51" s="1692">
        <f t="shared" si="6"/>
        <v>0</v>
      </c>
    </row>
    <row r="52" spans="2:25" ht="13.15" x14ac:dyDescent="0.35">
      <c r="B52" s="20" t="s">
        <v>225</v>
      </c>
      <c r="C52" s="53" t="s">
        <v>204</v>
      </c>
      <c r="D52" s="13" t="s">
        <v>210</v>
      </c>
      <c r="E52" s="1609" t="str">
        <f>IF(AND($E$8=1,ROUND('3_Part_time'!G26,2)&lt;&gt;'3_Part_time'!G26),E$36&amp;", "&amp;E$37&amp;", Price group "&amp;$B52&amp;", "&amp;$C52&amp;" length, Level "&amp;$D52&amp;"; ","")</f>
        <v/>
      </c>
      <c r="F52" s="7" t="str">
        <f>IF(AND($E$8=1,ROUND('3_Part_time'!H26,2)&lt;&gt;'3_Part_time'!H26),F$36&amp;", "&amp;F$37&amp;", Price group "&amp;$B52&amp;", "&amp;$C52&amp;" length, Level "&amp;$D52&amp;"; ","")</f>
        <v/>
      </c>
      <c r="G52" s="211" t="str">
        <f>IF(AND($E$8=1,ROUND('3_Part_time'!I26,2)&lt;&gt;'3_Part_time'!I26),G$36&amp;", "&amp;G$37&amp;", Price group "&amp;$B52&amp;", "&amp;$C52&amp;" length, Level "&amp;$D52&amp;"; ","")</f>
        <v/>
      </c>
      <c r="H52" s="1609" t="str">
        <f>IF(AND($E$8=1,ROUND('3_Part_time'!J26,2)&lt;&gt;'3_Part_time'!J26),H$36&amp;", "&amp;H$37&amp;", Price group "&amp;$B52&amp;", "&amp;$C52&amp;" length, Level "&amp;$D52&amp;"; ","")</f>
        <v/>
      </c>
      <c r="I52" s="7" t="str">
        <f>IF(AND($E$8=1,ROUND('3_Part_time'!K26,2)&lt;&gt;'3_Part_time'!K26),I$36&amp;", "&amp;I$37&amp;", Price group "&amp;$B52&amp;", "&amp;$C52&amp;" length, Level "&amp;$D52&amp;"; ","")</f>
        <v/>
      </c>
      <c r="J52" s="211" t="str">
        <f>IF(AND($E$8=1,ROUND('3_Part_time'!L26,2)&lt;&gt;'3_Part_time'!L26),J$36&amp;", "&amp;J$37&amp;", Price group "&amp;$B52&amp;", "&amp;$C52&amp;" length, Level "&amp;$D52&amp;"; ","")</f>
        <v/>
      </c>
      <c r="L52" s="118"/>
      <c r="M52" s="30" t="s">
        <v>251</v>
      </c>
      <c r="N52" s="1285">
        <f>IF(OR(E75&lt;&gt;"",E155&lt;&gt;""),1,0)</f>
        <v>0</v>
      </c>
      <c r="O52" s="1286">
        <f t="shared" ref="O52:O83" si="18">IF(OR(F75&lt;&gt;"",F155&lt;&gt;""),1,0)</f>
        <v>0</v>
      </c>
      <c r="P52" s="1287">
        <f t="shared" ref="P52:P83" si="19">IF(OR(G75&lt;&gt;"",G155&lt;&gt;""),1,0)</f>
        <v>0</v>
      </c>
      <c r="Q52" s="654">
        <f t="shared" si="3"/>
        <v>0</v>
      </c>
      <c r="R52" s="472">
        <f t="shared" si="4"/>
        <v>0</v>
      </c>
      <c r="S52" s="655">
        <f t="shared" si="5"/>
        <v>0</v>
      </c>
      <c r="T52" s="653">
        <f>IF(OR(H75&lt;&gt;"",H155&lt;&gt;""),1,0)</f>
        <v>0</v>
      </c>
      <c r="U52" s="471">
        <f t="shared" ref="U52:U83" si="20">IF(OR(I75&lt;&gt;"",I155&lt;&gt;""),1,0)</f>
        <v>0</v>
      </c>
      <c r="V52" s="469">
        <f t="shared" ref="V52:V83" si="21">IF(OR(J75&lt;&gt;"",J155&lt;&gt;""),1,0)</f>
        <v>0</v>
      </c>
      <c r="W52" s="404">
        <f t="shared" si="6"/>
        <v>0</v>
      </c>
      <c r="X52" s="405">
        <f t="shared" si="6"/>
        <v>0</v>
      </c>
      <c r="Y52" s="406">
        <f t="shared" si="6"/>
        <v>0</v>
      </c>
    </row>
    <row r="53" spans="2:25" ht="13.15" x14ac:dyDescent="0.35">
      <c r="B53" s="20" t="s">
        <v>225</v>
      </c>
      <c r="C53" s="53" t="s">
        <v>204</v>
      </c>
      <c r="D53" s="13" t="s">
        <v>212</v>
      </c>
      <c r="E53" s="1609" t="str">
        <f>IF(AND($E$8=1,ROUND('3_Part_time'!G27,2)&lt;&gt;'3_Part_time'!G27),E$36&amp;", "&amp;E$37&amp;", Price group "&amp;$B53&amp;", "&amp;$C53&amp;" length, Level "&amp;$D53&amp;"; ","")</f>
        <v/>
      </c>
      <c r="F53" s="7" t="str">
        <f>IF(AND($E$8=1,ROUND('3_Part_time'!H27,2)&lt;&gt;'3_Part_time'!H27),F$36&amp;", "&amp;F$37&amp;", Price group "&amp;$B53&amp;", "&amp;$C53&amp;" length, Level "&amp;$D53&amp;"; ","")</f>
        <v/>
      </c>
      <c r="G53" s="211" t="str">
        <f>IF(AND($E$8=1,ROUND('3_Part_time'!I27,2)&lt;&gt;'3_Part_time'!I27),G$36&amp;", "&amp;G$37&amp;", Price group "&amp;$B53&amp;", "&amp;$C53&amp;" length, Level "&amp;$D53&amp;"; ","")</f>
        <v/>
      </c>
      <c r="H53" s="1609" t="str">
        <f>IF(AND($E$8=1,ROUND('3_Part_time'!J27,2)&lt;&gt;'3_Part_time'!J27),H$36&amp;", "&amp;H$37&amp;", Price group "&amp;$B53&amp;", "&amp;$C53&amp;" length, Level "&amp;$D53&amp;"; ","")</f>
        <v/>
      </c>
      <c r="I53" s="7" t="str">
        <f>IF(AND($E$8=1,ROUND('3_Part_time'!K27,2)&lt;&gt;'3_Part_time'!K27),I$36&amp;", "&amp;I$37&amp;", Price group "&amp;$B53&amp;", "&amp;$C53&amp;" length, Level "&amp;$D53&amp;"; ","")</f>
        <v/>
      </c>
      <c r="J53" s="211" t="str">
        <f>IF(AND($E$8=1,ROUND('3_Part_time'!L27,2)&lt;&gt;'3_Part_time'!L27),J$36&amp;", "&amp;J$37&amp;", Price group "&amp;$B53&amp;", "&amp;$C53&amp;" length, Level "&amp;$D53&amp;"; ","")</f>
        <v/>
      </c>
      <c r="L53" s="118"/>
      <c r="M53" s="30" t="s">
        <v>251</v>
      </c>
      <c r="N53" s="1292">
        <f>IF(OR(E76&lt;&gt;"",E156&lt;&gt;""),1,0)</f>
        <v>0</v>
      </c>
      <c r="O53" s="1293">
        <f t="shared" si="18"/>
        <v>0</v>
      </c>
      <c r="P53" s="1294">
        <f t="shared" si="19"/>
        <v>0</v>
      </c>
      <c r="Q53" s="1295">
        <f t="shared" si="3"/>
        <v>0</v>
      </c>
      <c r="R53" s="1296">
        <f t="shared" si="4"/>
        <v>0</v>
      </c>
      <c r="S53" s="1297">
        <f t="shared" si="5"/>
        <v>0</v>
      </c>
      <c r="T53" s="1292">
        <f>IF(OR(H76&lt;&gt;"",H156&lt;&gt;""),1,0)</f>
        <v>0</v>
      </c>
      <c r="U53" s="1293">
        <f t="shared" si="20"/>
        <v>0</v>
      </c>
      <c r="V53" s="1294">
        <f t="shared" si="21"/>
        <v>0</v>
      </c>
      <c r="W53" s="391">
        <f t="shared" si="6"/>
        <v>0</v>
      </c>
      <c r="X53" s="392">
        <f t="shared" si="6"/>
        <v>0</v>
      </c>
      <c r="Y53" s="393">
        <f t="shared" si="6"/>
        <v>0</v>
      </c>
    </row>
    <row r="54" spans="2:25" ht="13.15" x14ac:dyDescent="0.35">
      <c r="B54" s="20" t="s">
        <v>225</v>
      </c>
      <c r="C54" s="53" t="s">
        <v>204</v>
      </c>
      <c r="D54" s="13" t="s">
        <v>214</v>
      </c>
      <c r="E54" s="1609" t="str">
        <f>IF(AND($E$8=1,ROUND('3_Part_time'!G28,2)&lt;&gt;'3_Part_time'!G28),E$36&amp;", "&amp;E$37&amp;", Price group "&amp;$B54&amp;", "&amp;$C54&amp;" length, Level "&amp;$D54&amp;"; ","")</f>
        <v/>
      </c>
      <c r="F54" s="7" t="str">
        <f>IF(AND($E$8=1,ROUND('3_Part_time'!H28,2)&lt;&gt;'3_Part_time'!H28),F$36&amp;", "&amp;F$37&amp;", Price group "&amp;$B54&amp;", "&amp;$C54&amp;" length, Level "&amp;$D54&amp;"; ","")</f>
        <v/>
      </c>
      <c r="G54" s="211" t="str">
        <f>IF(AND($E$8=1,ROUND('3_Part_time'!I28,2)&lt;&gt;'3_Part_time'!I28),G$36&amp;", "&amp;G$37&amp;", Price group "&amp;$B54&amp;", "&amp;$C54&amp;" length, Level "&amp;$D54&amp;"; ","")</f>
        <v/>
      </c>
      <c r="H54" s="1609" t="str">
        <f>IF(AND($E$8=1,ROUND('3_Part_time'!J28,2)&lt;&gt;'3_Part_time'!J28),H$36&amp;", "&amp;H$37&amp;", Price group "&amp;$B54&amp;", "&amp;$C54&amp;" length, Level "&amp;$D54&amp;"; ","")</f>
        <v/>
      </c>
      <c r="I54" s="7" t="str">
        <f>IF(AND($E$8=1,ROUND('3_Part_time'!K28,2)&lt;&gt;'3_Part_time'!K28),I$36&amp;", "&amp;I$37&amp;", Price group "&amp;$B54&amp;", "&amp;$C54&amp;" length, Level "&amp;$D54&amp;"; ","")</f>
        <v/>
      </c>
      <c r="J54" s="211" t="str">
        <f>IF(AND($E$8=1,ROUND('3_Part_time'!L28,2)&lt;&gt;'3_Part_time'!L28),J$36&amp;", "&amp;J$37&amp;", Price group "&amp;$B54&amp;", "&amp;$C54&amp;" length, Level "&amp;$D54&amp;"; ","")</f>
        <v/>
      </c>
      <c r="L54" s="118"/>
      <c r="M54" s="30" t="s">
        <v>251</v>
      </c>
      <c r="N54" s="417">
        <f>IF(OR(E77&lt;&gt;"",E157&lt;&gt;""),1,0)</f>
        <v>0</v>
      </c>
      <c r="O54" s="418">
        <f t="shared" si="18"/>
        <v>0</v>
      </c>
      <c r="P54" s="419">
        <f t="shared" si="19"/>
        <v>0</v>
      </c>
      <c r="Q54" s="391">
        <f t="shared" si="3"/>
        <v>0</v>
      </c>
      <c r="R54" s="392">
        <f t="shared" si="4"/>
        <v>0</v>
      </c>
      <c r="S54" s="393">
        <f t="shared" si="5"/>
        <v>0</v>
      </c>
      <c r="T54" s="378">
        <f>IF(OR(H77&lt;&gt;"",H157&lt;&gt;""),1,0)</f>
        <v>0</v>
      </c>
      <c r="U54" s="379">
        <f t="shared" si="20"/>
        <v>0</v>
      </c>
      <c r="V54" s="380">
        <f t="shared" si="21"/>
        <v>0</v>
      </c>
      <c r="W54" s="391">
        <f t="shared" si="6"/>
        <v>0</v>
      </c>
      <c r="X54" s="392">
        <f t="shared" si="6"/>
        <v>0</v>
      </c>
      <c r="Y54" s="393">
        <f t="shared" si="6"/>
        <v>0</v>
      </c>
    </row>
    <row r="55" spans="2:25" ht="13.15" x14ac:dyDescent="0.35">
      <c r="B55" s="20" t="s">
        <v>225</v>
      </c>
      <c r="C55" s="53" t="s">
        <v>204</v>
      </c>
      <c r="D55" s="13" t="s">
        <v>216</v>
      </c>
      <c r="E55" s="1428"/>
      <c r="F55" s="1429" t="str">
        <f>IF(AND($E$8=1,ROUND('3_Part_time'!H29,2)&lt;&gt;'3_Part_time'!H29),F$36&amp;", "&amp;F$37&amp;", Price group "&amp;$B55&amp;", "&amp;$C55&amp;" length, Level "&amp;$D55&amp;"; ","")</f>
        <v/>
      </c>
      <c r="G55" s="1430" t="str">
        <f>IF(AND($E$8=1,ROUND('3_Part_time'!I29,2)&lt;&gt;'3_Part_time'!I29),G$36&amp;", "&amp;G$37&amp;", Price group "&amp;$B55&amp;", "&amp;$C55&amp;" length, Level "&amp;$D55&amp;"; ","")</f>
        <v/>
      </c>
      <c r="H55" s="1428"/>
      <c r="I55" s="1429" t="str">
        <f>IF(AND($E$8=1,ROUND('3_Part_time'!K29,2)&lt;&gt;'3_Part_time'!K29),I$36&amp;", "&amp;I$37&amp;", Price group "&amp;$B55&amp;", "&amp;$C55&amp;" length, Level "&amp;$D55&amp;"; ","")</f>
        <v/>
      </c>
      <c r="J55" s="1430" t="str">
        <f>IF(AND($E$8=1,ROUND('3_Part_time'!L29,2)&lt;&gt;'3_Part_time'!L29),J$36&amp;", "&amp;J$37&amp;", Price group "&amp;$B55&amp;", "&amp;$C55&amp;" length, Level "&amp;$D55&amp;"; ","")</f>
        <v/>
      </c>
      <c r="L55" s="118"/>
      <c r="M55" s="30" t="s">
        <v>251</v>
      </c>
      <c r="N55" s="417">
        <f>IF(OR(E78&lt;&gt;"",E158&lt;&gt;""),1,0)</f>
        <v>0</v>
      </c>
      <c r="O55" s="418">
        <f t="shared" si="18"/>
        <v>0</v>
      </c>
      <c r="P55" s="419">
        <f t="shared" si="19"/>
        <v>0</v>
      </c>
      <c r="Q55" s="391">
        <f t="shared" si="3"/>
        <v>0</v>
      </c>
      <c r="R55" s="392">
        <f t="shared" si="4"/>
        <v>0</v>
      </c>
      <c r="S55" s="393">
        <f t="shared" si="5"/>
        <v>0</v>
      </c>
      <c r="T55" s="378">
        <f>IF(OR(H78&lt;&gt;"",H158&lt;&gt;""),1,0)</f>
        <v>0</v>
      </c>
      <c r="U55" s="379">
        <f t="shared" si="20"/>
        <v>0</v>
      </c>
      <c r="V55" s="380">
        <f t="shared" si="21"/>
        <v>0</v>
      </c>
      <c r="W55" s="394">
        <f t="shared" si="6"/>
        <v>0</v>
      </c>
      <c r="X55" s="395">
        <f t="shared" si="6"/>
        <v>0</v>
      </c>
      <c r="Y55" s="396">
        <f t="shared" si="6"/>
        <v>0</v>
      </c>
    </row>
    <row r="56" spans="2:25" ht="13.15" x14ac:dyDescent="0.35">
      <c r="B56" s="20" t="s">
        <v>225</v>
      </c>
      <c r="C56" s="53" t="s">
        <v>218</v>
      </c>
      <c r="D56" s="13" t="s">
        <v>205</v>
      </c>
      <c r="E56" s="1609" t="str">
        <f>IF(AND($E$8=1,ROUND('3_Part_time'!G30,2)&lt;&gt;'3_Part_time'!G30),E$36&amp;", "&amp;E$37&amp;", Price group "&amp;$B56&amp;", "&amp;$C56&amp;" length, Level "&amp;$D56&amp;"; ","")</f>
        <v/>
      </c>
      <c r="F56" s="7" t="str">
        <f>IF(AND($E$8=1,ROUND('3_Part_time'!H30,2)&lt;&gt;'3_Part_time'!H30),F$36&amp;", "&amp;F$37&amp;", Price group "&amp;$B56&amp;", "&amp;$C56&amp;" length, Level "&amp;$D56&amp;"; ","")</f>
        <v/>
      </c>
      <c r="G56" s="211" t="str">
        <f>IF(AND($E$8=1,ROUND('3_Part_time'!I30,2)&lt;&gt;'3_Part_time'!I30),G$36&amp;", "&amp;G$37&amp;", Price group "&amp;$B56&amp;", "&amp;$C56&amp;" length, Level "&amp;$D56&amp;"; ","")</f>
        <v/>
      </c>
      <c r="H56" s="1609" t="str">
        <f>IF(AND($E$8=1,ROUND('3_Part_time'!J30,2)&lt;&gt;'3_Part_time'!J30),H$36&amp;", "&amp;H$37&amp;", Price group "&amp;$B56&amp;", "&amp;$C56&amp;" length, Level "&amp;$D56&amp;"; ","")</f>
        <v/>
      </c>
      <c r="I56" s="7" t="str">
        <f>IF(AND($E$8=1,ROUND('3_Part_time'!K30,2)&lt;&gt;'3_Part_time'!K30),I$36&amp;", "&amp;I$37&amp;", Price group "&amp;$B56&amp;", "&amp;$C56&amp;" length, Level "&amp;$D56&amp;"; ","")</f>
        <v/>
      </c>
      <c r="J56" s="211" t="str">
        <f>IF(AND($E$8=1,ROUND('3_Part_time'!L30,2)&lt;&gt;'3_Part_time'!L30),J$36&amp;", "&amp;J$37&amp;", Price group "&amp;$B56&amp;", "&amp;$C56&amp;" length, Level "&amp;$D56&amp;"; ","")</f>
        <v/>
      </c>
      <c r="L56" s="118"/>
      <c r="M56" s="30" t="s">
        <v>251</v>
      </c>
      <c r="N56" s="420"/>
      <c r="O56" s="418">
        <f t="shared" si="18"/>
        <v>0</v>
      </c>
      <c r="P56" s="419">
        <f t="shared" si="19"/>
        <v>0</v>
      </c>
      <c r="Q56" s="384"/>
      <c r="R56" s="392">
        <f t="shared" si="4"/>
        <v>0</v>
      </c>
      <c r="S56" s="393">
        <f t="shared" si="5"/>
        <v>0</v>
      </c>
      <c r="T56" s="384"/>
      <c r="U56" s="379">
        <f t="shared" si="20"/>
        <v>0</v>
      </c>
      <c r="V56" s="380">
        <f t="shared" si="21"/>
        <v>0</v>
      </c>
      <c r="W56" s="384"/>
      <c r="X56" s="392">
        <f t="shared" si="6"/>
        <v>0</v>
      </c>
      <c r="Y56" s="393">
        <f t="shared" si="6"/>
        <v>0</v>
      </c>
    </row>
    <row r="57" spans="2:25" ht="13.15" x14ac:dyDescent="0.35">
      <c r="B57" s="20" t="s">
        <v>225</v>
      </c>
      <c r="C57" s="53" t="s">
        <v>218</v>
      </c>
      <c r="D57" s="13" t="s">
        <v>208</v>
      </c>
      <c r="E57" s="1609" t="str">
        <f>IF(AND($E$8=1,ROUND('3_Part_time'!G31,2)&lt;&gt;'3_Part_time'!G31),E$36&amp;", "&amp;E$37&amp;", Price group "&amp;$B57&amp;", "&amp;$C57&amp;" length, Level "&amp;$D57&amp;"; ","")</f>
        <v/>
      </c>
      <c r="F57" s="7" t="str">
        <f>IF(AND($E$8=1,ROUND('3_Part_time'!H31,2)&lt;&gt;'3_Part_time'!H31),F$36&amp;", "&amp;F$37&amp;", Price group "&amp;$B57&amp;", "&amp;$C57&amp;" length, Level "&amp;$D57&amp;"; ","")</f>
        <v/>
      </c>
      <c r="G57" s="211" t="str">
        <f>IF(AND($E$8=1,ROUND('3_Part_time'!I31,2)&lt;&gt;'3_Part_time'!I31),G$36&amp;", "&amp;G$37&amp;", Price group "&amp;$B57&amp;", "&amp;$C57&amp;" length, Level "&amp;$D57&amp;"; ","")</f>
        <v/>
      </c>
      <c r="H57" s="1609" t="str">
        <f>IF(AND($E$8=1,ROUND('3_Part_time'!J31,2)&lt;&gt;'3_Part_time'!J31),H$36&amp;", "&amp;H$37&amp;", Price group "&amp;$B57&amp;", "&amp;$C57&amp;" length, Level "&amp;$D57&amp;"; ","")</f>
        <v/>
      </c>
      <c r="I57" s="7" t="str">
        <f>IF(AND($E$8=1,ROUND('3_Part_time'!K31,2)&lt;&gt;'3_Part_time'!K31),I$36&amp;", "&amp;I$37&amp;", Price group "&amp;$B57&amp;", "&amp;$C57&amp;" length, Level "&amp;$D57&amp;"; ","")</f>
        <v/>
      </c>
      <c r="J57" s="211" t="str">
        <f>IF(AND($E$8=1,ROUND('3_Part_time'!L31,2)&lt;&gt;'3_Part_time'!L31),J$36&amp;", "&amp;J$37&amp;", Price group "&amp;$B57&amp;", "&amp;$C57&amp;" length, Level "&amp;$D57&amp;"; ","")</f>
        <v/>
      </c>
      <c r="L57" s="118"/>
      <c r="M57" s="30" t="s">
        <v>251</v>
      </c>
      <c r="N57" s="421">
        <f>IF(OR(E80&lt;&gt;"",E160&lt;&gt;""),1,0)</f>
        <v>0</v>
      </c>
      <c r="O57" s="422">
        <f t="shared" si="18"/>
        <v>0</v>
      </c>
      <c r="P57" s="423">
        <f t="shared" si="19"/>
        <v>0</v>
      </c>
      <c r="Q57" s="397">
        <f t="shared" si="3"/>
        <v>0</v>
      </c>
      <c r="R57" s="398">
        <f t="shared" si="4"/>
        <v>0</v>
      </c>
      <c r="S57" s="399">
        <f t="shared" si="5"/>
        <v>0</v>
      </c>
      <c r="T57" s="385">
        <f>IF(OR(H80&lt;&gt;"",H160&lt;&gt;""),1,0)</f>
        <v>0</v>
      </c>
      <c r="U57" s="386">
        <f t="shared" si="20"/>
        <v>0</v>
      </c>
      <c r="V57" s="387">
        <f t="shared" si="21"/>
        <v>0</v>
      </c>
      <c r="W57" s="397">
        <f t="shared" si="6"/>
        <v>0</v>
      </c>
      <c r="X57" s="398">
        <f t="shared" si="6"/>
        <v>0</v>
      </c>
      <c r="Y57" s="399">
        <f t="shared" si="6"/>
        <v>0</v>
      </c>
    </row>
    <row r="58" spans="2:25" ht="13.15" x14ac:dyDescent="0.35">
      <c r="B58" s="20" t="s">
        <v>225</v>
      </c>
      <c r="C58" s="53" t="s">
        <v>218</v>
      </c>
      <c r="D58" s="13" t="s">
        <v>210</v>
      </c>
      <c r="E58" s="1609" t="str">
        <f>IF(AND($E$8=1,ROUND('3_Part_time'!G32,2)&lt;&gt;'3_Part_time'!G32),E$36&amp;", "&amp;E$37&amp;", Price group "&amp;$B58&amp;", "&amp;$C58&amp;" length, Level "&amp;$D58&amp;"; ","")</f>
        <v/>
      </c>
      <c r="F58" s="7" t="str">
        <f>IF(AND($E$8=1,ROUND('3_Part_time'!H32,2)&lt;&gt;'3_Part_time'!H32),F$36&amp;", "&amp;F$37&amp;", Price group "&amp;$B58&amp;", "&amp;$C58&amp;" length, Level "&amp;$D58&amp;"; ","")</f>
        <v/>
      </c>
      <c r="G58" s="211" t="str">
        <f>IF(AND($E$8=1,ROUND('3_Part_time'!I32,2)&lt;&gt;'3_Part_time'!I32),G$36&amp;", "&amp;G$37&amp;", Price group "&amp;$B58&amp;", "&amp;$C58&amp;" length, Level "&amp;$D58&amp;"; ","")</f>
        <v/>
      </c>
      <c r="H58" s="1609" t="str">
        <f>IF(AND($E$8=1,ROUND('3_Part_time'!J32,2)&lt;&gt;'3_Part_time'!J32),H$36&amp;", "&amp;H$37&amp;", Price group "&amp;$B58&amp;", "&amp;$C58&amp;" length, Level "&amp;$D58&amp;"; ","")</f>
        <v/>
      </c>
      <c r="I58" s="7" t="str">
        <f>IF(AND($E$8=1,ROUND('3_Part_time'!K32,2)&lt;&gt;'3_Part_time'!K32),I$36&amp;", "&amp;I$37&amp;", Price group "&amp;$B58&amp;", "&amp;$C58&amp;" length, Level "&amp;$D58&amp;"; ","")</f>
        <v/>
      </c>
      <c r="J58" s="211" t="str">
        <f>IF(AND($E$8=1,ROUND('3_Part_time'!L32,2)&lt;&gt;'3_Part_time'!L32),J$36&amp;", "&amp;J$37&amp;", Price group "&amp;$B58&amp;", "&amp;$C58&amp;" length, Level "&amp;$D58&amp;"; ","")</f>
        <v/>
      </c>
      <c r="L58" s="118"/>
      <c r="M58" s="30" t="s">
        <v>251</v>
      </c>
      <c r="N58" s="421">
        <f>IF(OR(E81&lt;&gt;"",E161&lt;&gt;""),1,0)</f>
        <v>0</v>
      </c>
      <c r="O58" s="422">
        <f t="shared" si="18"/>
        <v>0</v>
      </c>
      <c r="P58" s="423">
        <f t="shared" si="19"/>
        <v>0</v>
      </c>
      <c r="Q58" s="397">
        <f t="shared" si="3"/>
        <v>0</v>
      </c>
      <c r="R58" s="398">
        <f t="shared" si="4"/>
        <v>0</v>
      </c>
      <c r="S58" s="399">
        <f t="shared" si="5"/>
        <v>0</v>
      </c>
      <c r="T58" s="385">
        <f>IF(OR(H81&lt;&gt;"",H161&lt;&gt;""),1,0)</f>
        <v>0</v>
      </c>
      <c r="U58" s="386">
        <f t="shared" si="20"/>
        <v>0</v>
      </c>
      <c r="V58" s="387">
        <f t="shared" si="21"/>
        <v>0</v>
      </c>
      <c r="W58" s="404">
        <f t="shared" si="6"/>
        <v>0</v>
      </c>
      <c r="X58" s="405">
        <f t="shared" si="6"/>
        <v>0</v>
      </c>
      <c r="Y58" s="406">
        <f t="shared" si="6"/>
        <v>0</v>
      </c>
    </row>
    <row r="59" spans="2:25" ht="13.15" x14ac:dyDescent="0.35">
      <c r="B59" s="20" t="s">
        <v>225</v>
      </c>
      <c r="C59" s="53" t="s">
        <v>218</v>
      </c>
      <c r="D59" s="13" t="s">
        <v>212</v>
      </c>
      <c r="E59" s="1609" t="str">
        <f>IF(AND($E$8=1,ROUND('3_Part_time'!G33,2)&lt;&gt;'3_Part_time'!G33),E$36&amp;", "&amp;E$37&amp;", Price group "&amp;$B59&amp;", "&amp;$C59&amp;" length, Level "&amp;$D59&amp;"; ","")</f>
        <v/>
      </c>
      <c r="F59" s="7" t="str">
        <f>IF(AND($E$8=1,ROUND('3_Part_time'!H33,2)&lt;&gt;'3_Part_time'!H33),F$36&amp;", "&amp;F$37&amp;", Price group "&amp;$B59&amp;", "&amp;$C59&amp;" length, Level "&amp;$D59&amp;"; ","")</f>
        <v/>
      </c>
      <c r="G59" s="211" t="str">
        <f>IF(AND($E$8=1,ROUND('3_Part_time'!I33,2)&lt;&gt;'3_Part_time'!I33),G$36&amp;", "&amp;G$37&amp;", Price group "&amp;$B59&amp;", "&amp;$C59&amp;" length, Level "&amp;$D59&amp;"; ","")</f>
        <v/>
      </c>
      <c r="H59" s="1609" t="str">
        <f>IF(AND($E$8=1,ROUND('3_Part_time'!J33,2)&lt;&gt;'3_Part_time'!J33),H$36&amp;", "&amp;H$37&amp;", Price group "&amp;$B59&amp;", "&amp;$C59&amp;" length, Level "&amp;$D59&amp;"; ","")</f>
        <v/>
      </c>
      <c r="I59" s="7" t="str">
        <f>IF(AND($E$8=1,ROUND('3_Part_time'!K33,2)&lt;&gt;'3_Part_time'!K33),I$36&amp;", "&amp;I$37&amp;", Price group "&amp;$B59&amp;", "&amp;$C59&amp;" length, Level "&amp;$D59&amp;"; ","")</f>
        <v/>
      </c>
      <c r="J59" s="211" t="str">
        <f>IF(AND($E$8=1,ROUND('3_Part_time'!L33,2)&lt;&gt;'3_Part_time'!L33),J$36&amp;", "&amp;J$37&amp;", Price group "&amp;$B59&amp;", "&amp;$C59&amp;" length, Level "&amp;$D59&amp;"; ","")</f>
        <v/>
      </c>
      <c r="L59" s="118"/>
      <c r="M59" s="30" t="s">
        <v>251</v>
      </c>
      <c r="N59" s="1292">
        <f>IF(OR(E82&lt;&gt;"",E162&lt;&gt;""),1,0)</f>
        <v>0</v>
      </c>
      <c r="O59" s="1293">
        <f t="shared" si="18"/>
        <v>0</v>
      </c>
      <c r="P59" s="1294">
        <f t="shared" si="19"/>
        <v>0</v>
      </c>
      <c r="Q59" s="1295">
        <f t="shared" si="3"/>
        <v>0</v>
      </c>
      <c r="R59" s="1296">
        <f t="shared" si="4"/>
        <v>0</v>
      </c>
      <c r="S59" s="1297">
        <f t="shared" si="5"/>
        <v>0</v>
      </c>
      <c r="T59" s="1292">
        <f>IF(OR(H82&lt;&gt;"",H162&lt;&gt;""),1,0)</f>
        <v>0</v>
      </c>
      <c r="U59" s="1293">
        <f t="shared" si="20"/>
        <v>0</v>
      </c>
      <c r="V59" s="1294">
        <f t="shared" si="21"/>
        <v>0</v>
      </c>
      <c r="W59" s="391">
        <f t="shared" si="6"/>
        <v>0</v>
      </c>
      <c r="X59" s="392">
        <f t="shared" si="6"/>
        <v>0</v>
      </c>
      <c r="Y59" s="393">
        <f t="shared" si="6"/>
        <v>0</v>
      </c>
    </row>
    <row r="60" spans="2:25" ht="13.15" x14ac:dyDescent="0.35">
      <c r="B60" s="20" t="s">
        <v>225</v>
      </c>
      <c r="C60" s="53" t="s">
        <v>218</v>
      </c>
      <c r="D60" s="13" t="s">
        <v>214</v>
      </c>
      <c r="E60" s="1609" t="str">
        <f>IF(AND($E$8=1,ROUND('3_Part_time'!G34,2)&lt;&gt;'3_Part_time'!G34),E$36&amp;", "&amp;E$37&amp;", Price group "&amp;$B60&amp;", "&amp;$C60&amp;" length, Level "&amp;$D60&amp;"; ","")</f>
        <v/>
      </c>
      <c r="F60" s="7" t="str">
        <f>IF(AND($E$8=1,ROUND('3_Part_time'!H34,2)&lt;&gt;'3_Part_time'!H34),F$36&amp;", "&amp;F$37&amp;", Price group "&amp;$B60&amp;", "&amp;$C60&amp;" length, Level "&amp;$D60&amp;"; ","")</f>
        <v/>
      </c>
      <c r="G60" s="211" t="str">
        <f>IF(AND($E$8=1,ROUND('3_Part_time'!I34,2)&lt;&gt;'3_Part_time'!I34),G$36&amp;", "&amp;G$37&amp;", Price group "&amp;$B60&amp;", "&amp;$C60&amp;" length, Level "&amp;$D60&amp;"; ","")</f>
        <v/>
      </c>
      <c r="H60" s="1609" t="str">
        <f>IF(AND($E$8=1,ROUND('3_Part_time'!J34,2)&lt;&gt;'3_Part_time'!J34),H$36&amp;", "&amp;H$37&amp;", Price group "&amp;$B60&amp;", "&amp;$C60&amp;" length, Level "&amp;$D60&amp;"; ","")</f>
        <v/>
      </c>
      <c r="I60" s="7" t="str">
        <f>IF(AND($E$8=1,ROUND('3_Part_time'!K34,2)&lt;&gt;'3_Part_time'!K34),I$36&amp;", "&amp;I$37&amp;", Price group "&amp;$B60&amp;", "&amp;$C60&amp;" length, Level "&amp;$D60&amp;"; ","")</f>
        <v/>
      </c>
      <c r="J60" s="211" t="str">
        <f>IF(AND($E$8=1,ROUND('3_Part_time'!L34,2)&lt;&gt;'3_Part_time'!L34),J$36&amp;", "&amp;J$37&amp;", Price group "&amp;$B60&amp;", "&amp;$C60&amp;" length, Level "&amp;$D60&amp;"; ","")</f>
        <v/>
      </c>
      <c r="L60" s="118"/>
      <c r="M60" s="30" t="s">
        <v>251</v>
      </c>
      <c r="N60" s="417">
        <f>IF(OR(E83&lt;&gt;"",E163&lt;&gt;""),1,0)</f>
        <v>0</v>
      </c>
      <c r="O60" s="418">
        <f t="shared" si="18"/>
        <v>0</v>
      </c>
      <c r="P60" s="419">
        <f t="shared" si="19"/>
        <v>0</v>
      </c>
      <c r="Q60" s="391">
        <f t="shared" si="3"/>
        <v>0</v>
      </c>
      <c r="R60" s="392">
        <f t="shared" si="4"/>
        <v>0</v>
      </c>
      <c r="S60" s="393">
        <f t="shared" si="5"/>
        <v>0</v>
      </c>
      <c r="T60" s="378">
        <f>IF(OR(H83&lt;&gt;"",H163&lt;&gt;""),1,0)</f>
        <v>0</v>
      </c>
      <c r="U60" s="379">
        <f t="shared" si="20"/>
        <v>0</v>
      </c>
      <c r="V60" s="380">
        <f t="shared" si="21"/>
        <v>0</v>
      </c>
      <c r="W60" s="391">
        <f t="shared" si="6"/>
        <v>0</v>
      </c>
      <c r="X60" s="392">
        <f t="shared" si="6"/>
        <v>0</v>
      </c>
      <c r="Y60" s="393">
        <f t="shared" si="6"/>
        <v>0</v>
      </c>
    </row>
    <row r="61" spans="2:25" ht="13.15" x14ac:dyDescent="0.35">
      <c r="B61" s="20" t="s">
        <v>225</v>
      </c>
      <c r="C61" s="53" t="s">
        <v>218</v>
      </c>
      <c r="D61" s="13" t="s">
        <v>216</v>
      </c>
      <c r="E61" s="1432"/>
      <c r="F61" s="1409" t="str">
        <f>IF(AND($E$8=1,ROUND('3_Part_time'!H35,2)&lt;&gt;'3_Part_time'!H35),F$36&amp;", "&amp;F$37&amp;", Price group "&amp;$B61&amp;", "&amp;$C61&amp;" length, Level "&amp;$D61&amp;"; ","")</f>
        <v/>
      </c>
      <c r="G61" s="1433" t="str">
        <f>IF(AND($E$8=1,ROUND('3_Part_time'!I35,2)&lt;&gt;'3_Part_time'!I35),G$36&amp;", "&amp;G$37&amp;", Price group "&amp;$B61&amp;", "&amp;$C61&amp;" length, Level "&amp;$D61&amp;"; ","")</f>
        <v/>
      </c>
      <c r="H61" s="1432"/>
      <c r="I61" s="1409" t="str">
        <f>IF(AND($E$8=1,ROUND('3_Part_time'!K35,2)&lt;&gt;'3_Part_time'!K35),I$36&amp;", "&amp;I$37&amp;", Price group "&amp;$B61&amp;", "&amp;$C61&amp;" length, Level "&amp;$D61&amp;"; ","")</f>
        <v/>
      </c>
      <c r="J61" s="1433" t="str">
        <f>IF(AND($E$8=1,ROUND('3_Part_time'!L35,2)&lt;&gt;'3_Part_time'!L35),J$36&amp;", "&amp;J$37&amp;", Price group "&amp;$B61&amp;", "&amp;$C61&amp;" length, Level "&amp;$D61&amp;"; ","")</f>
        <v/>
      </c>
      <c r="L61" s="118"/>
      <c r="M61" s="30" t="s">
        <v>251</v>
      </c>
      <c r="N61" s="417">
        <f>IF(OR(E84&lt;&gt;"",E164&lt;&gt;""),1,0)</f>
        <v>0</v>
      </c>
      <c r="O61" s="418">
        <f t="shared" si="18"/>
        <v>0</v>
      </c>
      <c r="P61" s="419">
        <f t="shared" si="19"/>
        <v>0</v>
      </c>
      <c r="Q61" s="391">
        <f t="shared" si="3"/>
        <v>0</v>
      </c>
      <c r="R61" s="392">
        <f t="shared" si="4"/>
        <v>0</v>
      </c>
      <c r="S61" s="393">
        <f t="shared" si="5"/>
        <v>0</v>
      </c>
      <c r="T61" s="378">
        <f>IF(OR(H84&lt;&gt;"",H164&lt;&gt;""),1,0)</f>
        <v>0</v>
      </c>
      <c r="U61" s="379">
        <f t="shared" si="20"/>
        <v>0</v>
      </c>
      <c r="V61" s="380">
        <f t="shared" si="21"/>
        <v>0</v>
      </c>
      <c r="W61" s="391">
        <f t="shared" si="6"/>
        <v>0</v>
      </c>
      <c r="X61" s="392">
        <f t="shared" si="6"/>
        <v>0</v>
      </c>
      <c r="Y61" s="393">
        <f t="shared" si="6"/>
        <v>0</v>
      </c>
    </row>
    <row r="62" spans="2:25" ht="13.15" x14ac:dyDescent="0.35">
      <c r="B62" s="20" t="s">
        <v>238</v>
      </c>
      <c r="C62" s="53" t="s">
        <v>204</v>
      </c>
      <c r="D62" s="13" t="s">
        <v>205</v>
      </c>
      <c r="E62" s="1813" t="str">
        <f>IF(AND($E$8=1,ROUND('3_Part_time'!G36,2)&lt;&gt;'3_Part_time'!G36),E$36&amp;", "&amp;E$37&amp;", Price group "&amp;$B62&amp;", "&amp;$C62&amp;" length, Level "&amp;$D62&amp;"; ","")</f>
        <v/>
      </c>
      <c r="F62" s="1412" t="str">
        <f>IF(AND($E$8=1,ROUND('3_Part_time'!H36,2)&lt;&gt;'3_Part_time'!H36),F$36&amp;", "&amp;F$37&amp;", Price group "&amp;$B62&amp;", "&amp;$C62&amp;" length, Level "&amp;$D62&amp;"; ","")</f>
        <v/>
      </c>
      <c r="G62" s="1789" t="str">
        <f>IF(AND($E$8=1,ROUND('3_Part_time'!I36,2)&lt;&gt;'3_Part_time'!I36),G$36&amp;", "&amp;G$37&amp;", Price group "&amp;$B62&amp;", "&amp;$C62&amp;" length, Level "&amp;$D62&amp;"; ","")</f>
        <v/>
      </c>
      <c r="H62" s="1813" t="str">
        <f>IF(AND($E$8=1,ROUND('3_Part_time'!J36,2)&lt;&gt;'3_Part_time'!J36),H$36&amp;", "&amp;H$37&amp;", Price group "&amp;$B62&amp;", "&amp;$C62&amp;" length, Level "&amp;$D62&amp;"; ","")</f>
        <v/>
      </c>
      <c r="I62" s="1412" t="str">
        <f>IF(AND($E$8=1,ROUND('3_Part_time'!K36,2)&lt;&gt;'3_Part_time'!K36),I$36&amp;", "&amp;I$37&amp;", Price group "&amp;$B62&amp;", "&amp;$C62&amp;" length, Level "&amp;$D62&amp;"; ","")</f>
        <v/>
      </c>
      <c r="J62" s="1789" t="str">
        <f>IF(AND($E$8=1,ROUND('3_Part_time'!L36,2)&lt;&gt;'3_Part_time'!L36),J$36&amp;", "&amp;J$37&amp;", Price group "&amp;$B62&amp;", "&amp;$C62&amp;" length, Level "&amp;$D62&amp;"; ","")</f>
        <v/>
      </c>
      <c r="L62" s="118"/>
      <c r="M62" s="30" t="s">
        <v>251</v>
      </c>
      <c r="N62" s="1288"/>
      <c r="O62" s="1289">
        <f t="shared" si="18"/>
        <v>0</v>
      </c>
      <c r="P62" s="1290">
        <f t="shared" si="19"/>
        <v>0</v>
      </c>
      <c r="Q62" s="400"/>
      <c r="R62" s="403">
        <f t="shared" si="4"/>
        <v>0</v>
      </c>
      <c r="S62" s="1291">
        <f t="shared" si="5"/>
        <v>0</v>
      </c>
      <c r="T62" s="400"/>
      <c r="U62" s="401">
        <f t="shared" si="20"/>
        <v>0</v>
      </c>
      <c r="V62" s="402">
        <f t="shared" si="21"/>
        <v>0</v>
      </c>
      <c r="W62" s="384"/>
      <c r="X62" s="392">
        <f t="shared" si="6"/>
        <v>0</v>
      </c>
      <c r="Y62" s="393">
        <f t="shared" si="6"/>
        <v>0</v>
      </c>
    </row>
    <row r="63" spans="2:25" ht="13.15" x14ac:dyDescent="0.35">
      <c r="B63" s="20" t="s">
        <v>238</v>
      </c>
      <c r="C63" s="53" t="s">
        <v>204</v>
      </c>
      <c r="D63" s="13" t="s">
        <v>208</v>
      </c>
      <c r="E63" s="1609" t="str">
        <f>IF(AND($E$8=1,ROUND('3_Part_time'!G37,2)&lt;&gt;'3_Part_time'!G37),E$36&amp;", "&amp;E$37&amp;", Price group "&amp;$B63&amp;", "&amp;$C63&amp;" length, Level "&amp;$D63&amp;"; ","")</f>
        <v/>
      </c>
      <c r="F63" s="7" t="str">
        <f>IF(AND($E$8=1,ROUND('3_Part_time'!H37,2)&lt;&gt;'3_Part_time'!H37),F$36&amp;", "&amp;F$37&amp;", Price group "&amp;$B63&amp;", "&amp;$C63&amp;" length, Level "&amp;$D63&amp;"; ","")</f>
        <v/>
      </c>
      <c r="G63" s="211" t="str">
        <f>IF(AND($E$8=1,ROUND('3_Part_time'!I37,2)&lt;&gt;'3_Part_time'!I37),G$36&amp;", "&amp;G$37&amp;", Price group "&amp;$B63&amp;", "&amp;$C63&amp;" length, Level "&amp;$D63&amp;"; ","")</f>
        <v/>
      </c>
      <c r="H63" s="1609" t="str">
        <f>IF(AND($E$8=1,ROUND('3_Part_time'!J37,2)&lt;&gt;'3_Part_time'!J37),H$36&amp;", "&amp;H$37&amp;", Price group "&amp;$B63&amp;", "&amp;$C63&amp;" length, Level "&amp;$D63&amp;"; ","")</f>
        <v/>
      </c>
      <c r="I63" s="7" t="str">
        <f>IF(AND($E$8=1,ROUND('3_Part_time'!K37,2)&lt;&gt;'3_Part_time'!K37),I$36&amp;", "&amp;I$37&amp;", Price group "&amp;$B63&amp;", "&amp;$C63&amp;" length, Level "&amp;$D63&amp;"; ","")</f>
        <v/>
      </c>
      <c r="J63" s="211" t="str">
        <f>IF(AND($E$8=1,ROUND('3_Part_time'!L37,2)&lt;&gt;'3_Part_time'!L37),J$36&amp;", "&amp;J$37&amp;", Price group "&amp;$B63&amp;", "&amp;$C63&amp;" length, Level "&amp;$D63&amp;"; ","")</f>
        <v/>
      </c>
      <c r="L63" s="118"/>
      <c r="M63" s="30" t="s">
        <v>264</v>
      </c>
      <c r="N63" s="1803">
        <f>IF(OR(E86&lt;&gt;"",E166&lt;&gt;""),1,0)</f>
        <v>0</v>
      </c>
      <c r="O63" s="1699">
        <f t="shared" si="18"/>
        <v>0</v>
      </c>
      <c r="P63" s="1700">
        <f t="shared" si="19"/>
        <v>0</v>
      </c>
      <c r="Q63" s="1804">
        <f t="shared" si="3"/>
        <v>0</v>
      </c>
      <c r="R63" s="1691">
        <f t="shared" si="4"/>
        <v>0</v>
      </c>
      <c r="S63" s="1692">
        <f t="shared" si="5"/>
        <v>0</v>
      </c>
      <c r="T63" s="1805">
        <f>IF(OR(H86&lt;&gt;"",H166&lt;&gt;""),1,0)</f>
        <v>0</v>
      </c>
      <c r="U63" s="1689">
        <f t="shared" si="20"/>
        <v>0</v>
      </c>
      <c r="V63" s="1690">
        <f t="shared" si="21"/>
        <v>0</v>
      </c>
      <c r="W63" s="1713">
        <f t="shared" si="6"/>
        <v>0</v>
      </c>
      <c r="X63" s="1691">
        <f t="shared" si="6"/>
        <v>0</v>
      </c>
      <c r="Y63" s="1692">
        <f t="shared" si="6"/>
        <v>0</v>
      </c>
    </row>
    <row r="64" spans="2:25" ht="13.15" x14ac:dyDescent="0.35">
      <c r="B64" s="20" t="s">
        <v>238</v>
      </c>
      <c r="C64" s="53" t="s">
        <v>204</v>
      </c>
      <c r="D64" s="13" t="s">
        <v>210</v>
      </c>
      <c r="E64" s="1609" t="str">
        <f>IF(AND($E$8=1,ROUND('3_Part_time'!G38,2)&lt;&gt;'3_Part_time'!G38),E$36&amp;", "&amp;E$37&amp;", Price group "&amp;$B64&amp;", "&amp;$C64&amp;" length, Level "&amp;$D64&amp;"; ","")</f>
        <v/>
      </c>
      <c r="F64" s="7" t="str">
        <f>IF(AND($E$8=1,ROUND('3_Part_time'!H38,2)&lt;&gt;'3_Part_time'!H38),F$36&amp;", "&amp;F$37&amp;", Price group "&amp;$B64&amp;", "&amp;$C64&amp;" length, Level "&amp;$D64&amp;"; ","")</f>
        <v/>
      </c>
      <c r="G64" s="211" t="str">
        <f>IF(AND($E$8=1,ROUND('3_Part_time'!I38,2)&lt;&gt;'3_Part_time'!I38),G$36&amp;", "&amp;G$37&amp;", Price group "&amp;$B64&amp;", "&amp;$C64&amp;" length, Level "&amp;$D64&amp;"; ","")</f>
        <v/>
      </c>
      <c r="H64" s="1609" t="str">
        <f>IF(AND($E$8=1,ROUND('3_Part_time'!J38,2)&lt;&gt;'3_Part_time'!J38),H$36&amp;", "&amp;H$37&amp;", Price group "&amp;$B64&amp;", "&amp;$C64&amp;" length, Level "&amp;$D64&amp;"; ","")</f>
        <v/>
      </c>
      <c r="I64" s="7" t="str">
        <f>IF(AND($E$8=1,ROUND('3_Part_time'!K38,2)&lt;&gt;'3_Part_time'!K38),I$36&amp;", "&amp;I$37&amp;", Price group "&amp;$B64&amp;", "&amp;$C64&amp;" length, Level "&amp;$D64&amp;"; ","")</f>
        <v/>
      </c>
      <c r="J64" s="211" t="str">
        <f>IF(AND($E$8=1,ROUND('3_Part_time'!L38,2)&lt;&gt;'3_Part_time'!L38),J$36&amp;", "&amp;J$37&amp;", Price group "&amp;$B64&amp;", "&amp;$C64&amp;" length, Level "&amp;$D64&amp;"; ","")</f>
        <v/>
      </c>
      <c r="L64" s="118"/>
      <c r="M64" s="30" t="s">
        <v>264</v>
      </c>
      <c r="N64" s="1285">
        <f>IF(OR(E87&lt;&gt;"",E167&lt;&gt;""),1,0)</f>
        <v>0</v>
      </c>
      <c r="O64" s="1286">
        <f t="shared" si="18"/>
        <v>0</v>
      </c>
      <c r="P64" s="1287">
        <f t="shared" si="19"/>
        <v>0</v>
      </c>
      <c r="Q64" s="654">
        <f t="shared" si="3"/>
        <v>0</v>
      </c>
      <c r="R64" s="472">
        <f t="shared" si="4"/>
        <v>0</v>
      </c>
      <c r="S64" s="655">
        <f t="shared" si="5"/>
        <v>0</v>
      </c>
      <c r="T64" s="653">
        <f>IF(OR(H87&lt;&gt;"",H167&lt;&gt;""),1,0)</f>
        <v>0</v>
      </c>
      <c r="U64" s="471">
        <f t="shared" si="20"/>
        <v>0</v>
      </c>
      <c r="V64" s="469">
        <f t="shared" si="21"/>
        <v>0</v>
      </c>
      <c r="W64" s="404">
        <f t="shared" si="6"/>
        <v>0</v>
      </c>
      <c r="X64" s="405">
        <f t="shared" si="6"/>
        <v>0</v>
      </c>
      <c r="Y64" s="406">
        <f t="shared" si="6"/>
        <v>0</v>
      </c>
    </row>
    <row r="65" spans="2:25" ht="13.15" x14ac:dyDescent="0.35">
      <c r="B65" s="20" t="s">
        <v>238</v>
      </c>
      <c r="C65" s="53" t="s">
        <v>204</v>
      </c>
      <c r="D65" s="13" t="s">
        <v>212</v>
      </c>
      <c r="E65" s="1609" t="str">
        <f>IF(AND($E$8=1,ROUND('3_Part_time'!G39,2)&lt;&gt;'3_Part_time'!G39),E$36&amp;", "&amp;E$37&amp;", Price group "&amp;$B65&amp;", "&amp;$C65&amp;" length, Level "&amp;$D65&amp;"; ","")</f>
        <v/>
      </c>
      <c r="F65" s="7" t="str">
        <f>IF(AND($E$8=1,ROUND('3_Part_time'!H39,2)&lt;&gt;'3_Part_time'!H39),F$36&amp;", "&amp;F$37&amp;", Price group "&amp;$B65&amp;", "&amp;$C65&amp;" length, Level "&amp;$D65&amp;"; ","")</f>
        <v/>
      </c>
      <c r="G65" s="211" t="str">
        <f>IF(AND($E$8=1,ROUND('3_Part_time'!I39,2)&lt;&gt;'3_Part_time'!I39),G$36&amp;", "&amp;G$37&amp;", Price group "&amp;$B65&amp;", "&amp;$C65&amp;" length, Level "&amp;$D65&amp;"; ","")</f>
        <v/>
      </c>
      <c r="H65" s="1609" t="str">
        <f>IF(AND($E$8=1,ROUND('3_Part_time'!J39,2)&lt;&gt;'3_Part_time'!J39),H$36&amp;", "&amp;H$37&amp;", Price group "&amp;$B65&amp;", "&amp;$C65&amp;" length, Level "&amp;$D65&amp;"; ","")</f>
        <v/>
      </c>
      <c r="I65" s="7" t="str">
        <f>IF(AND($E$8=1,ROUND('3_Part_time'!K39,2)&lt;&gt;'3_Part_time'!K39),I$36&amp;", "&amp;I$37&amp;", Price group "&amp;$B65&amp;", "&amp;$C65&amp;" length, Level "&amp;$D65&amp;"; ","")</f>
        <v/>
      </c>
      <c r="J65" s="211" t="str">
        <f>IF(AND($E$8=1,ROUND('3_Part_time'!L39,2)&lt;&gt;'3_Part_time'!L39),J$36&amp;", "&amp;J$37&amp;", Price group "&amp;$B65&amp;", "&amp;$C65&amp;" length, Level "&amp;$D65&amp;"; ","")</f>
        <v/>
      </c>
      <c r="L65" s="118"/>
      <c r="M65" s="30" t="s">
        <v>264</v>
      </c>
      <c r="N65" s="1292">
        <f>IF(OR(E88&lt;&gt;"",E168&lt;&gt;""),1,0)</f>
        <v>0</v>
      </c>
      <c r="O65" s="1293">
        <f t="shared" si="18"/>
        <v>0</v>
      </c>
      <c r="P65" s="1294">
        <f t="shared" si="19"/>
        <v>0</v>
      </c>
      <c r="Q65" s="1295">
        <f t="shared" si="3"/>
        <v>0</v>
      </c>
      <c r="R65" s="1296">
        <f t="shared" si="4"/>
        <v>0</v>
      </c>
      <c r="S65" s="1297">
        <f t="shared" si="5"/>
        <v>0</v>
      </c>
      <c r="T65" s="1292">
        <f>IF(OR(H88&lt;&gt;"",H168&lt;&gt;""),1,0)</f>
        <v>0</v>
      </c>
      <c r="U65" s="1293">
        <f t="shared" si="20"/>
        <v>0</v>
      </c>
      <c r="V65" s="1294">
        <f t="shared" si="21"/>
        <v>0</v>
      </c>
      <c r="W65" s="391">
        <f t="shared" si="6"/>
        <v>0</v>
      </c>
      <c r="X65" s="392">
        <f t="shared" si="6"/>
        <v>0</v>
      </c>
      <c r="Y65" s="393">
        <f t="shared" si="6"/>
        <v>0</v>
      </c>
    </row>
    <row r="66" spans="2:25" ht="13.15" x14ac:dyDescent="0.35">
      <c r="B66" s="20" t="s">
        <v>238</v>
      </c>
      <c r="C66" s="53" t="s">
        <v>204</v>
      </c>
      <c r="D66" s="13" t="s">
        <v>214</v>
      </c>
      <c r="E66" s="1609" t="str">
        <f>IF(AND($E$8=1,ROUND('3_Part_time'!G40,2)&lt;&gt;'3_Part_time'!G40),E$36&amp;", "&amp;E$37&amp;", Price group "&amp;$B66&amp;", "&amp;$C66&amp;" length, Level "&amp;$D66&amp;"; ","")</f>
        <v/>
      </c>
      <c r="F66" s="7" t="str">
        <f>IF(AND($E$8=1,ROUND('3_Part_time'!H40,2)&lt;&gt;'3_Part_time'!H40),F$36&amp;", "&amp;F$37&amp;", Price group "&amp;$B66&amp;", "&amp;$C66&amp;" length, Level "&amp;$D66&amp;"; ","")</f>
        <v/>
      </c>
      <c r="G66" s="211" t="str">
        <f>IF(AND($E$8=1,ROUND('3_Part_time'!I40,2)&lt;&gt;'3_Part_time'!I40),G$36&amp;", "&amp;G$37&amp;", Price group "&amp;$B66&amp;", "&amp;$C66&amp;" length, Level "&amp;$D66&amp;"; ","")</f>
        <v/>
      </c>
      <c r="H66" s="1609" t="str">
        <f>IF(AND($E$8=1,ROUND('3_Part_time'!J40,2)&lt;&gt;'3_Part_time'!J40),H$36&amp;", "&amp;H$37&amp;", Price group "&amp;$B66&amp;", "&amp;$C66&amp;" length, Level "&amp;$D66&amp;"; ","")</f>
        <v/>
      </c>
      <c r="I66" s="7" t="str">
        <f>IF(AND($E$8=1,ROUND('3_Part_time'!K40,2)&lt;&gt;'3_Part_time'!K40),I$36&amp;", "&amp;I$37&amp;", Price group "&amp;$B66&amp;", "&amp;$C66&amp;" length, Level "&amp;$D66&amp;"; ","")</f>
        <v/>
      </c>
      <c r="J66" s="211" t="str">
        <f>IF(AND($E$8=1,ROUND('3_Part_time'!L40,2)&lt;&gt;'3_Part_time'!L40),J$36&amp;", "&amp;J$37&amp;", Price group "&amp;$B66&amp;", "&amp;$C66&amp;" length, Level "&amp;$D66&amp;"; ","")</f>
        <v/>
      </c>
      <c r="L66" s="118"/>
      <c r="M66" s="30" t="s">
        <v>264</v>
      </c>
      <c r="N66" s="417">
        <f>IF(OR(E89&lt;&gt;"",E169&lt;&gt;""),1,0)</f>
        <v>0</v>
      </c>
      <c r="O66" s="418">
        <f t="shared" si="18"/>
        <v>0</v>
      </c>
      <c r="P66" s="419">
        <f t="shared" si="19"/>
        <v>0</v>
      </c>
      <c r="Q66" s="391">
        <f t="shared" si="3"/>
        <v>0</v>
      </c>
      <c r="R66" s="392">
        <f t="shared" si="4"/>
        <v>0</v>
      </c>
      <c r="S66" s="393">
        <f t="shared" si="5"/>
        <v>0</v>
      </c>
      <c r="T66" s="378">
        <f>IF(OR(H89&lt;&gt;"",H169&lt;&gt;""),1,0)</f>
        <v>0</v>
      </c>
      <c r="U66" s="379">
        <f t="shared" si="20"/>
        <v>0</v>
      </c>
      <c r="V66" s="380">
        <f t="shared" si="21"/>
        <v>0</v>
      </c>
      <c r="W66" s="391">
        <f t="shared" si="6"/>
        <v>0</v>
      </c>
      <c r="X66" s="392">
        <f t="shared" si="6"/>
        <v>0</v>
      </c>
      <c r="Y66" s="393">
        <f t="shared" si="6"/>
        <v>0</v>
      </c>
    </row>
    <row r="67" spans="2:25" ht="13.15" x14ac:dyDescent="0.35">
      <c r="B67" s="20" t="s">
        <v>238</v>
      </c>
      <c r="C67" s="53" t="s">
        <v>204</v>
      </c>
      <c r="D67" s="13" t="s">
        <v>216</v>
      </c>
      <c r="E67" s="1428"/>
      <c r="F67" s="1429" t="str">
        <f>IF(AND($E$8=1,ROUND('3_Part_time'!H41,2)&lt;&gt;'3_Part_time'!H41),F$36&amp;", "&amp;F$37&amp;", Price group "&amp;$B67&amp;", "&amp;$C67&amp;" length, Level "&amp;$D67&amp;"; ","")</f>
        <v/>
      </c>
      <c r="G67" s="1430" t="str">
        <f>IF(AND($E$8=1,ROUND('3_Part_time'!I41,2)&lt;&gt;'3_Part_time'!I41),G$36&amp;", "&amp;G$37&amp;", Price group "&amp;$B67&amp;", "&amp;$C67&amp;" length, Level "&amp;$D67&amp;"; ","")</f>
        <v/>
      </c>
      <c r="H67" s="1428"/>
      <c r="I67" s="1429" t="str">
        <f>IF(AND($E$8=1,ROUND('3_Part_time'!K41,2)&lt;&gt;'3_Part_time'!K41),I$36&amp;", "&amp;I$37&amp;", Price group "&amp;$B67&amp;", "&amp;$C67&amp;" length, Level "&amp;$D67&amp;"; ","")</f>
        <v/>
      </c>
      <c r="J67" s="1430" t="str">
        <f>IF(AND($E$8=1,ROUND('3_Part_time'!L41,2)&lt;&gt;'3_Part_time'!L41),J$36&amp;", "&amp;J$37&amp;", Price group "&amp;$B67&amp;", "&amp;$C67&amp;" length, Level "&amp;$D67&amp;"; ","")</f>
        <v/>
      </c>
      <c r="L67" s="118"/>
      <c r="M67" s="30" t="s">
        <v>264</v>
      </c>
      <c r="N67" s="417">
        <f>IF(OR(E90&lt;&gt;"",E170&lt;&gt;""),1,0)</f>
        <v>0</v>
      </c>
      <c r="O67" s="418">
        <f t="shared" si="18"/>
        <v>0</v>
      </c>
      <c r="P67" s="419">
        <f t="shared" si="19"/>
        <v>0</v>
      </c>
      <c r="Q67" s="391">
        <f t="shared" si="3"/>
        <v>0</v>
      </c>
      <c r="R67" s="392">
        <f t="shared" si="4"/>
        <v>0</v>
      </c>
      <c r="S67" s="393">
        <f t="shared" si="5"/>
        <v>0</v>
      </c>
      <c r="T67" s="378">
        <f>IF(OR(H90&lt;&gt;"",H170&lt;&gt;""),1,0)</f>
        <v>0</v>
      </c>
      <c r="U67" s="379">
        <f t="shared" si="20"/>
        <v>0</v>
      </c>
      <c r="V67" s="380">
        <f t="shared" si="21"/>
        <v>0</v>
      </c>
      <c r="W67" s="394">
        <f t="shared" si="6"/>
        <v>0</v>
      </c>
      <c r="X67" s="395">
        <f t="shared" si="6"/>
        <v>0</v>
      </c>
      <c r="Y67" s="396">
        <f t="shared" si="6"/>
        <v>0</v>
      </c>
    </row>
    <row r="68" spans="2:25" ht="13.15" x14ac:dyDescent="0.35">
      <c r="B68" s="20" t="s">
        <v>238</v>
      </c>
      <c r="C68" s="53" t="s">
        <v>218</v>
      </c>
      <c r="D68" s="13" t="s">
        <v>205</v>
      </c>
      <c r="E68" s="1609" t="str">
        <f>IF(AND($E$8=1,ROUND('3_Part_time'!G42,2)&lt;&gt;'3_Part_time'!G42),E$36&amp;", "&amp;E$37&amp;", Price group "&amp;$B68&amp;", "&amp;$C68&amp;" length, Level "&amp;$D68&amp;"; ","")</f>
        <v/>
      </c>
      <c r="F68" s="7" t="str">
        <f>IF(AND($E$8=1,ROUND('3_Part_time'!H42,2)&lt;&gt;'3_Part_time'!H42),F$36&amp;", "&amp;F$37&amp;", Price group "&amp;$B68&amp;", "&amp;$C68&amp;" length, Level "&amp;$D68&amp;"; ","")</f>
        <v/>
      </c>
      <c r="G68" s="211" t="str">
        <f>IF(AND($E$8=1,ROUND('3_Part_time'!I42,2)&lt;&gt;'3_Part_time'!I42),G$36&amp;", "&amp;G$37&amp;", Price group "&amp;$B68&amp;", "&amp;$C68&amp;" length, Level "&amp;$D68&amp;"; ","")</f>
        <v/>
      </c>
      <c r="H68" s="1609" t="str">
        <f>IF(AND($E$8=1,ROUND('3_Part_time'!J42,2)&lt;&gt;'3_Part_time'!J42),H$36&amp;", "&amp;H$37&amp;", Price group "&amp;$B68&amp;", "&amp;$C68&amp;" length, Level "&amp;$D68&amp;"; ","")</f>
        <v/>
      </c>
      <c r="I68" s="7" t="str">
        <f>IF(AND($E$8=1,ROUND('3_Part_time'!K42,2)&lt;&gt;'3_Part_time'!K42),I$36&amp;", "&amp;I$37&amp;", Price group "&amp;$B68&amp;", "&amp;$C68&amp;" length, Level "&amp;$D68&amp;"; ","")</f>
        <v/>
      </c>
      <c r="J68" s="211" t="str">
        <f>IF(AND($E$8=1,ROUND('3_Part_time'!L42,2)&lt;&gt;'3_Part_time'!L42),J$36&amp;", "&amp;J$37&amp;", Price group "&amp;$B68&amp;", "&amp;$C68&amp;" length, Level "&amp;$D68&amp;"; ","")</f>
        <v/>
      </c>
      <c r="L68" s="118"/>
      <c r="M68" s="30" t="s">
        <v>264</v>
      </c>
      <c r="N68" s="420"/>
      <c r="O68" s="418">
        <f t="shared" si="18"/>
        <v>0</v>
      </c>
      <c r="P68" s="419">
        <f t="shared" si="19"/>
        <v>0</v>
      </c>
      <c r="Q68" s="384"/>
      <c r="R68" s="392">
        <f t="shared" si="4"/>
        <v>0</v>
      </c>
      <c r="S68" s="393">
        <f t="shared" si="5"/>
        <v>0</v>
      </c>
      <c r="T68" s="384"/>
      <c r="U68" s="379">
        <f t="shared" si="20"/>
        <v>0</v>
      </c>
      <c r="V68" s="380">
        <f t="shared" si="21"/>
        <v>0</v>
      </c>
      <c r="W68" s="384"/>
      <c r="X68" s="392">
        <f t="shared" si="6"/>
        <v>0</v>
      </c>
      <c r="Y68" s="393">
        <f t="shared" si="6"/>
        <v>0</v>
      </c>
    </row>
    <row r="69" spans="2:25" ht="13.15" x14ac:dyDescent="0.35">
      <c r="B69" s="20" t="s">
        <v>238</v>
      </c>
      <c r="C69" s="53" t="s">
        <v>218</v>
      </c>
      <c r="D69" s="13" t="s">
        <v>208</v>
      </c>
      <c r="E69" s="1609" t="str">
        <f>IF(AND($E$8=1,ROUND('3_Part_time'!G43,2)&lt;&gt;'3_Part_time'!G43),E$36&amp;", "&amp;E$37&amp;", Price group "&amp;$B69&amp;", "&amp;$C69&amp;" length, Level "&amp;$D69&amp;"; ","")</f>
        <v/>
      </c>
      <c r="F69" s="7" t="str">
        <f>IF(AND($E$8=1,ROUND('3_Part_time'!H43,2)&lt;&gt;'3_Part_time'!H43),F$36&amp;", "&amp;F$37&amp;", Price group "&amp;$B69&amp;", "&amp;$C69&amp;" length, Level "&amp;$D69&amp;"; ","")</f>
        <v/>
      </c>
      <c r="G69" s="211" t="str">
        <f>IF(AND($E$8=1,ROUND('3_Part_time'!I43,2)&lt;&gt;'3_Part_time'!I43),G$36&amp;", "&amp;G$37&amp;", Price group "&amp;$B69&amp;", "&amp;$C69&amp;" length, Level "&amp;$D69&amp;"; ","")</f>
        <v/>
      </c>
      <c r="H69" s="1609" t="str">
        <f>IF(AND($E$8=1,ROUND('3_Part_time'!J43,2)&lt;&gt;'3_Part_time'!J43),H$36&amp;", "&amp;H$37&amp;", Price group "&amp;$B69&amp;", "&amp;$C69&amp;" length, Level "&amp;$D69&amp;"; ","")</f>
        <v/>
      </c>
      <c r="I69" s="7" t="str">
        <f>IF(AND($E$8=1,ROUND('3_Part_time'!K43,2)&lt;&gt;'3_Part_time'!K43),I$36&amp;", "&amp;I$37&amp;", Price group "&amp;$B69&amp;", "&amp;$C69&amp;" length, Level "&amp;$D69&amp;"; ","")</f>
        <v/>
      </c>
      <c r="J69" s="211" t="str">
        <f>IF(AND($E$8=1,ROUND('3_Part_time'!L43,2)&lt;&gt;'3_Part_time'!L43),J$36&amp;", "&amp;J$37&amp;", Price group "&amp;$B69&amp;", "&amp;$C69&amp;" length, Level "&amp;$D69&amp;"; ","")</f>
        <v/>
      </c>
      <c r="L69" s="118"/>
      <c r="M69" s="30" t="s">
        <v>264</v>
      </c>
      <c r="N69" s="421">
        <f>IF(OR(E92&lt;&gt;"",E172&lt;&gt;""),1,0)</f>
        <v>0</v>
      </c>
      <c r="O69" s="422">
        <f t="shared" si="18"/>
        <v>0</v>
      </c>
      <c r="P69" s="423">
        <f t="shared" si="19"/>
        <v>0</v>
      </c>
      <c r="Q69" s="397">
        <f t="shared" si="3"/>
        <v>0</v>
      </c>
      <c r="R69" s="398">
        <f t="shared" si="4"/>
        <v>0</v>
      </c>
      <c r="S69" s="399">
        <f t="shared" si="5"/>
        <v>0</v>
      </c>
      <c r="T69" s="385">
        <f>IF(OR(H92&lt;&gt;"",H172&lt;&gt;""),1,0)</f>
        <v>0</v>
      </c>
      <c r="U69" s="386">
        <f t="shared" si="20"/>
        <v>0</v>
      </c>
      <c r="V69" s="387">
        <f t="shared" si="21"/>
        <v>0</v>
      </c>
      <c r="W69" s="397">
        <f t="shared" si="6"/>
        <v>0</v>
      </c>
      <c r="X69" s="398">
        <f t="shared" si="6"/>
        <v>0</v>
      </c>
      <c r="Y69" s="399">
        <f t="shared" si="6"/>
        <v>0</v>
      </c>
    </row>
    <row r="70" spans="2:25" ht="13.15" x14ac:dyDescent="0.35">
      <c r="B70" s="20" t="s">
        <v>238</v>
      </c>
      <c r="C70" s="53" t="s">
        <v>218</v>
      </c>
      <c r="D70" s="13" t="s">
        <v>210</v>
      </c>
      <c r="E70" s="1609" t="str">
        <f>IF(AND($E$8=1,ROUND('3_Part_time'!G44,2)&lt;&gt;'3_Part_time'!G44),E$36&amp;", "&amp;E$37&amp;", Price group "&amp;$B70&amp;", "&amp;$C70&amp;" length, Level "&amp;$D70&amp;"; ","")</f>
        <v/>
      </c>
      <c r="F70" s="7" t="str">
        <f>IF(AND($E$8=1,ROUND('3_Part_time'!H44,2)&lt;&gt;'3_Part_time'!H44),F$36&amp;", "&amp;F$37&amp;", Price group "&amp;$B70&amp;", "&amp;$C70&amp;" length, Level "&amp;$D70&amp;"; ","")</f>
        <v/>
      </c>
      <c r="G70" s="211" t="str">
        <f>IF(AND($E$8=1,ROUND('3_Part_time'!I44,2)&lt;&gt;'3_Part_time'!I44),G$36&amp;", "&amp;G$37&amp;", Price group "&amp;$B70&amp;", "&amp;$C70&amp;" length, Level "&amp;$D70&amp;"; ","")</f>
        <v/>
      </c>
      <c r="H70" s="1609" t="str">
        <f>IF(AND($E$8=1,ROUND('3_Part_time'!J44,2)&lt;&gt;'3_Part_time'!J44),H$36&amp;", "&amp;H$37&amp;", Price group "&amp;$B70&amp;", "&amp;$C70&amp;" length, Level "&amp;$D70&amp;"; ","")</f>
        <v/>
      </c>
      <c r="I70" s="7" t="str">
        <f>IF(AND($E$8=1,ROUND('3_Part_time'!K44,2)&lt;&gt;'3_Part_time'!K44),I$36&amp;", "&amp;I$37&amp;", Price group "&amp;$B70&amp;", "&amp;$C70&amp;" length, Level "&amp;$D70&amp;"; ","")</f>
        <v/>
      </c>
      <c r="J70" s="211" t="str">
        <f>IF(AND($E$8=1,ROUND('3_Part_time'!L44,2)&lt;&gt;'3_Part_time'!L44),J$36&amp;", "&amp;J$37&amp;", Price group "&amp;$B70&amp;", "&amp;$C70&amp;" length, Level "&amp;$D70&amp;"; ","")</f>
        <v/>
      </c>
      <c r="L70" s="118"/>
      <c r="M70" s="30" t="s">
        <v>264</v>
      </c>
      <c r="N70" s="421">
        <f>IF(OR(E93&lt;&gt;"",E173&lt;&gt;""),1,0)</f>
        <v>0</v>
      </c>
      <c r="O70" s="422">
        <f t="shared" si="18"/>
        <v>0</v>
      </c>
      <c r="P70" s="423">
        <f t="shared" si="19"/>
        <v>0</v>
      </c>
      <c r="Q70" s="397">
        <f t="shared" si="3"/>
        <v>0</v>
      </c>
      <c r="R70" s="398">
        <f t="shared" si="4"/>
        <v>0</v>
      </c>
      <c r="S70" s="399">
        <f t="shared" si="5"/>
        <v>0</v>
      </c>
      <c r="T70" s="385">
        <f>IF(OR(H93&lt;&gt;"",H173&lt;&gt;""),1,0)</f>
        <v>0</v>
      </c>
      <c r="U70" s="386">
        <f t="shared" si="20"/>
        <v>0</v>
      </c>
      <c r="V70" s="387">
        <f t="shared" si="21"/>
        <v>0</v>
      </c>
      <c r="W70" s="404">
        <f t="shared" si="6"/>
        <v>0</v>
      </c>
      <c r="X70" s="405">
        <f t="shared" si="6"/>
        <v>0</v>
      </c>
      <c r="Y70" s="406">
        <f t="shared" si="6"/>
        <v>0</v>
      </c>
    </row>
    <row r="71" spans="2:25" ht="13.15" x14ac:dyDescent="0.35">
      <c r="B71" s="20" t="s">
        <v>238</v>
      </c>
      <c r="C71" s="53" t="s">
        <v>218</v>
      </c>
      <c r="D71" s="13" t="s">
        <v>212</v>
      </c>
      <c r="E71" s="1609" t="str">
        <f>IF(AND($E$8=1,ROUND('3_Part_time'!G45,2)&lt;&gt;'3_Part_time'!G45),E$36&amp;", "&amp;E$37&amp;", Price group "&amp;$B71&amp;", "&amp;$C71&amp;" length, Level "&amp;$D71&amp;"; ","")</f>
        <v/>
      </c>
      <c r="F71" s="7" t="str">
        <f>IF(AND($E$8=1,ROUND('3_Part_time'!H45,2)&lt;&gt;'3_Part_time'!H45),F$36&amp;", "&amp;F$37&amp;", Price group "&amp;$B71&amp;", "&amp;$C71&amp;" length, Level "&amp;$D71&amp;"; ","")</f>
        <v/>
      </c>
      <c r="G71" s="211" t="str">
        <f>IF(AND($E$8=1,ROUND('3_Part_time'!I45,2)&lt;&gt;'3_Part_time'!I45),G$36&amp;", "&amp;G$37&amp;", Price group "&amp;$B71&amp;", "&amp;$C71&amp;" length, Level "&amp;$D71&amp;"; ","")</f>
        <v/>
      </c>
      <c r="H71" s="1609" t="str">
        <f>IF(AND($E$8=1,ROUND('3_Part_time'!J45,2)&lt;&gt;'3_Part_time'!J45),H$36&amp;", "&amp;H$37&amp;", Price group "&amp;$B71&amp;", "&amp;$C71&amp;" length, Level "&amp;$D71&amp;"; ","")</f>
        <v/>
      </c>
      <c r="I71" s="7" t="str">
        <f>IF(AND($E$8=1,ROUND('3_Part_time'!K45,2)&lt;&gt;'3_Part_time'!K45),I$36&amp;", "&amp;I$37&amp;", Price group "&amp;$B71&amp;", "&amp;$C71&amp;" length, Level "&amp;$D71&amp;"; ","")</f>
        <v/>
      </c>
      <c r="J71" s="211" t="str">
        <f>IF(AND($E$8=1,ROUND('3_Part_time'!L45,2)&lt;&gt;'3_Part_time'!L45),J$36&amp;", "&amp;J$37&amp;", Price group "&amp;$B71&amp;", "&amp;$C71&amp;" length, Level "&amp;$D71&amp;"; ","")</f>
        <v/>
      </c>
      <c r="L71" s="118"/>
      <c r="M71" s="30" t="s">
        <v>264</v>
      </c>
      <c r="N71" s="1292">
        <f>IF(OR(E94&lt;&gt;"",E174&lt;&gt;""),1,0)</f>
        <v>0</v>
      </c>
      <c r="O71" s="1293">
        <f t="shared" si="18"/>
        <v>0</v>
      </c>
      <c r="P71" s="1294">
        <f t="shared" si="19"/>
        <v>0</v>
      </c>
      <c r="Q71" s="1295">
        <f t="shared" si="3"/>
        <v>0</v>
      </c>
      <c r="R71" s="1296">
        <f t="shared" si="4"/>
        <v>0</v>
      </c>
      <c r="S71" s="1297">
        <f t="shared" si="5"/>
        <v>0</v>
      </c>
      <c r="T71" s="1292">
        <f>IF(OR(H94&lt;&gt;"",H174&lt;&gt;""),1,0)</f>
        <v>0</v>
      </c>
      <c r="U71" s="1293">
        <f t="shared" si="20"/>
        <v>0</v>
      </c>
      <c r="V71" s="1294">
        <f t="shared" si="21"/>
        <v>0</v>
      </c>
      <c r="W71" s="391">
        <f t="shared" si="6"/>
        <v>0</v>
      </c>
      <c r="X71" s="392">
        <f t="shared" si="6"/>
        <v>0</v>
      </c>
      <c r="Y71" s="393">
        <f t="shared" si="6"/>
        <v>0</v>
      </c>
    </row>
    <row r="72" spans="2:25" ht="13.15" x14ac:dyDescent="0.35">
      <c r="B72" s="20" t="s">
        <v>238</v>
      </c>
      <c r="C72" s="53" t="s">
        <v>218</v>
      </c>
      <c r="D72" s="13" t="s">
        <v>214</v>
      </c>
      <c r="E72" s="1609" t="str">
        <f>IF(AND($E$8=1,ROUND('3_Part_time'!G46,2)&lt;&gt;'3_Part_time'!G46),E$36&amp;", "&amp;E$37&amp;", Price group "&amp;$B72&amp;", "&amp;$C72&amp;" length, Level "&amp;$D72&amp;"; ","")</f>
        <v/>
      </c>
      <c r="F72" s="7" t="str">
        <f>IF(AND($E$8=1,ROUND('3_Part_time'!H46,2)&lt;&gt;'3_Part_time'!H46),F$36&amp;", "&amp;F$37&amp;", Price group "&amp;$B72&amp;", "&amp;$C72&amp;" length, Level "&amp;$D72&amp;"; ","")</f>
        <v/>
      </c>
      <c r="G72" s="211" t="str">
        <f>IF(AND($E$8=1,ROUND('3_Part_time'!I46,2)&lt;&gt;'3_Part_time'!I46),G$36&amp;", "&amp;G$37&amp;", Price group "&amp;$B72&amp;", "&amp;$C72&amp;" length, Level "&amp;$D72&amp;"; ","")</f>
        <v/>
      </c>
      <c r="H72" s="1609" t="str">
        <f>IF(AND($E$8=1,ROUND('3_Part_time'!J46,2)&lt;&gt;'3_Part_time'!J46),H$36&amp;", "&amp;H$37&amp;", Price group "&amp;$B72&amp;", "&amp;$C72&amp;" length, Level "&amp;$D72&amp;"; ","")</f>
        <v/>
      </c>
      <c r="I72" s="7" t="str">
        <f>IF(AND($E$8=1,ROUND('3_Part_time'!K46,2)&lt;&gt;'3_Part_time'!K46),I$36&amp;", "&amp;I$37&amp;", Price group "&amp;$B72&amp;", "&amp;$C72&amp;" length, Level "&amp;$D72&amp;"; ","")</f>
        <v/>
      </c>
      <c r="J72" s="211" t="str">
        <f>IF(AND($E$8=1,ROUND('3_Part_time'!L46,2)&lt;&gt;'3_Part_time'!L46),J$36&amp;", "&amp;J$37&amp;", Price group "&amp;$B72&amp;", "&amp;$C72&amp;" length, Level "&amp;$D72&amp;"; ","")</f>
        <v/>
      </c>
      <c r="L72" s="118"/>
      <c r="M72" s="30" t="s">
        <v>264</v>
      </c>
      <c r="N72" s="417">
        <f>IF(OR(E95&lt;&gt;"",E175&lt;&gt;""),1,0)</f>
        <v>0</v>
      </c>
      <c r="O72" s="418">
        <f t="shared" si="18"/>
        <v>0</v>
      </c>
      <c r="P72" s="419">
        <f t="shared" si="19"/>
        <v>0</v>
      </c>
      <c r="Q72" s="391">
        <f t="shared" si="3"/>
        <v>0</v>
      </c>
      <c r="R72" s="392">
        <f t="shared" si="4"/>
        <v>0</v>
      </c>
      <c r="S72" s="393">
        <f t="shared" si="5"/>
        <v>0</v>
      </c>
      <c r="T72" s="378">
        <f>IF(OR(H95&lt;&gt;"",H175&lt;&gt;""),1,0)</f>
        <v>0</v>
      </c>
      <c r="U72" s="379">
        <f t="shared" si="20"/>
        <v>0</v>
      </c>
      <c r="V72" s="380">
        <f t="shared" si="21"/>
        <v>0</v>
      </c>
      <c r="W72" s="391">
        <f t="shared" si="6"/>
        <v>0</v>
      </c>
      <c r="X72" s="392">
        <f t="shared" si="6"/>
        <v>0</v>
      </c>
      <c r="Y72" s="393">
        <f t="shared" si="6"/>
        <v>0</v>
      </c>
    </row>
    <row r="73" spans="2:25" ht="13.15" x14ac:dyDescent="0.35">
      <c r="B73" s="20" t="s">
        <v>238</v>
      </c>
      <c r="C73" s="53" t="s">
        <v>218</v>
      </c>
      <c r="D73" s="13" t="s">
        <v>216</v>
      </c>
      <c r="E73" s="1432"/>
      <c r="F73" s="1409" t="str">
        <f>IF(AND($E$8=1,ROUND('3_Part_time'!H47,2)&lt;&gt;'3_Part_time'!H47),F$36&amp;", "&amp;F$37&amp;", Price group "&amp;$B73&amp;", "&amp;$C73&amp;" length, Level "&amp;$D73&amp;"; ","")</f>
        <v/>
      </c>
      <c r="G73" s="1433" t="str">
        <f>IF(AND($E$8=1,ROUND('3_Part_time'!I47,2)&lt;&gt;'3_Part_time'!I47),G$36&amp;", "&amp;G$37&amp;", Price group "&amp;$B73&amp;", "&amp;$C73&amp;" length, Level "&amp;$D73&amp;"; ","")</f>
        <v/>
      </c>
      <c r="H73" s="1432"/>
      <c r="I73" s="1409" t="str">
        <f>IF(AND($E$8=1,ROUND('3_Part_time'!K47,2)&lt;&gt;'3_Part_time'!K47),I$36&amp;", "&amp;I$37&amp;", Price group "&amp;$B73&amp;", "&amp;$C73&amp;" length, Level "&amp;$D73&amp;"; ","")</f>
        <v/>
      </c>
      <c r="J73" s="1433" t="str">
        <f>IF(AND($E$8=1,ROUND('3_Part_time'!L47,2)&lt;&gt;'3_Part_time'!L47),J$36&amp;", "&amp;J$37&amp;", Price group "&amp;$B73&amp;", "&amp;$C73&amp;" length, Level "&amp;$D73&amp;"; ","")</f>
        <v/>
      </c>
      <c r="L73" s="118"/>
      <c r="M73" s="30" t="s">
        <v>264</v>
      </c>
      <c r="N73" s="417">
        <f>IF(OR(E96&lt;&gt;"",E176&lt;&gt;""),1,0)</f>
        <v>0</v>
      </c>
      <c r="O73" s="418">
        <f t="shared" si="18"/>
        <v>0</v>
      </c>
      <c r="P73" s="419">
        <f t="shared" si="19"/>
        <v>0</v>
      </c>
      <c r="Q73" s="391">
        <f t="shared" si="3"/>
        <v>0</v>
      </c>
      <c r="R73" s="392">
        <f t="shared" si="4"/>
        <v>0</v>
      </c>
      <c r="S73" s="393">
        <f t="shared" si="5"/>
        <v>0</v>
      </c>
      <c r="T73" s="378">
        <f>IF(OR(H96&lt;&gt;"",H176&lt;&gt;""),1,0)</f>
        <v>0</v>
      </c>
      <c r="U73" s="379">
        <f t="shared" si="20"/>
        <v>0</v>
      </c>
      <c r="V73" s="380">
        <f t="shared" si="21"/>
        <v>0</v>
      </c>
      <c r="W73" s="391">
        <f t="shared" si="6"/>
        <v>0</v>
      </c>
      <c r="X73" s="392">
        <f t="shared" si="6"/>
        <v>0</v>
      </c>
      <c r="Y73" s="393">
        <f t="shared" si="6"/>
        <v>0</v>
      </c>
    </row>
    <row r="74" spans="2:25" ht="13.15" x14ac:dyDescent="0.35">
      <c r="B74" s="20" t="s">
        <v>251</v>
      </c>
      <c r="C74" s="53" t="s">
        <v>204</v>
      </c>
      <c r="D74" s="13" t="s">
        <v>205</v>
      </c>
      <c r="E74" s="1813" t="str">
        <f>IF(AND($E$8=1,ROUND('3_Part_time'!G48,2)&lt;&gt;'3_Part_time'!G48),E$36&amp;", "&amp;E$37&amp;", Price group "&amp;$B74&amp;", "&amp;$C74&amp;" length, Level "&amp;$D74&amp;"; ","")</f>
        <v/>
      </c>
      <c r="F74" s="1412" t="str">
        <f>IF(AND($E$8=1,ROUND('3_Part_time'!H48,2)&lt;&gt;'3_Part_time'!H48),F$36&amp;", "&amp;F$37&amp;", Price group "&amp;$B74&amp;", "&amp;$C74&amp;" length, Level "&amp;$D74&amp;"; ","")</f>
        <v/>
      </c>
      <c r="G74" s="1789" t="str">
        <f>IF(AND($E$8=1,ROUND('3_Part_time'!I48,2)&lt;&gt;'3_Part_time'!I48),G$36&amp;", "&amp;G$37&amp;", Price group "&amp;$B74&amp;", "&amp;$C74&amp;" length, Level "&amp;$D74&amp;"; ","")</f>
        <v/>
      </c>
      <c r="H74" s="1813" t="str">
        <f>IF(AND($E$8=1,ROUND('3_Part_time'!J48,2)&lt;&gt;'3_Part_time'!J48),H$36&amp;", "&amp;H$37&amp;", Price group "&amp;$B74&amp;", "&amp;$C74&amp;" length, Level "&amp;$D74&amp;"; ","")</f>
        <v/>
      </c>
      <c r="I74" s="1412" t="str">
        <f>IF(AND($E$8=1,ROUND('3_Part_time'!K48,2)&lt;&gt;'3_Part_time'!K48),I$36&amp;", "&amp;I$37&amp;", Price group "&amp;$B74&amp;", "&amp;$C74&amp;" length, Level "&amp;$D74&amp;"; ","")</f>
        <v/>
      </c>
      <c r="J74" s="1789" t="str">
        <f>IF(AND($E$8=1,ROUND('3_Part_time'!L48,2)&lt;&gt;'3_Part_time'!L48),J$36&amp;", "&amp;J$37&amp;", Price group "&amp;$B74&amp;", "&amp;$C74&amp;" length, Level "&amp;$D74&amp;"; ","")</f>
        <v/>
      </c>
      <c r="L74" s="118"/>
      <c r="M74" s="30" t="s">
        <v>264</v>
      </c>
      <c r="N74" s="1288"/>
      <c r="O74" s="1289">
        <f t="shared" si="18"/>
        <v>0</v>
      </c>
      <c r="P74" s="1290">
        <f t="shared" si="19"/>
        <v>0</v>
      </c>
      <c r="Q74" s="400"/>
      <c r="R74" s="403">
        <f t="shared" si="4"/>
        <v>0</v>
      </c>
      <c r="S74" s="1291">
        <f t="shared" si="5"/>
        <v>0</v>
      </c>
      <c r="T74" s="400"/>
      <c r="U74" s="401">
        <f t="shared" si="20"/>
        <v>0</v>
      </c>
      <c r="V74" s="402">
        <f t="shared" si="21"/>
        <v>0</v>
      </c>
      <c r="W74" s="384"/>
      <c r="X74" s="392">
        <f t="shared" si="6"/>
        <v>0</v>
      </c>
      <c r="Y74" s="393">
        <f t="shared" si="6"/>
        <v>0</v>
      </c>
    </row>
    <row r="75" spans="2:25" ht="13.15" x14ac:dyDescent="0.35">
      <c r="B75" s="20" t="s">
        <v>251</v>
      </c>
      <c r="C75" s="53" t="s">
        <v>204</v>
      </c>
      <c r="D75" s="13" t="s">
        <v>208</v>
      </c>
      <c r="E75" s="1609" t="str">
        <f>IF(AND($E$8=1,ROUND('3_Part_time'!G49,2)&lt;&gt;'3_Part_time'!G49),E$36&amp;", "&amp;E$37&amp;", Price group "&amp;$B75&amp;", "&amp;$C75&amp;" length, Level "&amp;$D75&amp;"; ","")</f>
        <v/>
      </c>
      <c r="F75" s="7" t="str">
        <f>IF(AND($E$8=1,ROUND('3_Part_time'!H49,2)&lt;&gt;'3_Part_time'!H49),F$36&amp;", "&amp;F$37&amp;", Price group "&amp;$B75&amp;", "&amp;$C75&amp;" length, Level "&amp;$D75&amp;"; ","")</f>
        <v/>
      </c>
      <c r="G75" s="211" t="str">
        <f>IF(AND($E$8=1,ROUND('3_Part_time'!I49,2)&lt;&gt;'3_Part_time'!I49),G$36&amp;", "&amp;G$37&amp;", Price group "&amp;$B75&amp;", "&amp;$C75&amp;" length, Level "&amp;$D75&amp;"; ","")</f>
        <v/>
      </c>
      <c r="H75" s="1609" t="str">
        <f>IF(AND($E$8=1,ROUND('3_Part_time'!J49,2)&lt;&gt;'3_Part_time'!J49),H$36&amp;", "&amp;H$37&amp;", Price group "&amp;$B75&amp;", "&amp;$C75&amp;" length, Level "&amp;$D75&amp;"; ","")</f>
        <v/>
      </c>
      <c r="I75" s="7" t="str">
        <f>IF(AND($E$8=1,ROUND('3_Part_time'!K49,2)&lt;&gt;'3_Part_time'!K49),I$36&amp;", "&amp;I$37&amp;", Price group "&amp;$B75&amp;", "&amp;$C75&amp;" length, Level "&amp;$D75&amp;"; ","")</f>
        <v/>
      </c>
      <c r="J75" s="211" t="str">
        <f>IF(AND($E$8=1,ROUND('3_Part_time'!L49,2)&lt;&gt;'3_Part_time'!L49),J$36&amp;", "&amp;J$37&amp;", Price group "&amp;$B75&amp;", "&amp;$C75&amp;" length, Level "&amp;$D75&amp;"; ","")</f>
        <v/>
      </c>
      <c r="L75" s="118"/>
      <c r="M75" s="30" t="s">
        <v>277</v>
      </c>
      <c r="N75" s="1803">
        <f>IF(OR(E98&lt;&gt;"",E178&lt;&gt;""),1,0)</f>
        <v>0</v>
      </c>
      <c r="O75" s="1699">
        <f t="shared" si="18"/>
        <v>0</v>
      </c>
      <c r="P75" s="1700">
        <f t="shared" si="19"/>
        <v>0</v>
      </c>
      <c r="Q75" s="1804">
        <f t="shared" si="3"/>
        <v>0</v>
      </c>
      <c r="R75" s="1691">
        <f t="shared" si="4"/>
        <v>0</v>
      </c>
      <c r="S75" s="1692">
        <f t="shared" si="5"/>
        <v>0</v>
      </c>
      <c r="T75" s="1805">
        <f>IF(OR(H98&lt;&gt;"",H178&lt;&gt;""),1,0)</f>
        <v>0</v>
      </c>
      <c r="U75" s="1689">
        <f t="shared" si="20"/>
        <v>0</v>
      </c>
      <c r="V75" s="1690">
        <f t="shared" si="21"/>
        <v>0</v>
      </c>
      <c r="W75" s="1713">
        <f t="shared" si="6"/>
        <v>0</v>
      </c>
      <c r="X75" s="1691">
        <f t="shared" si="6"/>
        <v>0</v>
      </c>
      <c r="Y75" s="1692">
        <f t="shared" si="6"/>
        <v>0</v>
      </c>
    </row>
    <row r="76" spans="2:25" ht="13.15" x14ac:dyDescent="0.35">
      <c r="B76" s="20" t="s">
        <v>251</v>
      </c>
      <c r="C76" s="53" t="s">
        <v>204</v>
      </c>
      <c r="D76" s="13" t="s">
        <v>210</v>
      </c>
      <c r="E76" s="1609" t="str">
        <f>IF(AND($E$8=1,ROUND('3_Part_time'!G50,2)&lt;&gt;'3_Part_time'!G50),E$36&amp;", "&amp;E$37&amp;", Price group "&amp;$B76&amp;", "&amp;$C76&amp;" length, Level "&amp;$D76&amp;"; ","")</f>
        <v/>
      </c>
      <c r="F76" s="7" t="str">
        <f>IF(AND($E$8=1,ROUND('3_Part_time'!H50,2)&lt;&gt;'3_Part_time'!H50),F$36&amp;", "&amp;F$37&amp;", Price group "&amp;$B76&amp;", "&amp;$C76&amp;" length, Level "&amp;$D76&amp;"; ","")</f>
        <v/>
      </c>
      <c r="G76" s="211" t="str">
        <f>IF(AND($E$8=1,ROUND('3_Part_time'!I50,2)&lt;&gt;'3_Part_time'!I50),G$36&amp;", "&amp;G$37&amp;", Price group "&amp;$B76&amp;", "&amp;$C76&amp;" length, Level "&amp;$D76&amp;"; ","")</f>
        <v/>
      </c>
      <c r="H76" s="1609" t="str">
        <f>IF(AND($E$8=1,ROUND('3_Part_time'!J50,2)&lt;&gt;'3_Part_time'!J50),H$36&amp;", "&amp;H$37&amp;", Price group "&amp;$B76&amp;", "&amp;$C76&amp;" length, Level "&amp;$D76&amp;"; ","")</f>
        <v/>
      </c>
      <c r="I76" s="7" t="str">
        <f>IF(AND($E$8=1,ROUND('3_Part_time'!K50,2)&lt;&gt;'3_Part_time'!K50),I$36&amp;", "&amp;I$37&amp;", Price group "&amp;$B76&amp;", "&amp;$C76&amp;" length, Level "&amp;$D76&amp;"; ","")</f>
        <v/>
      </c>
      <c r="J76" s="211" t="str">
        <f>IF(AND($E$8=1,ROUND('3_Part_time'!L50,2)&lt;&gt;'3_Part_time'!L50),J$36&amp;", "&amp;J$37&amp;", Price group "&amp;$B76&amp;", "&amp;$C76&amp;" length, Level "&amp;$D76&amp;"; ","")</f>
        <v/>
      </c>
      <c r="L76" s="118"/>
      <c r="M76" s="30" t="s">
        <v>277</v>
      </c>
      <c r="N76" s="1285">
        <f>IF(OR(E99&lt;&gt;"",E179&lt;&gt;""),1,0)</f>
        <v>0</v>
      </c>
      <c r="O76" s="1286">
        <f t="shared" si="18"/>
        <v>0</v>
      </c>
      <c r="P76" s="1287">
        <f t="shared" si="19"/>
        <v>0</v>
      </c>
      <c r="Q76" s="654">
        <f t="shared" si="3"/>
        <v>0</v>
      </c>
      <c r="R76" s="472">
        <f t="shared" si="4"/>
        <v>0</v>
      </c>
      <c r="S76" s="655">
        <f t="shared" si="5"/>
        <v>0</v>
      </c>
      <c r="T76" s="653">
        <f>IF(OR(H99&lt;&gt;"",H179&lt;&gt;""),1,0)</f>
        <v>0</v>
      </c>
      <c r="U76" s="471">
        <f t="shared" si="20"/>
        <v>0</v>
      </c>
      <c r="V76" s="469">
        <f t="shared" si="21"/>
        <v>0</v>
      </c>
      <c r="W76" s="404">
        <f t="shared" si="6"/>
        <v>0</v>
      </c>
      <c r="X76" s="405">
        <f t="shared" si="6"/>
        <v>0</v>
      </c>
      <c r="Y76" s="406">
        <f t="shared" si="6"/>
        <v>0</v>
      </c>
    </row>
    <row r="77" spans="2:25" ht="13.15" x14ac:dyDescent="0.35">
      <c r="B77" s="20" t="s">
        <v>251</v>
      </c>
      <c r="C77" s="53" t="s">
        <v>204</v>
      </c>
      <c r="D77" s="13" t="s">
        <v>212</v>
      </c>
      <c r="E77" s="1609" t="str">
        <f>IF(AND($E$8=1,ROUND('3_Part_time'!G51,2)&lt;&gt;'3_Part_time'!G51),E$36&amp;", "&amp;E$37&amp;", Price group "&amp;$B77&amp;", "&amp;$C77&amp;" length, Level "&amp;$D77&amp;"; ","")</f>
        <v/>
      </c>
      <c r="F77" s="7" t="str">
        <f>IF(AND($E$8=1,ROUND('3_Part_time'!H51,2)&lt;&gt;'3_Part_time'!H51),F$36&amp;", "&amp;F$37&amp;", Price group "&amp;$B77&amp;", "&amp;$C77&amp;" length, Level "&amp;$D77&amp;"; ","")</f>
        <v/>
      </c>
      <c r="G77" s="211" t="str">
        <f>IF(AND($E$8=1,ROUND('3_Part_time'!I51,2)&lt;&gt;'3_Part_time'!I51),G$36&amp;", "&amp;G$37&amp;", Price group "&amp;$B77&amp;", "&amp;$C77&amp;" length, Level "&amp;$D77&amp;"; ","")</f>
        <v/>
      </c>
      <c r="H77" s="1609" t="str">
        <f>IF(AND($E$8=1,ROUND('3_Part_time'!J51,2)&lt;&gt;'3_Part_time'!J51),H$36&amp;", "&amp;H$37&amp;", Price group "&amp;$B77&amp;", "&amp;$C77&amp;" length, Level "&amp;$D77&amp;"; ","")</f>
        <v/>
      </c>
      <c r="I77" s="7" t="str">
        <f>IF(AND($E$8=1,ROUND('3_Part_time'!K51,2)&lt;&gt;'3_Part_time'!K51),I$36&amp;", "&amp;I$37&amp;", Price group "&amp;$B77&amp;", "&amp;$C77&amp;" length, Level "&amp;$D77&amp;"; ","")</f>
        <v/>
      </c>
      <c r="J77" s="211" t="str">
        <f>IF(AND($E$8=1,ROUND('3_Part_time'!L51,2)&lt;&gt;'3_Part_time'!L51),J$36&amp;", "&amp;J$37&amp;", Price group "&amp;$B77&amp;", "&amp;$C77&amp;" length, Level "&amp;$D77&amp;"; ","")</f>
        <v/>
      </c>
      <c r="L77" s="118"/>
      <c r="M77" s="30" t="s">
        <v>277</v>
      </c>
      <c r="N77" s="1292">
        <f>IF(OR(E100&lt;&gt;"",E180&lt;&gt;""),1,0)</f>
        <v>0</v>
      </c>
      <c r="O77" s="1293">
        <f t="shared" si="18"/>
        <v>0</v>
      </c>
      <c r="P77" s="1294">
        <f t="shared" si="19"/>
        <v>0</v>
      </c>
      <c r="Q77" s="1295">
        <f t="shared" si="3"/>
        <v>0</v>
      </c>
      <c r="R77" s="1296">
        <f t="shared" si="4"/>
        <v>0</v>
      </c>
      <c r="S77" s="1297">
        <f t="shared" si="5"/>
        <v>0</v>
      </c>
      <c r="T77" s="1292">
        <f>IF(OR(H100&lt;&gt;"",H180&lt;&gt;""),1,0)</f>
        <v>0</v>
      </c>
      <c r="U77" s="1293">
        <f t="shared" si="20"/>
        <v>0</v>
      </c>
      <c r="V77" s="1294">
        <f t="shared" si="21"/>
        <v>0</v>
      </c>
      <c r="W77" s="391">
        <f t="shared" si="6"/>
        <v>0</v>
      </c>
      <c r="X77" s="392">
        <f t="shared" si="6"/>
        <v>0</v>
      </c>
      <c r="Y77" s="393">
        <f t="shared" si="6"/>
        <v>0</v>
      </c>
    </row>
    <row r="78" spans="2:25" ht="13.15" x14ac:dyDescent="0.35">
      <c r="B78" s="20" t="s">
        <v>251</v>
      </c>
      <c r="C78" s="53" t="s">
        <v>204</v>
      </c>
      <c r="D78" s="13" t="s">
        <v>214</v>
      </c>
      <c r="E78" s="1609" t="str">
        <f>IF(AND($E$8=1,ROUND('3_Part_time'!G52,2)&lt;&gt;'3_Part_time'!G52),E$36&amp;", "&amp;E$37&amp;", Price group "&amp;$B78&amp;", "&amp;$C78&amp;" length, Level "&amp;$D78&amp;"; ","")</f>
        <v/>
      </c>
      <c r="F78" s="7" t="str">
        <f>IF(AND($E$8=1,ROUND('3_Part_time'!H52,2)&lt;&gt;'3_Part_time'!H52),F$36&amp;", "&amp;F$37&amp;", Price group "&amp;$B78&amp;", "&amp;$C78&amp;" length, Level "&amp;$D78&amp;"; ","")</f>
        <v/>
      </c>
      <c r="G78" s="211" t="str">
        <f>IF(AND($E$8=1,ROUND('3_Part_time'!I52,2)&lt;&gt;'3_Part_time'!I52),G$36&amp;", "&amp;G$37&amp;", Price group "&amp;$B78&amp;", "&amp;$C78&amp;" length, Level "&amp;$D78&amp;"; ","")</f>
        <v/>
      </c>
      <c r="H78" s="1609" t="str">
        <f>IF(AND($E$8=1,ROUND('3_Part_time'!J52,2)&lt;&gt;'3_Part_time'!J52),H$36&amp;", "&amp;H$37&amp;", Price group "&amp;$B78&amp;", "&amp;$C78&amp;" length, Level "&amp;$D78&amp;"; ","")</f>
        <v/>
      </c>
      <c r="I78" s="7" t="str">
        <f>IF(AND($E$8=1,ROUND('3_Part_time'!K52,2)&lt;&gt;'3_Part_time'!K52),I$36&amp;", "&amp;I$37&amp;", Price group "&amp;$B78&amp;", "&amp;$C78&amp;" length, Level "&amp;$D78&amp;"; ","")</f>
        <v/>
      </c>
      <c r="J78" s="211" t="str">
        <f>IF(AND($E$8=1,ROUND('3_Part_time'!L52,2)&lt;&gt;'3_Part_time'!L52),J$36&amp;", "&amp;J$37&amp;", Price group "&amp;$B78&amp;", "&amp;$C78&amp;" length, Level "&amp;$D78&amp;"; ","")</f>
        <v/>
      </c>
      <c r="L78" s="118"/>
      <c r="M78" s="30" t="s">
        <v>277</v>
      </c>
      <c r="N78" s="417">
        <f>IF(OR(E101&lt;&gt;"",E181&lt;&gt;""),1,0)</f>
        <v>0</v>
      </c>
      <c r="O78" s="418">
        <f t="shared" si="18"/>
        <v>0</v>
      </c>
      <c r="P78" s="419">
        <f t="shared" si="19"/>
        <v>0</v>
      </c>
      <c r="Q78" s="391">
        <f t="shared" si="3"/>
        <v>0</v>
      </c>
      <c r="R78" s="392">
        <f t="shared" si="4"/>
        <v>0</v>
      </c>
      <c r="S78" s="393">
        <f t="shared" si="5"/>
        <v>0</v>
      </c>
      <c r="T78" s="378">
        <f>IF(OR(H101&lt;&gt;"",H181&lt;&gt;""),1,0)</f>
        <v>0</v>
      </c>
      <c r="U78" s="379">
        <f t="shared" si="20"/>
        <v>0</v>
      </c>
      <c r="V78" s="380">
        <f t="shared" si="21"/>
        <v>0</v>
      </c>
      <c r="W78" s="391">
        <f t="shared" si="6"/>
        <v>0</v>
      </c>
      <c r="X78" s="392">
        <f t="shared" si="6"/>
        <v>0</v>
      </c>
      <c r="Y78" s="393">
        <f t="shared" si="6"/>
        <v>0</v>
      </c>
    </row>
    <row r="79" spans="2:25" ht="13.15" x14ac:dyDescent="0.35">
      <c r="B79" s="20" t="s">
        <v>251</v>
      </c>
      <c r="C79" s="53" t="s">
        <v>204</v>
      </c>
      <c r="D79" s="13" t="s">
        <v>216</v>
      </c>
      <c r="E79" s="1428"/>
      <c r="F79" s="1429" t="str">
        <f>IF(AND($E$8=1,ROUND('3_Part_time'!H53,2)&lt;&gt;'3_Part_time'!H53),F$36&amp;", "&amp;F$37&amp;", Price group "&amp;$B79&amp;", "&amp;$C79&amp;" length, Level "&amp;$D79&amp;"; ","")</f>
        <v/>
      </c>
      <c r="G79" s="1430" t="str">
        <f>IF(AND($E$8=1,ROUND('3_Part_time'!I53,2)&lt;&gt;'3_Part_time'!I53),G$36&amp;", "&amp;G$37&amp;", Price group "&amp;$B79&amp;", "&amp;$C79&amp;" length, Level "&amp;$D79&amp;"; ","")</f>
        <v/>
      </c>
      <c r="H79" s="1428"/>
      <c r="I79" s="1429" t="str">
        <f>IF(AND($E$8=1,ROUND('3_Part_time'!K53,2)&lt;&gt;'3_Part_time'!K53),I$36&amp;", "&amp;I$37&amp;", Price group "&amp;$B79&amp;", "&amp;$C79&amp;" length, Level "&amp;$D79&amp;"; ","")</f>
        <v/>
      </c>
      <c r="J79" s="1430" t="str">
        <f>IF(AND($E$8=1,ROUND('3_Part_time'!L53,2)&lt;&gt;'3_Part_time'!L53),J$36&amp;", "&amp;J$37&amp;", Price group "&amp;$B79&amp;", "&amp;$C79&amp;" length, Level "&amp;$D79&amp;"; ","")</f>
        <v/>
      </c>
      <c r="L79" s="118"/>
      <c r="M79" s="30" t="s">
        <v>277</v>
      </c>
      <c r="N79" s="417">
        <f>IF(OR(E102&lt;&gt;"",E182&lt;&gt;""),1,0)</f>
        <v>0</v>
      </c>
      <c r="O79" s="418">
        <f t="shared" si="18"/>
        <v>0</v>
      </c>
      <c r="P79" s="419">
        <f t="shared" si="19"/>
        <v>0</v>
      </c>
      <c r="Q79" s="391">
        <f t="shared" si="3"/>
        <v>0</v>
      </c>
      <c r="R79" s="392">
        <f t="shared" si="4"/>
        <v>0</v>
      </c>
      <c r="S79" s="393">
        <f t="shared" si="5"/>
        <v>0</v>
      </c>
      <c r="T79" s="378">
        <f>IF(OR(H102&lt;&gt;"",H182&lt;&gt;""),1,0)</f>
        <v>0</v>
      </c>
      <c r="U79" s="379">
        <f t="shared" si="20"/>
        <v>0</v>
      </c>
      <c r="V79" s="380">
        <f t="shared" si="21"/>
        <v>0</v>
      </c>
      <c r="W79" s="394">
        <f t="shared" si="6"/>
        <v>0</v>
      </c>
      <c r="X79" s="395">
        <f t="shared" si="6"/>
        <v>0</v>
      </c>
      <c r="Y79" s="396">
        <f t="shared" si="6"/>
        <v>0</v>
      </c>
    </row>
    <row r="80" spans="2:25" ht="13.15" x14ac:dyDescent="0.35">
      <c r="B80" s="20" t="s">
        <v>251</v>
      </c>
      <c r="C80" s="53" t="s">
        <v>218</v>
      </c>
      <c r="D80" s="13" t="s">
        <v>205</v>
      </c>
      <c r="E80" s="1609" t="str">
        <f>IF(AND($E$8=1,ROUND('3_Part_time'!G54,2)&lt;&gt;'3_Part_time'!G54),E$36&amp;", "&amp;E$37&amp;", Price group "&amp;$B80&amp;", "&amp;$C80&amp;" length, Level "&amp;$D80&amp;"; ","")</f>
        <v/>
      </c>
      <c r="F80" s="7" t="str">
        <f>IF(AND($E$8=1,ROUND('3_Part_time'!H54,2)&lt;&gt;'3_Part_time'!H54),F$36&amp;", "&amp;F$37&amp;", Price group "&amp;$B80&amp;", "&amp;$C80&amp;" length, Level "&amp;$D80&amp;"; ","")</f>
        <v/>
      </c>
      <c r="G80" s="211" t="str">
        <f>IF(AND($E$8=1,ROUND('3_Part_time'!I54,2)&lt;&gt;'3_Part_time'!I54),G$36&amp;", "&amp;G$37&amp;", Price group "&amp;$B80&amp;", "&amp;$C80&amp;" length, Level "&amp;$D80&amp;"; ","")</f>
        <v/>
      </c>
      <c r="H80" s="1609" t="str">
        <f>IF(AND($E$8=1,ROUND('3_Part_time'!J54,2)&lt;&gt;'3_Part_time'!J54),H$36&amp;", "&amp;H$37&amp;", Price group "&amp;$B80&amp;", "&amp;$C80&amp;" length, Level "&amp;$D80&amp;"; ","")</f>
        <v/>
      </c>
      <c r="I80" s="7" t="str">
        <f>IF(AND($E$8=1,ROUND('3_Part_time'!K54,2)&lt;&gt;'3_Part_time'!K54),I$36&amp;", "&amp;I$37&amp;", Price group "&amp;$B80&amp;", "&amp;$C80&amp;" length, Level "&amp;$D80&amp;"; ","")</f>
        <v/>
      </c>
      <c r="J80" s="211" t="str">
        <f>IF(AND($E$8=1,ROUND('3_Part_time'!L54,2)&lt;&gt;'3_Part_time'!L54),J$36&amp;", "&amp;J$37&amp;", Price group "&amp;$B80&amp;", "&amp;$C80&amp;" length, Level "&amp;$D80&amp;"; ","")</f>
        <v/>
      </c>
      <c r="L80" s="118"/>
      <c r="M80" s="30" t="s">
        <v>277</v>
      </c>
      <c r="N80" s="420"/>
      <c r="O80" s="418">
        <f t="shared" si="18"/>
        <v>0</v>
      </c>
      <c r="P80" s="419">
        <f t="shared" si="19"/>
        <v>0</v>
      </c>
      <c r="Q80" s="384"/>
      <c r="R80" s="392">
        <f t="shared" ref="R80:R87" si="22">O80</f>
        <v>0</v>
      </c>
      <c r="S80" s="393">
        <f t="shared" ref="S80:S87" si="23">P80</f>
        <v>0</v>
      </c>
      <c r="T80" s="384"/>
      <c r="U80" s="379">
        <f t="shared" si="20"/>
        <v>0</v>
      </c>
      <c r="V80" s="380">
        <f t="shared" si="21"/>
        <v>0</v>
      </c>
      <c r="W80" s="384"/>
      <c r="X80" s="392">
        <f t="shared" ref="X80:Y98" si="24">IF(OR(O80=1,U80=1),1,0)</f>
        <v>0</v>
      </c>
      <c r="Y80" s="393">
        <f t="shared" si="24"/>
        <v>0</v>
      </c>
    </row>
    <row r="81" spans="2:25" ht="13.15" x14ac:dyDescent="0.35">
      <c r="B81" s="20" t="s">
        <v>251</v>
      </c>
      <c r="C81" s="53" t="s">
        <v>218</v>
      </c>
      <c r="D81" s="13" t="s">
        <v>208</v>
      </c>
      <c r="E81" s="1609" t="str">
        <f>IF(AND($E$8=1,ROUND('3_Part_time'!G55,2)&lt;&gt;'3_Part_time'!G55),E$36&amp;", "&amp;E$37&amp;", Price group "&amp;$B81&amp;", "&amp;$C81&amp;" length, Level "&amp;$D81&amp;"; ","")</f>
        <v/>
      </c>
      <c r="F81" s="7" t="str">
        <f>IF(AND($E$8=1,ROUND('3_Part_time'!H55,2)&lt;&gt;'3_Part_time'!H55),F$36&amp;", "&amp;F$37&amp;", Price group "&amp;$B81&amp;", "&amp;$C81&amp;" length, Level "&amp;$D81&amp;"; ","")</f>
        <v/>
      </c>
      <c r="G81" s="211" t="str">
        <f>IF(AND($E$8=1,ROUND('3_Part_time'!I55,2)&lt;&gt;'3_Part_time'!I55),G$36&amp;", "&amp;G$37&amp;", Price group "&amp;$B81&amp;", "&amp;$C81&amp;" length, Level "&amp;$D81&amp;"; ","")</f>
        <v/>
      </c>
      <c r="H81" s="1609" t="str">
        <f>IF(AND($E$8=1,ROUND('3_Part_time'!J55,2)&lt;&gt;'3_Part_time'!J55),H$36&amp;", "&amp;H$37&amp;", Price group "&amp;$B81&amp;", "&amp;$C81&amp;" length, Level "&amp;$D81&amp;"; ","")</f>
        <v/>
      </c>
      <c r="I81" s="7" t="str">
        <f>IF(AND($E$8=1,ROUND('3_Part_time'!K55,2)&lt;&gt;'3_Part_time'!K55),I$36&amp;", "&amp;I$37&amp;", Price group "&amp;$B81&amp;", "&amp;$C81&amp;" length, Level "&amp;$D81&amp;"; ","")</f>
        <v/>
      </c>
      <c r="J81" s="211" t="str">
        <f>IF(AND($E$8=1,ROUND('3_Part_time'!L55,2)&lt;&gt;'3_Part_time'!L55),J$36&amp;", "&amp;J$37&amp;", Price group "&amp;$B81&amp;", "&amp;$C81&amp;" length, Level "&amp;$D81&amp;"; ","")</f>
        <v/>
      </c>
      <c r="L81" s="118"/>
      <c r="M81" s="30" t="s">
        <v>277</v>
      </c>
      <c r="N81" s="421">
        <f>IF(OR(E104&lt;&gt;"",E184&lt;&gt;""),1,0)</f>
        <v>0</v>
      </c>
      <c r="O81" s="422">
        <f t="shared" si="18"/>
        <v>0</v>
      </c>
      <c r="P81" s="423">
        <f t="shared" si="19"/>
        <v>0</v>
      </c>
      <c r="Q81" s="397">
        <f>N81</f>
        <v>0</v>
      </c>
      <c r="R81" s="398">
        <f t="shared" si="22"/>
        <v>0</v>
      </c>
      <c r="S81" s="399">
        <f t="shared" si="23"/>
        <v>0</v>
      </c>
      <c r="T81" s="385">
        <f>IF(OR(H104&lt;&gt;"",H184&lt;&gt;""),1,0)</f>
        <v>0</v>
      </c>
      <c r="U81" s="386">
        <f t="shared" si="20"/>
        <v>0</v>
      </c>
      <c r="V81" s="387">
        <f t="shared" si="21"/>
        <v>0</v>
      </c>
      <c r="W81" s="397">
        <f t="shared" ref="W81:W97" si="25">IF(OR(N81=1,T81=1),1,0)</f>
        <v>0</v>
      </c>
      <c r="X81" s="398">
        <f t="shared" si="24"/>
        <v>0</v>
      </c>
      <c r="Y81" s="399">
        <f t="shared" si="24"/>
        <v>0</v>
      </c>
    </row>
    <row r="82" spans="2:25" ht="13.15" x14ac:dyDescent="0.35">
      <c r="B82" s="20" t="s">
        <v>251</v>
      </c>
      <c r="C82" s="53" t="s">
        <v>218</v>
      </c>
      <c r="D82" s="13" t="s">
        <v>210</v>
      </c>
      <c r="E82" s="1609" t="str">
        <f>IF(AND($E$8=1,ROUND('3_Part_time'!G56,2)&lt;&gt;'3_Part_time'!G56),E$36&amp;", "&amp;E$37&amp;", Price group "&amp;$B82&amp;", "&amp;$C82&amp;" length, Level "&amp;$D82&amp;"; ","")</f>
        <v/>
      </c>
      <c r="F82" s="7" t="str">
        <f>IF(AND($E$8=1,ROUND('3_Part_time'!H56,2)&lt;&gt;'3_Part_time'!H56),F$36&amp;", "&amp;F$37&amp;", Price group "&amp;$B82&amp;", "&amp;$C82&amp;" length, Level "&amp;$D82&amp;"; ","")</f>
        <v/>
      </c>
      <c r="G82" s="211" t="str">
        <f>IF(AND($E$8=1,ROUND('3_Part_time'!I56,2)&lt;&gt;'3_Part_time'!I56),G$36&amp;", "&amp;G$37&amp;", Price group "&amp;$B82&amp;", "&amp;$C82&amp;" length, Level "&amp;$D82&amp;"; ","")</f>
        <v/>
      </c>
      <c r="H82" s="1609" t="str">
        <f>IF(AND($E$8=1,ROUND('3_Part_time'!J56,2)&lt;&gt;'3_Part_time'!J56),H$36&amp;", "&amp;H$37&amp;", Price group "&amp;$B82&amp;", "&amp;$C82&amp;" length, Level "&amp;$D82&amp;"; ","")</f>
        <v/>
      </c>
      <c r="I82" s="7" t="str">
        <f>IF(AND($E$8=1,ROUND('3_Part_time'!K56,2)&lt;&gt;'3_Part_time'!K56),I$36&amp;", "&amp;I$37&amp;", Price group "&amp;$B82&amp;", "&amp;$C82&amp;" length, Level "&amp;$D82&amp;"; ","")</f>
        <v/>
      </c>
      <c r="J82" s="211" t="str">
        <f>IF(AND($E$8=1,ROUND('3_Part_time'!L56,2)&lt;&gt;'3_Part_time'!L56),J$36&amp;", "&amp;J$37&amp;", Price group "&amp;$B82&amp;", "&amp;$C82&amp;" length, Level "&amp;$D82&amp;"; ","")</f>
        <v/>
      </c>
      <c r="L82" s="118"/>
      <c r="M82" s="30" t="s">
        <v>277</v>
      </c>
      <c r="N82" s="421">
        <f>IF(OR(E105&lt;&gt;"",E185&lt;&gt;""),1,0)</f>
        <v>0</v>
      </c>
      <c r="O82" s="422">
        <f t="shared" si="18"/>
        <v>0</v>
      </c>
      <c r="P82" s="423">
        <f t="shared" si="19"/>
        <v>0</v>
      </c>
      <c r="Q82" s="397">
        <f>N82</f>
        <v>0</v>
      </c>
      <c r="R82" s="398">
        <f t="shared" si="22"/>
        <v>0</v>
      </c>
      <c r="S82" s="399">
        <f t="shared" si="23"/>
        <v>0</v>
      </c>
      <c r="T82" s="385">
        <f>IF(OR(H105&lt;&gt;"",H185&lt;&gt;""),1,0)</f>
        <v>0</v>
      </c>
      <c r="U82" s="386">
        <f t="shared" si="20"/>
        <v>0</v>
      </c>
      <c r="V82" s="387">
        <f t="shared" si="21"/>
        <v>0</v>
      </c>
      <c r="W82" s="404">
        <f t="shared" si="25"/>
        <v>0</v>
      </c>
      <c r="X82" s="405">
        <f t="shared" si="24"/>
        <v>0</v>
      </c>
      <c r="Y82" s="406">
        <f t="shared" si="24"/>
        <v>0</v>
      </c>
    </row>
    <row r="83" spans="2:25" ht="13.15" x14ac:dyDescent="0.35">
      <c r="B83" s="20" t="s">
        <v>251</v>
      </c>
      <c r="C83" s="53" t="s">
        <v>218</v>
      </c>
      <c r="D83" s="13" t="s">
        <v>212</v>
      </c>
      <c r="E83" s="1609" t="str">
        <f>IF(AND($E$8=1,ROUND('3_Part_time'!G57,2)&lt;&gt;'3_Part_time'!G57),E$36&amp;", "&amp;E$37&amp;", Price group "&amp;$B83&amp;", "&amp;$C83&amp;" length, Level "&amp;$D83&amp;"; ","")</f>
        <v/>
      </c>
      <c r="F83" s="7" t="str">
        <f>IF(AND($E$8=1,ROUND('3_Part_time'!H57,2)&lt;&gt;'3_Part_time'!H57),F$36&amp;", "&amp;F$37&amp;", Price group "&amp;$B83&amp;", "&amp;$C83&amp;" length, Level "&amp;$D83&amp;"; ","")</f>
        <v/>
      </c>
      <c r="G83" s="211" t="str">
        <f>IF(AND($E$8=1,ROUND('3_Part_time'!I57,2)&lt;&gt;'3_Part_time'!I57),G$36&amp;", "&amp;G$37&amp;", Price group "&amp;$B83&amp;", "&amp;$C83&amp;" length, Level "&amp;$D83&amp;"; ","")</f>
        <v/>
      </c>
      <c r="H83" s="1609" t="str">
        <f>IF(AND($E$8=1,ROUND('3_Part_time'!J57,2)&lt;&gt;'3_Part_time'!J57),H$36&amp;", "&amp;H$37&amp;", Price group "&amp;$B83&amp;", "&amp;$C83&amp;" length, Level "&amp;$D83&amp;"; ","")</f>
        <v/>
      </c>
      <c r="I83" s="7" t="str">
        <f>IF(AND($E$8=1,ROUND('3_Part_time'!K57,2)&lt;&gt;'3_Part_time'!K57),I$36&amp;", "&amp;I$37&amp;", Price group "&amp;$B83&amp;", "&amp;$C83&amp;" length, Level "&amp;$D83&amp;"; ","")</f>
        <v/>
      </c>
      <c r="J83" s="211" t="str">
        <f>IF(AND($E$8=1,ROUND('3_Part_time'!L57,2)&lt;&gt;'3_Part_time'!L57),J$36&amp;", "&amp;J$37&amp;", Price group "&amp;$B83&amp;", "&amp;$C83&amp;" length, Level "&amp;$D83&amp;"; ","")</f>
        <v/>
      </c>
      <c r="L83" s="118"/>
      <c r="M83" s="30" t="s">
        <v>277</v>
      </c>
      <c r="N83" s="1292">
        <f>IF(OR(E106&lt;&gt;"",E186&lt;&gt;""),1,0)</f>
        <v>0</v>
      </c>
      <c r="O83" s="1293">
        <f t="shared" si="18"/>
        <v>0</v>
      </c>
      <c r="P83" s="1294">
        <f t="shared" si="19"/>
        <v>0</v>
      </c>
      <c r="Q83" s="1295">
        <f>N83</f>
        <v>0</v>
      </c>
      <c r="R83" s="1296">
        <f t="shared" si="22"/>
        <v>0</v>
      </c>
      <c r="S83" s="1297">
        <f t="shared" si="23"/>
        <v>0</v>
      </c>
      <c r="T83" s="1292">
        <f>IF(OR(H106&lt;&gt;"",H186&lt;&gt;""),1,0)</f>
        <v>0</v>
      </c>
      <c r="U83" s="1293">
        <f t="shared" si="20"/>
        <v>0</v>
      </c>
      <c r="V83" s="1294">
        <f t="shared" si="21"/>
        <v>0</v>
      </c>
      <c r="W83" s="391">
        <f t="shared" si="25"/>
        <v>0</v>
      </c>
      <c r="X83" s="392">
        <f t="shared" si="24"/>
        <v>0</v>
      </c>
      <c r="Y83" s="393">
        <f t="shared" si="24"/>
        <v>0</v>
      </c>
    </row>
    <row r="84" spans="2:25" ht="13.15" x14ac:dyDescent="0.35">
      <c r="B84" s="20" t="s">
        <v>251</v>
      </c>
      <c r="C84" s="53" t="s">
        <v>218</v>
      </c>
      <c r="D84" s="13" t="s">
        <v>214</v>
      </c>
      <c r="E84" s="1609" t="str">
        <f>IF(AND($E$8=1,ROUND('3_Part_time'!G58,2)&lt;&gt;'3_Part_time'!G58),E$36&amp;", "&amp;E$37&amp;", Price group "&amp;$B84&amp;", "&amp;$C84&amp;" length, Level "&amp;$D84&amp;"; ","")</f>
        <v/>
      </c>
      <c r="F84" s="7" t="str">
        <f>IF(AND($E$8=1,ROUND('3_Part_time'!H58,2)&lt;&gt;'3_Part_time'!H58),F$36&amp;", "&amp;F$37&amp;", Price group "&amp;$B84&amp;", "&amp;$C84&amp;" length, Level "&amp;$D84&amp;"; ","")</f>
        <v/>
      </c>
      <c r="G84" s="211" t="str">
        <f>IF(AND($E$8=1,ROUND('3_Part_time'!I58,2)&lt;&gt;'3_Part_time'!I58),G$36&amp;", "&amp;G$37&amp;", Price group "&amp;$B84&amp;", "&amp;$C84&amp;" length, Level "&amp;$D84&amp;"; ","")</f>
        <v/>
      </c>
      <c r="H84" s="1609" t="str">
        <f>IF(AND($E$8=1,ROUND('3_Part_time'!J58,2)&lt;&gt;'3_Part_time'!J58),H$36&amp;", "&amp;H$37&amp;", Price group "&amp;$B84&amp;", "&amp;$C84&amp;" length, Level "&amp;$D84&amp;"; ","")</f>
        <v/>
      </c>
      <c r="I84" s="7" t="str">
        <f>IF(AND($E$8=1,ROUND('3_Part_time'!K58,2)&lt;&gt;'3_Part_time'!K58),I$36&amp;", "&amp;I$37&amp;", Price group "&amp;$B84&amp;", "&amp;$C84&amp;" length, Level "&amp;$D84&amp;"; ","")</f>
        <v/>
      </c>
      <c r="J84" s="211" t="str">
        <f>IF(AND($E$8=1,ROUND('3_Part_time'!L58,2)&lt;&gt;'3_Part_time'!L58),J$36&amp;", "&amp;J$37&amp;", Price group "&amp;$B84&amp;", "&amp;$C84&amp;" length, Level "&amp;$D84&amp;"; ","")</f>
        <v/>
      </c>
      <c r="L84" s="118"/>
      <c r="M84" s="30" t="s">
        <v>277</v>
      </c>
      <c r="N84" s="417">
        <f>IF(OR(E107&lt;&gt;"",E187&lt;&gt;""),1,0)</f>
        <v>0</v>
      </c>
      <c r="O84" s="418">
        <f t="shared" ref="O84:O86" si="26">IF(OR(F107&lt;&gt;"",F187&lt;&gt;""),1,0)</f>
        <v>0</v>
      </c>
      <c r="P84" s="419">
        <f t="shared" ref="P84:P86" si="27">IF(OR(G107&lt;&gt;"",G187&lt;&gt;""),1,0)</f>
        <v>0</v>
      </c>
      <c r="Q84" s="391">
        <f>N84</f>
        <v>0</v>
      </c>
      <c r="R84" s="392">
        <f t="shared" si="22"/>
        <v>0</v>
      </c>
      <c r="S84" s="393">
        <f t="shared" si="23"/>
        <v>0</v>
      </c>
      <c r="T84" s="378">
        <f>IF(OR(H107&lt;&gt;"",H187&lt;&gt;""),1,0)</f>
        <v>0</v>
      </c>
      <c r="U84" s="379">
        <f t="shared" ref="U84:U86" si="28">IF(OR(I107&lt;&gt;"",I187&lt;&gt;""),1,0)</f>
        <v>0</v>
      </c>
      <c r="V84" s="380">
        <f t="shared" ref="V84:V86" si="29">IF(OR(J107&lt;&gt;"",J187&lt;&gt;""),1,0)</f>
        <v>0</v>
      </c>
      <c r="W84" s="391">
        <f t="shared" si="25"/>
        <v>0</v>
      </c>
      <c r="X84" s="392">
        <f t="shared" si="24"/>
        <v>0</v>
      </c>
      <c r="Y84" s="393">
        <f t="shared" si="24"/>
        <v>0</v>
      </c>
    </row>
    <row r="85" spans="2:25" ht="13.15" x14ac:dyDescent="0.35">
      <c r="B85" s="20" t="s">
        <v>251</v>
      </c>
      <c r="C85" s="53" t="s">
        <v>218</v>
      </c>
      <c r="D85" s="13" t="s">
        <v>216</v>
      </c>
      <c r="E85" s="1432"/>
      <c r="F85" s="1409" t="str">
        <f>IF(AND($E$8=1,ROUND('3_Part_time'!H59,2)&lt;&gt;'3_Part_time'!H59),F$36&amp;", "&amp;F$37&amp;", Price group "&amp;$B85&amp;", "&amp;$C85&amp;" length, Level "&amp;$D85&amp;"; ","")</f>
        <v/>
      </c>
      <c r="G85" s="1433" t="str">
        <f>IF(AND($E$8=1,ROUND('3_Part_time'!I59,2)&lt;&gt;'3_Part_time'!I59),G$36&amp;", "&amp;G$37&amp;", Price group "&amp;$B85&amp;", "&amp;$C85&amp;" length, Level "&amp;$D85&amp;"; ","")</f>
        <v/>
      </c>
      <c r="H85" s="1432"/>
      <c r="I85" s="1409" t="str">
        <f>IF(AND($E$8=1,ROUND('3_Part_time'!K59,2)&lt;&gt;'3_Part_time'!K59),I$36&amp;", "&amp;I$37&amp;", Price group "&amp;$B85&amp;", "&amp;$C85&amp;" length, Level "&amp;$D85&amp;"; ","")</f>
        <v/>
      </c>
      <c r="J85" s="1433" t="str">
        <f>IF(AND($E$8=1,ROUND('3_Part_time'!L59,2)&lt;&gt;'3_Part_time'!L59),J$36&amp;", "&amp;J$37&amp;", Price group "&amp;$B85&amp;", "&amp;$C85&amp;" length, Level "&amp;$D85&amp;"; ","")</f>
        <v/>
      </c>
      <c r="L85" s="118"/>
      <c r="M85" s="30" t="s">
        <v>277</v>
      </c>
      <c r="N85" s="417">
        <f>IF(OR(E108&lt;&gt;"",E188&lt;&gt;""),1,0)</f>
        <v>0</v>
      </c>
      <c r="O85" s="418">
        <f t="shared" si="26"/>
        <v>0</v>
      </c>
      <c r="P85" s="419">
        <f t="shared" si="27"/>
        <v>0</v>
      </c>
      <c r="Q85" s="391">
        <f>N85</f>
        <v>0</v>
      </c>
      <c r="R85" s="392">
        <f t="shared" si="22"/>
        <v>0</v>
      </c>
      <c r="S85" s="393">
        <f t="shared" si="23"/>
        <v>0</v>
      </c>
      <c r="T85" s="378">
        <f>IF(OR(H108&lt;&gt;"",H188&lt;&gt;""),1,0)</f>
        <v>0</v>
      </c>
      <c r="U85" s="379">
        <f t="shared" si="28"/>
        <v>0</v>
      </c>
      <c r="V85" s="380">
        <f t="shared" si="29"/>
        <v>0</v>
      </c>
      <c r="W85" s="391">
        <f t="shared" si="25"/>
        <v>0</v>
      </c>
      <c r="X85" s="392">
        <f t="shared" si="24"/>
        <v>0</v>
      </c>
      <c r="Y85" s="393">
        <f t="shared" si="24"/>
        <v>0</v>
      </c>
    </row>
    <row r="86" spans="2:25" ht="13.5" thickBot="1" x14ac:dyDescent="0.4">
      <c r="B86" s="20" t="s">
        <v>264</v>
      </c>
      <c r="C86" s="53" t="s">
        <v>204</v>
      </c>
      <c r="D86" s="13" t="s">
        <v>205</v>
      </c>
      <c r="E86" s="1813" t="str">
        <f>IF(AND($E$8=1,ROUND('3_Part_time'!G60,2)&lt;&gt;'3_Part_time'!G60),E$36&amp;", "&amp;E$37&amp;", Price group "&amp;$B86&amp;", "&amp;$C86&amp;" length, Level "&amp;$D86&amp;"; ","")</f>
        <v/>
      </c>
      <c r="F86" s="1412" t="str">
        <f>IF(AND($E$8=1,ROUND('3_Part_time'!H60,2)&lt;&gt;'3_Part_time'!H60),F$36&amp;", "&amp;F$37&amp;", Price group "&amp;$B86&amp;", "&amp;$C86&amp;" length, Level "&amp;$D86&amp;"; ","")</f>
        <v/>
      </c>
      <c r="G86" s="1789" t="str">
        <f>IF(AND($E$8=1,ROUND('3_Part_time'!I60,2)&lt;&gt;'3_Part_time'!I60),G$36&amp;", "&amp;G$37&amp;", Price group "&amp;$B86&amp;", "&amp;$C86&amp;" length, Level "&amp;$D86&amp;"; ","")</f>
        <v/>
      </c>
      <c r="H86" s="1813" t="str">
        <f>IF(AND($E$8=1,ROUND('3_Part_time'!J60,2)&lt;&gt;'3_Part_time'!J60),H$36&amp;", "&amp;H$37&amp;", Price group "&amp;$B86&amp;", "&amp;$C86&amp;" length, Level "&amp;$D86&amp;"; ","")</f>
        <v/>
      </c>
      <c r="I86" s="1412" t="str">
        <f>IF(AND($E$8=1,ROUND('3_Part_time'!K60,2)&lt;&gt;'3_Part_time'!K60),I$36&amp;", "&amp;I$37&amp;", Price group "&amp;$B86&amp;", "&amp;$C86&amp;" length, Level "&amp;$D86&amp;"; ","")</f>
        <v/>
      </c>
      <c r="J86" s="1789" t="str">
        <f>IF(AND($E$8=1,ROUND('3_Part_time'!L60,2)&lt;&gt;'3_Part_time'!L60),J$36&amp;", "&amp;J$37&amp;", Price group "&amp;$B86&amp;", "&amp;$C86&amp;" length, Level "&amp;$D86&amp;"; ","")</f>
        <v/>
      </c>
      <c r="L86" s="118"/>
      <c r="M86" s="30" t="s">
        <v>277</v>
      </c>
      <c r="N86" s="1288"/>
      <c r="O86" s="1289">
        <f t="shared" si="26"/>
        <v>0</v>
      </c>
      <c r="P86" s="1290">
        <f t="shared" si="27"/>
        <v>0</v>
      </c>
      <c r="Q86" s="400"/>
      <c r="R86" s="403">
        <f t="shared" si="22"/>
        <v>0</v>
      </c>
      <c r="S86" s="1291">
        <f t="shared" si="23"/>
        <v>0</v>
      </c>
      <c r="T86" s="400"/>
      <c r="U86" s="401">
        <f t="shared" si="28"/>
        <v>0</v>
      </c>
      <c r="V86" s="402">
        <f t="shared" si="29"/>
        <v>0</v>
      </c>
      <c r="W86" s="384"/>
      <c r="X86" s="392">
        <f t="shared" si="24"/>
        <v>0</v>
      </c>
      <c r="Y86" s="393">
        <f t="shared" si="24"/>
        <v>0</v>
      </c>
    </row>
    <row r="87" spans="2:25" ht="13.5" thickTop="1" x14ac:dyDescent="0.35">
      <c r="B87" s="20" t="s">
        <v>264</v>
      </c>
      <c r="C87" s="53" t="s">
        <v>204</v>
      </c>
      <c r="D87" s="13" t="s">
        <v>208</v>
      </c>
      <c r="E87" s="1609" t="str">
        <f>IF(AND($E$8=1,ROUND('3_Part_time'!G61,2)&lt;&gt;'3_Part_time'!G61),E$36&amp;", "&amp;E$37&amp;", Price group "&amp;$B87&amp;", "&amp;$C87&amp;" length, Level "&amp;$D87&amp;"; ","")</f>
        <v/>
      </c>
      <c r="F87" s="7" t="str">
        <f>IF(AND($E$8=1,ROUND('3_Part_time'!H61,2)&lt;&gt;'3_Part_time'!H61),F$36&amp;", "&amp;F$37&amp;", Price group "&amp;$B87&amp;", "&amp;$C87&amp;" length, Level "&amp;$D87&amp;"; ","")</f>
        <v/>
      </c>
      <c r="G87" s="211" t="str">
        <f>IF(AND($E$8=1,ROUND('3_Part_time'!I61,2)&lt;&gt;'3_Part_time'!I61),G$36&amp;", "&amp;G$37&amp;", Price group "&amp;$B87&amp;", "&amp;$C87&amp;" length, Level "&amp;$D87&amp;"; ","")</f>
        <v/>
      </c>
      <c r="H87" s="1609" t="str">
        <f>IF(AND($E$8=1,ROUND('3_Part_time'!J61,2)&lt;&gt;'3_Part_time'!J61),H$36&amp;", "&amp;H$37&amp;", Price group "&amp;$B87&amp;", "&amp;$C87&amp;" length, Level "&amp;$D87&amp;"; ","")</f>
        <v/>
      </c>
      <c r="I87" s="7" t="str">
        <f>IF(AND($E$8=1,ROUND('3_Part_time'!K61,2)&lt;&gt;'3_Part_time'!K61),I$36&amp;", "&amp;I$37&amp;", Price group "&amp;$B87&amp;", "&amp;$C87&amp;" length, Level "&amp;$D87&amp;"; ","")</f>
        <v/>
      </c>
      <c r="J87" s="211" t="str">
        <f>IF(AND($E$8=1,ROUND('3_Part_time'!L61,2)&lt;&gt;'3_Part_time'!L61),J$36&amp;", "&amp;J$37&amp;", Price group "&amp;$B87&amp;", "&amp;$C87&amp;" length, Level "&amp;$D87&amp;"; ","")</f>
        <v/>
      </c>
      <c r="L87" s="118"/>
      <c r="M87" s="30" t="s">
        <v>205</v>
      </c>
      <c r="N87" s="424">
        <f t="shared" ref="N87:P91" si="30">IF(E18&lt;&gt;"",1,0)</f>
        <v>0</v>
      </c>
      <c r="O87" s="425">
        <f t="shared" si="30"/>
        <v>0</v>
      </c>
      <c r="P87" s="426">
        <f t="shared" si="30"/>
        <v>0</v>
      </c>
      <c r="Q87" s="407">
        <f>N87</f>
        <v>0</v>
      </c>
      <c r="R87" s="408">
        <f t="shared" si="22"/>
        <v>0</v>
      </c>
      <c r="S87" s="409">
        <f t="shared" si="23"/>
        <v>0</v>
      </c>
      <c r="T87" s="407">
        <f t="shared" ref="T87:V91" si="31">IF(H18&lt;&gt;"",1,0)</f>
        <v>0</v>
      </c>
      <c r="U87" s="408">
        <f t="shared" si="31"/>
        <v>0</v>
      </c>
      <c r="V87" s="409">
        <f t="shared" si="31"/>
        <v>0</v>
      </c>
      <c r="W87" s="407">
        <f t="shared" si="25"/>
        <v>0</v>
      </c>
      <c r="X87" s="408">
        <f t="shared" si="24"/>
        <v>0</v>
      </c>
      <c r="Y87" s="409">
        <f t="shared" si="24"/>
        <v>0</v>
      </c>
    </row>
    <row r="88" spans="2:25" ht="13.15" x14ac:dyDescent="0.35">
      <c r="B88" s="20" t="s">
        <v>264</v>
      </c>
      <c r="C88" s="53" t="s">
        <v>204</v>
      </c>
      <c r="D88" s="13" t="s">
        <v>210</v>
      </c>
      <c r="E88" s="1609" t="str">
        <f>IF(AND($E$8=1,ROUND('3_Part_time'!G62,2)&lt;&gt;'3_Part_time'!G62),E$36&amp;", "&amp;E$37&amp;", Price group "&amp;$B88&amp;", "&amp;$C88&amp;" length, Level "&amp;$D88&amp;"; ","")</f>
        <v/>
      </c>
      <c r="F88" s="7" t="str">
        <f>IF(AND($E$8=1,ROUND('3_Part_time'!H62,2)&lt;&gt;'3_Part_time'!H62),F$36&amp;", "&amp;F$37&amp;", Price group "&amp;$B88&amp;", "&amp;$C88&amp;" length, Level "&amp;$D88&amp;"; ","")</f>
        <v/>
      </c>
      <c r="G88" s="211" t="str">
        <f>IF(AND($E$8=1,ROUND('3_Part_time'!I62,2)&lt;&gt;'3_Part_time'!I62),G$36&amp;", "&amp;G$37&amp;", Price group "&amp;$B88&amp;", "&amp;$C88&amp;" length, Level "&amp;$D88&amp;"; ","")</f>
        <v/>
      </c>
      <c r="H88" s="1609" t="str">
        <f>IF(AND($E$8=1,ROUND('3_Part_time'!J62,2)&lt;&gt;'3_Part_time'!J62),H$36&amp;", "&amp;H$37&amp;", Price group "&amp;$B88&amp;", "&amp;$C88&amp;" length, Level "&amp;$D88&amp;"; ","")</f>
        <v/>
      </c>
      <c r="I88" s="7" t="str">
        <f>IF(AND($E$8=1,ROUND('3_Part_time'!K62,2)&lt;&gt;'3_Part_time'!K62),I$36&amp;", "&amp;I$37&amp;", Price group "&amp;$B88&amp;", "&amp;$C88&amp;" length, Level "&amp;$D88&amp;"; ","")</f>
        <v/>
      </c>
      <c r="J88" s="211" t="str">
        <f>IF(AND($E$8=1,ROUND('3_Part_time'!L62,2)&lt;&gt;'3_Part_time'!L62),J$36&amp;", "&amp;J$37&amp;", Price group "&amp;$B88&amp;", "&amp;$C88&amp;" length, Level "&amp;$D88&amp;"; ","")</f>
        <v/>
      </c>
      <c r="L88" s="118"/>
      <c r="M88" s="30" t="s">
        <v>208</v>
      </c>
      <c r="N88" s="427">
        <f t="shared" si="30"/>
        <v>0</v>
      </c>
      <c r="O88" s="428">
        <f t="shared" si="30"/>
        <v>0</v>
      </c>
      <c r="P88" s="429">
        <f t="shared" si="30"/>
        <v>0</v>
      </c>
      <c r="Q88" s="404">
        <f t="shared" ref="Q88:Q97" si="32">N88</f>
        <v>0</v>
      </c>
      <c r="R88" s="405">
        <f t="shared" ref="R88:R98" si="33">O88</f>
        <v>0</v>
      </c>
      <c r="S88" s="406">
        <f t="shared" ref="S88:S98" si="34">P88</f>
        <v>0</v>
      </c>
      <c r="T88" s="404">
        <f t="shared" si="31"/>
        <v>0</v>
      </c>
      <c r="U88" s="405">
        <f t="shared" si="31"/>
        <v>0</v>
      </c>
      <c r="V88" s="406">
        <f t="shared" si="31"/>
        <v>0</v>
      </c>
      <c r="W88" s="404">
        <f t="shared" si="25"/>
        <v>0</v>
      </c>
      <c r="X88" s="405">
        <f t="shared" si="24"/>
        <v>0</v>
      </c>
      <c r="Y88" s="406">
        <f t="shared" si="24"/>
        <v>0</v>
      </c>
    </row>
    <row r="89" spans="2:25" ht="13.15" x14ac:dyDescent="0.35">
      <c r="B89" s="20" t="s">
        <v>264</v>
      </c>
      <c r="C89" s="53" t="s">
        <v>204</v>
      </c>
      <c r="D89" s="13" t="s">
        <v>212</v>
      </c>
      <c r="E89" s="1609" t="str">
        <f>IF(AND($E$8=1,ROUND('3_Part_time'!G63,2)&lt;&gt;'3_Part_time'!G63),E$36&amp;", "&amp;E$37&amp;", Price group "&amp;$B89&amp;", "&amp;$C89&amp;" length, Level "&amp;$D89&amp;"; ","")</f>
        <v/>
      </c>
      <c r="F89" s="7" t="str">
        <f>IF(AND($E$8=1,ROUND('3_Part_time'!H63,2)&lt;&gt;'3_Part_time'!H63),F$36&amp;", "&amp;F$37&amp;", Price group "&amp;$B89&amp;", "&amp;$C89&amp;" length, Level "&amp;$D89&amp;"; ","")</f>
        <v/>
      </c>
      <c r="G89" s="211" t="str">
        <f>IF(AND($E$8=1,ROUND('3_Part_time'!I63,2)&lt;&gt;'3_Part_time'!I63),G$36&amp;", "&amp;G$37&amp;", Price group "&amp;$B89&amp;", "&amp;$C89&amp;" length, Level "&amp;$D89&amp;"; ","")</f>
        <v/>
      </c>
      <c r="H89" s="1609" t="str">
        <f>IF(AND($E$8=1,ROUND('3_Part_time'!J63,2)&lt;&gt;'3_Part_time'!J63),H$36&amp;", "&amp;H$37&amp;", Price group "&amp;$B89&amp;", "&amp;$C89&amp;" length, Level "&amp;$D89&amp;"; ","")</f>
        <v/>
      </c>
      <c r="I89" s="7" t="str">
        <f>IF(AND($E$8=1,ROUND('3_Part_time'!K63,2)&lt;&gt;'3_Part_time'!K63),I$36&amp;", "&amp;I$37&amp;", Price group "&amp;$B89&amp;", "&amp;$C89&amp;" length, Level "&amp;$D89&amp;"; ","")</f>
        <v/>
      </c>
      <c r="J89" s="211" t="str">
        <f>IF(AND($E$8=1,ROUND('3_Part_time'!L63,2)&lt;&gt;'3_Part_time'!L63),J$36&amp;", "&amp;J$37&amp;", Price group "&amp;$B89&amp;", "&amp;$C89&amp;" length, Level "&amp;$D89&amp;"; ","")</f>
        <v/>
      </c>
      <c r="L89" s="118"/>
      <c r="M89" s="30" t="s">
        <v>210</v>
      </c>
      <c r="N89" s="430">
        <f t="shared" si="30"/>
        <v>0</v>
      </c>
      <c r="O89" s="431">
        <f t="shared" si="30"/>
        <v>0</v>
      </c>
      <c r="P89" s="432">
        <f t="shared" si="30"/>
        <v>0</v>
      </c>
      <c r="Q89" s="391">
        <f t="shared" si="32"/>
        <v>0</v>
      </c>
      <c r="R89" s="392">
        <f t="shared" si="33"/>
        <v>0</v>
      </c>
      <c r="S89" s="393">
        <f t="shared" si="34"/>
        <v>0</v>
      </c>
      <c r="T89" s="391">
        <f t="shared" si="31"/>
        <v>0</v>
      </c>
      <c r="U89" s="392">
        <f t="shared" si="31"/>
        <v>0</v>
      </c>
      <c r="V89" s="393">
        <f t="shared" si="31"/>
        <v>0</v>
      </c>
      <c r="W89" s="391">
        <f t="shared" si="25"/>
        <v>0</v>
      </c>
      <c r="X89" s="392">
        <f t="shared" si="24"/>
        <v>0</v>
      </c>
      <c r="Y89" s="393">
        <f t="shared" si="24"/>
        <v>0</v>
      </c>
    </row>
    <row r="90" spans="2:25" ht="13.15" x14ac:dyDescent="0.35">
      <c r="B90" s="20" t="s">
        <v>264</v>
      </c>
      <c r="C90" s="53" t="s">
        <v>204</v>
      </c>
      <c r="D90" s="13" t="s">
        <v>214</v>
      </c>
      <c r="E90" s="1609" t="str">
        <f>IF(AND($E$8=1,ROUND('3_Part_time'!G64,2)&lt;&gt;'3_Part_time'!G64),E$36&amp;", "&amp;E$37&amp;", Price group "&amp;$B90&amp;", "&amp;$C90&amp;" length, Level "&amp;$D90&amp;"; ","")</f>
        <v/>
      </c>
      <c r="F90" s="7" t="str">
        <f>IF(AND($E$8=1,ROUND('3_Part_time'!H64,2)&lt;&gt;'3_Part_time'!H64),F$36&amp;", "&amp;F$37&amp;", Price group "&amp;$B90&amp;", "&amp;$C90&amp;" length, Level "&amp;$D90&amp;"; ","")</f>
        <v/>
      </c>
      <c r="G90" s="211" t="str">
        <f>IF(AND($E$8=1,ROUND('3_Part_time'!I64,2)&lt;&gt;'3_Part_time'!I64),G$36&amp;", "&amp;G$37&amp;", Price group "&amp;$B90&amp;", "&amp;$C90&amp;" length, Level "&amp;$D90&amp;"; ","")</f>
        <v/>
      </c>
      <c r="H90" s="1609" t="str">
        <f>IF(AND($E$8=1,ROUND('3_Part_time'!J64,2)&lt;&gt;'3_Part_time'!J64),H$36&amp;", "&amp;H$37&amp;", Price group "&amp;$B90&amp;", "&amp;$C90&amp;" length, Level "&amp;$D90&amp;"; ","")</f>
        <v/>
      </c>
      <c r="I90" s="7" t="str">
        <f>IF(AND($E$8=1,ROUND('3_Part_time'!K64,2)&lt;&gt;'3_Part_time'!K64),I$36&amp;", "&amp;I$37&amp;", Price group "&amp;$B90&amp;", "&amp;$C90&amp;" length, Level "&amp;$D90&amp;"; ","")</f>
        <v/>
      </c>
      <c r="J90" s="211" t="str">
        <f>IF(AND($E$8=1,ROUND('3_Part_time'!L64,2)&lt;&gt;'3_Part_time'!L64),J$36&amp;", "&amp;J$37&amp;", Price group "&amp;$B90&amp;", "&amp;$C90&amp;" length, Level "&amp;$D90&amp;"; ","")</f>
        <v/>
      </c>
      <c r="L90" s="118"/>
      <c r="M90" s="30" t="s">
        <v>212</v>
      </c>
      <c r="N90" s="433">
        <f t="shared" si="30"/>
        <v>0</v>
      </c>
      <c r="O90" s="434">
        <f t="shared" si="30"/>
        <v>0</v>
      </c>
      <c r="P90" s="435">
        <f t="shared" si="30"/>
        <v>0</v>
      </c>
      <c r="Q90" s="410">
        <f t="shared" si="32"/>
        <v>0</v>
      </c>
      <c r="R90" s="411">
        <f t="shared" si="33"/>
        <v>0</v>
      </c>
      <c r="S90" s="412">
        <f t="shared" si="34"/>
        <v>0</v>
      </c>
      <c r="T90" s="410">
        <f t="shared" si="31"/>
        <v>0</v>
      </c>
      <c r="U90" s="411">
        <f t="shared" si="31"/>
        <v>0</v>
      </c>
      <c r="V90" s="412">
        <f t="shared" si="31"/>
        <v>0</v>
      </c>
      <c r="W90" s="391">
        <f t="shared" si="25"/>
        <v>0</v>
      </c>
      <c r="X90" s="392">
        <f t="shared" si="24"/>
        <v>0</v>
      </c>
      <c r="Y90" s="393">
        <f t="shared" si="24"/>
        <v>0</v>
      </c>
    </row>
    <row r="91" spans="2:25" ht="13.15" x14ac:dyDescent="0.35">
      <c r="B91" s="20" t="s">
        <v>264</v>
      </c>
      <c r="C91" s="53" t="s">
        <v>204</v>
      </c>
      <c r="D91" s="13" t="s">
        <v>216</v>
      </c>
      <c r="E91" s="1428"/>
      <c r="F91" s="1429" t="str">
        <f>IF(AND($E$8=1,ROUND('3_Part_time'!H65,2)&lt;&gt;'3_Part_time'!H65),F$36&amp;", "&amp;F$37&amp;", Price group "&amp;$B91&amp;", "&amp;$C91&amp;" length, Level "&amp;$D91&amp;"; ","")</f>
        <v/>
      </c>
      <c r="G91" s="1430" t="str">
        <f>IF(AND($E$8=1,ROUND('3_Part_time'!I65,2)&lt;&gt;'3_Part_time'!I65),G$36&amp;", "&amp;G$37&amp;", Price group "&amp;$B91&amp;", "&amp;$C91&amp;" length, Level "&amp;$D91&amp;"; ","")</f>
        <v/>
      </c>
      <c r="H91" s="1428"/>
      <c r="I91" s="1429" t="str">
        <f>IF(AND($E$8=1,ROUND('3_Part_time'!K65,2)&lt;&gt;'3_Part_time'!K65),I$36&amp;", "&amp;I$37&amp;", Price group "&amp;$B91&amp;", "&amp;$C91&amp;" length, Level "&amp;$D91&amp;"; ","")</f>
        <v/>
      </c>
      <c r="J91" s="1430" t="str">
        <f>IF(AND($E$8=1,ROUND('3_Part_time'!L65,2)&lt;&gt;'3_Part_time'!L65),J$36&amp;", "&amp;J$37&amp;", Price group "&amp;$B91&amp;", "&amp;$C91&amp;" length, Level "&amp;$D91&amp;"; ","")</f>
        <v/>
      </c>
      <c r="L91" s="118"/>
      <c r="M91" s="30" t="s">
        <v>214</v>
      </c>
      <c r="N91" s="433">
        <f t="shared" si="30"/>
        <v>0</v>
      </c>
      <c r="O91" s="434">
        <f t="shared" si="30"/>
        <v>0</v>
      </c>
      <c r="P91" s="435">
        <f t="shared" si="30"/>
        <v>0</v>
      </c>
      <c r="Q91" s="410">
        <f t="shared" si="32"/>
        <v>0</v>
      </c>
      <c r="R91" s="411">
        <f t="shared" si="33"/>
        <v>0</v>
      </c>
      <c r="S91" s="412">
        <f t="shared" si="34"/>
        <v>0</v>
      </c>
      <c r="T91" s="410">
        <f t="shared" si="31"/>
        <v>0</v>
      </c>
      <c r="U91" s="411">
        <f t="shared" si="31"/>
        <v>0</v>
      </c>
      <c r="V91" s="412">
        <f t="shared" si="31"/>
        <v>0</v>
      </c>
      <c r="W91" s="410">
        <f t="shared" si="25"/>
        <v>0</v>
      </c>
      <c r="X91" s="411">
        <f t="shared" si="24"/>
        <v>0</v>
      </c>
      <c r="Y91" s="412">
        <f t="shared" si="24"/>
        <v>0</v>
      </c>
    </row>
    <row r="92" spans="2:25" ht="13.15" x14ac:dyDescent="0.35">
      <c r="B92" s="20" t="s">
        <v>264</v>
      </c>
      <c r="C92" s="53" t="s">
        <v>218</v>
      </c>
      <c r="D92" s="13" t="s">
        <v>205</v>
      </c>
      <c r="E92" s="1609" t="str">
        <f>IF(AND($E$8=1,ROUND('3_Part_time'!G66,2)&lt;&gt;'3_Part_time'!G66),E$36&amp;", "&amp;E$37&amp;", Price group "&amp;$B92&amp;", "&amp;$C92&amp;" length, Level "&amp;$D92&amp;"; ","")</f>
        <v/>
      </c>
      <c r="F92" s="7" t="str">
        <f>IF(AND($E$8=1,ROUND('3_Part_time'!H66,2)&lt;&gt;'3_Part_time'!H66),F$36&amp;", "&amp;F$37&amp;", Price group "&amp;$B92&amp;", "&amp;$C92&amp;" length, Level "&amp;$D92&amp;"; ","")</f>
        <v/>
      </c>
      <c r="G92" s="211" t="str">
        <f>IF(AND($E$8=1,ROUND('3_Part_time'!I66,2)&lt;&gt;'3_Part_time'!I66),G$36&amp;", "&amp;G$37&amp;", Price group "&amp;$B92&amp;", "&amp;$C92&amp;" length, Level "&amp;$D92&amp;"; ","")</f>
        <v/>
      </c>
      <c r="H92" s="1609" t="str">
        <f>IF(AND($E$8=1,ROUND('3_Part_time'!J66,2)&lt;&gt;'3_Part_time'!J66),H$36&amp;", "&amp;H$37&amp;", Price group "&amp;$B92&amp;", "&amp;$C92&amp;" length, Level "&amp;$D92&amp;"; ","")</f>
        <v/>
      </c>
      <c r="I92" s="7" t="str">
        <f>IF(AND($E$8=1,ROUND('3_Part_time'!K66,2)&lt;&gt;'3_Part_time'!K66),I$36&amp;", "&amp;I$37&amp;", Price group "&amp;$B92&amp;", "&amp;$C92&amp;" length, Level "&amp;$D92&amp;"; ","")</f>
        <v/>
      </c>
      <c r="J92" s="211" t="str">
        <f>IF(AND($E$8=1,ROUND('3_Part_time'!L66,2)&lt;&gt;'3_Part_time'!L66),J$36&amp;", "&amp;J$37&amp;", Price group "&amp;$B92&amp;", "&amp;$C92&amp;" length, Level "&amp;$D92&amp;"; ","")</f>
        <v/>
      </c>
      <c r="L92" s="118"/>
      <c r="M92" s="30" t="s">
        <v>216</v>
      </c>
      <c r="N92" s="1626"/>
      <c r="O92" s="436">
        <f t="shared" ref="O92:P98" si="35">IF(F23&lt;&gt;"",1,0)</f>
        <v>0</v>
      </c>
      <c r="P92" s="437">
        <f t="shared" si="35"/>
        <v>0</v>
      </c>
      <c r="Q92" s="1613"/>
      <c r="R92" s="413">
        <f t="shared" si="33"/>
        <v>0</v>
      </c>
      <c r="S92" s="414">
        <f t="shared" si="34"/>
        <v>0</v>
      </c>
      <c r="T92" s="1613"/>
      <c r="U92" s="413">
        <f t="shared" ref="U92:V98" si="36">IF(I23&lt;&gt;"",1,0)</f>
        <v>0</v>
      </c>
      <c r="V92" s="414">
        <f t="shared" si="36"/>
        <v>0</v>
      </c>
      <c r="W92" s="1613"/>
      <c r="X92" s="413">
        <f t="shared" si="24"/>
        <v>0</v>
      </c>
      <c r="Y92" s="414">
        <f t="shared" si="24"/>
        <v>0</v>
      </c>
    </row>
    <row r="93" spans="2:25" ht="13.15" x14ac:dyDescent="0.35">
      <c r="B93" s="20" t="s">
        <v>264</v>
      </c>
      <c r="C93" s="53" t="s">
        <v>218</v>
      </c>
      <c r="D93" s="13" t="s">
        <v>208</v>
      </c>
      <c r="E93" s="1609" t="str">
        <f>IF(AND($E$8=1,ROUND('3_Part_time'!G67,2)&lt;&gt;'3_Part_time'!G67),E$36&amp;", "&amp;E$37&amp;", Price group "&amp;$B93&amp;", "&amp;$C93&amp;" length, Level "&amp;$D93&amp;"; ","")</f>
        <v/>
      </c>
      <c r="F93" s="7" t="str">
        <f>IF(AND($E$8=1,ROUND('3_Part_time'!H67,2)&lt;&gt;'3_Part_time'!H67),F$36&amp;", "&amp;F$37&amp;", Price group "&amp;$B93&amp;", "&amp;$C93&amp;" length, Level "&amp;$D93&amp;"; ","")</f>
        <v/>
      </c>
      <c r="G93" s="211" t="str">
        <f>IF(AND($E$8=1,ROUND('3_Part_time'!I67,2)&lt;&gt;'3_Part_time'!I67),G$36&amp;", "&amp;G$37&amp;", Price group "&amp;$B93&amp;", "&amp;$C93&amp;" length, Level "&amp;$D93&amp;"; ","")</f>
        <v/>
      </c>
      <c r="H93" s="1609" t="str">
        <f>IF(AND($E$8=1,ROUND('3_Part_time'!J67,2)&lt;&gt;'3_Part_time'!J67),H$36&amp;", "&amp;H$37&amp;", Price group "&amp;$B93&amp;", "&amp;$C93&amp;" length, Level "&amp;$D93&amp;"; ","")</f>
        <v/>
      </c>
      <c r="I93" s="7" t="str">
        <f>IF(AND($E$8=1,ROUND('3_Part_time'!K67,2)&lt;&gt;'3_Part_time'!K67),I$36&amp;", "&amp;I$37&amp;", Price group "&amp;$B93&amp;", "&amp;$C93&amp;" length, Level "&amp;$D93&amp;"; ","")</f>
        <v/>
      </c>
      <c r="J93" s="211" t="str">
        <f>IF(AND($E$8=1,ROUND('3_Part_time'!L67,2)&lt;&gt;'3_Part_time'!L67),J$36&amp;", "&amp;J$37&amp;", Price group "&amp;$B93&amp;", "&amp;$C93&amp;" length, Level "&amp;$D93&amp;"; ","")</f>
        <v/>
      </c>
      <c r="L93" s="118"/>
      <c r="M93" s="30" t="s">
        <v>205</v>
      </c>
      <c r="N93" s="438">
        <f>IF(E24&lt;&gt;"",1,0)</f>
        <v>0</v>
      </c>
      <c r="O93" s="439">
        <f t="shared" si="35"/>
        <v>0</v>
      </c>
      <c r="P93" s="440">
        <f t="shared" si="35"/>
        <v>0</v>
      </c>
      <c r="Q93" s="397">
        <f t="shared" si="32"/>
        <v>0</v>
      </c>
      <c r="R93" s="398">
        <f t="shared" si="33"/>
        <v>0</v>
      </c>
      <c r="S93" s="399">
        <f t="shared" si="34"/>
        <v>0</v>
      </c>
      <c r="T93" s="397">
        <f>IF(H24&lt;&gt;"",1,0)</f>
        <v>0</v>
      </c>
      <c r="U93" s="398">
        <f t="shared" si="36"/>
        <v>0</v>
      </c>
      <c r="V93" s="399">
        <f t="shared" si="36"/>
        <v>0</v>
      </c>
      <c r="W93" s="397">
        <f t="shared" si="25"/>
        <v>0</v>
      </c>
      <c r="X93" s="398">
        <f t="shared" si="24"/>
        <v>0</v>
      </c>
      <c r="Y93" s="399">
        <f t="shared" si="24"/>
        <v>0</v>
      </c>
    </row>
    <row r="94" spans="2:25" ht="13.15" x14ac:dyDescent="0.35">
      <c r="B94" s="20" t="s">
        <v>264</v>
      </c>
      <c r="C94" s="53" t="s">
        <v>218</v>
      </c>
      <c r="D94" s="13" t="s">
        <v>210</v>
      </c>
      <c r="E94" s="1609" t="str">
        <f>IF(AND($E$8=1,ROUND('3_Part_time'!G68,2)&lt;&gt;'3_Part_time'!G68),E$36&amp;", "&amp;E$37&amp;", Price group "&amp;$B94&amp;", "&amp;$C94&amp;" length, Level "&amp;$D94&amp;"; ","")</f>
        <v/>
      </c>
      <c r="F94" s="7" t="str">
        <f>IF(AND($E$8=1,ROUND('3_Part_time'!H68,2)&lt;&gt;'3_Part_time'!H68),F$36&amp;", "&amp;F$37&amp;", Price group "&amp;$B94&amp;", "&amp;$C94&amp;" length, Level "&amp;$D94&amp;"; ","")</f>
        <v/>
      </c>
      <c r="G94" s="211" t="str">
        <f>IF(AND($E$8=1,ROUND('3_Part_time'!I68,2)&lt;&gt;'3_Part_time'!I68),G$36&amp;", "&amp;G$37&amp;", Price group "&amp;$B94&amp;", "&amp;$C94&amp;" length, Level "&amp;$D94&amp;"; ","")</f>
        <v/>
      </c>
      <c r="H94" s="1609" t="str">
        <f>IF(AND($E$8=1,ROUND('3_Part_time'!J68,2)&lt;&gt;'3_Part_time'!J68),H$36&amp;", "&amp;H$37&amp;", Price group "&amp;$B94&amp;", "&amp;$C94&amp;" length, Level "&amp;$D94&amp;"; ","")</f>
        <v/>
      </c>
      <c r="I94" s="7" t="str">
        <f>IF(AND($E$8=1,ROUND('3_Part_time'!K68,2)&lt;&gt;'3_Part_time'!K68),I$36&amp;", "&amp;I$37&amp;", Price group "&amp;$B94&amp;", "&amp;$C94&amp;" length, Level "&amp;$D94&amp;"; ","")</f>
        <v/>
      </c>
      <c r="J94" s="211" t="str">
        <f>IF(AND($E$8=1,ROUND('3_Part_time'!L68,2)&lt;&gt;'3_Part_time'!L68),J$36&amp;", "&amp;J$37&amp;", Price group "&amp;$B94&amp;", "&amp;$C94&amp;" length, Level "&amp;$D94&amp;"; ","")</f>
        <v/>
      </c>
      <c r="L94" s="118"/>
      <c r="M94" s="30" t="s">
        <v>208</v>
      </c>
      <c r="N94" s="427">
        <f>IF(E25&lt;&gt;"",1,0)</f>
        <v>0</v>
      </c>
      <c r="O94" s="428">
        <f t="shared" si="35"/>
        <v>0</v>
      </c>
      <c r="P94" s="429">
        <f t="shared" si="35"/>
        <v>0</v>
      </c>
      <c r="Q94" s="404">
        <f t="shared" si="32"/>
        <v>0</v>
      </c>
      <c r="R94" s="405">
        <f t="shared" si="33"/>
        <v>0</v>
      </c>
      <c r="S94" s="406">
        <f t="shared" si="34"/>
        <v>0</v>
      </c>
      <c r="T94" s="404">
        <f>IF(H25&lt;&gt;"",1,0)</f>
        <v>0</v>
      </c>
      <c r="U94" s="405">
        <f t="shared" si="36"/>
        <v>0</v>
      </c>
      <c r="V94" s="406">
        <f t="shared" si="36"/>
        <v>0</v>
      </c>
      <c r="W94" s="404">
        <f t="shared" si="25"/>
        <v>0</v>
      </c>
      <c r="X94" s="405">
        <f t="shared" si="24"/>
        <v>0</v>
      </c>
      <c r="Y94" s="406">
        <f t="shared" si="24"/>
        <v>0</v>
      </c>
    </row>
    <row r="95" spans="2:25" ht="13.15" x14ac:dyDescent="0.35">
      <c r="B95" s="20" t="s">
        <v>264</v>
      </c>
      <c r="C95" s="53" t="s">
        <v>218</v>
      </c>
      <c r="D95" s="13" t="s">
        <v>212</v>
      </c>
      <c r="E95" s="1609" t="str">
        <f>IF(AND($E$8=1,ROUND('3_Part_time'!G69,2)&lt;&gt;'3_Part_time'!G69),E$36&amp;", "&amp;E$37&amp;", Price group "&amp;$B95&amp;", "&amp;$C95&amp;" length, Level "&amp;$D95&amp;"; ","")</f>
        <v/>
      </c>
      <c r="F95" s="7" t="str">
        <f>IF(AND($E$8=1,ROUND('3_Part_time'!H69,2)&lt;&gt;'3_Part_time'!H69),F$36&amp;", "&amp;F$37&amp;", Price group "&amp;$B95&amp;", "&amp;$C95&amp;" length, Level "&amp;$D95&amp;"; ","")</f>
        <v/>
      </c>
      <c r="G95" s="211" t="str">
        <f>IF(AND($E$8=1,ROUND('3_Part_time'!I69,2)&lt;&gt;'3_Part_time'!I69),G$36&amp;", "&amp;G$37&amp;", Price group "&amp;$B95&amp;", "&amp;$C95&amp;" length, Level "&amp;$D95&amp;"; ","")</f>
        <v/>
      </c>
      <c r="H95" s="1609" t="str">
        <f>IF(AND($E$8=1,ROUND('3_Part_time'!J69,2)&lt;&gt;'3_Part_time'!J69),H$36&amp;", "&amp;H$37&amp;", Price group "&amp;$B95&amp;", "&amp;$C95&amp;" length, Level "&amp;$D95&amp;"; ","")</f>
        <v/>
      </c>
      <c r="I95" s="7" t="str">
        <f>IF(AND($E$8=1,ROUND('3_Part_time'!K69,2)&lt;&gt;'3_Part_time'!K69),I$36&amp;", "&amp;I$37&amp;", Price group "&amp;$B95&amp;", "&amp;$C95&amp;" length, Level "&amp;$D95&amp;"; ","")</f>
        <v/>
      </c>
      <c r="J95" s="211" t="str">
        <f>IF(AND($E$8=1,ROUND('3_Part_time'!L69,2)&lt;&gt;'3_Part_time'!L69),J$36&amp;", "&amp;J$37&amp;", Price group "&amp;$B95&amp;", "&amp;$C95&amp;" length, Level "&amp;$D95&amp;"; ","")</f>
        <v/>
      </c>
      <c r="L95" s="118"/>
      <c r="M95" s="30" t="s">
        <v>210</v>
      </c>
      <c r="N95" s="430">
        <f>IF(E26&lt;&gt;"",1,0)</f>
        <v>0</v>
      </c>
      <c r="O95" s="431">
        <f t="shared" si="35"/>
        <v>0</v>
      </c>
      <c r="P95" s="432">
        <f t="shared" si="35"/>
        <v>0</v>
      </c>
      <c r="Q95" s="391">
        <f t="shared" si="32"/>
        <v>0</v>
      </c>
      <c r="R95" s="392">
        <f t="shared" si="33"/>
        <v>0</v>
      </c>
      <c r="S95" s="393">
        <f t="shared" si="34"/>
        <v>0</v>
      </c>
      <c r="T95" s="391">
        <f>IF(H26&lt;&gt;"",1,0)</f>
        <v>0</v>
      </c>
      <c r="U95" s="392">
        <f t="shared" si="36"/>
        <v>0</v>
      </c>
      <c r="V95" s="393">
        <f t="shared" si="36"/>
        <v>0</v>
      </c>
      <c r="W95" s="391">
        <f t="shared" si="25"/>
        <v>0</v>
      </c>
      <c r="X95" s="392">
        <f t="shared" si="24"/>
        <v>0</v>
      </c>
      <c r="Y95" s="393">
        <f t="shared" si="24"/>
        <v>0</v>
      </c>
    </row>
    <row r="96" spans="2:25" ht="13.15" x14ac:dyDescent="0.35">
      <c r="B96" s="20" t="s">
        <v>264</v>
      </c>
      <c r="C96" s="53" t="s">
        <v>218</v>
      </c>
      <c r="D96" s="13" t="s">
        <v>214</v>
      </c>
      <c r="E96" s="1609" t="str">
        <f>IF(AND($E$8=1,ROUND('3_Part_time'!G70,2)&lt;&gt;'3_Part_time'!G70),E$36&amp;", "&amp;E$37&amp;", Price group "&amp;$B96&amp;", "&amp;$C96&amp;" length, Level "&amp;$D96&amp;"; ","")</f>
        <v/>
      </c>
      <c r="F96" s="7" t="str">
        <f>IF(AND($E$8=1,ROUND('3_Part_time'!H70,2)&lt;&gt;'3_Part_time'!H70),F$36&amp;", "&amp;F$37&amp;", Price group "&amp;$B96&amp;", "&amp;$C96&amp;" length, Level "&amp;$D96&amp;"; ","")</f>
        <v/>
      </c>
      <c r="G96" s="211" t="str">
        <f>IF(AND($E$8=1,ROUND('3_Part_time'!I70,2)&lt;&gt;'3_Part_time'!I70),G$36&amp;", "&amp;G$37&amp;", Price group "&amp;$B96&amp;", "&amp;$C96&amp;" length, Level "&amp;$D96&amp;"; ","")</f>
        <v/>
      </c>
      <c r="H96" s="1609" t="str">
        <f>IF(AND($E$8=1,ROUND('3_Part_time'!J70,2)&lt;&gt;'3_Part_time'!J70),H$36&amp;", "&amp;H$37&amp;", Price group "&amp;$B96&amp;", "&amp;$C96&amp;" length, Level "&amp;$D96&amp;"; ","")</f>
        <v/>
      </c>
      <c r="I96" s="7" t="str">
        <f>IF(AND($E$8=1,ROUND('3_Part_time'!K70,2)&lt;&gt;'3_Part_time'!K70),I$36&amp;", "&amp;I$37&amp;", Price group "&amp;$B96&amp;", "&amp;$C96&amp;" length, Level "&amp;$D96&amp;"; ","")</f>
        <v/>
      </c>
      <c r="J96" s="211" t="str">
        <f>IF(AND($E$8=1,ROUND('3_Part_time'!L70,2)&lt;&gt;'3_Part_time'!L70),J$36&amp;", "&amp;J$37&amp;", Price group "&amp;$B96&amp;", "&amp;$C96&amp;" length, Level "&amp;$D96&amp;"; ","")</f>
        <v/>
      </c>
      <c r="L96" s="118"/>
      <c r="M96" s="30" t="s">
        <v>212</v>
      </c>
      <c r="N96" s="433">
        <f>IF(E27&lt;&gt;"",1,0)</f>
        <v>0</v>
      </c>
      <c r="O96" s="434">
        <f t="shared" si="35"/>
        <v>0</v>
      </c>
      <c r="P96" s="435">
        <f t="shared" si="35"/>
        <v>0</v>
      </c>
      <c r="Q96" s="410">
        <f t="shared" si="32"/>
        <v>0</v>
      </c>
      <c r="R96" s="411">
        <f t="shared" si="33"/>
        <v>0</v>
      </c>
      <c r="S96" s="412">
        <f t="shared" si="34"/>
        <v>0</v>
      </c>
      <c r="T96" s="410">
        <f>IF(H27&lt;&gt;"",1,0)</f>
        <v>0</v>
      </c>
      <c r="U96" s="411">
        <f t="shared" si="36"/>
        <v>0</v>
      </c>
      <c r="V96" s="412">
        <f t="shared" si="36"/>
        <v>0</v>
      </c>
      <c r="W96" s="391">
        <f t="shared" si="25"/>
        <v>0</v>
      </c>
      <c r="X96" s="392">
        <f t="shared" si="24"/>
        <v>0</v>
      </c>
      <c r="Y96" s="393">
        <f t="shared" si="24"/>
        <v>0</v>
      </c>
    </row>
    <row r="97" spans="2:40" ht="13.15" x14ac:dyDescent="0.35">
      <c r="B97" s="20" t="s">
        <v>264</v>
      </c>
      <c r="C97" s="53" t="s">
        <v>218</v>
      </c>
      <c r="D97" s="13" t="s">
        <v>216</v>
      </c>
      <c r="E97" s="1432"/>
      <c r="F97" s="1409" t="str">
        <f>IF(AND($E$8=1,ROUND('3_Part_time'!H71,2)&lt;&gt;'3_Part_time'!H71),F$36&amp;", "&amp;F$37&amp;", Price group "&amp;$B97&amp;", "&amp;$C97&amp;" length, Level "&amp;$D97&amp;"; ","")</f>
        <v/>
      </c>
      <c r="G97" s="1433" t="str">
        <f>IF(AND($E$8=1,ROUND('3_Part_time'!I71,2)&lt;&gt;'3_Part_time'!I71),G$36&amp;", "&amp;G$37&amp;", Price group "&amp;$B97&amp;", "&amp;$C97&amp;" length, Level "&amp;$D97&amp;"; ","")</f>
        <v/>
      </c>
      <c r="H97" s="1432"/>
      <c r="I97" s="1409" t="str">
        <f>IF(AND($E$8=1,ROUND('3_Part_time'!K71,2)&lt;&gt;'3_Part_time'!K71),I$36&amp;", "&amp;I$37&amp;", Price group "&amp;$B97&amp;", "&amp;$C97&amp;" length, Level "&amp;$D97&amp;"; ","")</f>
        <v/>
      </c>
      <c r="J97" s="1433" t="str">
        <f>IF(AND($E$8=1,ROUND('3_Part_time'!L71,2)&lt;&gt;'3_Part_time'!L71),J$36&amp;", "&amp;J$37&amp;", Price group "&amp;$B97&amp;", "&amp;$C97&amp;" length, Level "&amp;$D97&amp;"; ","")</f>
        <v/>
      </c>
      <c r="L97" s="118"/>
      <c r="M97" s="30" t="s">
        <v>214</v>
      </c>
      <c r="N97" s="433">
        <f>IF(E28&lt;&gt;"",1,0)</f>
        <v>0</v>
      </c>
      <c r="O97" s="434">
        <f t="shared" si="35"/>
        <v>0</v>
      </c>
      <c r="P97" s="435">
        <f t="shared" si="35"/>
        <v>0</v>
      </c>
      <c r="Q97" s="410">
        <f t="shared" si="32"/>
        <v>0</v>
      </c>
      <c r="R97" s="411">
        <f t="shared" si="33"/>
        <v>0</v>
      </c>
      <c r="S97" s="412">
        <f t="shared" si="34"/>
        <v>0</v>
      </c>
      <c r="T97" s="410">
        <f>IF(H28&lt;&gt;"",1,0)</f>
        <v>0</v>
      </c>
      <c r="U97" s="411">
        <f t="shared" si="36"/>
        <v>0</v>
      </c>
      <c r="V97" s="412">
        <f t="shared" si="36"/>
        <v>0</v>
      </c>
      <c r="W97" s="410">
        <f t="shared" si="25"/>
        <v>0</v>
      </c>
      <c r="X97" s="411">
        <f t="shared" si="24"/>
        <v>0</v>
      </c>
      <c r="Y97" s="412">
        <f t="shared" si="24"/>
        <v>0</v>
      </c>
    </row>
    <row r="98" spans="2:40" ht="13.15" x14ac:dyDescent="0.35">
      <c r="B98" s="20" t="s">
        <v>277</v>
      </c>
      <c r="C98" s="53" t="s">
        <v>204</v>
      </c>
      <c r="D98" s="13" t="s">
        <v>205</v>
      </c>
      <c r="E98" s="1813" t="str">
        <f>IF(AND($E$8=1,ROUND('3_Part_time'!G72,2)&lt;&gt;'3_Part_time'!G72),E$36&amp;", "&amp;E$37&amp;", Price group "&amp;$B98&amp;", "&amp;$C98&amp;" length, Level "&amp;$D98&amp;"; ","")</f>
        <v/>
      </c>
      <c r="F98" s="1412" t="str">
        <f>IF(AND($E$8=1,ROUND('3_Part_time'!H72,2)&lt;&gt;'3_Part_time'!H72),F$36&amp;", "&amp;F$37&amp;", Price group "&amp;$B98&amp;", "&amp;$C98&amp;" length, Level "&amp;$D98&amp;"; ","")</f>
        <v/>
      </c>
      <c r="G98" s="1789" t="str">
        <f>IF(AND($E$8=1,ROUND('3_Part_time'!I72,2)&lt;&gt;'3_Part_time'!I72),G$36&amp;", "&amp;G$37&amp;", Price group "&amp;$B98&amp;", "&amp;$C98&amp;" length, Level "&amp;$D98&amp;"; ","")</f>
        <v/>
      </c>
      <c r="H98" s="1813" t="str">
        <f>IF(AND($E$8=1,ROUND('3_Part_time'!J72,2)&lt;&gt;'3_Part_time'!J72),H$36&amp;", "&amp;H$37&amp;", Price group "&amp;$B98&amp;", "&amp;$C98&amp;" length, Level "&amp;$D98&amp;"; ","")</f>
        <v/>
      </c>
      <c r="I98" s="1412" t="str">
        <f>IF(AND($E$8=1,ROUND('3_Part_time'!K72,2)&lt;&gt;'3_Part_time'!K72),I$36&amp;", "&amp;I$37&amp;", Price group "&amp;$B98&amp;", "&amp;$C98&amp;" length, Level "&amp;$D98&amp;"; ","")</f>
        <v/>
      </c>
      <c r="J98" s="1789" t="str">
        <f>IF(AND($E$8=1,ROUND('3_Part_time'!L72,2)&lt;&gt;'3_Part_time'!L72),J$36&amp;", "&amp;J$37&amp;", Price group "&amp;$B98&amp;", "&amp;$C98&amp;" length, Level "&amp;$D98&amp;"; ","")</f>
        <v/>
      </c>
      <c r="L98" s="118"/>
      <c r="M98" s="30" t="s">
        <v>216</v>
      </c>
      <c r="N98" s="1300"/>
      <c r="O98" s="1301">
        <f t="shared" si="35"/>
        <v>0</v>
      </c>
      <c r="P98" s="1302">
        <f t="shared" si="35"/>
        <v>0</v>
      </c>
      <c r="Q98" s="415"/>
      <c r="R98" s="416">
        <f t="shared" si="33"/>
        <v>0</v>
      </c>
      <c r="S98" s="1303">
        <f t="shared" si="34"/>
        <v>0</v>
      </c>
      <c r="T98" s="415"/>
      <c r="U98" s="416">
        <f t="shared" si="36"/>
        <v>0</v>
      </c>
      <c r="V98" s="1303">
        <f t="shared" si="36"/>
        <v>0</v>
      </c>
      <c r="W98" s="1613"/>
      <c r="X98" s="413">
        <f t="shared" si="24"/>
        <v>0</v>
      </c>
      <c r="Y98" s="414">
        <f t="shared" si="24"/>
        <v>0</v>
      </c>
    </row>
    <row r="99" spans="2:40" ht="13.15" x14ac:dyDescent="0.35">
      <c r="B99" s="20" t="s">
        <v>277</v>
      </c>
      <c r="C99" s="53" t="s">
        <v>204</v>
      </c>
      <c r="D99" s="13" t="s">
        <v>208</v>
      </c>
      <c r="E99" s="1609" t="str">
        <f>IF(AND($E$8=1,ROUND('3_Part_time'!G73,2)&lt;&gt;'3_Part_time'!G73),E$36&amp;", "&amp;E$37&amp;", Price group "&amp;$B99&amp;", "&amp;$C99&amp;" length, Level "&amp;$D99&amp;"; ","")</f>
        <v/>
      </c>
      <c r="F99" s="7" t="str">
        <f>IF(AND($E$8=1,ROUND('3_Part_time'!H73,2)&lt;&gt;'3_Part_time'!H73),F$36&amp;", "&amp;F$37&amp;", Price group "&amp;$B99&amp;", "&amp;$C99&amp;" length, Level "&amp;$D99&amp;"; ","")</f>
        <v/>
      </c>
      <c r="G99" s="211" t="str">
        <f>IF(AND($E$8=1,ROUND('3_Part_time'!I73,2)&lt;&gt;'3_Part_time'!I73),G$36&amp;", "&amp;G$37&amp;", Price group "&amp;$B99&amp;", "&amp;$C99&amp;" length, Level "&amp;$D99&amp;"; ","")</f>
        <v/>
      </c>
      <c r="H99" s="1609" t="str">
        <f>IF(AND($E$8=1,ROUND('3_Part_time'!J73,2)&lt;&gt;'3_Part_time'!J73),H$36&amp;", "&amp;H$37&amp;", Price group "&amp;$B99&amp;", "&amp;$C99&amp;" length, Level "&amp;$D99&amp;"; ","")</f>
        <v/>
      </c>
      <c r="I99" s="7" t="str">
        <f>IF(AND($E$8=1,ROUND('3_Part_time'!K73,2)&lt;&gt;'3_Part_time'!K73),I$36&amp;", "&amp;I$37&amp;", Price group "&amp;$B99&amp;", "&amp;$C99&amp;" length, Level "&amp;$D99&amp;"; ","")</f>
        <v/>
      </c>
      <c r="J99" s="211" t="str">
        <f>IF(AND($E$8=1,ROUND('3_Part_time'!L73,2)&lt;&gt;'3_Part_time'!L73),J$36&amp;", "&amp;J$37&amp;", Price group "&amp;$B99&amp;", "&amp;$C99&amp;" length, Level "&amp;$D99&amp;"; ","")</f>
        <v/>
      </c>
      <c r="L99" s="118"/>
      <c r="U99" s="7"/>
      <c r="V99" s="7"/>
      <c r="W99" s="1298"/>
      <c r="X99" s="1298"/>
      <c r="Y99" s="1298"/>
      <c r="Z99" s="1299"/>
      <c r="AA99" s="1299"/>
      <c r="AB99" s="1299"/>
      <c r="AC99" s="1299"/>
      <c r="AD99" s="1299"/>
      <c r="AE99" s="1299"/>
      <c r="AF99" s="1299"/>
      <c r="AG99" s="1299"/>
      <c r="AH99" s="1299"/>
      <c r="AI99" s="1299"/>
      <c r="AJ99" s="1299"/>
      <c r="AK99" s="1299"/>
      <c r="AL99" s="1299"/>
      <c r="AM99" s="1299"/>
      <c r="AN99" s="1299"/>
    </row>
    <row r="100" spans="2:40" x14ac:dyDescent="0.35">
      <c r="B100" s="20" t="s">
        <v>277</v>
      </c>
      <c r="C100" s="53" t="s">
        <v>204</v>
      </c>
      <c r="D100" s="13" t="s">
        <v>210</v>
      </c>
      <c r="E100" s="1609" t="str">
        <f>IF(AND($E$8=1,ROUND('3_Part_time'!G74,2)&lt;&gt;'3_Part_time'!G74),E$36&amp;", "&amp;E$37&amp;", Price group "&amp;$B100&amp;", "&amp;$C100&amp;" length, Level "&amp;$D100&amp;"; ","")</f>
        <v/>
      </c>
      <c r="F100" s="7" t="str">
        <f>IF(AND($E$8=1,ROUND('3_Part_time'!H74,2)&lt;&gt;'3_Part_time'!H74),F$36&amp;", "&amp;F$37&amp;", Price group "&amp;$B100&amp;", "&amp;$C100&amp;" length, Level "&amp;$D100&amp;"; ","")</f>
        <v/>
      </c>
      <c r="G100" s="211" t="str">
        <f>IF(AND($E$8=1,ROUND('3_Part_time'!I74,2)&lt;&gt;'3_Part_time'!I74),G$36&amp;", "&amp;G$37&amp;", Price group "&amp;$B100&amp;", "&amp;$C100&amp;" length, Level "&amp;$D100&amp;"; ","")</f>
        <v/>
      </c>
      <c r="H100" s="1609" t="str">
        <f>IF(AND($E$8=1,ROUND('3_Part_time'!J74,2)&lt;&gt;'3_Part_time'!J74),H$36&amp;", "&amp;H$37&amp;", Price group "&amp;$B100&amp;", "&amp;$C100&amp;" length, Level "&amp;$D100&amp;"; ","")</f>
        <v/>
      </c>
      <c r="I100" s="7" t="str">
        <f>IF(AND($E$8=1,ROUND('3_Part_time'!K74,2)&lt;&gt;'3_Part_time'!K74),I$36&amp;", "&amp;I$37&amp;", Price group "&amp;$B100&amp;", "&amp;$C100&amp;" length, Level "&amp;$D100&amp;"; ","")</f>
        <v/>
      </c>
      <c r="J100" s="211" t="str">
        <f>IF(AND($E$8=1,ROUND('3_Part_time'!L74,2)&lt;&gt;'3_Part_time'!L74),J$36&amp;", "&amp;J$37&amp;", Price group "&amp;$B100&amp;", "&amp;$C100&amp;" length, Level "&amp;$D100&amp;"; ","")</f>
        <v/>
      </c>
      <c r="L100" s="118"/>
    </row>
    <row r="101" spans="2:40" x14ac:dyDescent="0.35">
      <c r="B101" s="20" t="s">
        <v>277</v>
      </c>
      <c r="C101" s="53" t="s">
        <v>204</v>
      </c>
      <c r="D101" s="13" t="s">
        <v>212</v>
      </c>
      <c r="E101" s="1609" t="str">
        <f>IF(AND($E$8=1,ROUND('3_Part_time'!G75,2)&lt;&gt;'3_Part_time'!G75),E$36&amp;", "&amp;E$37&amp;", Price group "&amp;$B101&amp;", "&amp;$C101&amp;" length, Level "&amp;$D101&amp;"; ","")</f>
        <v/>
      </c>
      <c r="F101" s="7" t="str">
        <f>IF(AND($E$8=1,ROUND('3_Part_time'!H75,2)&lt;&gt;'3_Part_time'!H75),F$36&amp;", "&amp;F$37&amp;", Price group "&amp;$B101&amp;", "&amp;$C101&amp;" length, Level "&amp;$D101&amp;"; ","")</f>
        <v/>
      </c>
      <c r="G101" s="211" t="str">
        <f>IF(AND($E$8=1,ROUND('3_Part_time'!I75,2)&lt;&gt;'3_Part_time'!I75),G$36&amp;", "&amp;G$37&amp;", Price group "&amp;$B101&amp;", "&amp;$C101&amp;" length, Level "&amp;$D101&amp;"; ","")</f>
        <v/>
      </c>
      <c r="H101" s="1609" t="str">
        <f>IF(AND($E$8=1,ROUND('3_Part_time'!J75,2)&lt;&gt;'3_Part_time'!J75),H$36&amp;", "&amp;H$37&amp;", Price group "&amp;$B101&amp;", "&amp;$C101&amp;" length, Level "&amp;$D101&amp;"; ","")</f>
        <v/>
      </c>
      <c r="I101" s="7" t="str">
        <f>IF(AND($E$8=1,ROUND('3_Part_time'!K75,2)&lt;&gt;'3_Part_time'!K75),I$36&amp;", "&amp;I$37&amp;", Price group "&amp;$B101&amp;", "&amp;$C101&amp;" length, Level "&amp;$D101&amp;"; ","")</f>
        <v/>
      </c>
      <c r="J101" s="211" t="str">
        <f>IF(AND($E$8=1,ROUND('3_Part_time'!L75,2)&lt;&gt;'3_Part_time'!L75),J$36&amp;", "&amp;J$37&amp;", Price group "&amp;$B101&amp;", "&amp;$C101&amp;" length, Level "&amp;$D101&amp;"; ","")</f>
        <v/>
      </c>
      <c r="L101" s="118"/>
      <c r="U101" s="7"/>
      <c r="V101" s="7"/>
      <c r="W101" s="7"/>
    </row>
    <row r="102" spans="2:40" x14ac:dyDescent="0.35">
      <c r="B102" s="20" t="s">
        <v>277</v>
      </c>
      <c r="C102" s="53" t="s">
        <v>204</v>
      </c>
      <c r="D102" s="13" t="s">
        <v>214</v>
      </c>
      <c r="E102" s="1609" t="str">
        <f>IF(AND($E$8=1,ROUND('3_Part_time'!G76,2)&lt;&gt;'3_Part_time'!G76),E$36&amp;", "&amp;E$37&amp;", Price group "&amp;$B102&amp;", "&amp;$C102&amp;" length, Level "&amp;$D102&amp;"; ","")</f>
        <v/>
      </c>
      <c r="F102" s="7" t="str">
        <f>IF(AND($E$8=1,ROUND('3_Part_time'!H76,2)&lt;&gt;'3_Part_time'!H76),F$36&amp;", "&amp;F$37&amp;", Price group "&amp;$B102&amp;", "&amp;$C102&amp;" length, Level "&amp;$D102&amp;"; ","")</f>
        <v/>
      </c>
      <c r="G102" s="211" t="str">
        <f>IF(AND($E$8=1,ROUND('3_Part_time'!I76,2)&lt;&gt;'3_Part_time'!I76),G$36&amp;", "&amp;G$37&amp;", Price group "&amp;$B102&amp;", "&amp;$C102&amp;" length, Level "&amp;$D102&amp;"; ","")</f>
        <v/>
      </c>
      <c r="H102" s="1609" t="str">
        <f>IF(AND($E$8=1,ROUND('3_Part_time'!J76,2)&lt;&gt;'3_Part_time'!J76),H$36&amp;", "&amp;H$37&amp;", Price group "&amp;$B102&amp;", "&amp;$C102&amp;" length, Level "&amp;$D102&amp;"; ","")</f>
        <v/>
      </c>
      <c r="I102" s="7" t="str">
        <f>IF(AND($E$8=1,ROUND('3_Part_time'!K76,2)&lt;&gt;'3_Part_time'!K76),I$36&amp;", "&amp;I$37&amp;", Price group "&amp;$B102&amp;", "&amp;$C102&amp;" length, Level "&amp;$D102&amp;"; ","")</f>
        <v/>
      </c>
      <c r="J102" s="211" t="str">
        <f>IF(AND($E$8=1,ROUND('3_Part_time'!L76,2)&lt;&gt;'3_Part_time'!L76),J$36&amp;", "&amp;J$37&amp;", Price group "&amp;$B102&amp;", "&amp;$C102&amp;" length, Level "&amp;$D102&amp;"; ","")</f>
        <v/>
      </c>
      <c r="L102" s="118"/>
      <c r="U102" s="7"/>
      <c r="V102" s="7"/>
      <c r="W102" s="7"/>
    </row>
    <row r="103" spans="2:40" x14ac:dyDescent="0.35">
      <c r="B103" s="20" t="s">
        <v>277</v>
      </c>
      <c r="C103" s="53" t="s">
        <v>204</v>
      </c>
      <c r="D103" s="13" t="s">
        <v>216</v>
      </c>
      <c r="E103" s="1428"/>
      <c r="F103" s="1429" t="str">
        <f>IF(AND($E$8=1,ROUND('3_Part_time'!H77,2)&lt;&gt;'3_Part_time'!H77),F$36&amp;", "&amp;F$37&amp;", Price group "&amp;$B103&amp;", "&amp;$C103&amp;" length, Level "&amp;$D103&amp;"; ","")</f>
        <v/>
      </c>
      <c r="G103" s="1430" t="str">
        <f>IF(AND($E$8=1,ROUND('3_Part_time'!I77,2)&lt;&gt;'3_Part_time'!I77),G$36&amp;", "&amp;G$37&amp;", Price group "&amp;$B103&amp;", "&amp;$C103&amp;" length, Level "&amp;$D103&amp;"; ","")</f>
        <v/>
      </c>
      <c r="H103" s="1428"/>
      <c r="I103" s="1429" t="str">
        <f>IF(AND($E$8=1,ROUND('3_Part_time'!K77,2)&lt;&gt;'3_Part_time'!K77),I$36&amp;", "&amp;I$37&amp;", Price group "&amp;$B103&amp;", "&amp;$C103&amp;" length, Level "&amp;$D103&amp;"; ","")</f>
        <v/>
      </c>
      <c r="J103" s="1430" t="str">
        <f>IF(AND($E$8=1,ROUND('3_Part_time'!L77,2)&lt;&gt;'3_Part_time'!L77),J$36&amp;", "&amp;J$37&amp;", Price group "&amp;$B103&amp;", "&amp;$C103&amp;" length, Level "&amp;$D103&amp;"; ","")</f>
        <v/>
      </c>
      <c r="L103" s="118"/>
      <c r="U103" s="7"/>
      <c r="V103" s="7"/>
      <c r="W103" s="7"/>
    </row>
    <row r="104" spans="2:40" x14ac:dyDescent="0.35">
      <c r="B104" s="20" t="s">
        <v>277</v>
      </c>
      <c r="C104" s="53" t="s">
        <v>218</v>
      </c>
      <c r="D104" s="13" t="s">
        <v>205</v>
      </c>
      <c r="E104" s="1609" t="str">
        <f>IF(AND($E$8=1,ROUND('3_Part_time'!G78,2)&lt;&gt;'3_Part_time'!G78),E$36&amp;", "&amp;E$37&amp;", Price group "&amp;$B104&amp;", "&amp;$C104&amp;" length, Level "&amp;$D104&amp;"; ","")</f>
        <v/>
      </c>
      <c r="F104" s="7" t="str">
        <f>IF(AND($E$8=1,ROUND('3_Part_time'!H78,2)&lt;&gt;'3_Part_time'!H78),F$36&amp;", "&amp;F$37&amp;", Price group "&amp;$B104&amp;", "&amp;$C104&amp;" length, Level "&amp;$D104&amp;"; ","")</f>
        <v/>
      </c>
      <c r="G104" s="211" t="str">
        <f>IF(AND($E$8=1,ROUND('3_Part_time'!I78,2)&lt;&gt;'3_Part_time'!I78),G$36&amp;", "&amp;G$37&amp;", Price group "&amp;$B104&amp;", "&amp;$C104&amp;" length, Level "&amp;$D104&amp;"; ","")</f>
        <v/>
      </c>
      <c r="H104" s="1609" t="str">
        <f>IF(AND($E$8=1,ROUND('3_Part_time'!J78,2)&lt;&gt;'3_Part_time'!J78),H$36&amp;", "&amp;H$37&amp;", Price group "&amp;$B104&amp;", "&amp;$C104&amp;" length, Level "&amp;$D104&amp;"; ","")</f>
        <v/>
      </c>
      <c r="I104" s="7" t="str">
        <f>IF(AND($E$8=1,ROUND('3_Part_time'!K78,2)&lt;&gt;'3_Part_time'!K78),I$36&amp;", "&amp;I$37&amp;", Price group "&amp;$B104&amp;", "&amp;$C104&amp;" length, Level "&amp;$D104&amp;"; ","")</f>
        <v/>
      </c>
      <c r="J104" s="211" t="str">
        <f>IF(AND($E$8=1,ROUND('3_Part_time'!L78,2)&lt;&gt;'3_Part_time'!L78),J$36&amp;", "&amp;J$37&amp;", Price group "&amp;$B104&amp;", "&amp;$C104&amp;" length, Level "&amp;$D104&amp;"; ","")</f>
        <v/>
      </c>
      <c r="L104" s="118"/>
      <c r="U104" s="7"/>
      <c r="V104" s="7"/>
      <c r="W104" s="7"/>
    </row>
    <row r="105" spans="2:40" x14ac:dyDescent="0.35">
      <c r="B105" s="20" t="s">
        <v>277</v>
      </c>
      <c r="C105" s="53" t="s">
        <v>218</v>
      </c>
      <c r="D105" s="13" t="s">
        <v>208</v>
      </c>
      <c r="E105" s="1609" t="str">
        <f>IF(AND($E$8=1,ROUND('3_Part_time'!G79,2)&lt;&gt;'3_Part_time'!G79),E$36&amp;", "&amp;E$37&amp;", Price group "&amp;$B105&amp;", "&amp;$C105&amp;" length, Level "&amp;$D105&amp;"; ","")</f>
        <v/>
      </c>
      <c r="F105" s="7" t="str">
        <f>IF(AND($E$8=1,ROUND('3_Part_time'!H79,2)&lt;&gt;'3_Part_time'!H79),F$36&amp;", "&amp;F$37&amp;", Price group "&amp;$B105&amp;", "&amp;$C105&amp;" length, Level "&amp;$D105&amp;"; ","")</f>
        <v/>
      </c>
      <c r="G105" s="211" t="str">
        <f>IF(AND($E$8=1,ROUND('3_Part_time'!I79,2)&lt;&gt;'3_Part_time'!I79),G$36&amp;", "&amp;G$37&amp;", Price group "&amp;$B105&amp;", "&amp;$C105&amp;" length, Level "&amp;$D105&amp;"; ","")</f>
        <v/>
      </c>
      <c r="H105" s="1609" t="str">
        <f>IF(AND($E$8=1,ROUND('3_Part_time'!J79,2)&lt;&gt;'3_Part_time'!J79),H$36&amp;", "&amp;H$37&amp;", Price group "&amp;$B105&amp;", "&amp;$C105&amp;" length, Level "&amp;$D105&amp;"; ","")</f>
        <v/>
      </c>
      <c r="I105" s="7" t="str">
        <f>IF(AND($E$8=1,ROUND('3_Part_time'!K79,2)&lt;&gt;'3_Part_time'!K79),I$36&amp;", "&amp;I$37&amp;", Price group "&amp;$B105&amp;", "&amp;$C105&amp;" length, Level "&amp;$D105&amp;"; ","")</f>
        <v/>
      </c>
      <c r="J105" s="211" t="str">
        <f>IF(AND($E$8=1,ROUND('3_Part_time'!L79,2)&lt;&gt;'3_Part_time'!L79),J$36&amp;", "&amp;J$37&amp;", Price group "&amp;$B105&amp;", "&amp;$C105&amp;" length, Level "&amp;$D105&amp;"; ","")</f>
        <v/>
      </c>
      <c r="L105" s="118"/>
      <c r="U105" s="7"/>
      <c r="V105" s="7"/>
      <c r="W105" s="7"/>
    </row>
    <row r="106" spans="2:40" x14ac:dyDescent="0.35">
      <c r="B106" s="20" t="s">
        <v>277</v>
      </c>
      <c r="C106" s="53" t="s">
        <v>218</v>
      </c>
      <c r="D106" s="13" t="s">
        <v>210</v>
      </c>
      <c r="E106" s="1609" t="str">
        <f>IF(AND($E$8=1,ROUND('3_Part_time'!G80,2)&lt;&gt;'3_Part_time'!G80),E$36&amp;", "&amp;E$37&amp;", Price group "&amp;$B106&amp;", "&amp;$C106&amp;" length, Level "&amp;$D106&amp;"; ","")</f>
        <v/>
      </c>
      <c r="F106" s="7" t="str">
        <f>IF(AND($E$8=1,ROUND('3_Part_time'!H80,2)&lt;&gt;'3_Part_time'!H80),F$36&amp;", "&amp;F$37&amp;", Price group "&amp;$B106&amp;", "&amp;$C106&amp;" length, Level "&amp;$D106&amp;"; ","")</f>
        <v/>
      </c>
      <c r="G106" s="211" t="str">
        <f>IF(AND($E$8=1,ROUND('3_Part_time'!I80,2)&lt;&gt;'3_Part_time'!I80),G$36&amp;", "&amp;G$37&amp;", Price group "&amp;$B106&amp;", "&amp;$C106&amp;" length, Level "&amp;$D106&amp;"; ","")</f>
        <v/>
      </c>
      <c r="H106" s="1609" t="str">
        <f>IF(AND($E$8=1,ROUND('3_Part_time'!J80,2)&lt;&gt;'3_Part_time'!J80),H$36&amp;", "&amp;H$37&amp;", Price group "&amp;$B106&amp;", "&amp;$C106&amp;" length, Level "&amp;$D106&amp;"; ","")</f>
        <v/>
      </c>
      <c r="I106" s="7" t="str">
        <f>IF(AND($E$8=1,ROUND('3_Part_time'!K80,2)&lt;&gt;'3_Part_time'!K80),I$36&amp;", "&amp;I$37&amp;", Price group "&amp;$B106&amp;", "&amp;$C106&amp;" length, Level "&amp;$D106&amp;"; ","")</f>
        <v/>
      </c>
      <c r="J106" s="211" t="str">
        <f>IF(AND($E$8=1,ROUND('3_Part_time'!L80,2)&lt;&gt;'3_Part_time'!L80),J$36&amp;", "&amp;J$37&amp;", Price group "&amp;$B106&amp;", "&amp;$C106&amp;" length, Level "&amp;$D106&amp;"; ","")</f>
        <v/>
      </c>
      <c r="L106" s="118"/>
      <c r="U106" s="7"/>
      <c r="V106" s="7"/>
      <c r="W106" s="7"/>
    </row>
    <row r="107" spans="2:40" x14ac:dyDescent="0.35">
      <c r="B107" s="20" t="s">
        <v>277</v>
      </c>
      <c r="C107" s="53" t="s">
        <v>218</v>
      </c>
      <c r="D107" s="13" t="s">
        <v>212</v>
      </c>
      <c r="E107" s="1609" t="str">
        <f>IF(AND($E$8=1,ROUND('3_Part_time'!G81,2)&lt;&gt;'3_Part_time'!G81),E$36&amp;", "&amp;E$37&amp;", Price group "&amp;$B107&amp;", "&amp;$C107&amp;" length, Level "&amp;$D107&amp;"; ","")</f>
        <v/>
      </c>
      <c r="F107" s="7" t="str">
        <f>IF(AND($E$8=1,ROUND('3_Part_time'!H81,2)&lt;&gt;'3_Part_time'!H81),F$36&amp;", "&amp;F$37&amp;", Price group "&amp;$B107&amp;", "&amp;$C107&amp;" length, Level "&amp;$D107&amp;"; ","")</f>
        <v/>
      </c>
      <c r="G107" s="211" t="str">
        <f>IF(AND($E$8=1,ROUND('3_Part_time'!I81,2)&lt;&gt;'3_Part_time'!I81),G$36&amp;", "&amp;G$37&amp;", Price group "&amp;$B107&amp;", "&amp;$C107&amp;" length, Level "&amp;$D107&amp;"; ","")</f>
        <v/>
      </c>
      <c r="H107" s="1609" t="str">
        <f>IF(AND($E$8=1,ROUND('3_Part_time'!J81,2)&lt;&gt;'3_Part_time'!J81),H$36&amp;", "&amp;H$37&amp;", Price group "&amp;$B107&amp;", "&amp;$C107&amp;" length, Level "&amp;$D107&amp;"; ","")</f>
        <v/>
      </c>
      <c r="I107" s="7" t="str">
        <f>IF(AND($E$8=1,ROUND('3_Part_time'!K81,2)&lt;&gt;'3_Part_time'!K81),I$36&amp;", "&amp;I$37&amp;", Price group "&amp;$B107&amp;", "&amp;$C107&amp;" length, Level "&amp;$D107&amp;"; ","")</f>
        <v/>
      </c>
      <c r="J107" s="211" t="str">
        <f>IF(AND($E$8=1,ROUND('3_Part_time'!L81,2)&lt;&gt;'3_Part_time'!L81),J$36&amp;", "&amp;J$37&amp;", Price group "&amp;$B107&amp;", "&amp;$C107&amp;" length, Level "&amp;$D107&amp;"; ","")</f>
        <v/>
      </c>
      <c r="L107" s="118"/>
      <c r="U107" s="7"/>
      <c r="V107" s="7"/>
      <c r="W107" s="7"/>
    </row>
    <row r="108" spans="2:40" x14ac:dyDescent="0.35">
      <c r="B108" s="20" t="s">
        <v>277</v>
      </c>
      <c r="C108" s="53" t="s">
        <v>218</v>
      </c>
      <c r="D108" s="13" t="s">
        <v>214</v>
      </c>
      <c r="E108" s="1609" t="str">
        <f>IF(AND($E$8=1,ROUND('3_Part_time'!G82,2)&lt;&gt;'3_Part_time'!G82),E$36&amp;", "&amp;E$37&amp;", Price group "&amp;$B108&amp;", "&amp;$C108&amp;" length, Level "&amp;$D108&amp;"; ","")</f>
        <v/>
      </c>
      <c r="F108" s="7" t="str">
        <f>IF(AND($E$8=1,ROUND('3_Part_time'!H82,2)&lt;&gt;'3_Part_time'!H82),F$36&amp;", "&amp;F$37&amp;", Price group "&amp;$B108&amp;", "&amp;$C108&amp;" length, Level "&amp;$D108&amp;"; ","")</f>
        <v/>
      </c>
      <c r="G108" s="211" t="str">
        <f>IF(AND($E$8=1,ROUND('3_Part_time'!I82,2)&lt;&gt;'3_Part_time'!I82),G$36&amp;", "&amp;G$37&amp;", Price group "&amp;$B108&amp;", "&amp;$C108&amp;" length, Level "&amp;$D108&amp;"; ","")</f>
        <v/>
      </c>
      <c r="H108" s="1609" t="str">
        <f>IF(AND($E$8=1,ROUND('3_Part_time'!J82,2)&lt;&gt;'3_Part_time'!J82),H$36&amp;", "&amp;H$37&amp;", Price group "&amp;$B108&amp;", "&amp;$C108&amp;" length, Level "&amp;$D108&amp;"; ","")</f>
        <v/>
      </c>
      <c r="I108" s="7" t="str">
        <f>IF(AND($E$8=1,ROUND('3_Part_time'!K82,2)&lt;&gt;'3_Part_time'!K82),I$36&amp;", "&amp;I$37&amp;", Price group "&amp;$B108&amp;", "&amp;$C108&amp;" length, Level "&amp;$D108&amp;"; ","")</f>
        <v/>
      </c>
      <c r="J108" s="211" t="str">
        <f>IF(AND($E$8=1,ROUND('3_Part_time'!L82,2)&lt;&gt;'3_Part_time'!L82),J$36&amp;", "&amp;J$37&amp;", Price group "&amp;$B108&amp;", "&amp;$C108&amp;" length, Level "&amp;$D108&amp;"; ","")</f>
        <v/>
      </c>
      <c r="L108" s="118"/>
      <c r="U108" s="7"/>
      <c r="V108" s="7"/>
      <c r="W108" s="7"/>
    </row>
    <row r="109" spans="2:40" x14ac:dyDescent="0.35">
      <c r="B109" s="20" t="s">
        <v>277</v>
      </c>
      <c r="C109" s="53" t="s">
        <v>218</v>
      </c>
      <c r="D109" s="13" t="s">
        <v>216</v>
      </c>
      <c r="E109" s="1432"/>
      <c r="F109" s="1409" t="str">
        <f>IF(AND($E$8=1,ROUND('3_Part_time'!H83,2)&lt;&gt;'3_Part_time'!H83),F$36&amp;", "&amp;F$37&amp;", Price group "&amp;$B109&amp;", "&amp;$C109&amp;" length, Level "&amp;$D109&amp;"; ","")</f>
        <v/>
      </c>
      <c r="G109" s="1433" t="str">
        <f>IF(AND($E$8=1,ROUND('3_Part_time'!I83,2)&lt;&gt;'3_Part_time'!I83),G$36&amp;", "&amp;G$37&amp;", Price group "&amp;$B109&amp;", "&amp;$C109&amp;" length, Level "&amp;$D109&amp;"; ","")</f>
        <v/>
      </c>
      <c r="H109" s="1432"/>
      <c r="I109" s="1409" t="str">
        <f>IF(AND($E$8=1,ROUND('3_Part_time'!K83,2)&lt;&gt;'3_Part_time'!K83),I$36&amp;", "&amp;I$37&amp;", Price group "&amp;$B109&amp;", "&amp;$C109&amp;" length, Level "&amp;$D109&amp;"; ","")</f>
        <v/>
      </c>
      <c r="J109" s="1433" t="str">
        <f>IF(AND($E$8=1,ROUND('3_Part_time'!L83,2)&lt;&gt;'3_Part_time'!L83),J$36&amp;", "&amp;J$37&amp;", Price group "&amp;$B109&amp;", "&amp;$C109&amp;" length, Level "&amp;$D109&amp;"; ","")</f>
        <v/>
      </c>
      <c r="L109" s="118"/>
      <c r="U109" s="7"/>
      <c r="V109" s="7"/>
      <c r="W109" s="7"/>
    </row>
    <row r="110" spans="2:40" x14ac:dyDescent="0.35">
      <c r="B110" s="1284"/>
      <c r="C110" s="7"/>
      <c r="D110" s="7"/>
      <c r="E110" s="7"/>
      <c r="F110" s="1412"/>
      <c r="G110" s="1412"/>
      <c r="H110" s="7"/>
      <c r="I110" s="1412"/>
      <c r="J110" s="1412"/>
      <c r="L110" s="118"/>
      <c r="U110" s="7"/>
      <c r="V110" s="7"/>
      <c r="W110" s="7"/>
    </row>
    <row r="111" spans="2:40" x14ac:dyDescent="0.35">
      <c r="B111" s="1284"/>
      <c r="C111" s="7"/>
      <c r="D111" s="7"/>
      <c r="E111" s="1790" t="str">
        <f>CONCATENATE(E38,E39,E40,E41,E42,E44,E45,E46,E47,E48,E50,E51,E52,E53,E54,E56,E57,E58,E59,E60,E62,E63,E64,E65,E66,E68,E69,E70,E71,E72,E74,E75,E76,E77,E78,E80,E81,E82,E83,E84,E86,E87,E88,E89,E90,E92,E93,E94,E95,E96,E98,E99,E100,E101,E102,E104,E105,E106,E107,E108)</f>
        <v/>
      </c>
      <c r="F111" s="1814" t="str">
        <f t="shared" ref="F111:J111" si="37">CONCATENATE(F38,F39,F40,F41,F42,F43,F44,F45,F46,F47,F48,F49,F50,F51,F52,F53,F54,F55,F56,F57,F58,F59,F60,F61,F62,F63,F64,F65,F66,F67,F68,F69,F70,F71,F72,F73,F74,F75,F76,F77,F78,F79,F80,F81,F82,F83,F84,F85,F86,F87,F88,F89,F90,F91,F92,F93,F94,F95,F96,F97,F98,F99,F100,F101,F102,F103,F104,F105,F106,F107,F108,F109)</f>
        <v/>
      </c>
      <c r="G111" s="1814" t="str">
        <f t="shared" si="37"/>
        <v/>
      </c>
      <c r="H111" s="1790" t="str">
        <f>CONCATENATE(H38,H39,H40,H41,H42,H44,H45,H46,H47,H48,H50,H51,H52,H53,H54,H56,H57,H58,H59,H60,H62,H63,H64,H65,H66,H68,H69,H70,H71,H72,H74,H75,H76,H77,H78,H80,H81,H82,H83,H84,H86,H87,H88,H89,H90,H92,H93,H94,H95,H96,H98,H99,H100,H101,H102,H104,H105,H106,H107,H108)</f>
        <v/>
      </c>
      <c r="I111" s="1814" t="str">
        <f t="shared" si="37"/>
        <v/>
      </c>
      <c r="J111" s="1814" t="str">
        <f t="shared" si="37"/>
        <v/>
      </c>
      <c r="L111" s="118"/>
      <c r="U111" s="7"/>
      <c r="V111" s="7"/>
      <c r="W111" s="7"/>
    </row>
    <row r="112" spans="2:40" x14ac:dyDescent="0.35">
      <c r="B112" s="1284"/>
      <c r="C112" s="7"/>
      <c r="D112" s="11"/>
      <c r="E112" s="11" t="s">
        <v>28281</v>
      </c>
      <c r="F112" s="11"/>
      <c r="G112" s="11"/>
      <c r="H112" s="11"/>
      <c r="I112" s="11"/>
      <c r="J112" s="7"/>
      <c r="L112" s="118"/>
      <c r="U112" s="7"/>
      <c r="V112" s="7"/>
      <c r="W112" s="7"/>
    </row>
    <row r="113" spans="2:23" x14ac:dyDescent="0.35">
      <c r="B113" s="1284"/>
      <c r="C113" s="1814" t="str">
        <f>E113&amp;H113</f>
        <v/>
      </c>
      <c r="D113" s="7"/>
      <c r="E113" s="1816" t="str">
        <f>E111&amp;F111&amp;G111</f>
        <v/>
      </c>
      <c r="F113" s="7"/>
      <c r="G113" s="7"/>
      <c r="H113" s="1817" t="str">
        <f>H111&amp;I111&amp;J111</f>
        <v/>
      </c>
      <c r="I113" s="7"/>
      <c r="J113" s="7"/>
      <c r="L113" s="118"/>
      <c r="U113" s="7"/>
      <c r="V113" s="7"/>
      <c r="W113" s="7"/>
    </row>
    <row r="114" spans="2:23" x14ac:dyDescent="0.35">
      <c r="B114" s="1423"/>
      <c r="C114" s="1424"/>
      <c r="D114" s="1424"/>
      <c r="E114" s="1424"/>
      <c r="F114" s="1424"/>
      <c r="G114" s="1424"/>
      <c r="H114" s="1424"/>
      <c r="I114" s="1424"/>
      <c r="J114" s="1424"/>
      <c r="K114" s="25"/>
      <c r="L114" s="118"/>
      <c r="U114" s="7"/>
      <c r="V114" s="7"/>
      <c r="W114" s="7"/>
    </row>
    <row r="115" spans="2:23" x14ac:dyDescent="0.35">
      <c r="B115" s="22" t="s">
        <v>28266</v>
      </c>
      <c r="C115" s="21"/>
      <c r="D115" s="21"/>
      <c r="E115" s="21"/>
      <c r="F115" s="21"/>
      <c r="G115" s="21"/>
      <c r="H115" s="21"/>
      <c r="I115" s="21"/>
      <c r="J115" s="21"/>
      <c r="L115" s="118"/>
      <c r="U115" s="7"/>
      <c r="V115" s="7"/>
      <c r="W115" s="7"/>
    </row>
    <row r="116" spans="2:23" x14ac:dyDescent="0.35">
      <c r="B116" s="118"/>
      <c r="C116" s="7"/>
      <c r="D116" s="7"/>
      <c r="E116" s="184" t="s">
        <v>27679</v>
      </c>
      <c r="F116" s="184" t="s">
        <v>27679</v>
      </c>
      <c r="G116" s="184" t="s">
        <v>27679</v>
      </c>
      <c r="H116" s="184" t="s">
        <v>27680</v>
      </c>
      <c r="I116" s="184" t="s">
        <v>27680</v>
      </c>
      <c r="J116" s="184" t="s">
        <v>27680</v>
      </c>
      <c r="L116" s="118"/>
      <c r="U116" s="7"/>
      <c r="V116" s="7"/>
      <c r="W116" s="7"/>
    </row>
    <row r="117" spans="2:23" x14ac:dyDescent="0.35">
      <c r="B117" s="1284"/>
      <c r="C117" s="7"/>
      <c r="D117" s="7"/>
      <c r="E117" s="11" t="s">
        <v>192</v>
      </c>
      <c r="F117" s="11" t="s">
        <v>193</v>
      </c>
      <c r="G117" s="11" t="s">
        <v>194</v>
      </c>
      <c r="H117" s="11" t="s">
        <v>192</v>
      </c>
      <c r="I117" s="11" t="s">
        <v>193</v>
      </c>
      <c r="J117" t="s">
        <v>194</v>
      </c>
      <c r="L117" s="118"/>
      <c r="U117" s="7"/>
      <c r="V117" s="7"/>
      <c r="W117" s="7"/>
    </row>
    <row r="118" spans="2:23" x14ac:dyDescent="0.35">
      <c r="B118" s="20" t="s">
        <v>203</v>
      </c>
      <c r="C118" s="53" t="s">
        <v>204</v>
      </c>
      <c r="D118" s="13" t="s">
        <v>205</v>
      </c>
      <c r="E118" s="1813" t="str">
        <f>IF(AND($F$8=1,'3_Part_time'!G12&lt;0),E$116&amp;", "&amp;E$117&amp;", Price group "&amp;$B118&amp;", "&amp;$C118&amp;" length, Level "&amp;$D118&amp;"; ","")</f>
        <v/>
      </c>
      <c r="F118" s="1412" t="str">
        <f>IF(AND($F$8=1,'3_Part_time'!H12&lt;0),F$116&amp;", "&amp;F$117&amp;", Price group "&amp;$B118&amp;", "&amp;$C118&amp;" length, Level "&amp;$D118&amp;"; ","")</f>
        <v/>
      </c>
      <c r="G118" s="1789" t="str">
        <f>IF(AND($F$8=1,'3_Part_time'!I12&lt;0),G$116&amp;", "&amp;G$117&amp;", Price group "&amp;$B118&amp;", "&amp;$C118&amp;" length, Level "&amp;$D118&amp;"; ","")</f>
        <v/>
      </c>
      <c r="H118" s="1813" t="str">
        <f>IF(AND($F$8=1,'3_Part_time'!J12&lt;0),H$116&amp;", "&amp;H$117&amp;", Price group "&amp;$B118&amp;", "&amp;$C118&amp;" length, Level "&amp;$D118&amp;"; ","")</f>
        <v/>
      </c>
      <c r="I118" s="1412" t="str">
        <f>IF(AND($F$8=1,'3_Part_time'!K12&lt;0),I$116&amp;", "&amp;I$117&amp;", Price group "&amp;$B118&amp;", "&amp;$C118&amp;" length, Level "&amp;$D118&amp;"; ","")</f>
        <v/>
      </c>
      <c r="J118" s="1789" t="str">
        <f>IF(AND($F$8=1,'3_Part_time'!L12&lt;0),J$116&amp;", "&amp;J$117&amp;", Price group "&amp;$B118&amp;", "&amp;$C118&amp;" length, Level "&amp;$D118&amp;"; ","")</f>
        <v/>
      </c>
      <c r="L118" s="118"/>
      <c r="U118" s="7"/>
      <c r="V118" s="7"/>
      <c r="W118" s="7"/>
    </row>
    <row r="119" spans="2:23" x14ac:dyDescent="0.35">
      <c r="B119" s="20" t="s">
        <v>203</v>
      </c>
      <c r="C119" s="53" t="s">
        <v>204</v>
      </c>
      <c r="D119" s="13" t="s">
        <v>208</v>
      </c>
      <c r="E119" s="1609" t="str">
        <f>IF(AND($F$8=1,'3_Part_time'!G13&lt;0),E$116&amp;", "&amp;E$117&amp;", Price group "&amp;$B119&amp;", "&amp;$C119&amp;" length, Level "&amp;$D119&amp;"; ","")</f>
        <v/>
      </c>
      <c r="F119" s="7" t="str">
        <f>IF(AND($F$8=1,'3_Part_time'!H13&lt;0),F$116&amp;", "&amp;F$117&amp;", Price group "&amp;$B119&amp;", "&amp;$C119&amp;" length, Level "&amp;$D119&amp;"; ","")</f>
        <v/>
      </c>
      <c r="G119" s="211" t="str">
        <f>IF(AND($F$8=1,'3_Part_time'!I13&lt;0),G$116&amp;", "&amp;G$117&amp;", Price group "&amp;$B119&amp;", "&amp;$C119&amp;" length, Level "&amp;$D119&amp;"; ","")</f>
        <v/>
      </c>
      <c r="H119" s="1609" t="str">
        <f>IF(AND($F$8=1,'3_Part_time'!J13&lt;0),H$116&amp;", "&amp;H$117&amp;", Price group "&amp;$B119&amp;", "&amp;$C119&amp;" length, Level "&amp;$D119&amp;"; ","")</f>
        <v/>
      </c>
      <c r="I119" s="7" t="str">
        <f>IF(AND($F$8=1,'3_Part_time'!K13&lt;0),I$116&amp;", "&amp;I$117&amp;", Price group "&amp;$B119&amp;", "&amp;$C119&amp;" length, Level "&amp;$D119&amp;"; ","")</f>
        <v/>
      </c>
      <c r="J119" s="211" t="str">
        <f>IF(AND($F$8=1,'3_Part_time'!L13&lt;0),J$116&amp;", "&amp;J$117&amp;", Price group "&amp;$B119&amp;", "&amp;$C119&amp;" length, Level "&amp;$D119&amp;"; ","")</f>
        <v/>
      </c>
      <c r="L119" s="118"/>
      <c r="U119" s="7"/>
      <c r="V119" s="7"/>
      <c r="W119" s="7"/>
    </row>
    <row r="120" spans="2:23" x14ac:dyDescent="0.35">
      <c r="B120" s="20" t="s">
        <v>203</v>
      </c>
      <c r="C120" s="53" t="s">
        <v>204</v>
      </c>
      <c r="D120" s="13" t="s">
        <v>210</v>
      </c>
      <c r="E120" s="1609" t="str">
        <f>IF(AND($F$8=1,'3_Part_time'!G14&lt;0),E$116&amp;", "&amp;E$117&amp;", Price group "&amp;$B120&amp;", "&amp;$C120&amp;" length, Level "&amp;$D120&amp;"; ","")</f>
        <v/>
      </c>
      <c r="F120" s="7" t="str">
        <f>IF(AND($F$8=1,'3_Part_time'!H14&lt;0),F$116&amp;", "&amp;F$117&amp;", Price group "&amp;$B120&amp;", "&amp;$C120&amp;" length, Level "&amp;$D120&amp;"; ","")</f>
        <v/>
      </c>
      <c r="G120" s="211" t="str">
        <f>IF(AND($F$8=1,'3_Part_time'!I14&lt;0),G$116&amp;", "&amp;G$117&amp;", Price group "&amp;$B120&amp;", "&amp;$C120&amp;" length, Level "&amp;$D120&amp;"; ","")</f>
        <v/>
      </c>
      <c r="H120" s="1609" t="str">
        <f>IF(AND($F$8=1,'3_Part_time'!J14&lt;0),H$116&amp;", "&amp;H$117&amp;", Price group "&amp;$B120&amp;", "&amp;$C120&amp;" length, Level "&amp;$D120&amp;"; ","")</f>
        <v/>
      </c>
      <c r="I120" s="7" t="str">
        <f>IF(AND($F$8=1,'3_Part_time'!K14&lt;0),I$116&amp;", "&amp;I$117&amp;", Price group "&amp;$B120&amp;", "&amp;$C120&amp;" length, Level "&amp;$D120&amp;"; ","")</f>
        <v/>
      </c>
      <c r="J120" s="211" t="str">
        <f>IF(AND($F$8=1,'3_Part_time'!L14&lt;0),J$116&amp;", "&amp;J$117&amp;", Price group "&amp;$B120&amp;", "&amp;$C120&amp;" length, Level "&amp;$D120&amp;"; ","")</f>
        <v/>
      </c>
      <c r="L120" s="118"/>
      <c r="U120" s="7"/>
      <c r="V120" s="7"/>
      <c r="W120" s="7"/>
    </row>
    <row r="121" spans="2:23" x14ac:dyDescent="0.35">
      <c r="B121" s="20" t="s">
        <v>203</v>
      </c>
      <c r="C121" s="53" t="s">
        <v>204</v>
      </c>
      <c r="D121" s="13" t="s">
        <v>212</v>
      </c>
      <c r="E121" s="1609" t="str">
        <f>IF(AND($F$8=1,'3_Part_time'!G15&lt;0),E$116&amp;", "&amp;E$117&amp;", Price group "&amp;$B121&amp;", "&amp;$C121&amp;" length, Level "&amp;$D121&amp;"; ","")</f>
        <v/>
      </c>
      <c r="F121" s="7" t="str">
        <f>IF(AND($F$8=1,'3_Part_time'!H15&lt;0),F$116&amp;", "&amp;F$117&amp;", Price group "&amp;$B121&amp;", "&amp;$C121&amp;" length, Level "&amp;$D121&amp;"; ","")</f>
        <v/>
      </c>
      <c r="G121" s="211" t="str">
        <f>IF(AND($F$8=1,'3_Part_time'!I15&lt;0),G$116&amp;", "&amp;G$117&amp;", Price group "&amp;$B121&amp;", "&amp;$C121&amp;" length, Level "&amp;$D121&amp;"; ","")</f>
        <v/>
      </c>
      <c r="H121" s="1609" t="str">
        <f>IF(AND($F$8=1,'3_Part_time'!J15&lt;0),H$116&amp;", "&amp;H$117&amp;", Price group "&amp;$B121&amp;", "&amp;$C121&amp;" length, Level "&amp;$D121&amp;"; ","")</f>
        <v/>
      </c>
      <c r="I121" s="7" t="str">
        <f>IF(AND($F$8=1,'3_Part_time'!K15&lt;0),I$116&amp;", "&amp;I$117&amp;", Price group "&amp;$B121&amp;", "&amp;$C121&amp;" length, Level "&amp;$D121&amp;"; ","")</f>
        <v/>
      </c>
      <c r="J121" s="211" t="str">
        <f>IF(AND($F$8=1,'3_Part_time'!L15&lt;0),J$116&amp;", "&amp;J$117&amp;", Price group "&amp;$B121&amp;", "&amp;$C121&amp;" length, Level "&amp;$D121&amp;"; ","")</f>
        <v/>
      </c>
      <c r="L121" s="118"/>
      <c r="U121" s="7"/>
      <c r="V121" s="7"/>
      <c r="W121" s="7"/>
    </row>
    <row r="122" spans="2:23" x14ac:dyDescent="0.35">
      <c r="B122" s="20" t="s">
        <v>203</v>
      </c>
      <c r="C122" s="53" t="s">
        <v>204</v>
      </c>
      <c r="D122" s="13" t="s">
        <v>214</v>
      </c>
      <c r="E122" s="1609" t="str">
        <f>IF(AND($F$8=1,'3_Part_time'!G16&lt;0),E$116&amp;", "&amp;E$117&amp;", Price group "&amp;$B122&amp;", "&amp;$C122&amp;" length, Level "&amp;$D122&amp;"; ","")</f>
        <v/>
      </c>
      <c r="F122" s="7" t="str">
        <f>IF(AND($F$8=1,'3_Part_time'!H16&lt;0),F$116&amp;", "&amp;F$117&amp;", Price group "&amp;$B122&amp;", "&amp;$C122&amp;" length, Level "&amp;$D122&amp;"; ","")</f>
        <v/>
      </c>
      <c r="G122" s="211" t="str">
        <f>IF(AND($F$8=1,'3_Part_time'!I16&lt;0),G$116&amp;", "&amp;G$117&amp;", Price group "&amp;$B122&amp;", "&amp;$C122&amp;" length, Level "&amp;$D122&amp;"; ","")</f>
        <v/>
      </c>
      <c r="H122" s="1609" t="str">
        <f>IF(AND($F$8=1,'3_Part_time'!J16&lt;0),H$116&amp;", "&amp;H$117&amp;", Price group "&amp;$B122&amp;", "&amp;$C122&amp;" length, Level "&amp;$D122&amp;"; ","")</f>
        <v/>
      </c>
      <c r="I122" s="7" t="str">
        <f>IF(AND($F$8=1,'3_Part_time'!K16&lt;0),I$116&amp;", "&amp;I$117&amp;", Price group "&amp;$B122&amp;", "&amp;$C122&amp;" length, Level "&amp;$D122&amp;"; ","")</f>
        <v/>
      </c>
      <c r="J122" s="211" t="str">
        <f>IF(AND($F$8=1,'3_Part_time'!L16&lt;0),J$116&amp;", "&amp;J$117&amp;", Price group "&amp;$B122&amp;", "&amp;$C122&amp;" length, Level "&amp;$D122&amp;"; ","")</f>
        <v/>
      </c>
      <c r="L122" s="118"/>
      <c r="U122" s="7"/>
      <c r="V122" s="7"/>
      <c r="W122" s="7"/>
    </row>
    <row r="123" spans="2:23" x14ac:dyDescent="0.35">
      <c r="B123" s="20" t="s">
        <v>203</v>
      </c>
      <c r="C123" s="53" t="s">
        <v>204</v>
      </c>
      <c r="D123" s="13" t="s">
        <v>216</v>
      </c>
      <c r="E123" s="1428"/>
      <c r="F123" s="1429" t="str">
        <f>IF(AND($F$8=1,'3_Part_time'!H17&lt;0),F$116&amp;", "&amp;F$117&amp;", Price group "&amp;$B123&amp;", "&amp;$C123&amp;" length, Level "&amp;$D123&amp;"; ","")</f>
        <v/>
      </c>
      <c r="G123" s="1430" t="str">
        <f>IF(AND($F$8=1,'3_Part_time'!I17&lt;0),G$116&amp;", "&amp;G$117&amp;", Price group "&amp;$B123&amp;", "&amp;$C123&amp;" length, Level "&amp;$D123&amp;"; ","")</f>
        <v/>
      </c>
      <c r="H123" s="1428"/>
      <c r="I123" s="1429" t="str">
        <f>IF(AND($F$8=1,'3_Part_time'!K17&lt;0),I$116&amp;", "&amp;I$117&amp;", Price group "&amp;$B123&amp;", "&amp;$C123&amp;" length, Level "&amp;$D123&amp;"; ","")</f>
        <v/>
      </c>
      <c r="J123" s="1430" t="str">
        <f>IF(AND($F$8=1,'3_Part_time'!L17&lt;0),J$116&amp;", "&amp;J$117&amp;", Price group "&amp;$B123&amp;", "&amp;$C123&amp;" length, Level "&amp;$D123&amp;"; ","")</f>
        <v/>
      </c>
      <c r="L123" s="118"/>
      <c r="U123" s="7"/>
      <c r="V123" s="7"/>
      <c r="W123" s="7"/>
    </row>
    <row r="124" spans="2:23" x14ac:dyDescent="0.35">
      <c r="B124" s="20" t="s">
        <v>203</v>
      </c>
      <c r="C124" s="53" t="s">
        <v>218</v>
      </c>
      <c r="D124" s="13" t="s">
        <v>205</v>
      </c>
      <c r="E124" s="1609" t="str">
        <f>IF(AND($F$8=1,'3_Part_time'!G18&lt;0),E$116&amp;", "&amp;E$117&amp;", Price group "&amp;$B124&amp;", "&amp;$C124&amp;" length, Level "&amp;$D124&amp;"; ","")</f>
        <v/>
      </c>
      <c r="F124" s="7" t="str">
        <f>IF(AND($F$8=1,'3_Part_time'!H18&lt;0),F$116&amp;", "&amp;F$117&amp;", Price group "&amp;$B124&amp;", "&amp;$C124&amp;" length, Level "&amp;$D124&amp;"; ","")</f>
        <v/>
      </c>
      <c r="G124" s="211" t="str">
        <f>IF(AND($F$8=1,'3_Part_time'!I18&lt;0),G$116&amp;", "&amp;G$117&amp;", Price group "&amp;$B124&amp;", "&amp;$C124&amp;" length, Level "&amp;$D124&amp;"; ","")</f>
        <v/>
      </c>
      <c r="H124" s="1609" t="str">
        <f>IF(AND($F$8=1,'3_Part_time'!J18&lt;0),H$116&amp;", "&amp;H$117&amp;", Price group "&amp;$B124&amp;", "&amp;$C124&amp;" length, Level "&amp;$D124&amp;"; ","")</f>
        <v/>
      </c>
      <c r="I124" s="7" t="str">
        <f>IF(AND($F$8=1,'3_Part_time'!K18&lt;0),I$116&amp;", "&amp;I$117&amp;", Price group "&amp;$B124&amp;", "&amp;$C124&amp;" length, Level "&amp;$D124&amp;"; ","")</f>
        <v/>
      </c>
      <c r="J124" s="211" t="str">
        <f>IF(AND($F$8=1,'3_Part_time'!L18&lt;0),J$116&amp;", "&amp;J$117&amp;", Price group "&amp;$B124&amp;", "&amp;$C124&amp;" length, Level "&amp;$D124&amp;"; ","")</f>
        <v/>
      </c>
      <c r="L124" s="118"/>
      <c r="U124" s="7"/>
      <c r="V124" s="7"/>
      <c r="W124" s="7"/>
    </row>
    <row r="125" spans="2:23" x14ac:dyDescent="0.35">
      <c r="B125" s="20" t="s">
        <v>203</v>
      </c>
      <c r="C125" s="53" t="s">
        <v>218</v>
      </c>
      <c r="D125" s="13" t="s">
        <v>208</v>
      </c>
      <c r="E125" s="1609" t="str">
        <f>IF(AND($F$8=1,'3_Part_time'!G19&lt;0),E$116&amp;", "&amp;E$117&amp;", Price group "&amp;$B125&amp;", "&amp;$C125&amp;" length, Level "&amp;$D125&amp;"; ","")</f>
        <v/>
      </c>
      <c r="F125" s="7" t="str">
        <f>IF(AND($F$8=1,'3_Part_time'!H19&lt;0),F$116&amp;", "&amp;F$117&amp;", Price group "&amp;$B125&amp;", "&amp;$C125&amp;" length, Level "&amp;$D125&amp;"; ","")</f>
        <v/>
      </c>
      <c r="G125" s="211" t="str">
        <f>IF(AND($F$8=1,'3_Part_time'!I19&lt;0),G$116&amp;", "&amp;G$117&amp;", Price group "&amp;$B125&amp;", "&amp;$C125&amp;" length, Level "&amp;$D125&amp;"; ","")</f>
        <v/>
      </c>
      <c r="H125" s="1609" t="str">
        <f>IF(AND($F$8=1,'3_Part_time'!J19&lt;0),H$116&amp;", "&amp;H$117&amp;", Price group "&amp;$B125&amp;", "&amp;$C125&amp;" length, Level "&amp;$D125&amp;"; ","")</f>
        <v/>
      </c>
      <c r="I125" s="7" t="str">
        <f>IF(AND($F$8=1,'3_Part_time'!K19&lt;0),I$116&amp;", "&amp;I$117&amp;", Price group "&amp;$B125&amp;", "&amp;$C125&amp;" length, Level "&amp;$D125&amp;"; ","")</f>
        <v/>
      </c>
      <c r="J125" s="211" t="str">
        <f>IF(AND($F$8=1,'3_Part_time'!L19&lt;0),J$116&amp;", "&amp;J$117&amp;", Price group "&amp;$B125&amp;", "&amp;$C125&amp;" length, Level "&amp;$D125&amp;"; ","")</f>
        <v/>
      </c>
      <c r="L125" s="118"/>
      <c r="U125" s="7"/>
      <c r="V125" s="7"/>
      <c r="W125" s="7"/>
    </row>
    <row r="126" spans="2:23" x14ac:dyDescent="0.35">
      <c r="B126" s="20" t="s">
        <v>203</v>
      </c>
      <c r="C126" s="53" t="s">
        <v>218</v>
      </c>
      <c r="D126" s="13" t="s">
        <v>210</v>
      </c>
      <c r="E126" s="1609" t="str">
        <f>IF(AND($F$8=1,'3_Part_time'!G20&lt;0),E$116&amp;", "&amp;E$117&amp;", Price group "&amp;$B126&amp;", "&amp;$C126&amp;" length, Level "&amp;$D126&amp;"; ","")</f>
        <v/>
      </c>
      <c r="F126" s="7" t="str">
        <f>IF(AND($F$8=1,'3_Part_time'!H20&lt;0),F$116&amp;", "&amp;F$117&amp;", Price group "&amp;$B126&amp;", "&amp;$C126&amp;" length, Level "&amp;$D126&amp;"; ","")</f>
        <v/>
      </c>
      <c r="G126" s="211" t="str">
        <f>IF(AND($F$8=1,'3_Part_time'!I20&lt;0),G$116&amp;", "&amp;G$117&amp;", Price group "&amp;$B126&amp;", "&amp;$C126&amp;" length, Level "&amp;$D126&amp;"; ","")</f>
        <v/>
      </c>
      <c r="H126" s="1609" t="str">
        <f>IF(AND($F$8=1,'3_Part_time'!J20&lt;0),H$116&amp;", "&amp;H$117&amp;", Price group "&amp;$B126&amp;", "&amp;$C126&amp;" length, Level "&amp;$D126&amp;"; ","")</f>
        <v/>
      </c>
      <c r="I126" s="7" t="str">
        <f>IF(AND($F$8=1,'3_Part_time'!K20&lt;0),I$116&amp;", "&amp;I$117&amp;", Price group "&amp;$B126&amp;", "&amp;$C126&amp;" length, Level "&amp;$D126&amp;"; ","")</f>
        <v/>
      </c>
      <c r="J126" s="211" t="str">
        <f>IF(AND($F$8=1,'3_Part_time'!L20&lt;0),J$116&amp;", "&amp;J$117&amp;", Price group "&amp;$B126&amp;", "&amp;$C126&amp;" length, Level "&amp;$D126&amp;"; ","")</f>
        <v/>
      </c>
      <c r="L126" s="118"/>
      <c r="U126" s="7"/>
      <c r="V126" s="7"/>
      <c r="W126" s="7"/>
    </row>
    <row r="127" spans="2:23" x14ac:dyDescent="0.35">
      <c r="B127" s="20" t="s">
        <v>203</v>
      </c>
      <c r="C127" s="53" t="s">
        <v>218</v>
      </c>
      <c r="D127" s="13" t="s">
        <v>212</v>
      </c>
      <c r="E127" s="1609" t="str">
        <f>IF(AND($F$8=1,'3_Part_time'!G21&lt;0),E$116&amp;", "&amp;E$117&amp;", Price group "&amp;$B127&amp;", "&amp;$C127&amp;" length, Level "&amp;$D127&amp;"; ","")</f>
        <v/>
      </c>
      <c r="F127" s="7" t="str">
        <f>IF(AND($F$8=1,'3_Part_time'!H21&lt;0),F$116&amp;", "&amp;F$117&amp;", Price group "&amp;$B127&amp;", "&amp;$C127&amp;" length, Level "&amp;$D127&amp;"; ","")</f>
        <v/>
      </c>
      <c r="G127" s="211" t="str">
        <f>IF(AND($F$8=1,'3_Part_time'!I21&lt;0),G$116&amp;", "&amp;G$117&amp;", Price group "&amp;$B127&amp;", "&amp;$C127&amp;" length, Level "&amp;$D127&amp;"; ","")</f>
        <v/>
      </c>
      <c r="H127" s="1609" t="str">
        <f>IF(AND($F$8=1,'3_Part_time'!J21&lt;0),H$116&amp;", "&amp;H$117&amp;", Price group "&amp;$B127&amp;", "&amp;$C127&amp;" length, Level "&amp;$D127&amp;"; ","")</f>
        <v/>
      </c>
      <c r="I127" s="7" t="str">
        <f>IF(AND($F$8=1,'3_Part_time'!K21&lt;0),I$116&amp;", "&amp;I$117&amp;", Price group "&amp;$B127&amp;", "&amp;$C127&amp;" length, Level "&amp;$D127&amp;"; ","")</f>
        <v/>
      </c>
      <c r="J127" s="211" t="str">
        <f>IF(AND($F$8=1,'3_Part_time'!L21&lt;0),J$116&amp;", "&amp;J$117&amp;", Price group "&amp;$B127&amp;", "&amp;$C127&amp;" length, Level "&amp;$D127&amp;"; ","")</f>
        <v/>
      </c>
      <c r="L127" s="118"/>
      <c r="U127" s="7"/>
      <c r="V127" s="7"/>
      <c r="W127" s="7"/>
    </row>
    <row r="128" spans="2:23" x14ac:dyDescent="0.35">
      <c r="B128" s="20" t="s">
        <v>203</v>
      </c>
      <c r="C128" s="53" t="s">
        <v>218</v>
      </c>
      <c r="D128" s="13" t="s">
        <v>214</v>
      </c>
      <c r="E128" s="1609" t="str">
        <f>IF(AND($F$8=1,'3_Part_time'!G22&lt;0),E$116&amp;", "&amp;E$117&amp;", Price group "&amp;$B128&amp;", "&amp;$C128&amp;" length, Level "&amp;$D128&amp;"; ","")</f>
        <v/>
      </c>
      <c r="F128" s="7" t="str">
        <f>IF(AND($F$8=1,'3_Part_time'!H22&lt;0),F$116&amp;", "&amp;F$117&amp;", Price group "&amp;$B128&amp;", "&amp;$C128&amp;" length, Level "&amp;$D128&amp;"; ","")</f>
        <v/>
      </c>
      <c r="G128" s="211" t="str">
        <f>IF(AND($F$8=1,'3_Part_time'!I22&lt;0),G$116&amp;", "&amp;G$117&amp;", Price group "&amp;$B128&amp;", "&amp;$C128&amp;" length, Level "&amp;$D128&amp;"; ","")</f>
        <v/>
      </c>
      <c r="H128" s="1609" t="str">
        <f>IF(AND($F$8=1,'3_Part_time'!J22&lt;0),H$116&amp;", "&amp;H$117&amp;", Price group "&amp;$B128&amp;", "&amp;$C128&amp;" length, Level "&amp;$D128&amp;"; ","")</f>
        <v/>
      </c>
      <c r="I128" s="7" t="str">
        <f>IF(AND($F$8=1,'3_Part_time'!K22&lt;0),I$116&amp;", "&amp;I$117&amp;", Price group "&amp;$B128&amp;", "&amp;$C128&amp;" length, Level "&amp;$D128&amp;"; ","")</f>
        <v/>
      </c>
      <c r="J128" s="211" t="str">
        <f>IF(AND($F$8=1,'3_Part_time'!L22&lt;0),J$116&amp;", "&amp;J$117&amp;", Price group "&amp;$B128&amp;", "&amp;$C128&amp;" length, Level "&amp;$D128&amp;"; ","")</f>
        <v/>
      </c>
      <c r="L128" s="118"/>
      <c r="U128" s="7"/>
      <c r="V128" s="7"/>
      <c r="W128" s="7"/>
    </row>
    <row r="129" spans="2:23" x14ac:dyDescent="0.35">
      <c r="B129" s="20" t="s">
        <v>203</v>
      </c>
      <c r="C129" s="53" t="s">
        <v>218</v>
      </c>
      <c r="D129" s="13" t="s">
        <v>216</v>
      </c>
      <c r="E129" s="1432"/>
      <c r="F129" s="1409" t="str">
        <f>IF(AND($F$8=1,'3_Part_time'!H23&lt;0),F$116&amp;", "&amp;F$117&amp;", Price group "&amp;$B129&amp;", "&amp;$C129&amp;" length, Level "&amp;$D129&amp;"; ","")</f>
        <v/>
      </c>
      <c r="G129" s="1433" t="str">
        <f>IF(AND($F$8=1,'3_Part_time'!I23&lt;0),G$116&amp;", "&amp;G$117&amp;", Price group "&amp;$B129&amp;", "&amp;$C129&amp;" length, Level "&amp;$D129&amp;"; ","")</f>
        <v/>
      </c>
      <c r="H129" s="1432"/>
      <c r="I129" s="1409" t="str">
        <f>IF(AND($F$8=1,'3_Part_time'!K23&lt;0),I$116&amp;", "&amp;I$117&amp;", Price group "&amp;$B129&amp;", "&amp;$C129&amp;" length, Level "&amp;$D129&amp;"; ","")</f>
        <v/>
      </c>
      <c r="J129" s="1433" t="str">
        <f>IF(AND($F$8=1,'3_Part_time'!L23&lt;0),J$116&amp;", "&amp;J$117&amp;", Price group "&amp;$B129&amp;", "&amp;$C129&amp;" length, Level "&amp;$D129&amp;"; ","")</f>
        <v/>
      </c>
      <c r="L129" s="118"/>
      <c r="U129" s="7"/>
      <c r="V129" s="7"/>
      <c r="W129" s="7"/>
    </row>
    <row r="130" spans="2:23" x14ac:dyDescent="0.35">
      <c r="B130" s="20" t="s">
        <v>225</v>
      </c>
      <c r="C130" s="53" t="s">
        <v>204</v>
      </c>
      <c r="D130" s="13" t="s">
        <v>205</v>
      </c>
      <c r="E130" s="1813" t="str">
        <f>IF(AND($F$8=1,'3_Part_time'!G24&lt;0),E$116&amp;", "&amp;E$117&amp;", Price group "&amp;$B130&amp;", "&amp;$C130&amp;" length, Level "&amp;$D130&amp;"; ","")</f>
        <v/>
      </c>
      <c r="F130" s="1412" t="str">
        <f>IF(AND($F$8=1,'3_Part_time'!H24&lt;0),F$116&amp;", "&amp;F$117&amp;", Price group "&amp;$B130&amp;", "&amp;$C130&amp;" length, Level "&amp;$D130&amp;"; ","")</f>
        <v/>
      </c>
      <c r="G130" s="1789" t="str">
        <f>IF(AND($F$8=1,'3_Part_time'!I24&lt;0),G$116&amp;", "&amp;G$117&amp;", Price group "&amp;$B130&amp;", "&amp;$C130&amp;" length, Level "&amp;$D130&amp;"; ","")</f>
        <v/>
      </c>
      <c r="H130" s="1813" t="str">
        <f>IF(AND($F$8=1,'3_Part_time'!J24&lt;0),H$116&amp;", "&amp;H$117&amp;", Price group "&amp;$B130&amp;", "&amp;$C130&amp;" length, Level "&amp;$D130&amp;"; ","")</f>
        <v/>
      </c>
      <c r="I130" s="1412" t="str">
        <f>IF(AND($F$8=1,'3_Part_time'!K24&lt;0),I$116&amp;", "&amp;I$117&amp;", Price group "&amp;$B130&amp;", "&amp;$C130&amp;" length, Level "&amp;$D130&amp;"; ","")</f>
        <v/>
      </c>
      <c r="J130" s="1789" t="str">
        <f>IF(AND($F$8=1,'3_Part_time'!L24&lt;0),J$116&amp;", "&amp;J$117&amp;", Price group "&amp;$B130&amp;", "&amp;$C130&amp;" length, Level "&amp;$D130&amp;"; ","")</f>
        <v/>
      </c>
      <c r="L130" s="118"/>
      <c r="U130" s="7"/>
      <c r="V130" s="7"/>
      <c r="W130" s="7"/>
    </row>
    <row r="131" spans="2:23" x14ac:dyDescent="0.35">
      <c r="B131" s="20" t="s">
        <v>225</v>
      </c>
      <c r="C131" s="53" t="s">
        <v>204</v>
      </c>
      <c r="D131" s="13" t="s">
        <v>208</v>
      </c>
      <c r="E131" s="1609" t="str">
        <f>IF(AND($F$8=1,'3_Part_time'!G25&lt;0),E$116&amp;", "&amp;E$117&amp;", Price group "&amp;$B131&amp;", "&amp;$C131&amp;" length, Level "&amp;$D131&amp;"; ","")</f>
        <v/>
      </c>
      <c r="F131" s="7" t="str">
        <f>IF(AND($F$8=1,'3_Part_time'!H25&lt;0),F$116&amp;", "&amp;F$117&amp;", Price group "&amp;$B131&amp;", "&amp;$C131&amp;" length, Level "&amp;$D131&amp;"; ","")</f>
        <v/>
      </c>
      <c r="G131" s="211" t="str">
        <f>IF(AND($F$8=1,'3_Part_time'!I25&lt;0),G$116&amp;", "&amp;G$117&amp;", Price group "&amp;$B131&amp;", "&amp;$C131&amp;" length, Level "&amp;$D131&amp;"; ","")</f>
        <v/>
      </c>
      <c r="H131" s="1609" t="str">
        <f>IF(AND($F$8=1,'3_Part_time'!J25&lt;0),H$116&amp;", "&amp;H$117&amp;", Price group "&amp;$B131&amp;", "&amp;$C131&amp;" length, Level "&amp;$D131&amp;"; ","")</f>
        <v/>
      </c>
      <c r="I131" s="7" t="str">
        <f>IF(AND($F$8=1,'3_Part_time'!K25&lt;0),I$116&amp;", "&amp;I$117&amp;", Price group "&amp;$B131&amp;", "&amp;$C131&amp;" length, Level "&amp;$D131&amp;"; ","")</f>
        <v/>
      </c>
      <c r="J131" s="211" t="str">
        <f>IF(AND($F$8=1,'3_Part_time'!L25&lt;0),J$116&amp;", "&amp;J$117&amp;", Price group "&amp;$B131&amp;", "&amp;$C131&amp;" length, Level "&amp;$D131&amp;"; ","")</f>
        <v/>
      </c>
      <c r="L131" s="118"/>
      <c r="U131" s="7"/>
      <c r="V131" s="7"/>
      <c r="W131" s="7"/>
    </row>
    <row r="132" spans="2:23" x14ac:dyDescent="0.35">
      <c r="B132" s="20" t="s">
        <v>225</v>
      </c>
      <c r="C132" s="53" t="s">
        <v>204</v>
      </c>
      <c r="D132" s="13" t="s">
        <v>210</v>
      </c>
      <c r="E132" s="1609" t="str">
        <f>IF(AND($F$8=1,'3_Part_time'!G26&lt;0),E$116&amp;", "&amp;E$117&amp;", Price group "&amp;$B132&amp;", "&amp;$C132&amp;" length, Level "&amp;$D132&amp;"; ","")</f>
        <v/>
      </c>
      <c r="F132" s="7" t="str">
        <f>IF(AND($F$8=1,'3_Part_time'!H26&lt;0),F$116&amp;", "&amp;F$117&amp;", Price group "&amp;$B132&amp;", "&amp;$C132&amp;" length, Level "&amp;$D132&amp;"; ","")</f>
        <v/>
      </c>
      <c r="G132" s="211" t="str">
        <f>IF(AND($F$8=1,'3_Part_time'!I26&lt;0),G$116&amp;", "&amp;G$117&amp;", Price group "&amp;$B132&amp;", "&amp;$C132&amp;" length, Level "&amp;$D132&amp;"; ","")</f>
        <v/>
      </c>
      <c r="H132" s="1609" t="str">
        <f>IF(AND($F$8=1,'3_Part_time'!J26&lt;0),H$116&amp;", "&amp;H$117&amp;", Price group "&amp;$B132&amp;", "&amp;$C132&amp;" length, Level "&amp;$D132&amp;"; ","")</f>
        <v/>
      </c>
      <c r="I132" s="7" t="str">
        <f>IF(AND($F$8=1,'3_Part_time'!K26&lt;0),I$116&amp;", "&amp;I$117&amp;", Price group "&amp;$B132&amp;", "&amp;$C132&amp;" length, Level "&amp;$D132&amp;"; ","")</f>
        <v/>
      </c>
      <c r="J132" s="211" t="str">
        <f>IF(AND($F$8=1,'3_Part_time'!L26&lt;0),J$116&amp;", "&amp;J$117&amp;", Price group "&amp;$B132&amp;", "&amp;$C132&amp;" length, Level "&amp;$D132&amp;"; ","")</f>
        <v/>
      </c>
      <c r="L132" s="118"/>
      <c r="U132" s="7"/>
      <c r="V132" s="7"/>
      <c r="W132" s="7"/>
    </row>
    <row r="133" spans="2:23" x14ac:dyDescent="0.35">
      <c r="B133" s="20" t="s">
        <v>225</v>
      </c>
      <c r="C133" s="53" t="s">
        <v>204</v>
      </c>
      <c r="D133" s="13" t="s">
        <v>212</v>
      </c>
      <c r="E133" s="1609" t="str">
        <f>IF(AND($F$8=1,'3_Part_time'!G27&lt;0),E$116&amp;", "&amp;E$117&amp;", Price group "&amp;$B133&amp;", "&amp;$C133&amp;" length, Level "&amp;$D133&amp;"; ","")</f>
        <v/>
      </c>
      <c r="F133" s="7" t="str">
        <f>IF(AND($F$8=1,'3_Part_time'!H27&lt;0),F$116&amp;", "&amp;F$117&amp;", Price group "&amp;$B133&amp;", "&amp;$C133&amp;" length, Level "&amp;$D133&amp;"; ","")</f>
        <v/>
      </c>
      <c r="G133" s="211" t="str">
        <f>IF(AND($F$8=1,'3_Part_time'!I27&lt;0),G$116&amp;", "&amp;G$117&amp;", Price group "&amp;$B133&amp;", "&amp;$C133&amp;" length, Level "&amp;$D133&amp;"; ","")</f>
        <v/>
      </c>
      <c r="H133" s="1609" t="str">
        <f>IF(AND($F$8=1,'3_Part_time'!J27&lt;0),H$116&amp;", "&amp;H$117&amp;", Price group "&amp;$B133&amp;", "&amp;$C133&amp;" length, Level "&amp;$D133&amp;"; ","")</f>
        <v/>
      </c>
      <c r="I133" s="7" t="str">
        <f>IF(AND($F$8=1,'3_Part_time'!K27&lt;0),I$116&amp;", "&amp;I$117&amp;", Price group "&amp;$B133&amp;", "&amp;$C133&amp;" length, Level "&amp;$D133&amp;"; ","")</f>
        <v/>
      </c>
      <c r="J133" s="211" t="str">
        <f>IF(AND($F$8=1,'3_Part_time'!L27&lt;0),J$116&amp;", "&amp;J$117&amp;", Price group "&amp;$B133&amp;", "&amp;$C133&amp;" length, Level "&amp;$D133&amp;"; ","")</f>
        <v/>
      </c>
      <c r="L133" s="118"/>
      <c r="U133" s="7"/>
      <c r="V133" s="7"/>
      <c r="W133" s="7"/>
    </row>
    <row r="134" spans="2:23" x14ac:dyDescent="0.35">
      <c r="B134" s="20" t="s">
        <v>225</v>
      </c>
      <c r="C134" s="53" t="s">
        <v>204</v>
      </c>
      <c r="D134" s="13" t="s">
        <v>214</v>
      </c>
      <c r="E134" s="1609" t="str">
        <f>IF(AND($F$8=1,'3_Part_time'!G28&lt;0),E$116&amp;", "&amp;E$117&amp;", Price group "&amp;$B134&amp;", "&amp;$C134&amp;" length, Level "&amp;$D134&amp;"; ","")</f>
        <v/>
      </c>
      <c r="F134" s="7" t="str">
        <f>IF(AND($F$8=1,'3_Part_time'!H28&lt;0),F$116&amp;", "&amp;F$117&amp;", Price group "&amp;$B134&amp;", "&amp;$C134&amp;" length, Level "&amp;$D134&amp;"; ","")</f>
        <v/>
      </c>
      <c r="G134" s="211" t="str">
        <f>IF(AND($F$8=1,'3_Part_time'!I28&lt;0),G$116&amp;", "&amp;G$117&amp;", Price group "&amp;$B134&amp;", "&amp;$C134&amp;" length, Level "&amp;$D134&amp;"; ","")</f>
        <v/>
      </c>
      <c r="H134" s="1609" t="str">
        <f>IF(AND($F$8=1,'3_Part_time'!J28&lt;0),H$116&amp;", "&amp;H$117&amp;", Price group "&amp;$B134&amp;", "&amp;$C134&amp;" length, Level "&amp;$D134&amp;"; ","")</f>
        <v/>
      </c>
      <c r="I134" s="7" t="str">
        <f>IF(AND($F$8=1,'3_Part_time'!K28&lt;0),I$116&amp;", "&amp;I$117&amp;", Price group "&amp;$B134&amp;", "&amp;$C134&amp;" length, Level "&amp;$D134&amp;"; ","")</f>
        <v/>
      </c>
      <c r="J134" s="211" t="str">
        <f>IF(AND($F$8=1,'3_Part_time'!L28&lt;0),J$116&amp;", "&amp;J$117&amp;", Price group "&amp;$B134&amp;", "&amp;$C134&amp;" length, Level "&amp;$D134&amp;"; ","")</f>
        <v/>
      </c>
      <c r="L134" s="118"/>
      <c r="U134" s="7"/>
      <c r="V134" s="7"/>
      <c r="W134" s="7"/>
    </row>
    <row r="135" spans="2:23" x14ac:dyDescent="0.35">
      <c r="B135" s="20" t="s">
        <v>225</v>
      </c>
      <c r="C135" s="53" t="s">
        <v>204</v>
      </c>
      <c r="D135" s="13" t="s">
        <v>216</v>
      </c>
      <c r="E135" s="1428"/>
      <c r="F135" s="1429" t="str">
        <f>IF(AND($F$8=1,'3_Part_time'!H29&lt;0),F$116&amp;", "&amp;F$117&amp;", Price group "&amp;$B135&amp;", "&amp;$C135&amp;" length, Level "&amp;$D135&amp;"; ","")</f>
        <v/>
      </c>
      <c r="G135" s="1430" t="str">
        <f>IF(AND($F$8=1,'3_Part_time'!I29&lt;0),G$116&amp;", "&amp;G$117&amp;", Price group "&amp;$B135&amp;", "&amp;$C135&amp;" length, Level "&amp;$D135&amp;"; ","")</f>
        <v/>
      </c>
      <c r="H135" s="1428"/>
      <c r="I135" s="1429" t="str">
        <f>IF(AND($F$8=1,'3_Part_time'!K29&lt;0),I$116&amp;", "&amp;I$117&amp;", Price group "&amp;$B135&amp;", "&amp;$C135&amp;" length, Level "&amp;$D135&amp;"; ","")</f>
        <v/>
      </c>
      <c r="J135" s="1430" t="str">
        <f>IF(AND($F$8=1,'3_Part_time'!L29&lt;0),J$116&amp;", "&amp;J$117&amp;", Price group "&amp;$B135&amp;", "&amp;$C135&amp;" length, Level "&amp;$D135&amp;"; ","")</f>
        <v/>
      </c>
      <c r="L135" s="118"/>
      <c r="U135" s="7"/>
      <c r="V135" s="7"/>
      <c r="W135" s="7"/>
    </row>
    <row r="136" spans="2:23" x14ac:dyDescent="0.35">
      <c r="B136" s="20" t="s">
        <v>225</v>
      </c>
      <c r="C136" s="53" t="s">
        <v>218</v>
      </c>
      <c r="D136" s="13" t="s">
        <v>205</v>
      </c>
      <c r="E136" s="1609" t="str">
        <f>IF(AND($F$8=1,'3_Part_time'!G30&lt;0),E$116&amp;", "&amp;E$117&amp;", Price group "&amp;$B136&amp;", "&amp;$C136&amp;" length, Level "&amp;$D136&amp;"; ","")</f>
        <v/>
      </c>
      <c r="F136" s="7" t="str">
        <f>IF(AND($F$8=1,'3_Part_time'!H30&lt;0),F$116&amp;", "&amp;F$117&amp;", Price group "&amp;$B136&amp;", "&amp;$C136&amp;" length, Level "&amp;$D136&amp;"; ","")</f>
        <v/>
      </c>
      <c r="G136" s="211" t="str">
        <f>IF(AND($F$8=1,'3_Part_time'!I30&lt;0),G$116&amp;", "&amp;G$117&amp;", Price group "&amp;$B136&amp;", "&amp;$C136&amp;" length, Level "&amp;$D136&amp;"; ","")</f>
        <v/>
      </c>
      <c r="H136" s="1609" t="str">
        <f>IF(AND($F$8=1,'3_Part_time'!J30&lt;0),H$116&amp;", "&amp;H$117&amp;", Price group "&amp;$B136&amp;", "&amp;$C136&amp;" length, Level "&amp;$D136&amp;"; ","")</f>
        <v/>
      </c>
      <c r="I136" s="7" t="str">
        <f>IF(AND($F$8=1,'3_Part_time'!K30&lt;0),I$116&amp;", "&amp;I$117&amp;", Price group "&amp;$B136&amp;", "&amp;$C136&amp;" length, Level "&amp;$D136&amp;"; ","")</f>
        <v/>
      </c>
      <c r="J136" s="211" t="str">
        <f>IF(AND($F$8=1,'3_Part_time'!L30&lt;0),J$116&amp;", "&amp;J$117&amp;", Price group "&amp;$B136&amp;", "&amp;$C136&amp;" length, Level "&amp;$D136&amp;"; ","")</f>
        <v/>
      </c>
      <c r="L136" s="118"/>
      <c r="U136" s="7"/>
      <c r="V136" s="7"/>
      <c r="W136" s="7"/>
    </row>
    <row r="137" spans="2:23" x14ac:dyDescent="0.35">
      <c r="B137" s="20" t="s">
        <v>225</v>
      </c>
      <c r="C137" s="53" t="s">
        <v>218</v>
      </c>
      <c r="D137" s="13" t="s">
        <v>208</v>
      </c>
      <c r="E137" s="1609" t="str">
        <f>IF(AND($F$8=1,'3_Part_time'!G31&lt;0),E$116&amp;", "&amp;E$117&amp;", Price group "&amp;$B137&amp;", "&amp;$C137&amp;" length, Level "&amp;$D137&amp;"; ","")</f>
        <v/>
      </c>
      <c r="F137" s="7" t="str">
        <f>IF(AND($F$8=1,'3_Part_time'!H31&lt;0),F$116&amp;", "&amp;F$117&amp;", Price group "&amp;$B137&amp;", "&amp;$C137&amp;" length, Level "&amp;$D137&amp;"; ","")</f>
        <v/>
      </c>
      <c r="G137" s="211" t="str">
        <f>IF(AND($F$8=1,'3_Part_time'!I31&lt;0),G$116&amp;", "&amp;G$117&amp;", Price group "&amp;$B137&amp;", "&amp;$C137&amp;" length, Level "&amp;$D137&amp;"; ","")</f>
        <v/>
      </c>
      <c r="H137" s="1609" t="str">
        <f>IF(AND($F$8=1,'3_Part_time'!J31&lt;0),H$116&amp;", "&amp;H$117&amp;", Price group "&amp;$B137&amp;", "&amp;$C137&amp;" length, Level "&amp;$D137&amp;"; ","")</f>
        <v/>
      </c>
      <c r="I137" s="7" t="str">
        <f>IF(AND($F$8=1,'3_Part_time'!K31&lt;0),I$116&amp;", "&amp;I$117&amp;", Price group "&amp;$B137&amp;", "&amp;$C137&amp;" length, Level "&amp;$D137&amp;"; ","")</f>
        <v/>
      </c>
      <c r="J137" s="211" t="str">
        <f>IF(AND($F$8=1,'3_Part_time'!L31&lt;0),J$116&amp;", "&amp;J$117&amp;", Price group "&amp;$B137&amp;", "&amp;$C137&amp;" length, Level "&amp;$D137&amp;"; ","")</f>
        <v/>
      </c>
      <c r="L137" s="118"/>
      <c r="U137" s="7"/>
      <c r="V137" s="7"/>
      <c r="W137" s="7"/>
    </row>
    <row r="138" spans="2:23" x14ac:dyDescent="0.35">
      <c r="B138" s="20" t="s">
        <v>225</v>
      </c>
      <c r="C138" s="53" t="s">
        <v>218</v>
      </c>
      <c r="D138" s="13" t="s">
        <v>210</v>
      </c>
      <c r="E138" s="1609" t="str">
        <f>IF(AND($F$8=1,'3_Part_time'!G32&lt;0),E$116&amp;", "&amp;E$117&amp;", Price group "&amp;$B138&amp;", "&amp;$C138&amp;" length, Level "&amp;$D138&amp;"; ","")</f>
        <v/>
      </c>
      <c r="F138" s="7" t="str">
        <f>IF(AND($F$8=1,'3_Part_time'!H32&lt;0),F$116&amp;", "&amp;F$117&amp;", Price group "&amp;$B138&amp;", "&amp;$C138&amp;" length, Level "&amp;$D138&amp;"; ","")</f>
        <v/>
      </c>
      <c r="G138" s="211" t="str">
        <f>IF(AND($F$8=1,'3_Part_time'!I32&lt;0),G$116&amp;", "&amp;G$117&amp;", Price group "&amp;$B138&amp;", "&amp;$C138&amp;" length, Level "&amp;$D138&amp;"; ","")</f>
        <v/>
      </c>
      <c r="H138" s="1609" t="str">
        <f>IF(AND($F$8=1,'3_Part_time'!J32&lt;0),H$116&amp;", "&amp;H$117&amp;", Price group "&amp;$B138&amp;", "&amp;$C138&amp;" length, Level "&amp;$D138&amp;"; ","")</f>
        <v/>
      </c>
      <c r="I138" s="7" t="str">
        <f>IF(AND($F$8=1,'3_Part_time'!K32&lt;0),I$116&amp;", "&amp;I$117&amp;", Price group "&amp;$B138&amp;", "&amp;$C138&amp;" length, Level "&amp;$D138&amp;"; ","")</f>
        <v/>
      </c>
      <c r="J138" s="211" t="str">
        <f>IF(AND($F$8=1,'3_Part_time'!L32&lt;0),J$116&amp;", "&amp;J$117&amp;", Price group "&amp;$B138&amp;", "&amp;$C138&amp;" length, Level "&amp;$D138&amp;"; ","")</f>
        <v/>
      </c>
      <c r="L138" s="118"/>
      <c r="U138" s="7"/>
      <c r="V138" s="7"/>
      <c r="W138" s="7"/>
    </row>
    <row r="139" spans="2:23" x14ac:dyDescent="0.35">
      <c r="B139" s="20" t="s">
        <v>225</v>
      </c>
      <c r="C139" s="53" t="s">
        <v>218</v>
      </c>
      <c r="D139" s="13" t="s">
        <v>212</v>
      </c>
      <c r="E139" s="1609" t="str">
        <f>IF(AND($F$8=1,'3_Part_time'!G33&lt;0),E$116&amp;", "&amp;E$117&amp;", Price group "&amp;$B139&amp;", "&amp;$C139&amp;" length, Level "&amp;$D139&amp;"; ","")</f>
        <v/>
      </c>
      <c r="F139" s="7" t="str">
        <f>IF(AND($F$8=1,'3_Part_time'!H33&lt;0),F$116&amp;", "&amp;F$117&amp;", Price group "&amp;$B139&amp;", "&amp;$C139&amp;" length, Level "&amp;$D139&amp;"; ","")</f>
        <v/>
      </c>
      <c r="G139" s="211" t="str">
        <f>IF(AND($F$8=1,'3_Part_time'!I33&lt;0),G$116&amp;", "&amp;G$117&amp;", Price group "&amp;$B139&amp;", "&amp;$C139&amp;" length, Level "&amp;$D139&amp;"; ","")</f>
        <v/>
      </c>
      <c r="H139" s="1609" t="str">
        <f>IF(AND($F$8=1,'3_Part_time'!J33&lt;0),H$116&amp;", "&amp;H$117&amp;", Price group "&amp;$B139&amp;", "&amp;$C139&amp;" length, Level "&amp;$D139&amp;"; ","")</f>
        <v/>
      </c>
      <c r="I139" s="7" t="str">
        <f>IF(AND($F$8=1,'3_Part_time'!K33&lt;0),I$116&amp;", "&amp;I$117&amp;", Price group "&amp;$B139&amp;", "&amp;$C139&amp;" length, Level "&amp;$D139&amp;"; ","")</f>
        <v/>
      </c>
      <c r="J139" s="211" t="str">
        <f>IF(AND($F$8=1,'3_Part_time'!L33&lt;0),J$116&amp;", "&amp;J$117&amp;", Price group "&amp;$B139&amp;", "&amp;$C139&amp;" length, Level "&amp;$D139&amp;"; ","")</f>
        <v/>
      </c>
      <c r="L139" s="118"/>
      <c r="U139" s="7"/>
      <c r="V139" s="7"/>
      <c r="W139" s="7"/>
    </row>
    <row r="140" spans="2:23" x14ac:dyDescent="0.35">
      <c r="B140" s="20" t="s">
        <v>225</v>
      </c>
      <c r="C140" s="53" t="s">
        <v>218</v>
      </c>
      <c r="D140" s="13" t="s">
        <v>214</v>
      </c>
      <c r="E140" s="1609" t="str">
        <f>IF(AND($F$8=1,'3_Part_time'!G34&lt;0),E$116&amp;", "&amp;E$117&amp;", Price group "&amp;$B140&amp;", "&amp;$C140&amp;" length, Level "&amp;$D140&amp;"; ","")</f>
        <v/>
      </c>
      <c r="F140" s="7" t="str">
        <f>IF(AND($F$8=1,'3_Part_time'!H34&lt;0),F$116&amp;", "&amp;F$117&amp;", Price group "&amp;$B140&amp;", "&amp;$C140&amp;" length, Level "&amp;$D140&amp;"; ","")</f>
        <v/>
      </c>
      <c r="G140" s="211" t="str">
        <f>IF(AND($F$8=1,'3_Part_time'!I34&lt;0),G$116&amp;", "&amp;G$117&amp;", Price group "&amp;$B140&amp;", "&amp;$C140&amp;" length, Level "&amp;$D140&amp;"; ","")</f>
        <v/>
      </c>
      <c r="H140" s="1609" t="str">
        <f>IF(AND($F$8=1,'3_Part_time'!J34&lt;0),H$116&amp;", "&amp;H$117&amp;", Price group "&amp;$B140&amp;", "&amp;$C140&amp;" length, Level "&amp;$D140&amp;"; ","")</f>
        <v/>
      </c>
      <c r="I140" s="7" t="str">
        <f>IF(AND($F$8=1,'3_Part_time'!K34&lt;0),I$116&amp;", "&amp;I$117&amp;", Price group "&amp;$B140&amp;", "&amp;$C140&amp;" length, Level "&amp;$D140&amp;"; ","")</f>
        <v/>
      </c>
      <c r="J140" s="211" t="str">
        <f>IF(AND($F$8=1,'3_Part_time'!L34&lt;0),J$116&amp;", "&amp;J$117&amp;", Price group "&amp;$B140&amp;", "&amp;$C140&amp;" length, Level "&amp;$D140&amp;"; ","")</f>
        <v/>
      </c>
      <c r="L140" s="118"/>
      <c r="U140" s="7"/>
      <c r="V140" s="7"/>
      <c r="W140" s="7"/>
    </row>
    <row r="141" spans="2:23" x14ac:dyDescent="0.35">
      <c r="B141" s="20" t="s">
        <v>225</v>
      </c>
      <c r="C141" s="53" t="s">
        <v>218</v>
      </c>
      <c r="D141" s="13" t="s">
        <v>216</v>
      </c>
      <c r="E141" s="1432"/>
      <c r="F141" s="1409" t="str">
        <f>IF(AND($F$8=1,'3_Part_time'!H35&lt;0),F$116&amp;", "&amp;F$117&amp;", Price group "&amp;$B141&amp;", "&amp;$C141&amp;" length, Level "&amp;$D141&amp;"; ","")</f>
        <v/>
      </c>
      <c r="G141" s="1433" t="str">
        <f>IF(AND($F$8=1,'3_Part_time'!I35&lt;0),G$116&amp;", "&amp;G$117&amp;", Price group "&amp;$B141&amp;", "&amp;$C141&amp;" length, Level "&amp;$D141&amp;"; ","")</f>
        <v/>
      </c>
      <c r="H141" s="1432"/>
      <c r="I141" s="1409" t="str">
        <f>IF(AND($F$8=1,'3_Part_time'!K35&lt;0),I$116&amp;", "&amp;I$117&amp;", Price group "&amp;$B141&amp;", "&amp;$C141&amp;" length, Level "&amp;$D141&amp;"; ","")</f>
        <v/>
      </c>
      <c r="J141" s="1433" t="str">
        <f>IF(AND($F$8=1,'3_Part_time'!L35&lt;0),J$116&amp;", "&amp;J$117&amp;", Price group "&amp;$B141&amp;", "&amp;$C141&amp;" length, Level "&amp;$D141&amp;"; ","")</f>
        <v/>
      </c>
      <c r="L141" s="118"/>
      <c r="U141" s="7"/>
      <c r="V141" s="7"/>
      <c r="W141" s="7"/>
    </row>
    <row r="142" spans="2:23" x14ac:dyDescent="0.35">
      <c r="B142" s="20" t="s">
        <v>238</v>
      </c>
      <c r="C142" s="53" t="s">
        <v>204</v>
      </c>
      <c r="D142" s="13" t="s">
        <v>205</v>
      </c>
      <c r="E142" s="1813" t="str">
        <f>IF(AND($F$8=1,'3_Part_time'!G36&lt;0),E$116&amp;", "&amp;E$117&amp;", Price group "&amp;$B142&amp;", "&amp;$C142&amp;" length, Level "&amp;$D142&amp;"; ","")</f>
        <v/>
      </c>
      <c r="F142" s="1412" t="str">
        <f>IF(AND($F$8=1,'3_Part_time'!H36&lt;0),F$116&amp;", "&amp;F$117&amp;", Price group "&amp;$B142&amp;", "&amp;$C142&amp;" length, Level "&amp;$D142&amp;"; ","")</f>
        <v/>
      </c>
      <c r="G142" s="1789" t="str">
        <f>IF(AND($F$8=1,'3_Part_time'!I36&lt;0),G$116&amp;", "&amp;G$117&amp;", Price group "&amp;$B142&amp;", "&amp;$C142&amp;" length, Level "&amp;$D142&amp;"; ","")</f>
        <v/>
      </c>
      <c r="H142" s="1813" t="str">
        <f>IF(AND($F$8=1,'3_Part_time'!J36&lt;0),H$116&amp;", "&amp;H$117&amp;", Price group "&amp;$B142&amp;", "&amp;$C142&amp;" length, Level "&amp;$D142&amp;"; ","")</f>
        <v/>
      </c>
      <c r="I142" s="1412" t="str">
        <f>IF(AND($F$8=1,'3_Part_time'!K36&lt;0),I$116&amp;", "&amp;I$117&amp;", Price group "&amp;$B142&amp;", "&amp;$C142&amp;" length, Level "&amp;$D142&amp;"; ","")</f>
        <v/>
      </c>
      <c r="J142" s="1789" t="str">
        <f>IF(AND($F$8=1,'3_Part_time'!L36&lt;0),J$116&amp;", "&amp;J$117&amp;", Price group "&amp;$B142&amp;", "&amp;$C142&amp;" length, Level "&amp;$D142&amp;"; ","")</f>
        <v/>
      </c>
      <c r="L142" s="118"/>
      <c r="U142" s="7"/>
      <c r="V142" s="7"/>
      <c r="W142" s="7"/>
    </row>
    <row r="143" spans="2:23" x14ac:dyDescent="0.35">
      <c r="B143" s="20" t="s">
        <v>238</v>
      </c>
      <c r="C143" s="53" t="s">
        <v>204</v>
      </c>
      <c r="D143" s="13" t="s">
        <v>208</v>
      </c>
      <c r="E143" s="1609" t="str">
        <f>IF(AND($F$8=1,'3_Part_time'!G37&lt;0),E$116&amp;", "&amp;E$117&amp;", Price group "&amp;$B143&amp;", "&amp;$C143&amp;" length, Level "&amp;$D143&amp;"; ","")</f>
        <v/>
      </c>
      <c r="F143" s="7" t="str">
        <f>IF(AND($F$8=1,'3_Part_time'!H37&lt;0),F$116&amp;", "&amp;F$117&amp;", Price group "&amp;$B143&amp;", "&amp;$C143&amp;" length, Level "&amp;$D143&amp;"; ","")</f>
        <v/>
      </c>
      <c r="G143" s="211" t="str">
        <f>IF(AND($F$8=1,'3_Part_time'!I37&lt;0),G$116&amp;", "&amp;G$117&amp;", Price group "&amp;$B143&amp;", "&amp;$C143&amp;" length, Level "&amp;$D143&amp;"; ","")</f>
        <v/>
      </c>
      <c r="H143" s="1609" t="str">
        <f>IF(AND($F$8=1,'3_Part_time'!J37&lt;0),H$116&amp;", "&amp;H$117&amp;", Price group "&amp;$B143&amp;", "&amp;$C143&amp;" length, Level "&amp;$D143&amp;"; ","")</f>
        <v/>
      </c>
      <c r="I143" s="7" t="str">
        <f>IF(AND($F$8=1,'3_Part_time'!K37&lt;0),I$116&amp;", "&amp;I$117&amp;", Price group "&amp;$B143&amp;", "&amp;$C143&amp;" length, Level "&amp;$D143&amp;"; ","")</f>
        <v/>
      </c>
      <c r="J143" s="211" t="str">
        <f>IF(AND($F$8=1,'3_Part_time'!L37&lt;0),J$116&amp;", "&amp;J$117&amp;", Price group "&amp;$B143&amp;", "&amp;$C143&amp;" length, Level "&amp;$D143&amp;"; ","")</f>
        <v/>
      </c>
      <c r="L143" s="118"/>
      <c r="U143" s="7"/>
      <c r="V143" s="7"/>
      <c r="W143" s="7"/>
    </row>
    <row r="144" spans="2:23" x14ac:dyDescent="0.35">
      <c r="B144" s="20" t="s">
        <v>238</v>
      </c>
      <c r="C144" s="53" t="s">
        <v>204</v>
      </c>
      <c r="D144" s="13" t="s">
        <v>210</v>
      </c>
      <c r="E144" s="1609" t="str">
        <f>IF(AND($F$8=1,'3_Part_time'!G38&lt;0),E$116&amp;", "&amp;E$117&amp;", Price group "&amp;$B144&amp;", "&amp;$C144&amp;" length, Level "&amp;$D144&amp;"; ","")</f>
        <v/>
      </c>
      <c r="F144" s="7" t="str">
        <f>IF(AND($F$8=1,'3_Part_time'!H38&lt;0),F$116&amp;", "&amp;F$117&amp;", Price group "&amp;$B144&amp;", "&amp;$C144&amp;" length, Level "&amp;$D144&amp;"; ","")</f>
        <v/>
      </c>
      <c r="G144" s="211" t="str">
        <f>IF(AND($F$8=1,'3_Part_time'!I38&lt;0),G$116&amp;", "&amp;G$117&amp;", Price group "&amp;$B144&amp;", "&amp;$C144&amp;" length, Level "&amp;$D144&amp;"; ","")</f>
        <v/>
      </c>
      <c r="H144" s="1609" t="str">
        <f>IF(AND($F$8=1,'3_Part_time'!J38&lt;0),H$116&amp;", "&amp;H$117&amp;", Price group "&amp;$B144&amp;", "&amp;$C144&amp;" length, Level "&amp;$D144&amp;"; ","")</f>
        <v/>
      </c>
      <c r="I144" s="7" t="str">
        <f>IF(AND($F$8=1,'3_Part_time'!K38&lt;0),I$116&amp;", "&amp;I$117&amp;", Price group "&amp;$B144&amp;", "&amp;$C144&amp;" length, Level "&amp;$D144&amp;"; ","")</f>
        <v/>
      </c>
      <c r="J144" s="211" t="str">
        <f>IF(AND($F$8=1,'3_Part_time'!L38&lt;0),J$116&amp;", "&amp;J$117&amp;", Price group "&amp;$B144&amp;", "&amp;$C144&amp;" length, Level "&amp;$D144&amp;"; ","")</f>
        <v/>
      </c>
      <c r="L144" s="118"/>
      <c r="U144" s="7"/>
      <c r="V144" s="7"/>
      <c r="W144" s="7"/>
    </row>
    <row r="145" spans="2:23" x14ac:dyDescent="0.35">
      <c r="B145" s="20" t="s">
        <v>238</v>
      </c>
      <c r="C145" s="53" t="s">
        <v>204</v>
      </c>
      <c r="D145" s="13" t="s">
        <v>212</v>
      </c>
      <c r="E145" s="1609" t="str">
        <f>IF(AND($F$8=1,'3_Part_time'!G39&lt;0),E$116&amp;", "&amp;E$117&amp;", Price group "&amp;$B145&amp;", "&amp;$C145&amp;" length, Level "&amp;$D145&amp;"; ","")</f>
        <v/>
      </c>
      <c r="F145" s="7" t="str">
        <f>IF(AND($F$8=1,'3_Part_time'!H39&lt;0),F$116&amp;", "&amp;F$117&amp;", Price group "&amp;$B145&amp;", "&amp;$C145&amp;" length, Level "&amp;$D145&amp;"; ","")</f>
        <v/>
      </c>
      <c r="G145" s="211" t="str">
        <f>IF(AND($F$8=1,'3_Part_time'!I39&lt;0),G$116&amp;", "&amp;G$117&amp;", Price group "&amp;$B145&amp;", "&amp;$C145&amp;" length, Level "&amp;$D145&amp;"; ","")</f>
        <v/>
      </c>
      <c r="H145" s="1609" t="str">
        <f>IF(AND($F$8=1,'3_Part_time'!J39&lt;0),H$116&amp;", "&amp;H$117&amp;", Price group "&amp;$B145&amp;", "&amp;$C145&amp;" length, Level "&amp;$D145&amp;"; ","")</f>
        <v/>
      </c>
      <c r="I145" s="7" t="str">
        <f>IF(AND($F$8=1,'3_Part_time'!K39&lt;0),I$116&amp;", "&amp;I$117&amp;", Price group "&amp;$B145&amp;", "&amp;$C145&amp;" length, Level "&amp;$D145&amp;"; ","")</f>
        <v/>
      </c>
      <c r="J145" s="211" t="str">
        <f>IF(AND($F$8=1,'3_Part_time'!L39&lt;0),J$116&amp;", "&amp;J$117&amp;", Price group "&amp;$B145&amp;", "&amp;$C145&amp;" length, Level "&amp;$D145&amp;"; ","")</f>
        <v/>
      </c>
      <c r="L145" s="118"/>
      <c r="U145" s="7"/>
      <c r="V145" s="7"/>
      <c r="W145" s="7"/>
    </row>
    <row r="146" spans="2:23" x14ac:dyDescent="0.35">
      <c r="B146" s="20" t="s">
        <v>238</v>
      </c>
      <c r="C146" s="53" t="s">
        <v>204</v>
      </c>
      <c r="D146" s="13" t="s">
        <v>214</v>
      </c>
      <c r="E146" s="1609" t="str">
        <f>IF(AND($F$8=1,'3_Part_time'!G40&lt;0),E$116&amp;", "&amp;E$117&amp;", Price group "&amp;$B146&amp;", "&amp;$C146&amp;" length, Level "&amp;$D146&amp;"; ","")</f>
        <v/>
      </c>
      <c r="F146" s="7" t="str">
        <f>IF(AND($F$8=1,'3_Part_time'!H40&lt;0),F$116&amp;", "&amp;F$117&amp;", Price group "&amp;$B146&amp;", "&amp;$C146&amp;" length, Level "&amp;$D146&amp;"; ","")</f>
        <v/>
      </c>
      <c r="G146" s="211" t="str">
        <f>IF(AND($F$8=1,'3_Part_time'!I40&lt;0),G$116&amp;", "&amp;G$117&amp;", Price group "&amp;$B146&amp;", "&amp;$C146&amp;" length, Level "&amp;$D146&amp;"; ","")</f>
        <v/>
      </c>
      <c r="H146" s="1609" t="str">
        <f>IF(AND($F$8=1,'3_Part_time'!J40&lt;0),H$116&amp;", "&amp;H$117&amp;", Price group "&amp;$B146&amp;", "&amp;$C146&amp;" length, Level "&amp;$D146&amp;"; ","")</f>
        <v/>
      </c>
      <c r="I146" s="7" t="str">
        <f>IF(AND($F$8=1,'3_Part_time'!K40&lt;0),I$116&amp;", "&amp;I$117&amp;", Price group "&amp;$B146&amp;", "&amp;$C146&amp;" length, Level "&amp;$D146&amp;"; ","")</f>
        <v/>
      </c>
      <c r="J146" s="211" t="str">
        <f>IF(AND($F$8=1,'3_Part_time'!L40&lt;0),J$116&amp;", "&amp;J$117&amp;", Price group "&amp;$B146&amp;", "&amp;$C146&amp;" length, Level "&amp;$D146&amp;"; ","")</f>
        <v/>
      </c>
      <c r="L146" s="118"/>
      <c r="U146" s="7"/>
      <c r="V146" s="7"/>
      <c r="W146" s="7"/>
    </row>
    <row r="147" spans="2:23" x14ac:dyDescent="0.35">
      <c r="B147" s="20" t="s">
        <v>238</v>
      </c>
      <c r="C147" s="53" t="s">
        <v>204</v>
      </c>
      <c r="D147" s="13" t="s">
        <v>216</v>
      </c>
      <c r="E147" s="1428"/>
      <c r="F147" s="1429" t="str">
        <f>IF(AND($F$8=1,'3_Part_time'!H41&lt;0),F$116&amp;", "&amp;F$117&amp;", Price group "&amp;$B147&amp;", "&amp;$C147&amp;" length, Level "&amp;$D147&amp;"; ","")</f>
        <v/>
      </c>
      <c r="G147" s="1430" t="str">
        <f>IF(AND($F$8=1,'3_Part_time'!I41&lt;0),G$116&amp;", "&amp;G$117&amp;", Price group "&amp;$B147&amp;", "&amp;$C147&amp;" length, Level "&amp;$D147&amp;"; ","")</f>
        <v/>
      </c>
      <c r="H147" s="1428"/>
      <c r="I147" s="1429" t="str">
        <f>IF(AND($F$8=1,'3_Part_time'!K41&lt;0),I$116&amp;", "&amp;I$117&amp;", Price group "&amp;$B147&amp;", "&amp;$C147&amp;" length, Level "&amp;$D147&amp;"; ","")</f>
        <v/>
      </c>
      <c r="J147" s="1430" t="str">
        <f>IF(AND($F$8=1,'3_Part_time'!L41&lt;0),J$116&amp;", "&amp;J$117&amp;", Price group "&amp;$B147&amp;", "&amp;$C147&amp;" length, Level "&amp;$D147&amp;"; ","")</f>
        <v/>
      </c>
      <c r="L147" s="118"/>
      <c r="U147" s="7"/>
      <c r="V147" s="7"/>
      <c r="W147" s="7"/>
    </row>
    <row r="148" spans="2:23" x14ac:dyDescent="0.35">
      <c r="B148" s="20" t="s">
        <v>238</v>
      </c>
      <c r="C148" s="53" t="s">
        <v>218</v>
      </c>
      <c r="D148" s="13" t="s">
        <v>205</v>
      </c>
      <c r="E148" s="1609" t="str">
        <f>IF(AND($F$8=1,'3_Part_time'!G42&lt;0),E$116&amp;", "&amp;E$117&amp;", Price group "&amp;$B148&amp;", "&amp;$C148&amp;" length, Level "&amp;$D148&amp;"; ","")</f>
        <v/>
      </c>
      <c r="F148" s="7" t="str">
        <f>IF(AND($F$8=1,'3_Part_time'!H42&lt;0),F$116&amp;", "&amp;F$117&amp;", Price group "&amp;$B148&amp;", "&amp;$C148&amp;" length, Level "&amp;$D148&amp;"; ","")</f>
        <v/>
      </c>
      <c r="G148" s="211" t="str">
        <f>IF(AND($F$8=1,'3_Part_time'!I42&lt;0),G$116&amp;", "&amp;G$117&amp;", Price group "&amp;$B148&amp;", "&amp;$C148&amp;" length, Level "&amp;$D148&amp;"; ","")</f>
        <v/>
      </c>
      <c r="H148" s="1609" t="str">
        <f>IF(AND($F$8=1,'3_Part_time'!J42&lt;0),H$116&amp;", "&amp;H$117&amp;", Price group "&amp;$B148&amp;", "&amp;$C148&amp;" length, Level "&amp;$D148&amp;"; ","")</f>
        <v/>
      </c>
      <c r="I148" s="7" t="str">
        <f>IF(AND($F$8=1,'3_Part_time'!K42&lt;0),I$116&amp;", "&amp;I$117&amp;", Price group "&amp;$B148&amp;", "&amp;$C148&amp;" length, Level "&amp;$D148&amp;"; ","")</f>
        <v/>
      </c>
      <c r="J148" s="211" t="str">
        <f>IF(AND($F$8=1,'3_Part_time'!L42&lt;0),J$116&amp;", "&amp;J$117&amp;", Price group "&amp;$B148&amp;", "&amp;$C148&amp;" length, Level "&amp;$D148&amp;"; ","")</f>
        <v/>
      </c>
      <c r="L148" s="118"/>
      <c r="U148" s="7"/>
      <c r="V148" s="7"/>
      <c r="W148" s="7"/>
    </row>
    <row r="149" spans="2:23" x14ac:dyDescent="0.35">
      <c r="B149" s="20" t="s">
        <v>238</v>
      </c>
      <c r="C149" s="53" t="s">
        <v>218</v>
      </c>
      <c r="D149" s="13" t="s">
        <v>208</v>
      </c>
      <c r="E149" s="1609" t="str">
        <f>IF(AND($F$8=1,'3_Part_time'!G43&lt;0),E$116&amp;", "&amp;E$117&amp;", Price group "&amp;$B149&amp;", "&amp;$C149&amp;" length, Level "&amp;$D149&amp;"; ","")</f>
        <v/>
      </c>
      <c r="F149" s="7" t="str">
        <f>IF(AND($F$8=1,'3_Part_time'!H43&lt;0),F$116&amp;", "&amp;F$117&amp;", Price group "&amp;$B149&amp;", "&amp;$C149&amp;" length, Level "&amp;$D149&amp;"; ","")</f>
        <v/>
      </c>
      <c r="G149" s="211" t="str">
        <f>IF(AND($F$8=1,'3_Part_time'!I43&lt;0),G$116&amp;", "&amp;G$117&amp;", Price group "&amp;$B149&amp;", "&amp;$C149&amp;" length, Level "&amp;$D149&amp;"; ","")</f>
        <v/>
      </c>
      <c r="H149" s="1609" t="str">
        <f>IF(AND($F$8=1,'3_Part_time'!J43&lt;0),H$116&amp;", "&amp;H$117&amp;", Price group "&amp;$B149&amp;", "&amp;$C149&amp;" length, Level "&amp;$D149&amp;"; ","")</f>
        <v/>
      </c>
      <c r="I149" s="7" t="str">
        <f>IF(AND($F$8=1,'3_Part_time'!K43&lt;0),I$116&amp;", "&amp;I$117&amp;", Price group "&amp;$B149&amp;", "&amp;$C149&amp;" length, Level "&amp;$D149&amp;"; ","")</f>
        <v/>
      </c>
      <c r="J149" s="211" t="str">
        <f>IF(AND($F$8=1,'3_Part_time'!L43&lt;0),J$116&amp;", "&amp;J$117&amp;", Price group "&amp;$B149&amp;", "&amp;$C149&amp;" length, Level "&amp;$D149&amp;"; ","")</f>
        <v/>
      </c>
      <c r="L149" s="118"/>
      <c r="U149" s="7"/>
      <c r="V149" s="7"/>
      <c r="W149" s="7"/>
    </row>
    <row r="150" spans="2:23" x14ac:dyDescent="0.35">
      <c r="B150" s="20" t="s">
        <v>238</v>
      </c>
      <c r="C150" s="53" t="s">
        <v>218</v>
      </c>
      <c r="D150" s="13" t="s">
        <v>210</v>
      </c>
      <c r="E150" s="1609" t="str">
        <f>IF(AND($F$8=1,'3_Part_time'!G44&lt;0),E$116&amp;", "&amp;E$117&amp;", Price group "&amp;$B150&amp;", "&amp;$C150&amp;" length, Level "&amp;$D150&amp;"; ","")</f>
        <v/>
      </c>
      <c r="F150" s="7" t="str">
        <f>IF(AND($F$8=1,'3_Part_time'!H44&lt;0),F$116&amp;", "&amp;F$117&amp;", Price group "&amp;$B150&amp;", "&amp;$C150&amp;" length, Level "&amp;$D150&amp;"; ","")</f>
        <v/>
      </c>
      <c r="G150" s="211" t="str">
        <f>IF(AND($F$8=1,'3_Part_time'!I44&lt;0),G$116&amp;", "&amp;G$117&amp;", Price group "&amp;$B150&amp;", "&amp;$C150&amp;" length, Level "&amp;$D150&amp;"; ","")</f>
        <v/>
      </c>
      <c r="H150" s="1609" t="str">
        <f>IF(AND($F$8=1,'3_Part_time'!J44&lt;0),H$116&amp;", "&amp;H$117&amp;", Price group "&amp;$B150&amp;", "&amp;$C150&amp;" length, Level "&amp;$D150&amp;"; ","")</f>
        <v/>
      </c>
      <c r="I150" s="7" t="str">
        <f>IF(AND($F$8=1,'3_Part_time'!K44&lt;0),I$116&amp;", "&amp;I$117&amp;", Price group "&amp;$B150&amp;", "&amp;$C150&amp;" length, Level "&amp;$D150&amp;"; ","")</f>
        <v/>
      </c>
      <c r="J150" s="211" t="str">
        <f>IF(AND($F$8=1,'3_Part_time'!L44&lt;0),J$116&amp;", "&amp;J$117&amp;", Price group "&amp;$B150&amp;", "&amp;$C150&amp;" length, Level "&amp;$D150&amp;"; ","")</f>
        <v/>
      </c>
      <c r="L150" s="118"/>
      <c r="U150" s="7"/>
      <c r="V150" s="7"/>
      <c r="W150" s="7"/>
    </row>
    <row r="151" spans="2:23" x14ac:dyDescent="0.35">
      <c r="B151" s="20" t="s">
        <v>238</v>
      </c>
      <c r="C151" s="53" t="s">
        <v>218</v>
      </c>
      <c r="D151" s="13" t="s">
        <v>212</v>
      </c>
      <c r="E151" s="1609" t="str">
        <f>IF(AND($F$8=1,'3_Part_time'!G45&lt;0),E$116&amp;", "&amp;E$117&amp;", Price group "&amp;$B151&amp;", "&amp;$C151&amp;" length, Level "&amp;$D151&amp;"; ","")</f>
        <v/>
      </c>
      <c r="F151" s="7" t="str">
        <f>IF(AND($F$8=1,'3_Part_time'!H45&lt;0),F$116&amp;", "&amp;F$117&amp;", Price group "&amp;$B151&amp;", "&amp;$C151&amp;" length, Level "&amp;$D151&amp;"; ","")</f>
        <v/>
      </c>
      <c r="G151" s="211" t="str">
        <f>IF(AND($F$8=1,'3_Part_time'!I45&lt;0),G$116&amp;", "&amp;G$117&amp;", Price group "&amp;$B151&amp;", "&amp;$C151&amp;" length, Level "&amp;$D151&amp;"; ","")</f>
        <v/>
      </c>
      <c r="H151" s="1609" t="str">
        <f>IF(AND($F$8=1,'3_Part_time'!J45&lt;0),H$116&amp;", "&amp;H$117&amp;", Price group "&amp;$B151&amp;", "&amp;$C151&amp;" length, Level "&amp;$D151&amp;"; ","")</f>
        <v/>
      </c>
      <c r="I151" s="7" t="str">
        <f>IF(AND($F$8=1,'3_Part_time'!K45&lt;0),I$116&amp;", "&amp;I$117&amp;", Price group "&amp;$B151&amp;", "&amp;$C151&amp;" length, Level "&amp;$D151&amp;"; ","")</f>
        <v/>
      </c>
      <c r="J151" s="211" t="str">
        <f>IF(AND($F$8=1,'3_Part_time'!L45&lt;0),J$116&amp;", "&amp;J$117&amp;", Price group "&amp;$B151&amp;", "&amp;$C151&amp;" length, Level "&amp;$D151&amp;"; ","")</f>
        <v/>
      </c>
      <c r="L151" s="118"/>
      <c r="U151" s="7"/>
      <c r="V151" s="7"/>
      <c r="W151" s="7"/>
    </row>
    <row r="152" spans="2:23" x14ac:dyDescent="0.35">
      <c r="B152" s="20" t="s">
        <v>238</v>
      </c>
      <c r="C152" s="53" t="s">
        <v>218</v>
      </c>
      <c r="D152" s="13" t="s">
        <v>214</v>
      </c>
      <c r="E152" s="1609" t="str">
        <f>IF(AND($F$8=1,'3_Part_time'!G46&lt;0),E$116&amp;", "&amp;E$117&amp;", Price group "&amp;$B152&amp;", "&amp;$C152&amp;" length, Level "&amp;$D152&amp;"; ","")</f>
        <v/>
      </c>
      <c r="F152" s="7" t="str">
        <f>IF(AND($F$8=1,'3_Part_time'!H46&lt;0),F$116&amp;", "&amp;F$117&amp;", Price group "&amp;$B152&amp;", "&amp;$C152&amp;" length, Level "&amp;$D152&amp;"; ","")</f>
        <v/>
      </c>
      <c r="G152" s="211" t="str">
        <f>IF(AND($F$8=1,'3_Part_time'!I46&lt;0),G$116&amp;", "&amp;G$117&amp;", Price group "&amp;$B152&amp;", "&amp;$C152&amp;" length, Level "&amp;$D152&amp;"; ","")</f>
        <v/>
      </c>
      <c r="H152" s="1609" t="str">
        <f>IF(AND($F$8=1,'3_Part_time'!J46&lt;0),H$116&amp;", "&amp;H$117&amp;", Price group "&amp;$B152&amp;", "&amp;$C152&amp;" length, Level "&amp;$D152&amp;"; ","")</f>
        <v/>
      </c>
      <c r="I152" s="7" t="str">
        <f>IF(AND($F$8=1,'3_Part_time'!K46&lt;0),I$116&amp;", "&amp;I$117&amp;", Price group "&amp;$B152&amp;", "&amp;$C152&amp;" length, Level "&amp;$D152&amp;"; ","")</f>
        <v/>
      </c>
      <c r="J152" s="211" t="str">
        <f>IF(AND($F$8=1,'3_Part_time'!L46&lt;0),J$116&amp;", "&amp;J$117&amp;", Price group "&amp;$B152&amp;", "&amp;$C152&amp;" length, Level "&amp;$D152&amp;"; ","")</f>
        <v/>
      </c>
      <c r="L152" s="118"/>
      <c r="U152" s="7"/>
      <c r="V152" s="7"/>
      <c r="W152" s="7"/>
    </row>
    <row r="153" spans="2:23" x14ac:dyDescent="0.35">
      <c r="B153" s="20" t="s">
        <v>238</v>
      </c>
      <c r="C153" s="53" t="s">
        <v>218</v>
      </c>
      <c r="D153" s="13" t="s">
        <v>216</v>
      </c>
      <c r="E153" s="1432"/>
      <c r="F153" s="1409" t="str">
        <f>IF(AND($F$8=1,'3_Part_time'!H47&lt;0),F$116&amp;", "&amp;F$117&amp;", Price group "&amp;$B153&amp;", "&amp;$C153&amp;" length, Level "&amp;$D153&amp;"; ","")</f>
        <v/>
      </c>
      <c r="G153" s="1433" t="str">
        <f>IF(AND($F$8=1,'3_Part_time'!I47&lt;0),G$116&amp;", "&amp;G$117&amp;", Price group "&amp;$B153&amp;", "&amp;$C153&amp;" length, Level "&amp;$D153&amp;"; ","")</f>
        <v/>
      </c>
      <c r="H153" s="1432"/>
      <c r="I153" s="1409" t="str">
        <f>IF(AND($F$8=1,'3_Part_time'!K47&lt;0),I$116&amp;", "&amp;I$117&amp;", Price group "&amp;$B153&amp;", "&amp;$C153&amp;" length, Level "&amp;$D153&amp;"; ","")</f>
        <v/>
      </c>
      <c r="J153" s="1433" t="str">
        <f>IF(AND($F$8=1,'3_Part_time'!L47&lt;0),J$116&amp;", "&amp;J$117&amp;", Price group "&amp;$B153&amp;", "&amp;$C153&amp;" length, Level "&amp;$D153&amp;"; ","")</f>
        <v/>
      </c>
      <c r="L153" s="118"/>
      <c r="U153" s="7"/>
      <c r="V153" s="7"/>
      <c r="W153" s="7"/>
    </row>
    <row r="154" spans="2:23" x14ac:dyDescent="0.35">
      <c r="B154" s="20" t="s">
        <v>251</v>
      </c>
      <c r="C154" s="53" t="s">
        <v>204</v>
      </c>
      <c r="D154" s="13" t="s">
        <v>205</v>
      </c>
      <c r="E154" s="1813" t="str">
        <f>IF(AND($F$8=1,'3_Part_time'!G48&lt;0),E$116&amp;", "&amp;E$117&amp;", Price group "&amp;$B154&amp;", "&amp;$C154&amp;" length, Level "&amp;$D154&amp;"; ","")</f>
        <v/>
      </c>
      <c r="F154" s="1412" t="str">
        <f>IF(AND($F$8=1,'3_Part_time'!H48&lt;0),F$116&amp;", "&amp;F$117&amp;", Price group "&amp;$B154&amp;", "&amp;$C154&amp;" length, Level "&amp;$D154&amp;"; ","")</f>
        <v/>
      </c>
      <c r="G154" s="1789" t="str">
        <f>IF(AND($F$8=1,'3_Part_time'!I48&lt;0),G$116&amp;", "&amp;G$117&amp;", Price group "&amp;$B154&amp;", "&amp;$C154&amp;" length, Level "&amp;$D154&amp;"; ","")</f>
        <v/>
      </c>
      <c r="H154" s="1813" t="str">
        <f>IF(AND($F$8=1,'3_Part_time'!J48&lt;0),H$116&amp;", "&amp;H$117&amp;", Price group "&amp;$B154&amp;", "&amp;$C154&amp;" length, Level "&amp;$D154&amp;"; ","")</f>
        <v/>
      </c>
      <c r="I154" s="1412" t="str">
        <f>IF(AND($F$8=1,'3_Part_time'!K48&lt;0),I$116&amp;", "&amp;I$117&amp;", Price group "&amp;$B154&amp;", "&amp;$C154&amp;" length, Level "&amp;$D154&amp;"; ","")</f>
        <v/>
      </c>
      <c r="J154" s="1789" t="str">
        <f>IF(AND($F$8=1,'3_Part_time'!L48&lt;0),J$116&amp;", "&amp;J$117&amp;", Price group "&amp;$B154&amp;", "&amp;$C154&amp;" length, Level "&amp;$D154&amp;"; ","")</f>
        <v/>
      </c>
      <c r="L154" s="118"/>
      <c r="U154" s="7"/>
      <c r="V154" s="7"/>
      <c r="W154" s="7"/>
    </row>
    <row r="155" spans="2:23" x14ac:dyDescent="0.35">
      <c r="B155" s="20" t="s">
        <v>251</v>
      </c>
      <c r="C155" s="53" t="s">
        <v>204</v>
      </c>
      <c r="D155" s="13" t="s">
        <v>208</v>
      </c>
      <c r="E155" s="1609" t="str">
        <f>IF(AND($F$8=1,'3_Part_time'!G49&lt;0),E$116&amp;", "&amp;E$117&amp;", Price group "&amp;$B155&amp;", "&amp;$C155&amp;" length, Level "&amp;$D155&amp;"; ","")</f>
        <v/>
      </c>
      <c r="F155" s="7" t="str">
        <f>IF(AND($F$8=1,'3_Part_time'!H49&lt;0),F$116&amp;", "&amp;F$117&amp;", Price group "&amp;$B155&amp;", "&amp;$C155&amp;" length, Level "&amp;$D155&amp;"; ","")</f>
        <v/>
      </c>
      <c r="G155" s="211" t="str">
        <f>IF(AND($F$8=1,'3_Part_time'!I49&lt;0),G$116&amp;", "&amp;G$117&amp;", Price group "&amp;$B155&amp;", "&amp;$C155&amp;" length, Level "&amp;$D155&amp;"; ","")</f>
        <v/>
      </c>
      <c r="H155" s="1609" t="str">
        <f>IF(AND($F$8=1,'3_Part_time'!J49&lt;0),H$116&amp;", "&amp;H$117&amp;", Price group "&amp;$B155&amp;", "&amp;$C155&amp;" length, Level "&amp;$D155&amp;"; ","")</f>
        <v/>
      </c>
      <c r="I155" s="7" t="str">
        <f>IF(AND($F$8=1,'3_Part_time'!K49&lt;0),I$116&amp;", "&amp;I$117&amp;", Price group "&amp;$B155&amp;", "&amp;$C155&amp;" length, Level "&amp;$D155&amp;"; ","")</f>
        <v/>
      </c>
      <c r="J155" s="211" t="str">
        <f>IF(AND($F$8=1,'3_Part_time'!L49&lt;0),J$116&amp;", "&amp;J$117&amp;", Price group "&amp;$B155&amp;", "&amp;$C155&amp;" length, Level "&amp;$D155&amp;"; ","")</f>
        <v/>
      </c>
      <c r="L155" s="118"/>
      <c r="U155" s="7"/>
      <c r="V155" s="7"/>
      <c r="W155" s="7"/>
    </row>
    <row r="156" spans="2:23" x14ac:dyDescent="0.35">
      <c r="B156" s="20" t="s">
        <v>251</v>
      </c>
      <c r="C156" s="53" t="s">
        <v>204</v>
      </c>
      <c r="D156" s="13" t="s">
        <v>210</v>
      </c>
      <c r="E156" s="1609" t="str">
        <f>IF(AND($F$8=1,'3_Part_time'!G50&lt;0),E$116&amp;", "&amp;E$117&amp;", Price group "&amp;$B156&amp;", "&amp;$C156&amp;" length, Level "&amp;$D156&amp;"; ","")</f>
        <v/>
      </c>
      <c r="F156" s="7" t="str">
        <f>IF(AND($F$8=1,'3_Part_time'!H50&lt;0),F$116&amp;", "&amp;F$117&amp;", Price group "&amp;$B156&amp;", "&amp;$C156&amp;" length, Level "&amp;$D156&amp;"; ","")</f>
        <v/>
      </c>
      <c r="G156" s="211" t="str">
        <f>IF(AND($F$8=1,'3_Part_time'!I50&lt;0),G$116&amp;", "&amp;G$117&amp;", Price group "&amp;$B156&amp;", "&amp;$C156&amp;" length, Level "&amp;$D156&amp;"; ","")</f>
        <v/>
      </c>
      <c r="H156" s="1609" t="str">
        <f>IF(AND($F$8=1,'3_Part_time'!J50&lt;0),H$116&amp;", "&amp;H$117&amp;", Price group "&amp;$B156&amp;", "&amp;$C156&amp;" length, Level "&amp;$D156&amp;"; ","")</f>
        <v/>
      </c>
      <c r="I156" s="7" t="str">
        <f>IF(AND($F$8=1,'3_Part_time'!K50&lt;0),I$116&amp;", "&amp;I$117&amp;", Price group "&amp;$B156&amp;", "&amp;$C156&amp;" length, Level "&amp;$D156&amp;"; ","")</f>
        <v/>
      </c>
      <c r="J156" s="211" t="str">
        <f>IF(AND($F$8=1,'3_Part_time'!L50&lt;0),J$116&amp;", "&amp;J$117&amp;", Price group "&amp;$B156&amp;", "&amp;$C156&amp;" length, Level "&amp;$D156&amp;"; ","")</f>
        <v/>
      </c>
      <c r="L156" s="118"/>
      <c r="U156" s="7"/>
      <c r="V156" s="7"/>
      <c r="W156" s="7"/>
    </row>
    <row r="157" spans="2:23" x14ac:dyDescent="0.35">
      <c r="B157" s="20" t="s">
        <v>251</v>
      </c>
      <c r="C157" s="53" t="s">
        <v>204</v>
      </c>
      <c r="D157" s="13" t="s">
        <v>212</v>
      </c>
      <c r="E157" s="1609" t="str">
        <f>IF(AND($F$8=1,'3_Part_time'!G51&lt;0),E$116&amp;", "&amp;E$117&amp;", Price group "&amp;$B157&amp;", "&amp;$C157&amp;" length, Level "&amp;$D157&amp;"; ","")</f>
        <v/>
      </c>
      <c r="F157" s="7" t="str">
        <f>IF(AND($F$8=1,'3_Part_time'!H51&lt;0),F$116&amp;", "&amp;F$117&amp;", Price group "&amp;$B157&amp;", "&amp;$C157&amp;" length, Level "&amp;$D157&amp;"; ","")</f>
        <v/>
      </c>
      <c r="G157" s="211" t="str">
        <f>IF(AND($F$8=1,'3_Part_time'!I51&lt;0),G$116&amp;", "&amp;G$117&amp;", Price group "&amp;$B157&amp;", "&amp;$C157&amp;" length, Level "&amp;$D157&amp;"; ","")</f>
        <v/>
      </c>
      <c r="H157" s="1609" t="str">
        <f>IF(AND($F$8=1,'3_Part_time'!J51&lt;0),H$116&amp;", "&amp;H$117&amp;", Price group "&amp;$B157&amp;", "&amp;$C157&amp;" length, Level "&amp;$D157&amp;"; ","")</f>
        <v/>
      </c>
      <c r="I157" s="7" t="str">
        <f>IF(AND($F$8=1,'3_Part_time'!K51&lt;0),I$116&amp;", "&amp;I$117&amp;", Price group "&amp;$B157&amp;", "&amp;$C157&amp;" length, Level "&amp;$D157&amp;"; ","")</f>
        <v/>
      </c>
      <c r="J157" s="211" t="str">
        <f>IF(AND($F$8=1,'3_Part_time'!L51&lt;0),J$116&amp;", "&amp;J$117&amp;", Price group "&amp;$B157&amp;", "&amp;$C157&amp;" length, Level "&amp;$D157&amp;"; ","")</f>
        <v/>
      </c>
      <c r="L157" s="118"/>
      <c r="U157" s="7"/>
      <c r="V157" s="7"/>
      <c r="W157" s="7"/>
    </row>
    <row r="158" spans="2:23" x14ac:dyDescent="0.35">
      <c r="B158" s="20" t="s">
        <v>251</v>
      </c>
      <c r="C158" s="53" t="s">
        <v>204</v>
      </c>
      <c r="D158" s="13" t="s">
        <v>214</v>
      </c>
      <c r="E158" s="1609" t="str">
        <f>IF(AND($F$8=1,'3_Part_time'!G52&lt;0),E$116&amp;", "&amp;E$117&amp;", Price group "&amp;$B158&amp;", "&amp;$C158&amp;" length, Level "&amp;$D158&amp;"; ","")</f>
        <v/>
      </c>
      <c r="F158" s="7" t="str">
        <f>IF(AND($F$8=1,'3_Part_time'!H52&lt;0),F$116&amp;", "&amp;F$117&amp;", Price group "&amp;$B158&amp;", "&amp;$C158&amp;" length, Level "&amp;$D158&amp;"; ","")</f>
        <v/>
      </c>
      <c r="G158" s="211" t="str">
        <f>IF(AND($F$8=1,'3_Part_time'!I52&lt;0),G$116&amp;", "&amp;G$117&amp;", Price group "&amp;$B158&amp;", "&amp;$C158&amp;" length, Level "&amp;$D158&amp;"; ","")</f>
        <v/>
      </c>
      <c r="H158" s="1609" t="str">
        <f>IF(AND($F$8=1,'3_Part_time'!J52&lt;0),H$116&amp;", "&amp;H$117&amp;", Price group "&amp;$B158&amp;", "&amp;$C158&amp;" length, Level "&amp;$D158&amp;"; ","")</f>
        <v/>
      </c>
      <c r="I158" s="7" t="str">
        <f>IF(AND($F$8=1,'3_Part_time'!K52&lt;0),I$116&amp;", "&amp;I$117&amp;", Price group "&amp;$B158&amp;", "&amp;$C158&amp;" length, Level "&amp;$D158&amp;"; ","")</f>
        <v/>
      </c>
      <c r="J158" s="211" t="str">
        <f>IF(AND($F$8=1,'3_Part_time'!L52&lt;0),J$116&amp;", "&amp;J$117&amp;", Price group "&amp;$B158&amp;", "&amp;$C158&amp;" length, Level "&amp;$D158&amp;"; ","")</f>
        <v/>
      </c>
      <c r="L158" s="118"/>
      <c r="U158" s="7"/>
      <c r="V158" s="7"/>
      <c r="W158" s="7"/>
    </row>
    <row r="159" spans="2:23" x14ac:dyDescent="0.35">
      <c r="B159" s="20" t="s">
        <v>251</v>
      </c>
      <c r="C159" s="53" t="s">
        <v>204</v>
      </c>
      <c r="D159" s="13" t="s">
        <v>216</v>
      </c>
      <c r="E159" s="1428"/>
      <c r="F159" s="1429" t="str">
        <f>IF(AND($F$8=1,'3_Part_time'!H53&lt;0),F$116&amp;", "&amp;F$117&amp;", Price group "&amp;$B159&amp;", "&amp;$C159&amp;" length, Level "&amp;$D159&amp;"; ","")</f>
        <v/>
      </c>
      <c r="G159" s="1430" t="str">
        <f>IF(AND($F$8=1,'3_Part_time'!I53&lt;0),G$116&amp;", "&amp;G$117&amp;", Price group "&amp;$B159&amp;", "&amp;$C159&amp;" length, Level "&amp;$D159&amp;"; ","")</f>
        <v/>
      </c>
      <c r="H159" s="1428"/>
      <c r="I159" s="1429" t="str">
        <f>IF(AND($F$8=1,'3_Part_time'!K53&lt;0),I$116&amp;", "&amp;I$117&amp;", Price group "&amp;$B159&amp;", "&amp;$C159&amp;" length, Level "&amp;$D159&amp;"; ","")</f>
        <v/>
      </c>
      <c r="J159" s="1430" t="str">
        <f>IF(AND($F$8=1,'3_Part_time'!L53&lt;0),J$116&amp;", "&amp;J$117&amp;", Price group "&amp;$B159&amp;", "&amp;$C159&amp;" length, Level "&amp;$D159&amp;"; ","")</f>
        <v/>
      </c>
      <c r="L159" s="118"/>
      <c r="U159" s="7"/>
      <c r="V159" s="7"/>
      <c r="W159" s="7"/>
    </row>
    <row r="160" spans="2:23" x14ac:dyDescent="0.35">
      <c r="B160" s="20" t="s">
        <v>251</v>
      </c>
      <c r="C160" s="53" t="s">
        <v>218</v>
      </c>
      <c r="D160" s="13" t="s">
        <v>205</v>
      </c>
      <c r="E160" s="1609" t="str">
        <f>IF(AND($F$8=1,'3_Part_time'!G54&lt;0),E$116&amp;", "&amp;E$117&amp;", Price group "&amp;$B160&amp;", "&amp;$C160&amp;" length, Level "&amp;$D160&amp;"; ","")</f>
        <v/>
      </c>
      <c r="F160" s="7" t="str">
        <f>IF(AND($F$8=1,'3_Part_time'!H54&lt;0),F$116&amp;", "&amp;F$117&amp;", Price group "&amp;$B160&amp;", "&amp;$C160&amp;" length, Level "&amp;$D160&amp;"; ","")</f>
        <v/>
      </c>
      <c r="G160" s="211" t="str">
        <f>IF(AND($F$8=1,'3_Part_time'!I54&lt;0),G$116&amp;", "&amp;G$117&amp;", Price group "&amp;$B160&amp;", "&amp;$C160&amp;" length, Level "&amp;$D160&amp;"; ","")</f>
        <v/>
      </c>
      <c r="H160" s="1609" t="str">
        <f>IF(AND($F$8=1,'3_Part_time'!J54&lt;0),H$116&amp;", "&amp;H$117&amp;", Price group "&amp;$B160&amp;", "&amp;$C160&amp;" length, Level "&amp;$D160&amp;"; ","")</f>
        <v/>
      </c>
      <c r="I160" s="7" t="str">
        <f>IF(AND($F$8=1,'3_Part_time'!K54&lt;0),I$116&amp;", "&amp;I$117&amp;", Price group "&amp;$B160&amp;", "&amp;$C160&amp;" length, Level "&amp;$D160&amp;"; ","")</f>
        <v/>
      </c>
      <c r="J160" s="211" t="str">
        <f>IF(AND($F$8=1,'3_Part_time'!L54&lt;0),J$116&amp;", "&amp;J$117&amp;", Price group "&amp;$B160&amp;", "&amp;$C160&amp;" length, Level "&amp;$D160&amp;"; ","")</f>
        <v/>
      </c>
      <c r="L160" s="118"/>
      <c r="U160" s="7"/>
      <c r="V160" s="7"/>
      <c r="W160" s="7"/>
    </row>
    <row r="161" spans="2:23" x14ac:dyDescent="0.35">
      <c r="B161" s="20" t="s">
        <v>251</v>
      </c>
      <c r="C161" s="53" t="s">
        <v>218</v>
      </c>
      <c r="D161" s="13" t="s">
        <v>208</v>
      </c>
      <c r="E161" s="1609" t="str">
        <f>IF(AND($F$8=1,'3_Part_time'!G55&lt;0),E$116&amp;", "&amp;E$117&amp;", Price group "&amp;$B161&amp;", "&amp;$C161&amp;" length, Level "&amp;$D161&amp;"; ","")</f>
        <v/>
      </c>
      <c r="F161" s="7" t="str">
        <f>IF(AND($F$8=1,'3_Part_time'!H55&lt;0),F$116&amp;", "&amp;F$117&amp;", Price group "&amp;$B161&amp;", "&amp;$C161&amp;" length, Level "&amp;$D161&amp;"; ","")</f>
        <v/>
      </c>
      <c r="G161" s="211" t="str">
        <f>IF(AND($F$8=1,'3_Part_time'!I55&lt;0),G$116&amp;", "&amp;G$117&amp;", Price group "&amp;$B161&amp;", "&amp;$C161&amp;" length, Level "&amp;$D161&amp;"; ","")</f>
        <v/>
      </c>
      <c r="H161" s="1609" t="str">
        <f>IF(AND($F$8=1,'3_Part_time'!J55&lt;0),H$116&amp;", "&amp;H$117&amp;", Price group "&amp;$B161&amp;", "&amp;$C161&amp;" length, Level "&amp;$D161&amp;"; ","")</f>
        <v/>
      </c>
      <c r="I161" s="7" t="str">
        <f>IF(AND($F$8=1,'3_Part_time'!K55&lt;0),I$116&amp;", "&amp;I$117&amp;", Price group "&amp;$B161&amp;", "&amp;$C161&amp;" length, Level "&amp;$D161&amp;"; ","")</f>
        <v/>
      </c>
      <c r="J161" s="211" t="str">
        <f>IF(AND($F$8=1,'3_Part_time'!L55&lt;0),J$116&amp;", "&amp;J$117&amp;", Price group "&amp;$B161&amp;", "&amp;$C161&amp;" length, Level "&amp;$D161&amp;"; ","")</f>
        <v/>
      </c>
      <c r="L161" s="118"/>
      <c r="U161" s="7"/>
      <c r="V161" s="7"/>
      <c r="W161" s="7"/>
    </row>
    <row r="162" spans="2:23" x14ac:dyDescent="0.35">
      <c r="B162" s="20" t="s">
        <v>251</v>
      </c>
      <c r="C162" s="53" t="s">
        <v>218</v>
      </c>
      <c r="D162" s="13" t="s">
        <v>210</v>
      </c>
      <c r="E162" s="1609" t="str">
        <f>IF(AND($F$8=1,'3_Part_time'!G56&lt;0),E$116&amp;", "&amp;E$117&amp;", Price group "&amp;$B162&amp;", "&amp;$C162&amp;" length, Level "&amp;$D162&amp;"; ","")</f>
        <v/>
      </c>
      <c r="F162" s="7" t="str">
        <f>IF(AND($F$8=1,'3_Part_time'!H56&lt;0),F$116&amp;", "&amp;F$117&amp;", Price group "&amp;$B162&amp;", "&amp;$C162&amp;" length, Level "&amp;$D162&amp;"; ","")</f>
        <v/>
      </c>
      <c r="G162" s="211" t="str">
        <f>IF(AND($F$8=1,'3_Part_time'!I56&lt;0),G$116&amp;", "&amp;G$117&amp;", Price group "&amp;$B162&amp;", "&amp;$C162&amp;" length, Level "&amp;$D162&amp;"; ","")</f>
        <v/>
      </c>
      <c r="H162" s="1609" t="str">
        <f>IF(AND($F$8=1,'3_Part_time'!J56&lt;0),H$116&amp;", "&amp;H$117&amp;", Price group "&amp;$B162&amp;", "&amp;$C162&amp;" length, Level "&amp;$D162&amp;"; ","")</f>
        <v/>
      </c>
      <c r="I162" s="7" t="str">
        <f>IF(AND($F$8=1,'3_Part_time'!K56&lt;0),I$116&amp;", "&amp;I$117&amp;", Price group "&amp;$B162&amp;", "&amp;$C162&amp;" length, Level "&amp;$D162&amp;"; ","")</f>
        <v/>
      </c>
      <c r="J162" s="211" t="str">
        <f>IF(AND($F$8=1,'3_Part_time'!L56&lt;0),J$116&amp;", "&amp;J$117&amp;", Price group "&amp;$B162&amp;", "&amp;$C162&amp;" length, Level "&amp;$D162&amp;"; ","")</f>
        <v/>
      </c>
      <c r="L162" s="118"/>
      <c r="U162" s="7"/>
      <c r="V162" s="7"/>
      <c r="W162" s="7"/>
    </row>
    <row r="163" spans="2:23" x14ac:dyDescent="0.35">
      <c r="B163" s="20" t="s">
        <v>251</v>
      </c>
      <c r="C163" s="53" t="s">
        <v>218</v>
      </c>
      <c r="D163" s="13" t="s">
        <v>212</v>
      </c>
      <c r="E163" s="1609" t="str">
        <f>IF(AND($F$8=1,'3_Part_time'!G57&lt;0),E$116&amp;", "&amp;E$117&amp;", Price group "&amp;$B163&amp;", "&amp;$C163&amp;" length, Level "&amp;$D163&amp;"; ","")</f>
        <v/>
      </c>
      <c r="F163" s="7" t="str">
        <f>IF(AND($F$8=1,'3_Part_time'!H57&lt;0),F$116&amp;", "&amp;F$117&amp;", Price group "&amp;$B163&amp;", "&amp;$C163&amp;" length, Level "&amp;$D163&amp;"; ","")</f>
        <v/>
      </c>
      <c r="G163" s="211" t="str">
        <f>IF(AND($F$8=1,'3_Part_time'!I57&lt;0),G$116&amp;", "&amp;G$117&amp;", Price group "&amp;$B163&amp;", "&amp;$C163&amp;" length, Level "&amp;$D163&amp;"; ","")</f>
        <v/>
      </c>
      <c r="H163" s="1609" t="str">
        <f>IF(AND($F$8=1,'3_Part_time'!J57&lt;0),H$116&amp;", "&amp;H$117&amp;", Price group "&amp;$B163&amp;", "&amp;$C163&amp;" length, Level "&amp;$D163&amp;"; ","")</f>
        <v/>
      </c>
      <c r="I163" s="7" t="str">
        <f>IF(AND($F$8=1,'3_Part_time'!K57&lt;0),I$116&amp;", "&amp;I$117&amp;", Price group "&amp;$B163&amp;", "&amp;$C163&amp;" length, Level "&amp;$D163&amp;"; ","")</f>
        <v/>
      </c>
      <c r="J163" s="211" t="str">
        <f>IF(AND($F$8=1,'3_Part_time'!L57&lt;0),J$116&amp;", "&amp;J$117&amp;", Price group "&amp;$B163&amp;", "&amp;$C163&amp;" length, Level "&amp;$D163&amp;"; ","")</f>
        <v/>
      </c>
      <c r="L163" s="118"/>
      <c r="U163" s="7"/>
      <c r="V163" s="7"/>
      <c r="W163" s="7"/>
    </row>
    <row r="164" spans="2:23" x14ac:dyDescent="0.35">
      <c r="B164" s="20" t="s">
        <v>251</v>
      </c>
      <c r="C164" s="53" t="s">
        <v>218</v>
      </c>
      <c r="D164" s="13" t="s">
        <v>214</v>
      </c>
      <c r="E164" s="1609" t="str">
        <f>IF(AND($F$8=1,'3_Part_time'!G58&lt;0),E$116&amp;", "&amp;E$117&amp;", Price group "&amp;$B164&amp;", "&amp;$C164&amp;" length, Level "&amp;$D164&amp;"; ","")</f>
        <v/>
      </c>
      <c r="F164" s="7" t="str">
        <f>IF(AND($F$8=1,'3_Part_time'!H58&lt;0),F$116&amp;", "&amp;F$117&amp;", Price group "&amp;$B164&amp;", "&amp;$C164&amp;" length, Level "&amp;$D164&amp;"; ","")</f>
        <v/>
      </c>
      <c r="G164" s="211" t="str">
        <f>IF(AND($F$8=1,'3_Part_time'!I58&lt;0),G$116&amp;", "&amp;G$117&amp;", Price group "&amp;$B164&amp;", "&amp;$C164&amp;" length, Level "&amp;$D164&amp;"; ","")</f>
        <v/>
      </c>
      <c r="H164" s="1609" t="str">
        <f>IF(AND($F$8=1,'3_Part_time'!J58&lt;0),H$116&amp;", "&amp;H$117&amp;", Price group "&amp;$B164&amp;", "&amp;$C164&amp;" length, Level "&amp;$D164&amp;"; ","")</f>
        <v/>
      </c>
      <c r="I164" s="7" t="str">
        <f>IF(AND($F$8=1,'3_Part_time'!K58&lt;0),I$116&amp;", "&amp;I$117&amp;", Price group "&amp;$B164&amp;", "&amp;$C164&amp;" length, Level "&amp;$D164&amp;"; ","")</f>
        <v/>
      </c>
      <c r="J164" s="211" t="str">
        <f>IF(AND($F$8=1,'3_Part_time'!L58&lt;0),J$116&amp;", "&amp;J$117&amp;", Price group "&amp;$B164&amp;", "&amp;$C164&amp;" length, Level "&amp;$D164&amp;"; ","")</f>
        <v/>
      </c>
      <c r="L164" s="118"/>
      <c r="U164" s="7"/>
      <c r="V164" s="7"/>
      <c r="W164" s="7"/>
    </row>
    <row r="165" spans="2:23" x14ac:dyDescent="0.35">
      <c r="B165" s="20" t="s">
        <v>251</v>
      </c>
      <c r="C165" s="53" t="s">
        <v>218</v>
      </c>
      <c r="D165" s="13" t="s">
        <v>216</v>
      </c>
      <c r="E165" s="1432"/>
      <c r="F165" s="1409" t="str">
        <f>IF(AND($F$8=1,'3_Part_time'!H59&lt;0),F$116&amp;", "&amp;F$117&amp;", Price group "&amp;$B165&amp;", "&amp;$C165&amp;" length, Level "&amp;$D165&amp;"; ","")</f>
        <v/>
      </c>
      <c r="G165" s="1433" t="str">
        <f>IF(AND($F$8=1,'3_Part_time'!I59&lt;0),G$116&amp;", "&amp;G$117&amp;", Price group "&amp;$B165&amp;", "&amp;$C165&amp;" length, Level "&amp;$D165&amp;"; ","")</f>
        <v/>
      </c>
      <c r="H165" s="1432"/>
      <c r="I165" s="1409" t="str">
        <f>IF(AND($F$8=1,'3_Part_time'!K59&lt;0),I$116&amp;", "&amp;I$117&amp;", Price group "&amp;$B165&amp;", "&amp;$C165&amp;" length, Level "&amp;$D165&amp;"; ","")</f>
        <v/>
      </c>
      <c r="J165" s="1433" t="str">
        <f>IF(AND($F$8=1,'3_Part_time'!L59&lt;0),J$116&amp;", "&amp;J$117&amp;", Price group "&amp;$B165&amp;", "&amp;$C165&amp;" length, Level "&amp;$D165&amp;"; ","")</f>
        <v/>
      </c>
      <c r="L165" s="118"/>
      <c r="U165" s="7"/>
      <c r="V165" s="7"/>
      <c r="W165" s="7"/>
    </row>
    <row r="166" spans="2:23" x14ac:dyDescent="0.35">
      <c r="B166" s="20" t="s">
        <v>264</v>
      </c>
      <c r="C166" s="53" t="s">
        <v>204</v>
      </c>
      <c r="D166" s="13" t="s">
        <v>205</v>
      </c>
      <c r="E166" s="1813" t="str">
        <f>IF(AND($F$8=1,'3_Part_time'!G60&lt;0),E$116&amp;", "&amp;E$117&amp;", Price group "&amp;$B166&amp;", "&amp;$C166&amp;" length, Level "&amp;$D166&amp;"; ","")</f>
        <v/>
      </c>
      <c r="F166" s="1412" t="str">
        <f>IF(AND($F$8=1,'3_Part_time'!H60&lt;0),F$116&amp;", "&amp;F$117&amp;", Price group "&amp;$B166&amp;", "&amp;$C166&amp;" length, Level "&amp;$D166&amp;"; ","")</f>
        <v/>
      </c>
      <c r="G166" s="1789" t="str">
        <f>IF(AND($F$8=1,'3_Part_time'!I60&lt;0),G$116&amp;", "&amp;G$117&amp;", Price group "&amp;$B166&amp;", "&amp;$C166&amp;" length, Level "&amp;$D166&amp;"; ","")</f>
        <v/>
      </c>
      <c r="H166" s="1813" t="str">
        <f>IF(AND($F$8=1,'3_Part_time'!J60&lt;0),H$116&amp;", "&amp;H$117&amp;", Price group "&amp;$B166&amp;", "&amp;$C166&amp;" length, Level "&amp;$D166&amp;"; ","")</f>
        <v/>
      </c>
      <c r="I166" s="1412" t="str">
        <f>IF(AND($F$8=1,'3_Part_time'!K60&lt;0),I$116&amp;", "&amp;I$117&amp;", Price group "&amp;$B166&amp;", "&amp;$C166&amp;" length, Level "&amp;$D166&amp;"; ","")</f>
        <v/>
      </c>
      <c r="J166" s="1789" t="str">
        <f>IF(AND($F$8=1,'3_Part_time'!L60&lt;0),J$116&amp;", "&amp;J$117&amp;", Price group "&amp;$B166&amp;", "&amp;$C166&amp;" length, Level "&amp;$D166&amp;"; ","")</f>
        <v/>
      </c>
      <c r="L166" s="118"/>
      <c r="U166" s="7"/>
      <c r="V166" s="7"/>
      <c r="W166" s="7"/>
    </row>
    <row r="167" spans="2:23" x14ac:dyDescent="0.35">
      <c r="B167" s="20" t="s">
        <v>264</v>
      </c>
      <c r="C167" s="53" t="s">
        <v>204</v>
      </c>
      <c r="D167" s="13" t="s">
        <v>208</v>
      </c>
      <c r="E167" s="1609" t="str">
        <f>IF(AND($F$8=1,'3_Part_time'!G61&lt;0),E$116&amp;", "&amp;E$117&amp;", Price group "&amp;$B167&amp;", "&amp;$C167&amp;" length, Level "&amp;$D167&amp;"; ","")</f>
        <v/>
      </c>
      <c r="F167" s="7" t="str">
        <f>IF(AND($F$8=1,'3_Part_time'!H61&lt;0),F$116&amp;", "&amp;F$117&amp;", Price group "&amp;$B167&amp;", "&amp;$C167&amp;" length, Level "&amp;$D167&amp;"; ","")</f>
        <v/>
      </c>
      <c r="G167" s="211" t="str">
        <f>IF(AND($F$8=1,'3_Part_time'!I61&lt;0),G$116&amp;", "&amp;G$117&amp;", Price group "&amp;$B167&amp;", "&amp;$C167&amp;" length, Level "&amp;$D167&amp;"; ","")</f>
        <v/>
      </c>
      <c r="H167" s="1609" t="str">
        <f>IF(AND($F$8=1,'3_Part_time'!J61&lt;0),H$116&amp;", "&amp;H$117&amp;", Price group "&amp;$B167&amp;", "&amp;$C167&amp;" length, Level "&amp;$D167&amp;"; ","")</f>
        <v/>
      </c>
      <c r="I167" s="7" t="str">
        <f>IF(AND($F$8=1,'3_Part_time'!K61&lt;0),I$116&amp;", "&amp;I$117&amp;", Price group "&amp;$B167&amp;", "&amp;$C167&amp;" length, Level "&amp;$D167&amp;"; ","")</f>
        <v/>
      </c>
      <c r="J167" s="211" t="str">
        <f>IF(AND($F$8=1,'3_Part_time'!L61&lt;0),J$116&amp;", "&amp;J$117&amp;", Price group "&amp;$B167&amp;", "&amp;$C167&amp;" length, Level "&amp;$D167&amp;"; ","")</f>
        <v/>
      </c>
      <c r="L167" s="118"/>
      <c r="U167" s="7"/>
      <c r="V167" s="7"/>
      <c r="W167" s="7"/>
    </row>
    <row r="168" spans="2:23" x14ac:dyDescent="0.35">
      <c r="B168" s="20" t="s">
        <v>264</v>
      </c>
      <c r="C168" s="53" t="s">
        <v>204</v>
      </c>
      <c r="D168" s="13" t="s">
        <v>210</v>
      </c>
      <c r="E168" s="1609" t="str">
        <f>IF(AND($F$8=1,'3_Part_time'!G62&lt;0),E$116&amp;", "&amp;E$117&amp;", Price group "&amp;$B168&amp;", "&amp;$C168&amp;" length, Level "&amp;$D168&amp;"; ","")</f>
        <v/>
      </c>
      <c r="F168" s="7" t="str">
        <f>IF(AND($F$8=1,'3_Part_time'!H62&lt;0),F$116&amp;", "&amp;F$117&amp;", Price group "&amp;$B168&amp;", "&amp;$C168&amp;" length, Level "&amp;$D168&amp;"; ","")</f>
        <v/>
      </c>
      <c r="G168" s="211" t="str">
        <f>IF(AND($F$8=1,'3_Part_time'!I62&lt;0),G$116&amp;", "&amp;G$117&amp;", Price group "&amp;$B168&amp;", "&amp;$C168&amp;" length, Level "&amp;$D168&amp;"; ","")</f>
        <v/>
      </c>
      <c r="H168" s="1609" t="str">
        <f>IF(AND($F$8=1,'3_Part_time'!J62&lt;0),H$116&amp;", "&amp;H$117&amp;", Price group "&amp;$B168&amp;", "&amp;$C168&amp;" length, Level "&amp;$D168&amp;"; ","")</f>
        <v/>
      </c>
      <c r="I168" s="7" t="str">
        <f>IF(AND($F$8=1,'3_Part_time'!K62&lt;0),I$116&amp;", "&amp;I$117&amp;", Price group "&amp;$B168&amp;", "&amp;$C168&amp;" length, Level "&amp;$D168&amp;"; ","")</f>
        <v/>
      </c>
      <c r="J168" s="211" t="str">
        <f>IF(AND($F$8=1,'3_Part_time'!L62&lt;0),J$116&amp;", "&amp;J$117&amp;", Price group "&amp;$B168&amp;", "&amp;$C168&amp;" length, Level "&amp;$D168&amp;"; ","")</f>
        <v/>
      </c>
      <c r="L168" s="118"/>
      <c r="U168" s="7"/>
      <c r="V168" s="7"/>
      <c r="W168" s="7"/>
    </row>
    <row r="169" spans="2:23" x14ac:dyDescent="0.35">
      <c r="B169" s="20" t="s">
        <v>264</v>
      </c>
      <c r="C169" s="53" t="s">
        <v>204</v>
      </c>
      <c r="D169" s="13" t="s">
        <v>212</v>
      </c>
      <c r="E169" s="1609" t="str">
        <f>IF(AND($F$8=1,'3_Part_time'!G63&lt;0),E$116&amp;", "&amp;E$117&amp;", Price group "&amp;$B169&amp;", "&amp;$C169&amp;" length, Level "&amp;$D169&amp;"; ","")</f>
        <v/>
      </c>
      <c r="F169" s="7" t="str">
        <f>IF(AND($F$8=1,'3_Part_time'!H63&lt;0),F$116&amp;", "&amp;F$117&amp;", Price group "&amp;$B169&amp;", "&amp;$C169&amp;" length, Level "&amp;$D169&amp;"; ","")</f>
        <v/>
      </c>
      <c r="G169" s="211" t="str">
        <f>IF(AND($F$8=1,'3_Part_time'!I63&lt;0),G$116&amp;", "&amp;G$117&amp;", Price group "&amp;$B169&amp;", "&amp;$C169&amp;" length, Level "&amp;$D169&amp;"; ","")</f>
        <v/>
      </c>
      <c r="H169" s="1609" t="str">
        <f>IF(AND($F$8=1,'3_Part_time'!J63&lt;0),H$116&amp;", "&amp;H$117&amp;", Price group "&amp;$B169&amp;", "&amp;$C169&amp;" length, Level "&amp;$D169&amp;"; ","")</f>
        <v/>
      </c>
      <c r="I169" s="7" t="str">
        <f>IF(AND($F$8=1,'3_Part_time'!K63&lt;0),I$116&amp;", "&amp;I$117&amp;", Price group "&amp;$B169&amp;", "&amp;$C169&amp;" length, Level "&amp;$D169&amp;"; ","")</f>
        <v/>
      </c>
      <c r="J169" s="211" t="str">
        <f>IF(AND($F$8=1,'3_Part_time'!L63&lt;0),J$116&amp;", "&amp;J$117&amp;", Price group "&amp;$B169&amp;", "&amp;$C169&amp;" length, Level "&amp;$D169&amp;"; ","")</f>
        <v/>
      </c>
      <c r="L169" s="118"/>
      <c r="U169" s="7"/>
      <c r="V169" s="7"/>
      <c r="W169" s="7"/>
    </row>
    <row r="170" spans="2:23" x14ac:dyDescent="0.35">
      <c r="B170" s="20" t="s">
        <v>264</v>
      </c>
      <c r="C170" s="53" t="s">
        <v>204</v>
      </c>
      <c r="D170" s="13" t="s">
        <v>214</v>
      </c>
      <c r="E170" s="1609" t="str">
        <f>IF(AND($F$8=1,'3_Part_time'!G64&lt;0),E$116&amp;", "&amp;E$117&amp;", Price group "&amp;$B170&amp;", "&amp;$C170&amp;" length, Level "&amp;$D170&amp;"; ","")</f>
        <v/>
      </c>
      <c r="F170" s="7" t="str">
        <f>IF(AND($F$8=1,'3_Part_time'!H64&lt;0),F$116&amp;", "&amp;F$117&amp;", Price group "&amp;$B170&amp;", "&amp;$C170&amp;" length, Level "&amp;$D170&amp;"; ","")</f>
        <v/>
      </c>
      <c r="G170" s="211" t="str">
        <f>IF(AND($F$8=1,'3_Part_time'!I64&lt;0),G$116&amp;", "&amp;G$117&amp;", Price group "&amp;$B170&amp;", "&amp;$C170&amp;" length, Level "&amp;$D170&amp;"; ","")</f>
        <v/>
      </c>
      <c r="H170" s="1609" t="str">
        <f>IF(AND($F$8=1,'3_Part_time'!J64&lt;0),H$116&amp;", "&amp;H$117&amp;", Price group "&amp;$B170&amp;", "&amp;$C170&amp;" length, Level "&amp;$D170&amp;"; ","")</f>
        <v/>
      </c>
      <c r="I170" s="7" t="str">
        <f>IF(AND($F$8=1,'3_Part_time'!K64&lt;0),I$116&amp;", "&amp;I$117&amp;", Price group "&amp;$B170&amp;", "&amp;$C170&amp;" length, Level "&amp;$D170&amp;"; ","")</f>
        <v/>
      </c>
      <c r="J170" s="211" t="str">
        <f>IF(AND($F$8=1,'3_Part_time'!L64&lt;0),J$116&amp;", "&amp;J$117&amp;", Price group "&amp;$B170&amp;", "&amp;$C170&amp;" length, Level "&amp;$D170&amp;"; ","")</f>
        <v/>
      </c>
      <c r="L170" s="118"/>
      <c r="U170" s="7"/>
      <c r="V170" s="7"/>
      <c r="W170" s="7"/>
    </row>
    <row r="171" spans="2:23" x14ac:dyDescent="0.35">
      <c r="B171" s="20" t="s">
        <v>264</v>
      </c>
      <c r="C171" s="53" t="s">
        <v>204</v>
      </c>
      <c r="D171" s="13" t="s">
        <v>216</v>
      </c>
      <c r="E171" s="1428"/>
      <c r="F171" s="1429" t="str">
        <f>IF(AND($F$8=1,'3_Part_time'!H65&lt;0),F$116&amp;", "&amp;F$117&amp;", Price group "&amp;$B171&amp;", "&amp;$C171&amp;" length, Level "&amp;$D171&amp;"; ","")</f>
        <v/>
      </c>
      <c r="G171" s="1430" t="str">
        <f>IF(AND($F$8=1,'3_Part_time'!I65&lt;0),G$116&amp;", "&amp;G$117&amp;", Price group "&amp;$B171&amp;", "&amp;$C171&amp;" length, Level "&amp;$D171&amp;"; ","")</f>
        <v/>
      </c>
      <c r="H171" s="1428"/>
      <c r="I171" s="1429" t="str">
        <f>IF(AND($F$8=1,'3_Part_time'!K65&lt;0),I$116&amp;", "&amp;I$117&amp;", Price group "&amp;$B171&amp;", "&amp;$C171&amp;" length, Level "&amp;$D171&amp;"; ","")</f>
        <v/>
      </c>
      <c r="J171" s="1430" t="str">
        <f>IF(AND($F$8=1,'3_Part_time'!L65&lt;0),J$116&amp;", "&amp;J$117&amp;", Price group "&amp;$B171&amp;", "&amp;$C171&amp;" length, Level "&amp;$D171&amp;"; ","")</f>
        <v/>
      </c>
      <c r="L171" s="118"/>
      <c r="U171" s="7"/>
      <c r="V171" s="7"/>
      <c r="W171" s="7"/>
    </row>
    <row r="172" spans="2:23" x14ac:dyDescent="0.35">
      <c r="B172" s="20" t="s">
        <v>264</v>
      </c>
      <c r="C172" s="53" t="s">
        <v>218</v>
      </c>
      <c r="D172" s="13" t="s">
        <v>205</v>
      </c>
      <c r="E172" s="1609" t="str">
        <f>IF(AND($F$8=1,'3_Part_time'!G66&lt;0),E$116&amp;", "&amp;E$117&amp;", Price group "&amp;$B172&amp;", "&amp;$C172&amp;" length, Level "&amp;$D172&amp;"; ","")</f>
        <v/>
      </c>
      <c r="F172" s="7" t="str">
        <f>IF(AND($F$8=1,'3_Part_time'!H66&lt;0),F$116&amp;", "&amp;F$117&amp;", Price group "&amp;$B172&amp;", "&amp;$C172&amp;" length, Level "&amp;$D172&amp;"; ","")</f>
        <v/>
      </c>
      <c r="G172" s="211" t="str">
        <f>IF(AND($F$8=1,'3_Part_time'!I66&lt;0),G$116&amp;", "&amp;G$117&amp;", Price group "&amp;$B172&amp;", "&amp;$C172&amp;" length, Level "&amp;$D172&amp;"; ","")</f>
        <v/>
      </c>
      <c r="H172" s="1609" t="str">
        <f>IF(AND($F$8=1,'3_Part_time'!J66&lt;0),H$116&amp;", "&amp;H$117&amp;", Price group "&amp;$B172&amp;", "&amp;$C172&amp;" length, Level "&amp;$D172&amp;"; ","")</f>
        <v/>
      </c>
      <c r="I172" s="7" t="str">
        <f>IF(AND($F$8=1,'3_Part_time'!K66&lt;0),I$116&amp;", "&amp;I$117&amp;", Price group "&amp;$B172&amp;", "&amp;$C172&amp;" length, Level "&amp;$D172&amp;"; ","")</f>
        <v/>
      </c>
      <c r="J172" s="211" t="str">
        <f>IF(AND($F$8=1,'3_Part_time'!L66&lt;0),J$116&amp;", "&amp;J$117&amp;", Price group "&amp;$B172&amp;", "&amp;$C172&amp;" length, Level "&amp;$D172&amp;"; ","")</f>
        <v/>
      </c>
      <c r="L172" s="118"/>
      <c r="U172" s="7"/>
      <c r="V172" s="7"/>
      <c r="W172" s="7"/>
    </row>
    <row r="173" spans="2:23" x14ac:dyDescent="0.35">
      <c r="B173" s="20" t="s">
        <v>264</v>
      </c>
      <c r="C173" s="53" t="s">
        <v>218</v>
      </c>
      <c r="D173" s="13" t="s">
        <v>208</v>
      </c>
      <c r="E173" s="1609" t="str">
        <f>IF(AND($F$8=1,'3_Part_time'!G67&lt;0),E$116&amp;", "&amp;E$117&amp;", Price group "&amp;$B173&amp;", "&amp;$C173&amp;" length, Level "&amp;$D173&amp;"; ","")</f>
        <v/>
      </c>
      <c r="F173" s="7" t="str">
        <f>IF(AND($F$8=1,'3_Part_time'!H67&lt;0),F$116&amp;", "&amp;F$117&amp;", Price group "&amp;$B173&amp;", "&amp;$C173&amp;" length, Level "&amp;$D173&amp;"; ","")</f>
        <v/>
      </c>
      <c r="G173" s="211" t="str">
        <f>IF(AND($F$8=1,'3_Part_time'!I67&lt;0),G$116&amp;", "&amp;G$117&amp;", Price group "&amp;$B173&amp;", "&amp;$C173&amp;" length, Level "&amp;$D173&amp;"; ","")</f>
        <v/>
      </c>
      <c r="H173" s="1609" t="str">
        <f>IF(AND($F$8=1,'3_Part_time'!J67&lt;0),H$116&amp;", "&amp;H$117&amp;", Price group "&amp;$B173&amp;", "&amp;$C173&amp;" length, Level "&amp;$D173&amp;"; ","")</f>
        <v/>
      </c>
      <c r="I173" s="7" t="str">
        <f>IF(AND($F$8=1,'3_Part_time'!K67&lt;0),I$116&amp;", "&amp;I$117&amp;", Price group "&amp;$B173&amp;", "&amp;$C173&amp;" length, Level "&amp;$D173&amp;"; ","")</f>
        <v/>
      </c>
      <c r="J173" s="211" t="str">
        <f>IF(AND($F$8=1,'3_Part_time'!L67&lt;0),J$116&amp;", "&amp;J$117&amp;", Price group "&amp;$B173&amp;", "&amp;$C173&amp;" length, Level "&amp;$D173&amp;"; ","")</f>
        <v/>
      </c>
      <c r="L173" s="118"/>
      <c r="U173" s="7"/>
      <c r="V173" s="7"/>
      <c r="W173" s="7"/>
    </row>
    <row r="174" spans="2:23" x14ac:dyDescent="0.35">
      <c r="B174" s="20" t="s">
        <v>264</v>
      </c>
      <c r="C174" s="53" t="s">
        <v>218</v>
      </c>
      <c r="D174" s="13" t="s">
        <v>210</v>
      </c>
      <c r="E174" s="1609" t="str">
        <f>IF(AND($F$8=1,'3_Part_time'!G68&lt;0),E$116&amp;", "&amp;E$117&amp;", Price group "&amp;$B174&amp;", "&amp;$C174&amp;" length, Level "&amp;$D174&amp;"; ","")</f>
        <v/>
      </c>
      <c r="F174" s="7" t="str">
        <f>IF(AND($F$8=1,'3_Part_time'!H68&lt;0),F$116&amp;", "&amp;F$117&amp;", Price group "&amp;$B174&amp;", "&amp;$C174&amp;" length, Level "&amp;$D174&amp;"; ","")</f>
        <v/>
      </c>
      <c r="G174" s="211" t="str">
        <f>IF(AND($F$8=1,'3_Part_time'!I68&lt;0),G$116&amp;", "&amp;G$117&amp;", Price group "&amp;$B174&amp;", "&amp;$C174&amp;" length, Level "&amp;$D174&amp;"; ","")</f>
        <v/>
      </c>
      <c r="H174" s="1609" t="str">
        <f>IF(AND($F$8=1,'3_Part_time'!J68&lt;0),H$116&amp;", "&amp;H$117&amp;", Price group "&amp;$B174&amp;", "&amp;$C174&amp;" length, Level "&amp;$D174&amp;"; ","")</f>
        <v/>
      </c>
      <c r="I174" s="7" t="str">
        <f>IF(AND($F$8=1,'3_Part_time'!K68&lt;0),I$116&amp;", "&amp;I$117&amp;", Price group "&amp;$B174&amp;", "&amp;$C174&amp;" length, Level "&amp;$D174&amp;"; ","")</f>
        <v/>
      </c>
      <c r="J174" s="211" t="str">
        <f>IF(AND($F$8=1,'3_Part_time'!L68&lt;0),J$116&amp;", "&amp;J$117&amp;", Price group "&amp;$B174&amp;", "&amp;$C174&amp;" length, Level "&amp;$D174&amp;"; ","")</f>
        <v/>
      </c>
      <c r="L174" s="118"/>
      <c r="U174" s="7"/>
      <c r="V174" s="7"/>
      <c r="W174" s="7"/>
    </row>
    <row r="175" spans="2:23" x14ac:dyDescent="0.35">
      <c r="B175" s="20" t="s">
        <v>264</v>
      </c>
      <c r="C175" s="53" t="s">
        <v>218</v>
      </c>
      <c r="D175" s="13" t="s">
        <v>212</v>
      </c>
      <c r="E175" s="1609" t="str">
        <f>IF(AND($F$8=1,'3_Part_time'!G69&lt;0),E$116&amp;", "&amp;E$117&amp;", Price group "&amp;$B175&amp;", "&amp;$C175&amp;" length, Level "&amp;$D175&amp;"; ","")</f>
        <v/>
      </c>
      <c r="F175" s="7" t="str">
        <f>IF(AND($F$8=1,'3_Part_time'!H69&lt;0),F$116&amp;", "&amp;F$117&amp;", Price group "&amp;$B175&amp;", "&amp;$C175&amp;" length, Level "&amp;$D175&amp;"; ","")</f>
        <v/>
      </c>
      <c r="G175" s="211" t="str">
        <f>IF(AND($F$8=1,'3_Part_time'!I69&lt;0),G$116&amp;", "&amp;G$117&amp;", Price group "&amp;$B175&amp;", "&amp;$C175&amp;" length, Level "&amp;$D175&amp;"; ","")</f>
        <v/>
      </c>
      <c r="H175" s="1609" t="str">
        <f>IF(AND($F$8=1,'3_Part_time'!J69&lt;0),H$116&amp;", "&amp;H$117&amp;", Price group "&amp;$B175&amp;", "&amp;$C175&amp;" length, Level "&amp;$D175&amp;"; ","")</f>
        <v/>
      </c>
      <c r="I175" s="7" t="str">
        <f>IF(AND($F$8=1,'3_Part_time'!K69&lt;0),I$116&amp;", "&amp;I$117&amp;", Price group "&amp;$B175&amp;", "&amp;$C175&amp;" length, Level "&amp;$D175&amp;"; ","")</f>
        <v/>
      </c>
      <c r="J175" s="211" t="str">
        <f>IF(AND($F$8=1,'3_Part_time'!L69&lt;0),J$116&amp;", "&amp;J$117&amp;", Price group "&amp;$B175&amp;", "&amp;$C175&amp;" length, Level "&amp;$D175&amp;"; ","")</f>
        <v/>
      </c>
      <c r="L175" s="118"/>
      <c r="U175" s="7"/>
      <c r="V175" s="7"/>
      <c r="W175" s="7"/>
    </row>
    <row r="176" spans="2:23" x14ac:dyDescent="0.35">
      <c r="B176" s="20" t="s">
        <v>264</v>
      </c>
      <c r="C176" s="53" t="s">
        <v>218</v>
      </c>
      <c r="D176" s="13" t="s">
        <v>214</v>
      </c>
      <c r="E176" s="1609" t="str">
        <f>IF(AND($F$8=1,'3_Part_time'!G70&lt;0),E$116&amp;", "&amp;E$117&amp;", Price group "&amp;$B176&amp;", "&amp;$C176&amp;" length, Level "&amp;$D176&amp;"; ","")</f>
        <v/>
      </c>
      <c r="F176" s="7" t="str">
        <f>IF(AND($F$8=1,'3_Part_time'!H70&lt;0),F$116&amp;", "&amp;F$117&amp;", Price group "&amp;$B176&amp;", "&amp;$C176&amp;" length, Level "&amp;$D176&amp;"; ","")</f>
        <v/>
      </c>
      <c r="G176" s="211" t="str">
        <f>IF(AND($F$8=1,'3_Part_time'!I70&lt;0),G$116&amp;", "&amp;G$117&amp;", Price group "&amp;$B176&amp;", "&amp;$C176&amp;" length, Level "&amp;$D176&amp;"; ","")</f>
        <v/>
      </c>
      <c r="H176" s="1609" t="str">
        <f>IF(AND($F$8=1,'3_Part_time'!J70&lt;0),H$116&amp;", "&amp;H$117&amp;", Price group "&amp;$B176&amp;", "&amp;$C176&amp;" length, Level "&amp;$D176&amp;"; ","")</f>
        <v/>
      </c>
      <c r="I176" s="7" t="str">
        <f>IF(AND($F$8=1,'3_Part_time'!K70&lt;0),I$116&amp;", "&amp;I$117&amp;", Price group "&amp;$B176&amp;", "&amp;$C176&amp;" length, Level "&amp;$D176&amp;"; ","")</f>
        <v/>
      </c>
      <c r="J176" s="211" t="str">
        <f>IF(AND($F$8=1,'3_Part_time'!L70&lt;0),J$116&amp;", "&amp;J$117&amp;", Price group "&amp;$B176&amp;", "&amp;$C176&amp;" length, Level "&amp;$D176&amp;"; ","")</f>
        <v/>
      </c>
      <c r="L176" s="118"/>
      <c r="U176" s="7"/>
      <c r="V176" s="7"/>
      <c r="W176" s="7"/>
    </row>
    <row r="177" spans="2:23" x14ac:dyDescent="0.35">
      <c r="B177" s="20" t="s">
        <v>264</v>
      </c>
      <c r="C177" s="53" t="s">
        <v>218</v>
      </c>
      <c r="D177" s="13" t="s">
        <v>216</v>
      </c>
      <c r="E177" s="1432"/>
      <c r="F177" s="1409" t="str">
        <f>IF(AND($F$8=1,'3_Part_time'!H71&lt;0),F$116&amp;", "&amp;F$117&amp;", Price group "&amp;$B177&amp;", "&amp;$C177&amp;" length, Level "&amp;$D177&amp;"; ","")</f>
        <v/>
      </c>
      <c r="G177" s="1433" t="str">
        <f>IF(AND($F$8=1,'3_Part_time'!I71&lt;0),G$116&amp;", "&amp;G$117&amp;", Price group "&amp;$B177&amp;", "&amp;$C177&amp;" length, Level "&amp;$D177&amp;"; ","")</f>
        <v/>
      </c>
      <c r="H177" s="1432"/>
      <c r="I177" s="1409" t="str">
        <f>IF(AND($F$8=1,'3_Part_time'!K71&lt;0),I$116&amp;", "&amp;I$117&amp;", Price group "&amp;$B177&amp;", "&amp;$C177&amp;" length, Level "&amp;$D177&amp;"; ","")</f>
        <v/>
      </c>
      <c r="J177" s="1433" t="str">
        <f>IF(AND($F$8=1,'3_Part_time'!L71&lt;0),J$116&amp;", "&amp;J$117&amp;", Price group "&amp;$B177&amp;", "&amp;$C177&amp;" length, Level "&amp;$D177&amp;"; ","")</f>
        <v/>
      </c>
      <c r="L177" s="118"/>
      <c r="U177" s="7"/>
      <c r="V177" s="7"/>
      <c r="W177" s="7"/>
    </row>
    <row r="178" spans="2:23" x14ac:dyDescent="0.35">
      <c r="B178" s="20" t="s">
        <v>277</v>
      </c>
      <c r="C178" s="53" t="s">
        <v>204</v>
      </c>
      <c r="D178" s="13" t="s">
        <v>205</v>
      </c>
      <c r="E178" s="1813" t="str">
        <f>IF(AND($F$8=1,'3_Part_time'!G72&lt;0),E$116&amp;", "&amp;E$117&amp;", Price group "&amp;$B178&amp;", "&amp;$C178&amp;" length, Level "&amp;$D178&amp;"; ","")</f>
        <v/>
      </c>
      <c r="F178" s="1412" t="str">
        <f>IF(AND($F$8=1,'3_Part_time'!H72&lt;0),F$116&amp;", "&amp;F$117&amp;", Price group "&amp;$B178&amp;", "&amp;$C178&amp;" length, Level "&amp;$D178&amp;"; ","")</f>
        <v/>
      </c>
      <c r="G178" s="1789" t="str">
        <f>IF(AND($F$8=1,'3_Part_time'!I72&lt;0),G$116&amp;", "&amp;G$117&amp;", Price group "&amp;$B178&amp;", "&amp;$C178&amp;" length, Level "&amp;$D178&amp;"; ","")</f>
        <v/>
      </c>
      <c r="H178" s="1813" t="str">
        <f>IF(AND($F$8=1,'3_Part_time'!J72&lt;0),H$116&amp;", "&amp;H$117&amp;", Price group "&amp;$B178&amp;", "&amp;$C178&amp;" length, Level "&amp;$D178&amp;"; ","")</f>
        <v/>
      </c>
      <c r="I178" s="1412" t="str">
        <f>IF(AND($F$8=1,'3_Part_time'!K72&lt;0),I$116&amp;", "&amp;I$117&amp;", Price group "&amp;$B178&amp;", "&amp;$C178&amp;" length, Level "&amp;$D178&amp;"; ","")</f>
        <v/>
      </c>
      <c r="J178" s="1789" t="str">
        <f>IF(AND($F$8=1,'3_Part_time'!L72&lt;0),J$116&amp;", "&amp;J$117&amp;", Price group "&amp;$B178&amp;", "&amp;$C178&amp;" length, Level "&amp;$D178&amp;"; ","")</f>
        <v/>
      </c>
      <c r="L178" s="118"/>
      <c r="U178" s="7"/>
      <c r="V178" s="7"/>
      <c r="W178" s="7"/>
    </row>
    <row r="179" spans="2:23" x14ac:dyDescent="0.35">
      <c r="B179" s="20" t="s">
        <v>277</v>
      </c>
      <c r="C179" s="53" t="s">
        <v>204</v>
      </c>
      <c r="D179" s="13" t="s">
        <v>208</v>
      </c>
      <c r="E179" s="1609" t="str">
        <f>IF(AND($F$8=1,'3_Part_time'!G73&lt;0),E$116&amp;", "&amp;E$117&amp;", Price group "&amp;$B179&amp;", "&amp;$C179&amp;" length, Level "&amp;$D179&amp;"; ","")</f>
        <v/>
      </c>
      <c r="F179" s="7" t="str">
        <f>IF(AND($F$8=1,'3_Part_time'!H73&lt;0),F$116&amp;", "&amp;F$117&amp;", Price group "&amp;$B179&amp;", "&amp;$C179&amp;" length, Level "&amp;$D179&amp;"; ","")</f>
        <v/>
      </c>
      <c r="G179" s="211" t="str">
        <f>IF(AND($F$8=1,'3_Part_time'!I73&lt;0),G$116&amp;", "&amp;G$117&amp;", Price group "&amp;$B179&amp;", "&amp;$C179&amp;" length, Level "&amp;$D179&amp;"; ","")</f>
        <v/>
      </c>
      <c r="H179" s="1609" t="str">
        <f>IF(AND($F$8=1,'3_Part_time'!J73&lt;0),H$116&amp;", "&amp;H$117&amp;", Price group "&amp;$B179&amp;", "&amp;$C179&amp;" length, Level "&amp;$D179&amp;"; ","")</f>
        <v/>
      </c>
      <c r="I179" s="7" t="str">
        <f>IF(AND($F$8=1,'3_Part_time'!K73&lt;0),I$116&amp;", "&amp;I$117&amp;", Price group "&amp;$B179&amp;", "&amp;$C179&amp;" length, Level "&amp;$D179&amp;"; ","")</f>
        <v/>
      </c>
      <c r="J179" s="211" t="str">
        <f>IF(AND($F$8=1,'3_Part_time'!L73&lt;0),J$116&amp;", "&amp;J$117&amp;", Price group "&amp;$B179&amp;", "&amp;$C179&amp;" length, Level "&amp;$D179&amp;"; ","")</f>
        <v/>
      </c>
      <c r="L179" s="118"/>
      <c r="U179" s="7"/>
      <c r="V179" s="7"/>
      <c r="W179" s="7"/>
    </row>
    <row r="180" spans="2:23" x14ac:dyDescent="0.35">
      <c r="B180" s="20" t="s">
        <v>277</v>
      </c>
      <c r="C180" s="53" t="s">
        <v>204</v>
      </c>
      <c r="D180" s="13" t="s">
        <v>210</v>
      </c>
      <c r="E180" s="1609" t="str">
        <f>IF(AND($F$8=1,'3_Part_time'!G74&lt;0),E$116&amp;", "&amp;E$117&amp;", Price group "&amp;$B180&amp;", "&amp;$C180&amp;" length, Level "&amp;$D180&amp;"; ","")</f>
        <v/>
      </c>
      <c r="F180" s="7" t="str">
        <f>IF(AND($F$8=1,'3_Part_time'!H74&lt;0),F$116&amp;", "&amp;F$117&amp;", Price group "&amp;$B180&amp;", "&amp;$C180&amp;" length, Level "&amp;$D180&amp;"; ","")</f>
        <v/>
      </c>
      <c r="G180" s="211" t="str">
        <f>IF(AND($F$8=1,'3_Part_time'!I74&lt;0),G$116&amp;", "&amp;G$117&amp;", Price group "&amp;$B180&amp;", "&amp;$C180&amp;" length, Level "&amp;$D180&amp;"; ","")</f>
        <v/>
      </c>
      <c r="H180" s="1609" t="str">
        <f>IF(AND($F$8=1,'3_Part_time'!J74&lt;0),H$116&amp;", "&amp;H$117&amp;", Price group "&amp;$B180&amp;", "&amp;$C180&amp;" length, Level "&amp;$D180&amp;"; ","")</f>
        <v/>
      </c>
      <c r="I180" s="7" t="str">
        <f>IF(AND($F$8=1,'3_Part_time'!K74&lt;0),I$116&amp;", "&amp;I$117&amp;", Price group "&amp;$B180&amp;", "&amp;$C180&amp;" length, Level "&amp;$D180&amp;"; ","")</f>
        <v/>
      </c>
      <c r="J180" s="211" t="str">
        <f>IF(AND($F$8=1,'3_Part_time'!L74&lt;0),J$116&amp;", "&amp;J$117&amp;", Price group "&amp;$B180&amp;", "&amp;$C180&amp;" length, Level "&amp;$D180&amp;"; ","")</f>
        <v/>
      </c>
      <c r="L180" s="118"/>
      <c r="U180" s="7"/>
      <c r="V180" s="7"/>
      <c r="W180" s="7"/>
    </row>
    <row r="181" spans="2:23" x14ac:dyDescent="0.35">
      <c r="B181" s="20" t="s">
        <v>277</v>
      </c>
      <c r="C181" s="53" t="s">
        <v>204</v>
      </c>
      <c r="D181" s="13" t="s">
        <v>212</v>
      </c>
      <c r="E181" s="1609" t="str">
        <f>IF(AND($F$8=1,'3_Part_time'!G75&lt;0),E$116&amp;", "&amp;E$117&amp;", Price group "&amp;$B181&amp;", "&amp;$C181&amp;" length, Level "&amp;$D181&amp;"; ","")</f>
        <v/>
      </c>
      <c r="F181" s="7" t="str">
        <f>IF(AND($F$8=1,'3_Part_time'!H75&lt;0),F$116&amp;", "&amp;F$117&amp;", Price group "&amp;$B181&amp;", "&amp;$C181&amp;" length, Level "&amp;$D181&amp;"; ","")</f>
        <v/>
      </c>
      <c r="G181" s="211" t="str">
        <f>IF(AND($F$8=1,'3_Part_time'!I75&lt;0),G$116&amp;", "&amp;G$117&amp;", Price group "&amp;$B181&amp;", "&amp;$C181&amp;" length, Level "&amp;$D181&amp;"; ","")</f>
        <v/>
      </c>
      <c r="H181" s="1609" t="str">
        <f>IF(AND($F$8=1,'3_Part_time'!J75&lt;0),H$116&amp;", "&amp;H$117&amp;", Price group "&amp;$B181&amp;", "&amp;$C181&amp;" length, Level "&amp;$D181&amp;"; ","")</f>
        <v/>
      </c>
      <c r="I181" s="7" t="str">
        <f>IF(AND($F$8=1,'3_Part_time'!K75&lt;0),I$116&amp;", "&amp;I$117&amp;", Price group "&amp;$B181&amp;", "&amp;$C181&amp;" length, Level "&amp;$D181&amp;"; ","")</f>
        <v/>
      </c>
      <c r="J181" s="211" t="str">
        <f>IF(AND($F$8=1,'3_Part_time'!L75&lt;0),J$116&amp;", "&amp;J$117&amp;", Price group "&amp;$B181&amp;", "&amp;$C181&amp;" length, Level "&amp;$D181&amp;"; ","")</f>
        <v/>
      </c>
      <c r="L181" s="118"/>
      <c r="U181" s="7"/>
      <c r="V181" s="7"/>
      <c r="W181" s="7"/>
    </row>
    <row r="182" spans="2:23" x14ac:dyDescent="0.35">
      <c r="B182" s="20" t="s">
        <v>277</v>
      </c>
      <c r="C182" s="53" t="s">
        <v>204</v>
      </c>
      <c r="D182" s="13" t="s">
        <v>214</v>
      </c>
      <c r="E182" s="1609" t="str">
        <f>IF(AND($F$8=1,'3_Part_time'!G76&lt;0),E$116&amp;", "&amp;E$117&amp;", Price group "&amp;$B182&amp;", "&amp;$C182&amp;" length, Level "&amp;$D182&amp;"; ","")</f>
        <v/>
      </c>
      <c r="F182" s="7" t="str">
        <f>IF(AND($F$8=1,'3_Part_time'!H76&lt;0),F$116&amp;", "&amp;F$117&amp;", Price group "&amp;$B182&amp;", "&amp;$C182&amp;" length, Level "&amp;$D182&amp;"; ","")</f>
        <v/>
      </c>
      <c r="G182" s="211" t="str">
        <f>IF(AND($F$8=1,'3_Part_time'!I76&lt;0),G$116&amp;", "&amp;G$117&amp;", Price group "&amp;$B182&amp;", "&amp;$C182&amp;" length, Level "&amp;$D182&amp;"; ","")</f>
        <v/>
      </c>
      <c r="H182" s="1609" t="str">
        <f>IF(AND($F$8=1,'3_Part_time'!J76&lt;0),H$116&amp;", "&amp;H$117&amp;", Price group "&amp;$B182&amp;", "&amp;$C182&amp;" length, Level "&amp;$D182&amp;"; ","")</f>
        <v/>
      </c>
      <c r="I182" s="7" t="str">
        <f>IF(AND($F$8=1,'3_Part_time'!K76&lt;0),I$116&amp;", "&amp;I$117&amp;", Price group "&amp;$B182&amp;", "&amp;$C182&amp;" length, Level "&amp;$D182&amp;"; ","")</f>
        <v/>
      </c>
      <c r="J182" s="211" t="str">
        <f>IF(AND($F$8=1,'3_Part_time'!L76&lt;0),J$116&amp;", "&amp;J$117&amp;", Price group "&amp;$B182&amp;", "&amp;$C182&amp;" length, Level "&amp;$D182&amp;"; ","")</f>
        <v/>
      </c>
      <c r="L182" s="118"/>
      <c r="U182" s="7"/>
      <c r="V182" s="7"/>
      <c r="W182" s="7"/>
    </row>
    <row r="183" spans="2:23" x14ac:dyDescent="0.35">
      <c r="B183" s="20" t="s">
        <v>277</v>
      </c>
      <c r="C183" s="53" t="s">
        <v>204</v>
      </c>
      <c r="D183" s="13" t="s">
        <v>216</v>
      </c>
      <c r="E183" s="1428"/>
      <c r="F183" s="1429" t="str">
        <f>IF(AND($F$8=1,'3_Part_time'!H77&lt;0),F$116&amp;", "&amp;F$117&amp;", Price group "&amp;$B183&amp;", "&amp;$C183&amp;" length, Level "&amp;$D183&amp;"; ","")</f>
        <v/>
      </c>
      <c r="G183" s="1430" t="str">
        <f>IF(AND($F$8=1,'3_Part_time'!I77&lt;0),G$116&amp;", "&amp;G$117&amp;", Price group "&amp;$B183&amp;", "&amp;$C183&amp;" length, Level "&amp;$D183&amp;"; ","")</f>
        <v/>
      </c>
      <c r="H183" s="1428"/>
      <c r="I183" s="1429" t="str">
        <f>IF(AND($F$8=1,'3_Part_time'!K77&lt;0),I$116&amp;", "&amp;I$117&amp;", Price group "&amp;$B183&amp;", "&amp;$C183&amp;" length, Level "&amp;$D183&amp;"; ","")</f>
        <v/>
      </c>
      <c r="J183" s="1430" t="str">
        <f>IF(AND($F$8=1,'3_Part_time'!L77&lt;0),J$116&amp;", "&amp;J$117&amp;", Price group "&amp;$B183&amp;", "&amp;$C183&amp;" length, Level "&amp;$D183&amp;"; ","")</f>
        <v/>
      </c>
      <c r="L183" s="118"/>
      <c r="U183" s="7"/>
      <c r="V183" s="7"/>
      <c r="W183" s="7"/>
    </row>
    <row r="184" spans="2:23" x14ac:dyDescent="0.35">
      <c r="B184" s="20" t="s">
        <v>277</v>
      </c>
      <c r="C184" s="53" t="s">
        <v>218</v>
      </c>
      <c r="D184" s="13" t="s">
        <v>205</v>
      </c>
      <c r="E184" s="1609" t="str">
        <f>IF(AND($F$8=1,'3_Part_time'!G78&lt;0),E$116&amp;", "&amp;E$117&amp;", Price group "&amp;$B184&amp;", "&amp;$C184&amp;" length, Level "&amp;$D184&amp;"; ","")</f>
        <v/>
      </c>
      <c r="F184" s="7" t="str">
        <f>IF(AND($F$8=1,'3_Part_time'!H78&lt;0),F$116&amp;", "&amp;F$117&amp;", Price group "&amp;$B184&amp;", "&amp;$C184&amp;" length, Level "&amp;$D184&amp;"; ","")</f>
        <v/>
      </c>
      <c r="G184" s="211" t="str">
        <f>IF(AND($F$8=1,'3_Part_time'!I78&lt;0),G$116&amp;", "&amp;G$117&amp;", Price group "&amp;$B184&amp;", "&amp;$C184&amp;" length, Level "&amp;$D184&amp;"; ","")</f>
        <v/>
      </c>
      <c r="H184" s="1609" t="str">
        <f>IF(AND($F$8=1,'3_Part_time'!J78&lt;0),H$116&amp;", "&amp;H$117&amp;", Price group "&amp;$B184&amp;", "&amp;$C184&amp;" length, Level "&amp;$D184&amp;"; ","")</f>
        <v/>
      </c>
      <c r="I184" s="7" t="str">
        <f>IF(AND($F$8=1,'3_Part_time'!K78&lt;0),I$116&amp;", "&amp;I$117&amp;", Price group "&amp;$B184&amp;", "&amp;$C184&amp;" length, Level "&amp;$D184&amp;"; ","")</f>
        <v/>
      </c>
      <c r="J184" s="211" t="str">
        <f>IF(AND($F$8=1,'3_Part_time'!L78&lt;0),J$116&amp;", "&amp;J$117&amp;", Price group "&amp;$B184&amp;", "&amp;$C184&amp;" length, Level "&amp;$D184&amp;"; ","")</f>
        <v/>
      </c>
      <c r="L184" s="118"/>
      <c r="U184" s="7"/>
      <c r="V184" s="7"/>
      <c r="W184" s="7"/>
    </row>
    <row r="185" spans="2:23" x14ac:dyDescent="0.35">
      <c r="B185" s="20" t="s">
        <v>277</v>
      </c>
      <c r="C185" s="53" t="s">
        <v>218</v>
      </c>
      <c r="D185" s="13" t="s">
        <v>208</v>
      </c>
      <c r="E185" s="1609" t="str">
        <f>IF(AND($F$8=1,'3_Part_time'!G79&lt;0),E$116&amp;", "&amp;E$117&amp;", Price group "&amp;$B185&amp;", "&amp;$C185&amp;" length, Level "&amp;$D185&amp;"; ","")</f>
        <v/>
      </c>
      <c r="F185" s="7" t="str">
        <f>IF(AND($F$8=1,'3_Part_time'!H79&lt;0),F$116&amp;", "&amp;F$117&amp;", Price group "&amp;$B185&amp;", "&amp;$C185&amp;" length, Level "&amp;$D185&amp;"; ","")</f>
        <v/>
      </c>
      <c r="G185" s="211" t="str">
        <f>IF(AND($F$8=1,'3_Part_time'!I79&lt;0),G$116&amp;", "&amp;G$117&amp;", Price group "&amp;$B185&amp;", "&amp;$C185&amp;" length, Level "&amp;$D185&amp;"; ","")</f>
        <v/>
      </c>
      <c r="H185" s="1609" t="str">
        <f>IF(AND($F$8=1,'3_Part_time'!J79&lt;0),H$116&amp;", "&amp;H$117&amp;", Price group "&amp;$B185&amp;", "&amp;$C185&amp;" length, Level "&amp;$D185&amp;"; ","")</f>
        <v/>
      </c>
      <c r="I185" s="7" t="str">
        <f>IF(AND($F$8=1,'3_Part_time'!K79&lt;0),I$116&amp;", "&amp;I$117&amp;", Price group "&amp;$B185&amp;", "&amp;$C185&amp;" length, Level "&amp;$D185&amp;"; ","")</f>
        <v/>
      </c>
      <c r="J185" s="211" t="str">
        <f>IF(AND($F$8=1,'3_Part_time'!L79&lt;0),J$116&amp;", "&amp;J$117&amp;", Price group "&amp;$B185&amp;", "&amp;$C185&amp;" length, Level "&amp;$D185&amp;"; ","")</f>
        <v/>
      </c>
      <c r="L185" s="118"/>
      <c r="U185" s="7"/>
      <c r="V185" s="7"/>
      <c r="W185" s="7"/>
    </row>
    <row r="186" spans="2:23" x14ac:dyDescent="0.35">
      <c r="B186" s="20" t="s">
        <v>277</v>
      </c>
      <c r="C186" s="53" t="s">
        <v>218</v>
      </c>
      <c r="D186" s="13" t="s">
        <v>210</v>
      </c>
      <c r="E186" s="1609" t="str">
        <f>IF(AND($F$8=1,'3_Part_time'!G80&lt;0),E$116&amp;", "&amp;E$117&amp;", Price group "&amp;$B186&amp;", "&amp;$C186&amp;" length, Level "&amp;$D186&amp;"; ","")</f>
        <v/>
      </c>
      <c r="F186" s="7" t="str">
        <f>IF(AND($F$8=1,'3_Part_time'!H80&lt;0),F$116&amp;", "&amp;F$117&amp;", Price group "&amp;$B186&amp;", "&amp;$C186&amp;" length, Level "&amp;$D186&amp;"; ","")</f>
        <v/>
      </c>
      <c r="G186" s="211" t="str">
        <f>IF(AND($F$8=1,'3_Part_time'!I80&lt;0),G$116&amp;", "&amp;G$117&amp;", Price group "&amp;$B186&amp;", "&amp;$C186&amp;" length, Level "&amp;$D186&amp;"; ","")</f>
        <v/>
      </c>
      <c r="H186" s="1609" t="str">
        <f>IF(AND($F$8=1,'3_Part_time'!J80&lt;0),H$116&amp;", "&amp;H$117&amp;", Price group "&amp;$B186&amp;", "&amp;$C186&amp;" length, Level "&amp;$D186&amp;"; ","")</f>
        <v/>
      </c>
      <c r="I186" s="7" t="str">
        <f>IF(AND($F$8=1,'3_Part_time'!K80&lt;0),I$116&amp;", "&amp;I$117&amp;", Price group "&amp;$B186&amp;", "&amp;$C186&amp;" length, Level "&amp;$D186&amp;"; ","")</f>
        <v/>
      </c>
      <c r="J186" s="211" t="str">
        <f>IF(AND($F$8=1,'3_Part_time'!L80&lt;0),J$116&amp;", "&amp;J$117&amp;", Price group "&amp;$B186&amp;", "&amp;$C186&amp;" length, Level "&amp;$D186&amp;"; ","")</f>
        <v/>
      </c>
      <c r="L186" s="118"/>
      <c r="U186" s="7"/>
      <c r="V186" s="7"/>
      <c r="W186" s="7"/>
    </row>
    <row r="187" spans="2:23" x14ac:dyDescent="0.35">
      <c r="B187" s="20" t="s">
        <v>277</v>
      </c>
      <c r="C187" s="53" t="s">
        <v>218</v>
      </c>
      <c r="D187" s="13" t="s">
        <v>212</v>
      </c>
      <c r="E187" s="1609" t="str">
        <f>IF(AND($F$8=1,'3_Part_time'!G81&lt;0),E$116&amp;", "&amp;E$117&amp;", Price group "&amp;$B187&amp;", "&amp;$C187&amp;" length, Level "&amp;$D187&amp;"; ","")</f>
        <v/>
      </c>
      <c r="F187" s="7" t="str">
        <f>IF(AND($F$8=1,'3_Part_time'!H81&lt;0),F$116&amp;", "&amp;F$117&amp;", Price group "&amp;$B187&amp;", "&amp;$C187&amp;" length, Level "&amp;$D187&amp;"; ","")</f>
        <v/>
      </c>
      <c r="G187" s="211" t="str">
        <f>IF(AND($F$8=1,'3_Part_time'!I81&lt;0),G$116&amp;", "&amp;G$117&amp;", Price group "&amp;$B187&amp;", "&amp;$C187&amp;" length, Level "&amp;$D187&amp;"; ","")</f>
        <v/>
      </c>
      <c r="H187" s="1609" t="str">
        <f>IF(AND($F$8=1,'3_Part_time'!J81&lt;0),H$116&amp;", "&amp;H$117&amp;", Price group "&amp;$B187&amp;", "&amp;$C187&amp;" length, Level "&amp;$D187&amp;"; ","")</f>
        <v/>
      </c>
      <c r="I187" s="7" t="str">
        <f>IF(AND($F$8=1,'3_Part_time'!K81&lt;0),I$116&amp;", "&amp;I$117&amp;", Price group "&amp;$B187&amp;", "&amp;$C187&amp;" length, Level "&amp;$D187&amp;"; ","")</f>
        <v/>
      </c>
      <c r="J187" s="211" t="str">
        <f>IF(AND($F$8=1,'3_Part_time'!L81&lt;0),J$116&amp;", "&amp;J$117&amp;", Price group "&amp;$B187&amp;", "&amp;$C187&amp;" length, Level "&amp;$D187&amp;"; ","")</f>
        <v/>
      </c>
      <c r="L187" s="118"/>
      <c r="U187" s="7"/>
      <c r="V187" s="7"/>
      <c r="W187" s="7"/>
    </row>
    <row r="188" spans="2:23" x14ac:dyDescent="0.35">
      <c r="B188" s="20" t="s">
        <v>277</v>
      </c>
      <c r="C188" s="53" t="s">
        <v>218</v>
      </c>
      <c r="D188" s="13" t="s">
        <v>214</v>
      </c>
      <c r="E188" s="1609" t="str">
        <f>IF(AND($F$8=1,'3_Part_time'!G82&lt;0),E$116&amp;", "&amp;E$117&amp;", Price group "&amp;$B188&amp;", "&amp;$C188&amp;" length, Level "&amp;$D188&amp;"; ","")</f>
        <v/>
      </c>
      <c r="F188" s="7" t="str">
        <f>IF(AND($F$8=1,'3_Part_time'!H82&lt;0),F$116&amp;", "&amp;F$117&amp;", Price group "&amp;$B188&amp;", "&amp;$C188&amp;" length, Level "&amp;$D188&amp;"; ","")</f>
        <v/>
      </c>
      <c r="G188" s="211" t="str">
        <f>IF(AND($F$8=1,'3_Part_time'!I82&lt;0),G$116&amp;", "&amp;G$117&amp;", Price group "&amp;$B188&amp;", "&amp;$C188&amp;" length, Level "&amp;$D188&amp;"; ","")</f>
        <v/>
      </c>
      <c r="H188" s="1609" t="str">
        <f>IF(AND($F$8=1,'3_Part_time'!J82&lt;0),H$116&amp;", "&amp;H$117&amp;", Price group "&amp;$B188&amp;", "&amp;$C188&amp;" length, Level "&amp;$D188&amp;"; ","")</f>
        <v/>
      </c>
      <c r="I188" s="7" t="str">
        <f>IF(AND($F$8=1,'3_Part_time'!K82&lt;0),I$116&amp;", "&amp;I$117&amp;", Price group "&amp;$B188&amp;", "&amp;$C188&amp;" length, Level "&amp;$D188&amp;"; ","")</f>
        <v/>
      </c>
      <c r="J188" s="211" t="str">
        <f>IF(AND($F$8=1,'3_Part_time'!L82&lt;0),J$116&amp;", "&amp;J$117&amp;", Price group "&amp;$B188&amp;", "&amp;$C188&amp;" length, Level "&amp;$D188&amp;"; ","")</f>
        <v/>
      </c>
      <c r="L188" s="118"/>
      <c r="U188" s="7"/>
      <c r="V188" s="7"/>
      <c r="W188" s="7"/>
    </row>
    <row r="189" spans="2:23" x14ac:dyDescent="0.35">
      <c r="B189" s="20" t="s">
        <v>277</v>
      </c>
      <c r="C189" s="53" t="s">
        <v>218</v>
      </c>
      <c r="D189" s="13" t="s">
        <v>216</v>
      </c>
      <c r="E189" s="1432"/>
      <c r="F189" s="1409" t="str">
        <f>IF(AND($F$8=1,'3_Part_time'!H83&lt;0),F$116&amp;", "&amp;F$117&amp;", Price group "&amp;$B189&amp;", "&amp;$C189&amp;" length, Level "&amp;$D189&amp;"; ","")</f>
        <v/>
      </c>
      <c r="G189" s="1433" t="str">
        <f>IF(AND($F$8=1,'3_Part_time'!I83&lt;0),G$116&amp;", "&amp;G$117&amp;", Price group "&amp;$B189&amp;", "&amp;$C189&amp;" length, Level "&amp;$D189&amp;"; ","")</f>
        <v/>
      </c>
      <c r="H189" s="1432"/>
      <c r="I189" s="1409" t="str">
        <f>IF(AND($F$8=1,'3_Part_time'!K83&lt;0),I$116&amp;", "&amp;I$117&amp;", Price group "&amp;$B189&amp;", "&amp;$C189&amp;" length, Level "&amp;$D189&amp;"; ","")</f>
        <v/>
      </c>
      <c r="J189" s="1433" t="str">
        <f>IF(AND($F$8=1,'3_Part_time'!L83&lt;0),J$116&amp;", "&amp;J$117&amp;", Price group "&amp;$B189&amp;", "&amp;$C189&amp;" length, Level "&amp;$D189&amp;"; ","")</f>
        <v/>
      </c>
      <c r="L189" s="118"/>
      <c r="U189" s="7"/>
      <c r="V189" s="7"/>
      <c r="W189" s="7"/>
    </row>
    <row r="190" spans="2:23" x14ac:dyDescent="0.35">
      <c r="B190" s="1284"/>
      <c r="C190" s="7"/>
      <c r="D190" s="7"/>
      <c r="E190" s="53"/>
      <c r="F190" s="53"/>
      <c r="G190" s="53"/>
      <c r="H190" s="53"/>
      <c r="I190" s="53"/>
      <c r="J190" s="53"/>
      <c r="L190" s="118"/>
      <c r="U190" s="7"/>
      <c r="V190" s="7"/>
      <c r="W190" s="7"/>
    </row>
    <row r="191" spans="2:23" x14ac:dyDescent="0.35">
      <c r="B191" s="1284"/>
      <c r="C191" s="7"/>
      <c r="D191" s="211"/>
      <c r="E191" s="1790" t="str">
        <f>CONCATENATE(E118,E119,E120,E121,E122,E124,E125,E126,E127,E128,E130,E131,E132,E133,E134,E136,E137,E138,E139,E140,E142,E143,E144,E145,E146,E148,E149,E150,E151,E152,E154,E155,E156,E157,E158,E160,E161,E162,E163,E164,E166,E167,E168,E169,E170,E172,E173,E174,E175,E176,E178,E179,E180,E181,E182,E184,E185,E186,E187,E188)</f>
        <v/>
      </c>
      <c r="F191" s="1814" t="str">
        <f t="shared" ref="F191:J191" si="38">CONCATENATE(F118,F119,F120,F121,F122,F123,F124,F125,F126,F127,F128,F129,F130,F131,F132,F133,F134,F135,F136,F137,F138,F139,F140,F141,F142,F143,F144,F145,F146,F147,F148,F149,F150,F151,F152,F153,F154,F155,F156,F157,F158,F159,F160,F161,F162,F163,F164,F165,F166,F167,F168,F169,F170,F171,F172,F173,F174,F175,F176,F177,F178,F179,F180,F181,F182,F183,F184,F185,F186,F187,F188,F189)</f>
        <v/>
      </c>
      <c r="G191" s="1814" t="str">
        <f t="shared" si="38"/>
        <v/>
      </c>
      <c r="H191" s="1790" t="str">
        <f>CONCATENATE(H118,H119,H120,H121,H122,H124,H125,H126,H127,H128,H130,H131,H132,H133,H134,H136,H137,H138,H139,H140,H142,H143,H144,H145,H146,H148,H149,H150,H151,H152,H154,H155,H156,H157,H158,H160,H161,H162,H163,H164,H166,H167,H168,H169,H170,H172,H173,H174,H175,H176,H178,H179,H180,H181,H182,H184,H185,H186,H187,H188)</f>
        <v/>
      </c>
      <c r="I191" s="1814" t="str">
        <f t="shared" si="38"/>
        <v/>
      </c>
      <c r="J191" s="1814" t="str">
        <f t="shared" si="38"/>
        <v/>
      </c>
      <c r="L191" s="118"/>
      <c r="U191" s="7"/>
      <c r="V191" s="7"/>
      <c r="W191" s="7"/>
    </row>
    <row r="192" spans="2:23" x14ac:dyDescent="0.35">
      <c r="B192" s="1284"/>
      <c r="C192" s="7"/>
      <c r="D192" s="7"/>
      <c r="E192" s="11" t="s">
        <v>28281</v>
      </c>
      <c r="F192" s="7"/>
      <c r="G192" s="7"/>
      <c r="H192" s="7"/>
      <c r="I192" s="7"/>
      <c r="J192" s="7"/>
      <c r="L192" s="118"/>
      <c r="U192" s="7"/>
      <c r="V192" s="7"/>
      <c r="W192" s="7"/>
    </row>
    <row r="193" spans="2:23" x14ac:dyDescent="0.35">
      <c r="B193" s="1284"/>
      <c r="C193" s="1814" t="str">
        <f>E193&amp;H193&amp;N193&amp;Q193</f>
        <v/>
      </c>
      <c r="D193" s="7"/>
      <c r="E193" s="1816" t="str">
        <f>E191&amp;F191&amp;G191</f>
        <v/>
      </c>
      <c r="F193" s="7"/>
      <c r="G193" s="7"/>
      <c r="H193" s="1817" t="str">
        <f>H191&amp;I191&amp;J191</f>
        <v/>
      </c>
      <c r="I193" s="7"/>
      <c r="J193" s="7"/>
      <c r="L193" s="118"/>
      <c r="U193" s="7"/>
      <c r="V193" s="7"/>
      <c r="W193" s="7"/>
    </row>
    <row r="194" spans="2:23" x14ac:dyDescent="0.35">
      <c r="B194" s="1423"/>
      <c r="C194" s="1424"/>
      <c r="D194" s="1424"/>
      <c r="E194" s="1424"/>
      <c r="F194" s="1424"/>
      <c r="G194" s="1424"/>
      <c r="H194" s="1424"/>
      <c r="I194" s="1424"/>
      <c r="J194" s="1424"/>
      <c r="K194" s="25"/>
      <c r="L194" s="118"/>
      <c r="R194" s="133"/>
      <c r="S194" s="133"/>
      <c r="T194" s="133"/>
      <c r="U194" s="133"/>
    </row>
    <row r="195" spans="2:23" x14ac:dyDescent="0.35">
      <c r="B195" s="62" t="s">
        <v>27737</v>
      </c>
      <c r="C195" s="61"/>
      <c r="D195" s="61"/>
      <c r="E195" s="61"/>
      <c r="F195" s="61"/>
      <c r="G195" s="61"/>
      <c r="H195" s="61"/>
      <c r="I195" s="128"/>
      <c r="J195" s="128"/>
      <c r="K195" s="128"/>
      <c r="L195" s="203" t="s">
        <v>27738</v>
      </c>
      <c r="U195" s="131"/>
    </row>
    <row r="196" spans="2:23" ht="12.75" customHeight="1" x14ac:dyDescent="0.35">
      <c r="B196" s="62"/>
      <c r="C196" s="7"/>
      <c r="D196" s="7"/>
      <c r="E196" t="s">
        <v>27679</v>
      </c>
      <c r="F196" t="s">
        <v>27679</v>
      </c>
      <c r="G196" t="s">
        <v>27679</v>
      </c>
      <c r="H196" t="s">
        <v>27680</v>
      </c>
      <c r="I196" t="s">
        <v>27680</v>
      </c>
      <c r="J196" t="s">
        <v>27680</v>
      </c>
      <c r="L196" s="130"/>
      <c r="O196" s="11" t="s">
        <v>27679</v>
      </c>
      <c r="P196" s="11" t="s">
        <v>27679</v>
      </c>
      <c r="Q196" s="11" t="s">
        <v>27679</v>
      </c>
      <c r="R196" s="11" t="s">
        <v>27680</v>
      </c>
      <c r="S196" s="11" t="s">
        <v>27680</v>
      </c>
      <c r="T196" s="11" t="s">
        <v>27680</v>
      </c>
      <c r="U196" s="131"/>
    </row>
    <row r="197" spans="2:23" ht="13.15" x14ac:dyDescent="0.35">
      <c r="B197" s="62"/>
      <c r="C197" s="7"/>
      <c r="D197" s="196"/>
      <c r="E197" t="s">
        <v>192</v>
      </c>
      <c r="F197" t="s">
        <v>193</v>
      </c>
      <c r="G197" t="s">
        <v>194</v>
      </c>
      <c r="H197" t="s">
        <v>192</v>
      </c>
      <c r="I197" t="s">
        <v>193</v>
      </c>
      <c r="J197" t="s">
        <v>194</v>
      </c>
      <c r="L197" s="130"/>
      <c r="O197" t="s">
        <v>192</v>
      </c>
      <c r="P197" t="s">
        <v>193</v>
      </c>
      <c r="Q197" t="s">
        <v>194</v>
      </c>
      <c r="R197" t="s">
        <v>192</v>
      </c>
      <c r="S197" t="s">
        <v>193</v>
      </c>
      <c r="T197" t="s">
        <v>194</v>
      </c>
      <c r="U197" s="131"/>
    </row>
    <row r="198" spans="2:23" x14ac:dyDescent="0.35">
      <c r="B198" s="62"/>
      <c r="C198" s="53" t="s">
        <v>204</v>
      </c>
      <c r="D198" s="13" t="s">
        <v>205</v>
      </c>
      <c r="E198" s="2153" t="str">
        <f>IF(AND($R$8=1,FEC=1,'3_Part_time'!G12&lt;&gt;0),CONCATENATE(E$196,", ",E$197,", ",$C198," length, ","Level ",$D198,"; "),"")</f>
        <v/>
      </c>
      <c r="F198" s="311" t="str">
        <f>IF(AND($R$8=1,FEC=1,'3_Part_time'!H12&lt;&gt;0),CONCATENATE(F$196,", ",F$197,", ",$C198," length, ","Level ",$D198,"; "),"")</f>
        <v/>
      </c>
      <c r="G198" s="311" t="str">
        <f>IF(AND($R$8=1,FEC=1,'3_Part_time'!I12&lt;&gt;0),CONCATENATE(G$196,", ",G$197,", ",$C198," length, ","Level ",$D198,"; "),"")</f>
        <v/>
      </c>
      <c r="H198" s="1818" t="str">
        <f>IF(AND($R$8=1,FEC=1,'3_Part_time'!J12&lt;&gt;0),CONCATENATE(H$196,", ",H$197,", ",$C198," length, ","Level ",$D198,"; "),"")</f>
        <v/>
      </c>
      <c r="I198" s="311" t="str">
        <f>IF(AND($R$8=1,FEC=1,'3_Part_time'!K12&lt;&gt;0),CONCATENATE(I$196,", ",I$197,", ",$C198," length, ","Level ",$D198,"; "),"")</f>
        <v/>
      </c>
      <c r="J198" s="1819" t="str">
        <f>IF(AND($R$8=1,FEC=1,'3_Part_time'!L12&lt;&gt;0),CONCATENATE(J$196,", ",J$197,", ",$C198," length, ","Level ",$D198,"; "),"")</f>
        <v/>
      </c>
      <c r="L198" s="2165" t="s">
        <v>203</v>
      </c>
      <c r="M198" s="53" t="s">
        <v>204</v>
      </c>
      <c r="N198" s="53" t="s">
        <v>205</v>
      </c>
      <c r="O198" s="1820"/>
      <c r="P198" s="322"/>
      <c r="Q198" s="322"/>
      <c r="R198" s="1820"/>
      <c r="S198" s="322"/>
      <c r="T198" s="1821"/>
      <c r="U198" s="131"/>
    </row>
    <row r="199" spans="2:23" x14ac:dyDescent="0.35">
      <c r="B199" s="62"/>
      <c r="C199" s="53" t="s">
        <v>204</v>
      </c>
      <c r="D199" s="13" t="s">
        <v>208</v>
      </c>
      <c r="E199" s="2154" t="str">
        <f>IF(AND($R$8=1,FEC=1,'3_Part_time'!G13&lt;&gt;0),CONCATENATE(E$196,", ",E$197,", ",$C199," length, ","Level ",$D199,"; "),"")</f>
        <v/>
      </c>
      <c r="F199" s="310" t="str">
        <f>IF(AND($R$8=1,FEC=1,'3_Part_time'!H13&lt;&gt;0),CONCATENATE(F$196,", ",F$197,", ",$C199," length, ","Level ",$D199,"; "),"")</f>
        <v/>
      </c>
      <c r="G199" s="310" t="str">
        <f>IF(AND($R$8=1,FEC=1,'3_Part_time'!I13&lt;&gt;0),CONCATENATE(G$196,", ",G$197,", ",$C199," length, ","Level ",$D199,"; "),"")</f>
        <v/>
      </c>
      <c r="H199" s="1618" t="str">
        <f>IF(AND($R$8=1,FEC=1,'3_Part_time'!J13&lt;&gt;0),CONCATENATE(H$196,", ",H$197,", ",$C199," length, ","Level ",$D199,"; "),"")</f>
        <v/>
      </c>
      <c r="I199" s="310" t="str">
        <f>IF(AND($R$8=1,FEC=1,'3_Part_time'!K13&lt;&gt;0),CONCATENATE(I$196,", ",I$197,", ",$C199," length, ","Level ",$D199,"; "),"")</f>
        <v/>
      </c>
      <c r="J199" s="312" t="str">
        <f>IF(AND($R$8=1,FEC=1,'3_Part_time'!L13&lt;&gt;0),CONCATENATE(J$196,", ",J$197,", ",$C199," length, ","Level ",$D199,"; "),"")</f>
        <v/>
      </c>
      <c r="L199" s="2165" t="s">
        <v>203</v>
      </c>
      <c r="M199" s="53" t="s">
        <v>204</v>
      </c>
      <c r="N199" s="53" t="s">
        <v>208</v>
      </c>
      <c r="O199" s="1619"/>
      <c r="P199" s="323"/>
      <c r="Q199" s="323"/>
      <c r="R199" s="1619"/>
      <c r="S199" s="323"/>
      <c r="T199" s="324"/>
      <c r="U199" s="131"/>
    </row>
    <row r="200" spans="2:23" x14ac:dyDescent="0.35">
      <c r="B200" s="62"/>
      <c r="C200" s="53" t="s">
        <v>204</v>
      </c>
      <c r="D200" s="13" t="s">
        <v>210</v>
      </c>
      <c r="E200" s="2154" t="str">
        <f>IF(AND($R$8=1,FEC=1,'3_Part_time'!G14&lt;&gt;0),CONCATENATE(E$196,", ",E$197,", ",$C200," length, ","Level ",$D200,"; "),"")</f>
        <v/>
      </c>
      <c r="F200" s="310" t="str">
        <f>IF(AND($R$8=1,FEC=1,'3_Part_time'!H14&lt;&gt;0),CONCATENATE(F$196,", ",F$197,", ",$C200," length, ","Level ",$D200,"; "),"")</f>
        <v/>
      </c>
      <c r="G200" s="310" t="str">
        <f>IF(AND($R$8=1,FEC=1,'3_Part_time'!I14&lt;&gt;0),CONCATENATE(G$196,", ",G$197,", ",$C200," length, ","Level ",$D200,"; "),"")</f>
        <v/>
      </c>
      <c r="H200" s="1618" t="str">
        <f>IF(AND($R$8=1,FEC=1,'3_Part_time'!J14&lt;&gt;0),CONCATENATE(H$196,", ",H$197,", ",$C200," length, ","Level ",$D200,"; "),"")</f>
        <v/>
      </c>
      <c r="I200" s="310" t="str">
        <f>IF(AND($R$8=1,FEC=1,'3_Part_time'!K14&lt;&gt;0),CONCATENATE(I$196,", ",I$197,", ",$C200," length, ","Level ",$D200,"; "),"")</f>
        <v/>
      </c>
      <c r="J200" s="312" t="str">
        <f>IF(AND($R$8=1,FEC=1,'3_Part_time'!L14&lt;&gt;0),CONCATENATE(J$196,", ",J$197,", ",$C200," length, ","Level ",$D200,"; "),"")</f>
        <v/>
      </c>
      <c r="L200" s="2165" t="s">
        <v>203</v>
      </c>
      <c r="M200" s="53" t="s">
        <v>204</v>
      </c>
      <c r="N200" s="53" t="s">
        <v>210</v>
      </c>
      <c r="O200" s="1619"/>
      <c r="P200" s="323"/>
      <c r="Q200" s="323"/>
      <c r="R200" s="1619"/>
      <c r="S200" s="323"/>
      <c r="T200" s="324"/>
      <c r="U200" s="131"/>
    </row>
    <row r="201" spans="2:23" x14ac:dyDescent="0.35">
      <c r="B201" s="62"/>
      <c r="C201" s="53" t="s">
        <v>204</v>
      </c>
      <c r="D201" s="13" t="s">
        <v>212</v>
      </c>
      <c r="E201" s="2154" t="str">
        <f>IF(AND($R$8=1,FEC=1,'3_Part_time'!G15&lt;&gt;0),CONCATENATE(E$196,", ",E$197,", ",$C201," length, ","Level ",$D201,"; "),"")</f>
        <v/>
      </c>
      <c r="F201" s="310" t="str">
        <f>IF(AND($R$8=1,FEC=1,'3_Part_time'!H15&lt;&gt;0),CONCATENATE(F$196,", ",F$197,", ",$C201," length, ","Level ",$D201,"; "),"")</f>
        <v/>
      </c>
      <c r="G201" s="310" t="str">
        <f>IF(AND($R$8=1,FEC=1,'3_Part_time'!I15&lt;&gt;0),CONCATENATE(G$196,", ",G$197,", ",$C201," length, ","Level ",$D201,"; "),"")</f>
        <v/>
      </c>
      <c r="H201" s="1618" t="str">
        <f>IF(AND($R$8=1,FEC=1,'3_Part_time'!J15&lt;&gt;0),CONCATENATE(H$196,", ",H$197,", ",$C201," length, ","Level ",$D201,"; "),"")</f>
        <v/>
      </c>
      <c r="I201" s="310" t="str">
        <f>IF(AND($R$8=1,FEC=1,'3_Part_time'!K15&lt;&gt;0),CONCATENATE(I$196,", ",I$197,", ",$C201," length, ","Level ",$D201,"; "),"")</f>
        <v/>
      </c>
      <c r="J201" s="312" t="str">
        <f>IF(AND($R$8=1,FEC=1,'3_Part_time'!L15&lt;&gt;0),CONCATENATE(J$196,", ",J$197,", ",$C201," length, ","Level ",$D201,"; "),"")</f>
        <v/>
      </c>
      <c r="L201" s="2165" t="s">
        <v>203</v>
      </c>
      <c r="M201" s="53" t="s">
        <v>204</v>
      </c>
      <c r="N201" s="53" t="s">
        <v>212</v>
      </c>
      <c r="O201" s="1619"/>
      <c r="P201" s="323"/>
      <c r="Q201" s="323"/>
      <c r="R201" s="1619"/>
      <c r="S201" s="323"/>
      <c r="T201" s="324"/>
      <c r="U201" s="131"/>
    </row>
    <row r="202" spans="2:23" x14ac:dyDescent="0.35">
      <c r="B202" s="62"/>
      <c r="C202" s="53" t="s">
        <v>204</v>
      </c>
      <c r="D202" s="13" t="s">
        <v>214</v>
      </c>
      <c r="E202" s="2154" t="str">
        <f>IF(AND($R$8=1,FEC=1,'3_Part_time'!G16&lt;&gt;0),CONCATENATE(E$196,", ",E$197,", ",$C202," length, ","Level ",$D202,"; "),"")</f>
        <v/>
      </c>
      <c r="F202" s="310" t="str">
        <f>IF(AND($R$8=1,FEC=1,'3_Part_time'!H16&lt;&gt;0),CONCATENATE(F$196,", ",F$197,", ",$C202," length, ","Level ",$D202,"; "),"")</f>
        <v/>
      </c>
      <c r="G202" s="310" t="str">
        <f>IF(AND($R$8=1,FEC=1,'3_Part_time'!I16&lt;&gt;0),CONCATENATE(G$196,", ",G$197,", ",$C202," length, ","Level ",$D202,"; "),"")</f>
        <v/>
      </c>
      <c r="H202" s="1618" t="str">
        <f>IF(AND($R$8=1,FEC=1,'3_Part_time'!J16&lt;&gt;0),CONCATENATE(H$196,", ",H$197,", ",$C202," length, ","Level ",$D202,"; "),"")</f>
        <v/>
      </c>
      <c r="I202" s="310" t="str">
        <f>IF(AND($R$8=1,FEC=1,'3_Part_time'!K16&lt;&gt;0),CONCATENATE(I$196,", ",I$197,", ",$C202," length, ","Level ",$D202,"; "),"")</f>
        <v/>
      </c>
      <c r="J202" s="312" t="str">
        <f>IF(AND($R$8=1,FEC=1,'3_Part_time'!L16&lt;&gt;0),CONCATENATE(J$196,", ",J$197,", ",$C202," length, ","Level ",$D202,"; "),"")</f>
        <v/>
      </c>
      <c r="L202" s="2165" t="s">
        <v>203</v>
      </c>
      <c r="M202" s="53" t="s">
        <v>204</v>
      </c>
      <c r="N202" s="53" t="s">
        <v>214</v>
      </c>
      <c r="O202" s="1619"/>
      <c r="P202" s="323"/>
      <c r="Q202" s="323"/>
      <c r="R202" s="1619"/>
      <c r="S202" s="323"/>
      <c r="T202" s="324"/>
      <c r="U202" s="131"/>
    </row>
    <row r="203" spans="2:23" x14ac:dyDescent="0.35">
      <c r="B203" s="62"/>
      <c r="C203" s="53" t="s">
        <v>204</v>
      </c>
      <c r="D203" s="13" t="s">
        <v>216</v>
      </c>
      <c r="E203" s="2155"/>
      <c r="F203" s="313" t="str">
        <f>IF(AND($R$8=1,FEC=1,'3_Part_time'!H17&lt;&gt;0),CONCATENATE(F$196,", ",F$197,", ",$C203," length, ","Level ",$D203,"; "),"")</f>
        <v/>
      </c>
      <c r="G203" s="313" t="str">
        <f>IF(AND($R$8=1,FEC=1,'3_Part_time'!I17&lt;&gt;0),CONCATENATE(G$196,", ",G$197,", ",$C203," length, ","Level ",$D203,"; "),"")</f>
        <v/>
      </c>
      <c r="H203" s="314"/>
      <c r="I203" s="313" t="str">
        <f>IF(AND($R$8=1,FEC=1,'3_Part_time'!K17&lt;&gt;0),CONCATENATE(I$196,", ",I$197,", ",$C203," length, ","Level ",$D203,"; "),"")</f>
        <v/>
      </c>
      <c r="J203" s="315" t="str">
        <f>IF(AND($R$8=1,FEC=1,'3_Part_time'!L17&lt;&gt;0),CONCATENATE(J$196,", ",J$197,", ",$C203," length, ","Level ",$D203,"; "),"")</f>
        <v/>
      </c>
      <c r="L203" s="2165" t="s">
        <v>203</v>
      </c>
      <c r="M203" s="53" t="s">
        <v>204</v>
      </c>
      <c r="N203" s="53" t="s">
        <v>216</v>
      </c>
      <c r="O203" s="2155"/>
      <c r="P203" s="1436" t="str">
        <f>IF(AND($S$8=1,FEC=1,'3_Part_time'!H17&lt;&gt;0),CONCATENATE(P$196,", ",P$197,", Price group ",$L203,", ",$M203," length; "),"")</f>
        <v/>
      </c>
      <c r="Q203" s="1436" t="str">
        <f>IF(AND($S$8=1,FEC=1,'3_Part_time'!I17&lt;&gt;0),CONCATENATE(Q$196,", ",Q$197,", Price group ",$L203,", ",$M203," length; "),"")</f>
        <v/>
      </c>
      <c r="R203" s="2155"/>
      <c r="S203" s="313" t="str">
        <f>IF(AND($S$8=1,FEC=1,'3_Part_time'!K17&lt;&gt;0),CONCATENATE(S$196,", ",S$197,", Price group ",$L203,", ",$M203," length; "),"")</f>
        <v/>
      </c>
      <c r="T203" s="315" t="str">
        <f>IF(AND($S$8=1,FEC=1,'3_Part_time'!L17&lt;&gt;0),CONCATENATE(T$196,", ",T$197,", Price group ",$L203,", ",$M203," length; "),"")</f>
        <v/>
      </c>
      <c r="U203" s="131"/>
    </row>
    <row r="204" spans="2:23" x14ac:dyDescent="0.35">
      <c r="B204" s="62"/>
      <c r="C204" s="53" t="s">
        <v>218</v>
      </c>
      <c r="D204" s="13" t="s">
        <v>205</v>
      </c>
      <c r="E204" s="2154" t="str">
        <f>IF(AND($R$8=1,FEC=1,'3_Part_time'!G18&lt;&gt;0),CONCATENATE(E$196,", ",E$197,", ",$C204," length, ","Level ",$D204,"; "),"")</f>
        <v/>
      </c>
      <c r="F204" s="310" t="str">
        <f>IF(AND($R$8=1,FEC=1,'3_Part_time'!H18&lt;&gt;0),CONCATENATE(F$196,", ",F$197,", ",$C204," length, ","Level ",$D204,"; "),"")</f>
        <v/>
      </c>
      <c r="G204" s="310" t="str">
        <f>IF(AND($R$8=1,FEC=1,'3_Part_time'!I18&lt;&gt;0),CONCATENATE(G$196,", ",G$197,", ",$C204," length, ","Level ",$D204,"; "),"")</f>
        <v/>
      </c>
      <c r="H204" s="1618" t="str">
        <f>IF(AND($R$8=1,FEC=1,'3_Part_time'!J18&lt;&gt;0),CONCATENATE(H$196,", ",H$197,", ",$C204," length, ","Level ",$D204,"; "),"")</f>
        <v/>
      </c>
      <c r="I204" s="310" t="str">
        <f>IF(AND($R$8=1,FEC=1,'3_Part_time'!K18&lt;&gt;0),CONCATENATE(I$196,", ",I$197,", ",$C204," length, ","Level ",$D204,"; "),"")</f>
        <v/>
      </c>
      <c r="J204" s="312" t="str">
        <f>IF(AND($R$8=1,FEC=1,'3_Part_time'!L18&lt;&gt;0),CONCATENATE(J$196,", ",J$197,", ",$C204," length, ","Level ",$D204,"; "),"")</f>
        <v/>
      </c>
      <c r="L204" s="2165" t="s">
        <v>203</v>
      </c>
      <c r="M204" s="53" t="s">
        <v>218</v>
      </c>
      <c r="N204" s="53" t="s">
        <v>205</v>
      </c>
      <c r="O204" s="1619"/>
      <c r="P204" s="323"/>
      <c r="Q204" s="323"/>
      <c r="R204" s="1619"/>
      <c r="S204" s="323"/>
      <c r="T204" s="324"/>
      <c r="U204" s="131"/>
    </row>
    <row r="205" spans="2:23" x14ac:dyDescent="0.35">
      <c r="B205" s="62"/>
      <c r="C205" s="53" t="s">
        <v>218</v>
      </c>
      <c r="D205" s="13" t="s">
        <v>208</v>
      </c>
      <c r="E205" s="2154" t="str">
        <f>IF(AND($R$8=1,FEC=1,'3_Part_time'!G19&lt;&gt;0),CONCATENATE(E$196,", ",E$197,", ",$C205," length, ","Level ",$D205,"; "),"")</f>
        <v/>
      </c>
      <c r="F205" s="310" t="str">
        <f>IF(AND($R$8=1,FEC=1,'3_Part_time'!H19&lt;&gt;0),CONCATENATE(F$196,", ",F$197,", ",$C205," length, ","Level ",$D205,"; "),"")</f>
        <v/>
      </c>
      <c r="G205" s="310" t="str">
        <f>IF(AND($R$8=1,FEC=1,'3_Part_time'!I19&lt;&gt;0),CONCATENATE(G$196,", ",G$197,", ",$C205," length, ","Level ",$D205,"; "),"")</f>
        <v/>
      </c>
      <c r="H205" s="1618" t="str">
        <f>IF(AND($R$8=1,FEC=1,'3_Part_time'!J19&lt;&gt;0),CONCATENATE(H$196,", ",H$197,", ",$C205," length, ","Level ",$D205,"; "),"")</f>
        <v/>
      </c>
      <c r="I205" s="310" t="str">
        <f>IF(AND($R$8=1,FEC=1,'3_Part_time'!K19&lt;&gt;0),CONCATENATE(I$196,", ",I$197,", ",$C205," length, ","Level ",$D205,"; "),"")</f>
        <v/>
      </c>
      <c r="J205" s="312" t="str">
        <f>IF(AND($R$8=1,FEC=1,'3_Part_time'!L19&lt;&gt;0),CONCATENATE(J$196,", ",J$197,", ",$C205," length, ","Level ",$D205,"; "),"")</f>
        <v/>
      </c>
      <c r="L205" s="2165" t="s">
        <v>203</v>
      </c>
      <c r="M205" s="53" t="s">
        <v>218</v>
      </c>
      <c r="N205" s="53" t="s">
        <v>208</v>
      </c>
      <c r="O205" s="1619"/>
      <c r="P205" s="323"/>
      <c r="Q205" s="323"/>
      <c r="R205" s="1619"/>
      <c r="S205" s="323"/>
      <c r="T205" s="324"/>
      <c r="U205" s="131"/>
    </row>
    <row r="206" spans="2:23" x14ac:dyDescent="0.35">
      <c r="B206" s="62"/>
      <c r="C206" s="53" t="s">
        <v>218</v>
      </c>
      <c r="D206" s="13" t="s">
        <v>210</v>
      </c>
      <c r="E206" s="2154" t="str">
        <f>IF(AND($R$8=1,FEC=1,'3_Part_time'!G20&lt;&gt;0),CONCATENATE(E$196,", ",E$197,", ",$C206," length, ","Level ",$D206,"; "),"")</f>
        <v/>
      </c>
      <c r="F206" s="310" t="str">
        <f>IF(AND($R$8=1,FEC=1,'3_Part_time'!H20&lt;&gt;0),CONCATENATE(F$196,", ",F$197,", ",$C206," length, ","Level ",$D206,"; "),"")</f>
        <v/>
      </c>
      <c r="G206" s="310" t="str">
        <f>IF(AND($R$8=1,FEC=1,'3_Part_time'!I20&lt;&gt;0),CONCATENATE(G$196,", ",G$197,", ",$C206," length, ","Level ",$D206,"; "),"")</f>
        <v/>
      </c>
      <c r="H206" s="1618" t="str">
        <f>IF(AND($R$8=1,FEC=1,'3_Part_time'!J20&lt;&gt;0),CONCATENATE(H$196,", ",H$197,", ",$C206," length, ","Level ",$D206,"; "),"")</f>
        <v/>
      </c>
      <c r="I206" s="310" t="str">
        <f>IF(AND($R$8=1,FEC=1,'3_Part_time'!K20&lt;&gt;0),CONCATENATE(I$196,", ",I$197,", ",$C206," length, ","Level ",$D206,"; "),"")</f>
        <v/>
      </c>
      <c r="J206" s="312" t="str">
        <f>IF(AND($R$8=1,FEC=1,'3_Part_time'!L20&lt;&gt;0),CONCATENATE(J$196,", ",J$197,", ",$C206," length, ","Level ",$D206,"; "),"")</f>
        <v/>
      </c>
      <c r="L206" s="2165" t="s">
        <v>203</v>
      </c>
      <c r="M206" s="53" t="s">
        <v>218</v>
      </c>
      <c r="N206" s="53" t="s">
        <v>210</v>
      </c>
      <c r="O206" s="1619"/>
      <c r="P206" s="323"/>
      <c r="Q206" s="323"/>
      <c r="R206" s="1619"/>
      <c r="S206" s="323"/>
      <c r="T206" s="324"/>
      <c r="U206" s="131"/>
    </row>
    <row r="207" spans="2:23" x14ac:dyDescent="0.35">
      <c r="B207" s="62"/>
      <c r="C207" s="53" t="s">
        <v>218</v>
      </c>
      <c r="D207" s="13" t="s">
        <v>212</v>
      </c>
      <c r="E207" s="2154" t="str">
        <f>IF(AND($R$8=1,FEC=1,'3_Part_time'!G21&lt;&gt;0),CONCATENATE(E$196,", ",E$197,", ",$C207," length, ","Level ",$D207,"; "),"")</f>
        <v/>
      </c>
      <c r="F207" s="310" t="str">
        <f>IF(AND($R$8=1,FEC=1,'3_Part_time'!H21&lt;&gt;0),CONCATENATE(F$196,", ",F$197,", ",$C207," length, ","Level ",$D207,"; "),"")</f>
        <v/>
      </c>
      <c r="G207" s="310" t="str">
        <f>IF(AND($R$8=1,FEC=1,'3_Part_time'!I21&lt;&gt;0),CONCATENATE(G$196,", ",G$197,", ",$C207," length, ","Level ",$D207,"; "),"")</f>
        <v/>
      </c>
      <c r="H207" s="1618" t="str">
        <f>IF(AND($R$8=1,FEC=1,'3_Part_time'!J21&lt;&gt;0),CONCATENATE(H$196,", ",H$197,", ",$C207," length, ","Level ",$D207,"; "),"")</f>
        <v/>
      </c>
      <c r="I207" s="310" t="str">
        <f>IF(AND($R$8=1,FEC=1,'3_Part_time'!K21&lt;&gt;0),CONCATENATE(I$196,", ",I$197,", ",$C207," length, ","Level ",$D207,"; "),"")</f>
        <v/>
      </c>
      <c r="J207" s="312" t="str">
        <f>IF(AND($R$8=1,FEC=1,'3_Part_time'!L21&lt;&gt;0),CONCATENATE(J$196,", ",J$197,", ",$C207," length, ","Level ",$D207,"; "),"")</f>
        <v/>
      </c>
      <c r="L207" s="2165" t="s">
        <v>203</v>
      </c>
      <c r="M207" s="53" t="s">
        <v>218</v>
      </c>
      <c r="N207" s="53" t="s">
        <v>212</v>
      </c>
      <c r="O207" s="1619"/>
      <c r="P207" s="323"/>
      <c r="Q207" s="323"/>
      <c r="R207" s="1619"/>
      <c r="S207" s="323"/>
      <c r="T207" s="324"/>
      <c r="U207" s="131"/>
    </row>
    <row r="208" spans="2:23" x14ac:dyDescent="0.35">
      <c r="B208" s="62"/>
      <c r="C208" s="53" t="s">
        <v>218</v>
      </c>
      <c r="D208" s="13" t="s">
        <v>214</v>
      </c>
      <c r="E208" s="2154" t="str">
        <f>IF(AND($R$8=1,FEC=1,'3_Part_time'!G22&lt;&gt;0),CONCATENATE(E$196,", ",E$197,", ",$C208," length, ","Level ",$D208,"; "),"")</f>
        <v/>
      </c>
      <c r="F208" s="310" t="str">
        <f>IF(AND($R$8=1,FEC=1,'3_Part_time'!H22&lt;&gt;0),CONCATENATE(F$196,", ",F$197,", ",$C208," length, ","Level ",$D208,"; "),"")</f>
        <v/>
      </c>
      <c r="G208" s="310" t="str">
        <f>IF(AND($R$8=1,FEC=1,'3_Part_time'!I22&lt;&gt;0),CONCATENATE(G$196,", ",G$197,", ",$C208," length, ","Level ",$D208,"; "),"")</f>
        <v/>
      </c>
      <c r="H208" s="1618" t="str">
        <f>IF(AND($R$8=1,FEC=1,'3_Part_time'!J22&lt;&gt;0),CONCATENATE(H$196,", ",H$197,", ",$C208," length, ","Level ",$D208,"; "),"")</f>
        <v/>
      </c>
      <c r="I208" s="310" t="str">
        <f>IF(AND($R$8=1,FEC=1,'3_Part_time'!K22&lt;&gt;0),CONCATENATE(I$196,", ",I$197,", ",$C208," length, ","Level ",$D208,"; "),"")</f>
        <v/>
      </c>
      <c r="J208" s="312" t="str">
        <f>IF(AND($R$8=1,FEC=1,'3_Part_time'!L22&lt;&gt;0),CONCATENATE(J$196,", ",J$197,", ",$C208," length, ","Level ",$D208,"; "),"")</f>
        <v/>
      </c>
      <c r="L208" s="2165" t="s">
        <v>203</v>
      </c>
      <c r="M208" s="53" t="s">
        <v>218</v>
      </c>
      <c r="N208" s="53" t="s">
        <v>214</v>
      </c>
      <c r="O208" s="1619"/>
      <c r="P208" s="323"/>
      <c r="Q208" s="323"/>
      <c r="R208" s="1619"/>
      <c r="S208" s="323"/>
      <c r="T208" s="324"/>
      <c r="U208" s="131"/>
    </row>
    <row r="209" spans="2:21" x14ac:dyDescent="0.35">
      <c r="B209" s="62"/>
      <c r="C209" s="53" t="s">
        <v>218</v>
      </c>
      <c r="D209" s="13" t="s">
        <v>216</v>
      </c>
      <c r="E209" s="2156"/>
      <c r="F209" s="329" t="str">
        <f>IF(AND($R$8=1,FEC=1,'3_Part_time'!H23&lt;&gt;0),CONCATENATE(F$196,", ",F$197,", ",$C209," length, ","Level ",$D209,"; "),"")</f>
        <v/>
      </c>
      <c r="G209" s="329" t="str">
        <f>IF(AND($R$8=1,FEC=1,'3_Part_time'!I23&lt;&gt;0),CONCATENATE(G$196,", ",G$197,", ",$C209," length, ","Level ",$D209,"; "),"")</f>
        <v/>
      </c>
      <c r="H209" s="316"/>
      <c r="I209" s="329" t="str">
        <f>IF(AND($R$8=1,FEC=1,'3_Part_time'!K23&lt;&gt;0),CONCATENATE(I$196,", ",I$197,", ",$C209," length, ","Level ",$D209,"; "),"")</f>
        <v/>
      </c>
      <c r="J209" s="317" t="str">
        <f>IF(AND($R$8=1,FEC=1,'3_Part_time'!L23&lt;&gt;0),CONCATENATE(J$196,", ",J$197,", ",$C209," length, ","Level ",$D209,"; "),"")</f>
        <v/>
      </c>
      <c r="L209" s="2165" t="s">
        <v>203</v>
      </c>
      <c r="M209" s="53" t="s">
        <v>218</v>
      </c>
      <c r="N209" s="53" t="s">
        <v>216</v>
      </c>
      <c r="O209" s="2155"/>
      <c r="P209" s="1436" t="str">
        <f>IF(AND($S$8=1,FEC=1,'3_Part_time'!H23&lt;&gt;0),CONCATENATE(P$196,", ",P$197,", Price group ",$L209,", ",$M209," length; "),"")</f>
        <v/>
      </c>
      <c r="Q209" s="1436" t="str">
        <f>IF(AND($S$8=1,FEC=1,'3_Part_time'!I23&lt;&gt;0),CONCATENATE(Q$196,", ",Q$197,", Price group ",$L209,", ",$M209," length; "),"")</f>
        <v/>
      </c>
      <c r="R209" s="2155"/>
      <c r="S209" s="313" t="str">
        <f>IF(AND($S$8=1,FEC=1,'3_Part_time'!K23&lt;&gt;0),CONCATENATE(S$196,", ",S$197,", Price group ",$L209,", ",$M209," length; "),"")</f>
        <v/>
      </c>
      <c r="T209" s="315" t="str">
        <f>IF(AND($S$8=1,FEC=1,'3_Part_time'!L23&lt;&gt;0),CONCATENATE(T$196,", ",T$197,", Price group ",$L209,", ",$M209," length; "),"")</f>
        <v/>
      </c>
      <c r="U209" s="131"/>
    </row>
    <row r="210" spans="2:21" ht="13.15" x14ac:dyDescent="0.35">
      <c r="B210" s="62"/>
      <c r="C210" s="7"/>
      <c r="D210" s="196"/>
      <c r="E210" s="7"/>
      <c r="L210" s="2165" t="s">
        <v>225</v>
      </c>
      <c r="M210" s="53" t="s">
        <v>204</v>
      </c>
      <c r="N210" s="53" t="s">
        <v>205</v>
      </c>
      <c r="O210" s="1820"/>
      <c r="P210" s="322"/>
      <c r="Q210" s="322"/>
      <c r="R210" s="1820"/>
      <c r="S210" s="322"/>
      <c r="T210" s="1821"/>
      <c r="U210" s="131"/>
    </row>
    <row r="211" spans="2:21" ht="13.15" x14ac:dyDescent="0.35">
      <c r="B211" s="62"/>
      <c r="C211" s="7"/>
      <c r="D211" s="196"/>
      <c r="E211" s="7"/>
      <c r="L211" s="2165" t="s">
        <v>225</v>
      </c>
      <c r="M211" s="53" t="s">
        <v>204</v>
      </c>
      <c r="N211" s="53" t="s">
        <v>208</v>
      </c>
      <c r="O211" s="1619"/>
      <c r="P211" s="323"/>
      <c r="Q211" s="323"/>
      <c r="R211" s="1619"/>
      <c r="S211" s="323"/>
      <c r="T211" s="324"/>
      <c r="U211" s="131"/>
    </row>
    <row r="212" spans="2:21" ht="13.15" x14ac:dyDescent="0.35">
      <c r="B212" s="62"/>
      <c r="C212" s="7"/>
      <c r="D212" s="196"/>
      <c r="E212" s="1822" t="str">
        <f>CONCATENATE(E198,E199,E200,E201,E202,E204,E205,E206,E207,E208)</f>
        <v/>
      </c>
      <c r="F212" s="1822" t="str">
        <f>CONCATENATE(F198,F199,F200,F201,F202,F203,F204,F205,F206,F207,F208,F209)</f>
        <v/>
      </c>
      <c r="G212" s="1822" t="str">
        <f>CONCATENATE(G198,G199,G200,G201,G202,G203,G204,G205,G206,G207,G208,G209)</f>
        <v/>
      </c>
      <c r="H212" s="1822" t="str">
        <f>CONCATENATE(H198,H199,H200,H201,H202,H204,H205,H206,H207,H208)</f>
        <v/>
      </c>
      <c r="I212" s="1822" t="str">
        <f>CONCATENATE(I198,I199,I200,I201,I202,I203,I204,I205,I206,I207,I208,I209)</f>
        <v/>
      </c>
      <c r="J212" s="1822" t="str">
        <f>CONCATENATE(J198,J199,J200,J201,J202,J203,J204,J205,J206,J207,J208,J209)</f>
        <v/>
      </c>
      <c r="L212" s="2165" t="s">
        <v>225</v>
      </c>
      <c r="M212" s="53" t="s">
        <v>204</v>
      </c>
      <c r="N212" s="53" t="s">
        <v>210</v>
      </c>
      <c r="O212" s="1619"/>
      <c r="P212" s="323"/>
      <c r="Q212" s="323"/>
      <c r="R212" s="1619"/>
      <c r="S212" s="323"/>
      <c r="T212" s="324"/>
      <c r="U212" s="131"/>
    </row>
    <row r="213" spans="2:21" ht="13.15" x14ac:dyDescent="0.35">
      <c r="B213" s="62"/>
      <c r="C213" s="7"/>
      <c r="D213" s="196"/>
      <c r="E213" s="11" t="s">
        <v>28281</v>
      </c>
      <c r="L213" s="2165" t="s">
        <v>225</v>
      </c>
      <c r="M213" s="53" t="s">
        <v>204</v>
      </c>
      <c r="N213" s="53" t="s">
        <v>212</v>
      </c>
      <c r="O213" s="1619"/>
      <c r="P213" s="323"/>
      <c r="Q213" s="323"/>
      <c r="R213" s="1619"/>
      <c r="S213" s="323"/>
      <c r="T213" s="324"/>
      <c r="U213" s="131"/>
    </row>
    <row r="214" spans="2:21" x14ac:dyDescent="0.35">
      <c r="B214" s="130"/>
      <c r="E214" s="1823" t="str">
        <f>CONCATENATE(E212,F212,G212)</f>
        <v/>
      </c>
      <c r="H214" s="1824" t="str">
        <f>CONCATENATE(H212,I212,J212)</f>
        <v/>
      </c>
      <c r="L214" s="2165" t="s">
        <v>225</v>
      </c>
      <c r="M214" s="53" t="s">
        <v>204</v>
      </c>
      <c r="N214" s="53" t="s">
        <v>214</v>
      </c>
      <c r="O214" s="1619"/>
      <c r="P214" s="323"/>
      <c r="Q214" s="323"/>
      <c r="R214" s="1619"/>
      <c r="S214" s="323"/>
      <c r="T214" s="324"/>
      <c r="U214" s="131"/>
    </row>
    <row r="215" spans="2:21" x14ac:dyDescent="0.35">
      <c r="B215" s="130"/>
      <c r="L215" s="2165" t="s">
        <v>225</v>
      </c>
      <c r="M215" s="53" t="s">
        <v>204</v>
      </c>
      <c r="N215" s="53" t="s">
        <v>216</v>
      </c>
      <c r="O215" s="2155"/>
      <c r="P215" s="1436" t="str">
        <f>IF(AND($S$8=1,FEC=1,'3_Part_time'!H29&lt;&gt;0),CONCATENATE(P$196,", ",P$197,", Price group ",$L215,", ",$M215," length; "),"")</f>
        <v/>
      </c>
      <c r="Q215" s="1436" t="str">
        <f>IF(AND($S$8=1,FEC=1,'3_Part_time'!I29&lt;&gt;0),CONCATENATE(Q$196,", ",Q$197,", Price group ",$L215,", ",$M215," length; "),"")</f>
        <v/>
      </c>
      <c r="R215" s="2155"/>
      <c r="S215" s="313" t="str">
        <f>IF(AND($S$8=1,FEC=1,'3_Part_time'!K29&lt;&gt;0),CONCATENATE(S$196,", ",S$197,", Price group ",$L215,", ",$M215," length; "),"")</f>
        <v/>
      </c>
      <c r="T215" s="315" t="str">
        <f>IF(AND($S$8=1,FEC=1,'3_Part_time'!L29&lt;&gt;0),CONCATENATE(T$196,", ",T$197,", Price group ",$L215,", ",$M215," length; "),"")</f>
        <v/>
      </c>
      <c r="U215" s="131"/>
    </row>
    <row r="216" spans="2:21" ht="13.15" x14ac:dyDescent="0.35">
      <c r="B216" s="62"/>
      <c r="C216" s="7"/>
      <c r="D216" s="196"/>
      <c r="E216" s="1814" t="str">
        <f>CONCATENATE(E214,H214)</f>
        <v/>
      </c>
      <c r="L216" s="2165" t="s">
        <v>225</v>
      </c>
      <c r="M216" s="53" t="s">
        <v>218</v>
      </c>
      <c r="N216" s="53" t="s">
        <v>205</v>
      </c>
      <c r="O216" s="1619"/>
      <c r="P216" s="323"/>
      <c r="Q216" s="323"/>
      <c r="R216" s="1619"/>
      <c r="S216" s="323"/>
      <c r="T216" s="324"/>
      <c r="U216" s="131"/>
    </row>
    <row r="217" spans="2:21" ht="13.15" x14ac:dyDescent="0.35">
      <c r="B217" s="1438"/>
      <c r="C217" s="28"/>
      <c r="D217" s="318"/>
      <c r="E217" s="318"/>
      <c r="F217" s="319"/>
      <c r="G217" s="28"/>
      <c r="H217" s="28"/>
      <c r="I217" s="133"/>
      <c r="J217" s="133"/>
      <c r="K217" s="133"/>
      <c r="L217" s="2165" t="s">
        <v>225</v>
      </c>
      <c r="M217" s="53" t="s">
        <v>218</v>
      </c>
      <c r="N217" s="53" t="s">
        <v>208</v>
      </c>
      <c r="O217" s="1619"/>
      <c r="P217" s="323"/>
      <c r="Q217" s="323"/>
      <c r="R217" s="1619"/>
      <c r="S217" s="323"/>
      <c r="T217" s="324"/>
      <c r="U217" s="131"/>
    </row>
    <row r="218" spans="2:21" ht="13.15" x14ac:dyDescent="0.35">
      <c r="B218" s="7"/>
      <c r="C218" s="7"/>
      <c r="D218" s="7"/>
      <c r="E218" s="7"/>
      <c r="F218" s="196"/>
      <c r="G218" s="196"/>
      <c r="H218" s="3"/>
      <c r="I218" s="7"/>
      <c r="J218" s="7"/>
      <c r="L218" s="2165" t="s">
        <v>225</v>
      </c>
      <c r="M218" s="53" t="s">
        <v>218</v>
      </c>
      <c r="N218" s="53" t="s">
        <v>210</v>
      </c>
      <c r="O218" s="1619"/>
      <c r="P218" s="323"/>
      <c r="Q218" s="323"/>
      <c r="R218" s="1619"/>
      <c r="S218" s="323"/>
      <c r="T218" s="324"/>
      <c r="U218" s="131"/>
    </row>
    <row r="219" spans="2:21" ht="13.15" x14ac:dyDescent="0.35">
      <c r="B219" s="7"/>
      <c r="C219" s="7"/>
      <c r="D219" s="7"/>
      <c r="E219" s="7"/>
      <c r="F219" s="196"/>
      <c r="G219" s="196"/>
      <c r="H219" s="3"/>
      <c r="I219" s="7"/>
      <c r="J219" s="7"/>
      <c r="L219" s="2165" t="s">
        <v>225</v>
      </c>
      <c r="M219" s="53" t="s">
        <v>218</v>
      </c>
      <c r="N219" s="53" t="s">
        <v>212</v>
      </c>
      <c r="O219" s="1619"/>
      <c r="P219" s="323"/>
      <c r="Q219" s="323"/>
      <c r="R219" s="1619"/>
      <c r="S219" s="323"/>
      <c r="T219" s="324"/>
      <c r="U219" s="131"/>
    </row>
    <row r="220" spans="2:21" ht="13.15" x14ac:dyDescent="0.35">
      <c r="B220" s="7"/>
      <c r="C220" s="7"/>
      <c r="D220" s="7"/>
      <c r="E220" s="7"/>
      <c r="F220" s="196"/>
      <c r="G220" s="196"/>
      <c r="H220" s="3"/>
      <c r="I220" s="7"/>
      <c r="J220" s="7"/>
      <c r="L220" s="2165" t="s">
        <v>225</v>
      </c>
      <c r="M220" s="53" t="s">
        <v>218</v>
      </c>
      <c r="N220" s="53" t="s">
        <v>214</v>
      </c>
      <c r="O220" s="1619"/>
      <c r="P220" s="323"/>
      <c r="Q220" s="323"/>
      <c r="R220" s="1619"/>
      <c r="S220" s="323"/>
      <c r="T220" s="324"/>
      <c r="U220" s="131"/>
    </row>
    <row r="221" spans="2:21" x14ac:dyDescent="0.35">
      <c r="B221" s="7"/>
      <c r="C221" s="7"/>
      <c r="D221" s="7"/>
      <c r="E221" s="7"/>
      <c r="F221" s="7"/>
      <c r="G221" s="7"/>
      <c r="H221" s="7"/>
      <c r="I221" s="7"/>
      <c r="J221" s="7"/>
      <c r="L221" s="2165" t="s">
        <v>225</v>
      </c>
      <c r="M221" s="53" t="s">
        <v>218</v>
      </c>
      <c r="N221" s="53" t="s">
        <v>216</v>
      </c>
      <c r="O221" s="2155"/>
      <c r="P221" s="1436" t="str">
        <f>IF(AND($S$8=1,FEC=1,'3_Part_time'!H35&lt;&gt;0),CONCATENATE(P$196,", ",P$197,", Price group ",$L221,", ",$M221," length; "),"")</f>
        <v/>
      </c>
      <c r="Q221" s="1436" t="str">
        <f>IF(AND($S$8=1,FEC=1,'3_Part_time'!I35&lt;&gt;0),CONCATENATE(Q$196,", ",Q$197,", Price group ",$L221,", ",$M221," length; "),"")</f>
        <v/>
      </c>
      <c r="R221" s="2155"/>
      <c r="S221" s="313" t="str">
        <f>IF(AND($S$8=1,FEC=1,'3_Part_time'!K35&lt;&gt;0),CONCATENATE(S$196,", ",S$197,", Price group ",$L221,", ",$M221," length; "),"")</f>
        <v/>
      </c>
      <c r="T221" s="315" t="str">
        <f>IF(AND($S$8=1,FEC=1,'3_Part_time'!L35&lt;&gt;0),CONCATENATE(T$196,", ",T$197,", Price group ",$L221,", ",$M221," length; "),"")</f>
        <v/>
      </c>
      <c r="U221" s="131"/>
    </row>
    <row r="222" spans="2:21" x14ac:dyDescent="0.35">
      <c r="B222" s="7"/>
      <c r="C222" s="7"/>
      <c r="D222" s="7"/>
      <c r="E222" s="7"/>
      <c r="F222" s="7"/>
      <c r="G222" s="7"/>
      <c r="H222" s="7"/>
      <c r="I222" s="7"/>
      <c r="J222" s="7"/>
      <c r="L222" s="2165" t="s">
        <v>238</v>
      </c>
      <c r="M222" s="53" t="s">
        <v>204</v>
      </c>
      <c r="N222" s="53" t="s">
        <v>205</v>
      </c>
      <c r="O222" s="1820"/>
      <c r="P222" s="322"/>
      <c r="Q222" s="322"/>
      <c r="R222" s="1820"/>
      <c r="S222" s="322"/>
      <c r="T222" s="1821"/>
      <c r="U222" s="131"/>
    </row>
    <row r="223" spans="2:21" x14ac:dyDescent="0.35">
      <c r="B223" s="7"/>
      <c r="C223" s="7"/>
      <c r="D223" s="7"/>
      <c r="E223" s="7"/>
      <c r="F223" s="7"/>
      <c r="G223" s="7"/>
      <c r="H223" s="7"/>
      <c r="I223" s="7"/>
      <c r="J223" s="7"/>
      <c r="L223" s="325" t="s">
        <v>238</v>
      </c>
      <c r="M223" s="53" t="s">
        <v>204</v>
      </c>
      <c r="N223" s="53" t="s">
        <v>208</v>
      </c>
      <c r="O223" s="1619"/>
      <c r="P223" s="323"/>
      <c r="Q223" s="323"/>
      <c r="R223" s="1619"/>
      <c r="S223" s="323"/>
      <c r="T223" s="324"/>
      <c r="U223" s="131"/>
    </row>
    <row r="224" spans="2:21" x14ac:dyDescent="0.35">
      <c r="B224" s="7"/>
      <c r="C224" s="7"/>
      <c r="D224" s="7"/>
      <c r="E224" s="7"/>
      <c r="F224" s="7"/>
      <c r="G224" s="7"/>
      <c r="H224" s="7"/>
      <c r="I224" s="7"/>
      <c r="J224" s="7"/>
      <c r="L224" s="325" t="s">
        <v>238</v>
      </c>
      <c r="M224" s="53" t="s">
        <v>204</v>
      </c>
      <c r="N224" s="53" t="s">
        <v>210</v>
      </c>
      <c r="O224" s="1619"/>
      <c r="P224" s="323"/>
      <c r="Q224" s="323"/>
      <c r="R224" s="1619"/>
      <c r="S224" s="323"/>
      <c r="T224" s="324"/>
      <c r="U224" s="131"/>
    </row>
    <row r="225" spans="2:21" x14ac:dyDescent="0.35">
      <c r="B225" s="7"/>
      <c r="C225" s="7"/>
      <c r="D225" s="7"/>
      <c r="E225" s="7"/>
      <c r="F225" s="7"/>
      <c r="G225" s="7"/>
      <c r="H225" s="7"/>
      <c r="I225" s="7"/>
      <c r="J225" s="7"/>
      <c r="L225" s="325" t="s">
        <v>238</v>
      </c>
      <c r="M225" s="53" t="s">
        <v>204</v>
      </c>
      <c r="N225" s="53" t="s">
        <v>212</v>
      </c>
      <c r="O225" s="1619"/>
      <c r="P225" s="323"/>
      <c r="Q225" s="323"/>
      <c r="R225" s="1619"/>
      <c r="S225" s="323"/>
      <c r="T225" s="324"/>
      <c r="U225" s="131"/>
    </row>
    <row r="226" spans="2:21" x14ac:dyDescent="0.35">
      <c r="B226" s="7"/>
      <c r="C226" s="7"/>
      <c r="D226" s="7"/>
      <c r="E226" s="7"/>
      <c r="F226" s="7"/>
      <c r="G226" s="7"/>
      <c r="H226" s="7"/>
      <c r="I226" s="7"/>
      <c r="J226" s="7"/>
      <c r="L226" s="325" t="s">
        <v>238</v>
      </c>
      <c r="M226" s="53" t="s">
        <v>204</v>
      </c>
      <c r="N226" s="53" t="s">
        <v>214</v>
      </c>
      <c r="O226" s="1619"/>
      <c r="P226" s="323"/>
      <c r="Q226" s="323"/>
      <c r="R226" s="1619"/>
      <c r="S226" s="323"/>
      <c r="T226" s="324"/>
      <c r="U226" s="131"/>
    </row>
    <row r="227" spans="2:21" x14ac:dyDescent="0.35">
      <c r="B227" s="7"/>
      <c r="C227" s="7"/>
      <c r="D227" s="7"/>
      <c r="E227" s="7"/>
      <c r="F227" s="7"/>
      <c r="G227" s="7"/>
      <c r="H227" s="7"/>
      <c r="I227" s="7"/>
      <c r="J227" s="7"/>
      <c r="L227" s="325" t="s">
        <v>238</v>
      </c>
      <c r="M227" s="53" t="s">
        <v>204</v>
      </c>
      <c r="N227" s="53" t="s">
        <v>216</v>
      </c>
      <c r="O227" s="2155"/>
      <c r="P227" s="1436" t="str">
        <f>IF(AND($S$8=1,FEC=1,'3_Part_time'!H41&lt;&gt;0),CONCATENATE(P$196,", ",P$197,", Price group ",$L227,", ",$M227," length; "),"")</f>
        <v/>
      </c>
      <c r="Q227" s="1436" t="str">
        <f>IF(AND($S$8=1,FEC=1,'3_Part_time'!I41&lt;&gt;0),CONCATENATE(Q$196,", ",Q$197,", Price group ",$L227,", ",$M227," length; "),"")</f>
        <v/>
      </c>
      <c r="R227" s="2155"/>
      <c r="S227" s="313" t="str">
        <f>IF(AND($S$8=1,FEC=1,'3_Part_time'!K41&lt;&gt;0),CONCATENATE(S$196,", ",S$197,", Price group ",$L227,", ",$M227," length; "),"")</f>
        <v/>
      </c>
      <c r="T227" s="315" t="str">
        <f>IF(AND($S$8=1,FEC=1,'3_Part_time'!L41&lt;&gt;0),CONCATENATE(T$196,", ",T$197,", Price group ",$L227,", ",$M227," length; "),"")</f>
        <v/>
      </c>
      <c r="U227" s="131"/>
    </row>
    <row r="228" spans="2:21" x14ac:dyDescent="0.35">
      <c r="B228" s="7"/>
      <c r="C228" s="7"/>
      <c r="D228" s="7"/>
      <c r="E228" s="7"/>
      <c r="F228" s="7"/>
      <c r="G228" s="7"/>
      <c r="H228" s="7"/>
      <c r="I228" s="7"/>
      <c r="J228" s="7"/>
      <c r="L228" s="325" t="s">
        <v>238</v>
      </c>
      <c r="M228" s="53" t="s">
        <v>218</v>
      </c>
      <c r="N228" s="53" t="s">
        <v>205</v>
      </c>
      <c r="O228" s="1619"/>
      <c r="P228" s="323"/>
      <c r="Q228" s="323"/>
      <c r="R228" s="1619"/>
      <c r="S228" s="323"/>
      <c r="T228" s="324"/>
      <c r="U228" s="131"/>
    </row>
    <row r="229" spans="2:21" x14ac:dyDescent="0.35">
      <c r="B229" s="7"/>
      <c r="C229" s="7"/>
      <c r="D229" s="7"/>
      <c r="E229" s="7"/>
      <c r="F229" s="7"/>
      <c r="G229" s="7"/>
      <c r="H229" s="7"/>
      <c r="I229" s="7"/>
      <c r="J229" s="7"/>
      <c r="L229" s="325" t="s">
        <v>238</v>
      </c>
      <c r="M229" s="53" t="s">
        <v>218</v>
      </c>
      <c r="N229" s="53" t="s">
        <v>208</v>
      </c>
      <c r="O229" s="1619"/>
      <c r="P229" s="323"/>
      <c r="Q229" s="323"/>
      <c r="R229" s="1619"/>
      <c r="S229" s="323"/>
      <c r="T229" s="324"/>
      <c r="U229" s="131"/>
    </row>
    <row r="230" spans="2:21" x14ac:dyDescent="0.35">
      <c r="B230" s="7"/>
      <c r="C230" s="7"/>
      <c r="D230" s="7"/>
      <c r="E230" s="7"/>
      <c r="F230" s="7"/>
      <c r="G230" s="7"/>
      <c r="H230" s="7"/>
      <c r="I230" s="7"/>
      <c r="J230" s="7"/>
      <c r="L230" s="325" t="s">
        <v>238</v>
      </c>
      <c r="M230" s="53" t="s">
        <v>218</v>
      </c>
      <c r="N230" s="53" t="s">
        <v>210</v>
      </c>
      <c r="O230" s="1619"/>
      <c r="P230" s="323"/>
      <c r="Q230" s="323"/>
      <c r="R230" s="1619"/>
      <c r="S230" s="323"/>
      <c r="T230" s="324"/>
      <c r="U230" s="131"/>
    </row>
    <row r="231" spans="2:21" x14ac:dyDescent="0.35">
      <c r="B231" s="7"/>
      <c r="C231" s="7"/>
      <c r="D231" s="7"/>
      <c r="E231" s="7"/>
      <c r="F231" s="7"/>
      <c r="G231" s="7"/>
      <c r="H231" s="7"/>
      <c r="I231" s="7"/>
      <c r="J231" s="7"/>
      <c r="L231" s="325" t="s">
        <v>238</v>
      </c>
      <c r="M231" s="53" t="s">
        <v>218</v>
      </c>
      <c r="N231" s="53" t="s">
        <v>212</v>
      </c>
      <c r="O231" s="1619"/>
      <c r="P231" s="323"/>
      <c r="Q231" s="323"/>
      <c r="R231" s="1619"/>
      <c r="S231" s="323"/>
      <c r="T231" s="324"/>
      <c r="U231" s="131"/>
    </row>
    <row r="232" spans="2:21" x14ac:dyDescent="0.35">
      <c r="B232" s="7"/>
      <c r="C232" s="7"/>
      <c r="D232" s="7"/>
      <c r="E232" s="7"/>
      <c r="F232" s="7"/>
      <c r="G232" s="7"/>
      <c r="H232" s="7"/>
      <c r="I232" s="7"/>
      <c r="J232" s="7"/>
      <c r="L232" s="325" t="s">
        <v>238</v>
      </c>
      <c r="M232" s="53" t="s">
        <v>218</v>
      </c>
      <c r="N232" s="53" t="s">
        <v>214</v>
      </c>
      <c r="O232" s="1619"/>
      <c r="P232" s="323"/>
      <c r="Q232" s="323"/>
      <c r="R232" s="1619"/>
      <c r="S232" s="323"/>
      <c r="T232" s="324"/>
      <c r="U232" s="131"/>
    </row>
    <row r="233" spans="2:21" x14ac:dyDescent="0.35">
      <c r="B233" s="7"/>
      <c r="C233" s="7"/>
      <c r="D233" s="7"/>
      <c r="E233" s="7"/>
      <c r="F233" s="7"/>
      <c r="G233" s="7"/>
      <c r="H233" s="7"/>
      <c r="I233" s="7"/>
      <c r="J233" s="7"/>
      <c r="L233" s="325" t="s">
        <v>238</v>
      </c>
      <c r="M233" s="53" t="s">
        <v>218</v>
      </c>
      <c r="N233" s="53" t="s">
        <v>216</v>
      </c>
      <c r="O233" s="2155"/>
      <c r="P233" s="1436" t="str">
        <f>IF(AND($S$8=1,FEC=1,'3_Part_time'!H47&lt;&gt;0),CONCATENATE(P$196,", ",P$197,", Price group ",$L233,", ",$M233," length; "),"")</f>
        <v/>
      </c>
      <c r="Q233" s="1436" t="str">
        <f>IF(AND($S$8=1,FEC=1,'3_Part_time'!I47&lt;&gt;0),CONCATENATE(Q$196,", ",Q$197,", Price group ",$L233,", ",$M233," length; "),"")</f>
        <v/>
      </c>
      <c r="R233" s="2155"/>
      <c r="S233" s="313" t="str">
        <f>IF(AND($S$8=1,FEC=1,'3_Part_time'!K47&lt;&gt;0),CONCATENATE(S$196,", ",S$197,", Price group ",$L233,", ",$M233," length; "),"")</f>
        <v/>
      </c>
      <c r="T233" s="315" t="str">
        <f>IF(AND($S$8=1,FEC=1,'3_Part_time'!L47&lt;&gt;0),CONCATENATE(T$196,", ",T$197,", Price group ",$L233,", ",$M233," length; "),"")</f>
        <v/>
      </c>
      <c r="U233" s="131"/>
    </row>
    <row r="234" spans="2:21" x14ac:dyDescent="0.35">
      <c r="B234" s="7"/>
      <c r="C234" s="7"/>
      <c r="D234" s="7"/>
      <c r="E234" s="7"/>
      <c r="F234" s="7"/>
      <c r="G234" s="7"/>
      <c r="H234" s="7"/>
      <c r="I234" s="7"/>
      <c r="J234" s="7"/>
      <c r="L234" s="325" t="s">
        <v>251</v>
      </c>
      <c r="M234" s="53" t="s">
        <v>204</v>
      </c>
      <c r="N234" s="53" t="s">
        <v>205</v>
      </c>
      <c r="O234" s="1820"/>
      <c r="P234" s="322"/>
      <c r="Q234" s="322"/>
      <c r="R234" s="1820"/>
      <c r="S234" s="322"/>
      <c r="T234" s="1821"/>
      <c r="U234" s="131"/>
    </row>
    <row r="235" spans="2:21" x14ac:dyDescent="0.35">
      <c r="B235" s="7"/>
      <c r="C235" s="7"/>
      <c r="D235" s="7"/>
      <c r="E235" s="7"/>
      <c r="F235" s="7"/>
      <c r="G235" s="7"/>
      <c r="H235" s="7"/>
      <c r="I235" s="7"/>
      <c r="J235" s="7"/>
      <c r="L235" s="325" t="s">
        <v>251</v>
      </c>
      <c r="M235" s="53" t="s">
        <v>204</v>
      </c>
      <c r="N235" s="53" t="s">
        <v>208</v>
      </c>
      <c r="O235" s="1619"/>
      <c r="P235" s="323"/>
      <c r="Q235" s="323"/>
      <c r="R235" s="1619"/>
      <c r="S235" s="323"/>
      <c r="T235" s="324"/>
      <c r="U235" s="131"/>
    </row>
    <row r="236" spans="2:21" x14ac:dyDescent="0.35">
      <c r="B236" s="7"/>
      <c r="C236" s="7"/>
      <c r="D236" s="7"/>
      <c r="E236" s="7"/>
      <c r="F236" s="7"/>
      <c r="G236" s="7"/>
      <c r="H236" s="7"/>
      <c r="I236" s="7"/>
      <c r="J236" s="7"/>
      <c r="L236" s="325" t="s">
        <v>251</v>
      </c>
      <c r="M236" s="53" t="s">
        <v>204</v>
      </c>
      <c r="N236" s="53" t="s">
        <v>210</v>
      </c>
      <c r="O236" s="1619"/>
      <c r="P236" s="323"/>
      <c r="Q236" s="323"/>
      <c r="R236" s="1619"/>
      <c r="S236" s="323"/>
      <c r="T236" s="324"/>
      <c r="U236" s="131"/>
    </row>
    <row r="237" spans="2:21" x14ac:dyDescent="0.35">
      <c r="B237" s="7"/>
      <c r="C237" s="7"/>
      <c r="D237" s="7"/>
      <c r="E237" s="7"/>
      <c r="F237" s="7"/>
      <c r="G237" s="7"/>
      <c r="H237" s="7"/>
      <c r="I237" s="7"/>
      <c r="J237" s="7"/>
      <c r="L237" s="325" t="s">
        <v>251</v>
      </c>
      <c r="M237" s="53" t="s">
        <v>204</v>
      </c>
      <c r="N237" s="53" t="s">
        <v>212</v>
      </c>
      <c r="O237" s="1619"/>
      <c r="P237" s="323"/>
      <c r="Q237" s="323"/>
      <c r="R237" s="1619"/>
      <c r="S237" s="323"/>
      <c r="T237" s="324"/>
      <c r="U237" s="131"/>
    </row>
    <row r="238" spans="2:21" x14ac:dyDescent="0.35">
      <c r="B238" s="7"/>
      <c r="C238" s="7"/>
      <c r="D238" s="7"/>
      <c r="E238" s="7"/>
      <c r="F238" s="7"/>
      <c r="G238" s="7"/>
      <c r="H238" s="7"/>
      <c r="I238" s="7"/>
      <c r="J238" s="7"/>
      <c r="L238" s="325" t="s">
        <v>251</v>
      </c>
      <c r="M238" s="53" t="s">
        <v>204</v>
      </c>
      <c r="N238" s="53" t="s">
        <v>214</v>
      </c>
      <c r="O238" s="1619"/>
      <c r="P238" s="323"/>
      <c r="Q238" s="323"/>
      <c r="R238" s="1619"/>
      <c r="S238" s="323"/>
      <c r="T238" s="324"/>
      <c r="U238" s="131"/>
    </row>
    <row r="239" spans="2:21" x14ac:dyDescent="0.35">
      <c r="B239" s="7"/>
      <c r="C239" s="7"/>
      <c r="D239" s="7"/>
      <c r="E239" s="7"/>
      <c r="F239" s="7"/>
      <c r="G239" s="7"/>
      <c r="H239" s="7"/>
      <c r="I239" s="7"/>
      <c r="J239" s="7"/>
      <c r="L239" s="325" t="s">
        <v>251</v>
      </c>
      <c r="M239" s="53" t="s">
        <v>204</v>
      </c>
      <c r="N239" s="53" t="s">
        <v>216</v>
      </c>
      <c r="O239" s="2155"/>
      <c r="P239" s="1436" t="str">
        <f>IF(AND($S$8=1,FEC=1,'3_Part_time'!H53&lt;&gt;0),CONCATENATE(P$196,", ",P$197,", Price group ",$L239,", ",$M239," length; "),"")</f>
        <v/>
      </c>
      <c r="Q239" s="1436" t="str">
        <f>IF(AND($S$8=1,FEC=1,'3_Part_time'!I53&lt;&gt;0),CONCATENATE(Q$196,", ",Q$197,", Price group ",$L239,", ",$M239," length; "),"")</f>
        <v/>
      </c>
      <c r="R239" s="2155"/>
      <c r="S239" s="313" t="str">
        <f>IF(AND($S$8=1,FEC=1,'3_Part_time'!K53&lt;&gt;0),CONCATENATE(S$196,", ",S$197,", Price group ",$L239,", ",$M239," length; "),"")</f>
        <v/>
      </c>
      <c r="T239" s="315" t="str">
        <f>IF(AND($S$8=1,FEC=1,'3_Part_time'!L53&lt;&gt;0),CONCATENATE(T$196,", ",T$197,", Price group ",$L239,", ",$M239," length; "),"")</f>
        <v/>
      </c>
      <c r="U239" s="131"/>
    </row>
    <row r="240" spans="2:21" x14ac:dyDescent="0.35">
      <c r="B240" s="7"/>
      <c r="C240" s="7"/>
      <c r="D240" s="7"/>
      <c r="E240" s="7"/>
      <c r="F240" s="7"/>
      <c r="G240" s="7"/>
      <c r="H240" s="7"/>
      <c r="I240" s="7"/>
      <c r="J240" s="7"/>
      <c r="L240" s="325" t="s">
        <v>251</v>
      </c>
      <c r="M240" s="53" t="s">
        <v>218</v>
      </c>
      <c r="N240" s="53" t="s">
        <v>205</v>
      </c>
      <c r="O240" s="1619"/>
      <c r="P240" s="323"/>
      <c r="Q240" s="323"/>
      <c r="R240" s="1619"/>
      <c r="S240" s="323"/>
      <c r="T240" s="324"/>
      <c r="U240" s="131"/>
    </row>
    <row r="241" spans="2:21" x14ac:dyDescent="0.35">
      <c r="B241" s="7"/>
      <c r="C241" s="7"/>
      <c r="D241" s="7"/>
      <c r="E241" s="7"/>
      <c r="F241" s="7"/>
      <c r="G241" s="7"/>
      <c r="H241" s="7"/>
      <c r="I241" s="7"/>
      <c r="J241" s="7"/>
      <c r="L241" s="325" t="s">
        <v>251</v>
      </c>
      <c r="M241" s="53" t="s">
        <v>218</v>
      </c>
      <c r="N241" s="53" t="s">
        <v>208</v>
      </c>
      <c r="O241" s="1619"/>
      <c r="P241" s="323"/>
      <c r="Q241" s="323"/>
      <c r="R241" s="1619"/>
      <c r="S241" s="323"/>
      <c r="T241" s="324"/>
      <c r="U241" s="131"/>
    </row>
    <row r="242" spans="2:21" x14ac:dyDescent="0.35">
      <c r="B242" s="7"/>
      <c r="C242" s="7"/>
      <c r="D242" s="7"/>
      <c r="E242" s="7"/>
      <c r="F242" s="7"/>
      <c r="G242" s="7"/>
      <c r="H242" s="7"/>
      <c r="I242" s="7"/>
      <c r="J242" s="7"/>
      <c r="L242" s="325" t="s">
        <v>251</v>
      </c>
      <c r="M242" s="53" t="s">
        <v>218</v>
      </c>
      <c r="N242" s="53" t="s">
        <v>210</v>
      </c>
      <c r="O242" s="1619"/>
      <c r="P242" s="323"/>
      <c r="Q242" s="323"/>
      <c r="R242" s="1619"/>
      <c r="S242" s="323"/>
      <c r="T242" s="324"/>
      <c r="U242" s="131"/>
    </row>
    <row r="243" spans="2:21" x14ac:dyDescent="0.35">
      <c r="B243" s="7"/>
      <c r="C243" s="7"/>
      <c r="D243" s="7"/>
      <c r="E243" s="7"/>
      <c r="F243" s="7"/>
      <c r="G243" s="7"/>
      <c r="H243" s="7"/>
      <c r="I243" s="7"/>
      <c r="J243" s="7"/>
      <c r="L243" s="325" t="s">
        <v>251</v>
      </c>
      <c r="M243" s="53" t="s">
        <v>218</v>
      </c>
      <c r="N243" s="53" t="s">
        <v>212</v>
      </c>
      <c r="O243" s="1619"/>
      <c r="P243" s="323"/>
      <c r="Q243" s="323"/>
      <c r="R243" s="1619"/>
      <c r="S243" s="323"/>
      <c r="T243" s="324"/>
      <c r="U243" s="131"/>
    </row>
    <row r="244" spans="2:21" x14ac:dyDescent="0.35">
      <c r="B244" s="7"/>
      <c r="C244" s="7"/>
      <c r="D244" s="7"/>
      <c r="E244" s="7"/>
      <c r="F244" s="7"/>
      <c r="G244" s="7"/>
      <c r="H244" s="7"/>
      <c r="I244" s="7"/>
      <c r="J244" s="7"/>
      <c r="L244" s="325" t="s">
        <v>251</v>
      </c>
      <c r="M244" s="53" t="s">
        <v>218</v>
      </c>
      <c r="N244" s="53" t="s">
        <v>214</v>
      </c>
      <c r="O244" s="1619"/>
      <c r="P244" s="323"/>
      <c r="Q244" s="323"/>
      <c r="R244" s="1619"/>
      <c r="S244" s="323"/>
      <c r="T244" s="324"/>
      <c r="U244" s="131"/>
    </row>
    <row r="245" spans="2:21" x14ac:dyDescent="0.35">
      <c r="B245" s="7"/>
      <c r="C245" s="7"/>
      <c r="D245" s="7"/>
      <c r="E245" s="7"/>
      <c r="F245" s="7"/>
      <c r="G245" s="7"/>
      <c r="H245" s="7"/>
      <c r="I245" s="7"/>
      <c r="J245" s="7"/>
      <c r="L245" s="325" t="s">
        <v>251</v>
      </c>
      <c r="M245" s="53" t="s">
        <v>218</v>
      </c>
      <c r="N245" s="53" t="s">
        <v>216</v>
      </c>
      <c r="O245" s="2155"/>
      <c r="P245" s="1436" t="str">
        <f>IF(AND($S$8=1,FEC=1,'3_Part_time'!H59&lt;&gt;0),CONCATENATE(P$196,", ",P$197,", Price group ",$L245,", ",$M245," length; "),"")</f>
        <v/>
      </c>
      <c r="Q245" s="1436" t="str">
        <f>IF(AND($S$8=1,FEC=1,'3_Part_time'!I59&lt;&gt;0),CONCATENATE(Q$196,", ",Q$197,", Price group ",$L245,", ",$M245," length; "),"")</f>
        <v/>
      </c>
      <c r="R245" s="2155"/>
      <c r="S245" s="313" t="str">
        <f>IF(AND($S$8=1,FEC=1,'3_Part_time'!K59&lt;&gt;0),CONCATENATE(S$196,", ",S$197,", Price group ",$L245,", ",$M245," length; "),"")</f>
        <v/>
      </c>
      <c r="T245" s="315" t="str">
        <f>IF(AND($S$8=1,FEC=1,'3_Part_time'!L59&lt;&gt;0),CONCATENATE(T$196,", ",T$197,", Price group ",$L245,", ",$M245," length; "),"")</f>
        <v/>
      </c>
      <c r="U245" s="131"/>
    </row>
    <row r="246" spans="2:21" x14ac:dyDescent="0.35">
      <c r="B246" s="7"/>
      <c r="C246" s="7"/>
      <c r="L246" s="325" t="s">
        <v>264</v>
      </c>
      <c r="M246" s="53" t="s">
        <v>204</v>
      </c>
      <c r="N246" s="53" t="s">
        <v>205</v>
      </c>
      <c r="O246" s="1820"/>
      <c r="P246" s="322"/>
      <c r="Q246" s="322"/>
      <c r="R246" s="1820"/>
      <c r="S246" s="322"/>
      <c r="T246" s="1821"/>
      <c r="U246" s="131"/>
    </row>
    <row r="247" spans="2:21" x14ac:dyDescent="0.35">
      <c r="B247" s="7"/>
      <c r="C247" s="7"/>
      <c r="L247" s="325" t="s">
        <v>264</v>
      </c>
      <c r="M247" s="53" t="s">
        <v>204</v>
      </c>
      <c r="N247" s="53" t="s">
        <v>208</v>
      </c>
      <c r="O247" s="1619"/>
      <c r="P247" s="323"/>
      <c r="Q247" s="323"/>
      <c r="R247" s="1619"/>
      <c r="S247" s="323"/>
      <c r="T247" s="324"/>
      <c r="U247" s="131"/>
    </row>
    <row r="248" spans="2:21" x14ac:dyDescent="0.35">
      <c r="B248" s="7"/>
      <c r="C248" s="7"/>
      <c r="L248" s="325" t="s">
        <v>264</v>
      </c>
      <c r="M248" s="53" t="s">
        <v>204</v>
      </c>
      <c r="N248" s="53" t="s">
        <v>210</v>
      </c>
      <c r="O248" s="1619"/>
      <c r="P248" s="323"/>
      <c r="Q248" s="323"/>
      <c r="R248" s="1619"/>
      <c r="S248" s="323"/>
      <c r="T248" s="324"/>
      <c r="U248" s="131"/>
    </row>
    <row r="249" spans="2:21" x14ac:dyDescent="0.35">
      <c r="B249" s="7"/>
      <c r="C249" s="7"/>
      <c r="L249" s="325" t="s">
        <v>264</v>
      </c>
      <c r="M249" s="53" t="s">
        <v>204</v>
      </c>
      <c r="N249" s="53" t="s">
        <v>212</v>
      </c>
      <c r="O249" s="1619"/>
      <c r="P249" s="323"/>
      <c r="Q249" s="323"/>
      <c r="R249" s="1619"/>
      <c r="S249" s="323"/>
      <c r="T249" s="324"/>
      <c r="U249" s="131"/>
    </row>
    <row r="250" spans="2:21" x14ac:dyDescent="0.35">
      <c r="B250" s="7"/>
      <c r="C250" s="7"/>
      <c r="L250" s="325" t="s">
        <v>264</v>
      </c>
      <c r="M250" s="53" t="s">
        <v>204</v>
      </c>
      <c r="N250" s="53" t="s">
        <v>214</v>
      </c>
      <c r="O250" s="1619"/>
      <c r="P250" s="323"/>
      <c r="Q250" s="323"/>
      <c r="R250" s="1619"/>
      <c r="S250" s="323"/>
      <c r="T250" s="324"/>
      <c r="U250" s="131"/>
    </row>
    <row r="251" spans="2:21" x14ac:dyDescent="0.35">
      <c r="B251" s="7"/>
      <c r="C251" s="7"/>
      <c r="L251" s="325" t="s">
        <v>264</v>
      </c>
      <c r="M251" s="53" t="s">
        <v>204</v>
      </c>
      <c r="N251" s="53" t="s">
        <v>216</v>
      </c>
      <c r="O251" s="2155"/>
      <c r="P251" s="1436" t="str">
        <f>IF(AND($S$8=1,FEC=1,'3_Part_time'!H65&lt;&gt;0),CONCATENATE(P$196,", ",P$197,", Price group ",$L251,", ",$M251," length; "),"")</f>
        <v/>
      </c>
      <c r="Q251" s="1436" t="str">
        <f>IF(AND($S$8=1,FEC=1,'3_Part_time'!I65&lt;&gt;0),CONCATENATE(Q$196,", ",Q$197,", Price group ",$L251,", ",$M251," length; "),"")</f>
        <v/>
      </c>
      <c r="R251" s="2155"/>
      <c r="S251" s="313" t="str">
        <f>IF(AND($S$8=1,FEC=1,'3_Part_time'!K65&lt;&gt;0),CONCATENATE(S$196,", ",S$197,", Price group ",$L251,", ",$M251," length; "),"")</f>
        <v/>
      </c>
      <c r="T251" s="315" t="str">
        <f>IF(AND($S$8=1,FEC=1,'3_Part_time'!L65&lt;&gt;0),CONCATENATE(T$196,", ",T$197,", Price group ",$L251,", ",$M251," length; "),"")</f>
        <v/>
      </c>
      <c r="U251" s="131"/>
    </row>
    <row r="252" spans="2:21" x14ac:dyDescent="0.35">
      <c r="B252" s="7"/>
      <c r="C252" s="7"/>
      <c r="L252" s="325" t="s">
        <v>264</v>
      </c>
      <c r="M252" s="53" t="s">
        <v>218</v>
      </c>
      <c r="N252" s="53" t="s">
        <v>205</v>
      </c>
      <c r="O252" s="1619"/>
      <c r="P252" s="323"/>
      <c r="Q252" s="323"/>
      <c r="R252" s="1619"/>
      <c r="S252" s="323"/>
      <c r="T252" s="324"/>
      <c r="U252" s="131"/>
    </row>
    <row r="253" spans="2:21" x14ac:dyDescent="0.35">
      <c r="B253" s="7"/>
      <c r="C253" s="7"/>
      <c r="L253" s="325" t="s">
        <v>264</v>
      </c>
      <c r="M253" s="53" t="s">
        <v>218</v>
      </c>
      <c r="N253" s="53" t="s">
        <v>208</v>
      </c>
      <c r="O253" s="1619"/>
      <c r="P253" s="323"/>
      <c r="Q253" s="323"/>
      <c r="R253" s="1619"/>
      <c r="S253" s="323"/>
      <c r="T253" s="324"/>
      <c r="U253" s="131"/>
    </row>
    <row r="254" spans="2:21" x14ac:dyDescent="0.35">
      <c r="B254" s="7"/>
      <c r="C254" s="7"/>
      <c r="L254" s="325" t="s">
        <v>264</v>
      </c>
      <c r="M254" s="53" t="s">
        <v>218</v>
      </c>
      <c r="N254" s="53" t="s">
        <v>210</v>
      </c>
      <c r="O254" s="1619"/>
      <c r="P254" s="323"/>
      <c r="Q254" s="323"/>
      <c r="R254" s="1619"/>
      <c r="S254" s="323"/>
      <c r="T254" s="324"/>
      <c r="U254" s="131"/>
    </row>
    <row r="255" spans="2:21" x14ac:dyDescent="0.35">
      <c r="B255" s="7"/>
      <c r="C255" s="7"/>
      <c r="L255" s="325" t="s">
        <v>264</v>
      </c>
      <c r="M255" s="53" t="s">
        <v>218</v>
      </c>
      <c r="N255" s="53" t="s">
        <v>212</v>
      </c>
      <c r="O255" s="1619"/>
      <c r="P255" s="323"/>
      <c r="Q255" s="323"/>
      <c r="R255" s="1619"/>
      <c r="S255" s="323"/>
      <c r="T255" s="324"/>
      <c r="U255" s="131"/>
    </row>
    <row r="256" spans="2:21" x14ac:dyDescent="0.35">
      <c r="B256" s="7"/>
      <c r="C256" s="7"/>
      <c r="L256" s="325" t="s">
        <v>264</v>
      </c>
      <c r="M256" s="53" t="s">
        <v>218</v>
      </c>
      <c r="N256" s="53" t="s">
        <v>214</v>
      </c>
      <c r="O256" s="1619"/>
      <c r="P256" s="323"/>
      <c r="Q256" s="323"/>
      <c r="R256" s="1619"/>
      <c r="S256" s="323"/>
      <c r="T256" s="324"/>
      <c r="U256" s="131"/>
    </row>
    <row r="257" spans="2:21" x14ac:dyDescent="0.35">
      <c r="B257" s="7"/>
      <c r="C257" s="7"/>
      <c r="L257" s="325" t="s">
        <v>264</v>
      </c>
      <c r="M257" s="53" t="s">
        <v>218</v>
      </c>
      <c r="N257" s="53" t="s">
        <v>216</v>
      </c>
      <c r="O257" s="2155"/>
      <c r="P257" s="1436" t="str">
        <f>IF(AND($S$8=1,FEC=1,'3_Part_time'!H71&lt;&gt;0),CONCATENATE(P$196,", ",P$197,", Price group ",$L257,", ",$M257," length; "),"")</f>
        <v/>
      </c>
      <c r="Q257" s="1436" t="str">
        <f>IF(AND($S$8=1,FEC=1,'3_Part_time'!I71&lt;&gt;0),CONCATENATE(Q$196,", ",Q$197,", Price group ",$L257,", ",$M257," length; "),"")</f>
        <v/>
      </c>
      <c r="R257" s="2155"/>
      <c r="S257" s="313" t="str">
        <f>IF(AND($S$8=1,FEC=1,'3_Part_time'!K71&lt;&gt;0),CONCATENATE(S$196,", ",S$197,", Price group ",$L257,", ",$M257," length; "),"")</f>
        <v/>
      </c>
      <c r="T257" s="315" t="str">
        <f>IF(AND($S$8=1,FEC=1,'3_Part_time'!L71&lt;&gt;0),CONCATENATE(T$196,", ",T$197,", Price group ",$L257,", ",$M257," length; "),"")</f>
        <v/>
      </c>
      <c r="U257" s="131"/>
    </row>
    <row r="258" spans="2:21" x14ac:dyDescent="0.35">
      <c r="B258" s="7"/>
      <c r="C258" s="7"/>
      <c r="L258" s="325" t="s">
        <v>277</v>
      </c>
      <c r="M258" s="53" t="s">
        <v>204</v>
      </c>
      <c r="N258" s="53" t="s">
        <v>205</v>
      </c>
      <c r="O258" s="1820"/>
      <c r="P258" s="322"/>
      <c r="Q258" s="322"/>
      <c r="R258" s="1820"/>
      <c r="S258" s="322"/>
      <c r="T258" s="1821"/>
      <c r="U258" s="131"/>
    </row>
    <row r="259" spans="2:21" x14ac:dyDescent="0.35">
      <c r="B259" s="7"/>
      <c r="C259" s="7"/>
      <c r="L259" s="325" t="s">
        <v>277</v>
      </c>
      <c r="M259" s="53" t="s">
        <v>204</v>
      </c>
      <c r="N259" s="53" t="s">
        <v>208</v>
      </c>
      <c r="O259" s="1619"/>
      <c r="P259" s="323"/>
      <c r="Q259" s="323"/>
      <c r="R259" s="1619"/>
      <c r="S259" s="323"/>
      <c r="T259" s="324"/>
      <c r="U259" s="131"/>
    </row>
    <row r="260" spans="2:21" x14ac:dyDescent="0.35">
      <c r="B260" s="7"/>
      <c r="C260" s="7"/>
      <c r="L260" s="325" t="s">
        <v>277</v>
      </c>
      <c r="M260" s="53" t="s">
        <v>204</v>
      </c>
      <c r="N260" s="53" t="s">
        <v>210</v>
      </c>
      <c r="O260" s="1619"/>
      <c r="P260" s="323"/>
      <c r="Q260" s="323"/>
      <c r="R260" s="1619"/>
      <c r="S260" s="323"/>
      <c r="T260" s="324"/>
      <c r="U260" s="131"/>
    </row>
    <row r="261" spans="2:21" x14ac:dyDescent="0.35">
      <c r="B261" s="7"/>
      <c r="C261" s="7"/>
      <c r="L261" s="325" t="s">
        <v>277</v>
      </c>
      <c r="M261" s="53" t="s">
        <v>204</v>
      </c>
      <c r="N261" s="53" t="s">
        <v>212</v>
      </c>
      <c r="O261" s="1619"/>
      <c r="P261" s="323"/>
      <c r="Q261" s="323"/>
      <c r="R261" s="1619"/>
      <c r="S261" s="323"/>
      <c r="T261" s="324"/>
      <c r="U261" s="131"/>
    </row>
    <row r="262" spans="2:21" x14ac:dyDescent="0.35">
      <c r="B262" s="7"/>
      <c r="C262" s="7"/>
      <c r="L262" s="325" t="s">
        <v>277</v>
      </c>
      <c r="M262" s="53" t="s">
        <v>204</v>
      </c>
      <c r="N262" s="53" t="s">
        <v>214</v>
      </c>
      <c r="O262" s="1619"/>
      <c r="P262" s="323"/>
      <c r="Q262" s="323"/>
      <c r="R262" s="1619"/>
      <c r="S262" s="323"/>
      <c r="T262" s="324"/>
      <c r="U262" s="131"/>
    </row>
    <row r="263" spans="2:21" x14ac:dyDescent="0.35">
      <c r="B263" s="7"/>
      <c r="C263" s="7"/>
      <c r="L263" s="325" t="s">
        <v>277</v>
      </c>
      <c r="M263" s="53" t="s">
        <v>204</v>
      </c>
      <c r="N263" s="53" t="s">
        <v>216</v>
      </c>
      <c r="O263" s="2155"/>
      <c r="P263" s="1436" t="str">
        <f>IF(AND($S$8=1,FEC=1,'3_Part_time'!H77&lt;&gt;0),CONCATENATE(P$196,", ",P$197,", Price group ",$L263,", ",$M263," length; "),"")</f>
        <v/>
      </c>
      <c r="Q263" s="1436" t="str">
        <f>IF(AND($S$8=1,FEC=1,'3_Part_time'!I77&lt;&gt;0),CONCATENATE(Q$196,", ",Q$197,", Price group ",$L263,", ",$M263," length; "),"")</f>
        <v/>
      </c>
      <c r="R263" s="2155"/>
      <c r="S263" s="313" t="str">
        <f>IF(AND($S$8=1,FEC=1,'3_Part_time'!K77&lt;&gt;0),CONCATENATE(S$196,", ",S$197,", Price group ",$L263,", ",$M263," length; "),"")</f>
        <v/>
      </c>
      <c r="T263" s="315" t="str">
        <f>IF(AND($S$8=1,FEC=1,'3_Part_time'!L77&lt;&gt;0),CONCATENATE(T$196,", ",T$197,", Price group ",$L263,", ",$M263," length; "),"")</f>
        <v/>
      </c>
      <c r="U263" s="131"/>
    </row>
    <row r="264" spans="2:21" x14ac:dyDescent="0.35">
      <c r="B264" s="7"/>
      <c r="C264" s="7"/>
      <c r="D264" s="7"/>
      <c r="E264" s="7"/>
      <c r="F264" s="7"/>
      <c r="L264" s="325" t="s">
        <v>277</v>
      </c>
      <c r="M264" s="53" t="s">
        <v>218</v>
      </c>
      <c r="N264" s="53" t="s">
        <v>205</v>
      </c>
      <c r="O264" s="1619"/>
      <c r="P264" s="323"/>
      <c r="Q264" s="323"/>
      <c r="R264" s="1619"/>
      <c r="S264" s="323"/>
      <c r="T264" s="324"/>
      <c r="U264" s="131"/>
    </row>
    <row r="265" spans="2:21" x14ac:dyDescent="0.35">
      <c r="B265" s="7"/>
      <c r="C265" s="7"/>
      <c r="D265" s="7"/>
      <c r="E265" s="7"/>
      <c r="F265" s="7"/>
      <c r="L265" s="325" t="s">
        <v>277</v>
      </c>
      <c r="M265" s="53" t="s">
        <v>218</v>
      </c>
      <c r="N265" s="53" t="s">
        <v>208</v>
      </c>
      <c r="O265" s="1619"/>
      <c r="P265" s="323"/>
      <c r="Q265" s="323"/>
      <c r="R265" s="1619"/>
      <c r="S265" s="323"/>
      <c r="T265" s="324"/>
      <c r="U265" s="131"/>
    </row>
    <row r="266" spans="2:21" x14ac:dyDescent="0.35">
      <c r="B266" s="7"/>
      <c r="C266" s="7"/>
      <c r="D266" s="7"/>
      <c r="E266" s="7"/>
      <c r="F266" s="7"/>
      <c r="L266" s="325" t="s">
        <v>277</v>
      </c>
      <c r="M266" s="53" t="s">
        <v>218</v>
      </c>
      <c r="N266" s="53" t="s">
        <v>210</v>
      </c>
      <c r="O266" s="1619"/>
      <c r="P266" s="323"/>
      <c r="Q266" s="323"/>
      <c r="R266" s="1619"/>
      <c r="S266" s="323"/>
      <c r="T266" s="324"/>
      <c r="U266" s="131"/>
    </row>
    <row r="267" spans="2:21" x14ac:dyDescent="0.35">
      <c r="B267" s="7"/>
      <c r="C267" s="7"/>
      <c r="D267" s="7"/>
      <c r="E267" s="7"/>
      <c r="F267" s="7"/>
      <c r="L267" s="325" t="s">
        <v>277</v>
      </c>
      <c r="M267" s="53" t="s">
        <v>218</v>
      </c>
      <c r="N267" s="53" t="s">
        <v>212</v>
      </c>
      <c r="O267" s="1619"/>
      <c r="P267" s="323"/>
      <c r="Q267" s="323"/>
      <c r="R267" s="1619"/>
      <c r="S267" s="323"/>
      <c r="T267" s="324"/>
      <c r="U267" s="131"/>
    </row>
    <row r="268" spans="2:21" x14ac:dyDescent="0.35">
      <c r="B268" s="7"/>
      <c r="C268" s="7"/>
      <c r="D268" s="7"/>
      <c r="E268" s="7"/>
      <c r="F268" s="7"/>
      <c r="L268" s="325" t="s">
        <v>277</v>
      </c>
      <c r="M268" s="53" t="s">
        <v>218</v>
      </c>
      <c r="N268" s="53" t="s">
        <v>214</v>
      </c>
      <c r="O268" s="1619"/>
      <c r="P268" s="323"/>
      <c r="Q268" s="323"/>
      <c r="R268" s="1619"/>
      <c r="S268" s="323"/>
      <c r="T268" s="324"/>
      <c r="U268" s="131"/>
    </row>
    <row r="269" spans="2:21" x14ac:dyDescent="0.35">
      <c r="B269" s="7"/>
      <c r="C269" s="7"/>
      <c r="D269" s="7"/>
      <c r="E269" s="7"/>
      <c r="F269" s="7"/>
      <c r="L269" s="325" t="s">
        <v>277</v>
      </c>
      <c r="M269" s="53" t="s">
        <v>218</v>
      </c>
      <c r="N269" s="53" t="s">
        <v>216</v>
      </c>
      <c r="O269" s="2156"/>
      <c r="P269" s="1439" t="str">
        <f>IF(AND($S$8=1,FEC=1,'3_Part_time'!H83&lt;&gt;0),CONCATENATE(P$196,", ",P$197,", Price group ",$L269,", ",$M269," length; "),"")</f>
        <v/>
      </c>
      <c r="Q269" s="1439" t="str">
        <f>IF(AND($S$8=1,FEC=1,'3_Part_time'!I83&lt;&gt;0),CONCATENATE(Q$196,", ",Q$197,", Price group ",$L269,", ",$M269," length; "),"")</f>
        <v/>
      </c>
      <c r="R269" s="2156"/>
      <c r="S269" s="329" t="str">
        <f>IF(AND($S$8=1,FEC=1,'3_Part_time'!K83&lt;&gt;0),CONCATENATE(S$196,", ",S$197,", Price group ",$L269,", ",$M269," length; "),"")</f>
        <v/>
      </c>
      <c r="T269" s="317" t="str">
        <f>IF(AND($S$8=1,FEC=1,'3_Part_time'!L83&lt;&gt;0),CONCATENATE(T$196,", ",T$197,", Price group ",$L269,", ",$M269," length; "),"")</f>
        <v/>
      </c>
      <c r="U269" s="131"/>
    </row>
    <row r="270" spans="2:21" x14ac:dyDescent="0.35">
      <c r="B270" s="7"/>
      <c r="C270" s="7"/>
      <c r="D270" s="7"/>
      <c r="E270" s="7"/>
      <c r="F270" s="7"/>
      <c r="L270" s="130"/>
      <c r="U270" s="131"/>
    </row>
    <row r="271" spans="2:21" x14ac:dyDescent="0.35">
      <c r="B271" s="7"/>
      <c r="C271" s="7"/>
      <c r="D271" s="7"/>
      <c r="E271" s="7"/>
      <c r="F271" s="7"/>
      <c r="L271" s="130"/>
      <c r="O271" s="1865"/>
      <c r="P271" s="1826" t="str">
        <f>CONCATENATE(P203,P209,P215,P221,P227,P233,P239,P245,P251,P257,P263,P269)</f>
        <v/>
      </c>
      <c r="Q271" s="1826" t="str">
        <f>CONCATENATE(Q203,Q209,Q215,Q221,Q227,Q233,Q239,Q245,Q251,Q257,Q263,Q269)</f>
        <v/>
      </c>
      <c r="R271" s="1865"/>
      <c r="S271" s="1826" t="str">
        <f>CONCATENATE(S203,S209,S215,S221,S227,S233,S239,S245,S251,S257,S263,S269)</f>
        <v/>
      </c>
      <c r="T271" s="1826" t="str">
        <f>CONCATENATE(T203,T209,T215,T221,T227,T233,T239,T245,T251,T257,T263,T269)</f>
        <v/>
      </c>
      <c r="U271" s="131"/>
    </row>
    <row r="272" spans="2:21" x14ac:dyDescent="0.35">
      <c r="B272" s="7"/>
      <c r="C272" s="7"/>
      <c r="D272" s="7"/>
      <c r="E272" s="7"/>
      <c r="F272" s="7"/>
      <c r="L272" s="130"/>
      <c r="U272" s="131"/>
    </row>
    <row r="273" spans="2:21" x14ac:dyDescent="0.35">
      <c r="B273" s="7"/>
      <c r="C273" s="7"/>
      <c r="D273" s="7"/>
      <c r="E273" s="7"/>
      <c r="F273" s="7"/>
      <c r="L273" s="130"/>
      <c r="O273" s="1827" t="str">
        <f>CONCATENATE(P271,Q271)</f>
        <v/>
      </c>
      <c r="R273" s="1828" t="str">
        <f>CONCATENATE(S271,T271)</f>
        <v/>
      </c>
      <c r="U273" s="131"/>
    </row>
    <row r="274" spans="2:21" x14ac:dyDescent="0.35">
      <c r="B274" s="7"/>
      <c r="C274" s="7"/>
      <c r="D274" s="7"/>
      <c r="E274" s="7"/>
      <c r="F274" s="7"/>
      <c r="L274" s="130"/>
      <c r="U274" s="131"/>
    </row>
    <row r="275" spans="2:21" x14ac:dyDescent="0.35">
      <c r="B275" s="7"/>
      <c r="C275" s="7"/>
      <c r="D275" s="7"/>
      <c r="E275" s="7"/>
      <c r="F275" s="7"/>
      <c r="L275" s="130"/>
      <c r="O275" s="1826" t="str">
        <f>CONCATENATE(O273,R273)</f>
        <v/>
      </c>
      <c r="U275" s="131"/>
    </row>
    <row r="276" spans="2:21" ht="12.75" customHeight="1" x14ac:dyDescent="0.35">
      <c r="B276" s="7"/>
      <c r="C276" s="7"/>
      <c r="D276" s="7"/>
      <c r="E276" s="7"/>
      <c r="F276" s="7"/>
      <c r="L276" s="132"/>
      <c r="M276" s="133"/>
      <c r="N276" s="133"/>
      <c r="O276" s="133"/>
      <c r="P276" s="133"/>
      <c r="Q276" s="133"/>
      <c r="R276" s="133"/>
      <c r="S276" s="133"/>
      <c r="T276" s="133"/>
      <c r="U276" s="134"/>
    </row>
    <row r="278" spans="2:21" x14ac:dyDescent="0.35">
      <c r="B278" s="7"/>
      <c r="C278" s="7"/>
      <c r="D278" s="7"/>
      <c r="E278" s="7"/>
      <c r="F278" s="7"/>
      <c r="G278" s="7"/>
      <c r="O278" s="7"/>
      <c r="P278" s="7"/>
      <c r="Q278" s="7"/>
      <c r="R278" s="7"/>
      <c r="S278" s="7"/>
      <c r="T278" s="7"/>
      <c r="U278" s="7"/>
    </row>
    <row r="279" spans="2:21" x14ac:dyDescent="0.35">
      <c r="B279" s="7"/>
      <c r="C279" s="7"/>
      <c r="D279" s="7"/>
      <c r="E279" s="7"/>
      <c r="F279" s="7"/>
      <c r="G279" s="7"/>
      <c r="O279" s="7"/>
      <c r="P279" s="7"/>
      <c r="Q279" s="7"/>
      <c r="R279" s="7"/>
      <c r="S279" s="7"/>
      <c r="T279" s="7"/>
      <c r="U279" s="7"/>
    </row>
    <row r="280" spans="2:21" x14ac:dyDescent="0.35">
      <c r="B280" s="7"/>
      <c r="C280" s="7"/>
      <c r="D280" s="7"/>
      <c r="E280" s="7"/>
      <c r="F280" s="7"/>
      <c r="G280" s="7"/>
      <c r="O280" s="7"/>
      <c r="P280" s="7"/>
      <c r="Q280" s="7"/>
      <c r="R280" s="7"/>
      <c r="S280" s="7"/>
      <c r="T280" s="7"/>
      <c r="U280" s="7"/>
    </row>
    <row r="281" spans="2:21" x14ac:dyDescent="0.35">
      <c r="B281" s="7"/>
      <c r="C281" s="7"/>
      <c r="D281" s="7"/>
      <c r="E281" s="7"/>
      <c r="F281" s="7"/>
      <c r="G281" s="7"/>
      <c r="O281" s="7"/>
      <c r="P281" s="7"/>
      <c r="Q281" s="7"/>
      <c r="R281" s="7"/>
      <c r="S281" s="7"/>
      <c r="T281" s="7"/>
      <c r="U281" s="7"/>
    </row>
    <row r="282" spans="2:21" x14ac:dyDescent="0.35">
      <c r="B282" s="7"/>
      <c r="C282" s="7"/>
      <c r="D282" s="7"/>
      <c r="E282" s="7"/>
      <c r="F282" s="7"/>
      <c r="G282" s="7"/>
      <c r="O282" s="7"/>
      <c r="P282" s="7"/>
      <c r="Q282" s="7"/>
      <c r="R282" s="7"/>
      <c r="S282" s="7"/>
      <c r="T282" s="7"/>
      <c r="U282" s="7"/>
    </row>
    <row r="283" spans="2:21" x14ac:dyDescent="0.35">
      <c r="B283" s="7"/>
      <c r="C283" s="7"/>
      <c r="D283" s="7"/>
      <c r="E283" s="7"/>
      <c r="F283" s="7"/>
      <c r="G283" s="7"/>
      <c r="O283" s="7"/>
      <c r="P283" s="7"/>
      <c r="Q283" s="7"/>
      <c r="R283" s="7"/>
      <c r="S283" s="7"/>
      <c r="T283" s="7"/>
      <c r="U283" s="7"/>
    </row>
    <row r="284" spans="2:21" x14ac:dyDescent="0.35">
      <c r="B284" s="7"/>
      <c r="C284" s="7"/>
      <c r="D284" s="7"/>
      <c r="E284" s="7"/>
      <c r="F284" s="7"/>
      <c r="G284" s="7"/>
      <c r="O284" s="7"/>
      <c r="P284" s="7"/>
      <c r="Q284" s="7"/>
      <c r="R284" s="7"/>
      <c r="S284" s="7"/>
      <c r="T284" s="7"/>
      <c r="U284" s="7"/>
    </row>
    <row r="285" spans="2:21" x14ac:dyDescent="0.35">
      <c r="B285" s="7"/>
      <c r="C285" s="7"/>
      <c r="D285" s="7"/>
      <c r="E285" s="7"/>
      <c r="F285" s="7"/>
      <c r="G285" s="7"/>
      <c r="O285" s="7"/>
      <c r="P285" s="7"/>
      <c r="Q285" s="7"/>
      <c r="R285" s="7"/>
      <c r="S285" s="7"/>
      <c r="T285" s="7"/>
      <c r="U285" s="7"/>
    </row>
    <row r="286" spans="2:21" x14ac:dyDescent="0.35">
      <c r="B286" s="7"/>
      <c r="C286" s="7"/>
      <c r="D286" s="7"/>
      <c r="E286" s="7"/>
      <c r="F286" s="7"/>
      <c r="G286" s="7"/>
      <c r="O286" s="7"/>
      <c r="P286" s="7"/>
      <c r="Q286" s="7"/>
      <c r="R286" s="7"/>
      <c r="S286" s="7"/>
      <c r="T286" s="7"/>
      <c r="U286" s="7"/>
    </row>
    <row r="287" spans="2:21" x14ac:dyDescent="0.35">
      <c r="B287" s="7"/>
      <c r="C287" s="7"/>
      <c r="D287" s="7"/>
      <c r="E287" s="7"/>
      <c r="F287" s="7"/>
      <c r="G287" s="7"/>
      <c r="O287" s="7"/>
      <c r="P287" s="7"/>
      <c r="Q287" s="7"/>
      <c r="R287" s="7"/>
      <c r="S287" s="7"/>
      <c r="T287" s="7"/>
      <c r="U287" s="7"/>
    </row>
    <row r="288" spans="2:21" x14ac:dyDescent="0.35">
      <c r="B288" s="7"/>
      <c r="C288" s="7"/>
      <c r="D288" s="7"/>
      <c r="E288" s="7"/>
      <c r="F288" s="7"/>
      <c r="G288" s="7"/>
      <c r="O288" s="7"/>
      <c r="P288" s="7"/>
      <c r="Q288" s="7"/>
      <c r="R288" s="7"/>
      <c r="S288" s="7"/>
      <c r="T288" s="7"/>
      <c r="U288" s="7"/>
    </row>
    <row r="289" spans="2:21" x14ac:dyDescent="0.35">
      <c r="B289" s="7"/>
      <c r="C289" s="7"/>
      <c r="D289" s="7"/>
      <c r="E289" s="7"/>
      <c r="F289" s="7"/>
      <c r="G289" s="7"/>
      <c r="O289" s="7"/>
      <c r="P289" s="7"/>
      <c r="Q289" s="7"/>
      <c r="R289" s="7"/>
      <c r="S289" s="7"/>
      <c r="T289" s="7"/>
      <c r="U289" s="7"/>
    </row>
    <row r="290" spans="2:21" x14ac:dyDescent="0.35">
      <c r="B290" s="7"/>
      <c r="C290" s="7"/>
      <c r="D290" s="7"/>
      <c r="E290" s="7"/>
      <c r="F290" s="7"/>
      <c r="G290" s="7"/>
      <c r="O290" s="7"/>
      <c r="P290" s="7"/>
      <c r="Q290" s="7"/>
      <c r="R290" s="7"/>
      <c r="S290" s="7"/>
      <c r="T290" s="7"/>
      <c r="U290" s="7"/>
    </row>
    <row r="291" spans="2:21" x14ac:dyDescent="0.35">
      <c r="B291" s="7"/>
      <c r="C291" s="7"/>
      <c r="D291" s="7"/>
      <c r="E291" s="7"/>
      <c r="F291" s="7"/>
      <c r="G291" s="7"/>
      <c r="O291" s="7"/>
      <c r="P291" s="7"/>
      <c r="Q291" s="7"/>
      <c r="R291" s="7"/>
      <c r="S291" s="7"/>
      <c r="T291" s="7"/>
      <c r="U291" s="7"/>
    </row>
    <row r="292" spans="2:21" x14ac:dyDescent="0.35">
      <c r="B292" s="7"/>
      <c r="C292" s="7"/>
      <c r="D292" s="7"/>
      <c r="E292" s="7"/>
      <c r="F292" s="7"/>
      <c r="G292" s="7"/>
      <c r="O292" s="7"/>
      <c r="P292" s="7"/>
      <c r="Q292" s="7"/>
      <c r="R292" s="7"/>
      <c r="S292" s="7"/>
      <c r="T292" s="7"/>
      <c r="U292" s="7"/>
    </row>
    <row r="293" spans="2:21" x14ac:dyDescent="0.35">
      <c r="B293" s="7"/>
      <c r="C293" s="7"/>
      <c r="D293" s="7"/>
      <c r="E293" s="7"/>
      <c r="F293" s="7"/>
      <c r="G293" s="7"/>
      <c r="O293" s="7"/>
      <c r="P293" s="7"/>
      <c r="Q293" s="7"/>
      <c r="R293" s="7"/>
      <c r="S293" s="7"/>
      <c r="T293" s="7"/>
      <c r="U293" s="7"/>
    </row>
    <row r="294" spans="2:21" x14ac:dyDescent="0.35">
      <c r="B294" s="7"/>
      <c r="C294" s="7"/>
      <c r="D294" s="7"/>
      <c r="E294" s="7"/>
      <c r="F294" s="7"/>
      <c r="G294" s="7"/>
      <c r="O294" s="7"/>
      <c r="P294" s="7"/>
      <c r="Q294" s="7"/>
      <c r="R294" s="7"/>
      <c r="S294" s="7"/>
      <c r="T294" s="7"/>
      <c r="U294" s="7"/>
    </row>
    <row r="295" spans="2:21" x14ac:dyDescent="0.35">
      <c r="B295" s="7"/>
      <c r="C295" s="7"/>
      <c r="D295" s="7"/>
      <c r="E295" s="7"/>
      <c r="F295" s="7"/>
      <c r="G295" s="7"/>
      <c r="O295" s="7"/>
      <c r="P295" s="7"/>
      <c r="Q295" s="7"/>
      <c r="R295" s="7"/>
      <c r="S295" s="7"/>
      <c r="T295" s="7"/>
      <c r="U295" s="7"/>
    </row>
    <row r="296" spans="2:21" x14ac:dyDescent="0.35">
      <c r="B296" s="7"/>
      <c r="C296" s="7"/>
      <c r="D296" s="7"/>
      <c r="E296" s="7"/>
      <c r="F296" s="7"/>
      <c r="G296" s="7"/>
      <c r="O296" s="7"/>
      <c r="P296" s="7"/>
      <c r="Q296" s="7"/>
      <c r="R296" s="7"/>
      <c r="S296" s="7"/>
      <c r="T296" s="7"/>
      <c r="U296" s="7"/>
    </row>
    <row r="297" spans="2:21" x14ac:dyDescent="0.35">
      <c r="B297" s="7"/>
      <c r="C297" s="7"/>
      <c r="D297" s="7"/>
      <c r="E297" s="7"/>
      <c r="F297" s="7"/>
      <c r="G297" s="7"/>
      <c r="O297" s="7"/>
      <c r="P297" s="7"/>
      <c r="Q297" s="7"/>
      <c r="R297" s="7"/>
      <c r="S297" s="7"/>
      <c r="T297" s="7"/>
      <c r="U297" s="7"/>
    </row>
    <row r="298" spans="2:21" x14ac:dyDescent="0.35">
      <c r="B298" s="7"/>
      <c r="C298" s="7"/>
      <c r="D298" s="7"/>
      <c r="E298" s="7"/>
      <c r="F298" s="7"/>
      <c r="G298" s="7"/>
      <c r="O298" s="7"/>
      <c r="P298" s="7"/>
      <c r="Q298" s="7"/>
      <c r="R298" s="7"/>
      <c r="S298" s="7"/>
      <c r="T298" s="7"/>
      <c r="U298" s="7"/>
    </row>
    <row r="299" spans="2:21" x14ac:dyDescent="0.35">
      <c r="B299" s="7"/>
      <c r="C299" s="7"/>
      <c r="D299" s="7"/>
      <c r="E299" s="7"/>
      <c r="F299" s="7"/>
      <c r="G299" s="7"/>
      <c r="O299" s="7"/>
      <c r="P299" s="7"/>
      <c r="Q299" s="7"/>
      <c r="R299" s="7"/>
      <c r="S299" s="7"/>
      <c r="T299" s="7"/>
      <c r="U299" s="7"/>
    </row>
    <row r="300" spans="2:21" x14ac:dyDescent="0.35">
      <c r="B300" s="7"/>
      <c r="C300" s="7"/>
      <c r="D300" s="7"/>
      <c r="E300" s="7"/>
      <c r="F300" s="7"/>
      <c r="G300" s="7"/>
      <c r="O300" s="7"/>
      <c r="P300" s="7"/>
      <c r="Q300" s="7"/>
      <c r="R300" s="7"/>
      <c r="S300" s="7"/>
      <c r="T300" s="7"/>
      <c r="U300" s="7"/>
    </row>
    <row r="301" spans="2:21" x14ac:dyDescent="0.35">
      <c r="B301" s="7"/>
      <c r="C301" s="7"/>
      <c r="D301" s="7"/>
      <c r="E301" s="7"/>
      <c r="F301" s="7"/>
      <c r="G301" s="7"/>
      <c r="O301" s="7"/>
      <c r="P301" s="7"/>
      <c r="Q301" s="7"/>
      <c r="R301" s="7"/>
      <c r="S301" s="7"/>
      <c r="T301" s="7"/>
      <c r="U301" s="7"/>
    </row>
    <row r="302" spans="2:21" x14ac:dyDescent="0.35">
      <c r="B302" s="7"/>
      <c r="C302" s="7"/>
      <c r="D302" s="7"/>
      <c r="E302" s="7"/>
      <c r="F302" s="7"/>
      <c r="G302" s="7"/>
      <c r="O302" s="7"/>
      <c r="P302" s="7"/>
      <c r="Q302" s="7"/>
      <c r="R302" s="7"/>
      <c r="S302" s="7"/>
      <c r="T302" s="7"/>
      <c r="U302" s="7"/>
    </row>
    <row r="303" spans="2:21" x14ac:dyDescent="0.35">
      <c r="B303" s="7"/>
      <c r="C303" s="7"/>
      <c r="D303" s="7"/>
      <c r="E303" s="7"/>
      <c r="F303" s="7"/>
      <c r="G303" s="7"/>
      <c r="O303" s="7"/>
      <c r="P303" s="7"/>
      <c r="Q303" s="7"/>
      <c r="R303" s="7"/>
      <c r="S303" s="7"/>
      <c r="T303" s="7"/>
      <c r="U303" s="7"/>
    </row>
    <row r="304" spans="2:21" x14ac:dyDescent="0.35">
      <c r="B304" s="7"/>
      <c r="C304" s="7"/>
      <c r="D304" s="7"/>
      <c r="E304" s="7"/>
      <c r="F304" s="7"/>
      <c r="G304" s="7"/>
      <c r="O304" s="7"/>
      <c r="P304" s="7"/>
      <c r="Q304" s="7"/>
      <c r="R304" s="7"/>
      <c r="S304" s="7"/>
      <c r="T304" s="7"/>
      <c r="U304" s="7"/>
    </row>
    <row r="305" spans="2:21" x14ac:dyDescent="0.35">
      <c r="B305" s="7"/>
      <c r="C305" s="7"/>
      <c r="D305" s="7"/>
      <c r="E305" s="7"/>
      <c r="F305" s="7"/>
      <c r="G305" s="7"/>
      <c r="O305" s="7"/>
      <c r="P305" s="7"/>
      <c r="Q305" s="7"/>
      <c r="R305" s="7"/>
      <c r="S305" s="7"/>
      <c r="T305" s="7"/>
      <c r="U305" s="7"/>
    </row>
    <row r="306" spans="2:21" x14ac:dyDescent="0.35">
      <c r="B306" s="7"/>
      <c r="C306" s="7"/>
      <c r="D306" s="7"/>
      <c r="E306" s="7"/>
      <c r="F306" s="7"/>
      <c r="G306" s="7"/>
      <c r="O306" s="7"/>
      <c r="P306" s="7"/>
      <c r="Q306" s="7"/>
      <c r="R306" s="7"/>
      <c r="S306" s="7"/>
      <c r="T306" s="7"/>
      <c r="U306" s="7"/>
    </row>
    <row r="307" spans="2:21" x14ac:dyDescent="0.35">
      <c r="B307" s="7"/>
      <c r="C307" s="7"/>
      <c r="D307" s="7"/>
      <c r="E307" s="7"/>
      <c r="F307" s="7"/>
      <c r="G307" s="7"/>
      <c r="O307" s="7"/>
      <c r="P307" s="7"/>
      <c r="Q307" s="7"/>
      <c r="R307" s="7"/>
      <c r="S307" s="7"/>
      <c r="T307" s="7"/>
      <c r="U307" s="7"/>
    </row>
    <row r="308" spans="2:21" x14ac:dyDescent="0.35">
      <c r="B308" s="7"/>
      <c r="C308" s="7"/>
      <c r="D308" s="7"/>
      <c r="E308" s="7"/>
      <c r="F308" s="7"/>
      <c r="G308" s="7"/>
      <c r="O308" s="7"/>
      <c r="P308" s="7"/>
      <c r="Q308" s="7"/>
      <c r="R308" s="7"/>
      <c r="S308" s="7"/>
      <c r="T308" s="7"/>
      <c r="U308" s="7"/>
    </row>
    <row r="309" spans="2:21" x14ac:dyDescent="0.35">
      <c r="B309" s="7"/>
      <c r="C309" s="7"/>
      <c r="D309" s="7"/>
      <c r="E309" s="7"/>
      <c r="F309" s="7"/>
      <c r="G309" s="7"/>
      <c r="O309" s="7"/>
      <c r="P309" s="7"/>
      <c r="Q309" s="7"/>
      <c r="R309" s="7"/>
      <c r="S309" s="7"/>
      <c r="T309" s="7"/>
      <c r="U309" s="7"/>
    </row>
    <row r="310" spans="2:21" x14ac:dyDescent="0.35">
      <c r="B310" s="7"/>
      <c r="C310" s="7"/>
      <c r="D310" s="7"/>
      <c r="E310" s="7"/>
      <c r="F310" s="7"/>
      <c r="G310" s="7"/>
      <c r="O310" s="7"/>
      <c r="P310" s="7"/>
      <c r="Q310" s="7"/>
      <c r="R310" s="7"/>
      <c r="S310" s="7"/>
      <c r="T310" s="7"/>
      <c r="U310" s="7"/>
    </row>
    <row r="311" spans="2:21" x14ac:dyDescent="0.35">
      <c r="B311" s="7"/>
      <c r="C311" s="7"/>
      <c r="D311" s="7"/>
      <c r="E311" s="7"/>
      <c r="F311" s="7"/>
      <c r="G311" s="7"/>
      <c r="O311" s="7"/>
      <c r="P311" s="7"/>
      <c r="Q311" s="7"/>
      <c r="R311" s="7"/>
      <c r="S311" s="7"/>
      <c r="T311" s="7"/>
      <c r="U311" s="7"/>
    </row>
    <row r="312" spans="2:21" x14ac:dyDescent="0.35">
      <c r="B312" s="7"/>
      <c r="C312" s="7"/>
      <c r="D312" s="7"/>
      <c r="E312" s="7"/>
      <c r="F312" s="7"/>
      <c r="G312" s="7"/>
      <c r="O312" s="7"/>
      <c r="P312" s="7"/>
      <c r="Q312" s="7"/>
      <c r="R312" s="7"/>
      <c r="S312" s="7"/>
      <c r="T312" s="7"/>
      <c r="U312" s="7"/>
    </row>
    <row r="313" spans="2:21" x14ac:dyDescent="0.35">
      <c r="B313" s="7"/>
      <c r="C313" s="7"/>
      <c r="D313" s="7"/>
      <c r="E313" s="7"/>
      <c r="F313" s="7"/>
      <c r="G313" s="7"/>
      <c r="O313" s="7"/>
      <c r="P313" s="7"/>
      <c r="Q313" s="7"/>
      <c r="R313" s="7"/>
      <c r="S313" s="7"/>
      <c r="T313" s="7"/>
      <c r="U313" s="7"/>
    </row>
    <row r="314" spans="2:21" x14ac:dyDescent="0.35">
      <c r="B314" s="7"/>
      <c r="C314" s="7"/>
      <c r="D314" s="7"/>
      <c r="E314" s="7"/>
      <c r="F314" s="7"/>
      <c r="G314" s="7"/>
      <c r="O314" s="7"/>
      <c r="P314" s="7"/>
      <c r="Q314" s="7"/>
      <c r="R314" s="7"/>
      <c r="S314" s="7"/>
      <c r="T314" s="7"/>
      <c r="U314" s="7"/>
    </row>
    <row r="315" spans="2:21" x14ac:dyDescent="0.35">
      <c r="B315" s="7"/>
      <c r="C315" s="7"/>
      <c r="D315" s="7"/>
      <c r="E315" s="7"/>
      <c r="F315" s="7"/>
      <c r="G315" s="7"/>
      <c r="O315" s="7"/>
      <c r="P315" s="7"/>
      <c r="Q315" s="7"/>
      <c r="R315" s="7"/>
      <c r="S315" s="7"/>
      <c r="T315" s="7"/>
      <c r="U315" s="7"/>
    </row>
    <row r="316" spans="2:21" x14ac:dyDescent="0.35">
      <c r="B316" s="7"/>
      <c r="C316" s="7"/>
      <c r="D316" s="7"/>
      <c r="E316" s="7"/>
      <c r="F316" s="7"/>
      <c r="G316" s="7"/>
      <c r="O316" s="7"/>
      <c r="P316" s="7"/>
      <c r="Q316" s="7"/>
      <c r="R316" s="7"/>
      <c r="S316" s="7"/>
      <c r="T316" s="7"/>
      <c r="U316" s="7"/>
    </row>
    <row r="317" spans="2:21" x14ac:dyDescent="0.35">
      <c r="B317" s="7"/>
      <c r="C317" s="7"/>
      <c r="D317" s="7"/>
      <c r="E317" s="7"/>
      <c r="F317" s="7"/>
      <c r="G317" s="7"/>
      <c r="O317" s="7"/>
      <c r="P317" s="7"/>
      <c r="Q317" s="7"/>
      <c r="R317" s="7"/>
      <c r="S317" s="7"/>
      <c r="T317" s="7"/>
      <c r="U317" s="7"/>
    </row>
    <row r="318" spans="2:21" x14ac:dyDescent="0.35">
      <c r="B318" s="7"/>
      <c r="C318" s="7"/>
      <c r="D318" s="7"/>
      <c r="E318" s="7"/>
      <c r="F318" s="7"/>
      <c r="G318" s="7"/>
      <c r="O318" s="7"/>
      <c r="P318" s="7"/>
      <c r="Q318" s="7"/>
      <c r="R318" s="7"/>
      <c r="S318" s="7"/>
      <c r="T318" s="7"/>
      <c r="U318" s="7"/>
    </row>
    <row r="319" spans="2:21" x14ac:dyDescent="0.35">
      <c r="B319" s="7"/>
      <c r="C319" s="7"/>
      <c r="D319" s="7"/>
      <c r="E319" s="7"/>
      <c r="F319" s="7"/>
      <c r="G319" s="7"/>
      <c r="O319" s="7"/>
      <c r="P319" s="7"/>
      <c r="Q319" s="7"/>
      <c r="R319" s="7"/>
      <c r="S319" s="7"/>
      <c r="T319" s="7"/>
      <c r="U319" s="7"/>
    </row>
    <row r="320" spans="2:21" x14ac:dyDescent="0.35">
      <c r="B320" s="7"/>
      <c r="C320" s="7"/>
      <c r="D320" s="7"/>
      <c r="E320" s="7"/>
      <c r="F320" s="7"/>
      <c r="G320" s="7"/>
      <c r="O320" s="7"/>
      <c r="P320" s="7"/>
      <c r="Q320" s="7"/>
      <c r="R320" s="7"/>
      <c r="S320" s="7"/>
      <c r="T320" s="7"/>
      <c r="U320" s="7"/>
    </row>
    <row r="321" spans="21:21" x14ac:dyDescent="0.35">
      <c r="U321" s="7"/>
    </row>
    <row r="322" spans="21:21" x14ac:dyDescent="0.35">
      <c r="U322" s="7"/>
    </row>
    <row r="323" spans="21:21" x14ac:dyDescent="0.35">
      <c r="U323" s="7"/>
    </row>
    <row r="324" spans="21:21" x14ac:dyDescent="0.35">
      <c r="U324" s="7"/>
    </row>
    <row r="325" spans="21:21" x14ac:dyDescent="0.35">
      <c r="U325" s="7"/>
    </row>
    <row r="326" spans="21:21" x14ac:dyDescent="0.35">
      <c r="U326" s="7"/>
    </row>
    <row r="327" spans="21:21" x14ac:dyDescent="0.35">
      <c r="U327" s="7"/>
    </row>
    <row r="328" spans="21:21" x14ac:dyDescent="0.35">
      <c r="U328" s="7"/>
    </row>
    <row r="329" spans="21:21" x14ac:dyDescent="0.35">
      <c r="U329" s="7"/>
    </row>
    <row r="330" spans="21:21" x14ac:dyDescent="0.35">
      <c r="U330" s="7"/>
    </row>
    <row r="331" spans="21:21" x14ac:dyDescent="0.35">
      <c r="U331" s="7"/>
    </row>
    <row r="332" spans="21:21" x14ac:dyDescent="0.35">
      <c r="U332" s="7"/>
    </row>
    <row r="333" spans="21:21" x14ac:dyDescent="0.35">
      <c r="U333" s="7"/>
    </row>
    <row r="334" spans="21:21" x14ac:dyDescent="0.35">
      <c r="U334" s="7"/>
    </row>
    <row r="335" spans="21:21" x14ac:dyDescent="0.35">
      <c r="U335" s="7"/>
    </row>
    <row r="336" spans="21:21" x14ac:dyDescent="0.35">
      <c r="U336" s="7"/>
    </row>
    <row r="337" spans="21:21" x14ac:dyDescent="0.35">
      <c r="U337" s="7"/>
    </row>
    <row r="338" spans="21:21" x14ac:dyDescent="0.35">
      <c r="U338" s="7"/>
    </row>
    <row r="339" spans="21:21" x14ac:dyDescent="0.35">
      <c r="U339" s="7"/>
    </row>
    <row r="340" spans="21:21" x14ac:dyDescent="0.35">
      <c r="U340" s="7"/>
    </row>
    <row r="341" spans="21:21" x14ac:dyDescent="0.35">
      <c r="U341" s="7"/>
    </row>
    <row r="342" spans="21:21" x14ac:dyDescent="0.35">
      <c r="U342" s="7"/>
    </row>
    <row r="343" spans="21:21" x14ac:dyDescent="0.35">
      <c r="U343" s="7"/>
    </row>
    <row r="344" spans="21:21" x14ac:dyDescent="0.35">
      <c r="U344" s="7"/>
    </row>
    <row r="345" spans="21:21" x14ac:dyDescent="0.35">
      <c r="U345" s="7"/>
    </row>
    <row r="346" spans="21:21" x14ac:dyDescent="0.35">
      <c r="U346" s="7"/>
    </row>
    <row r="347" spans="21:21" x14ac:dyDescent="0.35">
      <c r="U347" s="7"/>
    </row>
    <row r="348" spans="21:21" x14ac:dyDescent="0.35">
      <c r="U348" s="7"/>
    </row>
    <row r="349" spans="21:21" x14ac:dyDescent="0.35">
      <c r="U349" s="7"/>
    </row>
    <row r="350" spans="21:21" x14ac:dyDescent="0.35">
      <c r="U350" s="7"/>
    </row>
    <row r="351" spans="21:21" x14ac:dyDescent="0.35">
      <c r="U351" s="7"/>
    </row>
    <row r="352" spans="21:21" x14ac:dyDescent="0.35">
      <c r="U352" s="11"/>
    </row>
    <row r="353" spans="21:21" x14ac:dyDescent="0.35">
      <c r="U353" s="7"/>
    </row>
    <row r="354" spans="21:21" x14ac:dyDescent="0.35">
      <c r="U354" s="7"/>
    </row>
    <row r="355" spans="21:21" x14ac:dyDescent="0.35">
      <c r="U355" s="7"/>
    </row>
    <row r="356" spans="21:21" ht="12.75" customHeight="1" x14ac:dyDescent="0.35">
      <c r="U356" s="7"/>
    </row>
    <row r="357" spans="21:21" x14ac:dyDescent="0.35">
      <c r="U357" s="1442"/>
    </row>
    <row r="358" spans="21:21" x14ac:dyDescent="0.35">
      <c r="U358" s="7"/>
    </row>
    <row r="359" spans="21:21" x14ac:dyDescent="0.35">
      <c r="U359" s="7"/>
    </row>
    <row r="360" spans="21:21" x14ac:dyDescent="0.35">
      <c r="U360" s="7"/>
    </row>
    <row r="361" spans="21:21" x14ac:dyDescent="0.35">
      <c r="U361" s="7"/>
    </row>
    <row r="362" spans="21:21" x14ac:dyDescent="0.35">
      <c r="U362" s="7"/>
    </row>
    <row r="363" spans="21:21" x14ac:dyDescent="0.35">
      <c r="U363" s="7"/>
    </row>
    <row r="364" spans="21:21" x14ac:dyDescent="0.35">
      <c r="U364" s="7"/>
    </row>
    <row r="365" spans="21:21" x14ac:dyDescent="0.35">
      <c r="U365" s="7"/>
    </row>
    <row r="366" spans="21:21" x14ac:dyDescent="0.35">
      <c r="U366" s="7"/>
    </row>
    <row r="367" spans="21:21" x14ac:dyDescent="0.35">
      <c r="U367" s="7"/>
    </row>
    <row r="368" spans="21:21" x14ac:dyDescent="0.35">
      <c r="U368" s="7"/>
    </row>
    <row r="369" spans="21:21" x14ac:dyDescent="0.35">
      <c r="U369" s="7"/>
    </row>
    <row r="370" spans="21:21" x14ac:dyDescent="0.35">
      <c r="U370" s="7"/>
    </row>
    <row r="371" spans="21:21" x14ac:dyDescent="0.35">
      <c r="U371" s="7"/>
    </row>
    <row r="372" spans="21:21" x14ac:dyDescent="0.35">
      <c r="U372" s="7"/>
    </row>
    <row r="373" spans="21:21" x14ac:dyDescent="0.35">
      <c r="U373" s="7"/>
    </row>
    <row r="374" spans="21:21" x14ac:dyDescent="0.35">
      <c r="U374" s="7"/>
    </row>
    <row r="375" spans="21:21" x14ac:dyDescent="0.35">
      <c r="U375" s="7"/>
    </row>
    <row r="376" spans="21:21" x14ac:dyDescent="0.35">
      <c r="U376" s="7"/>
    </row>
    <row r="377" spans="21:21" x14ac:dyDescent="0.35">
      <c r="U377" s="7"/>
    </row>
    <row r="378" spans="21:21" x14ac:dyDescent="0.35">
      <c r="U378" s="7"/>
    </row>
    <row r="379" spans="21:21" x14ac:dyDescent="0.35">
      <c r="U379" s="7"/>
    </row>
    <row r="380" spans="21:21" x14ac:dyDescent="0.35">
      <c r="U380" s="7"/>
    </row>
    <row r="381" spans="21:21" x14ac:dyDescent="0.35">
      <c r="U381" s="7"/>
    </row>
    <row r="382" spans="21:21" x14ac:dyDescent="0.35">
      <c r="U382" s="7"/>
    </row>
    <row r="383" spans="21:21" x14ac:dyDescent="0.35">
      <c r="U383" s="7"/>
    </row>
    <row r="384" spans="21:21" x14ac:dyDescent="0.35">
      <c r="U384" s="7"/>
    </row>
    <row r="385" spans="21:23" x14ac:dyDescent="0.35">
      <c r="U385" s="7"/>
    </row>
    <row r="386" spans="21:23" x14ac:dyDescent="0.35">
      <c r="U386" s="7"/>
    </row>
    <row r="387" spans="21:23" x14ac:dyDescent="0.35">
      <c r="U387" s="7"/>
    </row>
    <row r="388" spans="21:23" x14ac:dyDescent="0.35">
      <c r="U388" s="7"/>
    </row>
    <row r="389" spans="21:23" x14ac:dyDescent="0.35">
      <c r="U389" s="7"/>
    </row>
    <row r="390" spans="21:23" x14ac:dyDescent="0.35">
      <c r="U390" s="7"/>
    </row>
    <row r="391" spans="21:23" x14ac:dyDescent="0.35">
      <c r="U391" s="7"/>
    </row>
    <row r="392" spans="21:23" x14ac:dyDescent="0.35">
      <c r="U392" s="7"/>
    </row>
    <row r="393" spans="21:23" x14ac:dyDescent="0.35">
      <c r="U393" s="7"/>
    </row>
    <row r="394" spans="21:23" x14ac:dyDescent="0.35">
      <c r="U394" s="7"/>
    </row>
    <row r="395" spans="21:23" x14ac:dyDescent="0.35">
      <c r="U395" s="7"/>
    </row>
    <row r="396" spans="21:23" x14ac:dyDescent="0.35">
      <c r="U396" s="7"/>
    </row>
    <row r="397" spans="21:23" x14ac:dyDescent="0.35">
      <c r="U397" s="7"/>
      <c r="V397" s="7"/>
      <c r="W397" s="7"/>
    </row>
    <row r="398" spans="21:23" x14ac:dyDescent="0.35">
      <c r="U398" s="7"/>
      <c r="V398" s="7"/>
      <c r="W398" s="7"/>
    </row>
    <row r="399" spans="21:23" x14ac:dyDescent="0.35">
      <c r="U399" s="7"/>
      <c r="V399" s="7"/>
      <c r="W399" s="7"/>
    </row>
    <row r="400" spans="21:23" x14ac:dyDescent="0.35">
      <c r="U400" s="7"/>
      <c r="V400" s="7"/>
      <c r="W400" s="7"/>
    </row>
    <row r="401" spans="21:23" x14ac:dyDescent="0.35">
      <c r="U401" s="7"/>
      <c r="V401" s="7"/>
      <c r="W401" s="7"/>
    </row>
    <row r="402" spans="21:23" x14ac:dyDescent="0.35">
      <c r="U402" s="7"/>
      <c r="V402" s="7"/>
      <c r="W402" s="7"/>
    </row>
    <row r="403" spans="21:23" x14ac:dyDescent="0.35">
      <c r="U403" s="7"/>
      <c r="V403" s="7"/>
      <c r="W403" s="7"/>
    </row>
    <row r="404" spans="21:23" x14ac:dyDescent="0.35">
      <c r="U404" s="7"/>
      <c r="V404" s="7"/>
      <c r="W404" s="7"/>
    </row>
    <row r="405" spans="21:23" x14ac:dyDescent="0.35">
      <c r="U405" s="7"/>
      <c r="V405" s="7"/>
      <c r="W405" s="7"/>
    </row>
    <row r="406" spans="21:23" x14ac:dyDescent="0.35">
      <c r="U406" s="7"/>
      <c r="V406" s="7"/>
      <c r="W406" s="7"/>
    </row>
    <row r="407" spans="21:23" x14ac:dyDescent="0.35">
      <c r="U407" s="7"/>
      <c r="V407" s="7"/>
      <c r="W407" s="7"/>
    </row>
    <row r="408" spans="21:23" x14ac:dyDescent="0.35">
      <c r="U408" s="7"/>
      <c r="V408" s="7"/>
      <c r="W408" s="7"/>
    </row>
    <row r="409" spans="21:23" x14ac:dyDescent="0.35">
      <c r="U409" s="7"/>
      <c r="V409" s="7"/>
      <c r="W409" s="7"/>
    </row>
    <row r="410" spans="21:23" x14ac:dyDescent="0.35">
      <c r="U410" s="7"/>
      <c r="V410" s="7"/>
      <c r="W410" s="7"/>
    </row>
    <row r="411" spans="21:23" x14ac:dyDescent="0.35">
      <c r="U411" s="7"/>
      <c r="V411" s="7"/>
      <c r="W411" s="7"/>
    </row>
    <row r="412" spans="21:23" x14ac:dyDescent="0.35">
      <c r="U412" s="7"/>
      <c r="V412" s="7"/>
      <c r="W412" s="7"/>
    </row>
    <row r="413" spans="21:23" x14ac:dyDescent="0.35">
      <c r="U413" s="7"/>
      <c r="V413" s="7"/>
      <c r="W413" s="7"/>
    </row>
    <row r="414" spans="21:23" x14ac:dyDescent="0.35">
      <c r="U414" s="7"/>
      <c r="V414" s="7"/>
      <c r="W414" s="7"/>
    </row>
    <row r="415" spans="21:23" x14ac:dyDescent="0.35">
      <c r="U415" s="7"/>
      <c r="V415" s="7"/>
      <c r="W415" s="7"/>
    </row>
    <row r="416" spans="21:23" x14ac:dyDescent="0.35">
      <c r="U416" s="7"/>
      <c r="V416" s="7"/>
      <c r="W416" s="7"/>
    </row>
    <row r="417" spans="21:27" x14ac:dyDescent="0.35">
      <c r="U417" s="7"/>
      <c r="V417" s="7"/>
      <c r="W417" s="7"/>
    </row>
    <row r="418" spans="21:27" x14ac:dyDescent="0.35">
      <c r="U418" s="7"/>
      <c r="V418" s="7"/>
      <c r="W418" s="7"/>
    </row>
    <row r="419" spans="21:27" x14ac:dyDescent="0.35">
      <c r="U419" s="7"/>
      <c r="V419" s="7"/>
      <c r="W419" s="7"/>
    </row>
    <row r="420" spans="21:27" x14ac:dyDescent="0.35">
      <c r="U420" s="7"/>
      <c r="V420" s="7"/>
      <c r="W420" s="7"/>
    </row>
    <row r="421" spans="21:27" x14ac:dyDescent="0.35">
      <c r="U421" s="7"/>
      <c r="V421" s="7"/>
      <c r="W421" s="7"/>
    </row>
    <row r="422" spans="21:27" x14ac:dyDescent="0.35">
      <c r="U422" s="7"/>
    </row>
    <row r="423" spans="21:27" x14ac:dyDescent="0.35">
      <c r="U423" s="7"/>
    </row>
    <row r="424" spans="21:27" x14ac:dyDescent="0.35">
      <c r="U424" s="7"/>
    </row>
    <row r="425" spans="21:27" x14ac:dyDescent="0.35">
      <c r="U425" s="7"/>
    </row>
    <row r="426" spans="21:27" x14ac:dyDescent="0.35">
      <c r="U426" s="7"/>
    </row>
    <row r="427" spans="21:27" x14ac:dyDescent="0.35">
      <c r="U427" s="7"/>
    </row>
    <row r="428" spans="21:27" x14ac:dyDescent="0.35">
      <c r="U428" s="7"/>
    </row>
    <row r="429" spans="21:27" x14ac:dyDescent="0.35">
      <c r="U429" s="7"/>
    </row>
    <row r="430" spans="21:27" x14ac:dyDescent="0.35">
      <c r="U430" s="7"/>
    </row>
    <row r="431" spans="21:27" x14ac:dyDescent="0.35">
      <c r="U431" s="7"/>
    </row>
    <row r="432" spans="21:27" x14ac:dyDescent="0.35">
      <c r="U432" s="7"/>
      <c r="V432" s="7"/>
      <c r="W432" s="7"/>
      <c r="X432" s="7"/>
      <c r="Y432" s="7"/>
      <c r="Z432" s="7"/>
      <c r="AA432" s="7"/>
    </row>
    <row r="433" spans="2:52" x14ac:dyDescent="0.35">
      <c r="U433" s="7"/>
      <c r="V433" s="7"/>
      <c r="W433" s="7"/>
    </row>
    <row r="434" spans="2:52" x14ac:dyDescent="0.35">
      <c r="U434" s="7"/>
      <c r="V434" s="7"/>
      <c r="W434" s="7"/>
    </row>
    <row r="435" spans="2:52" x14ac:dyDescent="0.35">
      <c r="B435" s="7"/>
      <c r="C435" s="7"/>
      <c r="D435" s="7"/>
      <c r="E435" s="7"/>
      <c r="F435" s="7"/>
      <c r="G435" s="7"/>
      <c r="H435" s="7"/>
      <c r="I435" s="3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</row>
    <row r="436" spans="2:52" x14ac:dyDescent="0.35">
      <c r="B436" s="7"/>
      <c r="C436" s="7"/>
      <c r="D436" s="7"/>
      <c r="E436" s="7"/>
      <c r="F436" s="7"/>
      <c r="G436" s="7"/>
      <c r="H436" s="28"/>
      <c r="I436" s="28"/>
      <c r="J436" s="28"/>
      <c r="K436" s="28"/>
      <c r="L436" s="28"/>
      <c r="M436" s="7"/>
      <c r="N436" s="7"/>
      <c r="O436" s="7"/>
      <c r="P436" s="7"/>
      <c r="Q436" s="7"/>
      <c r="R436" s="7"/>
      <c r="S436" s="7"/>
      <c r="T436" s="28"/>
      <c r="U436" s="7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</row>
    <row r="563" spans="2:23" x14ac:dyDescent="0.35">
      <c r="B563" s="7"/>
      <c r="C563" s="7"/>
      <c r="D563" s="7"/>
      <c r="E563" s="7"/>
      <c r="F563" s="7"/>
      <c r="G563" s="7"/>
      <c r="O563" s="7"/>
      <c r="P563" s="7"/>
      <c r="Q563" s="7"/>
      <c r="R563" s="7"/>
      <c r="S563" s="7"/>
      <c r="T563" s="7"/>
      <c r="U563" s="7"/>
      <c r="V563" s="7"/>
      <c r="W563" s="7"/>
    </row>
    <row r="564" spans="2:23" x14ac:dyDescent="0.35">
      <c r="B564" s="7"/>
      <c r="C564" s="7"/>
      <c r="D564" s="7"/>
      <c r="E564" s="7"/>
      <c r="F564" s="7"/>
      <c r="G564" s="7"/>
      <c r="O564" s="7"/>
      <c r="P564" s="7"/>
      <c r="Q564" s="7"/>
      <c r="R564" s="7"/>
      <c r="S564" s="7"/>
      <c r="T564" s="7"/>
      <c r="U564" s="7"/>
      <c r="V564" s="7"/>
      <c r="W564" s="7"/>
    </row>
    <row r="565" spans="2:23" x14ac:dyDescent="0.35">
      <c r="B565" s="7"/>
      <c r="C565" s="7"/>
      <c r="D565" s="7"/>
      <c r="E565" s="7"/>
      <c r="F565" s="7"/>
      <c r="G565" s="7"/>
      <c r="O565" s="7"/>
      <c r="P565" s="7"/>
      <c r="Q565" s="7"/>
      <c r="R565" s="7"/>
      <c r="S565" s="7"/>
      <c r="T565" s="7"/>
      <c r="U565" s="7"/>
      <c r="V565" s="7"/>
      <c r="W565" s="7"/>
    </row>
    <row r="566" spans="2:23" x14ac:dyDescent="0.35">
      <c r="B566" s="7"/>
      <c r="C566" s="7"/>
      <c r="D566" s="7"/>
      <c r="E566" s="7"/>
      <c r="F566" s="7"/>
      <c r="G566" s="7"/>
      <c r="O566" s="7"/>
      <c r="P566" s="7"/>
      <c r="Q566" s="7"/>
      <c r="R566" s="7"/>
      <c r="S566" s="7"/>
      <c r="T566" s="7"/>
      <c r="U566" s="7"/>
      <c r="V566" s="7"/>
      <c r="W566" s="7"/>
    </row>
    <row r="567" spans="2:23" x14ac:dyDescent="0.35">
      <c r="B567" s="7"/>
      <c r="C567" s="7"/>
      <c r="D567" s="7"/>
      <c r="E567" s="7"/>
      <c r="F567" s="7"/>
      <c r="G567" s="7"/>
      <c r="O567" s="7"/>
      <c r="P567" s="7"/>
      <c r="Q567" s="7"/>
      <c r="R567" s="7"/>
      <c r="S567" s="7"/>
      <c r="T567" s="7"/>
      <c r="U567" s="7"/>
      <c r="V567" s="7"/>
      <c r="W567" s="7"/>
    </row>
    <row r="568" spans="2:23" x14ac:dyDescent="0.35">
      <c r="B568" s="7"/>
      <c r="C568" s="7"/>
      <c r="D568" s="7"/>
      <c r="E568" s="7"/>
      <c r="F568" s="7"/>
      <c r="G568" s="7"/>
      <c r="O568" s="7"/>
      <c r="P568" s="7"/>
      <c r="Q568" s="7"/>
      <c r="R568" s="7"/>
      <c r="S568" s="7"/>
      <c r="T568" s="7"/>
      <c r="U568" s="7"/>
      <c r="V568" s="7"/>
      <c r="W568" s="7"/>
    </row>
    <row r="569" spans="2:23" x14ac:dyDescent="0.35">
      <c r="B569" s="7"/>
      <c r="C569" s="7"/>
      <c r="D569" s="7"/>
      <c r="E569" s="7"/>
      <c r="F569" s="7"/>
      <c r="G569" s="7"/>
      <c r="O569" s="7"/>
      <c r="P569" s="7"/>
      <c r="Q569" s="7"/>
      <c r="R569" s="7"/>
      <c r="S569" s="7"/>
      <c r="T569" s="7"/>
      <c r="U569" s="7"/>
      <c r="V569" s="7"/>
      <c r="W569" s="7"/>
    </row>
    <row r="570" spans="2:23" x14ac:dyDescent="0.35">
      <c r="B570" s="7"/>
      <c r="C570" s="7"/>
      <c r="D570" s="7"/>
      <c r="E570" s="7"/>
      <c r="F570" s="7"/>
      <c r="G570" s="7"/>
      <c r="O570" s="7"/>
      <c r="P570" s="7"/>
      <c r="Q570" s="7"/>
      <c r="R570" s="7"/>
      <c r="S570" s="7"/>
      <c r="T570" s="7"/>
      <c r="U570" s="7"/>
      <c r="V570" s="7"/>
      <c r="W570" s="7"/>
    </row>
  </sheetData>
  <sheetProtection algorithmName="SHA-512" hashValue="KWvmOZWwfdKFudv+xPHYFnXje43z4azAtr5Qm0RIpUxmVPJqWirxmUAJNeqnlYJcbjFDWDHfJwFj4bTBK/yMHQ==" saltValue="3zt5pDxgrmBrTfMASha9hA==" spinCount="100000" sheet="1" objects="1" scenarios="1"/>
  <phoneticPr fontId="24" type="noConversion"/>
  <conditionalFormatting sqref="N15:Y98">
    <cfRule type="cellIs" dxfId="197" priority="1" operator="equal">
      <formula>0</formula>
    </cfRule>
  </conditionalFormatting>
  <conditionalFormatting sqref="W99:AN99">
    <cfRule type="cellIs" dxfId="196" priority="16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92D050"/>
    <pageSetUpPr fitToPage="1"/>
  </sheetPr>
  <dimension ref="A1:K25"/>
  <sheetViews>
    <sheetView showGridLines="0" workbookViewId="0"/>
  </sheetViews>
  <sheetFormatPr defaultColWidth="9" defaultRowHeight="13.5" x14ac:dyDescent="0.35"/>
  <cols>
    <col min="1" max="1" width="26.86328125" style="346" customWidth="1"/>
    <col min="2" max="5" width="14.59765625" style="346" customWidth="1"/>
    <col min="6" max="9" width="16.1328125" style="346" customWidth="1"/>
    <col min="10" max="10" width="9" style="346" customWidth="1"/>
    <col min="11" max="11" width="12.86328125" style="346" hidden="1" customWidth="1"/>
    <col min="12" max="16384" width="9" style="346"/>
  </cols>
  <sheetData>
    <row r="1" spans="1:11" customFormat="1" ht="25.15" x14ac:dyDescent="0.35">
      <c r="A1" s="636" t="s">
        <v>29788</v>
      </c>
      <c r="B1" s="3"/>
      <c r="C1" s="3"/>
      <c r="D1" s="4"/>
      <c r="E1" s="3"/>
      <c r="F1" s="3"/>
      <c r="G1" s="3"/>
      <c r="H1" s="3"/>
      <c r="I1" s="3"/>
      <c r="J1" s="3"/>
    </row>
    <row r="2" spans="1:11" ht="25.5" customHeight="1" x14ac:dyDescent="0.4">
      <c r="A2" s="1385" t="str">
        <f>IF(PROVIDER="","Provider name",PROVIDER&amp;" ("&amp;UKPRN&amp;")")</f>
        <v>Provider name</v>
      </c>
      <c r="B2" s="74"/>
      <c r="D2" s="786"/>
      <c r="E2" s="787"/>
      <c r="I2" s="74"/>
      <c r="K2" s="74"/>
    </row>
    <row r="3" spans="1:11" ht="16.5" customHeight="1" x14ac:dyDescent="0.4">
      <c r="A3" s="1501" t="s">
        <v>27713</v>
      </c>
      <c r="B3" s="74"/>
      <c r="D3" s="786"/>
      <c r="E3" s="787"/>
      <c r="I3" s="74"/>
      <c r="K3" s="74"/>
    </row>
    <row r="4" spans="1:11" ht="27" customHeight="1" thickBot="1" x14ac:dyDescent="0.4">
      <c r="B4" s="3404" t="str">
        <f>'Table 4 Valid'!F3</f>
        <v>Validation: OK</v>
      </c>
      <c r="C4" s="3404"/>
      <c r="D4" s="3404"/>
      <c r="E4" s="3404"/>
      <c r="F4" s="3404" t="str">
        <f>'Table 4 Valid'!H3</f>
        <v>Validation: OK</v>
      </c>
      <c r="G4" s="3404"/>
      <c r="H4" s="3404"/>
      <c r="I4" s="3404"/>
      <c r="J4" s="788"/>
    </row>
    <row r="5" spans="1:11" ht="13.9" x14ac:dyDescent="0.4">
      <c r="A5" s="3407"/>
      <c r="B5" s="676" t="s">
        <v>27679</v>
      </c>
      <c r="C5" s="789"/>
      <c r="D5" s="673"/>
      <c r="E5" s="673"/>
      <c r="F5" s="675" t="s">
        <v>27680</v>
      </c>
      <c r="G5" s="789"/>
      <c r="H5" s="673"/>
      <c r="I5" s="673"/>
    </row>
    <row r="6" spans="1:11" ht="14.25" customHeight="1" x14ac:dyDescent="0.35">
      <c r="A6" s="3408"/>
      <c r="B6" s="3414" t="str">
        <f>"Years countable between 1 August 20"&amp;YEAR&amp;" and census date inclusive"</f>
        <v>Years countable between 1 August 2024 and census date inclusive</v>
      </c>
      <c r="C6" s="3414"/>
      <c r="D6" s="3414"/>
      <c r="E6" s="3415"/>
      <c r="F6" s="3418" t="str">
        <f>"Forecast of years countable after census date and before 1 August 20"&amp;(YEAR+1)</f>
        <v>Forecast of years countable after census date and before 1 August 2025</v>
      </c>
      <c r="G6" s="3419"/>
      <c r="H6" s="3419"/>
      <c r="I6" s="3419"/>
    </row>
    <row r="7" spans="1:11" ht="14.25" customHeight="1" x14ac:dyDescent="0.35">
      <c r="A7" s="3408"/>
      <c r="B7" s="3416"/>
      <c r="C7" s="3416"/>
      <c r="D7" s="3416"/>
      <c r="E7" s="3417"/>
      <c r="F7" s="3420"/>
      <c r="G7" s="3421"/>
      <c r="H7" s="3421"/>
      <c r="I7" s="3421"/>
    </row>
    <row r="8" spans="1:11" ht="14.45" customHeight="1" x14ac:dyDescent="0.35">
      <c r="A8" s="3408"/>
      <c r="B8" s="3409" t="s">
        <v>27740</v>
      </c>
      <c r="C8" s="3410"/>
      <c r="D8" s="3411" t="s">
        <v>27741</v>
      </c>
      <c r="E8" s="3412"/>
      <c r="F8" s="3413" t="s">
        <v>27740</v>
      </c>
      <c r="G8" s="3410"/>
      <c r="H8" s="3411" t="s">
        <v>27741</v>
      </c>
      <c r="I8" s="3410"/>
    </row>
    <row r="9" spans="1:11" ht="21" customHeight="1" x14ac:dyDescent="0.35">
      <c r="A9" s="3408"/>
      <c r="B9" s="790" t="s">
        <v>192</v>
      </c>
      <c r="C9" s="790" t="s">
        <v>193</v>
      </c>
      <c r="D9" s="791" t="s">
        <v>192</v>
      </c>
      <c r="E9" s="792" t="s">
        <v>193</v>
      </c>
      <c r="F9" s="1627" t="s">
        <v>192</v>
      </c>
      <c r="G9" s="790" t="s">
        <v>193</v>
      </c>
      <c r="H9" s="791" t="s">
        <v>192</v>
      </c>
      <c r="I9" s="790" t="s">
        <v>193</v>
      </c>
      <c r="K9" s="790"/>
    </row>
    <row r="10" spans="1:11" ht="14.45" customHeight="1" x14ac:dyDescent="0.35">
      <c r="A10" s="2208" t="s">
        <v>27742</v>
      </c>
      <c r="B10" s="2209" t="s">
        <v>201</v>
      </c>
      <c r="C10" s="2209" t="s">
        <v>202</v>
      </c>
      <c r="D10" s="2210" t="s">
        <v>201</v>
      </c>
      <c r="E10" s="2211" t="s">
        <v>202</v>
      </c>
      <c r="F10" s="2209" t="s">
        <v>201</v>
      </c>
      <c r="G10" s="2209" t="s">
        <v>202</v>
      </c>
      <c r="H10" s="2210" t="s">
        <v>201</v>
      </c>
      <c r="I10" s="2212" t="s">
        <v>202</v>
      </c>
      <c r="K10" s="774" t="s">
        <v>27743</v>
      </c>
    </row>
    <row r="11" spans="1:11" ht="15.75" customHeight="1" x14ac:dyDescent="0.35">
      <c r="A11" s="2201" t="s">
        <v>28336</v>
      </c>
      <c r="B11" s="2202">
        <v>0</v>
      </c>
      <c r="C11" s="2203">
        <v>0</v>
      </c>
      <c r="D11" s="2204">
        <v>0</v>
      </c>
      <c r="E11" s="2205">
        <v>0</v>
      </c>
      <c r="F11" s="2206">
        <v>0</v>
      </c>
      <c r="G11" s="2203">
        <v>0</v>
      </c>
      <c r="H11" s="2204">
        <v>0</v>
      </c>
      <c r="I11" s="2207">
        <v>0</v>
      </c>
      <c r="K11" s="668" t="s">
        <v>27744</v>
      </c>
    </row>
    <row r="12" spans="1:11" ht="15.75" customHeight="1" thickBot="1" x14ac:dyDescent="0.4">
      <c r="A12" s="1535" t="s">
        <v>27745</v>
      </c>
      <c r="B12" s="793">
        <v>0</v>
      </c>
      <c r="C12" s="794">
        <v>0</v>
      </c>
      <c r="D12" s="795">
        <v>0</v>
      </c>
      <c r="E12" s="796">
        <v>0</v>
      </c>
      <c r="F12" s="797">
        <v>0</v>
      </c>
      <c r="G12" s="794">
        <v>0</v>
      </c>
      <c r="H12" s="795">
        <v>0</v>
      </c>
      <c r="I12" s="794">
        <v>0</v>
      </c>
      <c r="K12" s="668" t="s">
        <v>27746</v>
      </c>
    </row>
    <row r="13" spans="1:11" ht="15.75" customHeight="1" thickTop="1" thickBot="1" x14ac:dyDescent="0.4">
      <c r="A13" s="1536" t="s">
        <v>27696</v>
      </c>
      <c r="B13" s="798">
        <f t="shared" ref="B13:I13" si="0">SUM(B11:B12)</f>
        <v>0</v>
      </c>
      <c r="C13" s="799">
        <f t="shared" si="0"/>
        <v>0</v>
      </c>
      <c r="D13" s="800">
        <f t="shared" si="0"/>
        <v>0</v>
      </c>
      <c r="E13" s="801">
        <f t="shared" si="0"/>
        <v>0</v>
      </c>
      <c r="F13" s="802">
        <f t="shared" si="0"/>
        <v>0</v>
      </c>
      <c r="G13" s="799">
        <f t="shared" si="0"/>
        <v>0</v>
      </c>
      <c r="H13" s="800">
        <f t="shared" si="0"/>
        <v>0</v>
      </c>
      <c r="I13" s="799">
        <f t="shared" si="0"/>
        <v>0</v>
      </c>
      <c r="K13" s="668" t="s">
        <v>28321</v>
      </c>
    </row>
    <row r="14" spans="1:11" hidden="1" x14ac:dyDescent="0.35">
      <c r="A14" s="803"/>
      <c r="B14" s="74"/>
      <c r="C14" s="74"/>
      <c r="D14" s="74"/>
      <c r="E14" s="74"/>
      <c r="F14" s="74"/>
      <c r="G14" s="74"/>
      <c r="H14" s="74"/>
      <c r="I14" s="74"/>
    </row>
    <row r="15" spans="1:11" hidden="1" x14ac:dyDescent="0.35">
      <c r="A15" s="774" t="s">
        <v>67</v>
      </c>
      <c r="B15" s="775">
        <v>1</v>
      </c>
      <c r="C15" s="775">
        <v>1</v>
      </c>
      <c r="D15" s="775">
        <v>1</v>
      </c>
      <c r="E15" s="775">
        <v>1</v>
      </c>
      <c r="F15" s="775">
        <v>2</v>
      </c>
      <c r="G15" s="775">
        <v>2</v>
      </c>
      <c r="H15" s="775">
        <v>2</v>
      </c>
      <c r="I15" s="775">
        <v>2</v>
      </c>
    </row>
    <row r="16" spans="1:11" hidden="1" x14ac:dyDescent="0.35">
      <c r="A16" s="774" t="s">
        <v>64</v>
      </c>
      <c r="B16" s="775" t="s">
        <v>27747</v>
      </c>
      <c r="C16" s="775" t="s">
        <v>27747</v>
      </c>
      <c r="D16" s="775" t="s">
        <v>27748</v>
      </c>
      <c r="E16" s="775" t="s">
        <v>27748</v>
      </c>
      <c r="F16" s="775" t="s">
        <v>27747</v>
      </c>
      <c r="G16" s="775" t="s">
        <v>27747</v>
      </c>
      <c r="H16" s="775" t="s">
        <v>27748</v>
      </c>
      <c r="I16" s="775" t="s">
        <v>27748</v>
      </c>
    </row>
    <row r="17" spans="1:11" ht="13.9" hidden="1" x14ac:dyDescent="0.4">
      <c r="A17" s="774" t="s">
        <v>27749</v>
      </c>
      <c r="B17" s="668" t="s">
        <v>27714</v>
      </c>
      <c r="C17" s="668" t="s">
        <v>27715</v>
      </c>
      <c r="D17" s="668" t="s">
        <v>27714</v>
      </c>
      <c r="E17" s="668" t="s">
        <v>27715</v>
      </c>
      <c r="F17" s="668" t="s">
        <v>27714</v>
      </c>
      <c r="G17" s="668" t="s">
        <v>27715</v>
      </c>
      <c r="H17" s="668" t="s">
        <v>27714</v>
      </c>
      <c r="I17" s="668" t="s">
        <v>27715</v>
      </c>
      <c r="J17" s="804"/>
      <c r="K17" s="805"/>
    </row>
    <row r="18" spans="1:11" x14ac:dyDescent="0.35">
      <c r="G18" s="805"/>
      <c r="H18" s="806"/>
      <c r="I18" s="806"/>
      <c r="J18" s="806"/>
    </row>
    <row r="19" spans="1:11" ht="19.899999999999999" customHeight="1" x14ac:dyDescent="0.35">
      <c r="A19" s="657" t="s">
        <v>27750</v>
      </c>
      <c r="D19" s="731"/>
      <c r="E19" s="779"/>
      <c r="H19" s="731"/>
      <c r="J19" s="806"/>
    </row>
    <row r="20" spans="1:11" ht="14.45" customHeight="1" x14ac:dyDescent="0.35">
      <c r="A20" s="346" t="s">
        <v>146</v>
      </c>
      <c r="D20" s="731"/>
      <c r="E20" s="779"/>
      <c r="H20" s="731"/>
      <c r="J20" s="806"/>
    </row>
    <row r="21" spans="1:11" ht="14.45" customHeight="1" x14ac:dyDescent="0.35">
      <c r="A21" s="723" t="str">
        <f>'Table 4 Valid'!J20</f>
        <v/>
      </c>
      <c r="D21" s="731"/>
      <c r="E21" s="779"/>
      <c r="H21" s="731"/>
      <c r="J21" s="806"/>
    </row>
    <row r="22" spans="1:11" ht="14.45" customHeight="1" x14ac:dyDescent="0.35">
      <c r="A22" s="346" t="s">
        <v>149</v>
      </c>
      <c r="D22" s="731"/>
      <c r="E22" s="779"/>
      <c r="H22" s="731"/>
      <c r="J22" s="806"/>
    </row>
    <row r="23" spans="1:11" ht="14.45" customHeight="1" x14ac:dyDescent="0.35">
      <c r="A23" s="723" t="str">
        <f>'Table 4 Valid'!J30</f>
        <v/>
      </c>
      <c r="D23" s="731"/>
      <c r="E23" s="779"/>
      <c r="H23" s="731"/>
      <c r="J23" s="806"/>
    </row>
    <row r="24" spans="1:11" ht="14.45" customHeight="1" x14ac:dyDescent="0.35">
      <c r="A24" s="346" t="s">
        <v>28244</v>
      </c>
      <c r="D24" s="731"/>
      <c r="E24" s="779"/>
      <c r="H24" s="1272"/>
      <c r="J24" s="806"/>
    </row>
    <row r="25" spans="1:11" ht="14.45" customHeight="1" x14ac:dyDescent="0.35">
      <c r="A25" s="723" t="str">
        <f>'Table 4 Valid'!J37</f>
        <v/>
      </c>
      <c r="D25" s="731"/>
      <c r="E25" s="779"/>
      <c r="H25" s="731"/>
    </row>
  </sheetData>
  <sheetProtection algorithmName="SHA-512" hashValue="gdQ3Ol/sjVab9L05x54SFmEFcF/iggr3SnQXxnw7DnoJFYdk7FyLTFzaK4U1J6nR9KMAVkNVTObtQ6RyiFHDkg==" saltValue="DAzO/grqDBovX4tBOyszWQ==" spinCount="100000" sheet="1" objects="1" scenarios="1"/>
  <mergeCells count="9">
    <mergeCell ref="A5:A9"/>
    <mergeCell ref="B4:E4"/>
    <mergeCell ref="F4:I4"/>
    <mergeCell ref="B8:C8"/>
    <mergeCell ref="D8:E8"/>
    <mergeCell ref="F8:G8"/>
    <mergeCell ref="H8:I8"/>
    <mergeCell ref="B6:E7"/>
    <mergeCell ref="F6:I7"/>
  </mergeCells>
  <conditionalFormatting sqref="B4:I4">
    <cfRule type="cellIs" dxfId="195" priority="50548" operator="notEqual">
      <formula>"Validation: OK"</formula>
    </cfRule>
  </conditionalFormatting>
  <conditionalFormatting sqref="B11:I13">
    <cfRule type="cellIs" dxfId="193" priority="7" operator="equal">
      <formula>0</formula>
    </cfRule>
  </conditionalFormatting>
  <dataValidations count="2">
    <dataValidation type="custom" allowBlank="1" showInputMessage="1" showErrorMessage="1" errorTitle="Validation check" error="Table 4, Column 2 can only contain positive integers or zero." sqref="F11:I12" xr:uid="{5F762B22-A12B-4ED0-9527-42DF70183A96}">
      <formula1>AND(F11&gt;=0,ROUND(F11,0)=F11)</formula1>
    </dataValidation>
    <dataValidation type="custom" allowBlank="1" showInputMessage="1" showErrorMessage="1" errorTitle="Validation check" error="Table 4, Column 1 can only contain positive integers or zero." sqref="B11:E12" xr:uid="{69779244-0ED4-43DF-BD48-3A7B952BE189}">
      <formula1>AND(B11&gt;=0,ROUND(B11,0)=B11)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4329C8D-08A1-46F3-8D2E-73418B8C09AA}">
            <xm:f>IF('Table 4 Valid'!O13=1,1,0)</xm:f>
            <x14:dxf>
              <font>
                <b/>
                <i val="0"/>
                <color rgb="FFFF0000"/>
              </font>
            </x14:dxf>
          </x14:cfRule>
          <xm:sqref>B11:I13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V38"/>
  <sheetViews>
    <sheetView workbookViewId="0"/>
  </sheetViews>
  <sheetFormatPr defaultColWidth="9" defaultRowHeight="12.75" x14ac:dyDescent="0.35"/>
  <cols>
    <col min="2" max="2" width="30" bestFit="1" customWidth="1"/>
    <col min="6" max="6" width="9" customWidth="1"/>
    <col min="8" max="8" width="9" customWidth="1"/>
    <col min="9" max="9" width="7.1328125" customWidth="1"/>
    <col min="15" max="15" width="25" bestFit="1" customWidth="1"/>
    <col min="16" max="16" width="11.86328125" bestFit="1" customWidth="1"/>
    <col min="17" max="17" width="19.1328125" bestFit="1" customWidth="1"/>
    <col min="18" max="18" width="11.86328125" bestFit="1" customWidth="1"/>
  </cols>
  <sheetData>
    <row r="1" spans="1:22" ht="15" x14ac:dyDescent="0.4">
      <c r="A1" s="102" t="s">
        <v>27751</v>
      </c>
    </row>
    <row r="2" spans="1:22" ht="13.15" x14ac:dyDescent="0.4">
      <c r="F2" s="6" t="s">
        <v>27679</v>
      </c>
      <c r="H2" s="6" t="s">
        <v>27680</v>
      </c>
      <c r="I2" s="6"/>
    </row>
    <row r="3" spans="1:22" ht="13.15" x14ac:dyDescent="0.4">
      <c r="B3" s="14" t="s">
        <v>343</v>
      </c>
      <c r="D3" s="7">
        <f>IF(AND('Table 4 Valid'!F3="Validation: OK",'Table 4 Valid'!H3="Validation: OK"),0,1)</f>
        <v>0</v>
      </c>
      <c r="F3" s="588" t="str">
        <f>IF(AND(C20="",C30="",C37=""),"Validation: OK","Validation: Failure (see below table)")</f>
        <v>Validation: OK</v>
      </c>
      <c r="H3" s="589" t="str">
        <f>IF(AND(G20="",G30="",G37=""),"Validation: OK","Validation: Failure (see below table)")</f>
        <v>Validation: OK</v>
      </c>
      <c r="I3" s="9"/>
      <c r="J3" s="9"/>
    </row>
    <row r="4" spans="1:22" ht="13.15" x14ac:dyDescent="0.4">
      <c r="B4" s="14" t="s">
        <v>344</v>
      </c>
      <c r="D4" s="7">
        <f>IF(AND('Table 4 Valid'!F4="Credibility: OK",'Table 4 Valid'!H4="Credibility: OK"),0,1)</f>
        <v>0</v>
      </c>
      <c r="F4" s="590" t="s">
        <v>345</v>
      </c>
      <c r="H4" s="590" t="s">
        <v>345</v>
      </c>
      <c r="I4" s="9"/>
      <c r="J4" s="9"/>
    </row>
    <row r="7" spans="1:22" x14ac:dyDescent="0.35">
      <c r="B7" s="43"/>
      <c r="C7" s="3"/>
      <c r="D7" s="10"/>
      <c r="E7" s="197"/>
      <c r="F7" s="197"/>
      <c r="G7" s="197"/>
      <c r="H7" s="197"/>
      <c r="I7" s="197"/>
      <c r="J7" s="197"/>
      <c r="K7" s="197"/>
      <c r="L7" s="197"/>
    </row>
    <row r="8" spans="1:22" ht="98.65" x14ac:dyDescent="0.4">
      <c r="B8" s="1829" t="s">
        <v>27752</v>
      </c>
      <c r="C8" s="320" t="s">
        <v>27753</v>
      </c>
      <c r="D8" s="320" t="s">
        <v>27754</v>
      </c>
      <c r="E8" s="320" t="s">
        <v>27755</v>
      </c>
      <c r="F8" s="1830"/>
    </row>
    <row r="9" spans="1:22" x14ac:dyDescent="0.35">
      <c r="B9" s="541" t="s">
        <v>363</v>
      </c>
      <c r="C9" s="43">
        <v>1</v>
      </c>
      <c r="D9" s="43">
        <v>1</v>
      </c>
      <c r="E9" s="43">
        <v>1</v>
      </c>
      <c r="F9" s="31"/>
    </row>
    <row r="10" spans="1:22" ht="13.15" x14ac:dyDescent="0.4">
      <c r="O10" s="6" t="s">
        <v>27735</v>
      </c>
    </row>
    <row r="11" spans="1:22" x14ac:dyDescent="0.35">
      <c r="B11" s="15"/>
      <c r="O11" t="s">
        <v>27740</v>
      </c>
      <c r="Q11" t="s">
        <v>27741</v>
      </c>
      <c r="S11" t="s">
        <v>27740</v>
      </c>
      <c r="U11" t="s">
        <v>27741</v>
      </c>
    </row>
    <row r="12" spans="1:22" x14ac:dyDescent="0.35">
      <c r="B12" s="24" t="s">
        <v>27757</v>
      </c>
      <c r="C12" s="542"/>
      <c r="D12" s="543"/>
      <c r="E12" s="544"/>
      <c r="F12" s="544"/>
      <c r="G12" s="545"/>
      <c r="H12" s="545"/>
      <c r="I12" s="544"/>
      <c r="J12" s="544"/>
      <c r="K12" s="546"/>
      <c r="L12" s="197"/>
      <c r="O12" t="s">
        <v>192</v>
      </c>
      <c r="P12" t="s">
        <v>193</v>
      </c>
      <c r="Q12" t="s">
        <v>192</v>
      </c>
      <c r="R12" t="s">
        <v>193</v>
      </c>
      <c r="S12" t="s">
        <v>192</v>
      </c>
      <c r="T12" t="s">
        <v>193</v>
      </c>
      <c r="U12" t="s">
        <v>192</v>
      </c>
      <c r="V12" t="s">
        <v>193</v>
      </c>
    </row>
    <row r="13" spans="1:22" ht="13.15" x14ac:dyDescent="0.35">
      <c r="B13" s="118"/>
      <c r="C13" s="11" t="s">
        <v>27679</v>
      </c>
      <c r="D13" s="11" t="s">
        <v>27679</v>
      </c>
      <c r="E13" s="11" t="s">
        <v>27679</v>
      </c>
      <c r="F13" s="11" t="s">
        <v>27679</v>
      </c>
      <c r="G13" s="11" t="s">
        <v>27680</v>
      </c>
      <c r="H13" s="11" t="s">
        <v>27680</v>
      </c>
      <c r="I13" s="11" t="s">
        <v>27680</v>
      </c>
      <c r="J13" s="11" t="s">
        <v>27680</v>
      </c>
      <c r="L13" s="1307"/>
      <c r="O13" s="1831">
        <f t="shared" ref="O13:V14" si="0">IF(OR(C15&lt;&gt;"",C25&lt;&gt;""),1,0)</f>
        <v>0</v>
      </c>
      <c r="P13" s="1832">
        <f t="shared" si="0"/>
        <v>0</v>
      </c>
      <c r="Q13" s="1701">
        <f t="shared" si="0"/>
        <v>0</v>
      </c>
      <c r="R13" s="1702">
        <f t="shared" si="0"/>
        <v>0</v>
      </c>
      <c r="S13" s="1831">
        <f t="shared" si="0"/>
        <v>0</v>
      </c>
      <c r="T13" s="1832">
        <f t="shared" si="0"/>
        <v>0</v>
      </c>
      <c r="U13" s="1701">
        <f t="shared" si="0"/>
        <v>0</v>
      </c>
      <c r="V13" s="1832">
        <f t="shared" si="0"/>
        <v>0</v>
      </c>
    </row>
    <row r="14" spans="1:22" ht="13.5" thickBot="1" x14ac:dyDescent="0.4">
      <c r="B14" s="1304"/>
      <c r="C14" s="1409" t="s">
        <v>27758</v>
      </c>
      <c r="D14" s="1409" t="s">
        <v>27759</v>
      </c>
      <c r="E14" s="1409" t="s">
        <v>27760</v>
      </c>
      <c r="F14" s="1409" t="s">
        <v>27761</v>
      </c>
      <c r="G14" s="1409" t="s">
        <v>27758</v>
      </c>
      <c r="H14" s="1409" t="s">
        <v>27759</v>
      </c>
      <c r="I14" s="1409" t="s">
        <v>27760</v>
      </c>
      <c r="J14" s="1409" t="s">
        <v>27761</v>
      </c>
      <c r="K14" s="197"/>
      <c r="L14" s="1307"/>
      <c r="O14" s="548">
        <f t="shared" si="0"/>
        <v>0</v>
      </c>
      <c r="P14" s="549">
        <f t="shared" si="0"/>
        <v>0</v>
      </c>
      <c r="Q14" s="550">
        <f t="shared" si="0"/>
        <v>0</v>
      </c>
      <c r="R14" s="551">
        <f t="shared" si="0"/>
        <v>0</v>
      </c>
      <c r="S14" s="548">
        <f t="shared" si="0"/>
        <v>0</v>
      </c>
      <c r="T14" s="549">
        <f t="shared" si="0"/>
        <v>0</v>
      </c>
      <c r="U14" s="550">
        <f t="shared" si="0"/>
        <v>0</v>
      </c>
      <c r="V14" s="549">
        <f t="shared" si="0"/>
        <v>0</v>
      </c>
    </row>
    <row r="15" spans="1:22" ht="14.25" thickTop="1" thickBot="1" x14ac:dyDescent="0.4">
      <c r="B15" s="1306" t="s">
        <v>28336</v>
      </c>
      <c r="C15" s="1833" t="str">
        <f>IF(AND($C$9=1,TRUNC('4_Year_abroad'!B11)&lt;&gt;'4_Year_abroad'!B11),C$13&amp;", "&amp;C$14&amp;", "&amp;$B15&amp;"; ","")</f>
        <v/>
      </c>
      <c r="D15" s="330" t="str">
        <f>IF(AND($C$9=1,TRUNC('4_Year_abroad'!C11)&lt;&gt;'4_Year_abroad'!C11),D$13&amp;", "&amp;D$14&amp;", "&amp;$B15&amp;"; ","")</f>
        <v/>
      </c>
      <c r="E15" s="330" t="str">
        <f>IF(AND($C$9=1,TRUNC('4_Year_abroad'!D11)&lt;&gt;'4_Year_abroad'!D11),E$13&amp;", "&amp;E$14&amp;", "&amp;$B15&amp;"; ","")</f>
        <v/>
      </c>
      <c r="F15" s="330" t="str">
        <f>IF(AND($C$9=1,TRUNC('4_Year_abroad'!E11)&lt;&gt;'4_Year_abroad'!E11),F$13&amp;", "&amp;F$14&amp;", "&amp;$B15&amp;"; ","")</f>
        <v/>
      </c>
      <c r="G15" s="1833" t="str">
        <f>IF(AND($C$9=1,TRUNC('4_Year_abroad'!F11)&lt;&gt;'4_Year_abroad'!F11),G$13&amp;", "&amp;G$14&amp;", "&amp;$B15&amp;"; ","")</f>
        <v/>
      </c>
      <c r="H15" s="330" t="str">
        <f>IF(AND($C$9=1,TRUNC('4_Year_abroad'!G11)&lt;&gt;'4_Year_abroad'!G11),H$13&amp;", "&amp;H$14&amp;", "&amp;$B15&amp;"; ","")</f>
        <v/>
      </c>
      <c r="I15" s="330" t="str">
        <f>IF(AND($C$9=1,TRUNC('4_Year_abroad'!H11)&lt;&gt;'4_Year_abroad'!H11),I$13&amp;", "&amp;I$14&amp;", "&amp;$B15&amp;"; ","")</f>
        <v/>
      </c>
      <c r="J15" s="1834" t="str">
        <f>IF(AND($C$9=1,TRUNC('4_Year_abroad'!I11)&lt;&gt;'4_Year_abroad'!I11),J$13&amp;", "&amp;J$14&amp;", "&amp;$B15&amp;"; ","")</f>
        <v/>
      </c>
      <c r="K15" s="547"/>
      <c r="L15" s="197"/>
      <c r="O15" s="552">
        <f t="shared" ref="O15:V15" si="1">IF(C35&lt;&gt;"",1,0)</f>
        <v>0</v>
      </c>
      <c r="P15" s="553">
        <f t="shared" si="1"/>
        <v>0</v>
      </c>
      <c r="Q15" s="554">
        <f t="shared" si="1"/>
        <v>0</v>
      </c>
      <c r="R15" s="555">
        <f t="shared" si="1"/>
        <v>0</v>
      </c>
      <c r="S15" s="552">
        <f t="shared" si="1"/>
        <v>0</v>
      </c>
      <c r="T15" s="553">
        <f t="shared" si="1"/>
        <v>0</v>
      </c>
      <c r="U15" s="554">
        <f t="shared" si="1"/>
        <v>0</v>
      </c>
      <c r="V15" s="553">
        <f t="shared" si="1"/>
        <v>0</v>
      </c>
    </row>
    <row r="16" spans="1:22" ht="13.5" x14ac:dyDescent="0.35">
      <c r="B16" s="1305" t="s">
        <v>27745</v>
      </c>
      <c r="C16" s="201" t="str">
        <f>IF(AND($C$9=1,TRUNC('4_Year_abroad'!B12)&lt;&gt;'4_Year_abroad'!B12),C$13&amp;", "&amp;C$14&amp;", "&amp;$B16&amp;"; ","")</f>
        <v/>
      </c>
      <c r="D16" s="43" t="str">
        <f>IF(AND($C$9=1,TRUNC('4_Year_abroad'!C12)&lt;&gt;'4_Year_abroad'!C12),D$13&amp;", "&amp;D$14&amp;", "&amp;$B16&amp;"; ","")</f>
        <v/>
      </c>
      <c r="E16" s="43" t="str">
        <f>IF(AND($C$9=1,TRUNC('4_Year_abroad'!D12)&lt;&gt;'4_Year_abroad'!D12),E$13&amp;", "&amp;E$14&amp;", "&amp;$B16&amp;"; ","")</f>
        <v/>
      </c>
      <c r="F16" s="43" t="str">
        <f>IF(AND($C$9=1,TRUNC('4_Year_abroad'!E12)&lt;&gt;'4_Year_abroad'!E12),F$13&amp;", "&amp;F$14&amp;", "&amp;$B16&amp;"; ","")</f>
        <v/>
      </c>
      <c r="G16" s="201" t="str">
        <f>IF(AND($C$9=1,TRUNC('4_Year_abroad'!F12)&lt;&gt;'4_Year_abroad'!F12),G$13&amp;", "&amp;G$14&amp;", "&amp;$B16&amp;"; ","")</f>
        <v/>
      </c>
      <c r="H16" s="43" t="str">
        <f>IF(AND($C$9=1,TRUNC('4_Year_abroad'!G12)&lt;&gt;'4_Year_abroad'!G12),H$13&amp;", "&amp;H$14&amp;", "&amp;$B16&amp;"; ","")</f>
        <v/>
      </c>
      <c r="I16" s="43" t="str">
        <f>IF(AND($C$9=1,TRUNC('4_Year_abroad'!H12)&lt;&gt;'4_Year_abroad'!H12),I$13&amp;", "&amp;I$14&amp;", "&amp;$B16&amp;"; ","")</f>
        <v/>
      </c>
      <c r="J16" s="202" t="str">
        <f>IF(AND($C$9=1,TRUNC('4_Year_abroad'!I12)&lt;&gt;'4_Year_abroad'!I12),J$13&amp;", "&amp;J$14&amp;", "&amp;$B16&amp;"; ","")</f>
        <v/>
      </c>
      <c r="K16" s="547"/>
    </row>
    <row r="17" spans="2:12" x14ac:dyDescent="0.35">
      <c r="B17" s="118"/>
      <c r="K17" s="17"/>
    </row>
    <row r="18" spans="2:12" x14ac:dyDescent="0.35">
      <c r="B18" s="118"/>
      <c r="C18" s="1835" t="str">
        <f>C15&amp;C16</f>
        <v/>
      </c>
      <c r="D18" s="1836" t="str">
        <f t="shared" ref="D18:J18" si="2">D15&amp;D16</f>
        <v/>
      </c>
      <c r="E18" s="1837" t="str">
        <f t="shared" si="2"/>
        <v/>
      </c>
      <c r="F18" s="1838" t="str">
        <f t="shared" si="2"/>
        <v/>
      </c>
      <c r="G18" s="1835" t="str">
        <f t="shared" si="2"/>
        <v/>
      </c>
      <c r="H18" s="1838" t="str">
        <f t="shared" si="2"/>
        <v/>
      </c>
      <c r="I18" s="1837" t="str">
        <f t="shared" si="2"/>
        <v/>
      </c>
      <c r="J18" s="1839" t="str">
        <f t="shared" si="2"/>
        <v/>
      </c>
      <c r="K18" s="17"/>
    </row>
    <row r="19" spans="2:12" x14ac:dyDescent="0.35">
      <c r="B19" s="118"/>
      <c r="D19" s="556"/>
      <c r="K19" s="17"/>
    </row>
    <row r="20" spans="2:12" x14ac:dyDescent="0.35">
      <c r="B20" s="118"/>
      <c r="C20" s="1840" t="str">
        <f>C18&amp;D18&amp;E18&amp;F18</f>
        <v/>
      </c>
      <c r="D20" s="556"/>
      <c r="G20" s="1841" t="str">
        <f>G18&amp;H18&amp;I18&amp;J18</f>
        <v/>
      </c>
      <c r="J20" s="1826" t="str">
        <f>C20&amp;G20</f>
        <v/>
      </c>
      <c r="K20" s="17"/>
    </row>
    <row r="21" spans="2:12" x14ac:dyDescent="0.35">
      <c r="B21" s="119"/>
      <c r="C21" s="15"/>
      <c r="D21" s="557"/>
      <c r="E21" s="15"/>
      <c r="F21" s="15"/>
      <c r="G21" s="15"/>
      <c r="H21" s="15"/>
      <c r="I21" s="15"/>
      <c r="J21" s="15"/>
      <c r="K21" s="25"/>
    </row>
    <row r="22" spans="2:12" x14ac:dyDescent="0.35">
      <c r="B22" s="24" t="s">
        <v>27762</v>
      </c>
      <c r="D22" s="556"/>
      <c r="K22" s="17"/>
    </row>
    <row r="23" spans="2:12" x14ac:dyDescent="0.35">
      <c r="B23" s="118"/>
      <c r="C23" s="11" t="s">
        <v>27679</v>
      </c>
      <c r="D23" s="11" t="s">
        <v>27679</v>
      </c>
      <c r="E23" s="11" t="s">
        <v>27679</v>
      </c>
      <c r="F23" s="11" t="s">
        <v>27679</v>
      </c>
      <c r="G23" s="11" t="s">
        <v>27680</v>
      </c>
      <c r="H23" s="11" t="s">
        <v>27680</v>
      </c>
      <c r="I23" s="11" t="s">
        <v>27680</v>
      </c>
      <c r="J23" s="11" t="s">
        <v>27680</v>
      </c>
      <c r="L23" s="118"/>
    </row>
    <row r="24" spans="2:12" x14ac:dyDescent="0.35">
      <c r="B24" s="118"/>
      <c r="C24" s="1409" t="s">
        <v>27758</v>
      </c>
      <c r="D24" s="1409" t="s">
        <v>27759</v>
      </c>
      <c r="E24" s="1409" t="s">
        <v>27760</v>
      </c>
      <c r="F24" s="1409" t="s">
        <v>27761</v>
      </c>
      <c r="G24" s="1409" t="s">
        <v>27758</v>
      </c>
      <c r="H24" s="1409" t="s">
        <v>27759</v>
      </c>
      <c r="I24" s="1409" t="s">
        <v>27760</v>
      </c>
      <c r="J24" s="1409" t="s">
        <v>27761</v>
      </c>
      <c r="K24" s="17"/>
    </row>
    <row r="25" spans="2:12" ht="13.5" x14ac:dyDescent="0.35">
      <c r="B25" s="1306" t="s">
        <v>28336</v>
      </c>
      <c r="C25" s="1842" t="str">
        <f>IF(AND($D$9=1,'4_Year_abroad'!B11&lt;0),C$23&amp;", "&amp;C$24&amp;", "&amp;$B25&amp;"; ","")</f>
        <v/>
      </c>
      <c r="D25" s="185" t="str">
        <f>IF(AND($D$9=1,'4_Year_abroad'!C11&lt;0),D$23&amp;", "&amp;D$24&amp;", "&amp;$B25&amp;"; ","")</f>
        <v/>
      </c>
      <c r="E25" s="185" t="str">
        <f>IF(AND($D$9=1,'4_Year_abroad'!D11&lt;0),E$23&amp;", "&amp;E$24&amp;", "&amp;$B25&amp;"; ","")</f>
        <v/>
      </c>
      <c r="F25" s="185" t="str">
        <f>IF(AND($D$9=1,'4_Year_abroad'!E11&lt;0),F$23&amp;", "&amp;F$24&amp;", "&amp;$B25&amp;"; ","")</f>
        <v/>
      </c>
      <c r="G25" s="1842" t="str">
        <f>IF(AND($D$9=1,'4_Year_abroad'!F11&lt;0),G$23&amp;", "&amp;G$24&amp;", "&amp;$B25&amp;"; ","")</f>
        <v/>
      </c>
      <c r="H25" s="185" t="str">
        <f>IF(AND($D$9=1,'4_Year_abroad'!G11&lt;0),H$23&amp;", "&amp;H$24&amp;", "&amp;$B25&amp;"; ","")</f>
        <v/>
      </c>
      <c r="I25" s="185" t="str">
        <f>IF(AND($D$9=1,'4_Year_abroad'!H11&lt;0),I$23&amp;", "&amp;I$24&amp;", "&amp;$B25&amp;"; ","")</f>
        <v/>
      </c>
      <c r="J25" s="1830" t="str">
        <f>IF(AND($D$9=1,'4_Year_abroad'!I11&lt;0),J$23&amp;", "&amp;J$24&amp;", "&amp;$B25&amp;"; ","")</f>
        <v/>
      </c>
      <c r="K25" s="17"/>
    </row>
    <row r="26" spans="2:12" ht="13.5" x14ac:dyDescent="0.35">
      <c r="B26" s="1305" t="s">
        <v>27745</v>
      </c>
      <c r="C26" s="1842" t="str">
        <f>IF(AND($D$9=1,'4_Year_abroad'!B12&lt;0),C$23&amp;", "&amp;C$24&amp;", "&amp;$B26&amp;"; ","")</f>
        <v/>
      </c>
      <c r="D26" s="185" t="str">
        <f>IF(AND($D$9=1,'4_Year_abroad'!C12&lt;0),D$23&amp;", "&amp;D$24&amp;", "&amp;$B26&amp;"; ","")</f>
        <v/>
      </c>
      <c r="E26" s="185" t="str">
        <f>IF(AND($D$9=1,'4_Year_abroad'!D12&lt;0),E$23&amp;", "&amp;E$24&amp;", "&amp;$B26&amp;"; ","")</f>
        <v/>
      </c>
      <c r="F26" s="185" t="str">
        <f>IF(AND($D$9=1,'4_Year_abroad'!E12&lt;0),F$23&amp;", "&amp;F$24&amp;", "&amp;$B26&amp;"; ","")</f>
        <v/>
      </c>
      <c r="G26" s="1842" t="str">
        <f>IF(AND($D$9=1,'4_Year_abroad'!F12&lt;0),G$23&amp;", "&amp;G$24&amp;", "&amp;$B26&amp;"; ","")</f>
        <v/>
      </c>
      <c r="H26" s="185" t="str">
        <f>IF(AND($D$9=1,'4_Year_abroad'!G12&lt;0),H$23&amp;", "&amp;H$24&amp;", "&amp;$B26&amp;"; ","")</f>
        <v/>
      </c>
      <c r="I26" s="185" t="str">
        <f>IF(AND($D$9=1,'4_Year_abroad'!H12&lt;0),I$23&amp;", "&amp;I$24&amp;", "&amp;$B26&amp;"; ","")</f>
        <v/>
      </c>
      <c r="J26" s="1830" t="str">
        <f>IF(AND($D$9=1,'4_Year_abroad'!I12&lt;0),J$23&amp;", "&amp;J$24&amp;", "&amp;$B26&amp;"; ","")</f>
        <v/>
      </c>
      <c r="K26" s="17"/>
    </row>
    <row r="27" spans="2:12" x14ac:dyDescent="0.35">
      <c r="B27" s="118"/>
      <c r="C27" s="1838"/>
      <c r="D27" s="1838"/>
      <c r="E27" s="1838"/>
      <c r="F27" s="1838"/>
      <c r="G27" s="1838"/>
      <c r="H27" s="1838"/>
      <c r="I27" s="1838"/>
      <c r="J27" s="1838"/>
      <c r="K27" s="17"/>
    </row>
    <row r="28" spans="2:12" x14ac:dyDescent="0.35">
      <c r="B28" s="118"/>
      <c r="C28" s="1835" t="str">
        <f t="shared" ref="C28:J28" si="3">C25&amp;C26</f>
        <v/>
      </c>
      <c r="D28" s="1838" t="str">
        <f t="shared" si="3"/>
        <v/>
      </c>
      <c r="E28" s="1837" t="str">
        <f t="shared" si="3"/>
        <v/>
      </c>
      <c r="F28" s="1839" t="str">
        <f t="shared" si="3"/>
        <v/>
      </c>
      <c r="G28" s="1835" t="str">
        <f t="shared" si="3"/>
        <v/>
      </c>
      <c r="H28" s="1838" t="str">
        <f t="shared" si="3"/>
        <v/>
      </c>
      <c r="I28" s="1837" t="str">
        <f t="shared" si="3"/>
        <v/>
      </c>
      <c r="J28" s="1839" t="str">
        <f t="shared" si="3"/>
        <v/>
      </c>
      <c r="K28" s="17"/>
    </row>
    <row r="29" spans="2:12" x14ac:dyDescent="0.35">
      <c r="B29" s="118"/>
      <c r="K29" s="17"/>
    </row>
    <row r="30" spans="2:12" x14ac:dyDescent="0.35">
      <c r="B30" s="118"/>
      <c r="C30" s="1840" t="str">
        <f>C28&amp;D28&amp;E28&amp;F28</f>
        <v/>
      </c>
      <c r="G30" s="1841" t="str">
        <f>G28&amp;H28&amp;I28&amp;J28</f>
        <v/>
      </c>
      <c r="J30" s="1826" t="str">
        <f>C30&amp;G30</f>
        <v/>
      </c>
      <c r="K30" s="17"/>
      <c r="L30" s="3"/>
    </row>
    <row r="31" spans="2:12" x14ac:dyDescent="0.35">
      <c r="B31" s="558"/>
      <c r="C31" s="15"/>
      <c r="D31" s="15"/>
      <c r="E31" s="15"/>
      <c r="F31" s="15"/>
      <c r="G31" s="15"/>
      <c r="H31" s="15"/>
      <c r="I31" s="15"/>
      <c r="J31" s="15"/>
      <c r="K31" s="25"/>
    </row>
    <row r="32" spans="2:12" x14ac:dyDescent="0.35">
      <c r="B32" s="118" t="s">
        <v>27763</v>
      </c>
      <c r="C32" s="16"/>
      <c r="D32" s="16"/>
      <c r="E32" s="542"/>
      <c r="F32" s="542"/>
      <c r="G32" s="542"/>
      <c r="H32" s="16"/>
      <c r="I32" s="16"/>
      <c r="J32" s="16"/>
      <c r="K32" s="559"/>
    </row>
    <row r="33" spans="2:12" x14ac:dyDescent="0.35">
      <c r="B33" s="118"/>
      <c r="C33" s="11" t="s">
        <v>27679</v>
      </c>
      <c r="D33" s="11" t="s">
        <v>27679</v>
      </c>
      <c r="E33" s="11" t="s">
        <v>27679</v>
      </c>
      <c r="F33" s="11" t="s">
        <v>27679</v>
      </c>
      <c r="G33" s="11" t="s">
        <v>27680</v>
      </c>
      <c r="H33" s="11" t="s">
        <v>27680</v>
      </c>
      <c r="I33" s="11" t="s">
        <v>27680</v>
      </c>
      <c r="J33" s="11" t="s">
        <v>27680</v>
      </c>
      <c r="L33" s="118"/>
    </row>
    <row r="34" spans="2:12" x14ac:dyDescent="0.35">
      <c r="B34" s="118"/>
      <c r="C34" s="1409" t="s">
        <v>27758</v>
      </c>
      <c r="D34" s="1409" t="s">
        <v>27759</v>
      </c>
      <c r="E34" s="1409" t="s">
        <v>27760</v>
      </c>
      <c r="F34" s="1409" t="s">
        <v>27761</v>
      </c>
      <c r="G34" s="1409" t="s">
        <v>27758</v>
      </c>
      <c r="H34" s="1409" t="s">
        <v>27759</v>
      </c>
      <c r="I34" s="1409" t="s">
        <v>27760</v>
      </c>
      <c r="J34" s="1409" t="s">
        <v>27761</v>
      </c>
      <c r="K34" s="17"/>
    </row>
    <row r="35" spans="2:12" x14ac:dyDescent="0.35">
      <c r="B35" s="1308" t="s">
        <v>27696</v>
      </c>
      <c r="C35" s="1835" t="str">
        <f>IF(AND($E$9=1,'4_Year_abroad'!B13&gt;SUM('1_Full_time'!G84,'1_Full_time'!G85,'1_Full_time'!G90,'1_Full_time'!G91)),C$33&amp;", "&amp;C$34&amp;" (Table 1 total = "&amp;SUM('1_Full_time'!G84,'1_Full_time'!G85,'1_Full_time'!G90,'1_Full_time'!G91)&amp;"); ","")</f>
        <v/>
      </c>
      <c r="D35" s="1838" t="str">
        <f>IF(AND($E$9=1,'4_Year_abroad'!C13&gt;SUM('1_Full_time'!H84,'1_Full_time'!H85,'1_Full_time'!H90,'1_Full_time'!H91)),D$33&amp;", "&amp;D$34&amp;" (Table 1 total = "&amp;SUM('1_Full_time'!H84,'1_Full_time'!H85,'1_Full_time'!H90,'1_Full_time'!H91)&amp;"); ","")</f>
        <v/>
      </c>
      <c r="E35" s="1837" t="str">
        <f>IF(AND($E$9=1,'4_Year_abroad'!D13&lt;&gt;0,'4_Year_abroad'!D13&gt;SUM('2_Sandwich'!F11,'2_Sandwich'!F12)),E$33&amp;", "&amp;E$34&amp;" (Table 2 total = "&amp;SUM('2_Sandwich'!F11,'2_Sandwich'!F12)&amp;"); ","")</f>
        <v/>
      </c>
      <c r="F35" s="1838" t="str">
        <f>IF(AND($E$9=1,'4_Year_abroad'!E13&lt;&gt;0,'4_Year_abroad'!E13&gt;SUM('2_Sandwich'!G11,'2_Sandwich'!G12)),F$33&amp;", "&amp;F$34&amp;" (Table 2 total = "&amp;SUM('2_Sandwich'!G11,'2_Sandwich'!G12)&amp;"); ","")</f>
        <v/>
      </c>
      <c r="G35" s="1835" t="str">
        <f>IF(AND($E$9=1,'4_Year_abroad'!F13&gt;SUM('1_Full_time'!J84,'1_Full_time'!J85,'1_Full_time'!J90,'1_Full_time'!J91)),G$33&amp;", "&amp;G$34&amp;" (Table 1 total = "&amp;SUM('1_Full_time'!J84,'1_Full_time'!J85,'1_Full_time'!J90,'1_Full_time'!J91)&amp;"); ","")</f>
        <v/>
      </c>
      <c r="H35" s="1838" t="str">
        <f>IF(AND($E$9=1,'4_Year_abroad'!G13&gt;SUM('1_Full_time'!K84,'1_Full_time'!K85,'1_Full_time'!K90,'1_Full_time'!K91)),H$33&amp;", "&amp;H$34&amp;" (Table 1 total = "&amp;SUM('1_Full_time'!K84,'1_Full_time'!K85,'1_Full_time'!K90,'1_Full_time'!K91)&amp;"); ","")</f>
        <v/>
      </c>
      <c r="I35" s="1837" t="str">
        <f>IF(AND($E$9=1,'4_Year_abroad'!H13&lt;&gt;0,'4_Year_abroad'!H13&gt;SUM('2_Sandwich'!I11,'2_Sandwich'!I12)),I$33&amp;", "&amp;I$34&amp;" (Table 2 total = "&amp;SUM('2_Sandwich'!I11,'2_Sandwich'!I12)&amp;"); ","")</f>
        <v/>
      </c>
      <c r="J35" s="1839" t="str">
        <f>IF(AND($E$9=1,'4_Year_abroad'!I13&lt;&gt;0,'4_Year_abroad'!I13&gt;SUM('2_Sandwich'!J11,'2_Sandwich'!J12)),J$33&amp;", "&amp;J$34&amp;" (Table 2 total = "&amp;SUM('2_Sandwich'!J11,'2_Sandwich'!J12)&amp;"); ","")</f>
        <v/>
      </c>
      <c r="K35" s="1596"/>
    </row>
    <row r="36" spans="2:12" x14ac:dyDescent="0.35">
      <c r="B36" s="118"/>
      <c r="K36" s="17"/>
    </row>
    <row r="37" spans="2:12" x14ac:dyDescent="0.35">
      <c r="B37" s="118"/>
      <c r="C37" s="1840" t="str">
        <f>C35&amp;D35&amp;E35&amp;F35</f>
        <v/>
      </c>
      <c r="G37" s="1841" t="str">
        <f>G35&amp;H35&amp;I35&amp;J35</f>
        <v/>
      </c>
      <c r="J37" s="1826" t="str">
        <f>C37&amp;G37</f>
        <v/>
      </c>
      <c r="K37" s="17"/>
    </row>
    <row r="38" spans="2:12" x14ac:dyDescent="0.35">
      <c r="B38" s="119"/>
      <c r="C38" s="15"/>
      <c r="D38" s="15"/>
      <c r="E38" s="15"/>
      <c r="F38" s="15"/>
      <c r="G38" s="15"/>
      <c r="H38" s="15"/>
      <c r="I38" s="15"/>
      <c r="J38" s="15"/>
      <c r="K38" s="25"/>
    </row>
  </sheetData>
  <sheetProtection algorithmName="SHA-512" hashValue="tUXsfgW5rUTq23QxoTdpv6HcsgOx5VZuA2YKiAMl9D5345YlCfMZLGl7CtTTkA6HeD/uJgHLdDJvwEpryjF0Rg==" saltValue="q1U1puEAzD/yQGWPSXrWoQ==" spinCount="100000" sheet="1" objects="1" scenarios="1"/>
  <phoneticPr fontId="24" type="noConversion"/>
  <conditionalFormatting sqref="O13:V15">
    <cfRule type="cellIs" dxfId="192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92D050"/>
    <pageSetUpPr fitToPage="1"/>
  </sheetPr>
  <dimension ref="A1:AA216"/>
  <sheetViews>
    <sheetView showGridLines="0" workbookViewId="0"/>
  </sheetViews>
  <sheetFormatPr defaultColWidth="9" defaultRowHeight="13.5" x14ac:dyDescent="0.35"/>
  <cols>
    <col min="1" max="1" width="10.86328125" style="346" customWidth="1"/>
    <col min="2" max="2" width="20" style="346" customWidth="1"/>
    <col min="3" max="7" width="11" style="346" customWidth="1"/>
    <col min="8" max="12" width="11" style="346" hidden="1" customWidth="1"/>
    <col min="13" max="17" width="11.3984375" style="346" customWidth="1"/>
    <col min="18" max="22" width="11" style="346" customWidth="1"/>
    <col min="23" max="24" width="16.3984375" style="346" customWidth="1"/>
    <col min="25" max="25" width="11" style="346" customWidth="1"/>
    <col min="26" max="26" width="8" style="346" hidden="1" customWidth="1"/>
    <col min="27" max="27" width="9.59765625" style="346" hidden="1" customWidth="1"/>
    <col min="28" max="28" width="13.1328125" style="346" customWidth="1"/>
    <col min="29" max="16384" width="9" style="346"/>
  </cols>
  <sheetData>
    <row r="1" spans="1:27" customFormat="1" ht="25.15" x14ac:dyDescent="0.5">
      <c r="A1" s="636" t="s">
        <v>29789</v>
      </c>
      <c r="B1" s="5"/>
      <c r="C1" s="7"/>
      <c r="D1" s="7"/>
      <c r="E1" s="7"/>
      <c r="F1" s="7"/>
      <c r="G1" s="7"/>
      <c r="H1" s="7"/>
      <c r="I1" s="7"/>
    </row>
    <row r="2" spans="1:27" ht="25.5" customHeight="1" x14ac:dyDescent="0.35">
      <c r="A2" s="1385" t="str">
        <f>IF(PROVIDER="","Provider name",PROVIDER&amp;" ("&amp;UKPRN&amp;")")</f>
        <v>Provider name</v>
      </c>
      <c r="B2" s="74"/>
      <c r="C2" s="74"/>
      <c r="D2" s="74"/>
      <c r="E2" s="74"/>
      <c r="F2" s="74"/>
      <c r="G2" s="74"/>
      <c r="H2" s="74"/>
      <c r="I2" s="74"/>
    </row>
    <row r="3" spans="1:27" ht="16.5" customHeight="1" x14ac:dyDescent="0.35">
      <c r="A3" s="1501" t="s">
        <v>27678</v>
      </c>
      <c r="B3" s="74"/>
      <c r="C3" s="74"/>
      <c r="D3" s="74"/>
      <c r="E3" s="74"/>
      <c r="F3" s="74"/>
      <c r="G3" s="74"/>
      <c r="H3" s="74"/>
      <c r="I3" s="74"/>
    </row>
    <row r="4" spans="1:27" ht="26.65" customHeight="1" x14ac:dyDescent="0.35">
      <c r="A4" s="74"/>
      <c r="B4" s="74"/>
      <c r="C4" s="3404" t="str">
        <f>'Table 5 Valid'!G3</f>
        <v>Validation: OK</v>
      </c>
      <c r="D4" s="3404"/>
      <c r="E4" s="3404"/>
      <c r="F4" s="3404"/>
      <c r="G4" s="3404"/>
      <c r="H4" s="3404" t="str">
        <f>'Table 5 Valid'!G3</f>
        <v>Validation: OK</v>
      </c>
      <c r="I4" s="3404"/>
      <c r="J4" s="3404"/>
      <c r="K4" s="3404"/>
      <c r="L4" s="3404"/>
      <c r="M4" s="3390" t="str">
        <f>'Table 5 Valid'!I3</f>
        <v>Validation: OK</v>
      </c>
      <c r="N4" s="3390"/>
      <c r="O4" s="3390"/>
      <c r="P4" s="3390"/>
      <c r="Q4" s="3390"/>
      <c r="R4" s="3404" t="str">
        <f>'Table 5 Valid'!K3</f>
        <v>Validation: OK</v>
      </c>
      <c r="S4" s="3404"/>
      <c r="T4" s="3404"/>
      <c r="U4" s="3404"/>
      <c r="V4" s="3404"/>
      <c r="W4" s="3404" t="str">
        <f>'Table 5 Valid'!M3</f>
        <v>Validation: OK</v>
      </c>
      <c r="X4" s="3404"/>
    </row>
    <row r="5" spans="1:27" ht="26.65" customHeight="1" thickBot="1" x14ac:dyDescent="0.4">
      <c r="A5" s="74"/>
      <c r="B5" s="1520"/>
      <c r="C5" s="3432" t="str">
        <f>'Table 5 Valid'!G4</f>
        <v>Credibility: OK</v>
      </c>
      <c r="D5" s="3432"/>
      <c r="E5" s="3432"/>
      <c r="F5" s="3432"/>
      <c r="G5" s="3432"/>
      <c r="H5" s="3432" t="str">
        <f>'Table 5 Valid'!G4</f>
        <v>Credibility: OK</v>
      </c>
      <c r="I5" s="3432"/>
      <c r="J5" s="3432"/>
      <c r="K5" s="3432"/>
      <c r="L5" s="3432"/>
      <c r="M5" s="3434" t="str">
        <f>'Table 5 Valid'!I4</f>
        <v>Credibility: OK</v>
      </c>
      <c r="N5" s="3434"/>
      <c r="O5" s="3434"/>
      <c r="P5" s="3434"/>
      <c r="Q5" s="3390"/>
      <c r="R5" s="3405" t="str">
        <f>'Table 5 Valid'!K4</f>
        <v>Credibility: OK</v>
      </c>
      <c r="S5" s="3405"/>
      <c r="T5" s="3405"/>
      <c r="U5" s="3405"/>
      <c r="V5" s="3404"/>
      <c r="W5" s="3405" t="str">
        <f>'Table 5 Valid'!M4</f>
        <v>Credibility: OK</v>
      </c>
      <c r="X5" s="3405"/>
    </row>
    <row r="6" spans="1:27" ht="14.25" customHeight="1" x14ac:dyDescent="0.35">
      <c r="A6" s="677"/>
      <c r="B6" s="677"/>
      <c r="C6" s="163" t="s">
        <v>27764</v>
      </c>
      <c r="D6" s="807"/>
      <c r="E6" s="807"/>
      <c r="F6" s="807"/>
      <c r="G6" s="807"/>
      <c r="H6" s="163" t="s">
        <v>27764</v>
      </c>
      <c r="I6" s="164"/>
      <c r="J6" s="164"/>
      <c r="K6" s="165"/>
      <c r="L6" s="171"/>
      <c r="M6" s="171"/>
      <c r="N6" s="171"/>
      <c r="O6" s="171"/>
      <c r="P6" s="171"/>
      <c r="Q6" s="628"/>
      <c r="R6" s="164" t="s">
        <v>27765</v>
      </c>
      <c r="S6" s="164"/>
      <c r="T6" s="164"/>
      <c r="U6" s="165"/>
      <c r="V6" s="171"/>
      <c r="W6" s="2167" t="s">
        <v>28283</v>
      </c>
      <c r="X6" s="164"/>
    </row>
    <row r="7" spans="1:27" ht="13.9" x14ac:dyDescent="0.4">
      <c r="A7" s="74"/>
      <c r="B7" s="74"/>
      <c r="C7" s="1628" t="s">
        <v>27679</v>
      </c>
      <c r="D7" s="74"/>
      <c r="E7" s="739"/>
      <c r="F7" s="739"/>
      <c r="G7" s="739"/>
      <c r="H7" s="1628" t="s">
        <v>27679</v>
      </c>
      <c r="I7" s="74"/>
      <c r="J7" s="739"/>
      <c r="K7" s="739"/>
      <c r="L7" s="739"/>
      <c r="M7" s="1843" t="s">
        <v>27680</v>
      </c>
      <c r="N7" s="808"/>
      <c r="O7" s="809"/>
      <c r="P7" s="809"/>
      <c r="Q7" s="1844"/>
      <c r="R7" s="1628"/>
      <c r="S7" s="808"/>
      <c r="T7" s="808"/>
      <c r="U7" s="809"/>
      <c r="V7" s="808"/>
      <c r="W7" s="2168"/>
      <c r="X7" s="808"/>
    </row>
    <row r="8" spans="1:27" ht="14.25" customHeight="1" x14ac:dyDescent="0.35">
      <c r="A8" s="74"/>
      <c r="B8" s="74"/>
      <c r="C8" s="1598"/>
      <c r="D8" s="74"/>
      <c r="E8" s="739"/>
      <c r="F8" s="739"/>
      <c r="G8" s="739"/>
      <c r="H8" s="1598" t="s">
        <v>27681</v>
      </c>
      <c r="I8" s="74"/>
      <c r="J8" s="739"/>
      <c r="K8" s="739"/>
      <c r="L8" s="739"/>
      <c r="M8" s="1661"/>
      <c r="N8" s="732"/>
      <c r="O8" s="732"/>
      <c r="P8" s="732"/>
      <c r="Q8" s="2130"/>
      <c r="S8" s="2151"/>
      <c r="T8" s="2151"/>
      <c r="U8" s="2151"/>
      <c r="V8" s="2149"/>
      <c r="W8" s="3430" t="s">
        <v>28282</v>
      </c>
      <c r="X8" s="3385"/>
    </row>
    <row r="9" spans="1:27" ht="30.75" customHeight="1" x14ac:dyDescent="0.35">
      <c r="A9" s="74"/>
      <c r="B9" s="74"/>
      <c r="C9" s="3377" t="str">
        <f>"Years countable between 1 August 20"&amp;YEAR&amp;" and census date inclusive (as entered in Column 1 of Tables 1, 2 and 3)"</f>
        <v>Years countable between 1 August 2024 and census date inclusive (as entered in Column 1 of Tables 1, 2 and 3)</v>
      </c>
      <c r="D9" s="3406"/>
      <c r="E9" s="3406"/>
      <c r="F9" s="3406"/>
      <c r="G9" s="3406"/>
      <c r="H9" s="3377" t="str">
        <f>"Years countable between 1 August 20"&amp;YEAR&amp;" and census date inclusive (as entered in Column 1 of Tables 1, 2 and 3)"</f>
        <v>Years countable between 1 August 2024 and census date inclusive (as entered in Column 1 of Tables 1, 2 and 3)</v>
      </c>
      <c r="I9" s="3406"/>
      <c r="J9" s="3406"/>
      <c r="K9" s="3406"/>
      <c r="L9" s="3406"/>
      <c r="M9" s="3377" t="str">
        <f>"Forecast of years countable after census date and before 
1 August 20"&amp;(YEAR+1)&amp;" (as entered in Column 2 of Tables 1, 2 and 3)"</f>
        <v>Forecast of years countable after census date and before 
1 August 2025 (as entered in Column 2 of Tables 1, 2 and 3)</v>
      </c>
      <c r="N9" s="3406"/>
      <c r="O9" s="3406"/>
      <c r="P9" s="3406"/>
      <c r="Q9" s="3406"/>
      <c r="R9" s="3428" t="s">
        <v>27766</v>
      </c>
      <c r="S9" s="3402"/>
      <c r="T9" s="3402"/>
      <c r="U9" s="3402"/>
      <c r="V9" s="3429"/>
      <c r="W9" s="3431"/>
      <c r="X9" s="3425"/>
    </row>
    <row r="10" spans="1:27" ht="14.45" customHeight="1" x14ac:dyDescent="0.35">
      <c r="A10" s="74"/>
      <c r="B10" s="74"/>
      <c r="C10" s="810" t="s">
        <v>293</v>
      </c>
      <c r="D10" s="811"/>
      <c r="E10" s="811"/>
      <c r="F10" s="812"/>
      <c r="G10" s="1845"/>
      <c r="H10" s="810" t="s">
        <v>293</v>
      </c>
      <c r="I10" s="811"/>
      <c r="J10" s="811"/>
      <c r="K10" s="812"/>
      <c r="L10" s="1845"/>
      <c r="M10" s="810" t="s">
        <v>293</v>
      </c>
      <c r="N10" s="811"/>
      <c r="O10" s="811"/>
      <c r="P10" s="813"/>
      <c r="Q10" s="1846"/>
      <c r="R10" s="810" t="s">
        <v>293</v>
      </c>
      <c r="S10" s="814"/>
      <c r="T10" s="814"/>
      <c r="U10" s="815"/>
      <c r="V10" s="1847"/>
      <c r="W10" s="2169" t="s">
        <v>293</v>
      </c>
      <c r="X10" s="814"/>
    </row>
    <row r="11" spans="1:27" ht="14.25" customHeight="1" x14ac:dyDescent="0.35">
      <c r="A11" s="74"/>
      <c r="B11" s="74"/>
      <c r="C11" s="1584" t="s">
        <v>300</v>
      </c>
      <c r="D11" s="687"/>
      <c r="E11" s="688" t="s">
        <v>301</v>
      </c>
      <c r="F11" s="816"/>
      <c r="G11" s="3385" t="s">
        <v>302</v>
      </c>
      <c r="H11" s="1584" t="s">
        <v>300</v>
      </c>
      <c r="I11" s="687"/>
      <c r="J11" s="688" t="s">
        <v>301</v>
      </c>
      <c r="K11" s="816"/>
      <c r="L11" s="3385" t="s">
        <v>302</v>
      </c>
      <c r="M11" s="1584" t="s">
        <v>300</v>
      </c>
      <c r="N11" s="687"/>
      <c r="O11" s="688" t="s">
        <v>301</v>
      </c>
      <c r="P11" s="689"/>
      <c r="Q11" s="3433" t="s">
        <v>302</v>
      </c>
      <c r="R11" s="817" t="s">
        <v>300</v>
      </c>
      <c r="S11" s="687"/>
      <c r="T11" s="688" t="s">
        <v>301</v>
      </c>
      <c r="U11" s="689"/>
      <c r="V11" s="3385" t="s">
        <v>302</v>
      </c>
      <c r="W11" s="817" t="s">
        <v>28261</v>
      </c>
      <c r="X11" s="688" t="s">
        <v>301</v>
      </c>
    </row>
    <row r="12" spans="1:27" ht="27" x14ac:dyDescent="0.35">
      <c r="A12" s="74"/>
      <c r="B12" s="74"/>
      <c r="C12" s="1585" t="s">
        <v>195</v>
      </c>
      <c r="D12" s="691" t="s">
        <v>196</v>
      </c>
      <c r="E12" s="692" t="s">
        <v>195</v>
      </c>
      <c r="F12" s="691" t="s">
        <v>196</v>
      </c>
      <c r="G12" s="3385"/>
      <c r="H12" s="1585" t="s">
        <v>195</v>
      </c>
      <c r="I12" s="691" t="s">
        <v>196</v>
      </c>
      <c r="J12" s="692" t="s">
        <v>195</v>
      </c>
      <c r="K12" s="691" t="s">
        <v>196</v>
      </c>
      <c r="L12" s="3385"/>
      <c r="M12" s="1585" t="s">
        <v>195</v>
      </c>
      <c r="N12" s="691" t="s">
        <v>196</v>
      </c>
      <c r="O12" s="692" t="s">
        <v>195</v>
      </c>
      <c r="P12" s="691" t="s">
        <v>196</v>
      </c>
      <c r="Q12" s="3433"/>
      <c r="R12" s="818" t="s">
        <v>195</v>
      </c>
      <c r="S12" s="691" t="s">
        <v>196</v>
      </c>
      <c r="T12" s="692" t="s">
        <v>195</v>
      </c>
      <c r="U12" s="691" t="s">
        <v>196</v>
      </c>
      <c r="V12" s="3385"/>
      <c r="W12" s="818"/>
      <c r="X12" s="692"/>
    </row>
    <row r="13" spans="1:27" ht="14.45" customHeight="1" x14ac:dyDescent="0.35">
      <c r="A13" s="1163" t="s">
        <v>55</v>
      </c>
      <c r="B13" s="1527" t="s">
        <v>57</v>
      </c>
      <c r="C13" s="695" t="s">
        <v>201</v>
      </c>
      <c r="D13" s="696" t="s">
        <v>202</v>
      </c>
      <c r="E13" s="697" t="s">
        <v>201</v>
      </c>
      <c r="F13" s="696" t="s">
        <v>202</v>
      </c>
      <c r="G13" s="698"/>
      <c r="H13" s="695" t="s">
        <v>201</v>
      </c>
      <c r="I13" s="696" t="s">
        <v>202</v>
      </c>
      <c r="J13" s="697" t="s">
        <v>201</v>
      </c>
      <c r="K13" s="696" t="s">
        <v>202</v>
      </c>
      <c r="L13" s="698"/>
      <c r="M13" s="695" t="s">
        <v>201</v>
      </c>
      <c r="N13" s="696" t="s">
        <v>202</v>
      </c>
      <c r="O13" s="697" t="s">
        <v>201</v>
      </c>
      <c r="P13" s="696" t="s">
        <v>202</v>
      </c>
      <c r="Q13" s="819"/>
      <c r="R13" s="820" t="s">
        <v>201</v>
      </c>
      <c r="S13" s="696" t="s">
        <v>202</v>
      </c>
      <c r="T13" s="697" t="s">
        <v>201</v>
      </c>
      <c r="U13" s="696" t="s">
        <v>202</v>
      </c>
      <c r="V13" s="698"/>
      <c r="W13" s="820"/>
      <c r="X13" s="697"/>
      <c r="Z13" s="746" t="s">
        <v>64</v>
      </c>
      <c r="AA13" s="746" t="s">
        <v>66</v>
      </c>
    </row>
    <row r="14" spans="1:27" ht="14.45" customHeight="1" x14ac:dyDescent="0.35">
      <c r="A14" s="3385" t="s">
        <v>207</v>
      </c>
      <c r="B14" s="1848" t="s">
        <v>205</v>
      </c>
      <c r="C14" s="1589">
        <v>0</v>
      </c>
      <c r="D14" s="821">
        <v>0</v>
      </c>
      <c r="E14" s="822">
        <v>0</v>
      </c>
      <c r="F14" s="821">
        <v>0</v>
      </c>
      <c r="G14" s="823">
        <v>0</v>
      </c>
      <c r="H14" s="824">
        <f>IF(FEC=1,'Column 1'!AN8,C14)</f>
        <v>0</v>
      </c>
      <c r="I14" s="824">
        <f>IF(FEC=1,'Column 1'!AO8,D14)</f>
        <v>0</v>
      </c>
      <c r="J14" s="825">
        <f>IF(FEC=1,'Column 1'!AP8,E14)</f>
        <v>0</v>
      </c>
      <c r="K14" s="824">
        <f>IF(FEC=1,'Column 1'!AQ8,F14)</f>
        <v>0</v>
      </c>
      <c r="L14" s="826">
        <f>IF(FEC=1,'Column 1'!AR8,G14)</f>
        <v>0</v>
      </c>
      <c r="M14" s="1589">
        <v>0</v>
      </c>
      <c r="N14" s="821">
        <v>0</v>
      </c>
      <c r="O14" s="822">
        <v>0</v>
      </c>
      <c r="P14" s="821">
        <v>0</v>
      </c>
      <c r="Q14" s="827">
        <v>0</v>
      </c>
      <c r="R14" s="828">
        <v>0</v>
      </c>
      <c r="S14" s="821">
        <v>0</v>
      </c>
      <c r="T14" s="829">
        <v>0</v>
      </c>
      <c r="U14" s="821">
        <v>0</v>
      </c>
      <c r="V14" s="712">
        <v>0</v>
      </c>
      <c r="W14" s="2216">
        <v>0</v>
      </c>
      <c r="X14" s="1851">
        <v>0</v>
      </c>
      <c r="Z14" s="748" t="s">
        <v>27747</v>
      </c>
      <c r="AA14" s="748" t="s">
        <v>27686</v>
      </c>
    </row>
    <row r="15" spans="1:27" ht="14.45" customHeight="1" x14ac:dyDescent="0.35">
      <c r="A15" s="3385"/>
      <c r="B15" s="1537" t="s">
        <v>208</v>
      </c>
      <c r="C15" s="830">
        <v>0</v>
      </c>
      <c r="D15" s="831">
        <v>0</v>
      </c>
      <c r="E15" s="832">
        <v>0</v>
      </c>
      <c r="F15" s="831">
        <v>0</v>
      </c>
      <c r="G15" s="833">
        <v>0</v>
      </c>
      <c r="H15" s="834">
        <f>IF(FEC=1,'Column 1'!AN9,C15)</f>
        <v>0</v>
      </c>
      <c r="I15" s="835">
        <f>IF(FEC=1,'Column 1'!AO9,D15)</f>
        <v>0</v>
      </c>
      <c r="J15" s="836">
        <f>IF(FEC=1,'Column 1'!AP9,E15)</f>
        <v>0</v>
      </c>
      <c r="K15" s="835">
        <f>IF(FEC=1,'Column 1'!AQ9,F15)</f>
        <v>0</v>
      </c>
      <c r="L15" s="837">
        <f>IF(FEC=1,'Column 1'!AR9,G15)</f>
        <v>0</v>
      </c>
      <c r="M15" s="830">
        <v>0</v>
      </c>
      <c r="N15" s="831">
        <v>0</v>
      </c>
      <c r="O15" s="832">
        <v>0</v>
      </c>
      <c r="P15" s="831">
        <v>0</v>
      </c>
      <c r="Q15" s="838">
        <v>0</v>
      </c>
      <c r="R15" s="839">
        <v>0</v>
      </c>
      <c r="S15" s="831">
        <v>0</v>
      </c>
      <c r="T15" s="840">
        <v>0</v>
      </c>
      <c r="U15" s="831">
        <v>0</v>
      </c>
      <c r="V15" s="841">
        <v>0</v>
      </c>
      <c r="W15" s="2217"/>
      <c r="X15" s="2223"/>
      <c r="Z15" s="748" t="s">
        <v>27747</v>
      </c>
      <c r="AA15" s="748" t="s">
        <v>27687</v>
      </c>
    </row>
    <row r="16" spans="1:27" ht="14.45" customHeight="1" x14ac:dyDescent="0.35">
      <c r="A16" s="3385"/>
      <c r="B16" s="1537" t="s">
        <v>210</v>
      </c>
      <c r="C16" s="830">
        <v>0</v>
      </c>
      <c r="D16" s="831">
        <v>0</v>
      </c>
      <c r="E16" s="832">
        <v>0</v>
      </c>
      <c r="F16" s="831">
        <v>0</v>
      </c>
      <c r="G16" s="833">
        <v>0</v>
      </c>
      <c r="H16" s="834">
        <f>IF(FEC=1,'Column 1'!AN10,C16)</f>
        <v>0</v>
      </c>
      <c r="I16" s="835">
        <f>IF(FEC=1,'Column 1'!AO10,D16)</f>
        <v>0</v>
      </c>
      <c r="J16" s="836">
        <f>IF(FEC=1,'Column 1'!AP10,E16)</f>
        <v>0</v>
      </c>
      <c r="K16" s="835">
        <f>IF(FEC=1,'Column 1'!AQ10,F16)</f>
        <v>0</v>
      </c>
      <c r="L16" s="837">
        <f>IF(FEC=1,'Column 1'!AR10,G16)</f>
        <v>0</v>
      </c>
      <c r="M16" s="830">
        <v>0</v>
      </c>
      <c r="N16" s="831">
        <v>0</v>
      </c>
      <c r="O16" s="832">
        <v>0</v>
      </c>
      <c r="P16" s="831">
        <v>0</v>
      </c>
      <c r="Q16" s="838">
        <v>0</v>
      </c>
      <c r="R16" s="839">
        <v>0</v>
      </c>
      <c r="S16" s="831">
        <v>0</v>
      </c>
      <c r="T16" s="840">
        <v>0</v>
      </c>
      <c r="U16" s="831">
        <v>0</v>
      </c>
      <c r="V16" s="841">
        <v>0</v>
      </c>
      <c r="W16" s="2217"/>
      <c r="X16" s="2223"/>
      <c r="Z16" s="748" t="s">
        <v>27747</v>
      </c>
      <c r="AA16" s="748" t="s">
        <v>27688</v>
      </c>
    </row>
    <row r="17" spans="1:27" ht="14.45" customHeight="1" x14ac:dyDescent="0.35">
      <c r="A17" s="3385"/>
      <c r="B17" s="1538" t="s">
        <v>212</v>
      </c>
      <c r="C17" s="842">
        <v>0</v>
      </c>
      <c r="D17" s="843">
        <v>0</v>
      </c>
      <c r="E17" s="844">
        <v>0</v>
      </c>
      <c r="F17" s="843">
        <v>0</v>
      </c>
      <c r="G17" s="845">
        <v>0</v>
      </c>
      <c r="H17" s="846">
        <f>IF(FEC=1,'Column 1'!AN11,C17)</f>
        <v>0</v>
      </c>
      <c r="I17" s="847">
        <f>IF(FEC=1,'Column 1'!AO11,D17)</f>
        <v>0</v>
      </c>
      <c r="J17" s="848">
        <f>IF(FEC=1,'Column 1'!AP11,E17)</f>
        <v>0</v>
      </c>
      <c r="K17" s="847">
        <f>IF(FEC=1,'Column 1'!AQ11,F17)</f>
        <v>0</v>
      </c>
      <c r="L17" s="849">
        <f>IF(FEC=1,'Column 1'!AR11,G17)</f>
        <v>0</v>
      </c>
      <c r="M17" s="842">
        <v>0</v>
      </c>
      <c r="N17" s="843">
        <v>0</v>
      </c>
      <c r="O17" s="844">
        <v>0</v>
      </c>
      <c r="P17" s="843">
        <v>0</v>
      </c>
      <c r="Q17" s="850">
        <v>0</v>
      </c>
      <c r="R17" s="851">
        <v>0</v>
      </c>
      <c r="S17" s="843">
        <v>0</v>
      </c>
      <c r="T17" s="852">
        <v>0</v>
      </c>
      <c r="U17" s="843">
        <v>0</v>
      </c>
      <c r="V17" s="853">
        <v>0</v>
      </c>
      <c r="W17" s="2218"/>
      <c r="X17" s="2224"/>
      <c r="Z17" s="748" t="s">
        <v>27747</v>
      </c>
      <c r="AA17" s="748" t="s">
        <v>27689</v>
      </c>
    </row>
    <row r="18" spans="1:27" ht="14.45" customHeight="1" x14ac:dyDescent="0.35">
      <c r="A18" s="3385"/>
      <c r="B18" s="1539" t="s">
        <v>214</v>
      </c>
      <c r="C18" s="854">
        <v>0</v>
      </c>
      <c r="D18" s="855">
        <v>0</v>
      </c>
      <c r="E18" s="856">
        <v>0</v>
      </c>
      <c r="F18" s="855">
        <v>0</v>
      </c>
      <c r="G18" s="857">
        <v>0</v>
      </c>
      <c r="H18" s="858">
        <f>IF(FEC=1,'Column 1'!AN12,C18)</f>
        <v>0</v>
      </c>
      <c r="I18" s="859">
        <f>IF(FEC=1,'Column 1'!AO12,D18)</f>
        <v>0</v>
      </c>
      <c r="J18" s="860">
        <f>IF(FEC=1,'Column 1'!AP12,E18)</f>
        <v>0</v>
      </c>
      <c r="K18" s="859">
        <f>IF(FEC=1,'Column 1'!AQ12,F18)</f>
        <v>0</v>
      </c>
      <c r="L18" s="861">
        <f>IF(FEC=1,'Column 1'!AR12,G18)</f>
        <v>0</v>
      </c>
      <c r="M18" s="854">
        <v>0</v>
      </c>
      <c r="N18" s="855">
        <v>0</v>
      </c>
      <c r="O18" s="856">
        <v>0</v>
      </c>
      <c r="P18" s="855">
        <v>0</v>
      </c>
      <c r="Q18" s="862">
        <v>0</v>
      </c>
      <c r="R18" s="863">
        <v>0</v>
      </c>
      <c r="S18" s="855">
        <v>0</v>
      </c>
      <c r="T18" s="864">
        <v>0</v>
      </c>
      <c r="U18" s="855">
        <v>0</v>
      </c>
      <c r="V18" s="865">
        <v>0</v>
      </c>
      <c r="W18" s="2219"/>
      <c r="X18" s="2225"/>
      <c r="Z18" s="748" t="s">
        <v>27747</v>
      </c>
      <c r="AA18" s="748" t="s">
        <v>27690</v>
      </c>
    </row>
    <row r="19" spans="1:27" ht="14.45" customHeight="1" x14ac:dyDescent="0.35">
      <c r="A19" s="3425"/>
      <c r="B19" s="1540" t="s">
        <v>216</v>
      </c>
      <c r="C19" s="866">
        <v>0</v>
      </c>
      <c r="D19" s="867">
        <v>0</v>
      </c>
      <c r="E19" s="868">
        <v>0</v>
      </c>
      <c r="F19" s="869">
        <v>0</v>
      </c>
      <c r="G19" s="870">
        <v>0</v>
      </c>
      <c r="H19" s="871">
        <v>0</v>
      </c>
      <c r="I19" s="872">
        <v>0</v>
      </c>
      <c r="J19" s="860">
        <f>IF(FEC=1,'Column 1'!AP13,E19)</f>
        <v>0</v>
      </c>
      <c r="K19" s="859">
        <f>IF(FEC=1,'Column 1'!AQ13,F19)</f>
        <v>0</v>
      </c>
      <c r="L19" s="861">
        <f>IF(FEC=1,'Column 1'!AR13,G19)</f>
        <v>0</v>
      </c>
      <c r="M19" s="866">
        <v>0</v>
      </c>
      <c r="N19" s="872">
        <v>0</v>
      </c>
      <c r="O19" s="868">
        <v>0</v>
      </c>
      <c r="P19" s="869">
        <v>0</v>
      </c>
      <c r="Q19" s="873">
        <v>0</v>
      </c>
      <c r="R19" s="874">
        <v>0</v>
      </c>
      <c r="S19" s="872">
        <v>0</v>
      </c>
      <c r="T19" s="875">
        <v>0</v>
      </c>
      <c r="U19" s="869">
        <v>0</v>
      </c>
      <c r="V19" s="1453">
        <v>0</v>
      </c>
      <c r="W19" s="2220"/>
      <c r="X19" s="2226"/>
      <c r="Z19" s="748" t="s">
        <v>27747</v>
      </c>
      <c r="AA19" s="748" t="s">
        <v>216</v>
      </c>
    </row>
    <row r="20" spans="1:27" ht="14.45" customHeight="1" x14ac:dyDescent="0.35">
      <c r="A20" s="3426" t="s">
        <v>191</v>
      </c>
      <c r="B20" s="1848" t="s">
        <v>205</v>
      </c>
      <c r="C20" s="1849">
        <v>0</v>
      </c>
      <c r="D20" s="1850">
        <v>0</v>
      </c>
      <c r="E20" s="1851">
        <v>0</v>
      </c>
      <c r="F20" s="1850">
        <v>0</v>
      </c>
      <c r="G20" s="1852">
        <v>0</v>
      </c>
      <c r="H20" s="1853">
        <f>IF(FEC=1,'Column 1'!AN14,C20)</f>
        <v>0</v>
      </c>
      <c r="I20" s="1854">
        <f>IF(FEC=1,'Column 1'!AO14,D20)</f>
        <v>0</v>
      </c>
      <c r="J20" s="1855">
        <f>IF(FEC=1,'Column 1'!AP14,E20)</f>
        <v>0</v>
      </c>
      <c r="K20" s="1854">
        <f>IF(FEC=1,'Column 1'!AQ14,F20)</f>
        <v>0</v>
      </c>
      <c r="L20" s="876">
        <f>IF(FEC=1,'Column 1'!AR14,G20)</f>
        <v>0</v>
      </c>
      <c r="M20" s="1849">
        <v>0</v>
      </c>
      <c r="N20" s="1850">
        <v>0</v>
      </c>
      <c r="O20" s="1851">
        <v>0</v>
      </c>
      <c r="P20" s="1850">
        <v>0</v>
      </c>
      <c r="Q20" s="1856">
        <v>0</v>
      </c>
      <c r="R20" s="1857">
        <v>0</v>
      </c>
      <c r="S20" s="1850">
        <v>0</v>
      </c>
      <c r="T20" s="1858">
        <v>0</v>
      </c>
      <c r="U20" s="1850">
        <v>0</v>
      </c>
      <c r="V20" s="877">
        <v>0</v>
      </c>
      <c r="W20" s="2221">
        <v>0</v>
      </c>
      <c r="X20" s="1851">
        <v>0</v>
      </c>
      <c r="Z20" s="748" t="s">
        <v>27767</v>
      </c>
      <c r="AA20" s="748" t="s">
        <v>27686</v>
      </c>
    </row>
    <row r="21" spans="1:27" ht="14.45" customHeight="1" x14ac:dyDescent="0.35">
      <c r="A21" s="3385"/>
      <c r="B21" s="1537" t="s">
        <v>208</v>
      </c>
      <c r="C21" s="842">
        <v>0</v>
      </c>
      <c r="D21" s="843">
        <v>0</v>
      </c>
      <c r="E21" s="844">
        <v>0</v>
      </c>
      <c r="F21" s="843">
        <v>0</v>
      </c>
      <c r="G21" s="845">
        <v>0</v>
      </c>
      <c r="H21" s="846">
        <f>IF(FEC=1,'Column 1'!AN15,C21)</f>
        <v>0</v>
      </c>
      <c r="I21" s="847">
        <f>IF(FEC=1,'Column 1'!AO15,D21)</f>
        <v>0</v>
      </c>
      <c r="J21" s="848">
        <f>IF(FEC=1,'Column 1'!AP15,E21)</f>
        <v>0</v>
      </c>
      <c r="K21" s="847">
        <f>IF(FEC=1,'Column 1'!AQ15,F21)</f>
        <v>0</v>
      </c>
      <c r="L21" s="878">
        <f>IF(FEC=1,'Column 1'!AR15,G21)</f>
        <v>0</v>
      </c>
      <c r="M21" s="842">
        <v>0</v>
      </c>
      <c r="N21" s="843">
        <v>0</v>
      </c>
      <c r="O21" s="844">
        <v>0</v>
      </c>
      <c r="P21" s="843">
        <v>0</v>
      </c>
      <c r="Q21" s="850">
        <v>0</v>
      </c>
      <c r="R21" s="851">
        <v>0</v>
      </c>
      <c r="S21" s="843">
        <v>0</v>
      </c>
      <c r="T21" s="852">
        <v>0</v>
      </c>
      <c r="U21" s="843">
        <v>0</v>
      </c>
      <c r="V21" s="853">
        <v>0</v>
      </c>
      <c r="W21" s="2218"/>
      <c r="X21" s="2224"/>
      <c r="Z21" s="748" t="s">
        <v>27767</v>
      </c>
      <c r="AA21" s="748" t="s">
        <v>27687</v>
      </c>
    </row>
    <row r="22" spans="1:27" ht="14.45" customHeight="1" x14ac:dyDescent="0.35">
      <c r="A22" s="3385"/>
      <c r="B22" s="1541" t="s">
        <v>210</v>
      </c>
      <c r="C22" s="842">
        <v>0</v>
      </c>
      <c r="D22" s="843">
        <v>0</v>
      </c>
      <c r="E22" s="844">
        <v>0</v>
      </c>
      <c r="F22" s="843">
        <v>0</v>
      </c>
      <c r="G22" s="845">
        <v>0</v>
      </c>
      <c r="H22" s="846">
        <f>IF(FEC=1,'Column 1'!AN16,C22)</f>
        <v>0</v>
      </c>
      <c r="I22" s="847">
        <f>IF(FEC=1,'Column 1'!AO16,D22)</f>
        <v>0</v>
      </c>
      <c r="J22" s="848">
        <f>IF(FEC=1,'Column 1'!AP16,E22)</f>
        <v>0</v>
      </c>
      <c r="K22" s="847">
        <f>IF(FEC=1,'Column 1'!AQ16,F22)</f>
        <v>0</v>
      </c>
      <c r="L22" s="878">
        <f>IF(FEC=1,'Column 1'!AR16,G22)</f>
        <v>0</v>
      </c>
      <c r="M22" s="842">
        <v>0</v>
      </c>
      <c r="N22" s="843">
        <v>0</v>
      </c>
      <c r="O22" s="844">
        <v>0</v>
      </c>
      <c r="P22" s="843">
        <v>0</v>
      </c>
      <c r="Q22" s="850">
        <v>0</v>
      </c>
      <c r="R22" s="851">
        <v>0</v>
      </c>
      <c r="S22" s="843">
        <v>0</v>
      </c>
      <c r="T22" s="852">
        <v>0</v>
      </c>
      <c r="U22" s="843">
        <v>0</v>
      </c>
      <c r="V22" s="853">
        <v>0</v>
      </c>
      <c r="W22" s="2218"/>
      <c r="X22" s="2224"/>
      <c r="Z22" s="748" t="s">
        <v>27767</v>
      </c>
      <c r="AA22" s="748" t="s">
        <v>27688</v>
      </c>
    </row>
    <row r="23" spans="1:27" ht="14.45" customHeight="1" x14ac:dyDescent="0.35">
      <c r="A23" s="3385"/>
      <c r="B23" s="1538" t="s">
        <v>212</v>
      </c>
      <c r="C23" s="842">
        <v>0</v>
      </c>
      <c r="D23" s="843">
        <v>0</v>
      </c>
      <c r="E23" s="844">
        <v>0</v>
      </c>
      <c r="F23" s="843">
        <v>0</v>
      </c>
      <c r="G23" s="845">
        <v>0</v>
      </c>
      <c r="H23" s="846">
        <f>IF(FEC=1,'Column 1'!AN17,C23)</f>
        <v>0</v>
      </c>
      <c r="I23" s="847">
        <f>IF(FEC=1,'Column 1'!AO17,D23)</f>
        <v>0</v>
      </c>
      <c r="J23" s="848">
        <f>IF(FEC=1,'Column 1'!AP17,E23)</f>
        <v>0</v>
      </c>
      <c r="K23" s="847">
        <f>IF(FEC=1,'Column 1'!AQ17,F23)</f>
        <v>0</v>
      </c>
      <c r="L23" s="849">
        <f>IF(FEC=1,'Column 1'!AR17,G23)</f>
        <v>0</v>
      </c>
      <c r="M23" s="842">
        <v>0</v>
      </c>
      <c r="N23" s="843">
        <v>0</v>
      </c>
      <c r="O23" s="844">
        <v>0</v>
      </c>
      <c r="P23" s="843">
        <v>0</v>
      </c>
      <c r="Q23" s="850">
        <v>0</v>
      </c>
      <c r="R23" s="851">
        <v>0</v>
      </c>
      <c r="S23" s="843">
        <v>0</v>
      </c>
      <c r="T23" s="852">
        <v>0</v>
      </c>
      <c r="U23" s="843">
        <v>0</v>
      </c>
      <c r="V23" s="853">
        <v>0</v>
      </c>
      <c r="W23" s="2218"/>
      <c r="X23" s="2224"/>
      <c r="Z23" s="748" t="s">
        <v>27767</v>
      </c>
      <c r="AA23" s="748" t="s">
        <v>27689</v>
      </c>
    </row>
    <row r="24" spans="1:27" ht="14.45" customHeight="1" x14ac:dyDescent="0.35">
      <c r="A24" s="3385"/>
      <c r="B24" s="1542" t="s">
        <v>214</v>
      </c>
      <c r="C24" s="842">
        <v>0</v>
      </c>
      <c r="D24" s="843">
        <v>0</v>
      </c>
      <c r="E24" s="844">
        <v>0</v>
      </c>
      <c r="F24" s="843">
        <v>0</v>
      </c>
      <c r="G24" s="845">
        <v>0</v>
      </c>
      <c r="H24" s="846">
        <f>IF(FEC=1,'Column 1'!AN18,C24)</f>
        <v>0</v>
      </c>
      <c r="I24" s="847">
        <f>IF(FEC=1,'Column 1'!AO18,D24)</f>
        <v>0</v>
      </c>
      <c r="J24" s="848">
        <f>IF(FEC=1,'Column 1'!AP18,E24)</f>
        <v>0</v>
      </c>
      <c r="K24" s="847">
        <f>IF(FEC=1,'Column 1'!AQ18,F24)</f>
        <v>0</v>
      </c>
      <c r="L24" s="849">
        <f>IF(FEC=1,'Column 1'!AR18,G24)</f>
        <v>0</v>
      </c>
      <c r="M24" s="842">
        <v>0</v>
      </c>
      <c r="N24" s="843">
        <v>0</v>
      </c>
      <c r="O24" s="844">
        <v>0</v>
      </c>
      <c r="P24" s="843">
        <v>0</v>
      </c>
      <c r="Q24" s="850">
        <v>0</v>
      </c>
      <c r="R24" s="851">
        <v>0</v>
      </c>
      <c r="S24" s="843">
        <v>0</v>
      </c>
      <c r="T24" s="852">
        <v>0</v>
      </c>
      <c r="U24" s="843">
        <v>0</v>
      </c>
      <c r="V24" s="853">
        <v>0</v>
      </c>
      <c r="W24" s="2218"/>
      <c r="X24" s="2224"/>
      <c r="Z24" s="748" t="s">
        <v>27767</v>
      </c>
      <c r="AA24" s="748" t="s">
        <v>27690</v>
      </c>
    </row>
    <row r="25" spans="1:27" ht="14.45" customHeight="1" thickBot="1" x14ac:dyDescent="0.4">
      <c r="A25" s="3427"/>
      <c r="B25" s="1543" t="s">
        <v>216</v>
      </c>
      <c r="C25" s="879">
        <v>0</v>
      </c>
      <c r="D25" s="880">
        <v>0</v>
      </c>
      <c r="E25" s="881">
        <v>0</v>
      </c>
      <c r="F25" s="882">
        <v>0</v>
      </c>
      <c r="G25" s="883">
        <v>0</v>
      </c>
      <c r="H25" s="884">
        <v>0</v>
      </c>
      <c r="I25" s="880">
        <v>0</v>
      </c>
      <c r="J25" s="848">
        <f>IF(FEC=1,'Column 1'!AP19,E25)</f>
        <v>0</v>
      </c>
      <c r="K25" s="847">
        <f>IF(FEC=1,'Column 1'!AQ19,F25)</f>
        <v>0</v>
      </c>
      <c r="L25" s="849">
        <f>IF(FEC=1,'Column 1'!AR19,G25)</f>
        <v>0</v>
      </c>
      <c r="M25" s="879">
        <v>0</v>
      </c>
      <c r="N25" s="880">
        <v>0</v>
      </c>
      <c r="O25" s="881">
        <v>0</v>
      </c>
      <c r="P25" s="882">
        <v>0</v>
      </c>
      <c r="Q25" s="885">
        <v>0</v>
      </c>
      <c r="R25" s="886">
        <v>0</v>
      </c>
      <c r="S25" s="880">
        <v>0</v>
      </c>
      <c r="T25" s="887">
        <v>0</v>
      </c>
      <c r="U25" s="882">
        <v>0</v>
      </c>
      <c r="V25" s="888">
        <v>0</v>
      </c>
      <c r="W25" s="2222"/>
      <c r="X25" s="2227"/>
      <c r="Z25" s="748" t="s">
        <v>27767</v>
      </c>
      <c r="AA25" s="748" t="s">
        <v>216</v>
      </c>
    </row>
    <row r="26" spans="1:27" ht="14.45" customHeight="1" thickTop="1" x14ac:dyDescent="0.35">
      <c r="A26" s="3422" t="s">
        <v>27768</v>
      </c>
      <c r="B26" s="1544" t="s">
        <v>27769</v>
      </c>
      <c r="C26" s="889">
        <f>SUM(C14:C15,C20:C21)</f>
        <v>0</v>
      </c>
      <c r="D26" s="890">
        <f t="shared" ref="D26:V26" si="0">SUM(D14:D15,D20:D21)</f>
        <v>0</v>
      </c>
      <c r="E26" s="891">
        <f t="shared" si="0"/>
        <v>0</v>
      </c>
      <c r="F26" s="890">
        <f t="shared" si="0"/>
        <v>0</v>
      </c>
      <c r="G26" s="892">
        <f t="shared" si="0"/>
        <v>0</v>
      </c>
      <c r="H26" s="893">
        <f t="shared" si="0"/>
        <v>0</v>
      </c>
      <c r="I26" s="890">
        <f t="shared" si="0"/>
        <v>0</v>
      </c>
      <c r="J26" s="894">
        <f t="shared" si="0"/>
        <v>0</v>
      </c>
      <c r="K26" s="890">
        <f t="shared" si="0"/>
        <v>0</v>
      </c>
      <c r="L26" s="895">
        <f t="shared" si="0"/>
        <v>0</v>
      </c>
      <c r="M26" s="889">
        <f t="shared" si="0"/>
        <v>0</v>
      </c>
      <c r="N26" s="890">
        <f t="shared" si="0"/>
        <v>0</v>
      </c>
      <c r="O26" s="891">
        <f t="shared" si="0"/>
        <v>0</v>
      </c>
      <c r="P26" s="890">
        <f t="shared" si="0"/>
        <v>0</v>
      </c>
      <c r="Q26" s="896">
        <f t="shared" si="0"/>
        <v>0</v>
      </c>
      <c r="R26" s="897">
        <f t="shared" si="0"/>
        <v>0</v>
      </c>
      <c r="S26" s="890">
        <f t="shared" si="0"/>
        <v>0</v>
      </c>
      <c r="T26" s="894">
        <f t="shared" si="0"/>
        <v>0</v>
      </c>
      <c r="U26" s="890">
        <f t="shared" si="0"/>
        <v>0</v>
      </c>
      <c r="V26" s="895">
        <f t="shared" si="0"/>
        <v>0</v>
      </c>
      <c r="W26" s="2228">
        <f>SUM(W14,W20)</f>
        <v>0</v>
      </c>
      <c r="X26" s="891">
        <f>SUM(X14,X20)</f>
        <v>0</v>
      </c>
      <c r="Z26" s="748" t="s">
        <v>28321</v>
      </c>
      <c r="AA26" s="748" t="s">
        <v>27826</v>
      </c>
    </row>
    <row r="27" spans="1:27" ht="14.45" customHeight="1" x14ac:dyDescent="0.35">
      <c r="A27" s="3423"/>
      <c r="B27" s="1545" t="s">
        <v>27770</v>
      </c>
      <c r="C27" s="898">
        <f>SUM(C16:C18,C22:C24)</f>
        <v>0</v>
      </c>
      <c r="D27" s="899">
        <f>SUM(D16:D18,D22:D24)</f>
        <v>0</v>
      </c>
      <c r="E27" s="900">
        <f>SUM(E16:E19,E22:E25)</f>
        <v>0</v>
      </c>
      <c r="F27" s="899">
        <f>SUM(F16:F19,F22:F25)</f>
        <v>0</v>
      </c>
      <c r="G27" s="901">
        <f>SUM(G16:G19,G22:G25)</f>
        <v>0</v>
      </c>
      <c r="H27" s="902">
        <f t="shared" ref="H27:S27" si="1">SUM(H16:H18,H22:H24)</f>
        <v>0</v>
      </c>
      <c r="I27" s="899">
        <f t="shared" si="1"/>
        <v>0</v>
      </c>
      <c r="J27" s="903">
        <f>SUM(J16:J19,J22:J25)</f>
        <v>0</v>
      </c>
      <c r="K27" s="899">
        <f>SUM(K16:K19,K22:K25)</f>
        <v>0</v>
      </c>
      <c r="L27" s="904">
        <f>SUM(L16:L19,L22:L25)</f>
        <v>0</v>
      </c>
      <c r="M27" s="898">
        <f t="shared" si="1"/>
        <v>0</v>
      </c>
      <c r="N27" s="899">
        <f t="shared" si="1"/>
        <v>0</v>
      </c>
      <c r="O27" s="900">
        <f>SUM(O16:O19,O22:O25)</f>
        <v>0</v>
      </c>
      <c r="P27" s="899">
        <f>SUM(P16:P19,P22:P25)</f>
        <v>0</v>
      </c>
      <c r="Q27" s="905">
        <f>SUM(Q16:Q19,Q22:Q25)</f>
        <v>0</v>
      </c>
      <c r="R27" s="906">
        <f t="shared" si="1"/>
        <v>0</v>
      </c>
      <c r="S27" s="899">
        <f t="shared" si="1"/>
        <v>0</v>
      </c>
      <c r="T27" s="903">
        <f>SUM(T16:T19,T22:T25)</f>
        <v>0</v>
      </c>
      <c r="U27" s="899">
        <f>SUM(U16:U19,U22:U25)</f>
        <v>0</v>
      </c>
      <c r="V27" s="904">
        <f>SUM(V16:V19,V22:V25)</f>
        <v>0</v>
      </c>
      <c r="W27" s="2229"/>
      <c r="X27" s="2230"/>
      <c r="Z27" s="748" t="s">
        <v>28321</v>
      </c>
      <c r="AA27" s="748" t="s">
        <v>27827</v>
      </c>
    </row>
    <row r="28" spans="1:27" ht="14.45" customHeight="1" thickBot="1" x14ac:dyDescent="0.4">
      <c r="A28" s="3424"/>
      <c r="B28" s="1629" t="s">
        <v>27696</v>
      </c>
      <c r="C28" s="1630">
        <f>SUM(C26:C27)</f>
        <v>0</v>
      </c>
      <c r="D28" s="1631">
        <f t="shared" ref="D28:V28" si="2">SUM(D26:D27)</f>
        <v>0</v>
      </c>
      <c r="E28" s="1632">
        <f t="shared" si="2"/>
        <v>0</v>
      </c>
      <c r="F28" s="1631">
        <f t="shared" si="2"/>
        <v>0</v>
      </c>
      <c r="G28" s="1633">
        <f t="shared" si="2"/>
        <v>0</v>
      </c>
      <c r="H28" s="1634">
        <f t="shared" si="2"/>
        <v>0</v>
      </c>
      <c r="I28" s="1631">
        <f t="shared" si="2"/>
        <v>0</v>
      </c>
      <c r="J28" s="907">
        <f t="shared" si="2"/>
        <v>0</v>
      </c>
      <c r="K28" s="1631">
        <f t="shared" si="2"/>
        <v>0</v>
      </c>
      <c r="L28" s="1703">
        <f t="shared" si="2"/>
        <v>0</v>
      </c>
      <c r="M28" s="1630">
        <f t="shared" si="2"/>
        <v>0</v>
      </c>
      <c r="N28" s="1631">
        <f t="shared" si="2"/>
        <v>0</v>
      </c>
      <c r="O28" s="1632">
        <f t="shared" si="2"/>
        <v>0</v>
      </c>
      <c r="P28" s="1631">
        <f t="shared" si="2"/>
        <v>0</v>
      </c>
      <c r="Q28" s="1635">
        <f t="shared" si="2"/>
        <v>0</v>
      </c>
      <c r="R28" s="1636">
        <f t="shared" si="2"/>
        <v>0</v>
      </c>
      <c r="S28" s="1631">
        <f t="shared" si="2"/>
        <v>0</v>
      </c>
      <c r="T28" s="907">
        <f t="shared" si="2"/>
        <v>0</v>
      </c>
      <c r="U28" s="1631">
        <f t="shared" si="2"/>
        <v>0</v>
      </c>
      <c r="V28" s="1703">
        <f t="shared" si="2"/>
        <v>0</v>
      </c>
      <c r="W28" s="2231">
        <f>SUM(W26)</f>
        <v>0</v>
      </c>
      <c r="X28" s="1632">
        <f>SUM(X26)</f>
        <v>0</v>
      </c>
      <c r="Z28" s="748" t="s">
        <v>28321</v>
      </c>
      <c r="AA28" s="748" t="s">
        <v>28321</v>
      </c>
    </row>
    <row r="29" spans="1:27" ht="15" hidden="1" customHeight="1" x14ac:dyDescent="0.35">
      <c r="A29" s="908"/>
      <c r="B29" s="909"/>
      <c r="C29" s="631"/>
      <c r="D29" s="631"/>
      <c r="E29" s="631"/>
      <c r="F29" s="631"/>
      <c r="G29" s="631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</row>
    <row r="30" spans="1:27" ht="15" hidden="1" customHeight="1" x14ac:dyDescent="0.35">
      <c r="A30" s="908"/>
      <c r="B30" s="910" t="s">
        <v>27771</v>
      </c>
      <c r="C30" s="668" t="s">
        <v>27772</v>
      </c>
      <c r="D30" s="668" t="s">
        <v>27772</v>
      </c>
      <c r="E30" s="668" t="s">
        <v>27772</v>
      </c>
      <c r="F30" s="668" t="s">
        <v>27772</v>
      </c>
      <c r="G30" s="668" t="s">
        <v>27772</v>
      </c>
      <c r="H30" s="668" t="s">
        <v>27773</v>
      </c>
      <c r="I30" s="668" t="s">
        <v>27773</v>
      </c>
      <c r="J30" s="668" t="s">
        <v>27773</v>
      </c>
      <c r="K30" s="668" t="s">
        <v>27773</v>
      </c>
      <c r="L30" s="668" t="s">
        <v>27773</v>
      </c>
      <c r="M30" s="668" t="s">
        <v>27774</v>
      </c>
      <c r="N30" s="668" t="s">
        <v>27774</v>
      </c>
      <c r="O30" s="668" t="s">
        <v>27774</v>
      </c>
      <c r="P30" s="668" t="s">
        <v>27774</v>
      </c>
      <c r="Q30" s="668" t="s">
        <v>27774</v>
      </c>
      <c r="R30" s="668" t="s">
        <v>27775</v>
      </c>
      <c r="S30" s="668" t="s">
        <v>27775</v>
      </c>
      <c r="T30" s="668" t="s">
        <v>27775</v>
      </c>
      <c r="U30" s="668" t="s">
        <v>27775</v>
      </c>
      <c r="V30" s="668" t="s">
        <v>27775</v>
      </c>
      <c r="W30" s="668" t="s">
        <v>28262</v>
      </c>
      <c r="X30" s="668" t="s">
        <v>28262</v>
      </c>
      <c r="Y30" s="308"/>
      <c r="Z30" s="308"/>
      <c r="AA30" s="308"/>
    </row>
    <row r="31" spans="1:27" ht="15" hidden="1" customHeight="1" x14ac:dyDescent="0.35">
      <c r="A31" s="908"/>
      <c r="B31" s="910" t="s">
        <v>27699</v>
      </c>
      <c r="C31" s="668" t="s">
        <v>27776</v>
      </c>
      <c r="D31" s="668" t="s">
        <v>27777</v>
      </c>
      <c r="E31" s="668" t="s">
        <v>27778</v>
      </c>
      <c r="F31" s="668" t="s">
        <v>27779</v>
      </c>
      <c r="G31" s="668" t="s">
        <v>27716</v>
      </c>
      <c r="H31" s="668" t="s">
        <v>27776</v>
      </c>
      <c r="I31" s="668" t="s">
        <v>27777</v>
      </c>
      <c r="J31" s="668" t="s">
        <v>27778</v>
      </c>
      <c r="K31" s="668" t="s">
        <v>27779</v>
      </c>
      <c r="L31" s="668" t="s">
        <v>27716</v>
      </c>
      <c r="M31" s="668" t="s">
        <v>27776</v>
      </c>
      <c r="N31" s="668" t="s">
        <v>27777</v>
      </c>
      <c r="O31" s="668" t="s">
        <v>27778</v>
      </c>
      <c r="P31" s="668" t="s">
        <v>27779</v>
      </c>
      <c r="Q31" s="668" t="s">
        <v>27716</v>
      </c>
      <c r="R31" s="668" t="s">
        <v>27776</v>
      </c>
      <c r="S31" s="668" t="s">
        <v>27777</v>
      </c>
      <c r="T31" s="668" t="s">
        <v>27778</v>
      </c>
      <c r="U31" s="668" t="s">
        <v>27779</v>
      </c>
      <c r="V31" s="668" t="s">
        <v>27716</v>
      </c>
      <c r="W31" s="668" t="s">
        <v>27714</v>
      </c>
      <c r="X31" s="668" t="s">
        <v>27715</v>
      </c>
      <c r="Y31" s="308"/>
      <c r="Z31" s="308"/>
      <c r="AA31" s="308"/>
    </row>
    <row r="32" spans="1:27" hidden="1" x14ac:dyDescent="0.35">
      <c r="B32" s="308"/>
      <c r="C32" s="911"/>
      <c r="D32" s="911"/>
      <c r="E32" s="911"/>
      <c r="F32" s="911"/>
      <c r="G32" s="911"/>
      <c r="H32" s="912"/>
      <c r="I32" s="912"/>
      <c r="J32" s="912"/>
      <c r="K32" s="912"/>
      <c r="L32" s="912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911" t="s">
        <v>306</v>
      </c>
    </row>
    <row r="33" spans="1:26" x14ac:dyDescent="0.35">
      <c r="B33" s="308"/>
      <c r="C33"/>
      <c r="D33"/>
      <c r="E33"/>
      <c r="F33"/>
      <c r="G33"/>
      <c r="H33"/>
      <c r="I33"/>
      <c r="J33"/>
      <c r="K33"/>
      <c r="L33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  <c r="X33" s="308"/>
      <c r="Y33" s="308"/>
      <c r="Z33" s="911"/>
    </row>
    <row r="34" spans="1:26" s="657" customFormat="1" ht="19.899999999999999" customHeight="1" x14ac:dyDescent="0.35">
      <c r="A34" s="657" t="s">
        <v>27780</v>
      </c>
    </row>
    <row r="35" spans="1:26" ht="14.45" customHeight="1" x14ac:dyDescent="0.35">
      <c r="A35" s="346" t="s">
        <v>158</v>
      </c>
    </row>
    <row r="36" spans="1:26" ht="14.45" customHeight="1" x14ac:dyDescent="0.35">
      <c r="A36" s="723" t="str">
        <f>'Table 5 Valid'!D54</f>
        <v/>
      </c>
      <c r="B36" s="913"/>
    </row>
    <row r="37" spans="1:26" ht="14.45" customHeight="1" x14ac:dyDescent="0.35">
      <c r="A37" s="346" t="s">
        <v>149</v>
      </c>
    </row>
    <row r="38" spans="1:26" ht="14.45" customHeight="1" x14ac:dyDescent="0.35">
      <c r="A38" s="723" t="str">
        <f>'Table 5 Valid'!D77</f>
        <v/>
      </c>
      <c r="B38" s="913"/>
    </row>
    <row r="39" spans="1:26" ht="14.45" customHeight="1" x14ac:dyDescent="0.35">
      <c r="A39" s="346" t="s">
        <v>164</v>
      </c>
    </row>
    <row r="40" spans="1:26" ht="14.45" customHeight="1" x14ac:dyDescent="0.35">
      <c r="A40" s="914" t="str">
        <f>'Table 5 Valid'!E98</f>
        <v/>
      </c>
      <c r="B40" s="915"/>
    </row>
    <row r="41" spans="1:26" ht="14.45" customHeight="1" x14ac:dyDescent="0.35">
      <c r="A41" s="1248" t="s">
        <v>168</v>
      </c>
      <c r="B41" s="1248"/>
    </row>
    <row r="42" spans="1:26" ht="14.45" customHeight="1" x14ac:dyDescent="0.35">
      <c r="A42" s="723" t="str">
        <f>'Table 5 Valid'!D121</f>
        <v/>
      </c>
      <c r="B42" s="913"/>
    </row>
    <row r="43" spans="1:26" ht="14.45" customHeight="1" x14ac:dyDescent="0.35">
      <c r="A43" s="1275" t="s">
        <v>28286</v>
      </c>
      <c r="B43" s="913"/>
    </row>
    <row r="44" spans="1:26" ht="14.45" customHeight="1" x14ac:dyDescent="0.35">
      <c r="A44" s="723" t="str">
        <f>'Table 5 Valid'!D144</f>
        <v/>
      </c>
      <c r="B44" s="913"/>
    </row>
    <row r="45" spans="1:26" x14ac:dyDescent="0.35">
      <c r="A45" s="723"/>
      <c r="B45" s="913"/>
    </row>
    <row r="46" spans="1:26" s="657" customFormat="1" ht="19.899999999999999" customHeight="1" x14ac:dyDescent="0.35">
      <c r="A46" s="657" t="s">
        <v>27781</v>
      </c>
    </row>
    <row r="47" spans="1:26" ht="14.45" customHeight="1" x14ac:dyDescent="0.35">
      <c r="A47" s="346" t="s">
        <v>170</v>
      </c>
      <c r="B47" s="1273"/>
    </row>
    <row r="48" spans="1:26" ht="14.45" customHeight="1" x14ac:dyDescent="0.35">
      <c r="A48" s="916" t="str">
        <f>'Table 5 Valid'!H149</f>
        <v/>
      </c>
      <c r="B48" s="1273"/>
    </row>
    <row r="49" spans="1:2" ht="14.45" customHeight="1" x14ac:dyDescent="0.35">
      <c r="A49" s="346" t="s">
        <v>27782</v>
      </c>
      <c r="B49" s="1273"/>
    </row>
    <row r="50" spans="1:2" ht="14.45" customHeight="1" x14ac:dyDescent="0.35">
      <c r="A50" s="916" t="str">
        <f>'Table 5 Valid'!H154</f>
        <v/>
      </c>
      <c r="B50" s="1273"/>
    </row>
    <row r="51" spans="1:2" ht="14.45" customHeight="1" x14ac:dyDescent="0.35">
      <c r="A51" s="346" t="s">
        <v>27783</v>
      </c>
      <c r="B51" s="1273"/>
    </row>
    <row r="52" spans="1:2" ht="14.45" customHeight="1" x14ac:dyDescent="0.35">
      <c r="A52" s="917" t="str">
        <f>'Table 5 Valid'!H159</f>
        <v/>
      </c>
      <c r="B52" s="1273"/>
    </row>
    <row r="53" spans="1:2" ht="14.45" customHeight="1" x14ac:dyDescent="0.35">
      <c r="A53" s="346" t="s">
        <v>27784</v>
      </c>
      <c r="B53" s="1273"/>
    </row>
    <row r="54" spans="1:2" ht="14.45" customHeight="1" x14ac:dyDescent="0.35">
      <c r="A54" s="917" t="str">
        <f>'Table 5 Valid'!H163</f>
        <v/>
      </c>
    </row>
    <row r="55" spans="1:2" ht="14.45" customHeight="1" x14ac:dyDescent="0.35">
      <c r="A55" s="346" t="s">
        <v>27785</v>
      </c>
    </row>
    <row r="56" spans="1:2" ht="14.45" customHeight="1" x14ac:dyDescent="0.35">
      <c r="A56" s="917" t="str">
        <f>'Table 5 Valid'!H167</f>
        <v/>
      </c>
    </row>
    <row r="57" spans="1:2" ht="14.45" customHeight="1" x14ac:dyDescent="0.35">
      <c r="A57" s="346" t="s">
        <v>27786</v>
      </c>
    </row>
    <row r="58" spans="1:2" ht="14.45" customHeight="1" x14ac:dyDescent="0.35">
      <c r="A58" s="917" t="str">
        <f>'Table 5 Valid'!H171</f>
        <v/>
      </c>
    </row>
    <row r="59" spans="1:2" ht="14.45" customHeight="1" x14ac:dyDescent="0.35">
      <c r="A59" s="346" t="s">
        <v>27787</v>
      </c>
    </row>
    <row r="60" spans="1:2" ht="14.45" customHeight="1" x14ac:dyDescent="0.35">
      <c r="A60" s="917" t="str">
        <f>'Table 5 Valid'!H175</f>
        <v/>
      </c>
    </row>
    <row r="61" spans="1:2" ht="14.45" customHeight="1" x14ac:dyDescent="0.35">
      <c r="A61" s="346" t="s">
        <v>27788</v>
      </c>
    </row>
    <row r="62" spans="1:2" ht="14.45" customHeight="1" x14ac:dyDescent="0.35">
      <c r="A62" s="917" t="str">
        <f>'Table 5 Valid'!H179</f>
        <v/>
      </c>
    </row>
    <row r="63" spans="1:2" ht="14.45" customHeight="1" x14ac:dyDescent="0.35">
      <c r="A63" s="346" t="s">
        <v>27789</v>
      </c>
    </row>
    <row r="64" spans="1:2" ht="14.45" customHeight="1" x14ac:dyDescent="0.35">
      <c r="A64" s="917" t="str">
        <f>'Table 5 Valid'!H183</f>
        <v/>
      </c>
    </row>
    <row r="65" spans="1:2" ht="14.45" customHeight="1" x14ac:dyDescent="0.35">
      <c r="A65" s="346" t="s">
        <v>27790</v>
      </c>
    </row>
    <row r="66" spans="1:2" ht="14.45" customHeight="1" x14ac:dyDescent="0.35">
      <c r="A66" s="918" t="str">
        <f>'Table 5 Valid'!H187</f>
        <v/>
      </c>
    </row>
    <row r="67" spans="1:2" ht="14.45" customHeight="1" x14ac:dyDescent="0.35">
      <c r="A67" s="346" t="s">
        <v>27791</v>
      </c>
    </row>
    <row r="68" spans="1:2" ht="14.45" customHeight="1" x14ac:dyDescent="0.35">
      <c r="A68" s="918" t="str">
        <f>'Table 5 Valid'!H191</f>
        <v/>
      </c>
    </row>
    <row r="69" spans="1:2" ht="14.45" customHeight="1" x14ac:dyDescent="0.35">
      <c r="A69" s="346" t="s">
        <v>28338</v>
      </c>
      <c r="B69" s="1273"/>
    </row>
    <row r="70" spans="1:2" ht="14.45" customHeight="1" x14ac:dyDescent="0.35">
      <c r="A70" s="918" t="str">
        <f>'Table 5 Valid'!H199</f>
        <v/>
      </c>
      <c r="B70" s="1273"/>
    </row>
    <row r="170" ht="12.75" customHeight="1" x14ac:dyDescent="0.35"/>
    <row r="216" ht="12.75" customHeight="1" x14ac:dyDescent="0.35"/>
  </sheetData>
  <sheetProtection algorithmName="SHA-512" hashValue="7Tl9ZrJCg0qFRpnN05I7MNjiobaPtBjR5H4bPU2dyoMzBotlnlkjYHazUOE5MuP+adqOrIG0qlJx5m6pZ//ZEQ==" saltValue="6V/TVRLZnca6ofkoNo94tw==" spinCount="100000" sheet="1" objects="1" scenarios="1"/>
  <mergeCells count="22">
    <mergeCell ref="W8:X9"/>
    <mergeCell ref="C4:G4"/>
    <mergeCell ref="C5:G5"/>
    <mergeCell ref="Q11:Q12"/>
    <mergeCell ref="H4:L4"/>
    <mergeCell ref="R4:V4"/>
    <mergeCell ref="H5:L5"/>
    <mergeCell ref="R5:V5"/>
    <mergeCell ref="M4:Q4"/>
    <mergeCell ref="M5:Q5"/>
    <mergeCell ref="W4:X4"/>
    <mergeCell ref="W5:X5"/>
    <mergeCell ref="A26:A28"/>
    <mergeCell ref="H9:L9"/>
    <mergeCell ref="L11:L12"/>
    <mergeCell ref="V11:V12"/>
    <mergeCell ref="C9:G9"/>
    <mergeCell ref="G11:G12"/>
    <mergeCell ref="A14:A19"/>
    <mergeCell ref="A20:A25"/>
    <mergeCell ref="M9:Q9"/>
    <mergeCell ref="R9:V9"/>
  </mergeCells>
  <phoneticPr fontId="68" type="noConversion"/>
  <conditionalFormatting sqref="C4:W4">
    <cfRule type="cellIs" dxfId="191" priority="386350" operator="notEqual">
      <formula>"Validation: OK"</formula>
    </cfRule>
  </conditionalFormatting>
  <conditionalFormatting sqref="C5:W5">
    <cfRule type="cellIs" dxfId="190" priority="57" operator="notEqual">
      <formula>"Credibility: OK"</formula>
    </cfRule>
  </conditionalFormatting>
  <conditionalFormatting sqref="C14:X28">
    <cfRule type="cellIs" dxfId="188" priority="56" operator="equal">
      <formula>0</formula>
    </cfRule>
  </conditionalFormatting>
  <dataValidations count="4">
    <dataValidation type="custom" allowBlank="1" showInputMessage="1" showErrorMessage="1" errorTitle="Validation check" error="Table 5, Column 1 can only contain positive integers or zero." sqref="E25:G25 C20:G24 E19:G19 C14:G18" xr:uid="{C8FDB614-8209-482B-B0FC-B44394A9A0F8}">
      <formula1>AND(C14&gt;=0,ROUND(C14,0)=C14)</formula1>
    </dataValidation>
    <dataValidation type="custom" allowBlank="1" showInputMessage="1" showErrorMessage="1" errorTitle="Validation check" error="Table 5, Column 2 can only contain positive integers or zero." sqref="M14:Q25" xr:uid="{C687554B-FEB3-4016-A1CC-06027A76AED3}">
      <formula1>AND(M14&gt;=0,ROUND(M14,0)=M14)</formula1>
    </dataValidation>
    <dataValidation type="custom" allowBlank="1" showInputMessage="1" showErrorMessage="1" errorTitle="Validation check" error="Section B can only contain positive integers or zero." sqref="T25:V25 R20:V24 T19:V19 R14:V18" xr:uid="{1CB06C24-F478-4A07-9F5E-302CEE7A2310}">
      <formula1>AND(R14&gt;=0,ROUND(R14,0)=R14)</formula1>
    </dataValidation>
    <dataValidation type="custom" allowBlank="1" showInputMessage="1" showErrorMessage="1" errorTitle="Validation check" error="Section C can only contain positive integers or zero." sqref="W14:X14 W20:X20" xr:uid="{1EBBB23B-9D13-4D84-A425-4F7628AF670A}">
      <formula1>AND(W14&gt;=0,ROUND(W14,0)=W14)</formula1>
    </dataValidation>
  </dataValidations>
  <pageMargins left="0.70866141732283472" right="0.70866141732283472" top="0.74803149606299213" bottom="0.74803149606299213" header="0.31496062992125984" footer="0.31496062992125984"/>
  <pageSetup paperSize="8" scale="85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EFEB554-BD08-48C1-9BEA-40362475635E}">
            <xm:f>IF('Table 5 Valid'!AD19=1,1,0)</xm:f>
            <x14:dxf>
              <font>
                <b/>
                <i val="0"/>
                <color rgb="FFFF0000"/>
              </font>
            </x14:dxf>
          </x14:cfRule>
          <xm:sqref>C14:X25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/>
  <dimension ref="A1:BG200"/>
  <sheetViews>
    <sheetView workbookViewId="0"/>
  </sheetViews>
  <sheetFormatPr defaultColWidth="9" defaultRowHeight="12.75" x14ac:dyDescent="0.35"/>
  <cols>
    <col min="2" max="18" width="10.1328125" customWidth="1"/>
    <col min="20" max="22" width="9" customWidth="1"/>
    <col min="30" max="30" width="12.86328125" customWidth="1"/>
    <col min="36" max="38" width="9.86328125" customWidth="1"/>
    <col min="39" max="39" width="9" customWidth="1"/>
    <col min="50" max="50" width="9" customWidth="1"/>
  </cols>
  <sheetData>
    <row r="1" spans="1:59" ht="15" x14ac:dyDescent="0.4">
      <c r="A1" s="102" t="s">
        <v>27792</v>
      </c>
    </row>
    <row r="2" spans="1:59" ht="13.15" x14ac:dyDescent="0.4">
      <c r="G2" s="6" t="s">
        <v>27793</v>
      </c>
      <c r="I2" s="6" t="s">
        <v>27774</v>
      </c>
      <c r="K2" s="6" t="s">
        <v>27775</v>
      </c>
      <c r="M2" s="6" t="s">
        <v>28262</v>
      </c>
      <c r="N2" s="6"/>
      <c r="O2" s="6"/>
      <c r="P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59" ht="13.15" x14ac:dyDescent="0.4">
      <c r="B3" s="14" t="s">
        <v>343</v>
      </c>
      <c r="D3" s="7">
        <f>IF(AND(G3="Validation: OK",I3="Validation: OK",K3="Validation: OK",M3="Validation: OK"),0,1)</f>
        <v>0</v>
      </c>
      <c r="G3" s="570" t="str">
        <f>IF(AND(D52="",D75="",K98=""),"Validation: OK","Validation: Failure (see below table)")</f>
        <v>Validation: OK</v>
      </c>
      <c r="I3" s="571" t="str">
        <f>IF(AND(I52="",I75="",V98=""),"Validation: OK","Validation: Failure (see below table)")</f>
        <v>Validation: OK</v>
      </c>
      <c r="K3" s="572" t="str">
        <f>IF(AND(N52="",N75="",N119=""),"Validation: OK","Validation: Failure (see below table)")</f>
        <v>Validation: OK</v>
      </c>
      <c r="M3" s="587" t="str">
        <f>IF(AND(S52="",S75="",S142=""),"Validation: OK","Validation: Failure (see below table)")</f>
        <v>Validation: OK</v>
      </c>
      <c r="N3" s="7"/>
      <c r="O3" s="7"/>
      <c r="P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59" ht="13.15" x14ac:dyDescent="0.4">
      <c r="B4" s="14" t="s">
        <v>344</v>
      </c>
      <c r="D4" s="7">
        <f>IF(AND(G4="Credibility: OK",I4="Credibility: OK",K4="Credibility: OK",M4="Credibility: OK"),0,1)</f>
        <v>0</v>
      </c>
      <c r="G4" s="573" t="s">
        <v>345</v>
      </c>
      <c r="I4" s="573" t="s">
        <v>345</v>
      </c>
      <c r="K4" s="574" t="str">
        <f>IF(AND(H149="",H154="",H159="",H163="",H167="",H171="",H175="",H179="",H183="",H187="",H191=""),"Credibility: OK","Credibility: Warnings (see below table)")</f>
        <v>Credibility: OK</v>
      </c>
      <c r="M4" s="2152" t="str">
        <f>IF(H199="","Credibility: OK","Credibility: Warnings (see below table)")</f>
        <v>Credibility: OK</v>
      </c>
      <c r="N4" s="7"/>
      <c r="O4" s="7"/>
      <c r="P4" s="7"/>
      <c r="R4" s="7"/>
      <c r="S4" s="7"/>
      <c r="T4" s="7"/>
      <c r="U4" s="7"/>
      <c r="V4" s="7"/>
      <c r="W4" s="7"/>
      <c r="X4" s="7"/>
      <c r="Y4" s="7"/>
      <c r="Z4" s="7"/>
      <c r="AA4" s="7"/>
    </row>
    <row r="8" spans="1:59" ht="106.15" x14ac:dyDescent="0.35">
      <c r="B8" s="1859" t="s">
        <v>27752</v>
      </c>
      <c r="C8" s="198" t="s">
        <v>27794</v>
      </c>
      <c r="D8" s="198" t="s">
        <v>27795</v>
      </c>
      <c r="E8" s="198" t="s">
        <v>27796</v>
      </c>
      <c r="F8" s="198" t="s">
        <v>27797</v>
      </c>
      <c r="G8" s="198" t="s">
        <v>28322</v>
      </c>
      <c r="H8" s="1830"/>
      <c r="J8" s="1859" t="s">
        <v>27756</v>
      </c>
      <c r="K8" s="198" t="s">
        <v>27798</v>
      </c>
      <c r="L8" s="198" t="s">
        <v>27799</v>
      </c>
      <c r="M8" s="198" t="s">
        <v>27800</v>
      </c>
      <c r="N8" s="198" t="s">
        <v>27801</v>
      </c>
      <c r="O8" s="198" t="s">
        <v>27802</v>
      </c>
      <c r="P8" s="198" t="s">
        <v>27803</v>
      </c>
      <c r="Q8" s="198" t="s">
        <v>27804</v>
      </c>
      <c r="R8" s="198" t="s">
        <v>27805</v>
      </c>
      <c r="S8" s="198" t="s">
        <v>27806</v>
      </c>
      <c r="T8" s="198" t="s">
        <v>27807</v>
      </c>
      <c r="U8" s="198" t="s">
        <v>27808</v>
      </c>
      <c r="V8" s="198" t="s">
        <v>28284</v>
      </c>
      <c r="W8" s="2184"/>
      <c r="X8" s="517"/>
    </row>
    <row r="9" spans="1:59" ht="38.25" customHeight="1" x14ac:dyDescent="0.35">
      <c r="B9" s="1637" t="s">
        <v>363</v>
      </c>
      <c r="C9" s="3">
        <v>1</v>
      </c>
      <c r="D9" s="3">
        <v>1</v>
      </c>
      <c r="E9" s="3">
        <v>1</v>
      </c>
      <c r="F9" s="3">
        <v>1</v>
      </c>
      <c r="G9" s="3">
        <v>1</v>
      </c>
      <c r="H9" s="183"/>
      <c r="J9" s="1637" t="s">
        <v>363</v>
      </c>
      <c r="K9" s="3">
        <v>1</v>
      </c>
      <c r="L9" s="3">
        <v>1</v>
      </c>
      <c r="M9" s="3">
        <v>1</v>
      </c>
      <c r="N9" s="3">
        <v>1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40">
        <v>1</v>
      </c>
      <c r="V9" s="3">
        <v>1</v>
      </c>
      <c r="W9" s="509"/>
      <c r="X9" s="40"/>
    </row>
    <row r="10" spans="1:59" ht="13.15" x14ac:dyDescent="0.4">
      <c r="B10" s="199"/>
      <c r="C10" s="189"/>
      <c r="D10" s="189"/>
      <c r="E10" s="189"/>
      <c r="F10" s="189"/>
      <c r="G10" s="189"/>
      <c r="H10" s="31"/>
      <c r="J10" s="188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31"/>
      <c r="BG10" s="11"/>
    </row>
    <row r="11" spans="1:59" x14ac:dyDescent="0.35">
      <c r="BG11" s="11"/>
    </row>
    <row r="12" spans="1:59" ht="13.15" x14ac:dyDescent="0.4">
      <c r="B12" s="6" t="s">
        <v>27809</v>
      </c>
      <c r="C12" s="6"/>
      <c r="D12" s="6" t="s">
        <v>27810</v>
      </c>
    </row>
    <row r="14" spans="1:59" x14ac:dyDescent="0.35">
      <c r="D14" t="str">
        <f>'5_Planning'!$C$6&amp;", "&amp;'5_Planning'!$H$7</f>
        <v>Section A: All years, Column 1</v>
      </c>
      <c r="E14" t="str">
        <f>'5_Planning'!$C$6&amp;", "&amp;'5_Planning'!$H$7</f>
        <v>Section A: All years, Column 1</v>
      </c>
      <c r="F14" t="str">
        <f>'5_Planning'!$C$6&amp;", "&amp;'5_Planning'!$H$7</f>
        <v>Section A: All years, Column 1</v>
      </c>
      <c r="G14" t="str">
        <f>'5_Planning'!$C$6&amp;", "&amp;'5_Planning'!$H$7</f>
        <v>Section A: All years, Column 1</v>
      </c>
      <c r="H14" t="str">
        <f>'5_Planning'!$C$6&amp;", "&amp;'5_Planning'!$H$7</f>
        <v>Section A: All years, Column 1</v>
      </c>
      <c r="I14" t="str">
        <f>'5_Planning'!$C$6&amp;", "&amp;'5_Planning'!$M$7</f>
        <v>Section A: All years, Column 2</v>
      </c>
      <c r="J14" t="str">
        <f>'5_Planning'!$C$6&amp;", "&amp;'5_Planning'!$M$7</f>
        <v>Section A: All years, Column 2</v>
      </c>
      <c r="K14" t="str">
        <f>'5_Planning'!$C$6&amp;", "&amp;'5_Planning'!$M$7</f>
        <v>Section A: All years, Column 2</v>
      </c>
      <c r="L14" t="str">
        <f>'5_Planning'!$C$6&amp;", "&amp;'5_Planning'!$M$7</f>
        <v>Section A: All years, Column 2</v>
      </c>
      <c r="M14" t="str">
        <f>'5_Planning'!$C$6&amp;", "&amp;'5_Planning'!$M$7</f>
        <v>Section A: All years, Column 2</v>
      </c>
      <c r="N14" t="str">
        <f>'5_Planning'!$R$6&amp;""</f>
        <v>Section B: New entrants</v>
      </c>
      <c r="O14" t="str">
        <f>'5_Planning'!$R$6&amp;""</f>
        <v>Section B: New entrants</v>
      </c>
      <c r="P14" t="str">
        <f>'5_Planning'!$R$6&amp;""</f>
        <v>Section B: New entrants</v>
      </c>
      <c r="Q14" t="str">
        <f>'5_Planning'!$R$6&amp;""</f>
        <v>Section B: New entrants</v>
      </c>
      <c r="R14" t="str">
        <f>'5_Planning'!$R$6&amp;""</f>
        <v>Section B: New entrants</v>
      </c>
    </row>
    <row r="15" spans="1:59" s="182" customFormat="1" ht="39.4" x14ac:dyDescent="0.4">
      <c r="AD15" s="538" t="s">
        <v>27735</v>
      </c>
      <c r="AX15"/>
      <c r="AY15"/>
    </row>
    <row r="16" spans="1:59" x14ac:dyDescent="0.35">
      <c r="AD16" s="11" t="s">
        <v>293</v>
      </c>
      <c r="AI16" s="11" t="s">
        <v>293</v>
      </c>
      <c r="AN16" s="11" t="s">
        <v>293</v>
      </c>
      <c r="AS16" s="11" t="s">
        <v>293</v>
      </c>
      <c r="AT16" s="11"/>
      <c r="AX16" s="11" t="s">
        <v>293</v>
      </c>
    </row>
    <row r="17" spans="1:51" ht="51" x14ac:dyDescent="0.35">
      <c r="A17" s="182"/>
      <c r="B17" s="182"/>
      <c r="C17" s="182"/>
      <c r="D17" s="184" t="s">
        <v>27811</v>
      </c>
      <c r="E17" s="184" t="s">
        <v>27812</v>
      </c>
      <c r="F17" s="184" t="s">
        <v>27813</v>
      </c>
      <c r="G17" s="184" t="s">
        <v>27814</v>
      </c>
      <c r="H17" s="182" t="s">
        <v>194</v>
      </c>
      <c r="I17" s="182" t="s">
        <v>27811</v>
      </c>
      <c r="J17" s="182" t="s">
        <v>27812</v>
      </c>
      <c r="K17" s="182" t="s">
        <v>27813</v>
      </c>
      <c r="L17" s="182" t="s">
        <v>27814</v>
      </c>
      <c r="M17" s="182" t="s">
        <v>194</v>
      </c>
      <c r="N17" s="182" t="s">
        <v>27811</v>
      </c>
      <c r="O17" s="182" t="s">
        <v>27812</v>
      </c>
      <c r="P17" s="182" t="s">
        <v>27813</v>
      </c>
      <c r="Q17" s="182" t="s">
        <v>27814</v>
      </c>
      <c r="R17" s="182" t="s">
        <v>194</v>
      </c>
      <c r="S17" s="182"/>
      <c r="U17" s="182"/>
      <c r="V17" s="182"/>
      <c r="W17" s="182"/>
      <c r="X17" s="182"/>
      <c r="Y17" s="182"/>
      <c r="Z17" s="182"/>
      <c r="AA17" s="182"/>
      <c r="AB17" s="182"/>
      <c r="AC17" s="182"/>
      <c r="AD17" t="s">
        <v>300</v>
      </c>
      <c r="AF17" t="s">
        <v>301</v>
      </c>
      <c r="AH17" t="s">
        <v>27815</v>
      </c>
      <c r="AI17" t="s">
        <v>300</v>
      </c>
      <c r="AK17" t="s">
        <v>301</v>
      </c>
      <c r="AM17" t="s">
        <v>27815</v>
      </c>
      <c r="AN17" t="s">
        <v>300</v>
      </c>
      <c r="AP17" t="s">
        <v>301</v>
      </c>
      <c r="AR17" t="s">
        <v>27815</v>
      </c>
      <c r="AS17" t="s">
        <v>300</v>
      </c>
      <c r="AU17" t="s">
        <v>301</v>
      </c>
      <c r="AW17" t="s">
        <v>27815</v>
      </c>
      <c r="AX17" t="s">
        <v>300</v>
      </c>
      <c r="AY17" t="s">
        <v>301</v>
      </c>
    </row>
    <row r="18" spans="1:51" x14ac:dyDescent="0.35">
      <c r="AD18" t="s">
        <v>195</v>
      </c>
      <c r="AE18" t="s">
        <v>27816</v>
      </c>
      <c r="AF18" t="s">
        <v>195</v>
      </c>
      <c r="AG18" t="s">
        <v>27816</v>
      </c>
      <c r="AI18" t="s">
        <v>195</v>
      </c>
      <c r="AJ18" t="s">
        <v>27816</v>
      </c>
      <c r="AK18" t="s">
        <v>195</v>
      </c>
      <c r="AL18" t="s">
        <v>27816</v>
      </c>
      <c r="AN18" t="s">
        <v>195</v>
      </c>
      <c r="AO18" t="s">
        <v>27816</v>
      </c>
      <c r="AP18" t="s">
        <v>195</v>
      </c>
      <c r="AQ18" t="s">
        <v>27816</v>
      </c>
      <c r="AS18" t="s">
        <v>195</v>
      </c>
      <c r="AT18" t="s">
        <v>27816</v>
      </c>
      <c r="AU18" t="s">
        <v>195</v>
      </c>
      <c r="AV18" t="s">
        <v>27816</v>
      </c>
      <c r="AX18" s="42" t="s">
        <v>28287</v>
      </c>
      <c r="AY18" s="42" t="s">
        <v>28287</v>
      </c>
    </row>
    <row r="19" spans="1:51" ht="13.5" x14ac:dyDescent="0.35">
      <c r="B19" t="str">
        <f>'5_Planning'!$A$14</f>
        <v>Full-time and sandwich year out</v>
      </c>
      <c r="C19" s="11" t="str">
        <f>'5_Planning'!B14</f>
        <v>UG (Level 4 and 5)</v>
      </c>
      <c r="AD19" s="242">
        <f t="shared" ref="AD19:AH23" si="0">IF(OR(D37&lt;&gt;"",D60&lt;&gt;"",K83&lt;&gt;""),1,0)</f>
        <v>0</v>
      </c>
      <c r="AE19" s="243">
        <f t="shared" si="0"/>
        <v>0</v>
      </c>
      <c r="AF19" s="244">
        <f t="shared" si="0"/>
        <v>0</v>
      </c>
      <c r="AG19" s="243">
        <f t="shared" si="0"/>
        <v>0</v>
      </c>
      <c r="AH19" s="272">
        <f t="shared" si="0"/>
        <v>0</v>
      </c>
      <c r="AI19" s="267">
        <f t="shared" ref="AI19:AM23" si="1">AD19</f>
        <v>0</v>
      </c>
      <c r="AJ19" s="239">
        <f t="shared" si="1"/>
        <v>0</v>
      </c>
      <c r="AK19" s="240">
        <f t="shared" si="1"/>
        <v>0</v>
      </c>
      <c r="AL19" s="239">
        <f t="shared" si="1"/>
        <v>0</v>
      </c>
      <c r="AM19" s="241">
        <f t="shared" si="1"/>
        <v>0</v>
      </c>
      <c r="AN19" s="242">
        <f t="shared" ref="AN19:AR23" si="2">IF(OR(I37&lt;&gt;"",I60&lt;&gt;"",V83&lt;&gt;""),1,0)</f>
        <v>0</v>
      </c>
      <c r="AO19" s="243">
        <f t="shared" si="2"/>
        <v>0</v>
      </c>
      <c r="AP19" s="244">
        <f t="shared" si="2"/>
        <v>0</v>
      </c>
      <c r="AQ19" s="243">
        <f t="shared" si="2"/>
        <v>0</v>
      </c>
      <c r="AR19" s="245">
        <f t="shared" si="2"/>
        <v>0</v>
      </c>
      <c r="AS19" s="246">
        <f t="shared" ref="AS19:AW23" si="3">IF(OR(N37&lt;&gt;"",N60&lt;&gt;"",N104&lt;&gt;""),1,0)</f>
        <v>0</v>
      </c>
      <c r="AT19" s="243">
        <f t="shared" si="3"/>
        <v>0</v>
      </c>
      <c r="AU19" s="247">
        <f t="shared" si="3"/>
        <v>0</v>
      </c>
      <c r="AV19" s="243">
        <f t="shared" si="3"/>
        <v>0</v>
      </c>
      <c r="AW19" s="248">
        <f t="shared" si="3"/>
        <v>0</v>
      </c>
      <c r="AX19" s="828">
        <f>IF(OR(S37&lt;&gt;"",S60&lt;&gt;"",S127&lt;&gt;""),1,0)</f>
        <v>0</v>
      </c>
      <c r="AY19" s="713">
        <f>IF(OR(T37&lt;&gt;"",T60&lt;&gt;"",T127&lt;&gt;""),1,0)</f>
        <v>0</v>
      </c>
    </row>
    <row r="20" spans="1:51" ht="13.5" x14ac:dyDescent="0.35">
      <c r="B20" t="str">
        <f>'5_Planning'!$A$14</f>
        <v>Full-time and sandwich year out</v>
      </c>
      <c r="C20" s="11" t="str">
        <f>'5_Planning'!B15</f>
        <v>UG (Other)</v>
      </c>
      <c r="AD20" s="1638">
        <f t="shared" si="0"/>
        <v>0</v>
      </c>
      <c r="AE20" s="228">
        <f t="shared" si="0"/>
        <v>0</v>
      </c>
      <c r="AF20" s="229">
        <f t="shared" si="0"/>
        <v>0</v>
      </c>
      <c r="AG20" s="228">
        <f t="shared" si="0"/>
        <v>0</v>
      </c>
      <c r="AH20" s="273">
        <f t="shared" si="0"/>
        <v>0</v>
      </c>
      <c r="AI20" s="268">
        <f t="shared" si="1"/>
        <v>0</v>
      </c>
      <c r="AJ20" s="149">
        <f t="shared" si="1"/>
        <v>0</v>
      </c>
      <c r="AK20" s="150">
        <f t="shared" si="1"/>
        <v>0</v>
      </c>
      <c r="AL20" s="149">
        <f t="shared" si="1"/>
        <v>0</v>
      </c>
      <c r="AM20" s="238">
        <f t="shared" si="1"/>
        <v>0</v>
      </c>
      <c r="AN20" s="1638">
        <f>IF(OR(I38&lt;&gt;"",I61&lt;&gt;"",V84&lt;&gt;""),1,0)</f>
        <v>0</v>
      </c>
      <c r="AO20" s="228">
        <f t="shared" si="2"/>
        <v>0</v>
      </c>
      <c r="AP20" s="229">
        <f t="shared" si="2"/>
        <v>0</v>
      </c>
      <c r="AQ20" s="228">
        <f t="shared" si="2"/>
        <v>0</v>
      </c>
      <c r="AR20" s="230">
        <f t="shared" si="2"/>
        <v>0</v>
      </c>
      <c r="AS20" s="231">
        <f t="shared" si="3"/>
        <v>0</v>
      </c>
      <c r="AT20" s="228">
        <f t="shared" si="3"/>
        <v>0</v>
      </c>
      <c r="AU20" s="232">
        <f t="shared" si="3"/>
        <v>0</v>
      </c>
      <c r="AV20" s="228">
        <f t="shared" si="3"/>
        <v>0</v>
      </c>
      <c r="AW20" s="233">
        <f t="shared" si="3"/>
        <v>0</v>
      </c>
      <c r="AX20" s="2176"/>
      <c r="AY20" s="2177"/>
    </row>
    <row r="21" spans="1:51" ht="13.5" x14ac:dyDescent="0.35">
      <c r="B21" t="str">
        <f>'5_Planning'!$A$14</f>
        <v>Full-time and sandwich year out</v>
      </c>
      <c r="C21" s="11" t="str">
        <f>'5_Planning'!B16</f>
        <v>PGT (UG fee)</v>
      </c>
      <c r="AD21" s="221">
        <f t="shared" si="0"/>
        <v>0</v>
      </c>
      <c r="AE21" s="222">
        <f t="shared" si="0"/>
        <v>0</v>
      </c>
      <c r="AF21" s="223">
        <f t="shared" si="0"/>
        <v>0</v>
      </c>
      <c r="AG21" s="222">
        <f t="shared" si="0"/>
        <v>0</v>
      </c>
      <c r="AH21" s="274">
        <f t="shared" si="0"/>
        <v>0</v>
      </c>
      <c r="AI21" s="269">
        <f t="shared" si="1"/>
        <v>0</v>
      </c>
      <c r="AJ21" s="218">
        <f t="shared" si="1"/>
        <v>0</v>
      </c>
      <c r="AK21" s="219">
        <f t="shared" si="1"/>
        <v>0</v>
      </c>
      <c r="AL21" s="218">
        <f t="shared" si="1"/>
        <v>0</v>
      </c>
      <c r="AM21" s="220">
        <f t="shared" si="1"/>
        <v>0</v>
      </c>
      <c r="AN21" s="221">
        <f t="shared" si="2"/>
        <v>0</v>
      </c>
      <c r="AO21" s="222">
        <f t="shared" si="2"/>
        <v>0</v>
      </c>
      <c r="AP21" s="223">
        <f t="shared" si="2"/>
        <v>0</v>
      </c>
      <c r="AQ21" s="222">
        <f t="shared" si="2"/>
        <v>0</v>
      </c>
      <c r="AR21" s="224">
        <f t="shared" si="2"/>
        <v>0</v>
      </c>
      <c r="AS21" s="225">
        <f t="shared" si="3"/>
        <v>0</v>
      </c>
      <c r="AT21" s="222">
        <f t="shared" si="3"/>
        <v>0</v>
      </c>
      <c r="AU21" s="226">
        <f t="shared" si="3"/>
        <v>0</v>
      </c>
      <c r="AV21" s="222">
        <f t="shared" si="3"/>
        <v>0</v>
      </c>
      <c r="AW21" s="227">
        <f t="shared" si="3"/>
        <v>0</v>
      </c>
      <c r="AX21" s="2176"/>
      <c r="AY21" s="2177"/>
    </row>
    <row r="22" spans="1:51" ht="13.5" x14ac:dyDescent="0.35">
      <c r="B22" t="str">
        <f>'5_Planning'!$A$14</f>
        <v>Full-time and sandwich year out</v>
      </c>
      <c r="C22" s="11" t="str">
        <f>'5_Planning'!B17</f>
        <v>PGT (Masters' loan)</v>
      </c>
      <c r="AD22" s="221">
        <f t="shared" si="0"/>
        <v>0</v>
      </c>
      <c r="AE22" s="222">
        <f t="shared" si="0"/>
        <v>0</v>
      </c>
      <c r="AF22" s="223">
        <f t="shared" si="0"/>
        <v>0</v>
      </c>
      <c r="AG22" s="222">
        <f t="shared" si="0"/>
        <v>0</v>
      </c>
      <c r="AH22" s="274">
        <f t="shared" si="0"/>
        <v>0</v>
      </c>
      <c r="AI22" s="269">
        <f t="shared" si="1"/>
        <v>0</v>
      </c>
      <c r="AJ22" s="218">
        <f t="shared" si="1"/>
        <v>0</v>
      </c>
      <c r="AK22" s="219">
        <f t="shared" si="1"/>
        <v>0</v>
      </c>
      <c r="AL22" s="218">
        <f t="shared" si="1"/>
        <v>0</v>
      </c>
      <c r="AM22" s="220">
        <f t="shared" si="1"/>
        <v>0</v>
      </c>
      <c r="AN22" s="221">
        <f t="shared" si="2"/>
        <v>0</v>
      </c>
      <c r="AO22" s="222">
        <f t="shared" si="2"/>
        <v>0</v>
      </c>
      <c r="AP22" s="223">
        <f t="shared" si="2"/>
        <v>0</v>
      </c>
      <c r="AQ22" s="222">
        <f t="shared" si="2"/>
        <v>0</v>
      </c>
      <c r="AR22" s="224">
        <f t="shared" si="2"/>
        <v>0</v>
      </c>
      <c r="AS22" s="225">
        <f t="shared" si="3"/>
        <v>0</v>
      </c>
      <c r="AT22" s="222">
        <f t="shared" si="3"/>
        <v>0</v>
      </c>
      <c r="AU22" s="226">
        <f t="shared" si="3"/>
        <v>0</v>
      </c>
      <c r="AV22" s="222">
        <f t="shared" si="3"/>
        <v>0</v>
      </c>
      <c r="AW22" s="227">
        <f t="shared" si="3"/>
        <v>0</v>
      </c>
      <c r="AX22" s="2178"/>
      <c r="AY22" s="2179"/>
    </row>
    <row r="23" spans="1:51" ht="13.5" x14ac:dyDescent="0.35">
      <c r="B23" t="str">
        <f>'5_Planning'!$A$14</f>
        <v>Full-time and sandwich year out</v>
      </c>
      <c r="C23" s="11" t="str">
        <f>'5_Planning'!B18</f>
        <v>PGT (Other)</v>
      </c>
      <c r="AD23" s="259">
        <f t="shared" si="0"/>
        <v>0</v>
      </c>
      <c r="AE23" s="260">
        <f t="shared" si="0"/>
        <v>0</v>
      </c>
      <c r="AF23" s="261">
        <f t="shared" si="0"/>
        <v>0</v>
      </c>
      <c r="AG23" s="260">
        <f t="shared" si="0"/>
        <v>0</v>
      </c>
      <c r="AH23" s="275">
        <f t="shared" si="0"/>
        <v>0</v>
      </c>
      <c r="AI23" s="269">
        <f t="shared" si="1"/>
        <v>0</v>
      </c>
      <c r="AJ23" s="218">
        <f t="shared" si="1"/>
        <v>0</v>
      </c>
      <c r="AK23" s="257">
        <f t="shared" si="1"/>
        <v>0</v>
      </c>
      <c r="AL23" s="256">
        <f t="shared" si="1"/>
        <v>0</v>
      </c>
      <c r="AM23" s="258">
        <f t="shared" si="1"/>
        <v>0</v>
      </c>
      <c r="AN23" s="259">
        <f t="shared" si="2"/>
        <v>0</v>
      </c>
      <c r="AO23" s="260">
        <f t="shared" si="2"/>
        <v>0</v>
      </c>
      <c r="AP23" s="261">
        <f t="shared" si="2"/>
        <v>0</v>
      </c>
      <c r="AQ23" s="260">
        <f t="shared" si="2"/>
        <v>0</v>
      </c>
      <c r="AR23" s="275">
        <f t="shared" si="2"/>
        <v>0</v>
      </c>
      <c r="AS23" s="225">
        <f t="shared" si="3"/>
        <v>0</v>
      </c>
      <c r="AT23" s="222">
        <f t="shared" si="3"/>
        <v>0</v>
      </c>
      <c r="AU23" s="264">
        <f t="shared" si="3"/>
        <v>0</v>
      </c>
      <c r="AV23" s="260">
        <f t="shared" si="3"/>
        <v>0</v>
      </c>
      <c r="AW23" s="265">
        <f t="shared" si="3"/>
        <v>0</v>
      </c>
      <c r="AX23" s="2180"/>
      <c r="AY23" s="2181"/>
    </row>
    <row r="24" spans="1:51" ht="13.5" x14ac:dyDescent="0.35">
      <c r="B24" t="str">
        <f>'5_Planning'!$A$14</f>
        <v>Full-time and sandwich year out</v>
      </c>
      <c r="C24" s="11" t="str">
        <f>'5_Planning'!B19</f>
        <v>PGR</v>
      </c>
      <c r="AD24" s="1639"/>
      <c r="AE24" s="1355"/>
      <c r="AF24" s="229">
        <f t="shared" ref="AF24:AH30" si="4">IF(OR(F42&lt;&gt;"",F65&lt;&gt;"",M88&lt;&gt;""),1,0)</f>
        <v>0</v>
      </c>
      <c r="AG24" s="228">
        <f t="shared" si="4"/>
        <v>0</v>
      </c>
      <c r="AH24" s="273">
        <f t="shared" si="4"/>
        <v>0</v>
      </c>
      <c r="AI24" s="1356"/>
      <c r="AJ24" s="1357"/>
      <c r="AK24" s="150">
        <f t="shared" ref="AK24:AM30" si="5">AF24</f>
        <v>0</v>
      </c>
      <c r="AL24" s="149">
        <f t="shared" si="5"/>
        <v>0</v>
      </c>
      <c r="AM24" s="151">
        <f t="shared" si="5"/>
        <v>0</v>
      </c>
      <c r="AN24" s="1639"/>
      <c r="AO24" s="1357"/>
      <c r="AP24" s="229">
        <f t="shared" ref="AP24:AR30" si="6">IF(OR(K42&lt;&gt;"",K65&lt;&gt;"",X88&lt;&gt;""),1,0)</f>
        <v>0</v>
      </c>
      <c r="AQ24" s="228">
        <f t="shared" si="6"/>
        <v>0</v>
      </c>
      <c r="AR24" s="230">
        <f t="shared" si="6"/>
        <v>0</v>
      </c>
      <c r="AS24" s="1358"/>
      <c r="AT24" s="1357"/>
      <c r="AU24" s="232">
        <f t="shared" ref="AU24:AW30" si="7">IF(OR(P42&lt;&gt;"",P65&lt;&gt;"",P109&lt;&gt;""),1,0)</f>
        <v>0</v>
      </c>
      <c r="AV24" s="228">
        <f t="shared" si="7"/>
        <v>0</v>
      </c>
      <c r="AW24" s="233">
        <f t="shared" si="7"/>
        <v>0</v>
      </c>
      <c r="AX24" s="874"/>
      <c r="AY24" s="2170"/>
    </row>
    <row r="25" spans="1:51" ht="13.5" x14ac:dyDescent="0.35">
      <c r="B25" t="str">
        <f>'5_Planning'!$A$20</f>
        <v>Part-time</v>
      </c>
      <c r="C25" s="11" t="str">
        <f>'5_Planning'!B20</f>
        <v>UG (Level 4 and 5)</v>
      </c>
      <c r="AD25" s="242">
        <f t="shared" ref="AD25:AE29" si="8">IF(OR(D43&lt;&gt;"",D66&lt;&gt;"",K89&lt;&gt;""),1,0)</f>
        <v>0</v>
      </c>
      <c r="AE25" s="243">
        <f t="shared" si="8"/>
        <v>0</v>
      </c>
      <c r="AF25" s="244">
        <f t="shared" si="4"/>
        <v>0</v>
      </c>
      <c r="AG25" s="243">
        <f t="shared" si="4"/>
        <v>0</v>
      </c>
      <c r="AH25" s="272">
        <f t="shared" si="4"/>
        <v>0</v>
      </c>
      <c r="AI25" s="267">
        <f t="shared" ref="AI25:AJ29" si="9">AD25</f>
        <v>0</v>
      </c>
      <c r="AJ25" s="239">
        <f t="shared" si="9"/>
        <v>0</v>
      </c>
      <c r="AK25" s="240">
        <f t="shared" si="5"/>
        <v>0</v>
      </c>
      <c r="AL25" s="239">
        <f t="shared" si="5"/>
        <v>0</v>
      </c>
      <c r="AM25" s="241">
        <f t="shared" si="5"/>
        <v>0</v>
      </c>
      <c r="AN25" s="242">
        <f t="shared" ref="AN25:AO29" si="10">IF(OR(I43&lt;&gt;"",I66&lt;&gt;"",V89&lt;&gt;""),1,0)</f>
        <v>0</v>
      </c>
      <c r="AO25" s="243">
        <f t="shared" si="10"/>
        <v>0</v>
      </c>
      <c r="AP25" s="244">
        <f t="shared" si="6"/>
        <v>0</v>
      </c>
      <c r="AQ25" s="243">
        <f t="shared" si="6"/>
        <v>0</v>
      </c>
      <c r="AR25" s="245">
        <f t="shared" si="6"/>
        <v>0</v>
      </c>
      <c r="AS25" s="246">
        <f t="shared" ref="AS25:AT29" si="11">IF(OR(N43&lt;&gt;"",N66&lt;&gt;"",N110&lt;&gt;""),1,0)</f>
        <v>0</v>
      </c>
      <c r="AT25" s="243">
        <f t="shared" si="11"/>
        <v>0</v>
      </c>
      <c r="AU25" s="247">
        <f t="shared" si="7"/>
        <v>0</v>
      </c>
      <c r="AV25" s="243">
        <f t="shared" si="7"/>
        <v>0</v>
      </c>
      <c r="AW25" s="248">
        <f t="shared" si="7"/>
        <v>0</v>
      </c>
      <c r="AX25" s="1857">
        <f>IF(OR(S43&lt;&gt;"",S66&lt;&gt;"",S133&lt;&gt;""),1,0)</f>
        <v>0</v>
      </c>
      <c r="AY25" s="2148">
        <f t="shared" ref="AY25" si="12">IF(OR(T43&lt;&gt;"",T66&lt;&gt;"",T133&lt;&gt;""),1,0)</f>
        <v>0</v>
      </c>
    </row>
    <row r="26" spans="1:51" ht="13.5" x14ac:dyDescent="0.35">
      <c r="B26" t="str">
        <f>'5_Planning'!$A$20</f>
        <v>Part-time</v>
      </c>
      <c r="C26" s="11" t="str">
        <f>'5_Planning'!B21</f>
        <v>UG (Other)</v>
      </c>
      <c r="AD26" s="1638">
        <f t="shared" si="8"/>
        <v>0</v>
      </c>
      <c r="AE26" s="228">
        <f t="shared" si="8"/>
        <v>0</v>
      </c>
      <c r="AF26" s="229">
        <f t="shared" si="4"/>
        <v>0</v>
      </c>
      <c r="AG26" s="228">
        <f t="shared" si="4"/>
        <v>0</v>
      </c>
      <c r="AH26" s="273">
        <f t="shared" si="4"/>
        <v>0</v>
      </c>
      <c r="AI26" s="268">
        <f t="shared" si="9"/>
        <v>0</v>
      </c>
      <c r="AJ26" s="149">
        <f t="shared" si="9"/>
        <v>0</v>
      </c>
      <c r="AK26" s="150">
        <f t="shared" si="5"/>
        <v>0</v>
      </c>
      <c r="AL26" s="149">
        <f t="shared" si="5"/>
        <v>0</v>
      </c>
      <c r="AM26" s="238">
        <f t="shared" si="5"/>
        <v>0</v>
      </c>
      <c r="AN26" s="1638">
        <f t="shared" si="10"/>
        <v>0</v>
      </c>
      <c r="AO26" s="228">
        <f t="shared" si="10"/>
        <v>0</v>
      </c>
      <c r="AP26" s="229">
        <f t="shared" si="6"/>
        <v>0</v>
      </c>
      <c r="AQ26" s="228">
        <f t="shared" si="6"/>
        <v>0</v>
      </c>
      <c r="AR26" s="230">
        <f t="shared" si="6"/>
        <v>0</v>
      </c>
      <c r="AS26" s="231">
        <f t="shared" si="11"/>
        <v>0</v>
      </c>
      <c r="AT26" s="228">
        <f t="shared" si="11"/>
        <v>0</v>
      </c>
      <c r="AU26" s="232">
        <f t="shared" si="7"/>
        <v>0</v>
      </c>
      <c r="AV26" s="228">
        <f t="shared" si="7"/>
        <v>0</v>
      </c>
      <c r="AW26" s="233">
        <f t="shared" si="7"/>
        <v>0</v>
      </c>
      <c r="AX26" s="2178"/>
      <c r="AY26" s="2179"/>
    </row>
    <row r="27" spans="1:51" ht="13.5" x14ac:dyDescent="0.35">
      <c r="B27" t="str">
        <f>'5_Planning'!$A$20</f>
        <v>Part-time</v>
      </c>
      <c r="C27" s="11" t="str">
        <f>'5_Planning'!B22</f>
        <v>PGT (UG fee)</v>
      </c>
      <c r="AD27" s="221">
        <f t="shared" si="8"/>
        <v>0</v>
      </c>
      <c r="AE27" s="222">
        <f t="shared" si="8"/>
        <v>0</v>
      </c>
      <c r="AF27" s="223">
        <f t="shared" si="4"/>
        <v>0</v>
      </c>
      <c r="AG27" s="222">
        <f t="shared" si="4"/>
        <v>0</v>
      </c>
      <c r="AH27" s="274">
        <f t="shared" si="4"/>
        <v>0</v>
      </c>
      <c r="AI27" s="269">
        <f t="shared" si="9"/>
        <v>0</v>
      </c>
      <c r="AJ27" s="218">
        <f t="shared" si="9"/>
        <v>0</v>
      </c>
      <c r="AK27" s="219">
        <f t="shared" si="5"/>
        <v>0</v>
      </c>
      <c r="AL27" s="218">
        <f t="shared" si="5"/>
        <v>0</v>
      </c>
      <c r="AM27" s="220">
        <f t="shared" si="5"/>
        <v>0</v>
      </c>
      <c r="AN27" s="221">
        <f t="shared" si="10"/>
        <v>0</v>
      </c>
      <c r="AO27" s="222">
        <f t="shared" si="10"/>
        <v>0</v>
      </c>
      <c r="AP27" s="223">
        <f t="shared" si="6"/>
        <v>0</v>
      </c>
      <c r="AQ27" s="222">
        <f t="shared" si="6"/>
        <v>0</v>
      </c>
      <c r="AR27" s="224">
        <f t="shared" si="6"/>
        <v>0</v>
      </c>
      <c r="AS27" s="225">
        <f t="shared" si="11"/>
        <v>0</v>
      </c>
      <c r="AT27" s="222">
        <f t="shared" si="11"/>
        <v>0</v>
      </c>
      <c r="AU27" s="226">
        <f t="shared" si="7"/>
        <v>0</v>
      </c>
      <c r="AV27" s="222">
        <f t="shared" si="7"/>
        <v>0</v>
      </c>
      <c r="AW27" s="227">
        <f t="shared" si="7"/>
        <v>0</v>
      </c>
      <c r="AX27" s="2178"/>
      <c r="AY27" s="2179"/>
    </row>
    <row r="28" spans="1:51" ht="13.5" x14ac:dyDescent="0.35">
      <c r="B28" t="str">
        <f>'5_Planning'!$A$20</f>
        <v>Part-time</v>
      </c>
      <c r="C28" s="11" t="str">
        <f>'5_Planning'!B23</f>
        <v>PGT (Masters' loan)</v>
      </c>
      <c r="AD28" s="221">
        <f t="shared" si="8"/>
        <v>0</v>
      </c>
      <c r="AE28" s="222">
        <f t="shared" si="8"/>
        <v>0</v>
      </c>
      <c r="AF28" s="223">
        <f t="shared" si="4"/>
        <v>0</v>
      </c>
      <c r="AG28" s="222">
        <f t="shared" si="4"/>
        <v>0</v>
      </c>
      <c r="AH28" s="274">
        <f t="shared" si="4"/>
        <v>0</v>
      </c>
      <c r="AI28" s="269">
        <f t="shared" si="9"/>
        <v>0</v>
      </c>
      <c r="AJ28" s="218">
        <f t="shared" si="9"/>
        <v>0</v>
      </c>
      <c r="AK28" s="219">
        <f t="shared" si="5"/>
        <v>0</v>
      </c>
      <c r="AL28" s="218">
        <f t="shared" si="5"/>
        <v>0</v>
      </c>
      <c r="AM28" s="220">
        <f t="shared" si="5"/>
        <v>0</v>
      </c>
      <c r="AN28" s="221">
        <f t="shared" si="10"/>
        <v>0</v>
      </c>
      <c r="AO28" s="222">
        <f t="shared" si="10"/>
        <v>0</v>
      </c>
      <c r="AP28" s="223">
        <f t="shared" si="6"/>
        <v>0</v>
      </c>
      <c r="AQ28" s="222">
        <f t="shared" si="6"/>
        <v>0</v>
      </c>
      <c r="AR28" s="224">
        <f t="shared" si="6"/>
        <v>0</v>
      </c>
      <c r="AS28" s="225">
        <f t="shared" si="11"/>
        <v>0</v>
      </c>
      <c r="AT28" s="222">
        <f t="shared" si="11"/>
        <v>0</v>
      </c>
      <c r="AU28" s="226">
        <f t="shared" si="7"/>
        <v>0</v>
      </c>
      <c r="AV28" s="222">
        <f t="shared" si="7"/>
        <v>0</v>
      </c>
      <c r="AW28" s="227">
        <f t="shared" si="7"/>
        <v>0</v>
      </c>
      <c r="AX28" s="2178"/>
      <c r="AY28" s="2179"/>
    </row>
    <row r="29" spans="1:51" ht="13.5" x14ac:dyDescent="0.35">
      <c r="B29" t="str">
        <f>'5_Planning'!$A$20</f>
        <v>Part-time</v>
      </c>
      <c r="C29" s="11" t="str">
        <f>'5_Planning'!B24</f>
        <v>PGT (Other)</v>
      </c>
      <c r="AD29" s="259">
        <f t="shared" si="8"/>
        <v>0</v>
      </c>
      <c r="AE29" s="260">
        <f t="shared" si="8"/>
        <v>0</v>
      </c>
      <c r="AF29" s="261">
        <f t="shared" si="4"/>
        <v>0</v>
      </c>
      <c r="AG29" s="260">
        <f t="shared" si="4"/>
        <v>0</v>
      </c>
      <c r="AH29" s="275">
        <f t="shared" si="4"/>
        <v>0</v>
      </c>
      <c r="AI29" s="270">
        <f t="shared" si="9"/>
        <v>0</v>
      </c>
      <c r="AJ29" s="256">
        <f t="shared" si="9"/>
        <v>0</v>
      </c>
      <c r="AK29" s="257">
        <f t="shared" si="5"/>
        <v>0</v>
      </c>
      <c r="AL29" s="256">
        <f t="shared" si="5"/>
        <v>0</v>
      </c>
      <c r="AM29" s="258">
        <f t="shared" si="5"/>
        <v>0</v>
      </c>
      <c r="AN29" s="259">
        <f t="shared" si="10"/>
        <v>0</v>
      </c>
      <c r="AO29" s="260">
        <f t="shared" si="10"/>
        <v>0</v>
      </c>
      <c r="AP29" s="261">
        <f t="shared" si="6"/>
        <v>0</v>
      </c>
      <c r="AQ29" s="260">
        <f t="shared" si="6"/>
        <v>0</v>
      </c>
      <c r="AR29" s="262">
        <f t="shared" si="6"/>
        <v>0</v>
      </c>
      <c r="AS29" s="263">
        <f t="shared" si="11"/>
        <v>0</v>
      </c>
      <c r="AT29" s="260">
        <f t="shared" si="11"/>
        <v>0</v>
      </c>
      <c r="AU29" s="264">
        <f t="shared" si="7"/>
        <v>0</v>
      </c>
      <c r="AV29" s="260">
        <f t="shared" si="7"/>
        <v>0</v>
      </c>
      <c r="AW29" s="265">
        <f t="shared" si="7"/>
        <v>0</v>
      </c>
      <c r="AX29" s="2178"/>
      <c r="AY29" s="2179"/>
    </row>
    <row r="30" spans="1:51" ht="13.9" thickBot="1" x14ac:dyDescent="0.4">
      <c r="B30" t="str">
        <f>'5_Planning'!$A$20</f>
        <v>Part-time</v>
      </c>
      <c r="C30" s="11" t="str">
        <f>'5_Planning'!B25</f>
        <v>PGR</v>
      </c>
      <c r="AD30" s="348"/>
      <c r="AE30" s="266"/>
      <c r="AF30" s="261">
        <f t="shared" si="4"/>
        <v>0</v>
      </c>
      <c r="AG30" s="260">
        <f t="shared" si="4"/>
        <v>0</v>
      </c>
      <c r="AH30" s="276">
        <f t="shared" si="4"/>
        <v>0</v>
      </c>
      <c r="AI30" s="271"/>
      <c r="AJ30" s="266"/>
      <c r="AK30" s="257">
        <f t="shared" si="5"/>
        <v>0</v>
      </c>
      <c r="AL30" s="256">
        <f t="shared" si="5"/>
        <v>0</v>
      </c>
      <c r="AM30" s="258">
        <f t="shared" si="5"/>
        <v>0</v>
      </c>
      <c r="AN30" s="348"/>
      <c r="AO30" s="266"/>
      <c r="AP30" s="261">
        <f t="shared" si="6"/>
        <v>0</v>
      </c>
      <c r="AQ30" s="260">
        <f t="shared" si="6"/>
        <v>0</v>
      </c>
      <c r="AR30" s="262">
        <f t="shared" si="6"/>
        <v>0</v>
      </c>
      <c r="AS30" s="349"/>
      <c r="AT30" s="266"/>
      <c r="AU30" s="264">
        <f t="shared" si="7"/>
        <v>0</v>
      </c>
      <c r="AV30" s="260">
        <f t="shared" si="7"/>
        <v>0</v>
      </c>
      <c r="AW30" s="265">
        <f t="shared" si="7"/>
        <v>0</v>
      </c>
      <c r="AX30" s="886"/>
      <c r="AY30" s="2171"/>
    </row>
    <row r="31" spans="1:51" ht="13.9" thickTop="1" x14ac:dyDescent="0.35">
      <c r="AD31" s="155"/>
      <c r="AE31" s="152"/>
      <c r="AF31" s="156"/>
      <c r="AG31" s="152"/>
      <c r="AH31" s="278"/>
      <c r="AI31" s="277"/>
      <c r="AJ31" s="152"/>
      <c r="AK31" s="153"/>
      <c r="AL31" s="152"/>
      <c r="AM31" s="154"/>
      <c r="AN31" s="155"/>
      <c r="AO31" s="152"/>
      <c r="AP31" s="156"/>
      <c r="AQ31" s="152"/>
      <c r="AR31" s="157"/>
      <c r="AS31" s="158"/>
      <c r="AT31" s="152"/>
      <c r="AU31" s="153"/>
      <c r="AV31" s="152"/>
      <c r="AW31" s="154"/>
      <c r="AX31" s="2172"/>
      <c r="AY31" s="2173"/>
    </row>
    <row r="32" spans="1:51" ht="13.5" x14ac:dyDescent="0.35">
      <c r="AD32" s="1640"/>
      <c r="AE32" s="149"/>
      <c r="AF32" s="159"/>
      <c r="AG32" s="149"/>
      <c r="AH32" s="279"/>
      <c r="AI32" s="268"/>
      <c r="AJ32" s="149"/>
      <c r="AK32" s="150"/>
      <c r="AL32" s="149"/>
      <c r="AM32" s="151"/>
      <c r="AN32" s="1640"/>
      <c r="AO32" s="149"/>
      <c r="AP32" s="159"/>
      <c r="AQ32" s="149"/>
      <c r="AR32" s="160"/>
      <c r="AS32" s="161"/>
      <c r="AT32" s="149"/>
      <c r="AU32" s="150"/>
      <c r="AV32" s="149"/>
      <c r="AW32" s="151"/>
      <c r="AX32" s="2182"/>
      <c r="AY32" s="2183"/>
    </row>
    <row r="33" spans="2:51" ht="13.9" thickBot="1" x14ac:dyDescent="0.4"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17"/>
      <c r="AD33" s="1641"/>
      <c r="AE33" s="1642"/>
      <c r="AF33" s="1643"/>
      <c r="AG33" s="1642"/>
      <c r="AH33" s="1644"/>
      <c r="AI33" s="1645"/>
      <c r="AJ33" s="1642"/>
      <c r="AK33" s="162"/>
      <c r="AL33" s="1642"/>
      <c r="AM33" s="1704"/>
      <c r="AN33" s="1641"/>
      <c r="AO33" s="1642"/>
      <c r="AP33" s="1643"/>
      <c r="AQ33" s="1642"/>
      <c r="AR33" s="1646"/>
      <c r="AS33" s="1647"/>
      <c r="AT33" s="1642"/>
      <c r="AU33" s="162"/>
      <c r="AV33" s="1642"/>
      <c r="AW33" s="1704"/>
      <c r="AX33" s="2174"/>
      <c r="AY33" s="2175"/>
    </row>
    <row r="34" spans="2:51" x14ac:dyDescent="0.35">
      <c r="B34" s="24" t="s">
        <v>27817</v>
      </c>
      <c r="D34" t="s">
        <v>27793</v>
      </c>
      <c r="I34" t="s">
        <v>27774</v>
      </c>
      <c r="N34" t="s">
        <v>225</v>
      </c>
      <c r="S34" s="11" t="s">
        <v>27926</v>
      </c>
      <c r="U34" s="17"/>
    </row>
    <row r="35" spans="2:51" x14ac:dyDescent="0.35">
      <c r="B35" s="24"/>
      <c r="D35" t="str">
        <f>'5_Planning'!$H$6&amp;", "&amp;'5_Planning'!$H$7</f>
        <v>Section A: All years, Column 1</v>
      </c>
      <c r="E35" t="str">
        <f>'5_Planning'!$H$6&amp;", "&amp;'5_Planning'!$H$7</f>
        <v>Section A: All years, Column 1</v>
      </c>
      <c r="F35" t="str">
        <f>'5_Planning'!$H$6&amp;", "&amp;'5_Planning'!$H$7</f>
        <v>Section A: All years, Column 1</v>
      </c>
      <c r="G35" t="str">
        <f>'5_Planning'!$H$6&amp;", "&amp;'5_Planning'!$H$7</f>
        <v>Section A: All years, Column 1</v>
      </c>
      <c r="H35" t="str">
        <f>'5_Planning'!$H$6&amp;", "&amp;'5_Planning'!$H$7</f>
        <v>Section A: All years, Column 1</v>
      </c>
      <c r="I35" t="str">
        <f>'5_Planning'!$H$6&amp;", "&amp;'5_Planning'!$M$7</f>
        <v>Section A: All years, Column 2</v>
      </c>
      <c r="J35" t="str">
        <f>'5_Planning'!$H$6&amp;", "&amp;'5_Planning'!$M$7</f>
        <v>Section A: All years, Column 2</v>
      </c>
      <c r="K35" t="str">
        <f>'5_Planning'!$H$6&amp;", "&amp;'5_Planning'!$M$7</f>
        <v>Section A: All years, Column 2</v>
      </c>
      <c r="L35" t="str">
        <f>'5_Planning'!$H$6&amp;", "&amp;'5_Planning'!$M$7</f>
        <v>Section A: All years, Column 2</v>
      </c>
      <c r="M35" t="str">
        <f>'5_Planning'!$H$6&amp;", "&amp;'5_Planning'!$M$7</f>
        <v>Section A: All years, Column 2</v>
      </c>
      <c r="N35" t="str">
        <f>'5_Planning'!$R$6</f>
        <v>Section B: New entrants</v>
      </c>
      <c r="O35" t="str">
        <f>'5_Planning'!$R$6</f>
        <v>Section B: New entrants</v>
      </c>
      <c r="P35" t="str">
        <f>'5_Planning'!$R$6</f>
        <v>Section B: New entrants</v>
      </c>
      <c r="Q35" t="str">
        <f>'5_Planning'!$R$6</f>
        <v>Section B: New entrants</v>
      </c>
      <c r="R35" t="str">
        <f>'5_Planning'!$R$6</f>
        <v>Section B: New entrants</v>
      </c>
      <c r="S35" t="str">
        <f>'5_Planning'!$W$6</f>
        <v>Section C: HTQs</v>
      </c>
      <c r="T35" t="str">
        <f>'5_Planning'!$W$6</f>
        <v>Section C: HTQs</v>
      </c>
      <c r="U35" s="17"/>
    </row>
    <row r="36" spans="2:51" ht="64.5" customHeight="1" x14ac:dyDescent="0.35">
      <c r="B36" s="24"/>
      <c r="D36" s="184" t="s">
        <v>27811</v>
      </c>
      <c r="E36" s="184" t="s">
        <v>27812</v>
      </c>
      <c r="F36" s="184" t="s">
        <v>27813</v>
      </c>
      <c r="G36" s="184" t="s">
        <v>27814</v>
      </c>
      <c r="H36" s="182" t="s">
        <v>194</v>
      </c>
      <c r="I36" s="182" t="s">
        <v>27811</v>
      </c>
      <c r="J36" s="182" t="s">
        <v>27812</v>
      </c>
      <c r="K36" s="182" t="s">
        <v>27813</v>
      </c>
      <c r="L36" s="182" t="s">
        <v>27814</v>
      </c>
      <c r="M36" s="182" t="s">
        <v>194</v>
      </c>
      <c r="N36" s="182" t="s">
        <v>27811</v>
      </c>
      <c r="O36" s="182" t="s">
        <v>27812</v>
      </c>
      <c r="P36" s="182" t="s">
        <v>27813</v>
      </c>
      <c r="Q36" s="182" t="s">
        <v>27814</v>
      </c>
      <c r="R36" s="182" t="s">
        <v>194</v>
      </c>
      <c r="S36" s="184" t="s">
        <v>192</v>
      </c>
      <c r="T36" s="184" t="s">
        <v>193</v>
      </c>
      <c r="U36" s="17"/>
    </row>
    <row r="37" spans="2:51" x14ac:dyDescent="0.35">
      <c r="B37" s="118" t="str">
        <f>'5_Planning'!$A$14</f>
        <v>Full-time and sandwich year out</v>
      </c>
      <c r="C37" s="11" t="str">
        <f>'5_Planning'!B14</f>
        <v>UG (Level 4 and 5)</v>
      </c>
      <c r="D37" s="1842" t="str">
        <f>IF(AND($C$9=1,TRUNC('5_Planning'!H14)&lt;&gt;'5_Planning'!H14), D$35&amp;", "&amp;D$36&amp;", "&amp;$B37&amp;", Level "&amp;$C37&amp;"; ","")</f>
        <v/>
      </c>
      <c r="E37" s="185" t="str">
        <f>IF(AND($C$9=1,TRUNC('5_Planning'!I14)&lt;&gt;'5_Planning'!I14), E$35&amp;", "&amp;E$36&amp;", "&amp;$B37&amp;", Level "&amp;$C37&amp;"; ","")</f>
        <v/>
      </c>
      <c r="F37" s="185" t="str">
        <f>IF(AND($C$9=1,TRUNC('5_Planning'!J14)&lt;&gt;'5_Planning'!J14), F$35&amp;", "&amp;F$36&amp;", "&amp;$B37&amp;", Level "&amp;$C37&amp;"; ","")</f>
        <v/>
      </c>
      <c r="G37" s="185" t="str">
        <f>IF(AND($C$9=1,TRUNC('5_Planning'!K14)&lt;&gt;'5_Planning'!K14), G$35&amp;", "&amp;G$36&amp;", "&amp;$B37&amp;", Level "&amp;$C37&amp;"; ","")</f>
        <v/>
      </c>
      <c r="H37" s="1830" t="str">
        <f>IF(AND($C$9=1,TRUNC('5_Planning'!L14)&lt;&gt;'5_Planning'!L14), H$35&amp;", "&amp;H$36&amp;", "&amp;$B37&amp;", Level "&amp;$C37&amp;"; ","")</f>
        <v/>
      </c>
      <c r="I37" s="1842" t="str">
        <f>IF(AND($C$9=1,TRUNC('5_Planning'!M14)&lt;&gt;'5_Planning'!M14), I$35&amp;", "&amp;I$36&amp;", "&amp;$B37&amp;", Level "&amp;$C37&amp;"; ","")</f>
        <v/>
      </c>
      <c r="J37" s="185" t="str">
        <f>IF(AND($C$9=1,TRUNC('5_Planning'!N14)&lt;&gt;'5_Planning'!N14), J$35&amp;", "&amp;J$36&amp;", "&amp;$B37&amp;", Level "&amp;$C37&amp;"; ","")</f>
        <v/>
      </c>
      <c r="K37" s="185" t="str">
        <f>IF(AND($C$9=1,TRUNC('5_Planning'!O14)&lt;&gt;'5_Planning'!O14), K$35&amp;", "&amp;K$36&amp;", "&amp;$B37&amp;", Level "&amp;$C37&amp;"; ","")</f>
        <v/>
      </c>
      <c r="L37" s="185" t="str">
        <f>IF(AND($C$9=1,TRUNC('5_Planning'!P14)&lt;&gt;'5_Planning'!P14), L$35&amp;", "&amp;L$36&amp;", "&amp;$B37&amp;", Level "&amp;$C37&amp;"; ","")</f>
        <v/>
      </c>
      <c r="M37" s="1830" t="str">
        <f>IF(AND($C$9=1,TRUNC('5_Planning'!Q14)&lt;&gt;'5_Planning'!Q14), M$35&amp;", "&amp;M$36&amp;", "&amp;$B37&amp;", Level "&amp;$C37&amp;"; ","")</f>
        <v/>
      </c>
      <c r="N37" s="1842" t="str">
        <f>IF(AND($C$9=1,TRUNC('5_Planning'!R14)&lt;&gt;'5_Planning'!R14), N$35&amp;", "&amp;N$36&amp;", "&amp;$B37&amp;", Level "&amp;$C37&amp;"; ","")</f>
        <v/>
      </c>
      <c r="O37" s="185" t="str">
        <f>IF(AND($C$9=1,TRUNC('5_Planning'!S14)&lt;&gt;'5_Planning'!S14), O$35&amp;", "&amp;O$36&amp;", "&amp;$B37&amp;", Level "&amp;$C37&amp;"; ","")</f>
        <v/>
      </c>
      <c r="P37" s="185" t="str">
        <f>IF(AND($C$9=1,TRUNC('5_Planning'!T14)&lt;&gt;'5_Planning'!T14), P$35&amp;", "&amp;P$36&amp;", "&amp;$B37&amp;", Level "&amp;$C37&amp;"; ","")</f>
        <v/>
      </c>
      <c r="Q37" s="185" t="str">
        <f>IF(AND($C$9=1,TRUNC('5_Planning'!U14)&lt;&gt;'5_Planning'!U14), Q$35&amp;", "&amp;Q$36&amp;", "&amp;$B37&amp;", Level "&amp;$C37&amp;"; ","")</f>
        <v/>
      </c>
      <c r="R37" s="1830" t="str">
        <f>IF(AND($C$9=1,TRUNC('5_Planning'!V14)&lt;&gt;'5_Planning'!V14), R$35&amp;", "&amp;R$36&amp;", "&amp;$B37&amp;", Level "&amp;$C37&amp;"; ","")</f>
        <v/>
      </c>
      <c r="S37" s="1842" t="str">
        <f>IF(AND($C$9=1,TRUNC('5_Planning'!W14)&lt;&gt;'5_Planning'!W14), S$35&amp;", "&amp;S$36&amp;", "&amp;$B37&amp;", Level "&amp;$C37&amp;"; ","")</f>
        <v/>
      </c>
      <c r="T37" s="185" t="str">
        <f>IF(AND($C$9=1,TRUNC('5_Planning'!X14)&lt;&gt;'5_Planning'!X14), T$35&amp;", "&amp;T$36&amp;", "&amp;$B37&amp;", Level "&amp;$C37&amp;"; ","")</f>
        <v/>
      </c>
      <c r="U37" s="17"/>
    </row>
    <row r="38" spans="2:51" x14ac:dyDescent="0.35">
      <c r="B38" s="118" t="str">
        <f>'5_Planning'!$A$14</f>
        <v>Full-time and sandwich year out</v>
      </c>
      <c r="C38" s="11" t="str">
        <f>'5_Planning'!B15</f>
        <v>UG (Other)</v>
      </c>
      <c r="D38" s="1593" t="str">
        <f>IF(AND($C$9=1,TRUNC('5_Planning'!H15)&lt;&gt;'5_Planning'!H15), D$35&amp;", "&amp;D$36&amp;", "&amp;$B38&amp;", Level "&amp;$C38&amp;"; ","")</f>
        <v/>
      </c>
      <c r="E38" t="str">
        <f>IF(AND($C$9=1,TRUNC('5_Planning'!I15)&lt;&gt;'5_Planning'!I15), E$35&amp;", "&amp;E$36&amp;", "&amp;$B38&amp;", Level "&amp;$C38&amp;"; ","")</f>
        <v/>
      </c>
      <c r="F38" t="str">
        <f>IF(AND($C$9=1,TRUNC('5_Planning'!J15)&lt;&gt;'5_Planning'!J15), F$35&amp;", "&amp;F$36&amp;", "&amp;$B38&amp;", Level "&amp;$C38&amp;"; ","")</f>
        <v/>
      </c>
      <c r="G38" t="str">
        <f>IF(AND($C$9=1,TRUNC('5_Planning'!K15)&lt;&gt;'5_Planning'!K15), G$35&amp;", "&amp;G$36&amp;", "&amp;$B38&amp;", Level "&amp;$C38&amp;"; ","")</f>
        <v/>
      </c>
      <c r="H38" s="183" t="str">
        <f>IF(AND($C$9=1,TRUNC('5_Planning'!L15)&lt;&gt;'5_Planning'!L15), H$35&amp;", "&amp;H$36&amp;", "&amp;$B38&amp;", Level "&amp;$C38&amp;"; ","")</f>
        <v/>
      </c>
      <c r="I38" s="1593" t="str">
        <f>IF(AND($C$9=1,TRUNC('5_Planning'!M15)&lt;&gt;'5_Planning'!M15), I$35&amp;", "&amp;I$36&amp;", "&amp;$B38&amp;", Level "&amp;$C38&amp;"; ","")</f>
        <v/>
      </c>
      <c r="J38" t="str">
        <f>IF(AND($C$9=1,TRUNC('5_Planning'!N15)&lt;&gt;'5_Planning'!N15), J$35&amp;", "&amp;J$36&amp;", "&amp;$B38&amp;", Level "&amp;$C38&amp;"; ","")</f>
        <v/>
      </c>
      <c r="K38" t="str">
        <f>IF(AND($C$9=1,TRUNC('5_Planning'!O15)&lt;&gt;'5_Planning'!O15), K$35&amp;", "&amp;K$36&amp;", "&amp;$B38&amp;", Level "&amp;$C38&amp;"; ","")</f>
        <v/>
      </c>
      <c r="L38" t="str">
        <f>IF(AND($C$9=1,TRUNC('5_Planning'!P15)&lt;&gt;'5_Planning'!P15), L$35&amp;", "&amp;L$36&amp;", "&amp;$B38&amp;", Level "&amp;$C38&amp;"; ","")</f>
        <v/>
      </c>
      <c r="M38" s="183" t="str">
        <f>IF(AND($C$9=1,TRUNC('5_Planning'!Q15)&lt;&gt;'5_Planning'!Q15), M$35&amp;", "&amp;M$36&amp;", "&amp;$B38&amp;", Level "&amp;$C38&amp;"; ","")</f>
        <v/>
      </c>
      <c r="N38" s="1593" t="str">
        <f>IF(AND($C$9=1,TRUNC('5_Planning'!R15)&lt;&gt;'5_Planning'!R15), N$35&amp;", "&amp;N$36&amp;", "&amp;$B38&amp;", Level "&amp;$C38&amp;"; ","")</f>
        <v/>
      </c>
      <c r="O38" t="str">
        <f>IF(AND($C$9=1,TRUNC('5_Planning'!S15)&lt;&gt;'5_Planning'!S15), O$35&amp;", "&amp;O$36&amp;", "&amp;$B38&amp;", Level "&amp;$C38&amp;"; ","")</f>
        <v/>
      </c>
      <c r="P38" t="str">
        <f>IF(AND($C$9=1,TRUNC('5_Planning'!T15)&lt;&gt;'5_Planning'!T15), P$35&amp;", "&amp;P$36&amp;", "&amp;$B38&amp;", Level "&amp;$C38&amp;"; ","")</f>
        <v/>
      </c>
      <c r="Q38" t="str">
        <f>IF(AND($C$9=1,TRUNC('5_Planning'!U15)&lt;&gt;'5_Planning'!U15), Q$35&amp;", "&amp;Q$36&amp;", "&amp;$B38&amp;", Level "&amp;$C38&amp;"; ","")</f>
        <v/>
      </c>
      <c r="R38" s="183" t="str">
        <f>IF(AND($C$9=1,TRUNC('5_Planning'!V15)&lt;&gt;'5_Planning'!V15), R$35&amp;", "&amp;R$36&amp;", "&amp;$B38&amp;", Level "&amp;$C38&amp;"; ","")</f>
        <v/>
      </c>
      <c r="S38" s="1648"/>
      <c r="T38" s="1360"/>
      <c r="U38" s="17"/>
    </row>
    <row r="39" spans="2:51" x14ac:dyDescent="0.35">
      <c r="B39" s="118" t="str">
        <f>'5_Planning'!$A$14</f>
        <v>Full-time and sandwich year out</v>
      </c>
      <c r="C39" s="11" t="str">
        <f>'5_Planning'!B16</f>
        <v>PGT (UG fee)</v>
      </c>
      <c r="D39" s="1593" t="str">
        <f>IF(AND($C$9=1,TRUNC('5_Planning'!H16)&lt;&gt;'5_Planning'!H16), D$35&amp;", "&amp;D$36&amp;", "&amp;$B39&amp;", Level "&amp;$C39&amp;"; ","")</f>
        <v/>
      </c>
      <c r="E39" t="str">
        <f>IF(AND($C$9=1,TRUNC('5_Planning'!I16)&lt;&gt;'5_Planning'!I16), E$35&amp;", "&amp;E$36&amp;", "&amp;$B39&amp;", Level "&amp;$C39&amp;"; ","")</f>
        <v/>
      </c>
      <c r="F39" t="str">
        <f>IF(AND($C$9=1,TRUNC('5_Planning'!J16)&lt;&gt;'5_Planning'!J16), F$35&amp;", "&amp;F$36&amp;", "&amp;$B39&amp;", Level "&amp;$C39&amp;"; ","")</f>
        <v/>
      </c>
      <c r="G39" t="str">
        <f>IF(AND($C$9=1,TRUNC('5_Planning'!K16)&lt;&gt;'5_Planning'!K16), G$35&amp;", "&amp;G$36&amp;", "&amp;$B39&amp;", Level "&amp;$C39&amp;"; ","")</f>
        <v/>
      </c>
      <c r="H39" s="183" t="str">
        <f>IF(AND($C$9=1,TRUNC('5_Planning'!L16)&lt;&gt;'5_Planning'!L16), H$35&amp;", "&amp;H$36&amp;", "&amp;$B39&amp;", Level "&amp;$C39&amp;"; ","")</f>
        <v/>
      </c>
      <c r="I39" s="1593" t="str">
        <f>IF(AND($C$9=1,TRUNC('5_Planning'!M16)&lt;&gt;'5_Planning'!M16), I$35&amp;", "&amp;I$36&amp;", "&amp;$B39&amp;", Level "&amp;$C39&amp;"; ","")</f>
        <v/>
      </c>
      <c r="J39" t="str">
        <f>IF(AND($C$9=1,TRUNC('5_Planning'!N16)&lt;&gt;'5_Planning'!N16), J$35&amp;", "&amp;J$36&amp;", "&amp;$B39&amp;", Level "&amp;$C39&amp;"; ","")</f>
        <v/>
      </c>
      <c r="K39" t="str">
        <f>IF(AND($C$9=1,TRUNC('5_Planning'!O16)&lt;&gt;'5_Planning'!O16), K$35&amp;", "&amp;K$36&amp;", "&amp;$B39&amp;", Level "&amp;$C39&amp;"; ","")</f>
        <v/>
      </c>
      <c r="L39" t="str">
        <f>IF(AND($C$9=1,TRUNC('5_Planning'!P16)&lt;&gt;'5_Planning'!P16), L$35&amp;", "&amp;L$36&amp;", "&amp;$B39&amp;", Level "&amp;$C39&amp;"; ","")</f>
        <v/>
      </c>
      <c r="M39" s="183" t="str">
        <f>IF(AND($C$9=1,TRUNC('5_Planning'!Q16)&lt;&gt;'5_Planning'!Q16), M$35&amp;", "&amp;M$36&amp;", "&amp;$B39&amp;", Level "&amp;$C39&amp;"; ","")</f>
        <v/>
      </c>
      <c r="N39" s="1593" t="str">
        <f>IF(AND($C$9=1,TRUNC('5_Planning'!R16)&lt;&gt;'5_Planning'!R16), N$35&amp;", "&amp;N$36&amp;", "&amp;$B39&amp;", Level "&amp;$C39&amp;"; ","")</f>
        <v/>
      </c>
      <c r="O39" t="str">
        <f>IF(AND($C$9=1,TRUNC('5_Planning'!S16)&lt;&gt;'5_Planning'!S16), O$35&amp;", "&amp;O$36&amp;", "&amp;$B39&amp;", Level "&amp;$C39&amp;"; ","")</f>
        <v/>
      </c>
      <c r="P39" t="str">
        <f>IF(AND($C$9=1,TRUNC('5_Planning'!T16)&lt;&gt;'5_Planning'!T16), P$35&amp;", "&amp;P$36&amp;", "&amp;$B39&amp;", Level "&amp;$C39&amp;"; ","")</f>
        <v/>
      </c>
      <c r="Q39" t="str">
        <f>IF(AND($C$9=1,TRUNC('5_Planning'!U16)&lt;&gt;'5_Planning'!U16), Q$35&amp;", "&amp;Q$36&amp;", "&amp;$B39&amp;", Level "&amp;$C39&amp;"; ","")</f>
        <v/>
      </c>
      <c r="R39" s="183" t="str">
        <f>IF(AND($C$9=1,TRUNC('5_Planning'!V16)&lt;&gt;'5_Planning'!V16), R$35&amp;", "&amp;R$36&amp;", "&amp;$B39&amp;", Level "&amp;$C39&amp;"; ","")</f>
        <v/>
      </c>
      <c r="S39" s="1648"/>
      <c r="T39" s="1360"/>
      <c r="U39" s="17"/>
    </row>
    <row r="40" spans="2:51" x14ac:dyDescent="0.35">
      <c r="B40" s="118" t="str">
        <f>'5_Planning'!$A$14</f>
        <v>Full-time and sandwich year out</v>
      </c>
      <c r="C40" s="11" t="str">
        <f>'5_Planning'!B17</f>
        <v>PGT (Masters' loan)</v>
      </c>
      <c r="D40" s="1593" t="str">
        <f>IF(AND($C$9=1,TRUNC('5_Planning'!H17)&lt;&gt;'5_Planning'!H17), D$35&amp;", "&amp;D$36&amp;", "&amp;$B40&amp;", Level "&amp;$C40&amp;"; ","")</f>
        <v/>
      </c>
      <c r="E40" t="str">
        <f>IF(AND($C$9=1,TRUNC('5_Planning'!I17)&lt;&gt;'5_Planning'!I17), E$35&amp;", "&amp;E$36&amp;", "&amp;$B40&amp;", Level "&amp;$C40&amp;"; ","")</f>
        <v/>
      </c>
      <c r="F40" t="str">
        <f>IF(AND($C$9=1,TRUNC('5_Planning'!J17)&lt;&gt;'5_Planning'!J17), F$35&amp;", "&amp;F$36&amp;", "&amp;$B40&amp;", Level "&amp;$C40&amp;"; ","")</f>
        <v/>
      </c>
      <c r="G40" t="str">
        <f>IF(AND($C$9=1,TRUNC('5_Planning'!K17)&lt;&gt;'5_Planning'!K17), G$35&amp;", "&amp;G$36&amp;", "&amp;$B40&amp;", Level "&amp;$C40&amp;"; ","")</f>
        <v/>
      </c>
      <c r="H40" s="183" t="str">
        <f>IF(AND($C$9=1,TRUNC('5_Planning'!L17)&lt;&gt;'5_Planning'!L17), H$35&amp;", "&amp;H$36&amp;", "&amp;$B40&amp;", Level "&amp;$C40&amp;"; ","")</f>
        <v/>
      </c>
      <c r="I40" s="1593" t="str">
        <f>IF(AND($C$9=1,TRUNC('5_Planning'!M17)&lt;&gt;'5_Planning'!M17), I$35&amp;", "&amp;I$36&amp;", "&amp;$B40&amp;", Level "&amp;$C40&amp;"; ","")</f>
        <v/>
      </c>
      <c r="J40" t="str">
        <f>IF(AND($C$9=1,TRUNC('5_Planning'!N17)&lt;&gt;'5_Planning'!N17), J$35&amp;", "&amp;J$36&amp;", "&amp;$B40&amp;", Level "&amp;$C40&amp;"; ","")</f>
        <v/>
      </c>
      <c r="K40" t="str">
        <f>IF(AND($C$9=1,TRUNC('5_Planning'!O17)&lt;&gt;'5_Planning'!O17), K$35&amp;", "&amp;K$36&amp;", "&amp;$B40&amp;", Level "&amp;$C40&amp;"; ","")</f>
        <v/>
      </c>
      <c r="L40" t="str">
        <f>IF(AND($C$9=1,TRUNC('5_Planning'!P17)&lt;&gt;'5_Planning'!P17), L$35&amp;", "&amp;L$36&amp;", "&amp;$B40&amp;", Level "&amp;$C40&amp;"; ","")</f>
        <v/>
      </c>
      <c r="M40" s="183" t="str">
        <f>IF(AND($C$9=1,TRUNC('5_Planning'!Q17)&lt;&gt;'5_Planning'!Q17), M$35&amp;", "&amp;M$36&amp;", "&amp;$B40&amp;", Level "&amp;$C40&amp;"; ","")</f>
        <v/>
      </c>
      <c r="N40" s="1593" t="str">
        <f>IF(AND($C$9=1,TRUNC('5_Planning'!R17)&lt;&gt;'5_Planning'!R17), N$35&amp;", "&amp;N$36&amp;", "&amp;$B40&amp;", Level "&amp;$C40&amp;"; ","")</f>
        <v/>
      </c>
      <c r="O40" t="str">
        <f>IF(AND($C$9=1,TRUNC('5_Planning'!S17)&lt;&gt;'5_Planning'!S17), O$35&amp;", "&amp;O$36&amp;", "&amp;$B40&amp;", Level "&amp;$C40&amp;"; ","")</f>
        <v/>
      </c>
      <c r="P40" t="str">
        <f>IF(AND($C$9=1,TRUNC('5_Planning'!T17)&lt;&gt;'5_Planning'!T17), P$35&amp;", "&amp;P$36&amp;", "&amp;$B40&amp;", Level "&amp;$C40&amp;"; ","")</f>
        <v/>
      </c>
      <c r="Q40" t="str">
        <f>IF(AND($C$9=1,TRUNC('5_Planning'!U17)&lt;&gt;'5_Planning'!U17), Q$35&amp;", "&amp;Q$36&amp;", "&amp;$B40&amp;", Level "&amp;$C40&amp;"; ","")</f>
        <v/>
      </c>
      <c r="R40" s="183" t="str">
        <f>IF(AND($C$9=1,TRUNC('5_Planning'!V17)&lt;&gt;'5_Planning'!V17), R$35&amp;", "&amp;R$36&amp;", "&amp;$B40&amp;", Level "&amp;$C40&amp;"; ","")</f>
        <v/>
      </c>
      <c r="S40" s="1648"/>
      <c r="T40" s="1360"/>
      <c r="U40" s="17"/>
    </row>
    <row r="41" spans="2:51" x14ac:dyDescent="0.35">
      <c r="B41" s="118" t="str">
        <f>'5_Planning'!$A$14</f>
        <v>Full-time and sandwich year out</v>
      </c>
      <c r="C41" s="11" t="str">
        <f>'5_Planning'!B18</f>
        <v>PGT (Other)</v>
      </c>
      <c r="D41" s="1593" t="str">
        <f>IF(AND($C$9=1,TRUNC('5_Planning'!H18)&lt;&gt;'5_Planning'!H18), D$35&amp;", "&amp;D$36&amp;", "&amp;$B41&amp;", Level "&amp;$C41&amp;"; ","")</f>
        <v/>
      </c>
      <c r="E41" t="str">
        <f>IF(AND($C$9=1,TRUNC('5_Planning'!I18)&lt;&gt;'5_Planning'!I18), E$35&amp;", "&amp;E$36&amp;", "&amp;$B41&amp;", Level "&amp;$C41&amp;"; ","")</f>
        <v/>
      </c>
      <c r="F41" t="str">
        <f>IF(AND($C$9=1,TRUNC('5_Planning'!J18)&lt;&gt;'5_Planning'!J18), F$35&amp;", "&amp;F$36&amp;", "&amp;$B41&amp;", Level "&amp;$C41&amp;"; ","")</f>
        <v/>
      </c>
      <c r="G41" t="str">
        <f>IF(AND($C$9=1,TRUNC('5_Planning'!K18)&lt;&gt;'5_Planning'!K18), G$35&amp;", "&amp;G$36&amp;", "&amp;$B41&amp;", Level "&amp;$C41&amp;"; ","")</f>
        <v/>
      </c>
      <c r="H41" s="183" t="str">
        <f>IF(AND($C$9=1,TRUNC('5_Planning'!L18)&lt;&gt;'5_Planning'!L18), H$35&amp;", "&amp;H$36&amp;", "&amp;$B41&amp;", Level "&amp;$C41&amp;"; ","")</f>
        <v/>
      </c>
      <c r="I41" s="1593" t="str">
        <f>IF(AND($C$9=1,TRUNC('5_Planning'!M18)&lt;&gt;'5_Planning'!M18), I$35&amp;", "&amp;I$36&amp;", "&amp;$B41&amp;", Level "&amp;$C41&amp;"; ","")</f>
        <v/>
      </c>
      <c r="J41" t="str">
        <f>IF(AND($C$9=1,TRUNC('5_Planning'!N18)&lt;&gt;'5_Planning'!N18), J$35&amp;", "&amp;J$36&amp;", "&amp;$B41&amp;", Level "&amp;$C41&amp;"; ","")</f>
        <v/>
      </c>
      <c r="K41" t="str">
        <f>IF(AND($C$9=1,TRUNC('5_Planning'!O18)&lt;&gt;'5_Planning'!O18), K$35&amp;", "&amp;K$36&amp;", "&amp;$B41&amp;", Level "&amp;$C41&amp;"; ","")</f>
        <v/>
      </c>
      <c r="L41" t="str">
        <f>IF(AND($C$9=1,TRUNC('5_Planning'!P18)&lt;&gt;'5_Planning'!P18), L$35&amp;", "&amp;L$36&amp;", "&amp;$B41&amp;", Level "&amp;$C41&amp;"; ","")</f>
        <v/>
      </c>
      <c r="M41" s="183" t="str">
        <f>IF(AND($C$9=1,TRUNC('5_Planning'!Q18)&lt;&gt;'5_Planning'!Q18), M$35&amp;", "&amp;M$36&amp;", "&amp;$B41&amp;", Level "&amp;$C41&amp;"; ","")</f>
        <v/>
      </c>
      <c r="N41" s="1593" t="str">
        <f>IF(AND($C$9=1,TRUNC('5_Planning'!R18)&lt;&gt;'5_Planning'!R18), N$35&amp;", "&amp;N$36&amp;", "&amp;$B41&amp;", Level "&amp;$C41&amp;"; ","")</f>
        <v/>
      </c>
      <c r="O41" t="str">
        <f>IF(AND($C$9=1,TRUNC('5_Planning'!S18)&lt;&gt;'5_Planning'!S18), O$35&amp;", "&amp;O$36&amp;", "&amp;$B41&amp;", Level "&amp;$C41&amp;"; ","")</f>
        <v/>
      </c>
      <c r="P41" t="str">
        <f>IF(AND($C$9=1,TRUNC('5_Planning'!T18)&lt;&gt;'5_Planning'!T18), P$35&amp;", "&amp;P$36&amp;", "&amp;$B41&amp;", Level "&amp;$C41&amp;"; ","")</f>
        <v/>
      </c>
      <c r="Q41" t="str">
        <f>IF(AND($C$9=1,TRUNC('5_Planning'!U18)&lt;&gt;'5_Planning'!U18), Q$35&amp;", "&amp;Q$36&amp;", "&amp;$B41&amp;", Level "&amp;$C41&amp;"; ","")</f>
        <v/>
      </c>
      <c r="R41" s="183" t="str">
        <f>IF(AND($C$9=1,TRUNC('5_Planning'!V18)&lt;&gt;'5_Planning'!V18), R$35&amp;", "&amp;R$36&amp;", "&amp;$B41&amp;", Level "&amp;$C41&amp;"; ","")</f>
        <v/>
      </c>
      <c r="S41" s="1648"/>
      <c r="T41" s="1360"/>
      <c r="U41" s="17"/>
    </row>
    <row r="42" spans="2:51" x14ac:dyDescent="0.35">
      <c r="B42" s="118" t="str">
        <f>'5_Planning'!$A$14</f>
        <v>Full-time and sandwich year out</v>
      </c>
      <c r="C42" s="11" t="str">
        <f>'5_Planning'!B19</f>
        <v>PGR</v>
      </c>
      <c r="D42" s="1648"/>
      <c r="E42" s="1360"/>
      <c r="F42" t="str">
        <f>IF(AND($C$9=1,TRUNC('5_Planning'!J19)&lt;&gt;'5_Planning'!J19), F$35&amp;", "&amp;F$36&amp;", "&amp;$B42&amp;", Level "&amp;$C42&amp;"; ","")</f>
        <v/>
      </c>
      <c r="G42" t="str">
        <f>IF(AND($C$9=1,TRUNC('5_Planning'!K19)&lt;&gt;'5_Planning'!K19), G$35&amp;", "&amp;G$36&amp;", "&amp;$B42&amp;", Level "&amp;$C42&amp;"; ","")</f>
        <v/>
      </c>
      <c r="H42" s="183" t="str">
        <f>IF(AND($C$9=1,TRUNC('5_Planning'!L19)&lt;&gt;'5_Planning'!L19), H$35&amp;", "&amp;H$36&amp;", "&amp;$B42&amp;", Level "&amp;$C42&amp;"; ","")</f>
        <v/>
      </c>
      <c r="I42" s="1648"/>
      <c r="J42" s="1360"/>
      <c r="K42" t="str">
        <f>IF(AND($C$9=1,TRUNC('5_Planning'!O19)&lt;&gt;'5_Planning'!O19), K$35&amp;", "&amp;K$36&amp;", "&amp;$B42&amp;", Level "&amp;$C42&amp;"; ","")</f>
        <v/>
      </c>
      <c r="L42" t="str">
        <f>IF(AND($C$9=1,TRUNC('5_Planning'!P19)&lt;&gt;'5_Planning'!P19), L$35&amp;", "&amp;L$36&amp;", "&amp;$B42&amp;", Level "&amp;$C42&amp;"; ","")</f>
        <v/>
      </c>
      <c r="M42" s="183" t="str">
        <f>IF(AND($C$9=1,TRUNC('5_Planning'!Q19)&lt;&gt;'5_Planning'!Q19), M$35&amp;", "&amp;M$36&amp;", "&amp;$B42&amp;", Level "&amp;$C42&amp;"; ","")</f>
        <v/>
      </c>
      <c r="N42" s="1648"/>
      <c r="O42" s="1360"/>
      <c r="P42" t="str">
        <f>IF(AND($C$9=1,TRUNC('5_Planning'!T19)&lt;&gt;'5_Planning'!T19), P$35&amp;", "&amp;P$36&amp;", "&amp;$B42&amp;", Level "&amp;$C42&amp;"; ","")</f>
        <v/>
      </c>
      <c r="Q42" t="str">
        <f>IF(AND($C$9=1,TRUNC('5_Planning'!U19)&lt;&gt;'5_Planning'!U19), Q$35&amp;", "&amp;Q$36&amp;", "&amp;$B42&amp;", Level "&amp;$C42&amp;"; ","")</f>
        <v/>
      </c>
      <c r="R42" s="183" t="str">
        <f>IF(AND($C$9=1,TRUNC('5_Planning'!V19)&lt;&gt;'5_Planning'!V19), R$35&amp;", "&amp;R$36&amp;", "&amp;$B42&amp;", Level "&amp;$C42&amp;"; ","")</f>
        <v/>
      </c>
      <c r="S42" s="1648"/>
      <c r="T42" s="1360"/>
      <c r="U42" s="17"/>
    </row>
    <row r="43" spans="2:51" x14ac:dyDescent="0.35">
      <c r="B43" s="118" t="str">
        <f>'5_Planning'!$A$20</f>
        <v>Part-time</v>
      </c>
      <c r="C43" s="11" t="str">
        <f>'5_Planning'!B20</f>
        <v>UG (Level 4 and 5)</v>
      </c>
      <c r="D43" s="1842" t="str">
        <f>IF(AND($C$9=1,TRUNC('5_Planning'!H20)&lt;&gt;'5_Planning'!H20), D$35&amp;", "&amp;D$36&amp;", "&amp;$B43&amp;", Level "&amp;$C43&amp;"; ","")</f>
        <v/>
      </c>
      <c r="E43" s="185" t="str">
        <f>IF(AND($C$9=1,TRUNC('5_Planning'!I20)&lt;&gt;'5_Planning'!I20), E$35&amp;", "&amp;E$36&amp;", "&amp;$B43&amp;", Level "&amp;$C43&amp;"; ","")</f>
        <v/>
      </c>
      <c r="F43" s="185" t="str">
        <f>IF(AND($C$9=1,TRUNC('5_Planning'!J20)&lt;&gt;'5_Planning'!J20), F$35&amp;", "&amp;F$36&amp;", "&amp;$B43&amp;", Level "&amp;$C43&amp;"; ","")</f>
        <v/>
      </c>
      <c r="G43" s="185" t="str">
        <f>IF(AND($C$9=1,TRUNC('5_Planning'!K20)&lt;&gt;'5_Planning'!K20), G$35&amp;", "&amp;G$36&amp;", "&amp;$B43&amp;", Level "&amp;$C43&amp;"; ","")</f>
        <v/>
      </c>
      <c r="H43" s="1830" t="str">
        <f>IF(AND($C$9=1,TRUNC('5_Planning'!L20)&lt;&gt;'5_Planning'!L20), H$35&amp;", "&amp;H$36&amp;", "&amp;$B43&amp;", Level "&amp;$C43&amp;"; ","")</f>
        <v/>
      </c>
      <c r="I43" s="1842" t="str">
        <f>IF(AND($C$9=1,TRUNC('5_Planning'!M20)&lt;&gt;'5_Planning'!M20), I$35&amp;", "&amp;I$36&amp;", "&amp;$B43&amp;", Level "&amp;$C43&amp;"; ","")</f>
        <v/>
      </c>
      <c r="J43" s="185" t="str">
        <f>IF(AND($C$9=1,TRUNC('5_Planning'!N20)&lt;&gt;'5_Planning'!N20), J$35&amp;", "&amp;J$36&amp;", "&amp;$B43&amp;", Level "&amp;$C43&amp;"; ","")</f>
        <v/>
      </c>
      <c r="K43" s="185" t="str">
        <f>IF(AND($C$9=1,TRUNC('5_Planning'!O20)&lt;&gt;'5_Planning'!O20), K$35&amp;", "&amp;K$36&amp;", "&amp;$B43&amp;", Level "&amp;$C43&amp;"; ","")</f>
        <v/>
      </c>
      <c r="L43" s="185" t="str">
        <f>IF(AND($C$9=1,TRUNC('5_Planning'!P20)&lt;&gt;'5_Planning'!P20), L$35&amp;", "&amp;L$36&amp;", "&amp;$B43&amp;", Level "&amp;$C43&amp;"; ","")</f>
        <v/>
      </c>
      <c r="M43" s="1830" t="str">
        <f>IF(AND($C$9=1,TRUNC('5_Planning'!Q20)&lt;&gt;'5_Planning'!Q20), M$35&amp;", "&amp;M$36&amp;", "&amp;$B43&amp;", Level "&amp;$C43&amp;"; ","")</f>
        <v/>
      </c>
      <c r="N43" s="1842" t="str">
        <f>IF(AND($C$9=1,TRUNC('5_Planning'!R20)&lt;&gt;'5_Planning'!R20), N$35&amp;", "&amp;N$36&amp;", "&amp;$B43&amp;", Level "&amp;$C43&amp;"; ","")</f>
        <v/>
      </c>
      <c r="O43" s="185" t="str">
        <f>IF(AND($C$9=1,TRUNC('5_Planning'!S20)&lt;&gt;'5_Planning'!S20), O$35&amp;", "&amp;O$36&amp;", "&amp;$B43&amp;", Level "&amp;$C43&amp;"; ","")</f>
        <v/>
      </c>
      <c r="P43" s="185" t="str">
        <f>IF(AND($C$9=1,TRUNC('5_Planning'!T20)&lt;&gt;'5_Planning'!T20), P$35&amp;", "&amp;P$36&amp;", "&amp;$B43&amp;", Level "&amp;$C43&amp;"; ","")</f>
        <v/>
      </c>
      <c r="Q43" s="185" t="str">
        <f>IF(AND($C$9=1,TRUNC('5_Planning'!U20)&lt;&gt;'5_Planning'!U20), Q$35&amp;", "&amp;Q$36&amp;", "&amp;$B43&amp;", Level "&amp;$C43&amp;"; ","")</f>
        <v/>
      </c>
      <c r="R43" s="1830" t="str">
        <f>IF(AND($C$9=1,TRUNC('5_Planning'!V20)&lt;&gt;'5_Planning'!V20), R$35&amp;", "&amp;R$36&amp;", "&amp;$B43&amp;", Level "&amp;$C43&amp;"; ","")</f>
        <v/>
      </c>
      <c r="S43" s="1842" t="str">
        <f>IF(AND($C$9=1,TRUNC('5_Planning'!W20)&lt;&gt;'5_Planning'!W20), S$35&amp;", "&amp;S$36&amp;", "&amp;$B43&amp;", Level "&amp;$C43&amp;"; ","")</f>
        <v/>
      </c>
      <c r="T43" s="185" t="str">
        <f>IF(AND($C$9=1,TRUNC('5_Planning'!X20)&lt;&gt;'5_Planning'!X20), T$35&amp;", "&amp;T$36&amp;", "&amp;$B43&amp;", Level "&amp;$C43&amp;"; ","")</f>
        <v/>
      </c>
      <c r="U43" s="17"/>
    </row>
    <row r="44" spans="2:51" x14ac:dyDescent="0.35">
      <c r="B44" s="118" t="str">
        <f>'5_Planning'!$A$20</f>
        <v>Part-time</v>
      </c>
      <c r="C44" s="11" t="str">
        <f>'5_Planning'!B21</f>
        <v>UG (Other)</v>
      </c>
      <c r="D44" s="1593" t="str">
        <f>IF(AND($C$9=1,TRUNC('5_Planning'!H21)&lt;&gt;'5_Planning'!H21), D$35&amp;", "&amp;D$36&amp;", "&amp;$B44&amp;", Level "&amp;$C44&amp;"; ","")</f>
        <v/>
      </c>
      <c r="E44" t="str">
        <f>IF(AND($C$9=1,TRUNC('5_Planning'!I21)&lt;&gt;'5_Planning'!I21), E$35&amp;", "&amp;E$36&amp;", "&amp;$B44&amp;", Level "&amp;$C44&amp;"; ","")</f>
        <v/>
      </c>
      <c r="F44" t="str">
        <f>IF(AND($C$9=1,TRUNC('5_Planning'!J21)&lt;&gt;'5_Planning'!J21), F$35&amp;", "&amp;F$36&amp;", "&amp;$B44&amp;", Level "&amp;$C44&amp;"; ","")</f>
        <v/>
      </c>
      <c r="G44" t="str">
        <f>IF(AND($C$9=1,TRUNC('5_Planning'!K21)&lt;&gt;'5_Planning'!K21), G$35&amp;", "&amp;G$36&amp;", "&amp;$B44&amp;", Level "&amp;$C44&amp;"; ","")</f>
        <v/>
      </c>
      <c r="H44" s="183" t="str">
        <f>IF(AND($C$9=1,TRUNC('5_Planning'!L21)&lt;&gt;'5_Planning'!L21), H$35&amp;", "&amp;H$36&amp;", "&amp;$B44&amp;", Level "&amp;$C44&amp;"; ","")</f>
        <v/>
      </c>
      <c r="I44" s="1593" t="str">
        <f>IF(AND($C$9=1,TRUNC('5_Planning'!M21)&lt;&gt;'5_Planning'!M21), I$35&amp;", "&amp;I$36&amp;", "&amp;$B44&amp;", Level "&amp;$C44&amp;"; ","")</f>
        <v/>
      </c>
      <c r="J44" t="str">
        <f>IF(AND($C$9=1,TRUNC('5_Planning'!N21)&lt;&gt;'5_Planning'!N21), J$35&amp;", "&amp;J$36&amp;", "&amp;$B44&amp;", Level "&amp;$C44&amp;"; ","")</f>
        <v/>
      </c>
      <c r="K44" t="str">
        <f>IF(AND($C$9=1,TRUNC('5_Planning'!O21)&lt;&gt;'5_Planning'!O21), K$35&amp;", "&amp;K$36&amp;", "&amp;$B44&amp;", Level "&amp;$C44&amp;"; ","")</f>
        <v/>
      </c>
      <c r="L44" t="str">
        <f>IF(AND($C$9=1,TRUNC('5_Planning'!P21)&lt;&gt;'5_Planning'!P21), L$35&amp;", "&amp;L$36&amp;", "&amp;$B44&amp;", Level "&amp;$C44&amp;"; ","")</f>
        <v/>
      </c>
      <c r="M44" s="183" t="str">
        <f>IF(AND($C$9=1,TRUNC('5_Planning'!Q21)&lt;&gt;'5_Planning'!Q21), M$35&amp;", "&amp;M$36&amp;", "&amp;$B44&amp;", Level "&amp;$C44&amp;"; ","")</f>
        <v/>
      </c>
      <c r="N44" s="1593" t="str">
        <f>IF(AND($C$9=1,TRUNC('5_Planning'!R21)&lt;&gt;'5_Planning'!R21), N$35&amp;", "&amp;N$36&amp;", "&amp;$B44&amp;", Level "&amp;$C44&amp;"; ","")</f>
        <v/>
      </c>
      <c r="O44" t="str">
        <f>IF(AND($C$9=1,TRUNC('5_Planning'!S21)&lt;&gt;'5_Planning'!S21), O$35&amp;", "&amp;O$36&amp;", "&amp;$B44&amp;", Level "&amp;$C44&amp;"; ","")</f>
        <v/>
      </c>
      <c r="P44" t="str">
        <f>IF(AND($C$9=1,TRUNC('5_Planning'!T21)&lt;&gt;'5_Planning'!T21), P$35&amp;", "&amp;P$36&amp;", "&amp;$B44&amp;", Level "&amp;$C44&amp;"; ","")</f>
        <v/>
      </c>
      <c r="Q44" t="str">
        <f>IF(AND($C$9=1,TRUNC('5_Planning'!U21)&lt;&gt;'5_Planning'!U21), Q$35&amp;", "&amp;Q$36&amp;", "&amp;$B44&amp;", Level "&amp;$C44&amp;"; ","")</f>
        <v/>
      </c>
      <c r="R44" s="183" t="str">
        <f>IF(AND($C$9=1,TRUNC('5_Planning'!V21)&lt;&gt;'5_Planning'!V21), R$35&amp;", "&amp;R$36&amp;", "&amp;$B44&amp;", Level "&amp;$C44&amp;"; ","")</f>
        <v/>
      </c>
      <c r="S44" s="1648"/>
      <c r="T44" s="1360"/>
      <c r="U44" s="17"/>
    </row>
    <row r="45" spans="2:51" x14ac:dyDescent="0.35">
      <c r="B45" s="118" t="str">
        <f>'5_Planning'!$A$20</f>
        <v>Part-time</v>
      </c>
      <c r="C45" s="11" t="str">
        <f>'5_Planning'!B22</f>
        <v>PGT (UG fee)</v>
      </c>
      <c r="D45" s="1593" t="str">
        <f>IF(AND($C$9=1,TRUNC('5_Planning'!H22)&lt;&gt;'5_Planning'!H22), D$35&amp;", "&amp;D$36&amp;", "&amp;$B45&amp;", Level "&amp;$C45&amp;"; ","")</f>
        <v/>
      </c>
      <c r="E45" t="str">
        <f>IF(AND($C$9=1,TRUNC('5_Planning'!I22)&lt;&gt;'5_Planning'!I22), E$35&amp;", "&amp;E$36&amp;", "&amp;$B45&amp;", Level "&amp;$C45&amp;"; ","")</f>
        <v/>
      </c>
      <c r="F45" t="str">
        <f>IF(AND($C$9=1,TRUNC('5_Planning'!J22)&lt;&gt;'5_Planning'!J22), F$35&amp;", "&amp;F$36&amp;", "&amp;$B45&amp;", Level "&amp;$C45&amp;"; ","")</f>
        <v/>
      </c>
      <c r="G45" t="str">
        <f>IF(AND($C$9=1,TRUNC('5_Planning'!K22)&lt;&gt;'5_Planning'!K22), G$35&amp;", "&amp;G$36&amp;", "&amp;$B45&amp;", Level "&amp;$C45&amp;"; ","")</f>
        <v/>
      </c>
      <c r="H45" s="183" t="str">
        <f>IF(AND($C$9=1,TRUNC('5_Planning'!L22)&lt;&gt;'5_Planning'!L22), H$35&amp;", "&amp;H$36&amp;", "&amp;$B45&amp;", Level "&amp;$C45&amp;"; ","")</f>
        <v/>
      </c>
      <c r="I45" s="1593" t="str">
        <f>IF(AND($C$9=1,TRUNC('5_Planning'!M22)&lt;&gt;'5_Planning'!M22), I$35&amp;", "&amp;I$36&amp;", "&amp;$B45&amp;", Level "&amp;$C45&amp;"; ","")</f>
        <v/>
      </c>
      <c r="J45" t="str">
        <f>IF(AND($C$9=1,TRUNC('5_Planning'!N22)&lt;&gt;'5_Planning'!N22), J$35&amp;", "&amp;J$36&amp;", "&amp;$B45&amp;", Level "&amp;$C45&amp;"; ","")</f>
        <v/>
      </c>
      <c r="K45" t="str">
        <f>IF(AND($C$9=1,TRUNC('5_Planning'!O22)&lt;&gt;'5_Planning'!O22), K$35&amp;", "&amp;K$36&amp;", "&amp;$B45&amp;", Level "&amp;$C45&amp;"; ","")</f>
        <v/>
      </c>
      <c r="L45" t="str">
        <f>IF(AND($C$9=1,TRUNC('5_Planning'!P22)&lt;&gt;'5_Planning'!P22), L$35&amp;", "&amp;L$36&amp;", "&amp;$B45&amp;", Level "&amp;$C45&amp;"; ","")</f>
        <v/>
      </c>
      <c r="M45" s="183" t="str">
        <f>IF(AND($C$9=1,TRUNC('5_Planning'!Q22)&lt;&gt;'5_Planning'!Q22), M$35&amp;", "&amp;M$36&amp;", "&amp;$B45&amp;", Level "&amp;$C45&amp;"; ","")</f>
        <v/>
      </c>
      <c r="N45" s="1593" t="str">
        <f>IF(AND($C$9=1,TRUNC('5_Planning'!R22)&lt;&gt;'5_Planning'!R22), N$35&amp;", "&amp;N$36&amp;", "&amp;$B45&amp;", Level "&amp;$C45&amp;"; ","")</f>
        <v/>
      </c>
      <c r="O45" t="str">
        <f>IF(AND($C$9=1,TRUNC('5_Planning'!S22)&lt;&gt;'5_Planning'!S22), O$35&amp;", "&amp;O$36&amp;", "&amp;$B45&amp;", Level "&amp;$C45&amp;"; ","")</f>
        <v/>
      </c>
      <c r="P45" t="str">
        <f>IF(AND($C$9=1,TRUNC('5_Planning'!T22)&lt;&gt;'5_Planning'!T22), P$35&amp;", "&amp;P$36&amp;", "&amp;$B45&amp;", Level "&amp;$C45&amp;"; ","")</f>
        <v/>
      </c>
      <c r="Q45" t="str">
        <f>IF(AND($C$9=1,TRUNC('5_Planning'!U22)&lt;&gt;'5_Planning'!U22), Q$35&amp;", "&amp;Q$36&amp;", "&amp;$B45&amp;", Level "&amp;$C45&amp;"; ","")</f>
        <v/>
      </c>
      <c r="R45" s="183" t="str">
        <f>IF(AND($C$9=1,TRUNC('5_Planning'!V22)&lt;&gt;'5_Planning'!V22), R$35&amp;", "&amp;R$36&amp;", "&amp;$B45&amp;", Level "&amp;$C45&amp;"; ","")</f>
        <v/>
      </c>
      <c r="S45" s="1648"/>
      <c r="T45" s="1360"/>
      <c r="U45" s="17"/>
    </row>
    <row r="46" spans="2:51" x14ac:dyDescent="0.35">
      <c r="B46" s="118" t="str">
        <f>'5_Planning'!$A$20</f>
        <v>Part-time</v>
      </c>
      <c r="C46" s="11" t="str">
        <f>'5_Planning'!B23</f>
        <v>PGT (Masters' loan)</v>
      </c>
      <c r="D46" s="1593" t="str">
        <f>IF(AND($C$9=1,TRUNC('5_Planning'!H23)&lt;&gt;'5_Planning'!H23), D$35&amp;", "&amp;D$36&amp;", "&amp;$B46&amp;", Level "&amp;$C46&amp;"; ","")</f>
        <v/>
      </c>
      <c r="E46" t="str">
        <f>IF(AND($C$9=1,TRUNC('5_Planning'!I23)&lt;&gt;'5_Planning'!I23), E$35&amp;", "&amp;E$36&amp;", "&amp;$B46&amp;", Level "&amp;$C46&amp;"; ","")</f>
        <v/>
      </c>
      <c r="F46" t="str">
        <f>IF(AND($C$9=1,TRUNC('5_Planning'!J23)&lt;&gt;'5_Planning'!J23), F$35&amp;", "&amp;F$36&amp;", "&amp;$B46&amp;", Level "&amp;$C46&amp;"; ","")</f>
        <v/>
      </c>
      <c r="G46" t="str">
        <f>IF(AND($C$9=1,TRUNC('5_Planning'!K23)&lt;&gt;'5_Planning'!K23), G$35&amp;", "&amp;G$36&amp;", "&amp;$B46&amp;", Level "&amp;$C46&amp;"; ","")</f>
        <v/>
      </c>
      <c r="H46" s="183" t="str">
        <f>IF(AND($C$9=1,TRUNC('5_Planning'!L23)&lt;&gt;'5_Planning'!L23), H$35&amp;", "&amp;H$36&amp;", "&amp;$B46&amp;", Level "&amp;$C46&amp;"; ","")</f>
        <v/>
      </c>
      <c r="I46" s="1593" t="str">
        <f>IF(AND($C$9=1,TRUNC('5_Planning'!M23)&lt;&gt;'5_Planning'!M23), I$35&amp;", "&amp;I$36&amp;", "&amp;$B46&amp;", Level "&amp;$C46&amp;"; ","")</f>
        <v/>
      </c>
      <c r="J46" t="str">
        <f>IF(AND($C$9=1,TRUNC('5_Planning'!N23)&lt;&gt;'5_Planning'!N23), J$35&amp;", "&amp;J$36&amp;", "&amp;$B46&amp;", Level "&amp;$C46&amp;"; ","")</f>
        <v/>
      </c>
      <c r="K46" t="str">
        <f>IF(AND($C$9=1,TRUNC('5_Planning'!O23)&lt;&gt;'5_Planning'!O23), K$35&amp;", "&amp;K$36&amp;", "&amp;$B46&amp;", Level "&amp;$C46&amp;"; ","")</f>
        <v/>
      </c>
      <c r="L46" t="str">
        <f>IF(AND($C$9=1,TRUNC('5_Planning'!P23)&lt;&gt;'5_Planning'!P23), L$35&amp;", "&amp;L$36&amp;", "&amp;$B46&amp;", Level "&amp;$C46&amp;"; ","")</f>
        <v/>
      </c>
      <c r="M46" s="183" t="str">
        <f>IF(AND($C$9=1,TRUNC('5_Planning'!Q23)&lt;&gt;'5_Planning'!Q23), M$35&amp;", "&amp;M$36&amp;", "&amp;$B46&amp;", Level "&amp;$C46&amp;"; ","")</f>
        <v/>
      </c>
      <c r="N46" s="1593" t="str">
        <f>IF(AND($C$9=1,TRUNC('5_Planning'!R23)&lt;&gt;'5_Planning'!R23), N$35&amp;", "&amp;N$36&amp;", "&amp;$B46&amp;", Level "&amp;$C46&amp;"; ","")</f>
        <v/>
      </c>
      <c r="O46" t="str">
        <f>IF(AND($C$9=1,TRUNC('5_Planning'!S23)&lt;&gt;'5_Planning'!S23), O$35&amp;", "&amp;O$36&amp;", "&amp;$B46&amp;", Level "&amp;$C46&amp;"; ","")</f>
        <v/>
      </c>
      <c r="P46" t="str">
        <f>IF(AND($C$9=1,TRUNC('5_Planning'!T23)&lt;&gt;'5_Planning'!T23), P$35&amp;", "&amp;P$36&amp;", "&amp;$B46&amp;", Level "&amp;$C46&amp;"; ","")</f>
        <v/>
      </c>
      <c r="Q46" t="str">
        <f>IF(AND($C$9=1,TRUNC('5_Planning'!U23)&lt;&gt;'5_Planning'!U23), Q$35&amp;", "&amp;Q$36&amp;", "&amp;$B46&amp;", Level "&amp;$C46&amp;"; ","")</f>
        <v/>
      </c>
      <c r="R46" s="183" t="str">
        <f>IF(AND($C$9=1,TRUNC('5_Planning'!V23)&lt;&gt;'5_Planning'!V23), R$35&amp;", "&amp;R$36&amp;", "&amp;$B46&amp;", Level "&amp;$C46&amp;"; ","")</f>
        <v/>
      </c>
      <c r="S46" s="1648"/>
      <c r="T46" s="1360"/>
      <c r="U46" s="17"/>
    </row>
    <row r="47" spans="2:51" x14ac:dyDescent="0.35">
      <c r="B47" s="118" t="str">
        <f>'5_Planning'!$A$20</f>
        <v>Part-time</v>
      </c>
      <c r="C47" s="11" t="str">
        <f>'5_Planning'!B24</f>
        <v>PGT (Other)</v>
      </c>
      <c r="D47" s="1593" t="str">
        <f>IF(AND($C$9=1,TRUNC('5_Planning'!H24)&lt;&gt;'5_Planning'!H24), D$35&amp;", "&amp;D$36&amp;", "&amp;$B47&amp;", Level "&amp;$C47&amp;"; ","")</f>
        <v/>
      </c>
      <c r="E47" t="str">
        <f>IF(AND($C$9=1,TRUNC('5_Planning'!I24)&lt;&gt;'5_Planning'!I24), E$35&amp;", "&amp;E$36&amp;", "&amp;$B47&amp;", Level "&amp;$C47&amp;"; ","")</f>
        <v/>
      </c>
      <c r="F47" t="str">
        <f>IF(AND($C$9=1,TRUNC('5_Planning'!J24)&lt;&gt;'5_Planning'!J24), F$35&amp;", "&amp;F$36&amp;", "&amp;$B47&amp;", Level "&amp;$C47&amp;"; ","")</f>
        <v/>
      </c>
      <c r="G47" t="str">
        <f>IF(AND($C$9=1,TRUNC('5_Planning'!K24)&lt;&gt;'5_Planning'!K24), G$35&amp;", "&amp;G$36&amp;", "&amp;$B47&amp;", Level "&amp;$C47&amp;"; ","")</f>
        <v/>
      </c>
      <c r="H47" s="183" t="str">
        <f>IF(AND($C$9=1,TRUNC('5_Planning'!L24)&lt;&gt;'5_Planning'!L24), H$35&amp;", "&amp;H$36&amp;", "&amp;$B47&amp;", Level "&amp;$C47&amp;"; ","")</f>
        <v/>
      </c>
      <c r="I47" s="1593" t="str">
        <f>IF(AND($C$9=1,TRUNC('5_Planning'!M24)&lt;&gt;'5_Planning'!M24), I$35&amp;", "&amp;I$36&amp;", "&amp;$B47&amp;", Level "&amp;$C47&amp;"; ","")</f>
        <v/>
      </c>
      <c r="J47" t="str">
        <f>IF(AND($C$9=1,TRUNC('5_Planning'!N24)&lt;&gt;'5_Planning'!N24), J$35&amp;", "&amp;J$36&amp;", "&amp;$B47&amp;", Level "&amp;$C47&amp;"; ","")</f>
        <v/>
      </c>
      <c r="K47" t="str">
        <f>IF(AND($C$9=1,TRUNC('5_Planning'!O24)&lt;&gt;'5_Planning'!O24), K$35&amp;", "&amp;K$36&amp;", "&amp;$B47&amp;", Level "&amp;$C47&amp;"; ","")</f>
        <v/>
      </c>
      <c r="L47" t="str">
        <f>IF(AND($C$9=1,TRUNC('5_Planning'!P24)&lt;&gt;'5_Planning'!P24), L$35&amp;", "&amp;L$36&amp;", "&amp;$B47&amp;", Level "&amp;$C47&amp;"; ","")</f>
        <v/>
      </c>
      <c r="M47" s="183" t="str">
        <f>IF(AND($C$9=1,TRUNC('5_Planning'!Q24)&lt;&gt;'5_Planning'!Q24), M$35&amp;", "&amp;M$36&amp;", "&amp;$B47&amp;", Level "&amp;$C47&amp;"; ","")</f>
        <v/>
      </c>
      <c r="N47" s="1593" t="str">
        <f>IF(AND($C$9=1,TRUNC('5_Planning'!R24)&lt;&gt;'5_Planning'!R24), N$35&amp;", "&amp;N$36&amp;", "&amp;$B47&amp;", Level "&amp;$C47&amp;"; ","")</f>
        <v/>
      </c>
      <c r="O47" t="str">
        <f>IF(AND($C$9=1,TRUNC('5_Planning'!S24)&lt;&gt;'5_Planning'!S24), O$35&amp;", "&amp;O$36&amp;", "&amp;$B47&amp;", Level "&amp;$C47&amp;"; ","")</f>
        <v/>
      </c>
      <c r="P47" t="str">
        <f>IF(AND($C$9=1,TRUNC('5_Planning'!T24)&lt;&gt;'5_Planning'!T24), P$35&amp;", "&amp;P$36&amp;", "&amp;$B47&amp;", Level "&amp;$C47&amp;"; ","")</f>
        <v/>
      </c>
      <c r="Q47" t="str">
        <f>IF(AND($C$9=1,TRUNC('5_Planning'!U24)&lt;&gt;'5_Planning'!U24), Q$35&amp;", "&amp;Q$36&amp;", "&amp;$B47&amp;", Level "&amp;$C47&amp;"; ","")</f>
        <v/>
      </c>
      <c r="R47" s="183" t="str">
        <f>IF(AND($C$9=1,TRUNC('5_Planning'!V24)&lt;&gt;'5_Planning'!V24), R$35&amp;", "&amp;R$36&amp;", "&amp;$B47&amp;", Level "&amp;$C47&amp;"; ","")</f>
        <v/>
      </c>
      <c r="S47" s="1648"/>
      <c r="T47" s="1360"/>
      <c r="U47" s="17"/>
    </row>
    <row r="48" spans="2:51" x14ac:dyDescent="0.35">
      <c r="B48" s="118" t="str">
        <f>'5_Planning'!$A$20</f>
        <v>Part-time</v>
      </c>
      <c r="C48" s="11" t="str">
        <f>'5_Planning'!B25</f>
        <v>PGR</v>
      </c>
      <c r="D48" s="1277"/>
      <c r="E48" s="505"/>
      <c r="F48" s="189" t="str">
        <f>IF(AND($C$9=1,TRUNC('5_Planning'!J25)&lt;&gt;'5_Planning'!J25), F$35&amp;", "&amp;F$36&amp;", "&amp;$B48&amp;", Level "&amp;$C48&amp;"; ","")</f>
        <v/>
      </c>
      <c r="G48" s="189" t="str">
        <f>IF(AND($C$9=1,TRUNC('5_Planning'!K25)&lt;&gt;'5_Planning'!K25), G$35&amp;", "&amp;G$36&amp;", "&amp;$B48&amp;", Level "&amp;$C48&amp;"; ","")</f>
        <v/>
      </c>
      <c r="H48" s="189" t="str">
        <f>IF(AND($C$9=1,TRUNC('5_Planning'!L25)&lt;&gt;'5_Planning'!L25), H$35&amp;", "&amp;H$36&amp;", "&amp;$B48&amp;", Level "&amp;$C48&amp;"; ","")</f>
        <v/>
      </c>
      <c r="I48" s="1277"/>
      <c r="J48" s="505"/>
      <c r="K48" s="189" t="str">
        <f>IF(AND($C$9=1,TRUNC('5_Planning'!O25)&lt;&gt;'5_Planning'!O25), K$35&amp;", "&amp;K$36&amp;", "&amp;$B48&amp;", Level "&amp;$C48&amp;"; ","")</f>
        <v/>
      </c>
      <c r="L48" s="189" t="str">
        <f>IF(AND($C$9=1,TRUNC('5_Planning'!P25)&lt;&gt;'5_Planning'!P25), L$35&amp;", "&amp;L$36&amp;", "&amp;$B48&amp;", Level "&amp;$C48&amp;"; ","")</f>
        <v/>
      </c>
      <c r="M48" s="189" t="str">
        <f>IF(AND($C$9=1,TRUNC('5_Planning'!Q25)&lt;&gt;'5_Planning'!Q25), M$35&amp;", "&amp;M$36&amp;", "&amp;$B48&amp;", Level "&amp;$C48&amp;"; ","")</f>
        <v/>
      </c>
      <c r="N48" s="1277"/>
      <c r="O48" s="505"/>
      <c r="P48" s="189" t="str">
        <f>IF(AND($C$9=1,TRUNC('5_Planning'!T25)&lt;&gt;'5_Planning'!T25), P$35&amp;", "&amp;P$36&amp;", "&amp;$B48&amp;", Level "&amp;$C48&amp;"; ","")</f>
        <v/>
      </c>
      <c r="Q48" s="189" t="str">
        <f>IF(AND($C$9=1,TRUNC('5_Planning'!U25)&lt;&gt;'5_Planning'!U25), Q$35&amp;", "&amp;Q$36&amp;", "&amp;$B48&amp;", Level "&amp;$C48&amp;"; ","")</f>
        <v/>
      </c>
      <c r="R48" s="31" t="str">
        <f>IF(AND($C$9=1,TRUNC('5_Planning'!V25)&lt;&gt;'5_Planning'!V25), R$35&amp;", "&amp;R$36&amp;", "&amp;$B48&amp;", Level "&amp;$C48&amp;"; ","")</f>
        <v/>
      </c>
      <c r="S48" s="1277"/>
      <c r="T48" s="505"/>
      <c r="U48" s="17"/>
    </row>
    <row r="49" spans="2:21" x14ac:dyDescent="0.35">
      <c r="B49" s="24"/>
      <c r="C49" s="11"/>
      <c r="U49" s="17"/>
    </row>
    <row r="50" spans="2:21" x14ac:dyDescent="0.35">
      <c r="B50" s="24"/>
      <c r="C50" s="11"/>
      <c r="D50" s="1835" t="str">
        <f>CONCATENATE(D37,D38,D39,D40,D41,D43,D44,D45,D46,D47)</f>
        <v/>
      </c>
      <c r="E50" s="1835" t="str">
        <f>CONCATENATE(E37,E38,E39,E40,E41,E43,E44,E45,E46,E47)</f>
        <v/>
      </c>
      <c r="F50" s="1835" t="str">
        <f t="shared" ref="F50:R50" si="13">CONCATENATE(F37,F38,F39,F40,F41,F42,F43,F44,F45,F46,F47,F48)</f>
        <v/>
      </c>
      <c r="G50" s="1835" t="str">
        <f t="shared" si="13"/>
        <v/>
      </c>
      <c r="H50" s="1826" t="str">
        <f t="shared" si="13"/>
        <v/>
      </c>
      <c r="I50" s="1835" t="str">
        <f>CONCATENATE(I37,I38,I39,I40,I41,I43,I44,I45,I46,I47)</f>
        <v/>
      </c>
      <c r="J50" s="1835" t="str">
        <f>CONCATENATE(J37,J38,J39,J40,J41,J43,J44,J45,J46,J47)</f>
        <v/>
      </c>
      <c r="K50" s="1835" t="str">
        <f t="shared" si="13"/>
        <v/>
      </c>
      <c r="L50" s="1835" t="str">
        <f t="shared" si="13"/>
        <v/>
      </c>
      <c r="M50" s="1826" t="str">
        <f t="shared" si="13"/>
        <v/>
      </c>
      <c r="N50" s="1835" t="str">
        <f>CONCATENATE(N37,N38,N39,N40,N41,N43,N44,N45,N46,N47)</f>
        <v/>
      </c>
      <c r="O50" s="1835" t="str">
        <f>CONCATENATE(O37,O38,O39,O40,O41,O43,O44,O45,O46,O47)</f>
        <v/>
      </c>
      <c r="P50" s="1835" t="str">
        <f t="shared" si="13"/>
        <v/>
      </c>
      <c r="Q50" s="1835" t="str">
        <f t="shared" si="13"/>
        <v/>
      </c>
      <c r="R50" s="1826" t="str">
        <f t="shared" si="13"/>
        <v/>
      </c>
      <c r="S50" s="1835" t="str">
        <f>CONCATENATE(S37,S43)</f>
        <v/>
      </c>
      <c r="T50" s="1826" t="str">
        <f>CONCATENATE(T37,T43)</f>
        <v/>
      </c>
      <c r="U50" s="1596"/>
    </row>
    <row r="51" spans="2:21" x14ac:dyDescent="0.35">
      <c r="B51" s="24"/>
      <c r="C51" s="11"/>
      <c r="D51" s="11" t="s">
        <v>28281</v>
      </c>
      <c r="U51" s="17"/>
    </row>
    <row r="52" spans="2:21" x14ac:dyDescent="0.35">
      <c r="B52" s="24"/>
      <c r="C52" s="11"/>
      <c r="D52" s="1840" t="str">
        <f>D50&amp;E50&amp;F50&amp;G50&amp;H50</f>
        <v/>
      </c>
      <c r="I52" s="1841" t="str">
        <f>I50&amp;J50&amp;K50&amp;L50&amp;M50</f>
        <v/>
      </c>
      <c r="N52" s="1860" t="str">
        <f>N50&amp;O50&amp;P50&amp;Q50&amp;R50</f>
        <v/>
      </c>
      <c r="S52" s="1825" t="str">
        <f>S50&amp;T50&amp;U50&amp;V50&amp;W50</f>
        <v/>
      </c>
      <c r="U52" s="17"/>
    </row>
    <row r="53" spans="2:21" x14ac:dyDescent="0.35">
      <c r="B53" s="24"/>
      <c r="C53" s="11"/>
      <c r="U53" s="17"/>
    </row>
    <row r="54" spans="2:21" x14ac:dyDescent="0.35">
      <c r="B54" s="24"/>
      <c r="C54" s="11"/>
      <c r="D54" s="1826" t="str">
        <f>D52&amp;I52&amp;N52&amp;S52</f>
        <v/>
      </c>
      <c r="U54" s="17"/>
    </row>
    <row r="55" spans="2:21" x14ac:dyDescent="0.35">
      <c r="B55" s="1359"/>
      <c r="C55" s="26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U55" s="17"/>
    </row>
    <row r="56" spans="2:21" x14ac:dyDescent="0.35">
      <c r="B56" s="58"/>
      <c r="C56" s="59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59"/>
      <c r="S56" s="59"/>
      <c r="T56" s="59"/>
      <c r="U56" s="60"/>
    </row>
    <row r="57" spans="2:21" x14ac:dyDescent="0.35">
      <c r="B57" s="24" t="s">
        <v>27818</v>
      </c>
      <c r="C57" s="11"/>
      <c r="D57" t="s">
        <v>27793</v>
      </c>
      <c r="I57" t="s">
        <v>27774</v>
      </c>
      <c r="N57" t="s">
        <v>225</v>
      </c>
      <c r="S57" s="11" t="s">
        <v>27926</v>
      </c>
      <c r="U57" s="17"/>
    </row>
    <row r="58" spans="2:21" x14ac:dyDescent="0.35">
      <c r="B58" s="24"/>
      <c r="C58" s="11"/>
      <c r="D58" t="str">
        <f>'5_Planning'!$H$6&amp;", "&amp;'5_Planning'!$H$7</f>
        <v>Section A: All years, Column 1</v>
      </c>
      <c r="E58" t="str">
        <f>'5_Planning'!$H$6&amp;", "&amp;'5_Planning'!$H$7</f>
        <v>Section A: All years, Column 1</v>
      </c>
      <c r="F58" t="str">
        <f>'5_Planning'!$H$6&amp;", "&amp;'5_Planning'!$H$7</f>
        <v>Section A: All years, Column 1</v>
      </c>
      <c r="G58" t="str">
        <f>'5_Planning'!$H$6&amp;", "&amp;'5_Planning'!$H$7</f>
        <v>Section A: All years, Column 1</v>
      </c>
      <c r="H58" t="str">
        <f>'5_Planning'!$H$6&amp;", "&amp;'5_Planning'!$H$7</f>
        <v>Section A: All years, Column 1</v>
      </c>
      <c r="I58" t="str">
        <f>'5_Planning'!$H$6&amp;", "&amp;'5_Planning'!$M$7</f>
        <v>Section A: All years, Column 2</v>
      </c>
      <c r="J58" t="str">
        <f>'5_Planning'!$H$6&amp;", "&amp;'5_Planning'!$M$7</f>
        <v>Section A: All years, Column 2</v>
      </c>
      <c r="K58" t="str">
        <f>'5_Planning'!$H$6&amp;", "&amp;'5_Planning'!$M$7</f>
        <v>Section A: All years, Column 2</v>
      </c>
      <c r="L58" t="str">
        <f>'5_Planning'!$H$6&amp;", "&amp;'5_Planning'!$M$7</f>
        <v>Section A: All years, Column 2</v>
      </c>
      <c r="M58" t="str">
        <f>'5_Planning'!$H$6&amp;", "&amp;'5_Planning'!$M$7</f>
        <v>Section A: All years, Column 2</v>
      </c>
      <c r="N58" t="str">
        <f>'5_Planning'!$R$6</f>
        <v>Section B: New entrants</v>
      </c>
      <c r="O58" t="str">
        <f>'5_Planning'!$R$6</f>
        <v>Section B: New entrants</v>
      </c>
      <c r="P58" t="str">
        <f>'5_Planning'!$R$6</f>
        <v>Section B: New entrants</v>
      </c>
      <c r="Q58" t="str">
        <f>'5_Planning'!$R$6</f>
        <v>Section B: New entrants</v>
      </c>
      <c r="R58" t="str">
        <f>'5_Planning'!$R$6</f>
        <v>Section B: New entrants</v>
      </c>
      <c r="S58" t="str">
        <f>'5_Planning'!$W$6</f>
        <v>Section C: HTQs</v>
      </c>
      <c r="T58" t="str">
        <f>'5_Planning'!$W$6</f>
        <v>Section C: HTQs</v>
      </c>
      <c r="U58" s="17"/>
    </row>
    <row r="59" spans="2:21" ht="64.5" customHeight="1" x14ac:dyDescent="0.35">
      <c r="B59" s="24"/>
      <c r="C59" s="11"/>
      <c r="D59" s="184" t="s">
        <v>27811</v>
      </c>
      <c r="E59" s="184" t="s">
        <v>27812</v>
      </c>
      <c r="F59" s="184" t="s">
        <v>27813</v>
      </c>
      <c r="G59" s="184" t="s">
        <v>27814</v>
      </c>
      <c r="H59" s="182" t="s">
        <v>194</v>
      </c>
      <c r="I59" s="182" t="s">
        <v>27811</v>
      </c>
      <c r="J59" s="182" t="s">
        <v>27812</v>
      </c>
      <c r="K59" s="182" t="s">
        <v>27813</v>
      </c>
      <c r="L59" s="182" t="s">
        <v>27814</v>
      </c>
      <c r="M59" s="182" t="s">
        <v>194</v>
      </c>
      <c r="N59" s="182" t="s">
        <v>27811</v>
      </c>
      <c r="O59" s="182" t="s">
        <v>27812</v>
      </c>
      <c r="P59" s="182" t="s">
        <v>27813</v>
      </c>
      <c r="Q59" s="182" t="s">
        <v>27814</v>
      </c>
      <c r="R59" s="182" t="s">
        <v>194</v>
      </c>
      <c r="S59" s="184" t="s">
        <v>192</v>
      </c>
      <c r="T59" s="184" t="s">
        <v>193</v>
      </c>
      <c r="U59" s="17"/>
    </row>
    <row r="60" spans="2:21" x14ac:dyDescent="0.35">
      <c r="B60" s="118" t="str">
        <f>'5_Planning'!$A$14</f>
        <v>Full-time and sandwich year out</v>
      </c>
      <c r="C60" s="11" t="str">
        <f>'5_Planning'!B14</f>
        <v>UG (Level 4 and 5)</v>
      </c>
      <c r="D60" s="1842" t="str">
        <f>IF(AND($D$9=1,'5_Planning'!H14&lt;0), D$58&amp;", "&amp;D$59&amp;", "&amp;$B60&amp;", Level "&amp;$C60&amp;"; ","")</f>
        <v/>
      </c>
      <c r="E60" s="185" t="str">
        <f>IF(AND($D$9=1,'5_Planning'!I14&lt;0), E$58&amp;", "&amp;E$59&amp;", "&amp;$B60&amp;", Level "&amp;$C60&amp;"; ","")</f>
        <v/>
      </c>
      <c r="F60" s="185" t="str">
        <f>IF(AND($D$9=1,'5_Planning'!J14&lt;0), F$58&amp;", "&amp;F$59&amp;", "&amp;$B60&amp;", Level "&amp;$C60&amp;"; ","")</f>
        <v/>
      </c>
      <c r="G60" s="185" t="str">
        <f>IF(AND($D$9=1,'5_Planning'!K14&lt;0), G$58&amp;", "&amp;G$59&amp;", "&amp;$B60&amp;", Level "&amp;$C60&amp;"; ","")</f>
        <v/>
      </c>
      <c r="H60" s="1830" t="str">
        <f>IF(AND($D$9=1,'5_Planning'!L14&lt;0), H$58&amp;", "&amp;H$59&amp;", "&amp;$B60&amp;", Level "&amp;$C60&amp;"; ","")</f>
        <v/>
      </c>
      <c r="I60" s="1842" t="str">
        <f>IF(AND($D$9=1,'5_Planning'!M14&lt;0), I$58&amp;", "&amp;I$59&amp;", "&amp;$B60&amp;", Level "&amp;$C60&amp;"; ","")</f>
        <v/>
      </c>
      <c r="J60" s="185" t="str">
        <f>IF(AND($D$9=1,'5_Planning'!N14&lt;0), J$58&amp;", "&amp;J$59&amp;", "&amp;$B60&amp;", Level "&amp;$C60&amp;"; ","")</f>
        <v/>
      </c>
      <c r="K60" s="185" t="str">
        <f>IF(AND($D$9=1,'5_Planning'!O14&lt;0), K$58&amp;", "&amp;K$59&amp;", "&amp;$B60&amp;", Level "&amp;$C60&amp;"; ","")</f>
        <v/>
      </c>
      <c r="L60" s="185" t="str">
        <f>IF(AND($D$9=1,'5_Planning'!P14&lt;0), L$58&amp;", "&amp;L$59&amp;", "&amp;$B60&amp;", Level "&amp;$C60&amp;"; ","")</f>
        <v/>
      </c>
      <c r="M60" s="1830" t="str">
        <f>IF(AND($D$9=1,'5_Planning'!Q14&lt;0), M$58&amp;", "&amp;M$59&amp;", "&amp;$B60&amp;", Level "&amp;$C60&amp;"; ","")</f>
        <v/>
      </c>
      <c r="N60" s="1842" t="str">
        <f>IF(AND($D$9=1,'5_Planning'!R14&lt;0), N$58&amp;", "&amp;N$59&amp;", "&amp;$B60&amp;", Level "&amp;$C60&amp;"; ","")</f>
        <v/>
      </c>
      <c r="O60" s="185" t="str">
        <f>IF(AND($D$9=1,'5_Planning'!S14&lt;0), O$58&amp;", "&amp;O$59&amp;", "&amp;$B60&amp;", Level "&amp;$C60&amp;"; ","")</f>
        <v/>
      </c>
      <c r="P60" s="185" t="str">
        <f>IF(AND($D$9=1,'5_Planning'!T14&lt;0), P$58&amp;", "&amp;P$59&amp;", "&amp;$B60&amp;", Level "&amp;$C60&amp;"; ","")</f>
        <v/>
      </c>
      <c r="Q60" s="185" t="str">
        <f>IF(AND($D$9=1,'5_Planning'!U14&lt;0), Q$58&amp;", "&amp;Q$59&amp;", "&amp;$B60&amp;", Level "&amp;$C60&amp;"; ","")</f>
        <v/>
      </c>
      <c r="R60" s="1830" t="str">
        <f>IF(AND($D$9=1,'5_Planning'!V14&lt;0), R$58&amp;", "&amp;R$59&amp;", "&amp;$B60&amp;", Level "&amp;$C60&amp;"; ","")</f>
        <v/>
      </c>
      <c r="S60" s="1842" t="str">
        <f>IF(AND($D$9=1,'5_Planning'!W14&lt;0), S$58&amp;", "&amp;S$59&amp;", "&amp;$B60&amp;", Level "&amp;$C60&amp;"; ","")</f>
        <v/>
      </c>
      <c r="T60" s="185" t="str">
        <f>IF(AND($D$9=1,'5_Planning'!X14&lt;0), T$58&amp;", "&amp;T$59&amp;", "&amp;$B60&amp;", Level "&amp;$C60&amp;"; ","")</f>
        <v/>
      </c>
      <c r="U60" s="17"/>
    </row>
    <row r="61" spans="2:21" x14ac:dyDescent="0.35">
      <c r="B61" s="118" t="str">
        <f>'5_Planning'!$A$14</f>
        <v>Full-time and sandwich year out</v>
      </c>
      <c r="C61" s="11" t="str">
        <f>'5_Planning'!B15</f>
        <v>UG (Other)</v>
      </c>
      <c r="D61" s="1593" t="str">
        <f>IF(AND($D$9=1,'5_Planning'!H15&lt;0), D$58&amp;", "&amp;D$59&amp;", "&amp;$B61&amp;", Level "&amp;$C61&amp;"; ","")</f>
        <v/>
      </c>
      <c r="E61" t="str">
        <f>IF(AND($D$9=1,'5_Planning'!I15&lt;0), E$58&amp;", "&amp;E$59&amp;", "&amp;$B61&amp;", Level "&amp;$C61&amp;"; ","")</f>
        <v/>
      </c>
      <c r="F61" t="str">
        <f>IF(AND($D$9=1,'5_Planning'!J15&lt;0), F$58&amp;", "&amp;F$59&amp;", "&amp;$B61&amp;", Level "&amp;$C61&amp;"; ","")</f>
        <v/>
      </c>
      <c r="G61" t="str">
        <f>IF(AND($D$9=1,'5_Planning'!K15&lt;0), G$58&amp;", "&amp;G$59&amp;", "&amp;$B61&amp;", Level "&amp;$C61&amp;"; ","")</f>
        <v/>
      </c>
      <c r="H61" s="183" t="str">
        <f>IF(AND($D$9=1,'5_Planning'!L15&lt;0), H$58&amp;", "&amp;H$59&amp;", "&amp;$B61&amp;", Level "&amp;$C61&amp;"; ","")</f>
        <v/>
      </c>
      <c r="I61" s="1593" t="str">
        <f>IF(AND($D$9=1,'5_Planning'!M15&lt;0), I$58&amp;", "&amp;I$59&amp;", "&amp;$B61&amp;", Level "&amp;$C61&amp;"; ","")</f>
        <v/>
      </c>
      <c r="J61" t="str">
        <f>IF(AND($D$9=1,'5_Planning'!N15&lt;0), J$58&amp;", "&amp;J$59&amp;", "&amp;$B61&amp;", Level "&amp;$C61&amp;"; ","")</f>
        <v/>
      </c>
      <c r="K61" t="str">
        <f>IF(AND($D$9=1,'5_Planning'!O15&lt;0), K$58&amp;", "&amp;K$59&amp;", "&amp;$B61&amp;", Level "&amp;$C61&amp;"; ","")</f>
        <v/>
      </c>
      <c r="L61" t="str">
        <f>IF(AND($D$9=1,'5_Planning'!P15&lt;0), L$58&amp;", "&amp;L$59&amp;", "&amp;$B61&amp;", Level "&amp;$C61&amp;"; ","")</f>
        <v/>
      </c>
      <c r="M61" s="183" t="str">
        <f>IF(AND($D$9=1,'5_Planning'!Q15&lt;0), M$58&amp;", "&amp;M$59&amp;", "&amp;$B61&amp;", Level "&amp;$C61&amp;"; ","")</f>
        <v/>
      </c>
      <c r="N61" s="1593" t="str">
        <f>IF(AND($D$9=1,'5_Planning'!R15&lt;0), N$58&amp;", "&amp;N$59&amp;", "&amp;$B61&amp;", Level "&amp;$C61&amp;"; ","")</f>
        <v/>
      </c>
      <c r="O61" t="str">
        <f>IF(AND($D$9=1,'5_Planning'!S15&lt;0), O$58&amp;", "&amp;O$59&amp;", "&amp;$B61&amp;", Level "&amp;$C61&amp;"; ","")</f>
        <v/>
      </c>
      <c r="P61" t="str">
        <f>IF(AND($D$9=1,'5_Planning'!T15&lt;0), P$58&amp;", "&amp;P$59&amp;", "&amp;$B61&amp;", Level "&amp;$C61&amp;"; ","")</f>
        <v/>
      </c>
      <c r="Q61" t="str">
        <f>IF(AND($D$9=1,'5_Planning'!U15&lt;0), Q$58&amp;", "&amp;Q$59&amp;", "&amp;$B61&amp;", Level "&amp;$C61&amp;"; ","")</f>
        <v/>
      </c>
      <c r="R61" s="183" t="str">
        <f>IF(AND($D$9=1,'5_Planning'!V15&lt;0), R$58&amp;", "&amp;R$59&amp;", "&amp;$B61&amp;", Level "&amp;$C61&amp;"; ","")</f>
        <v/>
      </c>
      <c r="S61" s="1648"/>
      <c r="T61" s="1360"/>
      <c r="U61" s="17"/>
    </row>
    <row r="62" spans="2:21" x14ac:dyDescent="0.35">
      <c r="B62" s="118" t="str">
        <f>'5_Planning'!$A$14</f>
        <v>Full-time and sandwich year out</v>
      </c>
      <c r="C62" s="11" t="str">
        <f>'5_Planning'!B16</f>
        <v>PGT (UG fee)</v>
      </c>
      <c r="D62" s="1593" t="str">
        <f>IF(AND($D$9=1,'5_Planning'!H16&lt;0), D$58&amp;", "&amp;D$59&amp;", "&amp;$B62&amp;", Level "&amp;$C62&amp;"; ","")</f>
        <v/>
      </c>
      <c r="E62" t="str">
        <f>IF(AND($D$9=1,'5_Planning'!I16&lt;0), E$58&amp;", "&amp;E$59&amp;", "&amp;$B62&amp;", Level "&amp;$C62&amp;"; ","")</f>
        <v/>
      </c>
      <c r="F62" t="str">
        <f>IF(AND($D$9=1,'5_Planning'!J16&lt;0), F$58&amp;", "&amp;F$59&amp;", "&amp;$B62&amp;", Level "&amp;$C62&amp;"; ","")</f>
        <v/>
      </c>
      <c r="G62" t="str">
        <f>IF(AND($D$9=1,'5_Planning'!K16&lt;0), G$58&amp;", "&amp;G$59&amp;", "&amp;$B62&amp;", Level "&amp;$C62&amp;"; ","")</f>
        <v/>
      </c>
      <c r="H62" s="183" t="str">
        <f>IF(AND($D$9=1,'5_Planning'!L16&lt;0), H$58&amp;", "&amp;H$59&amp;", "&amp;$B62&amp;", Level "&amp;$C62&amp;"; ","")</f>
        <v/>
      </c>
      <c r="I62" s="1593" t="str">
        <f>IF(AND($D$9=1,'5_Planning'!M16&lt;0), I$58&amp;", "&amp;I$59&amp;", "&amp;$B62&amp;", Level "&amp;$C62&amp;"; ","")</f>
        <v/>
      </c>
      <c r="J62" t="str">
        <f>IF(AND($D$9=1,'5_Planning'!N16&lt;0), J$58&amp;", "&amp;J$59&amp;", "&amp;$B62&amp;", Level "&amp;$C62&amp;"; ","")</f>
        <v/>
      </c>
      <c r="K62" t="str">
        <f>IF(AND($D$9=1,'5_Planning'!O16&lt;0), K$58&amp;", "&amp;K$59&amp;", "&amp;$B62&amp;", Level "&amp;$C62&amp;"; ","")</f>
        <v/>
      </c>
      <c r="L62" t="str">
        <f>IF(AND($D$9=1,'5_Planning'!P16&lt;0), L$58&amp;", "&amp;L$59&amp;", "&amp;$B62&amp;", Level "&amp;$C62&amp;"; ","")</f>
        <v/>
      </c>
      <c r="M62" s="183" t="str">
        <f>IF(AND($D$9=1,'5_Planning'!Q16&lt;0), M$58&amp;", "&amp;M$59&amp;", "&amp;$B62&amp;", Level "&amp;$C62&amp;"; ","")</f>
        <v/>
      </c>
      <c r="N62" s="1593" t="str">
        <f>IF(AND($D$9=1,'5_Planning'!R16&lt;0), N$58&amp;", "&amp;N$59&amp;", "&amp;$B62&amp;", Level "&amp;$C62&amp;"; ","")</f>
        <v/>
      </c>
      <c r="O62" t="str">
        <f>IF(AND($D$9=1,'5_Planning'!S16&lt;0), O$58&amp;", "&amp;O$59&amp;", "&amp;$B62&amp;", Level "&amp;$C62&amp;"; ","")</f>
        <v/>
      </c>
      <c r="P62" t="str">
        <f>IF(AND($D$9=1,'5_Planning'!T16&lt;0), P$58&amp;", "&amp;P$59&amp;", "&amp;$B62&amp;", Level "&amp;$C62&amp;"; ","")</f>
        <v/>
      </c>
      <c r="Q62" t="str">
        <f>IF(AND($D$9=1,'5_Planning'!U16&lt;0), Q$58&amp;", "&amp;Q$59&amp;", "&amp;$B62&amp;", Level "&amp;$C62&amp;"; ","")</f>
        <v/>
      </c>
      <c r="R62" s="183" t="str">
        <f>IF(AND($D$9=1,'5_Planning'!V16&lt;0), R$58&amp;", "&amp;R$59&amp;", "&amp;$B62&amp;", Level "&amp;$C62&amp;"; ","")</f>
        <v/>
      </c>
      <c r="S62" s="1648"/>
      <c r="T62" s="1360"/>
      <c r="U62" s="17"/>
    </row>
    <row r="63" spans="2:21" x14ac:dyDescent="0.35">
      <c r="B63" s="118" t="str">
        <f>'5_Planning'!$A$14</f>
        <v>Full-time and sandwich year out</v>
      </c>
      <c r="C63" s="11" t="str">
        <f>'5_Planning'!B17</f>
        <v>PGT (Masters' loan)</v>
      </c>
      <c r="D63" s="1593" t="str">
        <f>IF(AND($D$9=1,'5_Planning'!H17&lt;0), D$58&amp;", "&amp;D$59&amp;", "&amp;$B63&amp;", Level "&amp;$C63&amp;"; ","")</f>
        <v/>
      </c>
      <c r="E63" t="str">
        <f>IF(AND($D$9=1,'5_Planning'!I17&lt;0), E$58&amp;", "&amp;E$59&amp;", "&amp;$B63&amp;", Level "&amp;$C63&amp;"; ","")</f>
        <v/>
      </c>
      <c r="F63" t="str">
        <f>IF(AND($D$9=1,'5_Planning'!J17&lt;0), F$58&amp;", "&amp;F$59&amp;", "&amp;$B63&amp;", Level "&amp;$C63&amp;"; ","")</f>
        <v/>
      </c>
      <c r="G63" t="str">
        <f>IF(AND($D$9=1,'5_Planning'!K17&lt;0), G$58&amp;", "&amp;G$59&amp;", "&amp;$B63&amp;", Level "&amp;$C63&amp;"; ","")</f>
        <v/>
      </c>
      <c r="H63" s="183" t="str">
        <f>IF(AND($D$9=1,'5_Planning'!L17&lt;0), H$58&amp;", "&amp;H$59&amp;", "&amp;$B63&amp;", Level "&amp;$C63&amp;"; ","")</f>
        <v/>
      </c>
      <c r="I63" s="1593" t="str">
        <f>IF(AND($D$9=1,'5_Planning'!M17&lt;0), I$58&amp;", "&amp;I$59&amp;", "&amp;$B63&amp;", Level "&amp;$C63&amp;"; ","")</f>
        <v/>
      </c>
      <c r="J63" t="str">
        <f>IF(AND($D$9=1,'5_Planning'!N17&lt;0), J$58&amp;", "&amp;J$59&amp;", "&amp;$B63&amp;", Level "&amp;$C63&amp;"; ","")</f>
        <v/>
      </c>
      <c r="K63" t="str">
        <f>IF(AND($D$9=1,'5_Planning'!O17&lt;0), K$58&amp;", "&amp;K$59&amp;", "&amp;$B63&amp;", Level "&amp;$C63&amp;"; ","")</f>
        <v/>
      </c>
      <c r="L63" t="str">
        <f>IF(AND($D$9=1,'5_Planning'!P17&lt;0), L$58&amp;", "&amp;L$59&amp;", "&amp;$B63&amp;", Level "&amp;$C63&amp;"; ","")</f>
        <v/>
      </c>
      <c r="M63" s="183" t="str">
        <f>IF(AND($D$9=1,'5_Planning'!Q17&lt;0), M$58&amp;", "&amp;M$59&amp;", "&amp;$B63&amp;", Level "&amp;$C63&amp;"; ","")</f>
        <v/>
      </c>
      <c r="N63" s="1593" t="str">
        <f>IF(AND($D$9=1,'5_Planning'!R17&lt;0), N$58&amp;", "&amp;N$59&amp;", "&amp;$B63&amp;", Level "&amp;$C63&amp;"; ","")</f>
        <v/>
      </c>
      <c r="O63" t="str">
        <f>IF(AND($D$9=1,'5_Planning'!S17&lt;0), O$58&amp;", "&amp;O$59&amp;", "&amp;$B63&amp;", Level "&amp;$C63&amp;"; ","")</f>
        <v/>
      </c>
      <c r="P63" t="str">
        <f>IF(AND($D$9=1,'5_Planning'!T17&lt;0), P$58&amp;", "&amp;P$59&amp;", "&amp;$B63&amp;", Level "&amp;$C63&amp;"; ","")</f>
        <v/>
      </c>
      <c r="Q63" t="str">
        <f>IF(AND($D$9=1,'5_Planning'!U17&lt;0), Q$58&amp;", "&amp;Q$59&amp;", "&amp;$B63&amp;", Level "&amp;$C63&amp;"; ","")</f>
        <v/>
      </c>
      <c r="R63" s="183" t="str">
        <f>IF(AND($D$9=1,'5_Planning'!V17&lt;0), R$58&amp;", "&amp;R$59&amp;", "&amp;$B63&amp;", Level "&amp;$C63&amp;"; ","")</f>
        <v/>
      </c>
      <c r="S63" s="1648"/>
      <c r="T63" s="1360"/>
      <c r="U63" s="17"/>
    </row>
    <row r="64" spans="2:21" x14ac:dyDescent="0.35">
      <c r="B64" s="118" t="str">
        <f>'5_Planning'!$A$14</f>
        <v>Full-time and sandwich year out</v>
      </c>
      <c r="C64" s="11" t="str">
        <f>'5_Planning'!B18</f>
        <v>PGT (Other)</v>
      </c>
      <c r="D64" s="1593" t="str">
        <f>IF(AND($D$9=1,'5_Planning'!H18&lt;0), D$58&amp;", "&amp;D$59&amp;", "&amp;$B64&amp;", Level "&amp;$C64&amp;"; ","")</f>
        <v/>
      </c>
      <c r="E64" t="str">
        <f>IF(AND($D$9=1,'5_Planning'!I18&lt;0), E$58&amp;", "&amp;E$59&amp;", "&amp;$B64&amp;", Level "&amp;$C64&amp;"; ","")</f>
        <v/>
      </c>
      <c r="F64" t="str">
        <f>IF(AND($D$9=1,'5_Planning'!J18&lt;0), F$58&amp;", "&amp;F$59&amp;", "&amp;$B64&amp;", Level "&amp;$C64&amp;"; ","")</f>
        <v/>
      </c>
      <c r="G64" t="str">
        <f>IF(AND($D$9=1,'5_Planning'!K18&lt;0), G$58&amp;", "&amp;G$59&amp;", "&amp;$B64&amp;", Level "&amp;$C64&amp;"; ","")</f>
        <v/>
      </c>
      <c r="H64" s="183" t="str">
        <f>IF(AND($D$9=1,'5_Planning'!L18&lt;0), H$58&amp;", "&amp;H$59&amp;", "&amp;$B64&amp;", Level "&amp;$C64&amp;"; ","")</f>
        <v/>
      </c>
      <c r="I64" s="1593" t="str">
        <f>IF(AND($D$9=1,'5_Planning'!M18&lt;0), I$58&amp;", "&amp;I$59&amp;", "&amp;$B64&amp;", Level "&amp;$C64&amp;"; ","")</f>
        <v/>
      </c>
      <c r="J64" t="str">
        <f>IF(AND($D$9=1,'5_Planning'!N18&lt;0), J$58&amp;", "&amp;J$59&amp;", "&amp;$B64&amp;", Level "&amp;$C64&amp;"; ","")</f>
        <v/>
      </c>
      <c r="K64" t="str">
        <f>IF(AND($D$9=1,'5_Planning'!O18&lt;0), K$58&amp;", "&amp;K$59&amp;", "&amp;$B64&amp;", Level "&amp;$C64&amp;"; ","")</f>
        <v/>
      </c>
      <c r="L64" t="str">
        <f>IF(AND($D$9=1,'5_Planning'!P18&lt;0), L$58&amp;", "&amp;L$59&amp;", "&amp;$B64&amp;", Level "&amp;$C64&amp;"; ","")</f>
        <v/>
      </c>
      <c r="M64" s="183" t="str">
        <f>IF(AND($D$9=1,'5_Planning'!Q18&lt;0), M$58&amp;", "&amp;M$59&amp;", "&amp;$B64&amp;", Level "&amp;$C64&amp;"; ","")</f>
        <v/>
      </c>
      <c r="N64" s="1593" t="str">
        <f>IF(AND($D$9=1,'5_Planning'!R18&lt;0), N$58&amp;", "&amp;N$59&amp;", "&amp;$B64&amp;", Level "&amp;$C64&amp;"; ","")</f>
        <v/>
      </c>
      <c r="O64" t="str">
        <f>IF(AND($D$9=1,'5_Planning'!S18&lt;0), O$58&amp;", "&amp;O$59&amp;", "&amp;$B64&amp;", Level "&amp;$C64&amp;"; ","")</f>
        <v/>
      </c>
      <c r="P64" t="str">
        <f>IF(AND($D$9=1,'5_Planning'!T18&lt;0), P$58&amp;", "&amp;P$59&amp;", "&amp;$B64&amp;", Level "&amp;$C64&amp;"; ","")</f>
        <v/>
      </c>
      <c r="Q64" t="str">
        <f>IF(AND($D$9=1,'5_Planning'!U18&lt;0), Q$58&amp;", "&amp;Q$59&amp;", "&amp;$B64&amp;", Level "&amp;$C64&amp;"; ","")</f>
        <v/>
      </c>
      <c r="R64" s="183" t="str">
        <f>IF(AND($D$9=1,'5_Planning'!V18&lt;0), R$58&amp;", "&amp;R$59&amp;", "&amp;$B64&amp;", Level "&amp;$C64&amp;"; ","")</f>
        <v/>
      </c>
      <c r="S64" s="1648"/>
      <c r="T64" s="1360"/>
      <c r="U64" s="17"/>
    </row>
    <row r="65" spans="2:27" x14ac:dyDescent="0.35">
      <c r="B65" s="118" t="str">
        <f>'5_Planning'!$A$14</f>
        <v>Full-time and sandwich year out</v>
      </c>
      <c r="C65" s="11" t="str">
        <f>'5_Planning'!B19</f>
        <v>PGR</v>
      </c>
      <c r="D65" s="1648" t="str">
        <f>IF(AND($D$9=1,'5_Planning'!H19&lt;0), D$58&amp;", "&amp;D$59&amp;", "&amp;$B65&amp;", Level "&amp;$C65&amp;"; ","")</f>
        <v/>
      </c>
      <c r="E65" s="1360" t="str">
        <f>IF(AND($D$9=1,'5_Planning'!I19&lt;0), E$58&amp;", "&amp;E$59&amp;", "&amp;$B65&amp;", Level "&amp;$C65&amp;"; ","")</f>
        <v/>
      </c>
      <c r="F65" t="str">
        <f>IF(AND($D$9=1,'5_Planning'!J19&lt;0), F$58&amp;", "&amp;F$59&amp;", "&amp;$B65&amp;", Level "&amp;$C65&amp;"; ","")</f>
        <v/>
      </c>
      <c r="G65" t="str">
        <f>IF(AND($D$9=1,'5_Planning'!K19&lt;0), G$58&amp;", "&amp;G$59&amp;", "&amp;$B65&amp;", Level "&amp;$C65&amp;"; ","")</f>
        <v/>
      </c>
      <c r="H65" s="183" t="str">
        <f>IF(AND($D$9=1,'5_Planning'!L19&lt;0), H$58&amp;", "&amp;H$59&amp;", "&amp;$B65&amp;", Level "&amp;$C65&amp;"; ","")</f>
        <v/>
      </c>
      <c r="I65" s="1648" t="str">
        <f>IF(AND($D$9=1,'5_Planning'!M19&lt;0), I$58&amp;", "&amp;I$59&amp;", "&amp;$B65&amp;", Level "&amp;$C65&amp;"; ","")</f>
        <v/>
      </c>
      <c r="J65" s="1360" t="str">
        <f>IF(AND($D$9=1,'5_Planning'!N19&lt;0), J$58&amp;", "&amp;J$59&amp;", "&amp;$B65&amp;", Level "&amp;$C65&amp;"; ","")</f>
        <v/>
      </c>
      <c r="K65" t="str">
        <f>IF(AND($D$9=1,'5_Planning'!O19&lt;0), K$58&amp;", "&amp;K$59&amp;", "&amp;$B65&amp;", Level "&amp;$C65&amp;"; ","")</f>
        <v/>
      </c>
      <c r="L65" t="str">
        <f>IF(AND($D$9=1,'5_Planning'!P19&lt;0), L$58&amp;", "&amp;L$59&amp;", "&amp;$B65&amp;", Level "&amp;$C65&amp;"; ","")</f>
        <v/>
      </c>
      <c r="M65" s="183" t="str">
        <f>IF(AND($D$9=1,'5_Planning'!Q19&lt;0), M$58&amp;", "&amp;M$59&amp;", "&amp;$B65&amp;", Level "&amp;$C65&amp;"; ","")</f>
        <v/>
      </c>
      <c r="N65" s="1648" t="str">
        <f>IF(AND($D$9=1,'5_Planning'!R19&lt;0), N$58&amp;", "&amp;N$59&amp;", "&amp;$B65&amp;", Level "&amp;$C65&amp;"; ","")</f>
        <v/>
      </c>
      <c r="O65" s="1360" t="str">
        <f>IF(AND($D$9=1,'5_Planning'!S19&lt;0), O$58&amp;", "&amp;O$59&amp;", "&amp;$B65&amp;", Level "&amp;$C65&amp;"; ","")</f>
        <v/>
      </c>
      <c r="P65" t="str">
        <f>IF(AND($D$9=1,'5_Planning'!T19&lt;0), P$58&amp;", "&amp;P$59&amp;", "&amp;$B65&amp;", Level "&amp;$C65&amp;"; ","")</f>
        <v/>
      </c>
      <c r="Q65" t="str">
        <f>IF(AND($D$9=1,'5_Planning'!U19&lt;0), Q$58&amp;", "&amp;Q$59&amp;", "&amp;$B65&amp;", Level "&amp;$C65&amp;"; ","")</f>
        <v/>
      </c>
      <c r="R65" s="183" t="str">
        <f>IF(AND($D$9=1,'5_Planning'!V19&lt;0), R$58&amp;", "&amp;R$59&amp;", "&amp;$B65&amp;", Level "&amp;$C65&amp;"; ","")</f>
        <v/>
      </c>
      <c r="S65" s="1648"/>
      <c r="T65" s="1360"/>
      <c r="U65" s="17"/>
    </row>
    <row r="66" spans="2:27" x14ac:dyDescent="0.35">
      <c r="B66" s="118" t="str">
        <f>'5_Planning'!$A$20</f>
        <v>Part-time</v>
      </c>
      <c r="C66" s="11" t="str">
        <f>'5_Planning'!B20</f>
        <v>UG (Level 4 and 5)</v>
      </c>
      <c r="D66" s="1842" t="str">
        <f>IF(AND($D$9=1,'5_Planning'!H20&lt;0), D$58&amp;", "&amp;D$59&amp;", "&amp;$B66&amp;", Level "&amp;$C66&amp;"; ","")</f>
        <v/>
      </c>
      <c r="E66" s="185" t="str">
        <f>IF(AND($D$9=1,'5_Planning'!I20&lt;0), E$58&amp;", "&amp;E$59&amp;", "&amp;$B66&amp;", Level "&amp;$C66&amp;"; ","")</f>
        <v/>
      </c>
      <c r="F66" s="185" t="str">
        <f>IF(AND($D$9=1,'5_Planning'!J20&lt;0), F$58&amp;", "&amp;F$59&amp;", "&amp;$B66&amp;", Level "&amp;$C66&amp;"; ","")</f>
        <v/>
      </c>
      <c r="G66" s="185" t="str">
        <f>IF(AND($D$9=1,'5_Planning'!K20&lt;0), G$58&amp;", "&amp;G$59&amp;", "&amp;$B66&amp;", Level "&amp;$C66&amp;"; ","")</f>
        <v/>
      </c>
      <c r="H66" s="1830" t="str">
        <f>IF(AND($D$9=1,'5_Planning'!L20&lt;0), H$58&amp;", "&amp;H$59&amp;", "&amp;$B66&amp;", Level "&amp;$C66&amp;"; ","")</f>
        <v/>
      </c>
      <c r="I66" s="1842" t="str">
        <f>IF(AND($D$9=1,'5_Planning'!M20&lt;0), I$58&amp;", "&amp;I$59&amp;", "&amp;$B66&amp;", Level "&amp;$C66&amp;"; ","")</f>
        <v/>
      </c>
      <c r="J66" s="185" t="str">
        <f>IF(AND($D$9=1,'5_Planning'!N20&lt;0), J$58&amp;", "&amp;J$59&amp;", "&amp;$B66&amp;", Level "&amp;$C66&amp;"; ","")</f>
        <v/>
      </c>
      <c r="K66" s="185" t="str">
        <f>IF(AND($D$9=1,'5_Planning'!O20&lt;0), K$58&amp;", "&amp;K$59&amp;", "&amp;$B66&amp;", Level "&amp;$C66&amp;"; ","")</f>
        <v/>
      </c>
      <c r="L66" s="185" t="str">
        <f>IF(AND($D$9=1,'5_Planning'!P20&lt;0), L$58&amp;", "&amp;L$59&amp;", "&amp;$B66&amp;", Level "&amp;$C66&amp;"; ","")</f>
        <v/>
      </c>
      <c r="M66" s="1830" t="str">
        <f>IF(AND($D$9=1,'5_Planning'!Q20&lt;0), M$58&amp;", "&amp;M$59&amp;", "&amp;$B66&amp;", Level "&amp;$C66&amp;"; ","")</f>
        <v/>
      </c>
      <c r="N66" s="1842" t="str">
        <f>IF(AND($D$9=1,'5_Planning'!R20&lt;0), N$58&amp;", "&amp;N$59&amp;", "&amp;$B66&amp;", Level "&amp;$C66&amp;"; ","")</f>
        <v/>
      </c>
      <c r="O66" s="185" t="str">
        <f>IF(AND($D$9=1,'5_Planning'!S20&lt;0), O$58&amp;", "&amp;O$59&amp;", "&amp;$B66&amp;", Level "&amp;$C66&amp;"; ","")</f>
        <v/>
      </c>
      <c r="P66" s="185" t="str">
        <f>IF(AND($D$9=1,'5_Planning'!T20&lt;0), P$58&amp;", "&amp;P$59&amp;", "&amp;$B66&amp;", Level "&amp;$C66&amp;"; ","")</f>
        <v/>
      </c>
      <c r="Q66" s="185" t="str">
        <f>IF(AND($D$9=1,'5_Planning'!U20&lt;0), Q$58&amp;", "&amp;Q$59&amp;", "&amp;$B66&amp;", Level "&amp;$C66&amp;"; ","")</f>
        <v/>
      </c>
      <c r="R66" s="1830" t="str">
        <f>IF(AND($D$9=1,'5_Planning'!V20&lt;0), R$58&amp;", "&amp;R$59&amp;", "&amp;$B66&amp;", Level "&amp;$C66&amp;"; ","")</f>
        <v/>
      </c>
      <c r="S66" s="1842" t="str">
        <f>IF(AND($D$9=1,'5_Planning'!W20&lt;0), S$58&amp;", "&amp;S$59&amp;", "&amp;$B66&amp;", Level "&amp;$C66&amp;"; ","")</f>
        <v/>
      </c>
      <c r="T66" s="185" t="str">
        <f>IF(AND($D$9=1,'5_Planning'!X20&lt;0), T$58&amp;", "&amp;T$59&amp;", "&amp;$B66&amp;", Level "&amp;$C66&amp;"; ","")</f>
        <v/>
      </c>
      <c r="U66" s="17"/>
    </row>
    <row r="67" spans="2:27" x14ac:dyDescent="0.35">
      <c r="B67" s="118" t="str">
        <f>'5_Planning'!$A$20</f>
        <v>Part-time</v>
      </c>
      <c r="C67" s="11" t="str">
        <f>'5_Planning'!B21</f>
        <v>UG (Other)</v>
      </c>
      <c r="D67" s="1593" t="str">
        <f>IF(AND($D$9=1,'5_Planning'!H21&lt;0), D$58&amp;", "&amp;D$59&amp;", "&amp;$B67&amp;", Level "&amp;$C67&amp;"; ","")</f>
        <v/>
      </c>
      <c r="E67" t="str">
        <f>IF(AND($D$9=1,'5_Planning'!I21&lt;0), E$58&amp;", "&amp;E$59&amp;", "&amp;$B67&amp;", Level "&amp;$C67&amp;"; ","")</f>
        <v/>
      </c>
      <c r="F67" t="str">
        <f>IF(AND($D$9=1,'5_Planning'!J21&lt;0), F$58&amp;", "&amp;F$59&amp;", "&amp;$B67&amp;", Level "&amp;$C67&amp;"; ","")</f>
        <v/>
      </c>
      <c r="G67" t="str">
        <f>IF(AND($D$9=1,'5_Planning'!K21&lt;0), G$58&amp;", "&amp;G$59&amp;", "&amp;$B67&amp;", Level "&amp;$C67&amp;"; ","")</f>
        <v/>
      </c>
      <c r="H67" s="183" t="str">
        <f>IF(AND($D$9=1,'5_Planning'!L21&lt;0), H$58&amp;", "&amp;H$59&amp;", "&amp;$B67&amp;", Level "&amp;$C67&amp;"; ","")</f>
        <v/>
      </c>
      <c r="I67" s="1593" t="str">
        <f>IF(AND($D$9=1,'5_Planning'!M21&lt;0), I$58&amp;", "&amp;I$59&amp;", "&amp;$B67&amp;", Level "&amp;$C67&amp;"; ","")</f>
        <v/>
      </c>
      <c r="J67" t="str">
        <f>IF(AND($D$9=1,'5_Planning'!N21&lt;0), J$58&amp;", "&amp;J$59&amp;", "&amp;$B67&amp;", Level "&amp;$C67&amp;"; ","")</f>
        <v/>
      </c>
      <c r="K67" t="str">
        <f>IF(AND($D$9=1,'5_Planning'!O21&lt;0), K$58&amp;", "&amp;K$59&amp;", "&amp;$B67&amp;", Level "&amp;$C67&amp;"; ","")</f>
        <v/>
      </c>
      <c r="L67" t="str">
        <f>IF(AND($D$9=1,'5_Planning'!P21&lt;0), L$58&amp;", "&amp;L$59&amp;", "&amp;$B67&amp;", Level "&amp;$C67&amp;"; ","")</f>
        <v/>
      </c>
      <c r="M67" s="183" t="str">
        <f>IF(AND($D$9=1,'5_Planning'!Q21&lt;0), M$58&amp;", "&amp;M$59&amp;", "&amp;$B67&amp;", Level "&amp;$C67&amp;"; ","")</f>
        <v/>
      </c>
      <c r="N67" s="1593" t="str">
        <f>IF(AND($D$9=1,'5_Planning'!R21&lt;0), N$58&amp;", "&amp;N$59&amp;", "&amp;$B67&amp;", Level "&amp;$C67&amp;"; ","")</f>
        <v/>
      </c>
      <c r="O67" t="str">
        <f>IF(AND($D$9=1,'5_Planning'!S21&lt;0), O$58&amp;", "&amp;O$59&amp;", "&amp;$B67&amp;", Level "&amp;$C67&amp;"; ","")</f>
        <v/>
      </c>
      <c r="P67" t="str">
        <f>IF(AND($D$9=1,'5_Planning'!T21&lt;0), P$58&amp;", "&amp;P$59&amp;", "&amp;$B67&amp;", Level "&amp;$C67&amp;"; ","")</f>
        <v/>
      </c>
      <c r="Q67" t="str">
        <f>IF(AND($D$9=1,'5_Planning'!U21&lt;0), Q$58&amp;", "&amp;Q$59&amp;", "&amp;$B67&amp;", Level "&amp;$C67&amp;"; ","")</f>
        <v/>
      </c>
      <c r="R67" s="183" t="str">
        <f>IF(AND($D$9=1,'5_Planning'!V21&lt;0), R$58&amp;", "&amp;R$59&amp;", "&amp;$B67&amp;", Level "&amp;$C67&amp;"; ","")</f>
        <v/>
      </c>
      <c r="S67" s="1648"/>
      <c r="T67" s="1360"/>
      <c r="U67" s="17"/>
    </row>
    <row r="68" spans="2:27" x14ac:dyDescent="0.35">
      <c r="B68" s="118" t="str">
        <f>'5_Planning'!$A$20</f>
        <v>Part-time</v>
      </c>
      <c r="C68" s="11" t="str">
        <f>'5_Planning'!B22</f>
        <v>PGT (UG fee)</v>
      </c>
      <c r="D68" s="1593" t="str">
        <f>IF(AND($D$9=1,'5_Planning'!H22&lt;0), D$58&amp;", "&amp;D$59&amp;", "&amp;$B68&amp;", Level "&amp;$C68&amp;"; ","")</f>
        <v/>
      </c>
      <c r="E68" t="str">
        <f>IF(AND($D$9=1,'5_Planning'!I22&lt;0), E$58&amp;", "&amp;E$59&amp;", "&amp;$B68&amp;", Level "&amp;$C68&amp;"; ","")</f>
        <v/>
      </c>
      <c r="F68" t="str">
        <f>IF(AND($D$9=1,'5_Planning'!J22&lt;0), F$58&amp;", "&amp;F$59&amp;", "&amp;$B68&amp;", Level "&amp;$C68&amp;"; ","")</f>
        <v/>
      </c>
      <c r="G68" t="str">
        <f>IF(AND($D$9=1,'5_Planning'!K22&lt;0), G$58&amp;", "&amp;G$59&amp;", "&amp;$B68&amp;", Level "&amp;$C68&amp;"; ","")</f>
        <v/>
      </c>
      <c r="H68" s="183" t="str">
        <f>IF(AND($D$9=1,'5_Planning'!L22&lt;0), H$58&amp;", "&amp;H$59&amp;", "&amp;$B68&amp;", Level "&amp;$C68&amp;"; ","")</f>
        <v/>
      </c>
      <c r="I68" s="1593" t="str">
        <f>IF(AND($D$9=1,'5_Planning'!M22&lt;0), I$58&amp;", "&amp;I$59&amp;", "&amp;$B68&amp;", Level "&amp;$C68&amp;"; ","")</f>
        <v/>
      </c>
      <c r="J68" t="str">
        <f>IF(AND($D$9=1,'5_Planning'!N22&lt;0), J$58&amp;", "&amp;J$59&amp;", "&amp;$B68&amp;", Level "&amp;$C68&amp;"; ","")</f>
        <v/>
      </c>
      <c r="K68" t="str">
        <f>IF(AND($D$9=1,'5_Planning'!O22&lt;0), K$58&amp;", "&amp;K$59&amp;", "&amp;$B68&amp;", Level "&amp;$C68&amp;"; ","")</f>
        <v/>
      </c>
      <c r="L68" t="str">
        <f>IF(AND($D$9=1,'5_Planning'!P22&lt;0), L$58&amp;", "&amp;L$59&amp;", "&amp;$B68&amp;", Level "&amp;$C68&amp;"; ","")</f>
        <v/>
      </c>
      <c r="M68" s="183" t="str">
        <f>IF(AND($D$9=1,'5_Planning'!Q22&lt;0), M$58&amp;", "&amp;M$59&amp;", "&amp;$B68&amp;", Level "&amp;$C68&amp;"; ","")</f>
        <v/>
      </c>
      <c r="N68" s="1593" t="str">
        <f>IF(AND($D$9=1,'5_Planning'!R22&lt;0), N$58&amp;", "&amp;N$59&amp;", "&amp;$B68&amp;", Level "&amp;$C68&amp;"; ","")</f>
        <v/>
      </c>
      <c r="O68" t="str">
        <f>IF(AND($D$9=1,'5_Planning'!S22&lt;0), O$58&amp;", "&amp;O$59&amp;", "&amp;$B68&amp;", Level "&amp;$C68&amp;"; ","")</f>
        <v/>
      </c>
      <c r="P68" t="str">
        <f>IF(AND($D$9=1,'5_Planning'!T22&lt;0), P$58&amp;", "&amp;P$59&amp;", "&amp;$B68&amp;", Level "&amp;$C68&amp;"; ","")</f>
        <v/>
      </c>
      <c r="Q68" t="str">
        <f>IF(AND($D$9=1,'5_Planning'!U22&lt;0), Q$58&amp;", "&amp;Q$59&amp;", "&amp;$B68&amp;", Level "&amp;$C68&amp;"; ","")</f>
        <v/>
      </c>
      <c r="R68" s="183" t="str">
        <f>IF(AND($D$9=1,'5_Planning'!V22&lt;0), R$58&amp;", "&amp;R$59&amp;", "&amp;$B68&amp;", Level "&amp;$C68&amp;"; ","")</f>
        <v/>
      </c>
      <c r="S68" s="1648"/>
      <c r="T68" s="1360"/>
      <c r="U68" s="17"/>
    </row>
    <row r="69" spans="2:27" x14ac:dyDescent="0.35">
      <c r="B69" s="118" t="str">
        <f>'5_Planning'!$A$20</f>
        <v>Part-time</v>
      </c>
      <c r="C69" s="11" t="str">
        <f>'5_Planning'!B23</f>
        <v>PGT (Masters' loan)</v>
      </c>
      <c r="D69" s="1593" t="str">
        <f>IF(AND($D$9=1,'5_Planning'!H23&lt;0), D$58&amp;", "&amp;D$59&amp;", "&amp;$B69&amp;", Level "&amp;$C69&amp;"; ","")</f>
        <v/>
      </c>
      <c r="E69" t="str">
        <f>IF(AND($D$9=1,'5_Planning'!I23&lt;0), E$58&amp;", "&amp;E$59&amp;", "&amp;$B69&amp;", Level "&amp;$C69&amp;"; ","")</f>
        <v/>
      </c>
      <c r="F69" t="str">
        <f>IF(AND($D$9=1,'5_Planning'!J23&lt;0), F$58&amp;", "&amp;F$59&amp;", "&amp;$B69&amp;", Level "&amp;$C69&amp;"; ","")</f>
        <v/>
      </c>
      <c r="G69" t="str">
        <f>IF(AND($D$9=1,'5_Planning'!K23&lt;0), G$58&amp;", "&amp;G$59&amp;", "&amp;$B69&amp;", Level "&amp;$C69&amp;"; ","")</f>
        <v/>
      </c>
      <c r="H69" s="183" t="str">
        <f>IF(AND($D$9=1,'5_Planning'!L23&lt;0), H$58&amp;", "&amp;H$59&amp;", "&amp;$B69&amp;", Level "&amp;$C69&amp;"; ","")</f>
        <v/>
      </c>
      <c r="I69" s="1593" t="str">
        <f>IF(AND($D$9=1,'5_Planning'!M23&lt;0), I$58&amp;", "&amp;I$59&amp;", "&amp;$B69&amp;", Level "&amp;$C69&amp;"; ","")</f>
        <v/>
      </c>
      <c r="J69" t="str">
        <f>IF(AND($D$9=1,'5_Planning'!N23&lt;0), J$58&amp;", "&amp;J$59&amp;", "&amp;$B69&amp;", Level "&amp;$C69&amp;"; ","")</f>
        <v/>
      </c>
      <c r="K69" t="str">
        <f>IF(AND($D$9=1,'5_Planning'!O23&lt;0), K$58&amp;", "&amp;K$59&amp;", "&amp;$B69&amp;", Level "&amp;$C69&amp;"; ","")</f>
        <v/>
      </c>
      <c r="L69" t="str">
        <f>IF(AND($D$9=1,'5_Planning'!P23&lt;0), L$58&amp;", "&amp;L$59&amp;", "&amp;$B69&amp;", Level "&amp;$C69&amp;"; ","")</f>
        <v/>
      </c>
      <c r="M69" s="183" t="str">
        <f>IF(AND($D$9=1,'5_Planning'!Q23&lt;0), M$58&amp;", "&amp;M$59&amp;", "&amp;$B69&amp;", Level "&amp;$C69&amp;"; ","")</f>
        <v/>
      </c>
      <c r="N69" s="1593" t="str">
        <f>IF(AND($D$9=1,'5_Planning'!R23&lt;0), N$58&amp;", "&amp;N$59&amp;", "&amp;$B69&amp;", Level "&amp;$C69&amp;"; ","")</f>
        <v/>
      </c>
      <c r="O69" t="str">
        <f>IF(AND($D$9=1,'5_Planning'!S23&lt;0), O$58&amp;", "&amp;O$59&amp;", "&amp;$B69&amp;", Level "&amp;$C69&amp;"; ","")</f>
        <v/>
      </c>
      <c r="P69" t="str">
        <f>IF(AND($D$9=1,'5_Planning'!T23&lt;0), P$58&amp;", "&amp;P$59&amp;", "&amp;$B69&amp;", Level "&amp;$C69&amp;"; ","")</f>
        <v/>
      </c>
      <c r="Q69" t="str">
        <f>IF(AND($D$9=1,'5_Planning'!U23&lt;0), Q$58&amp;", "&amp;Q$59&amp;", "&amp;$B69&amp;", Level "&amp;$C69&amp;"; ","")</f>
        <v/>
      </c>
      <c r="R69" s="183" t="str">
        <f>IF(AND($D$9=1,'5_Planning'!V23&lt;0), R$58&amp;", "&amp;R$59&amp;", "&amp;$B69&amp;", Level "&amp;$C69&amp;"; ","")</f>
        <v/>
      </c>
      <c r="S69" s="1648"/>
      <c r="T69" s="1360"/>
      <c r="U69" s="17"/>
    </row>
    <row r="70" spans="2:27" x14ac:dyDescent="0.35">
      <c r="B70" s="118" t="str">
        <f>'5_Planning'!$A$20</f>
        <v>Part-time</v>
      </c>
      <c r="C70" s="11" t="str">
        <f>'5_Planning'!B24</f>
        <v>PGT (Other)</v>
      </c>
      <c r="D70" s="1593" t="str">
        <f>IF(AND($D$9=1,'5_Planning'!H24&lt;0), D$58&amp;", "&amp;D$59&amp;", "&amp;$B70&amp;", Level "&amp;$C70&amp;"; ","")</f>
        <v/>
      </c>
      <c r="E70" t="str">
        <f>IF(AND($D$9=1,'5_Planning'!I24&lt;0), E$58&amp;", "&amp;E$59&amp;", "&amp;$B70&amp;", Level "&amp;$C70&amp;"; ","")</f>
        <v/>
      </c>
      <c r="F70" t="str">
        <f>IF(AND($D$9=1,'5_Planning'!J24&lt;0), F$58&amp;", "&amp;F$59&amp;", "&amp;$B70&amp;", Level "&amp;$C70&amp;"; ","")</f>
        <v/>
      </c>
      <c r="G70" t="str">
        <f>IF(AND($D$9=1,'5_Planning'!K24&lt;0), G$58&amp;", "&amp;G$59&amp;", "&amp;$B70&amp;", Level "&amp;$C70&amp;"; ","")</f>
        <v/>
      </c>
      <c r="H70" s="183" t="str">
        <f>IF(AND($D$9=1,'5_Planning'!L24&lt;0), H$58&amp;", "&amp;H$59&amp;", "&amp;$B70&amp;", Level "&amp;$C70&amp;"; ","")</f>
        <v/>
      </c>
      <c r="I70" s="1593" t="str">
        <f>IF(AND($D$9=1,'5_Planning'!M24&lt;0), I$58&amp;", "&amp;I$59&amp;", "&amp;$B70&amp;", Level "&amp;$C70&amp;"; ","")</f>
        <v/>
      </c>
      <c r="J70" t="str">
        <f>IF(AND($D$9=1,'5_Planning'!N24&lt;0), J$58&amp;", "&amp;J$59&amp;", "&amp;$B70&amp;", Level "&amp;$C70&amp;"; ","")</f>
        <v/>
      </c>
      <c r="K70" t="str">
        <f>IF(AND($D$9=1,'5_Planning'!O24&lt;0), K$58&amp;", "&amp;K$59&amp;", "&amp;$B70&amp;", Level "&amp;$C70&amp;"; ","")</f>
        <v/>
      </c>
      <c r="L70" t="str">
        <f>IF(AND($D$9=1,'5_Planning'!P24&lt;0), L$58&amp;", "&amp;L$59&amp;", "&amp;$B70&amp;", Level "&amp;$C70&amp;"; ","")</f>
        <v/>
      </c>
      <c r="M70" s="183" t="str">
        <f>IF(AND($D$9=1,'5_Planning'!Q24&lt;0), M$58&amp;", "&amp;M$59&amp;", "&amp;$B70&amp;", Level "&amp;$C70&amp;"; ","")</f>
        <v/>
      </c>
      <c r="N70" s="1593" t="str">
        <f>IF(AND($D$9=1,'5_Planning'!R24&lt;0), N$58&amp;", "&amp;N$59&amp;", "&amp;$B70&amp;", Level "&amp;$C70&amp;"; ","")</f>
        <v/>
      </c>
      <c r="O70" t="str">
        <f>IF(AND($D$9=1,'5_Planning'!S24&lt;0), O$58&amp;", "&amp;O$59&amp;", "&amp;$B70&amp;", Level "&amp;$C70&amp;"; ","")</f>
        <v/>
      </c>
      <c r="P70" t="str">
        <f>IF(AND($D$9=1,'5_Planning'!T24&lt;0), P$58&amp;", "&amp;P$59&amp;", "&amp;$B70&amp;", Level "&amp;$C70&amp;"; ","")</f>
        <v/>
      </c>
      <c r="Q70" t="str">
        <f>IF(AND($D$9=1,'5_Planning'!U24&lt;0), Q$58&amp;", "&amp;Q$59&amp;", "&amp;$B70&amp;", Level "&amp;$C70&amp;"; ","")</f>
        <v/>
      </c>
      <c r="R70" s="183" t="str">
        <f>IF(AND($D$9=1,'5_Planning'!V24&lt;0), R$58&amp;", "&amp;R$59&amp;", "&amp;$B70&amp;", Level "&amp;$C70&amp;"; ","")</f>
        <v/>
      </c>
      <c r="S70" s="1648"/>
      <c r="T70" s="1360"/>
      <c r="U70" s="17"/>
    </row>
    <row r="71" spans="2:27" x14ac:dyDescent="0.35">
      <c r="B71" s="118" t="str">
        <f>'5_Planning'!$A$20</f>
        <v>Part-time</v>
      </c>
      <c r="C71" s="11" t="str">
        <f>'5_Planning'!B25</f>
        <v>PGR</v>
      </c>
      <c r="D71" s="1277" t="str">
        <f>IF(AND($D$9=1,'5_Planning'!H25&lt;0), D$58&amp;", "&amp;D$59&amp;", "&amp;$B71&amp;", Level "&amp;$C71&amp;"; ","")</f>
        <v/>
      </c>
      <c r="E71" s="505" t="str">
        <f>IF(AND($D$9=1,'5_Planning'!I25&lt;0), E$58&amp;", "&amp;E$59&amp;", "&amp;$B71&amp;", Level "&amp;$C71&amp;"; ","")</f>
        <v/>
      </c>
      <c r="F71" s="189" t="str">
        <f>IF(AND($D$9=1,'5_Planning'!J25&lt;0), F$58&amp;", "&amp;F$59&amp;", "&amp;$B71&amp;", Level "&amp;$C71&amp;"; ","")</f>
        <v/>
      </c>
      <c r="G71" s="189" t="str">
        <f>IF(AND($D$9=1,'5_Planning'!K25&lt;0), G$58&amp;", "&amp;G$59&amp;", "&amp;$B71&amp;", Level "&amp;$C71&amp;"; ","")</f>
        <v/>
      </c>
      <c r="H71" s="189" t="str">
        <f>IF(AND($D$9=1,'5_Planning'!L25&lt;0), H$58&amp;", "&amp;H$59&amp;", "&amp;$B71&amp;", Level "&amp;$C71&amp;"; ","")</f>
        <v/>
      </c>
      <c r="I71" s="1277" t="str">
        <f>IF(AND($D$9=1,'5_Planning'!M25&lt;0), I$58&amp;", "&amp;I$59&amp;", "&amp;$B71&amp;", Level "&amp;$C71&amp;"; ","")</f>
        <v/>
      </c>
      <c r="J71" s="505" t="str">
        <f>IF(AND($D$9=1,'5_Planning'!N25&lt;0), J$58&amp;", "&amp;J$59&amp;", "&amp;$B71&amp;", Level "&amp;$C71&amp;"; ","")</f>
        <v/>
      </c>
      <c r="K71" s="189" t="str">
        <f>IF(AND($D$9=1,'5_Planning'!O25&lt;0), K$58&amp;", "&amp;K$59&amp;", "&amp;$B71&amp;", Level "&amp;$C71&amp;"; ","")</f>
        <v/>
      </c>
      <c r="L71" s="189" t="str">
        <f>IF(AND($D$9=1,'5_Planning'!P25&lt;0), L$58&amp;", "&amp;L$59&amp;", "&amp;$B71&amp;", Level "&amp;$C71&amp;"; ","")</f>
        <v/>
      </c>
      <c r="M71" s="189" t="str">
        <f>IF(AND($D$9=1,'5_Planning'!Q25&lt;0), M$58&amp;", "&amp;M$59&amp;", "&amp;$B71&amp;", Level "&amp;$C71&amp;"; ","")</f>
        <v/>
      </c>
      <c r="N71" s="1277" t="str">
        <f>IF(AND($D$9=1,'5_Planning'!R25&lt;0), N$58&amp;", "&amp;N$59&amp;", "&amp;$B71&amp;", Level "&amp;$C71&amp;"; ","")</f>
        <v/>
      </c>
      <c r="O71" s="505" t="str">
        <f>IF(AND($D$9=1,'5_Planning'!S25&lt;0), O$58&amp;", "&amp;O$59&amp;", "&amp;$B71&amp;", Level "&amp;$C71&amp;"; ","")</f>
        <v/>
      </c>
      <c r="P71" s="189" t="str">
        <f>IF(AND($D$9=1,'5_Planning'!T25&lt;0), P$58&amp;", "&amp;P$59&amp;", "&amp;$B71&amp;", Level "&amp;$C71&amp;"; ","")</f>
        <v/>
      </c>
      <c r="Q71" s="189" t="str">
        <f>IF(AND($D$9=1,'5_Planning'!U25&lt;0), Q$58&amp;", "&amp;Q$59&amp;", "&amp;$B71&amp;", Level "&amp;$C71&amp;"; ","")</f>
        <v/>
      </c>
      <c r="R71" s="31" t="str">
        <f>IF(AND($D$9=1,'5_Planning'!V25&lt;0), R$58&amp;", "&amp;R$59&amp;", "&amp;$B71&amp;", Level "&amp;$C71&amp;"; ","")</f>
        <v/>
      </c>
      <c r="S71" s="1277"/>
      <c r="T71" s="505"/>
      <c r="U71" s="17"/>
    </row>
    <row r="72" spans="2:27" x14ac:dyDescent="0.35">
      <c r="B72" s="24"/>
      <c r="C72" s="11"/>
      <c r="U72" s="17"/>
    </row>
    <row r="73" spans="2:27" x14ac:dyDescent="0.35">
      <c r="B73" s="24"/>
      <c r="C73" s="11"/>
      <c r="D73" s="1835" t="str">
        <f>CONCATENATE(D60,D61,D62,D63,D64,D66,D67,D68,D69,D70)</f>
        <v/>
      </c>
      <c r="E73" s="1835" t="str">
        <f>CONCATENATE(E60,E61,E62,E63,E64,E66,E67,E68,E69,E70)</f>
        <v/>
      </c>
      <c r="F73" s="1835" t="str">
        <f t="shared" ref="F73:R73" si="14">CONCATENATE(F60,F61,F62,F63,F64,F65,F66,F67,F68,F69,F70,F71)</f>
        <v/>
      </c>
      <c r="G73" s="1835" t="str">
        <f t="shared" si="14"/>
        <v/>
      </c>
      <c r="H73" s="1826" t="str">
        <f t="shared" si="14"/>
        <v/>
      </c>
      <c r="I73" s="1835" t="str">
        <f>CONCATENATE(I60,I61,I62,I63,I64,I66,I67,I68,I69,I70)</f>
        <v/>
      </c>
      <c r="J73" s="1835" t="str">
        <f>CONCATENATE(J60,J61,J62,J63,J64,J66,J67,J68,J69,J70)</f>
        <v/>
      </c>
      <c r="K73" s="1835" t="str">
        <f t="shared" si="14"/>
        <v/>
      </c>
      <c r="L73" s="1835" t="str">
        <f t="shared" si="14"/>
        <v/>
      </c>
      <c r="M73" s="1826" t="str">
        <f t="shared" si="14"/>
        <v/>
      </c>
      <c r="N73" s="1835" t="str">
        <f>CONCATENATE(N60,N61,N62,N63,N64,N66,N67,N68,N69,N70)</f>
        <v/>
      </c>
      <c r="O73" s="1835" t="str">
        <f>CONCATENATE(O60,O61,O62,O63,O64,O66,O67,O68,O69,O70)</f>
        <v/>
      </c>
      <c r="P73" s="1835" t="str">
        <f t="shared" si="14"/>
        <v/>
      </c>
      <c r="Q73" s="1835" t="str">
        <f t="shared" si="14"/>
        <v/>
      </c>
      <c r="R73" s="1826" t="str">
        <f t="shared" si="14"/>
        <v/>
      </c>
      <c r="S73" s="1835" t="str">
        <f>CONCATENATE(S60,S66)</f>
        <v/>
      </c>
      <c r="T73" s="1826" t="str">
        <f>CONCATENATE(T60,T66)</f>
        <v/>
      </c>
      <c r="U73" s="17"/>
    </row>
    <row r="74" spans="2:27" x14ac:dyDescent="0.35">
      <c r="B74" s="24"/>
      <c r="C74" s="11"/>
      <c r="U74" s="17"/>
    </row>
    <row r="75" spans="2:27" x14ac:dyDescent="0.35">
      <c r="B75" s="24"/>
      <c r="C75" s="11"/>
      <c r="D75" s="1840" t="str">
        <f>D73&amp;E73&amp;F73&amp;G73&amp;H73</f>
        <v/>
      </c>
      <c r="I75" s="1841" t="str">
        <f>I73&amp;J73&amp;K73&amp;L73&amp;M73</f>
        <v/>
      </c>
      <c r="N75" s="1860" t="str">
        <f>N73&amp;O73&amp;P73&amp;Q73&amp;R73</f>
        <v/>
      </c>
      <c r="S75" s="1825" t="str">
        <f>S73&amp;T73&amp;U73&amp;V73&amp;W73</f>
        <v/>
      </c>
      <c r="U75" s="17"/>
    </row>
    <row r="76" spans="2:27" x14ac:dyDescent="0.35">
      <c r="B76" s="24"/>
      <c r="C76" s="11"/>
      <c r="U76" s="17"/>
    </row>
    <row r="77" spans="2:27" x14ac:dyDescent="0.35">
      <c r="B77" s="24"/>
      <c r="C77" s="11"/>
      <c r="D77" s="1826" t="str">
        <f>D75&amp;I75&amp;N75&amp;S75</f>
        <v/>
      </c>
      <c r="U77" s="17"/>
    </row>
    <row r="78" spans="2:27" x14ac:dyDescent="0.35">
      <c r="B78" s="1359"/>
      <c r="C78" s="26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U78" s="25"/>
    </row>
    <row r="79" spans="2:27" ht="13.15" x14ac:dyDescent="0.4">
      <c r="B79" s="58"/>
      <c r="C79" s="59"/>
      <c r="D79" s="16"/>
      <c r="E79" s="500" t="s">
        <v>27819</v>
      </c>
      <c r="F79" s="16"/>
      <c r="G79" s="16"/>
      <c r="H79" s="16"/>
      <c r="I79" s="16" t="s">
        <v>27976</v>
      </c>
      <c r="J79" s="16"/>
      <c r="K79" s="16"/>
      <c r="L79" s="16"/>
      <c r="M79" s="16"/>
      <c r="N79" s="16"/>
      <c r="P79" s="500" t="s">
        <v>27680</v>
      </c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17"/>
    </row>
    <row r="80" spans="2:27" x14ac:dyDescent="0.35">
      <c r="B80" s="24" t="s">
        <v>27820</v>
      </c>
      <c r="C80" s="11"/>
      <c r="E80" s="11" t="s">
        <v>27793</v>
      </c>
      <c r="H80" s="11" t="s">
        <v>27821</v>
      </c>
      <c r="K80" s="11" t="s">
        <v>27822</v>
      </c>
      <c r="P80" s="11" t="s">
        <v>27774</v>
      </c>
      <c r="S80" s="11" t="s">
        <v>27821</v>
      </c>
      <c r="V80" s="11" t="s">
        <v>27822</v>
      </c>
      <c r="AA80" s="17"/>
    </row>
    <row r="81" spans="2:27" x14ac:dyDescent="0.35">
      <c r="B81" s="24"/>
      <c r="C81" s="11"/>
      <c r="E81" s="11"/>
      <c r="H81" s="11"/>
      <c r="K81" t="str">
        <f>'5_Planning'!$H$7</f>
        <v>Column 1</v>
      </c>
      <c r="L81" t="str">
        <f>'5_Planning'!$H$7</f>
        <v>Column 1</v>
      </c>
      <c r="M81" t="str">
        <f>'5_Planning'!$H$7</f>
        <v>Column 1</v>
      </c>
      <c r="N81" t="str">
        <f>'5_Planning'!$H$7</f>
        <v>Column 1</v>
      </c>
      <c r="O81" t="str">
        <f>'5_Planning'!$H$7</f>
        <v>Column 1</v>
      </c>
      <c r="P81" s="11"/>
      <c r="S81" s="11"/>
      <c r="V81" t="str">
        <f>'5_Planning'!$M$7</f>
        <v>Column 2</v>
      </c>
      <c r="W81" t="str">
        <f>'5_Planning'!$M$7</f>
        <v>Column 2</v>
      </c>
      <c r="X81" t="str">
        <f>'5_Planning'!$M$7</f>
        <v>Column 2</v>
      </c>
      <c r="Y81" t="str">
        <f>'5_Planning'!$M$7</f>
        <v>Column 2</v>
      </c>
      <c r="Z81" t="str">
        <f>'5_Planning'!$M$7</f>
        <v>Column 2</v>
      </c>
      <c r="AA81" s="17"/>
    </row>
    <row r="82" spans="2:27" x14ac:dyDescent="0.35">
      <c r="B82" s="24"/>
      <c r="C82" s="11"/>
      <c r="E82" s="11" t="s">
        <v>27714</v>
      </c>
      <c r="F82" s="11" t="s">
        <v>27715</v>
      </c>
      <c r="G82" s="11" t="s">
        <v>27716</v>
      </c>
      <c r="H82" s="11" t="s">
        <v>27714</v>
      </c>
      <c r="I82" s="11" t="s">
        <v>27715</v>
      </c>
      <c r="J82" s="11" t="s">
        <v>27716</v>
      </c>
      <c r="K82" s="11" t="s">
        <v>192</v>
      </c>
      <c r="L82" s="189"/>
      <c r="M82" s="11" t="s">
        <v>193</v>
      </c>
      <c r="O82" s="11" t="s">
        <v>194</v>
      </c>
      <c r="P82" s="11" t="s">
        <v>27714</v>
      </c>
      <c r="Q82" s="11" t="s">
        <v>27715</v>
      </c>
      <c r="R82" s="11" t="s">
        <v>27716</v>
      </c>
      <c r="S82" s="11" t="s">
        <v>27714</v>
      </c>
      <c r="T82" s="11" t="s">
        <v>27715</v>
      </c>
      <c r="U82" s="11" t="s">
        <v>27716</v>
      </c>
      <c r="V82" s="11" t="s">
        <v>192</v>
      </c>
      <c r="W82" s="189"/>
      <c r="X82" s="11" t="s">
        <v>193</v>
      </c>
      <c r="Z82" s="11" t="s">
        <v>194</v>
      </c>
      <c r="AA82" s="17"/>
    </row>
    <row r="83" spans="2:27" x14ac:dyDescent="0.35">
      <c r="B83" s="118" t="str">
        <f>'5_Planning'!$A$14</f>
        <v>Full-time and sandwich year out</v>
      </c>
      <c r="C83" s="11" t="str">
        <f>'5_Planning'!B14</f>
        <v>UG (Level 4 and 5)</v>
      </c>
      <c r="D83" s="11" t="s">
        <v>27823</v>
      </c>
      <c r="E83" s="1833">
        <f>SUM('5_Planning'!H14:I14)</f>
        <v>0</v>
      </c>
      <c r="F83" s="330">
        <f>SUM('5_Planning'!J14:K14)</f>
        <v>0</v>
      </c>
      <c r="G83" s="1834">
        <f>'5_Planning'!L14</f>
        <v>0</v>
      </c>
      <c r="H83" s="1833">
        <f>SUM('1_Full_time'!G84,'1_Full_time'!G90,'2_Sandwich'!F11)</f>
        <v>0</v>
      </c>
      <c r="I83" s="330">
        <f>SUM('1_Full_time'!H84,'1_Full_time'!H90,'2_Sandwich'!G11)</f>
        <v>0</v>
      </c>
      <c r="J83" s="1834">
        <f>SUM('1_Full_time'!I84,'1_Full_time'!I90,'2_Sandwich'!H11)</f>
        <v>0</v>
      </c>
      <c r="K83" s="1833" t="str">
        <f>IF(AND($E$9=1,E83&lt;&gt;H83),K$81&amp;", "&amp;K$82&amp;", "&amp;$B83&amp;", Level "&amp;$C83&amp;" ("&amp;$D83&amp;" total = "&amp;H83&amp;"); ","")</f>
        <v/>
      </c>
      <c r="L83" s="185" t="str">
        <f>K83</f>
        <v/>
      </c>
      <c r="M83" s="1833" t="str">
        <f>IF(AND($E$9=1,F83&lt;&gt;I83),M$81&amp;", "&amp;M$82&amp;", "&amp;$B83&amp;", Level "&amp;$C83&amp;" ("&amp;$D83&amp;" total = "&amp;I83&amp;"); ","")</f>
        <v/>
      </c>
      <c r="N83" s="1830" t="str">
        <f>M83</f>
        <v/>
      </c>
      <c r="O83" s="1862" t="str">
        <f>IF(AND($E$9=1,G83&lt;&gt;J83),O$81&amp;", "&amp;O$82&amp;", "&amp;$B83&amp;", Level "&amp;$C83&amp;" ("&amp;$D83&amp;" total = "&amp;J83&amp;"); ","")</f>
        <v/>
      </c>
      <c r="P83" s="330">
        <f>SUM('5_Planning'!M14:N14)</f>
        <v>0</v>
      </c>
      <c r="Q83" s="330">
        <f>SUM('5_Planning'!O14:P14)</f>
        <v>0</v>
      </c>
      <c r="R83" s="1834">
        <f>'5_Planning'!Q14</f>
        <v>0</v>
      </c>
      <c r="S83" s="1833">
        <f>SUM('1_Full_time'!J84,'1_Full_time'!J90,'2_Sandwich'!I11)</f>
        <v>0</v>
      </c>
      <c r="T83" s="330">
        <f>SUM('1_Full_time'!K84,'1_Full_time'!K90,'2_Sandwich'!J11)</f>
        <v>0</v>
      </c>
      <c r="U83" s="1834">
        <f>SUM('1_Full_time'!L84,'1_Full_time'!L90,'2_Sandwich'!K11)</f>
        <v>0</v>
      </c>
      <c r="V83" s="1833" t="str">
        <f>IF(AND($E$9=1,P83&lt;&gt;S83),V$81&amp;", "&amp;V$82&amp;", "&amp;$B83&amp;", Level "&amp;$C83&amp;" ("&amp;$D83&amp;" total = "&amp;S83&amp;"); ","")</f>
        <v/>
      </c>
      <c r="W83" s="185" t="str">
        <f>V83</f>
        <v/>
      </c>
      <c r="X83" s="1833" t="str">
        <f>IF(AND($E$9=1,Q83&lt;&gt;T83),X$81&amp;", "&amp;X$82&amp;", "&amp;$B83&amp;", Level "&amp;$C83&amp;" ("&amp;$D83&amp;" total = "&amp;T83&amp;"); ","")</f>
        <v/>
      </c>
      <c r="Y83" s="1830" t="str">
        <f>X83</f>
        <v/>
      </c>
      <c r="Z83" s="1834" t="str">
        <f>IF(AND($E$9=1,R83&lt;&gt;U83),Z$81&amp;", "&amp;Z$82&amp;", "&amp;$B83&amp;", Level "&amp;$C83&amp;" ("&amp;$D83&amp;" total = "&amp;U83&amp;"); ","")</f>
        <v/>
      </c>
      <c r="AA83" s="17"/>
    </row>
    <row r="84" spans="2:27" x14ac:dyDescent="0.35">
      <c r="B84" s="118" t="str">
        <f>'5_Planning'!$A$14</f>
        <v>Full-time and sandwich year out</v>
      </c>
      <c r="C84" s="11" t="str">
        <f>'5_Planning'!B15</f>
        <v>UG (Other)</v>
      </c>
      <c r="D84" s="11" t="s">
        <v>27823</v>
      </c>
      <c r="E84" s="1612">
        <f>SUM('5_Planning'!H15:I15)</f>
        <v>0</v>
      </c>
      <c r="F84" s="3">
        <f>SUM('5_Planning'!J15:K15)</f>
        <v>0</v>
      </c>
      <c r="G84" s="200">
        <f>'5_Planning'!L15</f>
        <v>0</v>
      </c>
      <c r="H84" s="1612">
        <f>SUM('1_Full_time'!G85,'1_Full_time'!G91,'2_Sandwich'!F12)</f>
        <v>0</v>
      </c>
      <c r="I84" s="3">
        <f>SUM('1_Full_time'!H85,'1_Full_time'!H91,'2_Sandwich'!G12)</f>
        <v>0</v>
      </c>
      <c r="J84" s="200">
        <f>SUM('1_Full_time'!I85,'1_Full_time'!I91,'2_Sandwich'!H12)</f>
        <v>0</v>
      </c>
      <c r="K84" s="1612" t="str">
        <f t="shared" ref="K84:K93" si="15">IF(AND($E$9=1,E84&lt;&gt;H84),K$81&amp;", "&amp;K$82&amp;", "&amp;$B84&amp;", Level "&amp;$C84&amp;" ("&amp;$D84&amp;" total = "&amp;H84&amp;"); ","")</f>
        <v/>
      </c>
      <c r="L84" t="str">
        <f t="shared" ref="L84:L93" si="16">K84</f>
        <v/>
      </c>
      <c r="M84" s="1612" t="str">
        <f t="shared" ref="M84:M94" si="17">IF(AND($E$9=1,F84&lt;&gt;I84),M$81&amp;", "&amp;M$82&amp;", "&amp;$B84&amp;", Level "&amp;$C84&amp;" ("&amp;$D84&amp;" total = "&amp;I84&amp;"); ","")</f>
        <v/>
      </c>
      <c r="N84" s="183" t="str">
        <f t="shared" ref="N84:N94" si="18">M84</f>
        <v/>
      </c>
      <c r="O84" s="1649" t="str">
        <f t="shared" ref="O84:O94" si="19">IF(AND($E$9=1,G84&lt;&gt;J84),O$81&amp;", "&amp;O$82&amp;", "&amp;$B84&amp;", Level "&amp;$C84&amp;" ("&amp;$D84&amp;" total = "&amp;J84&amp;"); ","")</f>
        <v/>
      </c>
      <c r="P84" s="3">
        <f>SUM('5_Planning'!M15:N15)</f>
        <v>0</v>
      </c>
      <c r="Q84" s="3">
        <f>SUM('5_Planning'!O15:P15)</f>
        <v>0</v>
      </c>
      <c r="R84" s="200">
        <f>'5_Planning'!Q15</f>
        <v>0</v>
      </c>
      <c r="S84" s="1612">
        <f>SUM('1_Full_time'!J85,'1_Full_time'!J91,'2_Sandwich'!I12)</f>
        <v>0</v>
      </c>
      <c r="T84" s="3">
        <f>SUM('1_Full_time'!K85,'1_Full_time'!K91,'2_Sandwich'!J12)</f>
        <v>0</v>
      </c>
      <c r="U84" s="200">
        <f>SUM('1_Full_time'!L85,'1_Full_time'!L91,'2_Sandwich'!K12)</f>
        <v>0</v>
      </c>
      <c r="V84" s="1612" t="str">
        <f t="shared" ref="V84:V93" si="20">IF(AND($E$9=1,P84&lt;&gt;S84),V$81&amp;", "&amp;V$82&amp;", "&amp;$B84&amp;", Level "&amp;$C84&amp;" ("&amp;$D84&amp;" total = "&amp;S84&amp;"); ","")</f>
        <v/>
      </c>
      <c r="W84" t="str">
        <f t="shared" ref="W84:W93" si="21">V84</f>
        <v/>
      </c>
      <c r="X84" s="1612" t="str">
        <f t="shared" ref="X84:X94" si="22">IF(AND($E$9=1,Q84&lt;&gt;T84),X$81&amp;", "&amp;X$82&amp;", "&amp;$B84&amp;", Level "&amp;$C84&amp;" ("&amp;$D84&amp;" total = "&amp;T84&amp;"); ","")</f>
        <v/>
      </c>
      <c r="Y84" s="183" t="str">
        <f t="shared" ref="Y84:Y93" si="23">X84</f>
        <v/>
      </c>
      <c r="Z84" s="200" t="str">
        <f t="shared" ref="Z84:Z94" si="24">IF(AND($E$9=1,R84&lt;&gt;U84),Z$81&amp;", "&amp;Z$82&amp;", "&amp;$B84&amp;", Level "&amp;$C84&amp;" ("&amp;$D84&amp;" total = "&amp;U84&amp;"); ","")</f>
        <v/>
      </c>
      <c r="AA84" s="17"/>
    </row>
    <row r="85" spans="2:27" x14ac:dyDescent="0.35">
      <c r="B85" s="118" t="str">
        <f>'5_Planning'!$A$14</f>
        <v>Full-time and sandwich year out</v>
      </c>
      <c r="C85" s="11" t="str">
        <f>'5_Planning'!B16</f>
        <v>PGT (UG fee)</v>
      </c>
      <c r="D85" s="11" t="s">
        <v>27823</v>
      </c>
      <c r="E85" s="1612">
        <f>SUM('5_Planning'!H16:I16)</f>
        <v>0</v>
      </c>
      <c r="F85" s="3">
        <f>SUM('5_Planning'!J16:K16)</f>
        <v>0</v>
      </c>
      <c r="G85" s="200">
        <f>'5_Planning'!L16</f>
        <v>0</v>
      </c>
      <c r="H85" s="1612">
        <f>SUM('1_Full_time'!G86,'1_Full_time'!G92,'2_Sandwich'!F13)</f>
        <v>0</v>
      </c>
      <c r="I85" s="3">
        <f>SUM('1_Full_time'!H86,'1_Full_time'!H92,'2_Sandwich'!G13)</f>
        <v>0</v>
      </c>
      <c r="J85" s="200">
        <f>SUM('1_Full_time'!I86,'1_Full_time'!I92,'2_Sandwich'!H13)</f>
        <v>0</v>
      </c>
      <c r="K85" s="1612" t="str">
        <f t="shared" si="15"/>
        <v/>
      </c>
      <c r="L85" t="str">
        <f t="shared" si="16"/>
        <v/>
      </c>
      <c r="M85" s="1612" t="str">
        <f t="shared" si="17"/>
        <v/>
      </c>
      <c r="N85" s="183" t="str">
        <f t="shared" si="18"/>
        <v/>
      </c>
      <c r="O85" s="1649" t="str">
        <f t="shared" si="19"/>
        <v/>
      </c>
      <c r="P85" s="3">
        <f>SUM('5_Planning'!M16:N16)</f>
        <v>0</v>
      </c>
      <c r="Q85" s="3">
        <f>SUM('5_Planning'!O16:P16)</f>
        <v>0</v>
      </c>
      <c r="R85" s="200">
        <f>'5_Planning'!Q16</f>
        <v>0</v>
      </c>
      <c r="S85" s="1612">
        <f>SUM('1_Full_time'!J86,'1_Full_time'!J92,'2_Sandwich'!I13)</f>
        <v>0</v>
      </c>
      <c r="T85" s="3">
        <f>SUM('1_Full_time'!K86,'1_Full_time'!K92,'2_Sandwich'!J13)</f>
        <v>0</v>
      </c>
      <c r="U85" s="200">
        <f>SUM('1_Full_time'!L86,'1_Full_time'!L92,'2_Sandwich'!K13)</f>
        <v>0</v>
      </c>
      <c r="V85" s="1612" t="str">
        <f t="shared" si="20"/>
        <v/>
      </c>
      <c r="W85" t="str">
        <f t="shared" si="21"/>
        <v/>
      </c>
      <c r="X85" s="1612" t="str">
        <f t="shared" si="22"/>
        <v/>
      </c>
      <c r="Y85" s="183" t="str">
        <f t="shared" si="23"/>
        <v/>
      </c>
      <c r="Z85" s="200" t="str">
        <f t="shared" si="24"/>
        <v/>
      </c>
      <c r="AA85" s="17"/>
    </row>
    <row r="86" spans="2:27" x14ac:dyDescent="0.35">
      <c r="B86" s="118" t="str">
        <f>'5_Planning'!$A$14</f>
        <v>Full-time and sandwich year out</v>
      </c>
      <c r="C86" s="11" t="str">
        <f>'5_Planning'!B17</f>
        <v>PGT (Masters' loan)</v>
      </c>
      <c r="D86" s="11" t="s">
        <v>27823</v>
      </c>
      <c r="E86" s="1612">
        <f>SUM('5_Planning'!H17:I17)</f>
        <v>0</v>
      </c>
      <c r="F86" s="3">
        <f>SUM('5_Planning'!J17:K17)</f>
        <v>0</v>
      </c>
      <c r="G86" s="200">
        <f>'5_Planning'!L17</f>
        <v>0</v>
      </c>
      <c r="H86" s="1612">
        <f>SUM('1_Full_time'!G87,'1_Full_time'!G93,'2_Sandwich'!F14)</f>
        <v>0</v>
      </c>
      <c r="I86" s="3">
        <f>SUM('1_Full_time'!H87,'1_Full_time'!H93,'2_Sandwich'!G14)</f>
        <v>0</v>
      </c>
      <c r="J86" s="200">
        <f>SUM('1_Full_time'!I87,'1_Full_time'!I93,'2_Sandwich'!H14)</f>
        <v>0</v>
      </c>
      <c r="K86" s="1612" t="str">
        <f t="shared" si="15"/>
        <v/>
      </c>
      <c r="L86" t="str">
        <f t="shared" si="16"/>
        <v/>
      </c>
      <c r="M86" s="1612" t="str">
        <f t="shared" si="17"/>
        <v/>
      </c>
      <c r="N86" s="183" t="str">
        <f t="shared" si="18"/>
        <v/>
      </c>
      <c r="O86" s="1649" t="str">
        <f t="shared" si="19"/>
        <v/>
      </c>
      <c r="P86" s="3">
        <f>SUM('5_Planning'!M17:N17)</f>
        <v>0</v>
      </c>
      <c r="Q86" s="3">
        <f>SUM('5_Planning'!O17:P17)</f>
        <v>0</v>
      </c>
      <c r="R86" s="200">
        <f>'5_Planning'!Q17</f>
        <v>0</v>
      </c>
      <c r="S86" s="1612">
        <f>SUM('1_Full_time'!J87,'1_Full_time'!J93,'2_Sandwich'!I14)</f>
        <v>0</v>
      </c>
      <c r="T86" s="3">
        <f>SUM('1_Full_time'!K87,'1_Full_time'!K93,'2_Sandwich'!J14)</f>
        <v>0</v>
      </c>
      <c r="U86" s="200">
        <f>SUM('1_Full_time'!L87,'1_Full_time'!L93,'2_Sandwich'!K14)</f>
        <v>0</v>
      </c>
      <c r="V86" s="1612" t="str">
        <f t="shared" si="20"/>
        <v/>
      </c>
      <c r="W86" t="str">
        <f t="shared" si="21"/>
        <v/>
      </c>
      <c r="X86" s="1612" t="str">
        <f t="shared" si="22"/>
        <v/>
      </c>
      <c r="Y86" s="183" t="str">
        <f t="shared" si="23"/>
        <v/>
      </c>
      <c r="Z86" s="200" t="str">
        <f t="shared" si="24"/>
        <v/>
      </c>
      <c r="AA86" s="17"/>
    </row>
    <row r="87" spans="2:27" x14ac:dyDescent="0.35">
      <c r="B87" s="118" t="str">
        <f>'5_Planning'!$A$14</f>
        <v>Full-time and sandwich year out</v>
      </c>
      <c r="C87" s="11" t="str">
        <f>'5_Planning'!B18</f>
        <v>PGT (Other)</v>
      </c>
      <c r="D87" s="11" t="s">
        <v>27823</v>
      </c>
      <c r="E87" s="1612">
        <f>SUM('5_Planning'!H18:I18)</f>
        <v>0</v>
      </c>
      <c r="F87" s="3">
        <f>SUM('5_Planning'!J18:K18)</f>
        <v>0</v>
      </c>
      <c r="G87" s="200">
        <f>'5_Planning'!L18</f>
        <v>0</v>
      </c>
      <c r="H87" s="1612">
        <f>SUM('1_Full_time'!G88,'1_Full_time'!G94,'2_Sandwich'!F15)</f>
        <v>0</v>
      </c>
      <c r="I87" s="3">
        <f>SUM('1_Full_time'!H88,'1_Full_time'!H94,'2_Sandwich'!G15)</f>
        <v>0</v>
      </c>
      <c r="J87" s="200">
        <f>SUM('1_Full_time'!I88,'1_Full_time'!I94,'2_Sandwich'!H15)</f>
        <v>0</v>
      </c>
      <c r="K87" s="1612" t="str">
        <f t="shared" si="15"/>
        <v/>
      </c>
      <c r="L87" t="str">
        <f t="shared" si="16"/>
        <v/>
      </c>
      <c r="M87" s="1612" t="str">
        <f t="shared" si="17"/>
        <v/>
      </c>
      <c r="N87" s="183" t="str">
        <f t="shared" si="18"/>
        <v/>
      </c>
      <c r="O87" s="1649" t="str">
        <f t="shared" si="19"/>
        <v/>
      </c>
      <c r="P87" s="3">
        <f>SUM('5_Planning'!M18:N18)</f>
        <v>0</v>
      </c>
      <c r="Q87" s="3">
        <f>SUM('5_Planning'!O18:P18)</f>
        <v>0</v>
      </c>
      <c r="R87" s="200">
        <f>'5_Planning'!Q18</f>
        <v>0</v>
      </c>
      <c r="S87" s="1612">
        <f>SUM('1_Full_time'!J88,'1_Full_time'!J94,'2_Sandwich'!I15)</f>
        <v>0</v>
      </c>
      <c r="T87" s="3">
        <f>SUM('1_Full_time'!K88,'1_Full_time'!K94,'2_Sandwich'!J15)</f>
        <v>0</v>
      </c>
      <c r="U87" s="200">
        <f>SUM('1_Full_time'!L88,'1_Full_time'!L94,'2_Sandwich'!K15)</f>
        <v>0</v>
      </c>
      <c r="V87" s="1612" t="str">
        <f t="shared" si="20"/>
        <v/>
      </c>
      <c r="W87" t="str">
        <f t="shared" si="21"/>
        <v/>
      </c>
      <c r="X87" s="1612" t="str">
        <f t="shared" si="22"/>
        <v/>
      </c>
      <c r="Y87" s="183" t="str">
        <f t="shared" si="23"/>
        <v/>
      </c>
      <c r="Z87" s="200" t="str">
        <f t="shared" si="24"/>
        <v/>
      </c>
      <c r="AA87" s="17"/>
    </row>
    <row r="88" spans="2:27" x14ac:dyDescent="0.35">
      <c r="B88" s="118" t="str">
        <f>'5_Planning'!$A$14</f>
        <v>Full-time and sandwich year out</v>
      </c>
      <c r="C88" s="11" t="str">
        <f>'5_Planning'!B19</f>
        <v>PGR</v>
      </c>
      <c r="D88" s="11" t="s">
        <v>27823</v>
      </c>
      <c r="E88" s="1611"/>
      <c r="F88" s="3">
        <f>SUM('5_Planning'!J19:K19)</f>
        <v>0</v>
      </c>
      <c r="G88" s="200">
        <f>'5_Planning'!L19</f>
        <v>0</v>
      </c>
      <c r="H88" s="1611"/>
      <c r="I88" s="3">
        <f>SUM('1_Full_time'!H89,'1_Full_time'!H95)</f>
        <v>0</v>
      </c>
      <c r="J88" s="200">
        <f>SUM('1_Full_time'!I89,'1_Full_time'!I95)</f>
        <v>0</v>
      </c>
      <c r="K88" s="1611"/>
      <c r="L88" s="505"/>
      <c r="M88" s="1612" t="str">
        <f t="shared" si="17"/>
        <v/>
      </c>
      <c r="N88" s="31" t="str">
        <f t="shared" si="18"/>
        <v/>
      </c>
      <c r="O88" s="1649" t="str">
        <f t="shared" si="19"/>
        <v/>
      </c>
      <c r="P88" s="502"/>
      <c r="Q88" s="3">
        <f>SUM('5_Planning'!O19:P19)</f>
        <v>0</v>
      </c>
      <c r="R88" s="200">
        <f>'5_Planning'!Q19</f>
        <v>0</v>
      </c>
      <c r="S88" s="1611"/>
      <c r="T88" s="3">
        <f>SUM('1_Full_time'!K89,'1_Full_time'!K95)</f>
        <v>0</v>
      </c>
      <c r="U88" s="200">
        <f>SUM('1_Full_time'!L89,'1_Full_time'!L95)</f>
        <v>0</v>
      </c>
      <c r="V88" s="1611"/>
      <c r="W88" s="505"/>
      <c r="X88" s="1612" t="str">
        <f t="shared" si="22"/>
        <v/>
      </c>
      <c r="Y88" s="183" t="str">
        <f t="shared" si="23"/>
        <v/>
      </c>
      <c r="Z88" s="200" t="str">
        <f t="shared" si="24"/>
        <v/>
      </c>
      <c r="AA88" s="17"/>
    </row>
    <row r="89" spans="2:27" x14ac:dyDescent="0.35">
      <c r="B89" s="118" t="str">
        <f>'5_Planning'!$A$20</f>
        <v>Part-time</v>
      </c>
      <c r="C89" s="11" t="str">
        <f>'5_Planning'!B20</f>
        <v>UG (Level 4 and 5)</v>
      </c>
      <c r="D89" s="11" t="s">
        <v>34</v>
      </c>
      <c r="E89" s="1833">
        <f>SUM('5_Planning'!H20:I20)</f>
        <v>0</v>
      </c>
      <c r="F89" s="330">
        <f>SUM('5_Planning'!J20:K20)</f>
        <v>0</v>
      </c>
      <c r="G89" s="1834">
        <f>'5_Planning'!L20</f>
        <v>0</v>
      </c>
      <c r="H89" s="1833">
        <f>SUM('3_Part_time'!G84,'3_Part_time'!G90)</f>
        <v>0</v>
      </c>
      <c r="I89" s="330">
        <f>SUM('3_Part_time'!H84,'3_Part_time'!H90)</f>
        <v>0</v>
      </c>
      <c r="J89" s="1834">
        <f>SUM('3_Part_time'!I84,'3_Part_time'!I90)</f>
        <v>0</v>
      </c>
      <c r="K89" s="1833" t="str">
        <f t="shared" si="15"/>
        <v/>
      </c>
      <c r="L89" s="185" t="str">
        <f t="shared" si="16"/>
        <v/>
      </c>
      <c r="M89" s="1833" t="str">
        <f t="shared" si="17"/>
        <v/>
      </c>
      <c r="N89" s="1830" t="str">
        <f t="shared" si="18"/>
        <v/>
      </c>
      <c r="O89" s="1862" t="str">
        <f t="shared" si="19"/>
        <v/>
      </c>
      <c r="P89" s="330">
        <f>SUM('5_Planning'!M20:N20)</f>
        <v>0</v>
      </c>
      <c r="Q89" s="330">
        <f>SUM('5_Planning'!O20:P20)</f>
        <v>0</v>
      </c>
      <c r="R89" s="1834">
        <f>'5_Planning'!Q20</f>
        <v>0</v>
      </c>
      <c r="S89" s="1833">
        <f>SUM('3_Part_time'!J84,'3_Part_time'!J90)</f>
        <v>0</v>
      </c>
      <c r="T89" s="330">
        <f>SUM('3_Part_time'!K84,'3_Part_time'!K90)</f>
        <v>0</v>
      </c>
      <c r="U89" s="1834">
        <f>SUM('3_Part_time'!L84,'3_Part_time'!L90)</f>
        <v>0</v>
      </c>
      <c r="V89" s="1833" t="str">
        <f t="shared" si="20"/>
        <v/>
      </c>
      <c r="W89" s="185" t="str">
        <f t="shared" si="21"/>
        <v/>
      </c>
      <c r="X89" s="1833" t="str">
        <f t="shared" si="22"/>
        <v/>
      </c>
      <c r="Y89" s="1830" t="str">
        <f t="shared" si="23"/>
        <v/>
      </c>
      <c r="Z89" s="1834" t="str">
        <f t="shared" si="24"/>
        <v/>
      </c>
      <c r="AA89" s="17"/>
    </row>
    <row r="90" spans="2:27" x14ac:dyDescent="0.35">
      <c r="B90" s="118" t="str">
        <f>'5_Planning'!$A$20</f>
        <v>Part-time</v>
      </c>
      <c r="C90" s="11" t="str">
        <f>'5_Planning'!B21</f>
        <v>UG (Other)</v>
      </c>
      <c r="D90" s="11" t="s">
        <v>34</v>
      </c>
      <c r="E90" s="1612">
        <f>SUM('5_Planning'!H21:I21)</f>
        <v>0</v>
      </c>
      <c r="F90" s="3">
        <f>SUM('5_Planning'!J21:K21)</f>
        <v>0</v>
      </c>
      <c r="G90" s="200">
        <f>'5_Planning'!L21</f>
        <v>0</v>
      </c>
      <c r="H90" s="1612">
        <f>SUM('3_Part_time'!G85,'3_Part_time'!G91)</f>
        <v>0</v>
      </c>
      <c r="I90" s="3">
        <f>SUM('3_Part_time'!H85,'3_Part_time'!H91)</f>
        <v>0</v>
      </c>
      <c r="J90" s="200">
        <f>SUM('3_Part_time'!I85,'3_Part_time'!I91)</f>
        <v>0</v>
      </c>
      <c r="K90" s="1612" t="str">
        <f t="shared" si="15"/>
        <v/>
      </c>
      <c r="L90" t="str">
        <f t="shared" si="16"/>
        <v/>
      </c>
      <c r="M90" s="1612" t="str">
        <f t="shared" si="17"/>
        <v/>
      </c>
      <c r="N90" s="183" t="str">
        <f t="shared" si="18"/>
        <v/>
      </c>
      <c r="O90" s="1649" t="str">
        <f t="shared" si="19"/>
        <v/>
      </c>
      <c r="P90" s="3">
        <f>SUM('5_Planning'!M21:N21)</f>
        <v>0</v>
      </c>
      <c r="Q90" s="3">
        <f>SUM('5_Planning'!O21:P21)</f>
        <v>0</v>
      </c>
      <c r="R90" s="200">
        <f>'5_Planning'!Q21</f>
        <v>0</v>
      </c>
      <c r="S90" s="1612">
        <f>SUM('3_Part_time'!J85,'3_Part_time'!J91)</f>
        <v>0</v>
      </c>
      <c r="T90" s="3">
        <f>SUM('3_Part_time'!K85,'3_Part_time'!K91)</f>
        <v>0</v>
      </c>
      <c r="U90" s="200">
        <f>SUM('3_Part_time'!L85,'3_Part_time'!L91)</f>
        <v>0</v>
      </c>
      <c r="V90" s="1612" t="str">
        <f t="shared" si="20"/>
        <v/>
      </c>
      <c r="W90" t="str">
        <f t="shared" si="21"/>
        <v/>
      </c>
      <c r="X90" s="1612" t="str">
        <f t="shared" si="22"/>
        <v/>
      </c>
      <c r="Y90" s="183" t="str">
        <f t="shared" si="23"/>
        <v/>
      </c>
      <c r="Z90" s="200" t="str">
        <f t="shared" si="24"/>
        <v/>
      </c>
      <c r="AA90" s="17"/>
    </row>
    <row r="91" spans="2:27" x14ac:dyDescent="0.35">
      <c r="B91" s="118" t="str">
        <f>'5_Planning'!$A$20</f>
        <v>Part-time</v>
      </c>
      <c r="C91" s="11" t="str">
        <f>'5_Planning'!B22</f>
        <v>PGT (UG fee)</v>
      </c>
      <c r="D91" s="11" t="s">
        <v>34</v>
      </c>
      <c r="E91" s="1612">
        <f>SUM('5_Planning'!H22:I22)</f>
        <v>0</v>
      </c>
      <c r="F91" s="3">
        <f>SUM('5_Planning'!J22:K22)</f>
        <v>0</v>
      </c>
      <c r="G91" s="200">
        <f>'5_Planning'!L22</f>
        <v>0</v>
      </c>
      <c r="H91" s="1612">
        <f>SUM('3_Part_time'!G86,'3_Part_time'!G92)</f>
        <v>0</v>
      </c>
      <c r="I91" s="3">
        <f>SUM('3_Part_time'!H86,'3_Part_time'!H92)</f>
        <v>0</v>
      </c>
      <c r="J91" s="200">
        <f>SUM('3_Part_time'!I86,'3_Part_time'!I92)</f>
        <v>0</v>
      </c>
      <c r="K91" s="1612" t="str">
        <f t="shared" si="15"/>
        <v/>
      </c>
      <c r="L91" t="str">
        <f t="shared" si="16"/>
        <v/>
      </c>
      <c r="M91" s="1612" t="str">
        <f t="shared" si="17"/>
        <v/>
      </c>
      <c r="N91" s="183" t="str">
        <f t="shared" si="18"/>
        <v/>
      </c>
      <c r="O91" s="1649" t="str">
        <f t="shared" si="19"/>
        <v/>
      </c>
      <c r="P91" s="3">
        <f>SUM('5_Planning'!M22:N22)</f>
        <v>0</v>
      </c>
      <c r="Q91" s="3">
        <f>SUM('5_Planning'!O22:P22)</f>
        <v>0</v>
      </c>
      <c r="R91" s="200">
        <f>'5_Planning'!Q22</f>
        <v>0</v>
      </c>
      <c r="S91" s="1612">
        <f>SUM('3_Part_time'!J86,'3_Part_time'!J92)</f>
        <v>0</v>
      </c>
      <c r="T91" s="3">
        <f>SUM('3_Part_time'!K86,'3_Part_time'!K92)</f>
        <v>0</v>
      </c>
      <c r="U91" s="200">
        <f>SUM('3_Part_time'!L86,'3_Part_time'!L92)</f>
        <v>0</v>
      </c>
      <c r="V91" s="1612" t="str">
        <f t="shared" si="20"/>
        <v/>
      </c>
      <c r="W91" t="str">
        <f t="shared" si="21"/>
        <v/>
      </c>
      <c r="X91" s="1612" t="str">
        <f t="shared" si="22"/>
        <v/>
      </c>
      <c r="Y91" s="183" t="str">
        <f t="shared" si="23"/>
        <v/>
      </c>
      <c r="Z91" s="200" t="str">
        <f t="shared" si="24"/>
        <v/>
      </c>
      <c r="AA91" s="17"/>
    </row>
    <row r="92" spans="2:27" x14ac:dyDescent="0.35">
      <c r="B92" s="118" t="str">
        <f>'5_Planning'!$A$20</f>
        <v>Part-time</v>
      </c>
      <c r="C92" s="11" t="str">
        <f>'5_Planning'!B23</f>
        <v>PGT (Masters' loan)</v>
      </c>
      <c r="D92" s="11" t="s">
        <v>34</v>
      </c>
      <c r="E92" s="1612">
        <f>SUM('5_Planning'!H23:I23)</f>
        <v>0</v>
      </c>
      <c r="F92" s="3">
        <f>SUM('5_Planning'!J23:K23)</f>
        <v>0</v>
      </c>
      <c r="G92" s="200">
        <f>'5_Planning'!L23</f>
        <v>0</v>
      </c>
      <c r="H92" s="1612">
        <f>SUM('3_Part_time'!G87,'3_Part_time'!G93)</f>
        <v>0</v>
      </c>
      <c r="I92" s="3">
        <f>SUM('3_Part_time'!H87,'3_Part_time'!H93)</f>
        <v>0</v>
      </c>
      <c r="J92" s="200">
        <f>SUM('3_Part_time'!I87,'3_Part_time'!I93)</f>
        <v>0</v>
      </c>
      <c r="K92" s="1612" t="str">
        <f t="shared" si="15"/>
        <v/>
      </c>
      <c r="L92" t="str">
        <f t="shared" si="16"/>
        <v/>
      </c>
      <c r="M92" s="1612" t="str">
        <f t="shared" si="17"/>
        <v/>
      </c>
      <c r="N92" s="183" t="str">
        <f t="shared" si="18"/>
        <v/>
      </c>
      <c r="O92" s="1649" t="str">
        <f t="shared" si="19"/>
        <v/>
      </c>
      <c r="P92" s="3">
        <f>SUM('5_Planning'!M23:N23)</f>
        <v>0</v>
      </c>
      <c r="Q92" s="3">
        <f>SUM('5_Planning'!O23:P23)</f>
        <v>0</v>
      </c>
      <c r="R92" s="200">
        <f>'5_Planning'!Q23</f>
        <v>0</v>
      </c>
      <c r="S92" s="1612">
        <f>SUM('3_Part_time'!J87,'3_Part_time'!J93)</f>
        <v>0</v>
      </c>
      <c r="T92" s="3">
        <f>SUM('3_Part_time'!K87,'3_Part_time'!K93)</f>
        <v>0</v>
      </c>
      <c r="U92" s="200">
        <f>SUM('3_Part_time'!L87,'3_Part_time'!L93)</f>
        <v>0</v>
      </c>
      <c r="V92" s="1612" t="str">
        <f t="shared" si="20"/>
        <v/>
      </c>
      <c r="W92" t="str">
        <f t="shared" si="21"/>
        <v/>
      </c>
      <c r="X92" s="1612" t="str">
        <f t="shared" si="22"/>
        <v/>
      </c>
      <c r="Y92" s="183" t="str">
        <f t="shared" si="23"/>
        <v/>
      </c>
      <c r="Z92" s="200" t="str">
        <f t="shared" si="24"/>
        <v/>
      </c>
      <c r="AA92" s="17"/>
    </row>
    <row r="93" spans="2:27" x14ac:dyDescent="0.35">
      <c r="B93" s="118" t="str">
        <f>'5_Planning'!$A$20</f>
        <v>Part-time</v>
      </c>
      <c r="C93" s="11" t="str">
        <f>'5_Planning'!B24</f>
        <v>PGT (Other)</v>
      </c>
      <c r="D93" s="11" t="s">
        <v>34</v>
      </c>
      <c r="E93" s="1612">
        <f>SUM('5_Planning'!H24:I24)</f>
        <v>0</v>
      </c>
      <c r="F93" s="3">
        <f>SUM('5_Planning'!J24:K24)</f>
        <v>0</v>
      </c>
      <c r="G93" s="200">
        <f>'5_Planning'!L24</f>
        <v>0</v>
      </c>
      <c r="H93" s="1612">
        <f>SUM('3_Part_time'!G88,'3_Part_time'!G94)</f>
        <v>0</v>
      </c>
      <c r="I93" s="3">
        <f>SUM('3_Part_time'!H88,'3_Part_time'!H94)</f>
        <v>0</v>
      </c>
      <c r="J93" s="200">
        <f>SUM('3_Part_time'!I88,'3_Part_time'!I94)</f>
        <v>0</v>
      </c>
      <c r="K93" s="1612" t="str">
        <f t="shared" si="15"/>
        <v/>
      </c>
      <c r="L93" t="str">
        <f t="shared" si="16"/>
        <v/>
      </c>
      <c r="M93" s="1612" t="str">
        <f t="shared" si="17"/>
        <v/>
      </c>
      <c r="N93" s="183" t="str">
        <f t="shared" si="18"/>
        <v/>
      </c>
      <c r="O93" s="1649" t="str">
        <f t="shared" si="19"/>
        <v/>
      </c>
      <c r="P93" s="3">
        <f>SUM('5_Planning'!M24:N24)</f>
        <v>0</v>
      </c>
      <c r="Q93" s="3">
        <f>SUM('5_Planning'!O24:P24)</f>
        <v>0</v>
      </c>
      <c r="R93" s="200">
        <f>'5_Planning'!Q24</f>
        <v>0</v>
      </c>
      <c r="S93" s="1612">
        <f>SUM('3_Part_time'!J88,'3_Part_time'!J94)</f>
        <v>0</v>
      </c>
      <c r="T93" s="3">
        <f>SUM('3_Part_time'!K88,'3_Part_time'!K94)</f>
        <v>0</v>
      </c>
      <c r="U93" s="200">
        <f>SUM('3_Part_time'!L88,'3_Part_time'!L94)</f>
        <v>0</v>
      </c>
      <c r="V93" s="1612" t="str">
        <f t="shared" si="20"/>
        <v/>
      </c>
      <c r="W93" t="str">
        <f t="shared" si="21"/>
        <v/>
      </c>
      <c r="X93" s="1612" t="str">
        <f t="shared" si="22"/>
        <v/>
      </c>
      <c r="Y93" s="183" t="str">
        <f t="shared" si="23"/>
        <v/>
      </c>
      <c r="Z93" s="200" t="str">
        <f t="shared" si="24"/>
        <v/>
      </c>
      <c r="AA93" s="17"/>
    </row>
    <row r="94" spans="2:27" x14ac:dyDescent="0.35">
      <c r="B94" s="118" t="str">
        <f>'5_Planning'!$A$20</f>
        <v>Part-time</v>
      </c>
      <c r="C94" s="11" t="str">
        <f>'5_Planning'!B25</f>
        <v>PGR</v>
      </c>
      <c r="D94" s="11" t="s">
        <v>34</v>
      </c>
      <c r="E94" s="504"/>
      <c r="F94" s="43">
        <f>SUM('5_Planning'!J25:K25)</f>
        <v>0</v>
      </c>
      <c r="G94" s="202">
        <f>'5_Planning'!L25</f>
        <v>0</v>
      </c>
      <c r="H94" s="504"/>
      <c r="I94" s="43">
        <f>SUM('3_Part_time'!H89,'3_Part_time'!H95)</f>
        <v>0</v>
      </c>
      <c r="J94" s="202">
        <f>SUM('3_Part_time'!I89,'3_Part_time'!I95)</f>
        <v>0</v>
      </c>
      <c r="K94" s="504"/>
      <c r="L94" s="505"/>
      <c r="M94" s="201" t="str">
        <f t="shared" si="17"/>
        <v/>
      </c>
      <c r="N94" s="31" t="str">
        <f t="shared" si="18"/>
        <v/>
      </c>
      <c r="O94" s="501" t="str">
        <f t="shared" si="19"/>
        <v/>
      </c>
      <c r="P94" s="503"/>
      <c r="Q94" s="43">
        <f>SUM('5_Planning'!O25:P25)</f>
        <v>0</v>
      </c>
      <c r="R94" s="202">
        <f>'5_Planning'!Q25</f>
        <v>0</v>
      </c>
      <c r="S94" s="504"/>
      <c r="T94" s="43">
        <f>SUM('3_Part_time'!K89,'3_Part_time'!K95)</f>
        <v>0</v>
      </c>
      <c r="U94" s="202">
        <f>SUM('3_Part_time'!L89,'3_Part_time'!L95)</f>
        <v>0</v>
      </c>
      <c r="V94" s="504"/>
      <c r="W94" s="505"/>
      <c r="X94" s="201" t="str">
        <f t="shared" si="22"/>
        <v/>
      </c>
      <c r="Y94" s="31" t="str">
        <f t="shared" ref="Y94" si="25">X94</f>
        <v/>
      </c>
      <c r="Z94" s="202" t="str">
        <f t="shared" si="24"/>
        <v/>
      </c>
      <c r="AA94" s="17"/>
    </row>
    <row r="95" spans="2:27" x14ac:dyDescent="0.35">
      <c r="B95" s="118"/>
      <c r="AA95" s="17"/>
    </row>
    <row r="96" spans="2:27" x14ac:dyDescent="0.35">
      <c r="B96" s="118"/>
      <c r="K96" s="1826" t="str">
        <f>CONCATENATE(K83,K84,K85,K86,K87,K89,K90,K91,K92,K93)</f>
        <v/>
      </c>
      <c r="M96" s="1826" t="str">
        <f>CONCATENATE(M83,M84,M85,M86,M87,M88,M89,M90,M91,M92,M93,M94)</f>
        <v/>
      </c>
      <c r="O96" s="1826" t="str">
        <f>CONCATENATE(O83,O84,O85,O86,O87,O88,O89,O90,O91,O92,O93,O94)</f>
        <v/>
      </c>
      <c r="V96" s="1826" t="str">
        <f>CONCATENATE(V83,V84,V85,V86,V87,V89,V90,V91,V92,V93)</f>
        <v/>
      </c>
      <c r="X96" s="1826" t="str">
        <f>CONCATENATE(X83,X84,X85,X86,X87,X88,X89,X90,X91,X92,X93,X94)</f>
        <v/>
      </c>
      <c r="Z96" s="1826" t="str">
        <f>CONCATENATE(Z83,Z84,Z85,Z86,Z87,Z88,Z89,Z90,Z91,Z92,Z93,Z94)</f>
        <v/>
      </c>
      <c r="AA96" s="17"/>
    </row>
    <row r="97" spans="2:27" x14ac:dyDescent="0.35">
      <c r="B97" s="118"/>
      <c r="AA97" s="17"/>
    </row>
    <row r="98" spans="2:27" x14ac:dyDescent="0.35">
      <c r="B98" s="118"/>
      <c r="E98" s="1826" t="str">
        <f>K98&amp;V98</f>
        <v/>
      </c>
      <c r="K98" s="1840" t="str">
        <f>CONCATENATE(K96,M96,O96)</f>
        <v/>
      </c>
      <c r="V98" s="1841" t="str">
        <f>CONCATENATE(V96,X96,Z96)</f>
        <v/>
      </c>
      <c r="AA98" s="17"/>
    </row>
    <row r="99" spans="2:27" ht="12.75" customHeight="1" x14ac:dyDescent="0.35">
      <c r="B99" s="119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25"/>
    </row>
    <row r="100" spans="2:27" x14ac:dyDescent="0.35">
      <c r="B100" s="118"/>
      <c r="X100" s="17"/>
    </row>
    <row r="101" spans="2:27" ht="51" x14ac:dyDescent="0.35">
      <c r="B101" s="193" t="s">
        <v>27824</v>
      </c>
      <c r="C101" s="592"/>
      <c r="D101" t="s">
        <v>27793</v>
      </c>
      <c r="I101" t="s">
        <v>27774</v>
      </c>
      <c r="N101" t="s">
        <v>225</v>
      </c>
      <c r="S101" s="11" t="s">
        <v>27926</v>
      </c>
      <c r="X101" s="17"/>
    </row>
    <row r="102" spans="2:27" x14ac:dyDescent="0.35">
      <c r="B102" s="193"/>
      <c r="C102" s="592"/>
      <c r="D102" t="str">
        <f>'5_Planning'!$H$6&amp;", "&amp;'5_Planning'!$H$7</f>
        <v>Section A: All years, Column 1</v>
      </c>
      <c r="E102" t="str">
        <f>'5_Planning'!$H$6&amp;", "&amp;'5_Planning'!$H$7</f>
        <v>Section A: All years, Column 1</v>
      </c>
      <c r="F102" t="str">
        <f>'5_Planning'!$H$6&amp;", "&amp;'5_Planning'!$H$7</f>
        <v>Section A: All years, Column 1</v>
      </c>
      <c r="G102" t="str">
        <f>'5_Planning'!$H$6&amp;", "&amp;'5_Planning'!$H$7</f>
        <v>Section A: All years, Column 1</v>
      </c>
      <c r="H102" t="str">
        <f>'5_Planning'!$H$6&amp;", "&amp;'5_Planning'!$H$7</f>
        <v>Section A: All years, Column 1</v>
      </c>
      <c r="I102" t="str">
        <f>'5_Planning'!$H$6&amp;", "&amp;'5_Planning'!$M$7</f>
        <v>Section A: All years, Column 2</v>
      </c>
      <c r="J102" t="str">
        <f>'5_Planning'!$H$6&amp;", "&amp;'5_Planning'!$M$7</f>
        <v>Section A: All years, Column 2</v>
      </c>
      <c r="K102" t="str">
        <f>'5_Planning'!$H$6&amp;", "&amp;'5_Planning'!$M$7</f>
        <v>Section A: All years, Column 2</v>
      </c>
      <c r="L102" t="str">
        <f>'5_Planning'!$H$6&amp;", "&amp;'5_Planning'!$M$7</f>
        <v>Section A: All years, Column 2</v>
      </c>
      <c r="M102" t="str">
        <f>'5_Planning'!$H$6&amp;", "&amp;'5_Planning'!$M$7</f>
        <v>Section A: All years, Column 2</v>
      </c>
      <c r="N102" t="str">
        <f>'5_Planning'!$R$6</f>
        <v>Section B: New entrants</v>
      </c>
      <c r="O102" t="str">
        <f>'5_Planning'!$R$6</f>
        <v>Section B: New entrants</v>
      </c>
      <c r="P102" t="str">
        <f>'5_Planning'!$R$6</f>
        <v>Section B: New entrants</v>
      </c>
      <c r="Q102" t="str">
        <f>'5_Planning'!$R$6</f>
        <v>Section B: New entrants</v>
      </c>
      <c r="R102" t="str">
        <f>'5_Planning'!$R$6</f>
        <v>Section B: New entrants</v>
      </c>
      <c r="S102" t="str">
        <f>'5_Planning'!$W$6</f>
        <v>Section C: HTQs</v>
      </c>
      <c r="T102" t="str">
        <f>'5_Planning'!$W$6</f>
        <v>Section C: HTQs</v>
      </c>
      <c r="X102" s="17"/>
    </row>
    <row r="103" spans="2:27" ht="65.25" customHeight="1" x14ac:dyDescent="0.35">
      <c r="B103" s="193"/>
      <c r="C103" s="592"/>
      <c r="D103" s="184" t="s">
        <v>27811</v>
      </c>
      <c r="E103" s="184" t="s">
        <v>27812</v>
      </c>
      <c r="F103" s="184" t="s">
        <v>27813</v>
      </c>
      <c r="G103" s="184" t="s">
        <v>27814</v>
      </c>
      <c r="H103" s="182" t="s">
        <v>194</v>
      </c>
      <c r="I103" s="182" t="s">
        <v>27811</v>
      </c>
      <c r="J103" s="182" t="s">
        <v>27812</v>
      </c>
      <c r="K103" s="182" t="s">
        <v>27813</v>
      </c>
      <c r="L103" s="182" t="s">
        <v>27814</v>
      </c>
      <c r="M103" s="182" t="s">
        <v>194</v>
      </c>
      <c r="N103" s="1364" t="s">
        <v>27811</v>
      </c>
      <c r="O103" s="182" t="s">
        <v>27812</v>
      </c>
      <c r="P103" s="182" t="s">
        <v>27813</v>
      </c>
      <c r="Q103" s="182" t="s">
        <v>27814</v>
      </c>
      <c r="R103" s="182" t="s">
        <v>194</v>
      </c>
      <c r="S103" s="184" t="s">
        <v>192</v>
      </c>
      <c r="T103" s="184" t="s">
        <v>193</v>
      </c>
      <c r="X103" s="17"/>
    </row>
    <row r="104" spans="2:27" x14ac:dyDescent="0.35">
      <c r="B104" s="118" t="str">
        <f>'5_Planning'!$A$14</f>
        <v>Full-time and sandwich year out</v>
      </c>
      <c r="C104" s="11" t="str">
        <f>'5_Planning'!B14</f>
        <v>UG (Level 4 and 5)</v>
      </c>
      <c r="D104" s="1863"/>
      <c r="E104" s="1361"/>
      <c r="F104" s="1361"/>
      <c r="G104" s="1361"/>
      <c r="H104" s="1861"/>
      <c r="I104" s="1863"/>
      <c r="J104" s="1361"/>
      <c r="K104" s="1361"/>
      <c r="L104" s="1361"/>
      <c r="M104" s="1861"/>
      <c r="N104" s="1593" t="str">
        <f>IF(AND($F$9=1,'5_Planning'!R14&gt;SUM('5_Planning'!H14,'5_Planning'!M14)),N$103&amp;", "&amp;$B104&amp;", Level "&amp;$C104&amp;"; ","")</f>
        <v/>
      </c>
      <c r="O104" s="185" t="str">
        <f>IF(AND($F$9=1,'5_Planning'!S14&gt;SUM('5_Planning'!I14,'5_Planning'!N14)),O$103&amp;", "&amp;$B104&amp;", Level "&amp;$C104&amp;"; ","")</f>
        <v/>
      </c>
      <c r="P104" s="185" t="str">
        <f>IF(AND($F$9=1,'5_Planning'!T14&gt;SUM('5_Planning'!J14,'5_Planning'!O14)),P$103&amp;", "&amp;$B104&amp;", Level "&amp;$C104&amp;"; ","")</f>
        <v/>
      </c>
      <c r="Q104" s="185" t="str">
        <f>IF(AND($F$9=1,'5_Planning'!U14&gt;SUM('5_Planning'!K14,'5_Planning'!P14)),Q$103&amp;", "&amp;$B104&amp;", Level "&amp;$C104&amp;"; ","")</f>
        <v/>
      </c>
      <c r="R104" s="1830" t="str">
        <f>IF(AND($F$9=1,'5_Planning'!V14&gt;SUM('5_Planning'!L14,'5_Planning'!Q14)),R$103&amp;", "&amp;$B104&amp;", Level "&amp;$C104&amp;"; ","")</f>
        <v/>
      </c>
      <c r="S104" s="1863"/>
      <c r="T104" s="1361"/>
      <c r="X104" s="17"/>
    </row>
    <row r="105" spans="2:27" x14ac:dyDescent="0.35">
      <c r="B105" s="118" t="str">
        <f>'5_Planning'!$A$14</f>
        <v>Full-time and sandwich year out</v>
      </c>
      <c r="C105" s="11" t="str">
        <f>'5_Planning'!B15</f>
        <v>UG (Other)</v>
      </c>
      <c r="D105" s="1648"/>
      <c r="E105" s="1360"/>
      <c r="F105" s="1360"/>
      <c r="G105" s="1360"/>
      <c r="H105" s="1362"/>
      <c r="I105" s="1648"/>
      <c r="J105" s="1360"/>
      <c r="K105" s="1360"/>
      <c r="L105" s="1360"/>
      <c r="M105" s="1362"/>
      <c r="N105" s="1593" t="str">
        <f>IF(AND($F$9=1,'5_Planning'!R15&gt;SUM('5_Planning'!H15,'5_Planning'!M15)),N$103&amp;", "&amp;$B105&amp;", Level "&amp;$C105&amp;"; ","")</f>
        <v/>
      </c>
      <c r="O105" t="str">
        <f>IF(AND($F$9=1,'5_Planning'!S15&gt;SUM('5_Planning'!I15,'5_Planning'!N15)),O$103&amp;", "&amp;$B105&amp;", Level "&amp;$C105&amp;"; ","")</f>
        <v/>
      </c>
      <c r="P105" t="str">
        <f>IF(AND($F$9=1,'5_Planning'!T15&gt;SUM('5_Planning'!J15,'5_Planning'!O15)),P$103&amp;", "&amp;$B105&amp;", Level "&amp;$C105&amp;"; ","")</f>
        <v/>
      </c>
      <c r="Q105" t="str">
        <f>IF(AND($F$9=1,'5_Planning'!U15&gt;SUM('5_Planning'!K15,'5_Planning'!P15)),Q$103&amp;", "&amp;$B105&amp;", Level "&amp;$C105&amp;"; ","")</f>
        <v/>
      </c>
      <c r="R105" s="183" t="str">
        <f>IF(AND($F$9=1,'5_Planning'!V15&gt;SUM('5_Planning'!L15,'5_Planning'!Q15)),R$103&amp;", "&amp;$B105&amp;", Level "&amp;$C105&amp;"; ","")</f>
        <v/>
      </c>
      <c r="S105" s="1648"/>
      <c r="T105" s="1360"/>
      <c r="X105" s="17"/>
    </row>
    <row r="106" spans="2:27" x14ac:dyDescent="0.35">
      <c r="B106" s="118" t="str">
        <f>'5_Planning'!$A$14</f>
        <v>Full-time and sandwich year out</v>
      </c>
      <c r="C106" s="11" t="str">
        <f>'5_Planning'!B16</f>
        <v>PGT (UG fee)</v>
      </c>
      <c r="D106" s="1648"/>
      <c r="E106" s="1360"/>
      <c r="F106" s="1360"/>
      <c r="G106" s="1360"/>
      <c r="H106" s="1362"/>
      <c r="I106" s="1648"/>
      <c r="J106" s="1360"/>
      <c r="K106" s="1360"/>
      <c r="L106" s="1360"/>
      <c r="M106" s="1362"/>
      <c r="N106" s="1593" t="str">
        <f>IF(AND($F$9=1,'5_Planning'!R16&gt;SUM('5_Planning'!H16,'5_Planning'!M16)),N$103&amp;", "&amp;$B106&amp;", Level "&amp;$C106&amp;"; ","")</f>
        <v/>
      </c>
      <c r="O106" t="str">
        <f>IF(AND($F$9=1,'5_Planning'!S16&gt;SUM('5_Planning'!I16,'5_Planning'!N16)),O$103&amp;", "&amp;$B106&amp;", Level "&amp;$C106&amp;"; ","")</f>
        <v/>
      </c>
      <c r="P106" t="str">
        <f>IF(AND($F$9=1,'5_Planning'!T16&gt;SUM('5_Planning'!J16,'5_Planning'!O16)),P$103&amp;", "&amp;$B106&amp;", Level "&amp;$C106&amp;"; ","")</f>
        <v/>
      </c>
      <c r="Q106" t="str">
        <f>IF(AND($F$9=1,'5_Planning'!U16&gt;SUM('5_Planning'!K16,'5_Planning'!P16)),Q$103&amp;", "&amp;$B106&amp;", Level "&amp;$C106&amp;"; ","")</f>
        <v/>
      </c>
      <c r="R106" s="183" t="str">
        <f>IF(AND($F$9=1,'5_Planning'!V16&gt;SUM('5_Planning'!L16,'5_Planning'!Q16)),R$103&amp;", "&amp;$B106&amp;", Level "&amp;$C106&amp;"; ","")</f>
        <v/>
      </c>
      <c r="S106" s="1648"/>
      <c r="T106" s="1360"/>
      <c r="X106" s="17"/>
    </row>
    <row r="107" spans="2:27" x14ac:dyDescent="0.35">
      <c r="B107" s="118" t="str">
        <f>'5_Planning'!$A$14</f>
        <v>Full-time and sandwich year out</v>
      </c>
      <c r="C107" s="11" t="str">
        <f>'5_Planning'!B17</f>
        <v>PGT (Masters' loan)</v>
      </c>
      <c r="D107" s="1648"/>
      <c r="E107" s="1360"/>
      <c r="F107" s="1360"/>
      <c r="G107" s="1360"/>
      <c r="H107" s="1362"/>
      <c r="I107" s="1648"/>
      <c r="J107" s="1360"/>
      <c r="K107" s="1360"/>
      <c r="L107" s="1360"/>
      <c r="M107" s="1362"/>
      <c r="N107" s="1593" t="str">
        <f>IF(AND($F$9=1,'5_Planning'!R17&gt;SUM('5_Planning'!H17,'5_Planning'!M17)),N$103&amp;", "&amp;$B107&amp;", Level "&amp;$C107&amp;"; ","")</f>
        <v/>
      </c>
      <c r="O107" t="str">
        <f>IF(AND($F$9=1,'5_Planning'!S17&gt;SUM('5_Planning'!I17,'5_Planning'!N17)),O$103&amp;", "&amp;$B107&amp;", Level "&amp;$C107&amp;"; ","")</f>
        <v/>
      </c>
      <c r="P107" t="str">
        <f>IF(AND($F$9=1,'5_Planning'!T17&gt;SUM('5_Planning'!J17,'5_Planning'!O17)),P$103&amp;", "&amp;$B107&amp;", Level "&amp;$C107&amp;"; ","")</f>
        <v/>
      </c>
      <c r="Q107" t="str">
        <f>IF(AND($F$9=1,'5_Planning'!U17&gt;SUM('5_Planning'!K17,'5_Planning'!P17)),Q$103&amp;", "&amp;$B107&amp;", Level "&amp;$C107&amp;"; ","")</f>
        <v/>
      </c>
      <c r="R107" s="183" t="str">
        <f>IF(AND($F$9=1,'5_Planning'!V17&gt;SUM('5_Planning'!L17,'5_Planning'!Q17)),R$103&amp;", "&amp;$B107&amp;", Level "&amp;$C107&amp;"; ","")</f>
        <v/>
      </c>
      <c r="S107" s="1648"/>
      <c r="T107" s="1360"/>
      <c r="X107" s="17"/>
    </row>
    <row r="108" spans="2:27" x14ac:dyDescent="0.35">
      <c r="B108" s="118" t="str">
        <f>'5_Planning'!$A$14</f>
        <v>Full-time and sandwich year out</v>
      </c>
      <c r="C108" s="11" t="str">
        <f>'5_Planning'!B18</f>
        <v>PGT (Other)</v>
      </c>
      <c r="D108" s="1648"/>
      <c r="E108" s="1360"/>
      <c r="F108" s="1360"/>
      <c r="G108" s="1360"/>
      <c r="H108" s="1362"/>
      <c r="I108" s="1648"/>
      <c r="J108" s="1360"/>
      <c r="K108" s="1360"/>
      <c r="L108" s="1360"/>
      <c r="M108" s="1362"/>
      <c r="N108" s="1593" t="str">
        <f>IF(AND($F$9=1,'5_Planning'!R18&gt;SUM('5_Planning'!H18,'5_Planning'!M18)),N$103&amp;", "&amp;$B108&amp;", Level "&amp;$C108&amp;"; ","")</f>
        <v/>
      </c>
      <c r="O108" t="str">
        <f>IF(AND($F$9=1,'5_Planning'!S18&gt;SUM('5_Planning'!I18,'5_Planning'!N18)),O$103&amp;", "&amp;$B108&amp;", Level "&amp;$C108&amp;"; ","")</f>
        <v/>
      </c>
      <c r="P108" t="str">
        <f>IF(AND($F$9=1,'5_Planning'!T18&gt;SUM('5_Planning'!J18,'5_Planning'!O18)),P$103&amp;", "&amp;$B108&amp;", Level "&amp;$C108&amp;"; ","")</f>
        <v/>
      </c>
      <c r="Q108" t="str">
        <f>IF(AND($F$9=1,'5_Planning'!U18&gt;SUM('5_Planning'!K18,'5_Planning'!P18)),Q$103&amp;", "&amp;$B108&amp;", Level "&amp;$C108&amp;"; ","")</f>
        <v/>
      </c>
      <c r="R108" s="183" t="str">
        <f>IF(AND($F$9=1,'5_Planning'!V18&gt;SUM('5_Planning'!L18,'5_Planning'!Q18)),R$103&amp;", "&amp;$B108&amp;", Level "&amp;$C108&amp;"; ","")</f>
        <v/>
      </c>
      <c r="S108" s="1648"/>
      <c r="T108" s="1360"/>
      <c r="X108" s="17"/>
    </row>
    <row r="109" spans="2:27" x14ac:dyDescent="0.35">
      <c r="B109" s="118" t="str">
        <f>'5_Planning'!$A$14</f>
        <v>Full-time and sandwich year out</v>
      </c>
      <c r="C109" s="11" t="str">
        <f>'5_Planning'!B19</f>
        <v>PGR</v>
      </c>
      <c r="D109" s="1277"/>
      <c r="E109" s="505"/>
      <c r="F109" s="505"/>
      <c r="G109" s="505"/>
      <c r="H109" s="1363"/>
      <c r="I109" s="1277"/>
      <c r="J109" s="505"/>
      <c r="K109" s="505"/>
      <c r="L109" s="505"/>
      <c r="M109" s="1363"/>
      <c r="N109" s="188" t="str">
        <f>IF(AND($F$9=1,'5_Planning'!R19&gt;SUM('5_Planning'!H19,'5_Planning'!M19)),N$103&amp;", "&amp;$B109&amp;", Level "&amp;$C109&amp;"; ","")</f>
        <v/>
      </c>
      <c r="O109" s="189" t="str">
        <f>IF(AND($F$9=1,'5_Planning'!S19&gt;SUM('5_Planning'!I19,'5_Planning'!N19)),O$103&amp;", "&amp;$B109&amp;", Level "&amp;$C109&amp;"; ","")</f>
        <v/>
      </c>
      <c r="P109" s="189" t="str">
        <f>IF(AND($F$9=1,'5_Planning'!T19&gt;SUM('5_Planning'!J19,'5_Planning'!O19)),P$103&amp;", "&amp;$B109&amp;", Level "&amp;$C109&amp;"; ","")</f>
        <v/>
      </c>
      <c r="Q109" s="189" t="str">
        <f>IF(AND($F$9=1,'5_Planning'!U19&gt;SUM('5_Planning'!K19,'5_Planning'!P19)),Q$103&amp;", "&amp;$B109&amp;", Level "&amp;$C109&amp;"; ","")</f>
        <v/>
      </c>
      <c r="R109" s="31" t="str">
        <f>IF(AND($F$9=1,'5_Planning'!V19&gt;SUM('5_Planning'!L19,'5_Planning'!Q19)),R$103&amp;", "&amp;$B109&amp;", Level "&amp;$C109&amp;"; ","")</f>
        <v/>
      </c>
      <c r="S109" s="1648"/>
      <c r="T109" s="1360"/>
      <c r="X109" s="17"/>
    </row>
    <row r="110" spans="2:27" x14ac:dyDescent="0.35">
      <c r="B110" s="118" t="str">
        <f>'5_Planning'!$A$20</f>
        <v>Part-time</v>
      </c>
      <c r="C110" s="11" t="str">
        <f>'5_Planning'!B20</f>
        <v>UG (Level 4 and 5)</v>
      </c>
      <c r="D110" s="1648"/>
      <c r="E110" s="1360"/>
      <c r="F110" s="1360"/>
      <c r="G110" s="1360"/>
      <c r="H110" s="1362"/>
      <c r="I110" s="1648"/>
      <c r="J110" s="1360"/>
      <c r="K110" s="1360"/>
      <c r="L110" s="1360"/>
      <c r="M110" s="1362"/>
      <c r="N110" s="1593" t="str">
        <f>IF(AND($F$9=1,'5_Planning'!R20&gt;SUM('5_Planning'!H20,'5_Planning'!M20)),N$103&amp;", "&amp;$B110&amp;", Level "&amp;$C110&amp;"; ","")</f>
        <v/>
      </c>
      <c r="O110" t="str">
        <f>IF(AND($F$9=1,'5_Planning'!S20&gt;SUM('5_Planning'!I20,'5_Planning'!N20)),O$103&amp;", "&amp;$B110&amp;", Level "&amp;$C110&amp;"; ","")</f>
        <v/>
      </c>
      <c r="P110" t="str">
        <f>IF(AND($F$9=1,'5_Planning'!T20&gt;SUM('5_Planning'!J20,'5_Planning'!O20)),P$103&amp;", "&amp;$B110&amp;", Level "&amp;$C110&amp;"; ","")</f>
        <v/>
      </c>
      <c r="Q110" t="str">
        <f>IF(AND($F$9=1,'5_Planning'!U20&gt;SUM('5_Planning'!K20,'5_Planning'!P20)),Q$103&amp;", "&amp;$B110&amp;", Level "&amp;$C110&amp;"; ","")</f>
        <v/>
      </c>
      <c r="R110" s="183" t="str">
        <f>IF(AND($F$9=1,'5_Planning'!V20&gt;SUM('5_Planning'!L20,'5_Planning'!Q20)),R$103&amp;", "&amp;$B110&amp;", Level "&amp;$C110&amp;"; ","")</f>
        <v/>
      </c>
      <c r="S110" s="1863"/>
      <c r="T110" s="1361"/>
      <c r="X110" s="17"/>
    </row>
    <row r="111" spans="2:27" x14ac:dyDescent="0.35">
      <c r="B111" s="118" t="str">
        <f>'5_Planning'!$A$20</f>
        <v>Part-time</v>
      </c>
      <c r="C111" s="11" t="str">
        <f>'5_Planning'!B21</f>
        <v>UG (Other)</v>
      </c>
      <c r="D111" s="1648"/>
      <c r="E111" s="1360"/>
      <c r="F111" s="1360"/>
      <c r="G111" s="1360"/>
      <c r="H111" s="1362"/>
      <c r="I111" s="1648"/>
      <c r="J111" s="1360"/>
      <c r="K111" s="1360"/>
      <c r="L111" s="1360"/>
      <c r="M111" s="1362"/>
      <c r="N111" s="1593" t="str">
        <f>IF(AND($F$9=1,'5_Planning'!R21&gt;SUM('5_Planning'!H21,'5_Planning'!M21)),N$103&amp;", "&amp;$B111&amp;", Level "&amp;$C111&amp;"; ","")</f>
        <v/>
      </c>
      <c r="O111" t="str">
        <f>IF(AND($F$9=1,'5_Planning'!S21&gt;SUM('5_Planning'!I21,'5_Planning'!N21)),O$103&amp;", "&amp;$B111&amp;", Level "&amp;$C111&amp;"; ","")</f>
        <v/>
      </c>
      <c r="P111" t="str">
        <f>IF(AND($F$9=1,'5_Planning'!T21&gt;SUM('5_Planning'!J21,'5_Planning'!O21)),P$103&amp;", "&amp;$B111&amp;", Level "&amp;$C111&amp;"; ","")</f>
        <v/>
      </c>
      <c r="Q111" t="str">
        <f>IF(AND($F$9=1,'5_Planning'!U21&gt;SUM('5_Planning'!K21,'5_Planning'!P21)),Q$103&amp;", "&amp;$B111&amp;", Level "&amp;$C111&amp;"; ","")</f>
        <v/>
      </c>
      <c r="R111" s="183" t="str">
        <f>IF(AND($F$9=1,'5_Planning'!V21&gt;SUM('5_Planning'!L21,'5_Planning'!Q21)),R$103&amp;", "&amp;$B111&amp;", Level "&amp;$C111&amp;"; ","")</f>
        <v/>
      </c>
      <c r="S111" s="1648"/>
      <c r="T111" s="1360"/>
      <c r="X111" s="17"/>
    </row>
    <row r="112" spans="2:27" x14ac:dyDescent="0.35">
      <c r="B112" s="118" t="str">
        <f>'5_Planning'!$A$20</f>
        <v>Part-time</v>
      </c>
      <c r="C112" s="11" t="str">
        <f>'5_Planning'!B22</f>
        <v>PGT (UG fee)</v>
      </c>
      <c r="D112" s="1648"/>
      <c r="E112" s="1360"/>
      <c r="F112" s="1360"/>
      <c r="G112" s="1360"/>
      <c r="H112" s="1362"/>
      <c r="I112" s="1648"/>
      <c r="J112" s="1360"/>
      <c r="K112" s="1360"/>
      <c r="L112" s="1360"/>
      <c r="M112" s="1362"/>
      <c r="N112" s="1593" t="str">
        <f>IF(AND($F$9=1,'5_Planning'!R22&gt;SUM('5_Planning'!H22,'5_Planning'!M22)),N$103&amp;", "&amp;$B112&amp;", Level "&amp;$C112&amp;"; ","")</f>
        <v/>
      </c>
      <c r="O112" t="str">
        <f>IF(AND($F$9=1,'5_Planning'!S22&gt;SUM('5_Planning'!I22,'5_Planning'!N22)),O$103&amp;", "&amp;$B112&amp;", Level "&amp;$C112&amp;"; ","")</f>
        <v/>
      </c>
      <c r="P112" t="str">
        <f>IF(AND($F$9=1,'5_Planning'!T22&gt;SUM('5_Planning'!J22,'5_Planning'!O22)),P$103&amp;", "&amp;$B112&amp;", Level "&amp;$C112&amp;"; ","")</f>
        <v/>
      </c>
      <c r="Q112" t="str">
        <f>IF(AND($F$9=1,'5_Planning'!U22&gt;SUM('5_Planning'!K22,'5_Planning'!P22)),Q$103&amp;", "&amp;$B112&amp;", Level "&amp;$C112&amp;"; ","")</f>
        <v/>
      </c>
      <c r="R112" s="183" t="str">
        <f>IF(AND($F$9=1,'5_Planning'!V22&gt;SUM('5_Planning'!L22,'5_Planning'!Q22)),R$103&amp;", "&amp;$B112&amp;", Level "&amp;$C112&amp;"; ","")</f>
        <v/>
      </c>
      <c r="S112" s="1648"/>
      <c r="T112" s="1360"/>
      <c r="X112" s="17"/>
    </row>
    <row r="113" spans="2:24" x14ac:dyDescent="0.35">
      <c r="B113" s="118" t="str">
        <f>'5_Planning'!$A$20</f>
        <v>Part-time</v>
      </c>
      <c r="C113" s="11" t="str">
        <f>'5_Planning'!B23</f>
        <v>PGT (Masters' loan)</v>
      </c>
      <c r="D113" s="1648"/>
      <c r="E113" s="1360"/>
      <c r="F113" s="1360"/>
      <c r="G113" s="1360"/>
      <c r="H113" s="1362"/>
      <c r="I113" s="1648"/>
      <c r="J113" s="1360"/>
      <c r="K113" s="1360"/>
      <c r="L113" s="1360"/>
      <c r="M113" s="1362"/>
      <c r="N113" s="1593" t="str">
        <f>IF(AND($F$9=1,'5_Planning'!R23&gt;SUM('5_Planning'!H23,'5_Planning'!M23)),N$103&amp;", "&amp;$B113&amp;", Level "&amp;$C113&amp;"; ","")</f>
        <v/>
      </c>
      <c r="O113" t="str">
        <f>IF(AND($F$9=1,'5_Planning'!S23&gt;SUM('5_Planning'!I23,'5_Planning'!N23)),O$103&amp;", "&amp;$B113&amp;", Level "&amp;$C113&amp;"; ","")</f>
        <v/>
      </c>
      <c r="P113" t="str">
        <f>IF(AND($F$9=1,'5_Planning'!T23&gt;SUM('5_Planning'!J23,'5_Planning'!O23)),P$103&amp;", "&amp;$B113&amp;", Level "&amp;$C113&amp;"; ","")</f>
        <v/>
      </c>
      <c r="Q113" t="str">
        <f>IF(AND($F$9=1,'5_Planning'!U23&gt;SUM('5_Planning'!K23,'5_Planning'!P23)),Q$103&amp;", "&amp;$B113&amp;", Level "&amp;$C113&amp;"; ","")</f>
        <v/>
      </c>
      <c r="R113" s="183" t="str">
        <f>IF(AND($F$9=1,'5_Planning'!V23&gt;SUM('5_Planning'!L23,'5_Planning'!Q23)),R$103&amp;", "&amp;$B113&amp;", Level "&amp;$C113&amp;"; ","")</f>
        <v/>
      </c>
      <c r="S113" s="1648"/>
      <c r="T113" s="1360"/>
      <c r="X113" s="17"/>
    </row>
    <row r="114" spans="2:24" x14ac:dyDescent="0.35">
      <c r="B114" s="118" t="str">
        <f>'5_Planning'!$A$20</f>
        <v>Part-time</v>
      </c>
      <c r="C114" s="11" t="str">
        <f>'5_Planning'!B24</f>
        <v>PGT (Other)</v>
      </c>
      <c r="D114" s="1648"/>
      <c r="E114" s="1360"/>
      <c r="F114" s="1360"/>
      <c r="G114" s="1360"/>
      <c r="H114" s="1362"/>
      <c r="I114" s="1648"/>
      <c r="J114" s="1360"/>
      <c r="K114" s="1360"/>
      <c r="L114" s="1360"/>
      <c r="M114" s="1362"/>
      <c r="N114" s="1593" t="str">
        <f>IF(AND($F$9=1,'5_Planning'!R24&gt;SUM('5_Planning'!H24,'5_Planning'!M24)),N$103&amp;", "&amp;$B114&amp;", Level "&amp;$C114&amp;"; ","")</f>
        <v/>
      </c>
      <c r="O114" t="str">
        <f>IF(AND($F$9=1,'5_Planning'!S24&gt;SUM('5_Planning'!I24,'5_Planning'!N24)),O$103&amp;", "&amp;$B114&amp;", Level "&amp;$C114&amp;"; ","")</f>
        <v/>
      </c>
      <c r="P114" t="str">
        <f>IF(AND($F$9=1,'5_Planning'!T24&gt;SUM('5_Planning'!J24,'5_Planning'!O24)),P$103&amp;", "&amp;$B114&amp;", Level "&amp;$C114&amp;"; ","")</f>
        <v/>
      </c>
      <c r="Q114" t="str">
        <f>IF(AND($F$9=1,'5_Planning'!U24&gt;SUM('5_Planning'!K24,'5_Planning'!P24)),Q$103&amp;", "&amp;$B114&amp;", Level "&amp;$C114&amp;"; ","")</f>
        <v/>
      </c>
      <c r="R114" s="183" t="str">
        <f>IF(AND($F$9=1,'5_Planning'!V24&gt;SUM('5_Planning'!L24,'5_Planning'!Q24)),R$103&amp;", "&amp;$B114&amp;", Level "&amp;$C114&amp;"; ","")</f>
        <v/>
      </c>
      <c r="S114" s="1648"/>
      <c r="T114" s="1360"/>
      <c r="X114" s="17"/>
    </row>
    <row r="115" spans="2:24" x14ac:dyDescent="0.35">
      <c r="B115" s="118" t="str">
        <f>'5_Planning'!$A$20</f>
        <v>Part-time</v>
      </c>
      <c r="C115" s="11" t="str">
        <f>'5_Planning'!B25</f>
        <v>PGR</v>
      </c>
      <c r="D115" s="1277"/>
      <c r="E115" s="505"/>
      <c r="F115" s="505"/>
      <c r="G115" s="505"/>
      <c r="H115" s="1363"/>
      <c r="I115" s="1277"/>
      <c r="J115" s="505"/>
      <c r="K115" s="505"/>
      <c r="L115" s="505"/>
      <c r="M115" s="1363"/>
      <c r="N115" s="188" t="str">
        <f>IF(AND($F$9=1,'5_Planning'!R25&gt;SUM('5_Planning'!H25,'5_Planning'!M25)),N$103&amp;", "&amp;$B115&amp;", Level "&amp;$C115&amp;"; ","")</f>
        <v/>
      </c>
      <c r="O115" s="189" t="str">
        <f>IF(AND($F$9=1,'5_Planning'!S25&gt;SUM('5_Planning'!I25,'5_Planning'!N25)),O$103&amp;", "&amp;$B115&amp;", Level "&amp;$C115&amp;"; ","")</f>
        <v/>
      </c>
      <c r="P115" s="189" t="str">
        <f>IF(AND($F$9=1,'5_Planning'!T25&gt;SUM('5_Planning'!J25,'5_Planning'!O25)),P$103&amp;", "&amp;$B115&amp;", Level "&amp;$C115&amp;"; ","")</f>
        <v/>
      </c>
      <c r="Q115" s="189" t="str">
        <f>IF(AND($F$9=1,'5_Planning'!U25&gt;SUM('5_Planning'!K25,'5_Planning'!P25)),Q$103&amp;", "&amp;$B115&amp;", Level "&amp;$C115&amp;"; ","")</f>
        <v/>
      </c>
      <c r="R115" s="31" t="str">
        <f>IF(AND($F$9=1,'5_Planning'!V25&gt;SUM('5_Planning'!L25,'5_Planning'!Q25)),R$103&amp;", "&amp;$B115&amp;", Level "&amp;$C115&amp;"; ","")</f>
        <v/>
      </c>
      <c r="S115" s="1277"/>
      <c r="T115" s="505"/>
      <c r="X115" s="17"/>
    </row>
    <row r="116" spans="2:24" x14ac:dyDescent="0.35">
      <c r="B116" s="118"/>
      <c r="X116" s="17"/>
    </row>
    <row r="117" spans="2:24" x14ac:dyDescent="0.35">
      <c r="B117" s="118"/>
      <c r="D117" s="1864"/>
      <c r="E117" s="1864"/>
      <c r="F117" s="1864"/>
      <c r="G117" s="1864"/>
      <c r="H117" s="1865"/>
      <c r="I117" s="1864"/>
      <c r="J117" s="1864"/>
      <c r="K117" s="1864"/>
      <c r="L117" s="1864"/>
      <c r="M117" s="1865"/>
      <c r="N117" s="1835" t="str">
        <f>CONCATENATE(N104,N105,N106,N107,N108,N109,N110,N111,N112,N113,N114,N115)</f>
        <v/>
      </c>
      <c r="O117" s="1835" t="str">
        <f>CONCATENATE(O104,O105,O106,O107,O108,O109,O110,O111,O112,O113,O114,O115)</f>
        <v/>
      </c>
      <c r="P117" s="1835" t="str">
        <f>CONCATENATE(P104,P105,P106,P107,P108,P109,P110,P111,P112,P113,P114,P115)</f>
        <v/>
      </c>
      <c r="Q117" s="1835" t="str">
        <f>CONCATENATE(Q104,Q105,Q106,Q107,Q108,Q109,Q110,Q111,Q112,Q113,Q114,Q115)</f>
        <v/>
      </c>
      <c r="R117" s="1826" t="str">
        <f>CONCATENATE(R104,R105,R106,R107,R108,R109,R110,R111,R112,R113,R114,R115)</f>
        <v/>
      </c>
      <c r="S117" s="1864"/>
      <c r="T117" s="1865"/>
      <c r="X117" s="17"/>
    </row>
    <row r="118" spans="2:24" x14ac:dyDescent="0.35">
      <c r="B118" s="118"/>
      <c r="X118" s="17"/>
    </row>
    <row r="119" spans="2:24" x14ac:dyDescent="0.35">
      <c r="B119" s="118"/>
      <c r="D119" s="1865"/>
      <c r="I119" s="1865"/>
      <c r="N119" s="1860" t="str">
        <f>N117&amp;O117&amp;P117&amp;Q117&amp;R117</f>
        <v/>
      </c>
      <c r="S119" s="1815"/>
      <c r="X119" s="17"/>
    </row>
    <row r="120" spans="2:24" x14ac:dyDescent="0.35">
      <c r="B120" s="118"/>
      <c r="X120" s="17"/>
    </row>
    <row r="121" spans="2:24" x14ac:dyDescent="0.35">
      <c r="B121" s="118"/>
      <c r="D121" s="1826" t="str">
        <f>N119</f>
        <v/>
      </c>
      <c r="X121" s="17"/>
    </row>
    <row r="122" spans="2:24" x14ac:dyDescent="0.35">
      <c r="B122" s="119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25"/>
    </row>
    <row r="123" spans="2:24" x14ac:dyDescent="0.35">
      <c r="B123" s="118"/>
      <c r="X123" s="17"/>
    </row>
    <row r="124" spans="2:24" ht="51" x14ac:dyDescent="0.35">
      <c r="B124" s="193" t="s">
        <v>28285</v>
      </c>
      <c r="C124" s="592"/>
      <c r="D124" t="s">
        <v>27793</v>
      </c>
      <c r="I124" t="s">
        <v>27774</v>
      </c>
      <c r="N124" t="s">
        <v>225</v>
      </c>
      <c r="S124" s="11" t="s">
        <v>27926</v>
      </c>
      <c r="X124" s="17"/>
    </row>
    <row r="125" spans="2:24" x14ac:dyDescent="0.35">
      <c r="B125" s="193"/>
      <c r="C125" s="592"/>
      <c r="D125" t="str">
        <f>'5_Planning'!$H$6&amp;", "&amp;'5_Planning'!$H$7</f>
        <v>Section A: All years, Column 1</v>
      </c>
      <c r="E125" t="str">
        <f>'5_Planning'!$H$6&amp;", "&amp;'5_Planning'!$H$7</f>
        <v>Section A: All years, Column 1</v>
      </c>
      <c r="F125" t="str">
        <f>'5_Planning'!$H$6&amp;", "&amp;'5_Planning'!$H$7</f>
        <v>Section A: All years, Column 1</v>
      </c>
      <c r="G125" t="str">
        <f>'5_Planning'!$H$6&amp;", "&amp;'5_Planning'!$H$7</f>
        <v>Section A: All years, Column 1</v>
      </c>
      <c r="H125" t="str">
        <f>'5_Planning'!$H$6&amp;", "&amp;'5_Planning'!$H$7</f>
        <v>Section A: All years, Column 1</v>
      </c>
      <c r="I125" t="str">
        <f>'5_Planning'!$H$6&amp;", "&amp;'5_Planning'!$M$7</f>
        <v>Section A: All years, Column 2</v>
      </c>
      <c r="J125" t="str">
        <f>'5_Planning'!$H$6&amp;", "&amp;'5_Planning'!$M$7</f>
        <v>Section A: All years, Column 2</v>
      </c>
      <c r="K125" t="str">
        <f>'5_Planning'!$H$6&amp;", "&amp;'5_Planning'!$M$7</f>
        <v>Section A: All years, Column 2</v>
      </c>
      <c r="L125" t="str">
        <f>'5_Planning'!$H$6&amp;", "&amp;'5_Planning'!$M$7</f>
        <v>Section A: All years, Column 2</v>
      </c>
      <c r="M125" t="str">
        <f>'5_Planning'!$H$6&amp;", "&amp;'5_Planning'!$M$7</f>
        <v>Section A: All years, Column 2</v>
      </c>
      <c r="N125" t="str">
        <f>'5_Planning'!$R$6</f>
        <v>Section B: New entrants</v>
      </c>
      <c r="O125" t="str">
        <f>'5_Planning'!$R$6</f>
        <v>Section B: New entrants</v>
      </c>
      <c r="P125" t="str">
        <f>'5_Planning'!$R$6</f>
        <v>Section B: New entrants</v>
      </c>
      <c r="Q125" t="str">
        <f>'5_Planning'!$R$6</f>
        <v>Section B: New entrants</v>
      </c>
      <c r="R125" t="str">
        <f>'5_Planning'!$R$6</f>
        <v>Section B: New entrants</v>
      </c>
      <c r="S125" t="str">
        <f>'5_Planning'!$W$6</f>
        <v>Section C: HTQs</v>
      </c>
      <c r="T125" t="str">
        <f>'5_Planning'!$W$6</f>
        <v>Section C: HTQs</v>
      </c>
      <c r="X125" s="17"/>
    </row>
    <row r="126" spans="2:24" ht="51" x14ac:dyDescent="0.35">
      <c r="B126" s="193"/>
      <c r="C126" s="592"/>
      <c r="D126" s="184" t="s">
        <v>27811</v>
      </c>
      <c r="E126" s="184" t="s">
        <v>27812</v>
      </c>
      <c r="F126" s="184" t="s">
        <v>27813</v>
      </c>
      <c r="G126" s="184" t="s">
        <v>27814</v>
      </c>
      <c r="H126" s="182" t="s">
        <v>194</v>
      </c>
      <c r="I126" s="182" t="s">
        <v>27811</v>
      </c>
      <c r="J126" s="182" t="s">
        <v>27812</v>
      </c>
      <c r="K126" s="182" t="s">
        <v>27813</v>
      </c>
      <c r="L126" s="182" t="s">
        <v>27814</v>
      </c>
      <c r="M126" s="182" t="s">
        <v>194</v>
      </c>
      <c r="N126" s="1364" t="s">
        <v>27811</v>
      </c>
      <c r="O126" s="182" t="s">
        <v>27812</v>
      </c>
      <c r="P126" s="182" t="s">
        <v>27813</v>
      </c>
      <c r="Q126" s="182" t="s">
        <v>27814</v>
      </c>
      <c r="R126" s="182" t="s">
        <v>194</v>
      </c>
      <c r="S126" s="184" t="s">
        <v>192</v>
      </c>
      <c r="T126" s="184" t="s">
        <v>193</v>
      </c>
      <c r="X126" s="17"/>
    </row>
    <row r="127" spans="2:24" x14ac:dyDescent="0.35">
      <c r="B127" s="118" t="str">
        <f>'5_Planning'!$A$14</f>
        <v>Full-time and sandwich year out</v>
      </c>
      <c r="C127" s="11" t="str">
        <f>'5_Planning'!B14</f>
        <v>UG (Level 4 and 5)</v>
      </c>
      <c r="D127" s="1863"/>
      <c r="E127" s="1361"/>
      <c r="F127" s="1361"/>
      <c r="G127" s="1361"/>
      <c r="H127" s="1861"/>
      <c r="I127" s="1863"/>
      <c r="J127" s="1361"/>
      <c r="K127" s="1361"/>
      <c r="L127" s="1361"/>
      <c r="M127" s="1861"/>
      <c r="N127" s="1648" t="str">
        <f>IF(AND($F$9=1,'5_Planning'!R38&gt;SUM('5_Planning'!H38,'5_Planning'!M38)),N$103&amp;", "&amp;$B127&amp;", Level "&amp;$C127&amp;"; ","")</f>
        <v/>
      </c>
      <c r="O127" s="1361" t="str">
        <f>IF(AND($F$9=1,'5_Planning'!S38&gt;SUM('5_Planning'!I38,'5_Planning'!N38)),O$103&amp;", "&amp;$B127&amp;", Level "&amp;$C127&amp;"; ","")</f>
        <v/>
      </c>
      <c r="P127" s="1361" t="str">
        <f>IF(AND($F$9=1,'5_Planning'!T38&gt;SUM('5_Planning'!J38,'5_Planning'!O38)),P$103&amp;", "&amp;$B127&amp;", Level "&amp;$C127&amp;"; ","")</f>
        <v/>
      </c>
      <c r="Q127" s="1361" t="str">
        <f>IF(AND($F$9=1,'5_Planning'!U38&gt;SUM('5_Planning'!K38,'5_Planning'!P38)),Q$103&amp;", "&amp;$B127&amp;", Level "&amp;$C127&amp;"; ","")</f>
        <v/>
      </c>
      <c r="R127" s="1861" t="str">
        <f>IF(AND($F$9=1,'5_Planning'!V38&gt;SUM('5_Planning'!L38,'5_Planning'!Q38)),R$103&amp;", "&amp;$B127&amp;", Level "&amp;$C127&amp;"; ","")</f>
        <v/>
      </c>
      <c r="S127" s="1842" t="str">
        <f>IF(AND($G$9=1,'5_Planning'!W14&gt;SUM('5_Planning'!H14:I14,'5_Planning'!M14:N14)),S$126&amp;", "&amp;$B127&amp;", Level "&amp;$C127&amp;"; ","")</f>
        <v/>
      </c>
      <c r="T127" s="185" t="str">
        <f>IF(AND($G$9=1,'5_Planning'!X14&gt;SUM('5_Planning'!J14:K14,'5_Planning'!O14:P14)),T$126&amp;", "&amp;$B127&amp;", Level "&amp;$C127&amp;"; ","")</f>
        <v/>
      </c>
      <c r="X127" s="17"/>
    </row>
    <row r="128" spans="2:24" ht="12.75" customHeight="1" x14ac:dyDescent="0.35">
      <c r="B128" s="118" t="str">
        <f>'5_Planning'!$A$14</f>
        <v>Full-time and sandwich year out</v>
      </c>
      <c r="C128" s="11" t="str">
        <f>'5_Planning'!B15</f>
        <v>UG (Other)</v>
      </c>
      <c r="D128" s="1648"/>
      <c r="E128" s="1360"/>
      <c r="F128" s="1360"/>
      <c r="G128" s="1360"/>
      <c r="H128" s="1362"/>
      <c r="I128" s="1648"/>
      <c r="J128" s="1360"/>
      <c r="K128" s="1360"/>
      <c r="L128" s="1360"/>
      <c r="M128" s="1362"/>
      <c r="N128" s="1648" t="str">
        <f>IF(AND($F$9=1,'5_Planning'!R39&gt;SUM('5_Planning'!H39,'5_Planning'!M39)),N$103&amp;", "&amp;$B128&amp;", Level "&amp;$C128&amp;"; ","")</f>
        <v/>
      </c>
      <c r="O128" s="1360" t="str">
        <f>IF(AND($F$9=1,'5_Planning'!S39&gt;SUM('5_Planning'!I39,'5_Planning'!N39)),O$103&amp;", "&amp;$B128&amp;", Level "&amp;$C128&amp;"; ","")</f>
        <v/>
      </c>
      <c r="P128" s="1360" t="str">
        <f>IF(AND($F$9=1,'5_Planning'!T39&gt;SUM('5_Planning'!J39,'5_Planning'!O39)),P$103&amp;", "&amp;$B128&amp;", Level "&amp;$C128&amp;"; ","")</f>
        <v/>
      </c>
      <c r="Q128" s="1360" t="str">
        <f>IF(AND($F$9=1,'5_Planning'!U39&gt;SUM('5_Planning'!K39,'5_Planning'!P39)),Q$103&amp;", "&amp;$B128&amp;", Level "&amp;$C128&amp;"; ","")</f>
        <v/>
      </c>
      <c r="R128" s="1362" t="str">
        <f>IF(AND($F$9=1,'5_Planning'!V39&gt;SUM('5_Planning'!L39,'5_Planning'!Q39)),R$103&amp;", "&amp;$B128&amp;", Level "&amp;$C128&amp;"; ","")</f>
        <v/>
      </c>
      <c r="S128" s="1648"/>
      <c r="T128" s="1360"/>
      <c r="X128" s="17"/>
    </row>
    <row r="129" spans="2:24" x14ac:dyDescent="0.35">
      <c r="B129" s="118" t="str">
        <f>'5_Planning'!$A$14</f>
        <v>Full-time and sandwich year out</v>
      </c>
      <c r="C129" s="11" t="str">
        <f>'5_Planning'!B16</f>
        <v>PGT (UG fee)</v>
      </c>
      <c r="D129" s="1648"/>
      <c r="E129" s="1360"/>
      <c r="F129" s="1360"/>
      <c r="G129" s="1360"/>
      <c r="H129" s="1362"/>
      <c r="I129" s="1648"/>
      <c r="J129" s="1360"/>
      <c r="K129" s="1360"/>
      <c r="L129" s="1360"/>
      <c r="M129" s="1362"/>
      <c r="N129" s="1648" t="str">
        <f>IF(AND($F$9=1,'5_Planning'!R40&gt;SUM('5_Planning'!H40,'5_Planning'!M40)),N$103&amp;", "&amp;$B129&amp;", Level "&amp;$C129&amp;"; ","")</f>
        <v/>
      </c>
      <c r="O129" s="1360" t="str">
        <f>IF(AND($F$9=1,'5_Planning'!S40&gt;SUM('5_Planning'!I40,'5_Planning'!N40)),O$103&amp;", "&amp;$B129&amp;", Level "&amp;$C129&amp;"; ","")</f>
        <v/>
      </c>
      <c r="P129" s="1360" t="str">
        <f>IF(AND($F$9=1,'5_Planning'!T40&gt;SUM('5_Planning'!J40,'5_Planning'!O40)),P$103&amp;", "&amp;$B129&amp;", Level "&amp;$C129&amp;"; ","")</f>
        <v/>
      </c>
      <c r="Q129" s="1360" t="str">
        <f>IF(AND($F$9=1,'5_Planning'!U40&gt;SUM('5_Planning'!K40,'5_Planning'!P40)),Q$103&amp;", "&amp;$B129&amp;", Level "&amp;$C129&amp;"; ","")</f>
        <v/>
      </c>
      <c r="R129" s="1362" t="str">
        <f>IF(AND($F$9=1,'5_Planning'!V40&gt;SUM('5_Planning'!L40,'5_Planning'!Q40)),R$103&amp;", "&amp;$B129&amp;", Level "&amp;$C129&amp;"; ","")</f>
        <v/>
      </c>
      <c r="S129" s="1648"/>
      <c r="T129" s="1360"/>
      <c r="X129" s="17"/>
    </row>
    <row r="130" spans="2:24" x14ac:dyDescent="0.35">
      <c r="B130" s="118" t="str">
        <f>'5_Planning'!$A$14</f>
        <v>Full-time and sandwich year out</v>
      </c>
      <c r="C130" s="11" t="str">
        <f>'5_Planning'!B17</f>
        <v>PGT (Masters' loan)</v>
      </c>
      <c r="D130" s="1648"/>
      <c r="E130" s="1360"/>
      <c r="F130" s="1360"/>
      <c r="G130" s="1360"/>
      <c r="H130" s="1362"/>
      <c r="I130" s="1648"/>
      <c r="J130" s="1360"/>
      <c r="K130" s="1360"/>
      <c r="L130" s="1360"/>
      <c r="M130" s="1362"/>
      <c r="N130" s="1648" t="str">
        <f>IF(AND($F$9=1,'5_Planning'!R41&gt;SUM('5_Planning'!H41,'5_Planning'!M41)),N$103&amp;", "&amp;$B130&amp;", Level "&amp;$C130&amp;"; ","")</f>
        <v/>
      </c>
      <c r="O130" s="1360" t="str">
        <f>IF(AND($F$9=1,'5_Planning'!S41&gt;SUM('5_Planning'!I41,'5_Planning'!N41)),O$103&amp;", "&amp;$B130&amp;", Level "&amp;$C130&amp;"; ","")</f>
        <v/>
      </c>
      <c r="P130" s="1360" t="str">
        <f>IF(AND($F$9=1,'5_Planning'!T41&gt;SUM('5_Planning'!J41,'5_Planning'!O41)),P$103&amp;", "&amp;$B130&amp;", Level "&amp;$C130&amp;"; ","")</f>
        <v/>
      </c>
      <c r="Q130" s="1360" t="str">
        <f>IF(AND($F$9=1,'5_Planning'!U41&gt;SUM('5_Planning'!K41,'5_Planning'!P41)),Q$103&amp;", "&amp;$B130&amp;", Level "&amp;$C130&amp;"; ","")</f>
        <v/>
      </c>
      <c r="R130" s="1362" t="str">
        <f>IF(AND($F$9=1,'5_Planning'!V41&gt;SUM('5_Planning'!L41,'5_Planning'!Q41)),R$103&amp;", "&amp;$B130&amp;", Level "&amp;$C130&amp;"; ","")</f>
        <v/>
      </c>
      <c r="S130" s="1648"/>
      <c r="T130" s="1360"/>
      <c r="X130" s="17"/>
    </row>
    <row r="131" spans="2:24" x14ac:dyDescent="0.35">
      <c r="B131" s="118" t="str">
        <f>'5_Planning'!$A$14</f>
        <v>Full-time and sandwich year out</v>
      </c>
      <c r="C131" s="11" t="str">
        <f>'5_Planning'!B18</f>
        <v>PGT (Other)</v>
      </c>
      <c r="D131" s="1648"/>
      <c r="E131" s="1360"/>
      <c r="F131" s="1360"/>
      <c r="G131" s="1360"/>
      <c r="H131" s="1362"/>
      <c r="I131" s="1648"/>
      <c r="J131" s="1360"/>
      <c r="K131" s="1360"/>
      <c r="L131" s="1360"/>
      <c r="M131" s="1362"/>
      <c r="N131" s="1648" t="str">
        <f>IF(AND($F$9=1,'5_Planning'!R42&gt;SUM('5_Planning'!H42,'5_Planning'!M42)),N$103&amp;", "&amp;$B131&amp;", Level "&amp;$C131&amp;"; ","")</f>
        <v/>
      </c>
      <c r="O131" s="1360" t="str">
        <f>IF(AND($F$9=1,'5_Planning'!S42&gt;SUM('5_Planning'!I42,'5_Planning'!N42)),O$103&amp;", "&amp;$B131&amp;", Level "&amp;$C131&amp;"; ","")</f>
        <v/>
      </c>
      <c r="P131" s="1360" t="str">
        <f>IF(AND($F$9=1,'5_Planning'!T42&gt;SUM('5_Planning'!J42,'5_Planning'!O42)),P$103&amp;", "&amp;$B131&amp;", Level "&amp;$C131&amp;"; ","")</f>
        <v/>
      </c>
      <c r="Q131" s="1360" t="str">
        <f>IF(AND($F$9=1,'5_Planning'!U42&gt;SUM('5_Planning'!K42,'5_Planning'!P42)),Q$103&amp;", "&amp;$B131&amp;", Level "&amp;$C131&amp;"; ","")</f>
        <v/>
      </c>
      <c r="R131" s="1362" t="str">
        <f>IF(AND($F$9=1,'5_Planning'!V42&gt;SUM('5_Planning'!L42,'5_Planning'!Q42)),R$103&amp;", "&amp;$B131&amp;", Level "&amp;$C131&amp;"; ","")</f>
        <v/>
      </c>
      <c r="S131" s="1648"/>
      <c r="T131" s="1360"/>
      <c r="X131" s="17"/>
    </row>
    <row r="132" spans="2:24" x14ac:dyDescent="0.35">
      <c r="B132" s="118" t="str">
        <f>'5_Planning'!$A$14</f>
        <v>Full-time and sandwich year out</v>
      </c>
      <c r="C132" s="11" t="str">
        <f>'5_Planning'!B19</f>
        <v>PGR</v>
      </c>
      <c r="D132" s="1277"/>
      <c r="E132" s="505"/>
      <c r="F132" s="505"/>
      <c r="G132" s="505"/>
      <c r="H132" s="1363"/>
      <c r="I132" s="1277"/>
      <c r="J132" s="505"/>
      <c r="K132" s="505"/>
      <c r="L132" s="505"/>
      <c r="M132" s="1363"/>
      <c r="N132" s="1277" t="str">
        <f>IF(AND($F$9=1,'5_Planning'!R43&gt;SUM('5_Planning'!H43,'5_Planning'!M43)),N$103&amp;", "&amp;$B132&amp;", Level "&amp;$C132&amp;"; ","")</f>
        <v/>
      </c>
      <c r="O132" s="505" t="str">
        <f>IF(AND($F$9=1,'5_Planning'!S43&gt;SUM('5_Planning'!I43,'5_Planning'!N43)),O$103&amp;", "&amp;$B132&amp;", Level "&amp;$C132&amp;"; ","")</f>
        <v/>
      </c>
      <c r="P132" s="505" t="str">
        <f>IF(AND($F$9=1,'5_Planning'!T43&gt;SUM('5_Planning'!J43,'5_Planning'!O43)),P$103&amp;", "&amp;$B132&amp;", Level "&amp;$C132&amp;"; ","")</f>
        <v/>
      </c>
      <c r="Q132" s="505" t="str">
        <f>IF(AND($F$9=1,'5_Planning'!U43&gt;SUM('5_Planning'!K43,'5_Planning'!P43)),Q$103&amp;", "&amp;$B132&amp;", Level "&amp;$C132&amp;"; ","")</f>
        <v/>
      </c>
      <c r="R132" s="1363" t="str">
        <f>IF(AND($F$9=1,'5_Planning'!V43&gt;SUM('5_Planning'!L43,'5_Planning'!Q43)),R$103&amp;", "&amp;$B132&amp;", Level "&amp;$C132&amp;"; ","")</f>
        <v/>
      </c>
      <c r="S132" s="1648"/>
      <c r="T132" s="1360"/>
      <c r="X132" s="17"/>
    </row>
    <row r="133" spans="2:24" x14ac:dyDescent="0.35">
      <c r="B133" s="118" t="str">
        <f>'5_Planning'!$A$20</f>
        <v>Part-time</v>
      </c>
      <c r="C133" s="11" t="str">
        <f>'5_Planning'!B20</f>
        <v>UG (Level 4 and 5)</v>
      </c>
      <c r="D133" s="1648"/>
      <c r="E133" s="1360"/>
      <c r="F133" s="1360"/>
      <c r="G133" s="1360"/>
      <c r="H133" s="1362"/>
      <c r="I133" s="1648"/>
      <c r="J133" s="1360"/>
      <c r="K133" s="1360"/>
      <c r="L133" s="1360"/>
      <c r="M133" s="1362"/>
      <c r="N133" s="1648" t="str">
        <f>IF(AND($F$9=1,'5_Planning'!R44&gt;SUM('5_Planning'!H44,'5_Planning'!M44)),N$103&amp;", "&amp;$B133&amp;", Level "&amp;$C133&amp;"; ","")</f>
        <v/>
      </c>
      <c r="O133" s="1360" t="str">
        <f>IF(AND($F$9=1,'5_Planning'!S44&gt;SUM('5_Planning'!I44,'5_Planning'!N44)),O$103&amp;", "&amp;$B133&amp;", Level "&amp;$C133&amp;"; ","")</f>
        <v/>
      </c>
      <c r="P133" s="1360" t="str">
        <f>IF(AND($F$9=1,'5_Planning'!T44&gt;SUM('5_Planning'!J44,'5_Planning'!O44)),P$103&amp;", "&amp;$B133&amp;", Level "&amp;$C133&amp;"; ","")</f>
        <v/>
      </c>
      <c r="Q133" s="1360" t="str">
        <f>IF(AND($F$9=1,'5_Planning'!U44&gt;SUM('5_Planning'!K44,'5_Planning'!P44)),Q$103&amp;", "&amp;$B133&amp;", Level "&amp;$C133&amp;"; ","")</f>
        <v/>
      </c>
      <c r="R133" s="1362" t="str">
        <f>IF(AND($F$9=1,'5_Planning'!V44&gt;SUM('5_Planning'!L44,'5_Planning'!Q44)),R$103&amp;", "&amp;$B133&amp;", Level "&amp;$C133&amp;"; ","")</f>
        <v/>
      </c>
      <c r="S133" s="1842" t="str">
        <f>IF(AND($G$9=1,'5_Planning'!W20&gt;SUM('5_Planning'!H20:I20,'5_Planning'!M20:N20)),S$126&amp;", "&amp;$B133&amp;", Level "&amp;$C133&amp;"; ","")</f>
        <v/>
      </c>
      <c r="T133" s="185" t="str">
        <f>IF(AND($G$9=1,'5_Planning'!X20&gt;SUM('5_Planning'!J20:K20,'5_Planning'!O20:P20)),T$126&amp;", "&amp;$B133&amp;", Level "&amp;$C133&amp;"; ","")</f>
        <v/>
      </c>
      <c r="X133" s="17"/>
    </row>
    <row r="134" spans="2:24" x14ac:dyDescent="0.35">
      <c r="B134" s="118" t="str">
        <f>'5_Planning'!$A$20</f>
        <v>Part-time</v>
      </c>
      <c r="C134" s="11" t="str">
        <f>'5_Planning'!B21</f>
        <v>UG (Other)</v>
      </c>
      <c r="D134" s="1648"/>
      <c r="E134" s="1360"/>
      <c r="F134" s="1360"/>
      <c r="G134" s="1360"/>
      <c r="H134" s="1362"/>
      <c r="I134" s="1648"/>
      <c r="J134" s="1360"/>
      <c r="K134" s="1360"/>
      <c r="L134" s="1360"/>
      <c r="M134" s="1362"/>
      <c r="N134" s="1648" t="str">
        <f>IF(AND($F$9=1,'5_Planning'!R45&gt;SUM('5_Planning'!H45,'5_Planning'!M45)),N$103&amp;", "&amp;$B134&amp;", Level "&amp;$C134&amp;"; ","")</f>
        <v/>
      </c>
      <c r="O134" s="1360" t="str">
        <f>IF(AND($F$9=1,'5_Planning'!S45&gt;SUM('5_Planning'!I45,'5_Planning'!N45)),O$103&amp;", "&amp;$B134&amp;", Level "&amp;$C134&amp;"; ","")</f>
        <v/>
      </c>
      <c r="P134" s="1360" t="str">
        <f>IF(AND($F$9=1,'5_Planning'!T45&gt;SUM('5_Planning'!J45,'5_Planning'!O45)),P$103&amp;", "&amp;$B134&amp;", Level "&amp;$C134&amp;"; ","")</f>
        <v/>
      </c>
      <c r="Q134" s="1360" t="str">
        <f>IF(AND($F$9=1,'5_Planning'!U45&gt;SUM('5_Planning'!K45,'5_Planning'!P45)),Q$103&amp;", "&amp;$B134&amp;", Level "&amp;$C134&amp;"; ","")</f>
        <v/>
      </c>
      <c r="R134" s="1362" t="str">
        <f>IF(AND($F$9=1,'5_Planning'!V45&gt;SUM('5_Planning'!L45,'5_Planning'!Q45)),R$103&amp;", "&amp;$B134&amp;", Level "&amp;$C134&amp;"; ","")</f>
        <v/>
      </c>
      <c r="S134" s="1648" t="str">
        <f>IF(AND($C$9=1,TRUNC('5_Planning'!W112)&lt;&gt;'5_Planning'!W112), S$35&amp;", "&amp;S$36&amp;", "&amp;$B134&amp;", Level "&amp;$C134&amp;"; ","")</f>
        <v/>
      </c>
      <c r="T134" s="1360" t="str">
        <f>IF(AND($C$9=1,TRUNC('5_Planning'!X112)&lt;&gt;'5_Planning'!X112), T$35&amp;", "&amp;T$36&amp;", "&amp;$B134&amp;", Level "&amp;$C134&amp;"; ","")</f>
        <v/>
      </c>
      <c r="X134" s="17"/>
    </row>
    <row r="135" spans="2:24" x14ac:dyDescent="0.35">
      <c r="B135" s="118" t="str">
        <f>'5_Planning'!$A$20</f>
        <v>Part-time</v>
      </c>
      <c r="C135" s="11" t="str">
        <f>'5_Planning'!B22</f>
        <v>PGT (UG fee)</v>
      </c>
      <c r="D135" s="1648"/>
      <c r="E135" s="1360"/>
      <c r="F135" s="1360"/>
      <c r="G135" s="1360"/>
      <c r="H135" s="1362"/>
      <c r="I135" s="1648"/>
      <c r="J135" s="1360"/>
      <c r="K135" s="1360"/>
      <c r="L135" s="1360"/>
      <c r="M135" s="1362"/>
      <c r="N135" s="1648" t="str">
        <f>IF(AND($F$9=1,'5_Planning'!R46&gt;SUM('5_Planning'!H46,'5_Planning'!M46)),N$103&amp;", "&amp;$B135&amp;", Level "&amp;$C135&amp;"; ","")</f>
        <v/>
      </c>
      <c r="O135" s="1360" t="str">
        <f>IF(AND($F$9=1,'5_Planning'!S46&gt;SUM('5_Planning'!I46,'5_Planning'!N46)),O$103&amp;", "&amp;$B135&amp;", Level "&amp;$C135&amp;"; ","")</f>
        <v/>
      </c>
      <c r="P135" s="1360" t="str">
        <f>IF(AND($F$9=1,'5_Planning'!T46&gt;SUM('5_Planning'!J46,'5_Planning'!O46)),P$103&amp;", "&amp;$B135&amp;", Level "&amp;$C135&amp;"; ","")</f>
        <v/>
      </c>
      <c r="Q135" s="1360" t="str">
        <f>IF(AND($F$9=1,'5_Planning'!U46&gt;SUM('5_Planning'!K46,'5_Planning'!P46)),Q$103&amp;", "&amp;$B135&amp;", Level "&amp;$C135&amp;"; ","")</f>
        <v/>
      </c>
      <c r="R135" s="1362" t="str">
        <f>IF(AND($F$9=1,'5_Planning'!V46&gt;SUM('5_Planning'!L46,'5_Planning'!Q46)),R$103&amp;", "&amp;$B135&amp;", Level "&amp;$C135&amp;"; ","")</f>
        <v/>
      </c>
      <c r="S135" s="1648" t="str">
        <f>IF(AND($C$9=1,TRUNC('5_Planning'!W113)&lt;&gt;'5_Planning'!W113), S$35&amp;", "&amp;S$36&amp;", "&amp;$B135&amp;", Level "&amp;$C135&amp;"; ","")</f>
        <v/>
      </c>
      <c r="T135" s="1360" t="str">
        <f>IF(AND($C$9=1,TRUNC('5_Planning'!X113)&lt;&gt;'5_Planning'!X113), T$35&amp;", "&amp;T$36&amp;", "&amp;$B135&amp;", Level "&amp;$C135&amp;"; ","")</f>
        <v/>
      </c>
      <c r="X135" s="17"/>
    </row>
    <row r="136" spans="2:24" x14ac:dyDescent="0.35">
      <c r="B136" s="118" t="str">
        <f>'5_Planning'!$A$20</f>
        <v>Part-time</v>
      </c>
      <c r="C136" s="11" t="str">
        <f>'5_Planning'!B23</f>
        <v>PGT (Masters' loan)</v>
      </c>
      <c r="D136" s="1648"/>
      <c r="E136" s="1360"/>
      <c r="F136" s="1360"/>
      <c r="G136" s="1360"/>
      <c r="H136" s="1362"/>
      <c r="I136" s="1648"/>
      <c r="J136" s="1360"/>
      <c r="K136" s="1360"/>
      <c r="L136" s="1360"/>
      <c r="M136" s="1362"/>
      <c r="N136" s="1648" t="str">
        <f>IF(AND($F$9=1,'5_Planning'!R47&gt;SUM('5_Planning'!H47,'5_Planning'!M47)),N$103&amp;", "&amp;$B136&amp;", Level "&amp;$C136&amp;"; ","")</f>
        <v/>
      </c>
      <c r="O136" s="1360" t="str">
        <f>IF(AND($F$9=1,'5_Planning'!S47&gt;SUM('5_Planning'!I47,'5_Planning'!N47)),O$103&amp;", "&amp;$B136&amp;", Level "&amp;$C136&amp;"; ","")</f>
        <v/>
      </c>
      <c r="P136" s="1360" t="str">
        <f>IF(AND($F$9=1,'5_Planning'!T47&gt;SUM('5_Planning'!J47,'5_Planning'!O47)),P$103&amp;", "&amp;$B136&amp;", Level "&amp;$C136&amp;"; ","")</f>
        <v/>
      </c>
      <c r="Q136" s="1360" t="str">
        <f>IF(AND($F$9=1,'5_Planning'!U47&gt;SUM('5_Planning'!K47,'5_Planning'!P47)),Q$103&amp;", "&amp;$B136&amp;", Level "&amp;$C136&amp;"; ","")</f>
        <v/>
      </c>
      <c r="R136" s="1362" t="str">
        <f>IF(AND($F$9=1,'5_Planning'!V47&gt;SUM('5_Planning'!L47,'5_Planning'!Q47)),R$103&amp;", "&amp;$B136&amp;", Level "&amp;$C136&amp;"; ","")</f>
        <v/>
      </c>
      <c r="S136" s="1648" t="str">
        <f>IF(AND($C$9=1,TRUNC('5_Planning'!W114)&lt;&gt;'5_Planning'!W114), S$35&amp;", "&amp;S$36&amp;", "&amp;$B136&amp;", Level "&amp;$C136&amp;"; ","")</f>
        <v/>
      </c>
      <c r="T136" s="1360" t="str">
        <f>IF(AND($C$9=1,TRUNC('5_Planning'!X114)&lt;&gt;'5_Planning'!X114), T$35&amp;", "&amp;T$36&amp;", "&amp;$B136&amp;", Level "&amp;$C136&amp;"; ","")</f>
        <v/>
      </c>
      <c r="X136" s="17"/>
    </row>
    <row r="137" spans="2:24" x14ac:dyDescent="0.35">
      <c r="B137" s="118" t="str">
        <f>'5_Planning'!$A$20</f>
        <v>Part-time</v>
      </c>
      <c r="C137" s="11" t="str">
        <f>'5_Planning'!B24</f>
        <v>PGT (Other)</v>
      </c>
      <c r="D137" s="1648"/>
      <c r="E137" s="1360"/>
      <c r="F137" s="1360"/>
      <c r="G137" s="1360"/>
      <c r="H137" s="1362"/>
      <c r="I137" s="1648"/>
      <c r="J137" s="1360"/>
      <c r="K137" s="1360"/>
      <c r="L137" s="1360"/>
      <c r="M137" s="1362"/>
      <c r="N137" s="1648" t="str">
        <f>IF(AND($F$9=1,'5_Planning'!R48&gt;SUM('5_Planning'!H48,'5_Planning'!M48)),N$103&amp;", "&amp;$B137&amp;", Level "&amp;$C137&amp;"; ","")</f>
        <v/>
      </c>
      <c r="O137" s="1360" t="str">
        <f>IF(AND($F$9=1,'5_Planning'!S48&gt;SUM('5_Planning'!I48,'5_Planning'!N48)),O$103&amp;", "&amp;$B137&amp;", Level "&amp;$C137&amp;"; ","")</f>
        <v/>
      </c>
      <c r="P137" s="1360" t="str">
        <f>IF(AND($F$9=1,'5_Planning'!T48&gt;SUM('5_Planning'!J48,'5_Planning'!O48)),P$103&amp;", "&amp;$B137&amp;", Level "&amp;$C137&amp;"; ","")</f>
        <v/>
      </c>
      <c r="Q137" s="1360" t="str">
        <f>IF(AND($F$9=1,'5_Planning'!U48&gt;SUM('5_Planning'!K48,'5_Planning'!P48)),Q$103&amp;", "&amp;$B137&amp;", Level "&amp;$C137&amp;"; ","")</f>
        <v/>
      </c>
      <c r="R137" s="1362" t="str">
        <f>IF(AND($F$9=1,'5_Planning'!V48&gt;SUM('5_Planning'!L48,'5_Planning'!Q48)),R$103&amp;", "&amp;$B137&amp;", Level "&amp;$C137&amp;"; ","")</f>
        <v/>
      </c>
      <c r="S137" s="1648" t="str">
        <f>IF(AND($C$9=1,TRUNC('5_Planning'!W115)&lt;&gt;'5_Planning'!W115), S$35&amp;", "&amp;S$36&amp;", "&amp;$B137&amp;", Level "&amp;$C137&amp;"; ","")</f>
        <v/>
      </c>
      <c r="T137" s="1360" t="str">
        <f>IF(AND($C$9=1,TRUNC('5_Planning'!X115)&lt;&gt;'5_Planning'!X115), T$35&amp;", "&amp;T$36&amp;", "&amp;$B137&amp;", Level "&amp;$C137&amp;"; ","")</f>
        <v/>
      </c>
      <c r="X137" s="17"/>
    </row>
    <row r="138" spans="2:24" x14ac:dyDescent="0.35">
      <c r="B138" s="118" t="str">
        <f>'5_Planning'!$A$20</f>
        <v>Part-time</v>
      </c>
      <c r="C138" s="11" t="str">
        <f>'5_Planning'!B25</f>
        <v>PGR</v>
      </c>
      <c r="D138" s="1277"/>
      <c r="E138" s="505"/>
      <c r="F138" s="505"/>
      <c r="G138" s="505"/>
      <c r="H138" s="1363"/>
      <c r="I138" s="1277"/>
      <c r="J138" s="505"/>
      <c r="K138" s="505"/>
      <c r="L138" s="505"/>
      <c r="M138" s="1363"/>
      <c r="N138" s="1277" t="str">
        <f>IF(AND($F$9=1,'5_Planning'!R49&gt;SUM('5_Planning'!H49,'5_Planning'!M49)),N$103&amp;", "&amp;$B138&amp;", Level "&amp;$C138&amp;"; ","")</f>
        <v/>
      </c>
      <c r="O138" s="505" t="str">
        <f>IF(AND($F$9=1,'5_Planning'!S49&gt;SUM('5_Planning'!I49,'5_Planning'!N49)),O$103&amp;", "&amp;$B138&amp;", Level "&amp;$C138&amp;"; ","")</f>
        <v/>
      </c>
      <c r="P138" s="505" t="str">
        <f>IF(AND($F$9=1,'5_Planning'!T49&gt;SUM('5_Planning'!J49,'5_Planning'!O49)),P$103&amp;", "&amp;$B138&amp;", Level "&amp;$C138&amp;"; ","")</f>
        <v/>
      </c>
      <c r="Q138" s="505" t="str">
        <f>IF(AND($F$9=1,'5_Planning'!U49&gt;SUM('5_Planning'!K49,'5_Planning'!P49)),Q$103&amp;", "&amp;$B138&amp;", Level "&amp;$C138&amp;"; ","")</f>
        <v/>
      </c>
      <c r="R138" s="1363" t="str">
        <f>IF(AND($F$9=1,'5_Planning'!V49&gt;SUM('5_Planning'!L49,'5_Planning'!Q49)),R$103&amp;", "&amp;$B138&amp;", Level "&amp;$C138&amp;"; ","")</f>
        <v/>
      </c>
      <c r="S138" s="1277"/>
      <c r="T138" s="505"/>
      <c r="X138" s="17"/>
    </row>
    <row r="139" spans="2:24" x14ac:dyDescent="0.35">
      <c r="B139" s="118"/>
      <c r="X139" s="17"/>
    </row>
    <row r="140" spans="2:24" x14ac:dyDescent="0.35">
      <c r="B140" s="118"/>
      <c r="D140" s="1864"/>
      <c r="E140" s="1864"/>
      <c r="F140" s="1864"/>
      <c r="G140" s="1864"/>
      <c r="H140" s="1865"/>
      <c r="I140" s="1864"/>
      <c r="J140" s="1864"/>
      <c r="K140" s="1864"/>
      <c r="L140" s="1864"/>
      <c r="M140" s="1865"/>
      <c r="N140" s="1864"/>
      <c r="O140" s="1864"/>
      <c r="P140" s="1864"/>
      <c r="Q140" s="1864"/>
      <c r="R140" s="1865"/>
      <c r="S140" s="1835" t="str">
        <f>CONCATENATE(S127,S133)</f>
        <v/>
      </c>
      <c r="T140" s="1826" t="str">
        <f>CONCATENATE(T127,T133)</f>
        <v/>
      </c>
      <c r="X140" s="17"/>
    </row>
    <row r="141" spans="2:24" x14ac:dyDescent="0.35">
      <c r="B141" s="118"/>
      <c r="X141" s="17"/>
    </row>
    <row r="142" spans="2:24" x14ac:dyDescent="0.35">
      <c r="B142" s="118"/>
      <c r="D142" s="1865"/>
      <c r="I142" s="1865"/>
      <c r="N142" s="1865"/>
      <c r="S142" s="1825" t="str">
        <f>S140&amp;T140&amp;U140&amp;V140&amp;W140</f>
        <v/>
      </c>
      <c r="X142" s="17"/>
    </row>
    <row r="143" spans="2:24" x14ac:dyDescent="0.35">
      <c r="B143" s="118"/>
      <c r="X143" s="17"/>
    </row>
    <row r="144" spans="2:24" x14ac:dyDescent="0.35">
      <c r="B144" s="118"/>
      <c r="D144" s="1826" t="str">
        <f>S142</f>
        <v/>
      </c>
      <c r="X144" s="17"/>
    </row>
    <row r="145" spans="2:24" x14ac:dyDescent="0.35">
      <c r="B145" s="119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25"/>
    </row>
    <row r="146" spans="2:24" x14ac:dyDescent="0.35">
      <c r="E146" s="203" t="s">
        <v>27825</v>
      </c>
      <c r="F146" s="128"/>
      <c r="G146" s="128"/>
      <c r="H146" s="128" t="s">
        <v>27775</v>
      </c>
      <c r="I146" s="128"/>
      <c r="J146" s="129"/>
    </row>
    <row r="147" spans="2:24" x14ac:dyDescent="0.35">
      <c r="E147" s="130"/>
      <c r="G147" s="11" t="s">
        <v>27826</v>
      </c>
      <c r="H147" s="1826" t="str">
        <f>IF(AND($K$9=1,SUM('5_Planning'!$H$26:$Q$26)&gt;0,SUM('5_Planning'!$R$26:$V$26)=0),"All UG levels: No new entrants have been recorded; ","")</f>
        <v/>
      </c>
      <c r="I147" s="11" t="s">
        <v>27827</v>
      </c>
      <c r="J147" s="1826" t="str">
        <f>IF(AND($K$9=1,SUM('5_Planning'!$H$27:$Q$27)&gt;0,SUM('5_Planning'!$R$27:$V$27)=0),"All PG levels: No new entrants have been recorded; ","")</f>
        <v/>
      </c>
    </row>
    <row r="148" spans="2:24" x14ac:dyDescent="0.35">
      <c r="E148" s="130"/>
      <c r="G148" s="11"/>
      <c r="H148" s="1838"/>
      <c r="I148" s="11"/>
      <c r="K148" s="130"/>
      <c r="Q148" s="11"/>
    </row>
    <row r="149" spans="2:24" x14ac:dyDescent="0.35">
      <c r="E149" s="130"/>
      <c r="F149" s="11"/>
      <c r="H149" s="1866" t="str">
        <f>CONCATENATE(H147,J147)</f>
        <v/>
      </c>
      <c r="I149" s="1593"/>
      <c r="K149" s="130"/>
    </row>
    <row r="150" spans="2:24" x14ac:dyDescent="0.35">
      <c r="E150" s="130"/>
      <c r="J150" s="131"/>
      <c r="Q150" s="7"/>
      <c r="R150" s="7"/>
      <c r="S150" s="7"/>
      <c r="T150" s="7"/>
      <c r="U150" s="7"/>
      <c r="V150" s="7"/>
    </row>
    <row r="151" spans="2:24" x14ac:dyDescent="0.35">
      <c r="E151" s="127"/>
      <c r="F151" s="128"/>
      <c r="G151" s="128"/>
      <c r="H151" s="128" t="s">
        <v>27775</v>
      </c>
      <c r="I151" s="128"/>
      <c r="J151" s="129"/>
      <c r="Q151" s="7"/>
      <c r="R151" s="7"/>
      <c r="S151" s="7"/>
      <c r="T151" s="7"/>
      <c r="U151" s="7"/>
      <c r="V151" s="7"/>
    </row>
    <row r="152" spans="2:24" ht="51" x14ac:dyDescent="0.35">
      <c r="E152" s="342" t="s">
        <v>27828</v>
      </c>
      <c r="F152" s="592"/>
      <c r="G152" s="11" t="s">
        <v>27826</v>
      </c>
      <c r="H152" s="1826" t="str">
        <f>IF(AND($L$9=1,SUM('5_Planning'!$H$26:$Q$26)&gt;0,SUM('5_Planning'!$R$26:$V$26)=SUM('5_Planning'!$H$26:$Q$26)),"All UG levels: All students have been recorded as new entrants; ","")</f>
        <v/>
      </c>
      <c r="I152" s="11" t="s">
        <v>27827</v>
      </c>
      <c r="J152" s="1826" t="str">
        <f>IF(AND($L$9=1,SUM('5_Planning'!$H$27:$Q$27)&gt;0,SUM('5_Planning'!$R$27:$V$27)=SUM('5_Planning'!$H$27:$Q$27)),"All PG levels: All students have been recorded as new entrants; ","")</f>
        <v/>
      </c>
      <c r="Q152" s="7"/>
      <c r="R152" s="7"/>
      <c r="S152" s="7"/>
      <c r="T152" s="7"/>
      <c r="U152" s="7"/>
      <c r="V152" s="7"/>
    </row>
    <row r="153" spans="2:24" x14ac:dyDescent="0.35">
      <c r="E153" s="342"/>
      <c r="F153" s="592"/>
      <c r="Q153" s="7"/>
      <c r="R153" s="7"/>
      <c r="S153" s="7"/>
      <c r="T153" s="7"/>
      <c r="U153" s="7"/>
      <c r="V153" s="7"/>
    </row>
    <row r="154" spans="2:24" x14ac:dyDescent="0.35">
      <c r="E154" s="130"/>
      <c r="H154" s="1867" t="str">
        <f>CONCATENATE(H152,J152)</f>
        <v/>
      </c>
      <c r="L154" s="184"/>
      <c r="Q154" s="7"/>
      <c r="R154" s="7"/>
      <c r="S154" s="7"/>
      <c r="T154" s="7"/>
      <c r="U154" s="7"/>
      <c r="V154" s="7"/>
    </row>
    <row r="155" spans="2:24" x14ac:dyDescent="0.35">
      <c r="E155" s="130"/>
      <c r="J155" s="131"/>
      <c r="L155" s="184"/>
      <c r="Q155" s="7"/>
      <c r="R155" s="7"/>
      <c r="S155" s="7"/>
      <c r="T155" s="7"/>
      <c r="U155" s="7"/>
      <c r="V155" s="7"/>
    </row>
    <row r="156" spans="2:24" x14ac:dyDescent="0.35">
      <c r="E156" s="132"/>
      <c r="F156" s="133"/>
      <c r="G156" s="133"/>
      <c r="H156" s="133"/>
      <c r="I156" s="133"/>
      <c r="J156" s="134"/>
      <c r="Q156" s="7"/>
      <c r="R156" s="7"/>
      <c r="S156" s="7"/>
      <c r="T156" s="7"/>
      <c r="U156" s="7"/>
      <c r="V156" s="7"/>
    </row>
    <row r="157" spans="2:24" x14ac:dyDescent="0.35">
      <c r="E157" s="127"/>
      <c r="F157" s="128"/>
      <c r="G157" s="128"/>
      <c r="H157" s="128"/>
      <c r="I157" s="128"/>
      <c r="J157" s="129"/>
      <c r="Q157" s="7"/>
      <c r="R157" s="7"/>
      <c r="S157" s="7"/>
      <c r="T157" s="7"/>
      <c r="U157" s="7"/>
      <c r="V157" s="7"/>
    </row>
    <row r="158" spans="2:24" x14ac:dyDescent="0.35">
      <c r="E158" s="203" t="s">
        <v>27829</v>
      </c>
      <c r="I158" s="173" t="s">
        <v>27739</v>
      </c>
      <c r="J158" s="131"/>
      <c r="L158" s="3"/>
      <c r="Q158" s="7"/>
      <c r="R158" s="7"/>
      <c r="S158" s="7"/>
      <c r="T158" s="7"/>
      <c r="U158" s="7"/>
      <c r="V158" s="7"/>
    </row>
    <row r="159" spans="2:24" x14ac:dyDescent="0.35">
      <c r="E159" s="130"/>
      <c r="F159" s="3">
        <v>100</v>
      </c>
      <c r="G159" s="204">
        <v>70</v>
      </c>
      <c r="H159" s="1867" t="str">
        <f>IF(AND($M$9=1,SUM('5_Planning'!H14:K15,'5_Planning'!M14:P15)&gt;=$F$159),IF(I159&gt;=$G$159,"Section B: New entrants, All UG levels is "&amp;I159&amp;"% of Section A: All years; ",""),"")</f>
        <v/>
      </c>
      <c r="I159" s="1868" t="str">
        <f>IF(SUM('5_Planning'!H14:K15,'5_Planning'!M14:P15)&gt;0,ROUND(SUM('5_Planning'!R14:U15)/SUM('5_Planning'!H14:K15,'5_Planning'!M14:P15),4)*100,"")</f>
        <v/>
      </c>
      <c r="J159" s="131"/>
      <c r="L159" s="53"/>
    </row>
    <row r="160" spans="2:24" x14ac:dyDescent="0.35">
      <c r="E160" s="132"/>
      <c r="F160" s="206"/>
      <c r="G160" s="133"/>
      <c r="H160" s="133"/>
      <c r="I160" s="133"/>
      <c r="J160" s="134"/>
      <c r="K160" s="207"/>
      <c r="L160" s="518"/>
    </row>
    <row r="161" spans="5:12" x14ac:dyDescent="0.35">
      <c r="E161" s="127"/>
      <c r="F161" s="128"/>
      <c r="G161" s="128"/>
      <c r="H161" s="128"/>
      <c r="I161" s="128"/>
      <c r="J161" s="129"/>
      <c r="L161" s="518"/>
    </row>
    <row r="162" spans="5:12" x14ac:dyDescent="0.35">
      <c r="E162" s="203" t="s">
        <v>27830</v>
      </c>
      <c r="I162" s="173" t="s">
        <v>27739</v>
      </c>
      <c r="J162" s="131"/>
      <c r="L162" s="518"/>
    </row>
    <row r="163" spans="5:12" x14ac:dyDescent="0.35">
      <c r="E163" s="130"/>
      <c r="F163" s="3">
        <v>100</v>
      </c>
      <c r="G163" s="204">
        <v>25</v>
      </c>
      <c r="H163" s="1867" t="str">
        <f>IF(AND($N$9=1,SUM('5_Planning'!H14:K15,'5_Planning'!M14:P15)&gt;=$F$163),IF($I$163&lt;=$G$163,"Section B: New entrants, All UG levels is "&amp;I163&amp;"% of Section A: All years; ",""),"")</f>
        <v/>
      </c>
      <c r="I163" s="1868" t="str">
        <f>IF(SUM('5_Planning'!H14:K15,'5_Planning'!M14:P15)&gt;0,ROUND(SUM('5_Planning'!R14:U15)/SUM('5_Planning'!H14:K15,'5_Planning'!M14:P15),4)*100,"")</f>
        <v/>
      </c>
      <c r="J163" s="131"/>
      <c r="L163" s="53"/>
    </row>
    <row r="164" spans="5:12" x14ac:dyDescent="0.35">
      <c r="E164" s="132"/>
      <c r="F164" s="206"/>
      <c r="G164" s="133"/>
      <c r="H164" s="133"/>
      <c r="I164" s="133"/>
      <c r="J164" s="134"/>
      <c r="K164" s="207"/>
      <c r="L164" s="518"/>
    </row>
    <row r="165" spans="5:12" x14ac:dyDescent="0.35">
      <c r="E165" s="127"/>
      <c r="F165" s="128"/>
      <c r="G165" s="128"/>
      <c r="H165" s="128"/>
      <c r="I165" s="128"/>
      <c r="J165" s="129"/>
      <c r="L165" s="208"/>
    </row>
    <row r="166" spans="5:12" x14ac:dyDescent="0.35">
      <c r="E166" s="203" t="s">
        <v>27831</v>
      </c>
      <c r="I166" s="173" t="s">
        <v>27739</v>
      </c>
      <c r="J166" s="131"/>
      <c r="K166" s="41"/>
      <c r="L166" s="208"/>
    </row>
    <row r="167" spans="5:12" x14ac:dyDescent="0.35">
      <c r="E167" s="130"/>
      <c r="F167" s="40">
        <v>100</v>
      </c>
      <c r="G167" s="204">
        <v>50</v>
      </c>
      <c r="H167" s="1867" t="str">
        <f>IF(AND($O$9=1,SUM('5_Planning'!H16:K18,'5_Planning'!M16:P18)&gt;=$F$167),IF(I167&lt;=$G$167,"Section B: New entrants, All PGT levels is "&amp;I167&amp;"% of Section A: All years; ",""),"")</f>
        <v/>
      </c>
      <c r="I167" s="1869" t="str">
        <f>IF(SUM('5_Planning'!H16:K18,'5_Planning'!M16:P18)&gt;0,ROUND(SUM('5_Planning'!R16:U18)/SUM('5_Planning'!H16:K18,'5_Planning'!M16:P18),4)*100,"")</f>
        <v/>
      </c>
      <c r="J167" s="131"/>
      <c r="L167" s="205"/>
    </row>
    <row r="168" spans="5:12" x14ac:dyDescent="0.35">
      <c r="E168" s="132"/>
      <c r="F168" s="206"/>
      <c r="G168" s="133"/>
      <c r="H168" s="133"/>
      <c r="I168" s="133"/>
      <c r="J168" s="134"/>
      <c r="L168" s="208"/>
    </row>
    <row r="169" spans="5:12" x14ac:dyDescent="0.35">
      <c r="E169" s="127"/>
      <c r="F169" s="128"/>
      <c r="G169" s="128"/>
      <c r="H169" s="128"/>
      <c r="I169" s="128"/>
      <c r="J169" s="129"/>
      <c r="L169" s="208"/>
    </row>
    <row r="170" spans="5:12" x14ac:dyDescent="0.35">
      <c r="E170" s="203" t="s">
        <v>27832</v>
      </c>
      <c r="I170" s="173" t="s">
        <v>27739</v>
      </c>
      <c r="J170" s="131"/>
      <c r="L170" s="205"/>
    </row>
    <row r="171" spans="5:12" x14ac:dyDescent="0.35">
      <c r="E171" s="130"/>
      <c r="F171" s="3">
        <v>100</v>
      </c>
      <c r="G171" s="204">
        <v>70</v>
      </c>
      <c r="H171" s="1867" t="str">
        <f>IF(AND($P$9=1,SUM('5_Planning'!H20:K21,'5_Planning'!M20:P21)&gt;=$F$171),IF(I171&gt;=$G$171,"Section B: New entrants, All UG levels is "&amp;I171&amp;"% of Section A: All years; ",""),"")</f>
        <v/>
      </c>
      <c r="I171" s="1868" t="str">
        <f>IF(SUM('5_Planning'!H20:K21,'5_Planning'!M20:P21)&gt;0,ROUND(SUM('5_Planning'!R20:U21)/SUM('5_Planning'!H20:K21,'5_Planning'!M20:P21),4)*100,"")</f>
        <v/>
      </c>
      <c r="J171" s="131"/>
    </row>
    <row r="172" spans="5:12" x14ac:dyDescent="0.35">
      <c r="E172" s="132"/>
      <c r="F172" s="206"/>
      <c r="G172" s="133"/>
      <c r="H172" s="133"/>
      <c r="I172" s="133"/>
      <c r="J172" s="134"/>
    </row>
    <row r="173" spans="5:12" x14ac:dyDescent="0.35">
      <c r="E173" s="127"/>
      <c r="F173" s="128"/>
      <c r="G173" s="128"/>
      <c r="H173" s="128"/>
      <c r="I173" s="128"/>
      <c r="J173" s="129"/>
    </row>
    <row r="174" spans="5:12" x14ac:dyDescent="0.35">
      <c r="E174" s="203" t="s">
        <v>27833</v>
      </c>
      <c r="I174" s="173" t="s">
        <v>27739</v>
      </c>
      <c r="J174" s="131"/>
    </row>
    <row r="175" spans="5:12" x14ac:dyDescent="0.35">
      <c r="E175" s="130"/>
      <c r="F175" s="3">
        <v>100</v>
      </c>
      <c r="G175" s="204">
        <v>15</v>
      </c>
      <c r="H175" s="1867" t="str">
        <f>IF(AND($Q$9=1,SUM('5_Planning'!H20:K21,'5_Planning'!M20:P21)&gt;=$F$175),IF(I175&lt;=$G$175,"Section B: New entrants, All UG levels is "&amp;I175&amp;"% of Section A: All years; ",""),"")</f>
        <v/>
      </c>
      <c r="I175" s="1868" t="str">
        <f>IF(SUM('5_Planning'!H20:K21,'5_Planning'!M20:P21)&gt;0,ROUND(SUM('5_Planning'!R20:U21)/SUM('5_Planning'!H20:K21,'5_Planning'!M20:P21),4)*100,"")</f>
        <v/>
      </c>
      <c r="J175" s="131"/>
    </row>
    <row r="176" spans="5:12" x14ac:dyDescent="0.35">
      <c r="E176" s="132"/>
      <c r="F176" s="206"/>
      <c r="G176" s="133"/>
      <c r="H176" s="133"/>
      <c r="I176" s="133"/>
      <c r="J176" s="134"/>
    </row>
    <row r="177" spans="5:10" x14ac:dyDescent="0.35">
      <c r="E177" s="127"/>
      <c r="F177" s="128"/>
      <c r="G177" s="128"/>
      <c r="H177" s="128"/>
      <c r="I177" s="128"/>
      <c r="J177" s="129"/>
    </row>
    <row r="178" spans="5:10" x14ac:dyDescent="0.35">
      <c r="E178" s="203" t="s">
        <v>27834</v>
      </c>
      <c r="I178" s="173" t="s">
        <v>27739</v>
      </c>
      <c r="J178" s="131"/>
    </row>
    <row r="179" spans="5:10" x14ac:dyDescent="0.35">
      <c r="E179" s="130"/>
      <c r="F179" s="40">
        <v>100</v>
      </c>
      <c r="G179" s="204">
        <v>70</v>
      </c>
      <c r="H179" s="1867" t="str">
        <f>IF(AND($R$9=1,SUM('5_Planning'!H22:K24,'5_Planning'!M22:P24)&gt;=$F$179),IF(I179&gt;=$G$179,"Section B: New entrants, All PGT levels is "&amp;I179&amp;"% of Section A: All years; ",""),"")</f>
        <v/>
      </c>
      <c r="I179" s="1826" t="str">
        <f>IF(SUM('5_Planning'!H22:K24,'5_Planning'!M22:P24)&gt;0,ROUND(SUM('5_Planning'!R22:U24)/SUM('5_Planning'!H22:K24,'5_Planning'!M22:P24),4)*100,"")</f>
        <v/>
      </c>
      <c r="J179" s="131"/>
    </row>
    <row r="180" spans="5:10" x14ac:dyDescent="0.35">
      <c r="E180" s="132"/>
      <c r="F180" s="206"/>
      <c r="G180" s="133"/>
      <c r="H180" s="133"/>
      <c r="I180" s="133"/>
      <c r="J180" s="134"/>
    </row>
    <row r="181" spans="5:10" x14ac:dyDescent="0.35">
      <c r="E181" s="127"/>
      <c r="F181" s="128"/>
      <c r="G181" s="128"/>
      <c r="H181" s="128"/>
      <c r="I181" s="128"/>
      <c r="J181" s="129"/>
    </row>
    <row r="182" spans="5:10" x14ac:dyDescent="0.35">
      <c r="E182" s="203" t="s">
        <v>27835</v>
      </c>
      <c r="I182" s="173" t="s">
        <v>27739</v>
      </c>
      <c r="J182" s="131"/>
    </row>
    <row r="183" spans="5:10" x14ac:dyDescent="0.35">
      <c r="E183" s="130"/>
      <c r="F183" s="40">
        <v>100</v>
      </c>
      <c r="G183" s="204">
        <v>25</v>
      </c>
      <c r="H183" s="1867" t="str">
        <f>IF(AND($S$9=1,SUM('5_Planning'!H22:K24,'5_Planning'!M22:P24)&gt;=$F$183),IF(I183&lt;=$G$183,"Section B: New entrants, All PGT levels is "&amp;I183&amp;"% of Section A: All years; ",""),"")</f>
        <v/>
      </c>
      <c r="I183" s="1826" t="str">
        <f>IF(SUM('5_Planning'!H22:K24,'5_Planning'!M22:P24)&gt;0,ROUND(SUM('5_Planning'!R22:U24)/SUM('5_Planning'!H22:K24,'5_Planning'!M22:P24),4)*100,"")</f>
        <v/>
      </c>
      <c r="J183" s="131"/>
    </row>
    <row r="184" spans="5:10" x14ac:dyDescent="0.35">
      <c r="E184" s="132"/>
      <c r="F184" s="206"/>
      <c r="G184" s="133"/>
      <c r="H184" s="133"/>
      <c r="I184" s="133"/>
      <c r="J184" s="134"/>
    </row>
    <row r="185" spans="5:10" x14ac:dyDescent="0.35">
      <c r="E185" s="127"/>
      <c r="F185" s="128"/>
      <c r="G185" s="128"/>
      <c r="H185" s="128"/>
      <c r="I185" s="128"/>
      <c r="J185" s="129"/>
    </row>
    <row r="186" spans="5:10" x14ac:dyDescent="0.35">
      <c r="E186" s="203" t="s">
        <v>27836</v>
      </c>
      <c r="I186" s="173" t="s">
        <v>27739</v>
      </c>
      <c r="J186" s="131"/>
    </row>
    <row r="187" spans="5:10" x14ac:dyDescent="0.35">
      <c r="E187" s="130"/>
      <c r="F187" s="3">
        <v>100</v>
      </c>
      <c r="G187" s="207">
        <v>70</v>
      </c>
      <c r="H187" s="1867" t="str">
        <f>IF(AND($T$9=1,SUM('5_Planning'!L14:L18,'5_Planning'!L20:L24,'5_Planning'!Q14:Q18,'5_Planning'!Q20:Q24)&gt;=$F$187),IF(I187&gt;=$G$187,"Section B: New entrants is "&amp;I187&amp;"% of Section A: All years; ",""),"")</f>
        <v/>
      </c>
      <c r="I187" s="1868" t="str">
        <f>IF(SUM('5_Planning'!L14:L18,'5_Planning'!L20:L24,'5_Planning'!Q14:Q18,'5_Planning'!Q20:Q24)&gt;0,ROUND(SUM('5_Planning'!V14:V18,'5_Planning'!V20:V24)/SUM('5_Planning'!L14:L18,'5_Planning'!L20:L24,'5_Planning'!Q14:Q18,'5_Planning'!Q20:Q24),4)*100,"")</f>
        <v/>
      </c>
      <c r="J187" s="131"/>
    </row>
    <row r="188" spans="5:10" x14ac:dyDescent="0.35">
      <c r="E188" s="132"/>
      <c r="F188" s="206"/>
      <c r="G188" s="133"/>
      <c r="H188" s="133"/>
      <c r="I188" s="133"/>
      <c r="J188" s="134"/>
    </row>
    <row r="189" spans="5:10" x14ac:dyDescent="0.35">
      <c r="E189" s="127"/>
      <c r="F189" s="128"/>
      <c r="G189" s="128"/>
      <c r="H189" s="128"/>
      <c r="I189" s="128"/>
      <c r="J189" s="129"/>
    </row>
    <row r="190" spans="5:10" x14ac:dyDescent="0.35">
      <c r="E190" s="203" t="s">
        <v>27837</v>
      </c>
      <c r="I190" s="173" t="s">
        <v>27739</v>
      </c>
      <c r="J190" s="131"/>
    </row>
    <row r="191" spans="5:10" x14ac:dyDescent="0.35">
      <c r="E191" s="130"/>
      <c r="F191" s="3">
        <v>100</v>
      </c>
      <c r="G191" s="207">
        <v>25</v>
      </c>
      <c r="H191" s="1867" t="str">
        <f>IF(AND($U$9=1,SUM('5_Planning'!L14:L18,'5_Planning'!L20:L24,'5_Planning'!Q14:Q18,'5_Planning'!Q20:Q24)&gt;=$F$191),IF(I191&lt;=$G$191,"Section B: New entrants is "&amp;I191&amp;"% of Section A: All years; ",""),"")</f>
        <v/>
      </c>
      <c r="I191" s="1868" t="str">
        <f>IF(SUM('5_Planning'!L14:L18,'5_Planning'!L20:L24,'5_Planning'!Q14:Q18,'5_Planning'!Q20:Q24)&gt;0,ROUND(SUM('5_Planning'!V14:V18,'5_Planning'!V20:V24)/SUM('5_Planning'!L14:L18,'5_Planning'!L20:L24,'5_Planning'!Q14:Q18,'5_Planning'!Q20:Q24),4)*100,"")</f>
        <v/>
      </c>
      <c r="J191" s="131"/>
    </row>
    <row r="192" spans="5:10" x14ac:dyDescent="0.35">
      <c r="E192" s="132"/>
      <c r="F192" s="206"/>
      <c r="G192" s="133"/>
      <c r="H192" s="133"/>
      <c r="I192" s="133"/>
      <c r="J192" s="134"/>
    </row>
    <row r="193" spans="5:10" x14ac:dyDescent="0.35">
      <c r="E193" s="203"/>
      <c r="F193" s="128"/>
      <c r="G193" s="128"/>
      <c r="H193" t="s">
        <v>28262</v>
      </c>
      <c r="I193" t="s">
        <v>264</v>
      </c>
      <c r="J193" s="129"/>
    </row>
    <row r="194" spans="5:10" x14ac:dyDescent="0.35">
      <c r="E194" s="130"/>
      <c r="H194" t="s">
        <v>27714</v>
      </c>
      <c r="I194" t="s">
        <v>27715</v>
      </c>
      <c r="J194" s="131"/>
    </row>
    <row r="195" spans="5:10" ht="51" x14ac:dyDescent="0.35">
      <c r="E195" s="342" t="s">
        <v>28337</v>
      </c>
      <c r="F195" s="592"/>
      <c r="G195" s="11" t="s">
        <v>27747</v>
      </c>
      <c r="H195" s="1826" t="str">
        <f>IF(AND($V$9=1,'5_Planning'!W14&gt;0),S$126&amp;", "&amp;$B127&amp;", Level "&amp;$C127&amp;"; ","")</f>
        <v/>
      </c>
      <c r="I195" s="1826" t="str">
        <f>IF(AND($V$9=1,'5_Planning'!X14&gt;0),T$126&amp;", "&amp;$B127&amp;", Level "&amp;$C127&amp;"; ","")</f>
        <v/>
      </c>
      <c r="J195" s="131"/>
    </row>
    <row r="196" spans="5:10" x14ac:dyDescent="0.35">
      <c r="E196" s="342"/>
      <c r="F196" s="592"/>
      <c r="J196" s="131"/>
    </row>
    <row r="197" spans="5:10" x14ac:dyDescent="0.35">
      <c r="E197" s="130"/>
      <c r="G197" s="11" t="s">
        <v>27767</v>
      </c>
      <c r="H197" s="1826" t="str">
        <f>IF(AND($L$9=1,'5_Planning'!W20&gt;0),S$126&amp;", "&amp;$B133&amp;", Level "&amp;$C133&amp;"; ","")</f>
        <v/>
      </c>
      <c r="I197" s="1826" t="str">
        <f>IF(AND($L$9=1,'5_Planning'!X20&gt;0),T$126&amp;", "&amp;$B133&amp;", Level "&amp;$C133&amp;"; ","")</f>
        <v/>
      </c>
      <c r="J197" s="131"/>
    </row>
    <row r="198" spans="5:10" x14ac:dyDescent="0.35">
      <c r="E198" s="130"/>
      <c r="J198" s="131"/>
    </row>
    <row r="199" spans="5:10" x14ac:dyDescent="0.35">
      <c r="E199" s="130"/>
      <c r="H199" s="2185" t="str">
        <f>CONCATENATE(H195,H197,I195,I197)</f>
        <v/>
      </c>
      <c r="J199" s="131"/>
    </row>
    <row r="200" spans="5:10" x14ac:dyDescent="0.35">
      <c r="E200" s="132"/>
      <c r="F200" s="133"/>
      <c r="G200" s="133"/>
      <c r="H200" s="133"/>
      <c r="I200" s="133"/>
      <c r="J200" s="134"/>
    </row>
  </sheetData>
  <sheetProtection algorithmName="SHA-512" hashValue="85E3BTyOQ9EgFdd1H7OrSS4gIL1orPN2zSbVFZezPeOXQ1k5XTGl4Vx6+i7Cce+XIf88zq821WhmgrAEE/78bQ==" saltValue="LnIT7/fQ6eX2q9SNaygIEg==" spinCount="100000" sheet="1" objects="1" scenarios="1"/>
  <phoneticPr fontId="101" type="noConversion"/>
  <conditionalFormatting sqref="Q150:Q153">
    <cfRule type="expression" dxfId="187" priority="57337">
      <formula>IF(XDW414&lt;&gt;"",1,0)</formula>
    </cfRule>
  </conditionalFormatting>
  <conditionalFormatting sqref="Q154">
    <cfRule type="expression" dxfId="186" priority="57281">
      <formula>IF(XDW420&lt;&gt;"",1,0)</formula>
    </cfRule>
  </conditionalFormatting>
  <conditionalFormatting sqref="Q155:Q156">
    <cfRule type="expression" dxfId="185" priority="57393">
      <formula>IF(XDW415&lt;&gt;"",1,0)</formula>
    </cfRule>
  </conditionalFormatting>
  <conditionalFormatting sqref="Q157">
    <cfRule type="expression" dxfId="184" priority="57449">
      <formula>IF(XDW418&lt;&gt;"",1,0)</formula>
    </cfRule>
  </conditionalFormatting>
  <conditionalFormatting sqref="Q158">
    <cfRule type="expression" dxfId="183" priority="16">
      <formula>IF(XDW420&lt;&gt;"",1,0)</formula>
    </cfRule>
  </conditionalFormatting>
  <conditionalFormatting sqref="Q150:V153">
    <cfRule type="expression" dxfId="182" priority="57331">
      <formula>IF(Q314&lt;&gt;"",1,0)</formula>
    </cfRule>
    <cfRule type="expression" dxfId="181" priority="57332">
      <formula>IF(Q281&lt;&gt;"",1,0)</formula>
    </cfRule>
  </conditionalFormatting>
  <conditionalFormatting sqref="Q150:V158">
    <cfRule type="cellIs" dxfId="180" priority="15" operator="equal">
      <formula>0</formula>
    </cfRule>
  </conditionalFormatting>
  <conditionalFormatting sqref="Q154:V154">
    <cfRule type="expression" dxfId="179" priority="57275">
      <formula>IF(Q320&lt;&gt;"",1,0)</formula>
    </cfRule>
    <cfRule type="expression" dxfId="178" priority="57276">
      <formula>IF(Q287&lt;&gt;"",1,0)</formula>
    </cfRule>
  </conditionalFormatting>
  <conditionalFormatting sqref="Q155:V156">
    <cfRule type="expression" dxfId="177" priority="57387">
      <formula>IF(Q315&lt;&gt;"",1,0)</formula>
    </cfRule>
    <cfRule type="expression" dxfId="176" priority="57388">
      <formula>IF(Q282&lt;&gt;"",1,0)</formula>
    </cfRule>
  </conditionalFormatting>
  <conditionalFormatting sqref="Q157:V157">
    <cfRule type="expression" dxfId="175" priority="57443">
      <formula>IF(Q318&lt;&gt;"",1,0)</formula>
    </cfRule>
    <cfRule type="expression" dxfId="174" priority="57444">
      <formula>IF(Q285&lt;&gt;"",1,0)</formula>
    </cfRule>
  </conditionalFormatting>
  <conditionalFormatting sqref="Q158:V158">
    <cfRule type="expression" dxfId="173" priority="13">
      <formula>IF(Q320&lt;&gt;"",1,0)</formula>
    </cfRule>
    <cfRule type="expression" dxfId="172" priority="14">
      <formula>IF(Q287&lt;&gt;"",1,0)</formula>
    </cfRule>
  </conditionalFormatting>
  <conditionalFormatting sqref="R150:V153">
    <cfRule type="expression" dxfId="171" priority="57335">
      <formula>IF(F414&lt;&gt;"",1,0)</formula>
    </cfRule>
  </conditionalFormatting>
  <conditionalFormatting sqref="R154:V154">
    <cfRule type="expression" dxfId="170" priority="57279">
      <formula>IF(F420&lt;&gt;"",1,0)</formula>
    </cfRule>
  </conditionalFormatting>
  <conditionalFormatting sqref="R155:V156">
    <cfRule type="expression" dxfId="169" priority="57391">
      <formula>IF(F415&lt;&gt;"",1,0)</formula>
    </cfRule>
  </conditionalFormatting>
  <conditionalFormatting sqref="R157:V157">
    <cfRule type="expression" dxfId="168" priority="57447">
      <formula>IF(F418&lt;&gt;"",1,0)</formula>
    </cfRule>
  </conditionalFormatting>
  <conditionalFormatting sqref="R158:V158">
    <cfRule type="expression" dxfId="167" priority="12">
      <formula>IF(F420&lt;&gt;"",1,0)</formula>
    </cfRule>
  </conditionalFormatting>
  <conditionalFormatting sqref="AD19:AW33">
    <cfRule type="cellIs" dxfId="166" priority="1" operator="equal">
      <formula>0</formula>
    </cfRule>
  </conditionalFormatting>
  <conditionalFormatting sqref="AX19:AY30">
    <cfRule type="expression" dxfId="165" priority="3">
      <formula>IF(BY26=1,1,0)</formula>
    </cfRule>
  </conditionalFormatting>
  <conditionalFormatting sqref="AX19:AY33">
    <cfRule type="cellIs" dxfId="164" priority="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>
    <tabColor rgb="FF92D050"/>
    <pageSetUpPr fitToPage="1"/>
  </sheetPr>
  <dimension ref="A1:P114"/>
  <sheetViews>
    <sheetView showGridLines="0" workbookViewId="0"/>
  </sheetViews>
  <sheetFormatPr defaultColWidth="9" defaultRowHeight="13.5" x14ac:dyDescent="0.35"/>
  <cols>
    <col min="1" max="1" width="33.265625" style="631" customWidth="1"/>
    <col min="2" max="2" width="9.1328125" style="346" bestFit="1" customWidth="1"/>
    <col min="3" max="3" width="20" style="172" customWidth="1"/>
    <col min="4" max="4" width="11" style="346" customWidth="1"/>
    <col min="5" max="5" width="10.1328125" style="346" customWidth="1"/>
    <col min="6" max="6" width="14" style="346" customWidth="1"/>
    <col min="7" max="7" width="11.3984375" style="346" customWidth="1"/>
    <col min="8" max="8" width="11" style="346" customWidth="1"/>
    <col min="9" max="9" width="14" style="346" customWidth="1"/>
    <col min="10" max="11" width="11" style="346" customWidth="1"/>
    <col min="12" max="12" width="14" style="346" customWidth="1"/>
    <col min="13" max="13" width="11" style="346" customWidth="1"/>
    <col min="14" max="14" width="13.86328125" style="1346" hidden="1" customWidth="1"/>
    <col min="15" max="15" width="9.265625" style="1346" hidden="1" customWidth="1"/>
    <col min="16" max="16" width="10.73046875" style="1346" hidden="1" customWidth="1"/>
    <col min="17" max="17" width="11.1328125" style="346" customWidth="1"/>
    <col min="18" max="16384" width="9" style="346"/>
  </cols>
  <sheetData>
    <row r="1" spans="1:16" customFormat="1" ht="25.15" x14ac:dyDescent="0.5">
      <c r="A1" s="636" t="s">
        <v>29790</v>
      </c>
      <c r="B1" s="1"/>
      <c r="C1" s="107"/>
      <c r="D1" s="7"/>
      <c r="E1" s="7"/>
      <c r="F1" s="7"/>
      <c r="N1" s="534"/>
      <c r="O1" s="534"/>
      <c r="P1" s="534"/>
    </row>
    <row r="2" spans="1:16" ht="25.5" customHeight="1" x14ac:dyDescent="0.35">
      <c r="A2" s="1385" t="str">
        <f>IF(PROVIDER="","Provider name",PROVIDER&amp;" ("&amp;UKPRN&amp;")")</f>
        <v>Provider name</v>
      </c>
      <c r="B2" s="74"/>
      <c r="C2" s="744"/>
      <c r="D2" s="74"/>
      <c r="E2" s="74"/>
      <c r="F2" s="74"/>
    </row>
    <row r="3" spans="1:16" ht="14.45" customHeight="1" x14ac:dyDescent="0.35">
      <c r="A3" s="1501" t="s">
        <v>27970</v>
      </c>
      <c r="B3" s="74"/>
      <c r="C3" s="744"/>
      <c r="D3" s="74"/>
      <c r="E3" s="74"/>
      <c r="F3" s="74"/>
    </row>
    <row r="4" spans="1:16" ht="16.5" customHeight="1" x14ac:dyDescent="0.35">
      <c r="A4" s="1501" t="s">
        <v>27678</v>
      </c>
      <c r="B4" s="74"/>
      <c r="C4" s="744"/>
      <c r="D4" s="74"/>
      <c r="E4" s="74"/>
      <c r="F4" s="74"/>
    </row>
    <row r="5" spans="1:16" ht="27" customHeight="1" x14ac:dyDescent="0.35">
      <c r="A5" s="739"/>
      <c r="B5" s="74"/>
      <c r="C5" s="744"/>
      <c r="D5" s="3404" t="str">
        <f>'Table 6a Valid'!F3</f>
        <v>Validation: OK</v>
      </c>
      <c r="E5" s="3404"/>
      <c r="F5" s="3404"/>
      <c r="G5" s="3404" t="str">
        <f>'Table 6a Valid'!H3</f>
        <v>Validation: OK</v>
      </c>
      <c r="H5" s="3404"/>
      <c r="I5" s="3404"/>
      <c r="J5" s="3404" t="str">
        <f>'Table 6a Valid'!J3</f>
        <v>Validation: OK</v>
      </c>
      <c r="K5" s="3404"/>
      <c r="L5" s="3404"/>
      <c r="M5" s="919"/>
    </row>
    <row r="6" spans="1:16" ht="27" customHeight="1" thickBot="1" x14ac:dyDescent="0.4">
      <c r="A6" s="739"/>
      <c r="B6" s="74"/>
      <c r="C6" s="744"/>
      <c r="D6" s="3405" t="str">
        <f>'Table 6a Valid'!F4</f>
        <v>Credibility: OK</v>
      </c>
      <c r="E6" s="3405"/>
      <c r="F6" s="3405"/>
      <c r="G6" s="3405" t="str">
        <f>'Table 6a Valid'!H4</f>
        <v>Credibility: OK</v>
      </c>
      <c r="H6" s="3405"/>
      <c r="I6" s="3405"/>
      <c r="J6" s="3404" t="str">
        <f>'Table 6a Valid'!J4</f>
        <v>Credibility: OK</v>
      </c>
      <c r="K6" s="3404"/>
      <c r="L6" s="3404"/>
      <c r="M6" s="919"/>
    </row>
    <row r="7" spans="1:16" s="631" customFormat="1" ht="13.9" x14ac:dyDescent="0.4">
      <c r="A7" s="3438"/>
      <c r="B7" s="3438"/>
      <c r="C7" s="734"/>
      <c r="D7" s="3435" t="s">
        <v>27679</v>
      </c>
      <c r="E7" s="3436"/>
      <c r="F7" s="3437"/>
      <c r="G7" s="3435" t="s">
        <v>27680</v>
      </c>
      <c r="H7" s="3436"/>
      <c r="I7" s="3437"/>
      <c r="J7" s="3435" t="s">
        <v>28274</v>
      </c>
      <c r="K7" s="3436"/>
      <c r="L7" s="3436"/>
      <c r="N7" s="1346"/>
      <c r="O7" s="1346"/>
      <c r="P7" s="1346"/>
    </row>
    <row r="8" spans="1:16" s="631" customFormat="1" ht="13.9" x14ac:dyDescent="0.4">
      <c r="A8" s="3439"/>
      <c r="B8" s="3439"/>
      <c r="C8" s="739"/>
      <c r="D8" s="1628"/>
      <c r="E8" s="920"/>
      <c r="F8" s="921"/>
      <c r="G8" s="1628"/>
      <c r="H8" s="920"/>
      <c r="I8" s="921"/>
      <c r="J8" s="1598" t="s">
        <v>27681</v>
      </c>
      <c r="K8" s="920"/>
      <c r="L8" s="920"/>
      <c r="N8" s="1346"/>
      <c r="O8" s="1346"/>
      <c r="P8" s="1346"/>
    </row>
    <row r="9" spans="1:16" s="631" customFormat="1" ht="40.5" customHeight="1" x14ac:dyDescent="0.35">
      <c r="A9" s="3439"/>
      <c r="B9" s="3439"/>
      <c r="C9" s="739"/>
      <c r="D9" s="3378" t="str">
        <f>"Years countable between 1 August 20"&amp;YEAR&amp;" and census date inclusive"</f>
        <v>Years countable between 1 August 2024 and census date inclusive</v>
      </c>
      <c r="E9" s="3402"/>
      <c r="F9" s="3403"/>
      <c r="G9" s="3378" t="str">
        <f>"Forecast of years countable after census date and before 1 August 20"&amp;(YEAR+1)</f>
        <v>Forecast of years countable after census date and before 1 August 2025</v>
      </c>
      <c r="H9" s="3402"/>
      <c r="I9" s="3403"/>
      <c r="J9" s="3378" t="str">
        <f>"Years countable in academic year 
20"&amp;ACYEAR&amp;" (Columns 1 + 2)"</f>
        <v>Years countable in academic year 
2024-25 (Columns 1 + 2)</v>
      </c>
      <c r="K9" s="3402"/>
      <c r="L9" s="3402"/>
      <c r="N9" s="1346"/>
      <c r="O9" s="1346"/>
      <c r="P9" s="1346"/>
    </row>
    <row r="10" spans="1:16" s="172" customFormat="1" ht="16.5" customHeight="1" x14ac:dyDescent="0.35">
      <c r="A10" s="739"/>
      <c r="B10" s="744"/>
      <c r="C10" s="744"/>
      <c r="D10" s="3440" t="s">
        <v>27838</v>
      </c>
      <c r="E10" s="3449" t="s">
        <v>27839</v>
      </c>
      <c r="F10" s="3446" t="str">
        <f>"Starters in 20"&amp;ACYEAR&amp;" included in (a) and (b)"</f>
        <v>Starters in 2024-25 included in (a) and (b)</v>
      </c>
      <c r="G10" s="3440" t="s">
        <v>27838</v>
      </c>
      <c r="H10" s="3449" t="s">
        <v>27839</v>
      </c>
      <c r="I10" s="3446" t="str">
        <f>"Starters in 20"&amp;ACYEAR&amp;" included in (a) and (b)"</f>
        <v>Starters in 2024-25 included in (a) and (b)</v>
      </c>
      <c r="J10" s="3440" t="s">
        <v>27838</v>
      </c>
      <c r="K10" s="3449" t="s">
        <v>27839</v>
      </c>
      <c r="L10" s="3443" t="str">
        <f>"Starters in 20"&amp;ACYEAR&amp;" included in (a) and (b)"</f>
        <v>Starters in 2024-25 included in (a) and (b)</v>
      </c>
      <c r="N10" s="1346"/>
      <c r="O10" s="1346"/>
      <c r="P10" s="1346"/>
    </row>
    <row r="11" spans="1:16" s="172" customFormat="1" ht="25.5" customHeight="1" x14ac:dyDescent="0.35">
      <c r="A11" s="739"/>
      <c r="B11" s="739"/>
      <c r="C11" s="744"/>
      <c r="D11" s="3441"/>
      <c r="E11" s="3450"/>
      <c r="F11" s="3447"/>
      <c r="G11" s="3441"/>
      <c r="H11" s="3450"/>
      <c r="I11" s="3447"/>
      <c r="J11" s="3441"/>
      <c r="K11" s="3450"/>
      <c r="L11" s="3444"/>
      <c r="N11" s="1346"/>
      <c r="O11" s="1346"/>
      <c r="P11" s="1346"/>
    </row>
    <row r="12" spans="1:16" s="172" customFormat="1" ht="14.25" customHeight="1" x14ac:dyDescent="0.35">
      <c r="A12" s="1454" t="s">
        <v>27840</v>
      </c>
      <c r="B12" s="1454" t="s">
        <v>56</v>
      </c>
      <c r="C12" s="1454" t="s">
        <v>57</v>
      </c>
      <c r="D12" s="3442"/>
      <c r="E12" s="3451"/>
      <c r="F12" s="3448"/>
      <c r="G12" s="3442"/>
      <c r="H12" s="3451"/>
      <c r="I12" s="3448"/>
      <c r="J12" s="3442"/>
      <c r="K12" s="3451"/>
      <c r="L12" s="3445"/>
      <c r="N12" s="987" t="s">
        <v>27841</v>
      </c>
      <c r="O12" s="987" t="s">
        <v>65</v>
      </c>
      <c r="P12" s="987" t="s">
        <v>66</v>
      </c>
    </row>
    <row r="13" spans="1:16" ht="14.45" customHeight="1" x14ac:dyDescent="0.35">
      <c r="A13" s="1455" t="s">
        <v>27842</v>
      </c>
      <c r="B13" s="1456" t="s">
        <v>204</v>
      </c>
      <c r="C13" s="1455" t="s">
        <v>27769</v>
      </c>
      <c r="D13" s="1870">
        <v>0</v>
      </c>
      <c r="E13" s="1871">
        <v>0</v>
      </c>
      <c r="F13" s="1872">
        <v>0</v>
      </c>
      <c r="G13" s="1870">
        <v>0</v>
      </c>
      <c r="H13" s="1871">
        <v>0</v>
      </c>
      <c r="I13" s="1873">
        <v>0</v>
      </c>
      <c r="J13" s="1874">
        <f>SUM(D13,G13)</f>
        <v>0</v>
      </c>
      <c r="K13" s="1875">
        <f t="shared" ref="K13:L13" si="0">SUM(E13,H13)</f>
        <v>0</v>
      </c>
      <c r="L13" s="1910">
        <f t="shared" si="0"/>
        <v>0</v>
      </c>
      <c r="N13" s="748" t="s">
        <v>27843</v>
      </c>
      <c r="O13" s="748" t="s">
        <v>27685</v>
      </c>
      <c r="P13" s="923" t="s">
        <v>27826</v>
      </c>
    </row>
    <row r="14" spans="1:16" ht="14.45" customHeight="1" x14ac:dyDescent="0.35">
      <c r="A14" s="924" t="s">
        <v>27842</v>
      </c>
      <c r="B14" s="925" t="s">
        <v>204</v>
      </c>
      <c r="C14" s="1546" t="s">
        <v>210</v>
      </c>
      <c r="D14" s="1650">
        <v>0</v>
      </c>
      <c r="E14" s="926">
        <v>0</v>
      </c>
      <c r="F14" s="927">
        <v>0</v>
      </c>
      <c r="G14" s="1650">
        <v>0</v>
      </c>
      <c r="H14" s="926">
        <v>0</v>
      </c>
      <c r="I14" s="928">
        <v>0</v>
      </c>
      <c r="J14" s="1650"/>
      <c r="K14" s="926"/>
      <c r="L14" s="928"/>
      <c r="N14" s="748" t="s">
        <v>27843</v>
      </c>
      <c r="O14" s="748" t="s">
        <v>27685</v>
      </c>
      <c r="P14" s="923" t="s">
        <v>27688</v>
      </c>
    </row>
    <row r="15" spans="1:16" ht="14.45" customHeight="1" x14ac:dyDescent="0.35">
      <c r="A15" s="924" t="s">
        <v>27842</v>
      </c>
      <c r="B15" s="929" t="s">
        <v>218</v>
      </c>
      <c r="C15" s="1547" t="s">
        <v>27769</v>
      </c>
      <c r="D15" s="930">
        <v>0</v>
      </c>
      <c r="E15" s="931">
        <v>0</v>
      </c>
      <c r="F15" s="932">
        <v>0</v>
      </c>
      <c r="G15" s="930">
        <v>0</v>
      </c>
      <c r="H15" s="933">
        <v>0</v>
      </c>
      <c r="I15" s="934">
        <v>0</v>
      </c>
      <c r="J15" s="935">
        <f t="shared" ref="J15:J77" si="1">SUM(D15,G15)</f>
        <v>0</v>
      </c>
      <c r="K15" s="936">
        <f t="shared" ref="K15:K77" si="2">SUM(E15,H15)</f>
        <v>0</v>
      </c>
      <c r="L15" s="975">
        <f t="shared" ref="L15:L77" si="3">SUM(F15,I15)</f>
        <v>0</v>
      </c>
      <c r="N15" s="748" t="s">
        <v>27843</v>
      </c>
      <c r="O15" s="748" t="s">
        <v>27691</v>
      </c>
      <c r="P15" s="923" t="s">
        <v>27826</v>
      </c>
    </row>
    <row r="16" spans="1:16" ht="14.45" customHeight="1" x14ac:dyDescent="0.35">
      <c r="A16" s="924" t="s">
        <v>27842</v>
      </c>
      <c r="B16" s="925" t="s">
        <v>218</v>
      </c>
      <c r="C16" s="1378" t="s">
        <v>210</v>
      </c>
      <c r="D16" s="939">
        <v>0</v>
      </c>
      <c r="E16" s="940">
        <v>0</v>
      </c>
      <c r="F16" s="941">
        <v>0</v>
      </c>
      <c r="G16" s="939">
        <v>0</v>
      </c>
      <c r="H16" s="940">
        <v>0</v>
      </c>
      <c r="I16" s="942">
        <v>0</v>
      </c>
      <c r="J16" s="943"/>
      <c r="K16" s="944"/>
      <c r="L16" s="942"/>
      <c r="N16" s="748" t="s">
        <v>27843</v>
      </c>
      <c r="O16" s="748" t="s">
        <v>27691</v>
      </c>
      <c r="P16" s="923" t="s">
        <v>27688</v>
      </c>
    </row>
    <row r="17" spans="1:16" ht="14.45" customHeight="1" x14ac:dyDescent="0.35">
      <c r="A17" s="1455" t="s">
        <v>27844</v>
      </c>
      <c r="B17" s="1456" t="s">
        <v>204</v>
      </c>
      <c r="C17" s="1455" t="s">
        <v>27769</v>
      </c>
      <c r="D17" s="1870">
        <v>0</v>
      </c>
      <c r="E17" s="1871">
        <v>0</v>
      </c>
      <c r="F17" s="1872">
        <v>0</v>
      </c>
      <c r="G17" s="1870">
        <v>0</v>
      </c>
      <c r="H17" s="1876">
        <v>0</v>
      </c>
      <c r="I17" s="1877">
        <v>0</v>
      </c>
      <c r="J17" s="1874">
        <f t="shared" si="1"/>
        <v>0</v>
      </c>
      <c r="K17" s="1875">
        <f t="shared" si="2"/>
        <v>0</v>
      </c>
      <c r="L17" s="1910">
        <f t="shared" si="3"/>
        <v>0</v>
      </c>
      <c r="N17" s="748" t="s">
        <v>27845</v>
      </c>
      <c r="O17" s="748" t="s">
        <v>27685</v>
      </c>
      <c r="P17" s="923" t="s">
        <v>27826</v>
      </c>
    </row>
    <row r="18" spans="1:16" ht="14.45" customHeight="1" x14ac:dyDescent="0.35">
      <c r="A18" s="924" t="s">
        <v>27844</v>
      </c>
      <c r="B18" s="925" t="s">
        <v>204</v>
      </c>
      <c r="C18" s="1546" t="s">
        <v>210</v>
      </c>
      <c r="D18" s="1650">
        <v>0</v>
      </c>
      <c r="E18" s="926">
        <v>0</v>
      </c>
      <c r="F18" s="927">
        <v>0</v>
      </c>
      <c r="G18" s="1650">
        <v>0</v>
      </c>
      <c r="H18" s="926">
        <v>0</v>
      </c>
      <c r="I18" s="928">
        <v>0</v>
      </c>
      <c r="J18" s="1650"/>
      <c r="K18" s="926"/>
      <c r="L18" s="928"/>
      <c r="N18" s="748" t="s">
        <v>27845</v>
      </c>
      <c r="O18" s="748" t="s">
        <v>27685</v>
      </c>
      <c r="P18" s="923" t="s">
        <v>27688</v>
      </c>
    </row>
    <row r="19" spans="1:16" ht="14.45" customHeight="1" x14ac:dyDescent="0.35">
      <c r="A19" s="924" t="s">
        <v>27844</v>
      </c>
      <c r="B19" s="929" t="s">
        <v>218</v>
      </c>
      <c r="C19" s="1547" t="s">
        <v>27769</v>
      </c>
      <c r="D19" s="930">
        <v>0</v>
      </c>
      <c r="E19" s="931">
        <v>0</v>
      </c>
      <c r="F19" s="932">
        <v>0</v>
      </c>
      <c r="G19" s="930">
        <v>0</v>
      </c>
      <c r="H19" s="933">
        <v>0</v>
      </c>
      <c r="I19" s="934">
        <v>0</v>
      </c>
      <c r="J19" s="935">
        <f t="shared" si="1"/>
        <v>0</v>
      </c>
      <c r="K19" s="936">
        <f t="shared" si="2"/>
        <v>0</v>
      </c>
      <c r="L19" s="975">
        <f t="shared" si="3"/>
        <v>0</v>
      </c>
      <c r="N19" s="748" t="s">
        <v>27845</v>
      </c>
      <c r="O19" s="748" t="s">
        <v>27691</v>
      </c>
      <c r="P19" s="923" t="s">
        <v>27826</v>
      </c>
    </row>
    <row r="20" spans="1:16" ht="14.45" customHeight="1" x14ac:dyDescent="0.35">
      <c r="A20" s="924" t="s">
        <v>27844</v>
      </c>
      <c r="B20" s="925" t="s">
        <v>218</v>
      </c>
      <c r="C20" s="1378" t="s">
        <v>210</v>
      </c>
      <c r="D20" s="1309">
        <v>0</v>
      </c>
      <c r="E20" s="1310">
        <v>0</v>
      </c>
      <c r="F20" s="927">
        <v>0</v>
      </c>
      <c r="G20" s="1309">
        <v>0</v>
      </c>
      <c r="H20" s="1310">
        <v>0</v>
      </c>
      <c r="I20" s="928">
        <v>0</v>
      </c>
      <c r="J20" s="1650"/>
      <c r="K20" s="1311"/>
      <c r="L20" s="928"/>
      <c r="N20" s="748" t="s">
        <v>27845</v>
      </c>
      <c r="O20" s="748" t="s">
        <v>27691</v>
      </c>
      <c r="P20" s="923" t="s">
        <v>27688</v>
      </c>
    </row>
    <row r="21" spans="1:16" ht="14.45" customHeight="1" x14ac:dyDescent="0.35">
      <c r="A21" s="1455" t="s">
        <v>27846</v>
      </c>
      <c r="B21" s="1316" t="s">
        <v>204</v>
      </c>
      <c r="C21" s="1548" t="s">
        <v>212</v>
      </c>
      <c r="D21" s="1317">
        <v>0</v>
      </c>
      <c r="E21" s="1318">
        <v>0</v>
      </c>
      <c r="F21" s="1319">
        <v>0</v>
      </c>
      <c r="G21" s="1317">
        <v>0</v>
      </c>
      <c r="H21" s="1318">
        <v>0</v>
      </c>
      <c r="I21" s="1320">
        <v>0</v>
      </c>
      <c r="J21" s="1321">
        <f t="shared" si="1"/>
        <v>0</v>
      </c>
      <c r="K21" s="1322">
        <f t="shared" si="2"/>
        <v>0</v>
      </c>
      <c r="L21" s="2186">
        <f t="shared" si="3"/>
        <v>0</v>
      </c>
      <c r="N21" s="748" t="s">
        <v>27845</v>
      </c>
      <c r="O21" s="748" t="s">
        <v>27685</v>
      </c>
      <c r="P21" s="923" t="s">
        <v>27689</v>
      </c>
    </row>
    <row r="22" spans="1:16" ht="14.45" customHeight="1" x14ac:dyDescent="0.35">
      <c r="A22" s="924" t="s">
        <v>27846</v>
      </c>
      <c r="B22" s="1313" t="s">
        <v>218</v>
      </c>
      <c r="C22" s="1549" t="s">
        <v>212</v>
      </c>
      <c r="D22" s="1651">
        <v>0</v>
      </c>
      <c r="E22" s="945">
        <v>0</v>
      </c>
      <c r="F22" s="946">
        <v>0</v>
      </c>
      <c r="G22" s="1651">
        <v>0</v>
      </c>
      <c r="H22" s="945">
        <v>0</v>
      </c>
      <c r="I22" s="947">
        <v>0</v>
      </c>
      <c r="J22" s="1652">
        <f t="shared" si="1"/>
        <v>0</v>
      </c>
      <c r="K22" s="948">
        <f t="shared" si="2"/>
        <v>0</v>
      </c>
      <c r="L22" s="973">
        <f t="shared" si="3"/>
        <v>0</v>
      </c>
      <c r="N22" s="748" t="s">
        <v>27845</v>
      </c>
      <c r="O22" s="748" t="s">
        <v>27691</v>
      </c>
      <c r="P22" s="923" t="s">
        <v>27689</v>
      </c>
    </row>
    <row r="23" spans="1:16" ht="14.45" customHeight="1" x14ac:dyDescent="0.35">
      <c r="A23" s="1455" t="s">
        <v>27847</v>
      </c>
      <c r="B23" s="1456" t="s">
        <v>204</v>
      </c>
      <c r="C23" s="1455" t="s">
        <v>27769</v>
      </c>
      <c r="D23" s="1870">
        <v>0</v>
      </c>
      <c r="E23" s="1871">
        <v>0</v>
      </c>
      <c r="F23" s="1872">
        <v>0</v>
      </c>
      <c r="G23" s="1870">
        <v>0</v>
      </c>
      <c r="H23" s="1871">
        <v>0</v>
      </c>
      <c r="I23" s="1873">
        <v>0</v>
      </c>
      <c r="J23" s="1874">
        <f t="shared" si="1"/>
        <v>0</v>
      </c>
      <c r="K23" s="1875">
        <f t="shared" si="2"/>
        <v>0</v>
      </c>
      <c r="L23" s="1910">
        <f t="shared" si="3"/>
        <v>0</v>
      </c>
      <c r="N23" s="748" t="s">
        <v>27848</v>
      </c>
      <c r="O23" s="748" t="s">
        <v>27685</v>
      </c>
      <c r="P23" s="923" t="s">
        <v>27826</v>
      </c>
    </row>
    <row r="24" spans="1:16" ht="14.45" customHeight="1" x14ac:dyDescent="0.35">
      <c r="A24" s="924" t="s">
        <v>27847</v>
      </c>
      <c r="B24" s="925" t="s">
        <v>204</v>
      </c>
      <c r="C24" s="1546" t="s">
        <v>210</v>
      </c>
      <c r="D24" s="1651">
        <v>0</v>
      </c>
      <c r="E24" s="945">
        <v>0</v>
      </c>
      <c r="F24" s="946">
        <v>0</v>
      </c>
      <c r="G24" s="1651">
        <v>0</v>
      </c>
      <c r="H24" s="945">
        <v>0</v>
      </c>
      <c r="I24" s="947">
        <v>0</v>
      </c>
      <c r="J24" s="1652">
        <f t="shared" si="1"/>
        <v>0</v>
      </c>
      <c r="K24" s="948">
        <f t="shared" si="2"/>
        <v>0</v>
      </c>
      <c r="L24" s="973">
        <f t="shared" si="3"/>
        <v>0</v>
      </c>
      <c r="N24" s="748" t="s">
        <v>27848</v>
      </c>
      <c r="O24" s="748" t="s">
        <v>27685</v>
      </c>
      <c r="P24" s="923" t="s">
        <v>27688</v>
      </c>
    </row>
    <row r="25" spans="1:16" ht="14.45" customHeight="1" x14ac:dyDescent="0.35">
      <c r="A25" s="924" t="s">
        <v>27847</v>
      </c>
      <c r="B25" s="929" t="s">
        <v>218</v>
      </c>
      <c r="C25" s="1547" t="s">
        <v>27769</v>
      </c>
      <c r="D25" s="930">
        <v>0</v>
      </c>
      <c r="E25" s="931">
        <v>0</v>
      </c>
      <c r="F25" s="932">
        <v>0</v>
      </c>
      <c r="G25" s="930">
        <v>0</v>
      </c>
      <c r="H25" s="931">
        <v>0</v>
      </c>
      <c r="I25" s="950">
        <v>0</v>
      </c>
      <c r="J25" s="935">
        <f t="shared" si="1"/>
        <v>0</v>
      </c>
      <c r="K25" s="936">
        <f t="shared" si="2"/>
        <v>0</v>
      </c>
      <c r="L25" s="975">
        <f t="shared" si="3"/>
        <v>0</v>
      </c>
      <c r="N25" s="748" t="s">
        <v>27848</v>
      </c>
      <c r="O25" s="748" t="s">
        <v>27691</v>
      </c>
      <c r="P25" s="923" t="s">
        <v>27826</v>
      </c>
    </row>
    <row r="26" spans="1:16" ht="14.45" customHeight="1" x14ac:dyDescent="0.35">
      <c r="A26" s="924" t="s">
        <v>27847</v>
      </c>
      <c r="B26" s="925" t="s">
        <v>218</v>
      </c>
      <c r="C26" s="1378" t="s">
        <v>210</v>
      </c>
      <c r="D26" s="951">
        <v>0</v>
      </c>
      <c r="E26" s="952">
        <v>0</v>
      </c>
      <c r="F26" s="953">
        <v>0</v>
      </c>
      <c r="G26" s="954">
        <v>0</v>
      </c>
      <c r="H26" s="952">
        <v>0</v>
      </c>
      <c r="I26" s="955">
        <v>0</v>
      </c>
      <c r="J26" s="956">
        <f t="shared" si="1"/>
        <v>0</v>
      </c>
      <c r="K26" s="957">
        <f t="shared" si="2"/>
        <v>0</v>
      </c>
      <c r="L26" s="994">
        <f t="shared" si="3"/>
        <v>0</v>
      </c>
      <c r="N26" s="748" t="s">
        <v>27848</v>
      </c>
      <c r="O26" s="748" t="s">
        <v>27691</v>
      </c>
      <c r="P26" s="923" t="s">
        <v>27688</v>
      </c>
    </row>
    <row r="27" spans="1:16" ht="14.45" customHeight="1" x14ac:dyDescent="0.35">
      <c r="A27" s="1455" t="s">
        <v>27849</v>
      </c>
      <c r="B27" s="1456" t="s">
        <v>204</v>
      </c>
      <c r="C27" s="1455" t="s">
        <v>27769</v>
      </c>
      <c r="D27" s="1870">
        <v>0</v>
      </c>
      <c r="E27" s="1871">
        <v>0</v>
      </c>
      <c r="F27" s="1872">
        <v>0</v>
      </c>
      <c r="G27" s="1870">
        <v>0</v>
      </c>
      <c r="H27" s="1871">
        <v>0</v>
      </c>
      <c r="I27" s="1873">
        <v>0</v>
      </c>
      <c r="J27" s="1874">
        <f t="shared" si="1"/>
        <v>0</v>
      </c>
      <c r="K27" s="1875">
        <f t="shared" si="2"/>
        <v>0</v>
      </c>
      <c r="L27" s="1910">
        <f t="shared" si="3"/>
        <v>0</v>
      </c>
      <c r="N27" s="748" t="s">
        <v>27850</v>
      </c>
      <c r="O27" s="748" t="s">
        <v>27685</v>
      </c>
      <c r="P27" s="923" t="s">
        <v>27826</v>
      </c>
    </row>
    <row r="28" spans="1:16" ht="14.45" customHeight="1" x14ac:dyDescent="0.35">
      <c r="A28" s="924" t="s">
        <v>27849</v>
      </c>
      <c r="B28" s="925" t="s">
        <v>204</v>
      </c>
      <c r="C28" s="1546" t="s">
        <v>210</v>
      </c>
      <c r="D28" s="1651">
        <v>0</v>
      </c>
      <c r="E28" s="945">
        <v>0</v>
      </c>
      <c r="F28" s="946">
        <v>0</v>
      </c>
      <c r="G28" s="1651">
        <v>0</v>
      </c>
      <c r="H28" s="945">
        <v>0</v>
      </c>
      <c r="I28" s="947">
        <v>0</v>
      </c>
      <c r="J28" s="1652">
        <f t="shared" si="1"/>
        <v>0</v>
      </c>
      <c r="K28" s="948">
        <f t="shared" si="2"/>
        <v>0</v>
      </c>
      <c r="L28" s="973">
        <f t="shared" si="3"/>
        <v>0</v>
      </c>
      <c r="N28" s="748" t="s">
        <v>27850</v>
      </c>
      <c r="O28" s="748" t="s">
        <v>27685</v>
      </c>
      <c r="P28" s="923" t="s">
        <v>27688</v>
      </c>
    </row>
    <row r="29" spans="1:16" ht="14.45" customHeight="1" x14ac:dyDescent="0.35">
      <c r="A29" s="924" t="s">
        <v>27849</v>
      </c>
      <c r="B29" s="929" t="s">
        <v>218</v>
      </c>
      <c r="C29" s="1547" t="s">
        <v>27769</v>
      </c>
      <c r="D29" s="930">
        <v>0</v>
      </c>
      <c r="E29" s="931">
        <v>0</v>
      </c>
      <c r="F29" s="932">
        <v>0</v>
      </c>
      <c r="G29" s="930">
        <v>0</v>
      </c>
      <c r="H29" s="931">
        <v>0</v>
      </c>
      <c r="I29" s="950">
        <v>0</v>
      </c>
      <c r="J29" s="935">
        <f t="shared" si="1"/>
        <v>0</v>
      </c>
      <c r="K29" s="936">
        <f t="shared" si="2"/>
        <v>0</v>
      </c>
      <c r="L29" s="975">
        <f t="shared" si="3"/>
        <v>0</v>
      </c>
      <c r="N29" s="748" t="s">
        <v>27850</v>
      </c>
      <c r="O29" s="748" t="s">
        <v>27691</v>
      </c>
      <c r="P29" s="923" t="s">
        <v>27826</v>
      </c>
    </row>
    <row r="30" spans="1:16" ht="14.45" customHeight="1" x14ac:dyDescent="0.35">
      <c r="A30" s="924" t="s">
        <v>27849</v>
      </c>
      <c r="B30" s="925" t="s">
        <v>218</v>
      </c>
      <c r="C30" s="1378" t="s">
        <v>210</v>
      </c>
      <c r="D30" s="954">
        <v>0</v>
      </c>
      <c r="E30" s="952">
        <v>0</v>
      </c>
      <c r="F30" s="953">
        <v>0</v>
      </c>
      <c r="G30" s="954">
        <v>0</v>
      </c>
      <c r="H30" s="952">
        <v>0</v>
      </c>
      <c r="I30" s="955">
        <v>0</v>
      </c>
      <c r="J30" s="956">
        <f t="shared" si="1"/>
        <v>0</v>
      </c>
      <c r="K30" s="957">
        <f t="shared" si="2"/>
        <v>0</v>
      </c>
      <c r="L30" s="994">
        <f t="shared" si="3"/>
        <v>0</v>
      </c>
      <c r="N30" s="748" t="s">
        <v>27850</v>
      </c>
      <c r="O30" s="748" t="s">
        <v>27691</v>
      </c>
      <c r="P30" s="923" t="s">
        <v>27688</v>
      </c>
    </row>
    <row r="31" spans="1:16" ht="14.45" customHeight="1" x14ac:dyDescent="0.35">
      <c r="A31" s="1397" t="s">
        <v>27851</v>
      </c>
      <c r="B31" s="1456" t="s">
        <v>204</v>
      </c>
      <c r="C31" s="1455" t="s">
        <v>27769</v>
      </c>
      <c r="D31" s="1870">
        <v>0</v>
      </c>
      <c r="E31" s="1871">
        <v>0</v>
      </c>
      <c r="F31" s="1872">
        <v>0</v>
      </c>
      <c r="G31" s="1870">
        <v>0</v>
      </c>
      <c r="H31" s="1871">
        <v>0</v>
      </c>
      <c r="I31" s="1873">
        <v>0</v>
      </c>
      <c r="J31" s="1874">
        <f t="shared" si="1"/>
        <v>0</v>
      </c>
      <c r="K31" s="1875">
        <f t="shared" si="2"/>
        <v>0</v>
      </c>
      <c r="L31" s="1910">
        <f t="shared" si="3"/>
        <v>0</v>
      </c>
      <c r="N31" s="748" t="s">
        <v>27852</v>
      </c>
      <c r="O31" s="748" t="s">
        <v>27685</v>
      </c>
      <c r="P31" s="923" t="s">
        <v>27826</v>
      </c>
    </row>
    <row r="32" spans="1:16" ht="14.45" customHeight="1" x14ac:dyDescent="0.35">
      <c r="A32" s="959" t="s">
        <v>27851</v>
      </c>
      <c r="B32" s="925" t="s">
        <v>204</v>
      </c>
      <c r="C32" s="1546" t="s">
        <v>210</v>
      </c>
      <c r="D32" s="1651">
        <v>0</v>
      </c>
      <c r="E32" s="945">
        <v>0</v>
      </c>
      <c r="F32" s="946">
        <v>0</v>
      </c>
      <c r="G32" s="1651">
        <v>0</v>
      </c>
      <c r="H32" s="945">
        <v>0</v>
      </c>
      <c r="I32" s="947">
        <v>0</v>
      </c>
      <c r="J32" s="1652">
        <f t="shared" si="1"/>
        <v>0</v>
      </c>
      <c r="K32" s="948">
        <f t="shared" si="2"/>
        <v>0</v>
      </c>
      <c r="L32" s="973">
        <f t="shared" si="3"/>
        <v>0</v>
      </c>
      <c r="N32" s="748" t="s">
        <v>27852</v>
      </c>
      <c r="O32" s="748" t="s">
        <v>27685</v>
      </c>
      <c r="P32" s="923" t="s">
        <v>27688</v>
      </c>
    </row>
    <row r="33" spans="1:16" ht="14.45" customHeight="1" x14ac:dyDescent="0.35">
      <c r="A33" s="924" t="s">
        <v>27851</v>
      </c>
      <c r="B33" s="929" t="s">
        <v>218</v>
      </c>
      <c r="C33" s="1547" t="s">
        <v>27769</v>
      </c>
      <c r="D33" s="930">
        <v>0</v>
      </c>
      <c r="E33" s="931">
        <v>0</v>
      </c>
      <c r="F33" s="932">
        <v>0</v>
      </c>
      <c r="G33" s="930">
        <v>0</v>
      </c>
      <c r="H33" s="931">
        <v>0</v>
      </c>
      <c r="I33" s="950">
        <v>0</v>
      </c>
      <c r="J33" s="935">
        <f t="shared" si="1"/>
        <v>0</v>
      </c>
      <c r="K33" s="936">
        <f t="shared" si="2"/>
        <v>0</v>
      </c>
      <c r="L33" s="975">
        <f t="shared" si="3"/>
        <v>0</v>
      </c>
      <c r="N33" s="748" t="s">
        <v>27852</v>
      </c>
      <c r="O33" s="748" t="s">
        <v>27691</v>
      </c>
      <c r="P33" s="923" t="s">
        <v>27826</v>
      </c>
    </row>
    <row r="34" spans="1:16" ht="14.45" customHeight="1" x14ac:dyDescent="0.35">
      <c r="A34" s="924" t="s">
        <v>27851</v>
      </c>
      <c r="B34" s="925" t="s">
        <v>218</v>
      </c>
      <c r="C34" s="1378" t="s">
        <v>210</v>
      </c>
      <c r="D34" s="954">
        <v>0</v>
      </c>
      <c r="E34" s="952">
        <v>0</v>
      </c>
      <c r="F34" s="953">
        <v>0</v>
      </c>
      <c r="G34" s="954">
        <v>0</v>
      </c>
      <c r="H34" s="952">
        <v>0</v>
      </c>
      <c r="I34" s="955">
        <v>0</v>
      </c>
      <c r="J34" s="956">
        <f t="shared" si="1"/>
        <v>0</v>
      </c>
      <c r="K34" s="957">
        <f t="shared" si="2"/>
        <v>0</v>
      </c>
      <c r="L34" s="994">
        <f t="shared" si="3"/>
        <v>0</v>
      </c>
      <c r="N34" s="748" t="s">
        <v>27852</v>
      </c>
      <c r="O34" s="748" t="s">
        <v>27691</v>
      </c>
      <c r="P34" s="923" t="s">
        <v>27688</v>
      </c>
    </row>
    <row r="35" spans="1:16" ht="14.45" customHeight="1" x14ac:dyDescent="0.35">
      <c r="A35" s="1397" t="s">
        <v>27853</v>
      </c>
      <c r="B35" s="1456" t="s">
        <v>204</v>
      </c>
      <c r="C35" s="1455" t="s">
        <v>27769</v>
      </c>
      <c r="D35" s="1870">
        <v>0</v>
      </c>
      <c r="E35" s="1871">
        <v>0</v>
      </c>
      <c r="F35" s="1872">
        <v>0</v>
      </c>
      <c r="G35" s="1870">
        <v>0</v>
      </c>
      <c r="H35" s="1871">
        <v>0</v>
      </c>
      <c r="I35" s="1873">
        <v>0</v>
      </c>
      <c r="J35" s="1874">
        <f t="shared" si="1"/>
        <v>0</v>
      </c>
      <c r="K35" s="1875">
        <f t="shared" si="2"/>
        <v>0</v>
      </c>
      <c r="L35" s="1910">
        <f t="shared" si="3"/>
        <v>0</v>
      </c>
      <c r="N35" s="748" t="s">
        <v>27854</v>
      </c>
      <c r="O35" s="748" t="s">
        <v>27685</v>
      </c>
      <c r="P35" s="923" t="s">
        <v>27826</v>
      </c>
    </row>
    <row r="36" spans="1:16" ht="14.45" customHeight="1" x14ac:dyDescent="0.35">
      <c r="A36" s="959" t="s">
        <v>27853</v>
      </c>
      <c r="B36" s="925" t="s">
        <v>204</v>
      </c>
      <c r="C36" s="1546" t="s">
        <v>210</v>
      </c>
      <c r="D36" s="1651">
        <v>0</v>
      </c>
      <c r="E36" s="945">
        <v>0</v>
      </c>
      <c r="F36" s="946">
        <v>0</v>
      </c>
      <c r="G36" s="1651">
        <v>0</v>
      </c>
      <c r="H36" s="945">
        <v>0</v>
      </c>
      <c r="I36" s="947">
        <v>0</v>
      </c>
      <c r="J36" s="1652">
        <f t="shared" si="1"/>
        <v>0</v>
      </c>
      <c r="K36" s="948">
        <f t="shared" si="2"/>
        <v>0</v>
      </c>
      <c r="L36" s="973">
        <f t="shared" si="3"/>
        <v>0</v>
      </c>
      <c r="N36" s="748" t="s">
        <v>27854</v>
      </c>
      <c r="O36" s="748" t="s">
        <v>27685</v>
      </c>
      <c r="P36" s="923" t="s">
        <v>27688</v>
      </c>
    </row>
    <row r="37" spans="1:16" ht="14.45" customHeight="1" x14ac:dyDescent="0.35">
      <c r="A37" s="924" t="s">
        <v>27853</v>
      </c>
      <c r="B37" s="929" t="s">
        <v>218</v>
      </c>
      <c r="C37" s="1547" t="s">
        <v>27769</v>
      </c>
      <c r="D37" s="930">
        <v>0</v>
      </c>
      <c r="E37" s="931">
        <v>0</v>
      </c>
      <c r="F37" s="932">
        <v>0</v>
      </c>
      <c r="G37" s="930">
        <v>0</v>
      </c>
      <c r="H37" s="931">
        <v>0</v>
      </c>
      <c r="I37" s="950">
        <v>0</v>
      </c>
      <c r="J37" s="935">
        <f t="shared" si="1"/>
        <v>0</v>
      </c>
      <c r="K37" s="936">
        <f t="shared" si="2"/>
        <v>0</v>
      </c>
      <c r="L37" s="975">
        <f t="shared" si="3"/>
        <v>0</v>
      </c>
      <c r="N37" s="748" t="s">
        <v>27854</v>
      </c>
      <c r="O37" s="748" t="s">
        <v>27691</v>
      </c>
      <c r="P37" s="923" t="s">
        <v>27826</v>
      </c>
    </row>
    <row r="38" spans="1:16" ht="14.45" customHeight="1" x14ac:dyDescent="0.35">
      <c r="A38" s="924" t="s">
        <v>27853</v>
      </c>
      <c r="B38" s="925" t="s">
        <v>218</v>
      </c>
      <c r="C38" s="1378" t="s">
        <v>210</v>
      </c>
      <c r="D38" s="954">
        <v>0</v>
      </c>
      <c r="E38" s="952">
        <v>0</v>
      </c>
      <c r="F38" s="953">
        <v>0</v>
      </c>
      <c r="G38" s="954">
        <v>0</v>
      </c>
      <c r="H38" s="952">
        <v>0</v>
      </c>
      <c r="I38" s="955">
        <v>0</v>
      </c>
      <c r="J38" s="956">
        <f t="shared" si="1"/>
        <v>0</v>
      </c>
      <c r="K38" s="957">
        <f t="shared" si="2"/>
        <v>0</v>
      </c>
      <c r="L38" s="994">
        <f t="shared" si="3"/>
        <v>0</v>
      </c>
      <c r="N38" s="748" t="s">
        <v>27854</v>
      </c>
      <c r="O38" s="748" t="s">
        <v>27691</v>
      </c>
      <c r="P38" s="923" t="s">
        <v>27688</v>
      </c>
    </row>
    <row r="39" spans="1:16" ht="14.45" customHeight="1" x14ac:dyDescent="0.35">
      <c r="A39" s="1397" t="s">
        <v>27855</v>
      </c>
      <c r="B39" s="1456" t="s">
        <v>204</v>
      </c>
      <c r="C39" s="1455" t="s">
        <v>27769</v>
      </c>
      <c r="D39" s="1870">
        <v>0</v>
      </c>
      <c r="E39" s="1871">
        <v>0</v>
      </c>
      <c r="F39" s="1872">
        <v>0</v>
      </c>
      <c r="G39" s="1870">
        <v>0</v>
      </c>
      <c r="H39" s="1871">
        <v>0</v>
      </c>
      <c r="I39" s="1873">
        <v>0</v>
      </c>
      <c r="J39" s="1874">
        <f t="shared" si="1"/>
        <v>0</v>
      </c>
      <c r="K39" s="1875">
        <f t="shared" si="2"/>
        <v>0</v>
      </c>
      <c r="L39" s="1910">
        <f t="shared" si="3"/>
        <v>0</v>
      </c>
      <c r="N39" s="748" t="s">
        <v>27856</v>
      </c>
      <c r="O39" s="748" t="s">
        <v>27685</v>
      </c>
      <c r="P39" s="923" t="s">
        <v>27826</v>
      </c>
    </row>
    <row r="40" spans="1:16" ht="14.45" customHeight="1" x14ac:dyDescent="0.35">
      <c r="A40" s="959" t="s">
        <v>27855</v>
      </c>
      <c r="B40" s="925" t="s">
        <v>204</v>
      </c>
      <c r="C40" s="1546" t="s">
        <v>210</v>
      </c>
      <c r="D40" s="1651">
        <v>0</v>
      </c>
      <c r="E40" s="945">
        <v>0</v>
      </c>
      <c r="F40" s="946">
        <v>0</v>
      </c>
      <c r="G40" s="1651">
        <v>0</v>
      </c>
      <c r="H40" s="945">
        <v>0</v>
      </c>
      <c r="I40" s="947">
        <v>0</v>
      </c>
      <c r="J40" s="1652">
        <f t="shared" si="1"/>
        <v>0</v>
      </c>
      <c r="K40" s="948">
        <f t="shared" si="2"/>
        <v>0</v>
      </c>
      <c r="L40" s="973">
        <f t="shared" si="3"/>
        <v>0</v>
      </c>
      <c r="N40" s="748" t="s">
        <v>27856</v>
      </c>
      <c r="O40" s="748" t="s">
        <v>27685</v>
      </c>
      <c r="P40" s="923" t="s">
        <v>27688</v>
      </c>
    </row>
    <row r="41" spans="1:16" ht="14.45" customHeight="1" x14ac:dyDescent="0.35">
      <c r="A41" s="924" t="s">
        <v>27855</v>
      </c>
      <c r="B41" s="929" t="s">
        <v>218</v>
      </c>
      <c r="C41" s="1547" t="s">
        <v>27769</v>
      </c>
      <c r="D41" s="930">
        <v>0</v>
      </c>
      <c r="E41" s="931">
        <v>0</v>
      </c>
      <c r="F41" s="932">
        <v>0</v>
      </c>
      <c r="G41" s="930">
        <v>0</v>
      </c>
      <c r="H41" s="931">
        <v>0</v>
      </c>
      <c r="I41" s="950">
        <v>0</v>
      </c>
      <c r="J41" s="935">
        <f t="shared" si="1"/>
        <v>0</v>
      </c>
      <c r="K41" s="936">
        <f t="shared" si="2"/>
        <v>0</v>
      </c>
      <c r="L41" s="975">
        <f t="shared" si="3"/>
        <v>0</v>
      </c>
      <c r="N41" s="748" t="s">
        <v>27856</v>
      </c>
      <c r="O41" s="748" t="s">
        <v>27691</v>
      </c>
      <c r="P41" s="923" t="s">
        <v>27826</v>
      </c>
    </row>
    <row r="42" spans="1:16" ht="14.45" customHeight="1" x14ac:dyDescent="0.35">
      <c r="A42" s="924" t="s">
        <v>27855</v>
      </c>
      <c r="B42" s="925" t="s">
        <v>218</v>
      </c>
      <c r="C42" s="1378" t="s">
        <v>210</v>
      </c>
      <c r="D42" s="954">
        <v>0</v>
      </c>
      <c r="E42" s="952">
        <v>0</v>
      </c>
      <c r="F42" s="953">
        <v>0</v>
      </c>
      <c r="G42" s="954">
        <v>0</v>
      </c>
      <c r="H42" s="952">
        <v>0</v>
      </c>
      <c r="I42" s="955">
        <v>0</v>
      </c>
      <c r="J42" s="956">
        <f t="shared" si="1"/>
        <v>0</v>
      </c>
      <c r="K42" s="957">
        <f t="shared" si="2"/>
        <v>0</v>
      </c>
      <c r="L42" s="994">
        <f t="shared" si="3"/>
        <v>0</v>
      </c>
      <c r="N42" s="748" t="s">
        <v>27856</v>
      </c>
      <c r="O42" s="748" t="s">
        <v>27691</v>
      </c>
      <c r="P42" s="923" t="s">
        <v>27688</v>
      </c>
    </row>
    <row r="43" spans="1:16" ht="14.45" customHeight="1" x14ac:dyDescent="0.35">
      <c r="A43" s="1397" t="s">
        <v>27857</v>
      </c>
      <c r="B43" s="1456" t="s">
        <v>204</v>
      </c>
      <c r="C43" s="1455" t="s">
        <v>27769</v>
      </c>
      <c r="D43" s="1870">
        <v>0</v>
      </c>
      <c r="E43" s="1871">
        <v>0</v>
      </c>
      <c r="F43" s="1872">
        <v>0</v>
      </c>
      <c r="G43" s="1870">
        <v>0</v>
      </c>
      <c r="H43" s="1871">
        <v>0</v>
      </c>
      <c r="I43" s="1873">
        <v>0</v>
      </c>
      <c r="J43" s="1874">
        <f t="shared" si="1"/>
        <v>0</v>
      </c>
      <c r="K43" s="1875">
        <f t="shared" si="2"/>
        <v>0</v>
      </c>
      <c r="L43" s="1910">
        <f t="shared" si="3"/>
        <v>0</v>
      </c>
      <c r="N43" s="748" t="s">
        <v>27858</v>
      </c>
      <c r="O43" s="748" t="s">
        <v>27685</v>
      </c>
      <c r="P43" s="923" t="s">
        <v>27826</v>
      </c>
    </row>
    <row r="44" spans="1:16" ht="14.45" customHeight="1" x14ac:dyDescent="0.35">
      <c r="A44" s="959" t="s">
        <v>27857</v>
      </c>
      <c r="B44" s="925" t="s">
        <v>204</v>
      </c>
      <c r="C44" s="1546" t="s">
        <v>210</v>
      </c>
      <c r="D44" s="1651">
        <v>0</v>
      </c>
      <c r="E44" s="945">
        <v>0</v>
      </c>
      <c r="F44" s="946">
        <v>0</v>
      </c>
      <c r="G44" s="1651">
        <v>0</v>
      </c>
      <c r="H44" s="945">
        <v>0</v>
      </c>
      <c r="I44" s="947">
        <v>0</v>
      </c>
      <c r="J44" s="1652">
        <f t="shared" si="1"/>
        <v>0</v>
      </c>
      <c r="K44" s="948">
        <f t="shared" si="2"/>
        <v>0</v>
      </c>
      <c r="L44" s="973">
        <f t="shared" si="3"/>
        <v>0</v>
      </c>
      <c r="N44" s="748" t="s">
        <v>27858</v>
      </c>
      <c r="O44" s="748" t="s">
        <v>27685</v>
      </c>
      <c r="P44" s="923" t="s">
        <v>27688</v>
      </c>
    </row>
    <row r="45" spans="1:16" ht="14.45" customHeight="1" x14ac:dyDescent="0.35">
      <c r="A45" s="924" t="s">
        <v>27857</v>
      </c>
      <c r="B45" s="929" t="s">
        <v>218</v>
      </c>
      <c r="C45" s="1547" t="s">
        <v>27769</v>
      </c>
      <c r="D45" s="930">
        <v>0</v>
      </c>
      <c r="E45" s="931">
        <v>0</v>
      </c>
      <c r="F45" s="932">
        <v>0</v>
      </c>
      <c r="G45" s="930">
        <v>0</v>
      </c>
      <c r="H45" s="931">
        <v>0</v>
      </c>
      <c r="I45" s="950">
        <v>0</v>
      </c>
      <c r="J45" s="935">
        <f t="shared" si="1"/>
        <v>0</v>
      </c>
      <c r="K45" s="936">
        <f t="shared" si="2"/>
        <v>0</v>
      </c>
      <c r="L45" s="975">
        <f t="shared" si="3"/>
        <v>0</v>
      </c>
      <c r="N45" s="748" t="s">
        <v>27858</v>
      </c>
      <c r="O45" s="748" t="s">
        <v>27691</v>
      </c>
      <c r="P45" s="923" t="s">
        <v>27826</v>
      </c>
    </row>
    <row r="46" spans="1:16" ht="14.45" customHeight="1" x14ac:dyDescent="0.35">
      <c r="A46" s="924" t="s">
        <v>27857</v>
      </c>
      <c r="B46" s="925" t="s">
        <v>218</v>
      </c>
      <c r="C46" s="1378" t="s">
        <v>210</v>
      </c>
      <c r="D46" s="954">
        <v>0</v>
      </c>
      <c r="E46" s="952">
        <v>0</v>
      </c>
      <c r="F46" s="953">
        <v>0</v>
      </c>
      <c r="G46" s="954">
        <v>0</v>
      </c>
      <c r="H46" s="952">
        <v>0</v>
      </c>
      <c r="I46" s="955">
        <v>0</v>
      </c>
      <c r="J46" s="956">
        <f t="shared" si="1"/>
        <v>0</v>
      </c>
      <c r="K46" s="957">
        <f t="shared" si="2"/>
        <v>0</v>
      </c>
      <c r="L46" s="994">
        <f t="shared" si="3"/>
        <v>0</v>
      </c>
      <c r="N46" s="748" t="s">
        <v>27858</v>
      </c>
      <c r="O46" s="748" t="s">
        <v>27691</v>
      </c>
      <c r="P46" s="923" t="s">
        <v>27688</v>
      </c>
    </row>
    <row r="47" spans="1:16" ht="14.45" customHeight="1" x14ac:dyDescent="0.35">
      <c r="A47" s="1397" t="s">
        <v>27859</v>
      </c>
      <c r="B47" s="1456" t="s">
        <v>204</v>
      </c>
      <c r="C47" s="1455" t="s">
        <v>27769</v>
      </c>
      <c r="D47" s="1870">
        <v>0</v>
      </c>
      <c r="E47" s="1871">
        <v>0</v>
      </c>
      <c r="F47" s="1872">
        <v>0</v>
      </c>
      <c r="G47" s="1870">
        <v>0</v>
      </c>
      <c r="H47" s="1871">
        <v>0</v>
      </c>
      <c r="I47" s="1873">
        <v>0</v>
      </c>
      <c r="J47" s="1874">
        <f t="shared" si="1"/>
        <v>0</v>
      </c>
      <c r="K47" s="1875">
        <f t="shared" si="2"/>
        <v>0</v>
      </c>
      <c r="L47" s="1910">
        <f t="shared" si="3"/>
        <v>0</v>
      </c>
      <c r="N47" s="748" t="s">
        <v>27860</v>
      </c>
      <c r="O47" s="748" t="s">
        <v>27685</v>
      </c>
      <c r="P47" s="923" t="s">
        <v>27826</v>
      </c>
    </row>
    <row r="48" spans="1:16" ht="14.45" customHeight="1" x14ac:dyDescent="0.35">
      <c r="A48" s="959" t="s">
        <v>27859</v>
      </c>
      <c r="B48" s="925" t="s">
        <v>204</v>
      </c>
      <c r="C48" s="1546" t="s">
        <v>210</v>
      </c>
      <c r="D48" s="1651">
        <v>0</v>
      </c>
      <c r="E48" s="945">
        <v>0</v>
      </c>
      <c r="F48" s="946">
        <v>0</v>
      </c>
      <c r="G48" s="1651">
        <v>0</v>
      </c>
      <c r="H48" s="945">
        <v>0</v>
      </c>
      <c r="I48" s="947">
        <v>0</v>
      </c>
      <c r="J48" s="1652">
        <f t="shared" si="1"/>
        <v>0</v>
      </c>
      <c r="K48" s="948">
        <f t="shared" si="2"/>
        <v>0</v>
      </c>
      <c r="L48" s="973">
        <f t="shared" si="3"/>
        <v>0</v>
      </c>
      <c r="N48" s="748" t="s">
        <v>27860</v>
      </c>
      <c r="O48" s="748" t="s">
        <v>27685</v>
      </c>
      <c r="P48" s="923" t="s">
        <v>27688</v>
      </c>
    </row>
    <row r="49" spans="1:16" ht="14.45" customHeight="1" x14ac:dyDescent="0.35">
      <c r="A49" s="924" t="s">
        <v>27859</v>
      </c>
      <c r="B49" s="929" t="s">
        <v>218</v>
      </c>
      <c r="C49" s="1547" t="s">
        <v>27769</v>
      </c>
      <c r="D49" s="930">
        <v>0</v>
      </c>
      <c r="E49" s="931">
        <v>0</v>
      </c>
      <c r="F49" s="932">
        <v>0</v>
      </c>
      <c r="G49" s="930">
        <v>0</v>
      </c>
      <c r="H49" s="931">
        <v>0</v>
      </c>
      <c r="I49" s="950">
        <v>0</v>
      </c>
      <c r="J49" s="935">
        <f t="shared" si="1"/>
        <v>0</v>
      </c>
      <c r="K49" s="936">
        <f t="shared" si="2"/>
        <v>0</v>
      </c>
      <c r="L49" s="975">
        <f t="shared" si="3"/>
        <v>0</v>
      </c>
      <c r="N49" s="748" t="s">
        <v>27860</v>
      </c>
      <c r="O49" s="748" t="s">
        <v>27691</v>
      </c>
      <c r="P49" s="923" t="s">
        <v>27826</v>
      </c>
    </row>
    <row r="50" spans="1:16" ht="14.45" customHeight="1" x14ac:dyDescent="0.35">
      <c r="A50" s="924" t="s">
        <v>27859</v>
      </c>
      <c r="B50" s="925" t="s">
        <v>218</v>
      </c>
      <c r="C50" s="1378" t="s">
        <v>210</v>
      </c>
      <c r="D50" s="954">
        <v>0</v>
      </c>
      <c r="E50" s="952">
        <v>0</v>
      </c>
      <c r="F50" s="953">
        <v>0</v>
      </c>
      <c r="G50" s="954">
        <v>0</v>
      </c>
      <c r="H50" s="952">
        <v>0</v>
      </c>
      <c r="I50" s="955">
        <v>0</v>
      </c>
      <c r="J50" s="956">
        <f t="shared" si="1"/>
        <v>0</v>
      </c>
      <c r="K50" s="957">
        <f t="shared" si="2"/>
        <v>0</v>
      </c>
      <c r="L50" s="994">
        <f t="shared" si="3"/>
        <v>0</v>
      </c>
      <c r="N50" s="748" t="s">
        <v>27860</v>
      </c>
      <c r="O50" s="748" t="s">
        <v>27691</v>
      </c>
      <c r="P50" s="923" t="s">
        <v>27688</v>
      </c>
    </row>
    <row r="51" spans="1:16" ht="14.45" customHeight="1" x14ac:dyDescent="0.35">
      <c r="A51" s="1397" t="s">
        <v>27861</v>
      </c>
      <c r="B51" s="1456" t="s">
        <v>204</v>
      </c>
      <c r="C51" s="1455" t="s">
        <v>27769</v>
      </c>
      <c r="D51" s="1870">
        <v>0</v>
      </c>
      <c r="E51" s="1871">
        <v>0</v>
      </c>
      <c r="F51" s="1872">
        <v>0</v>
      </c>
      <c r="G51" s="1870">
        <v>0</v>
      </c>
      <c r="H51" s="1871">
        <v>0</v>
      </c>
      <c r="I51" s="1873">
        <v>0</v>
      </c>
      <c r="J51" s="1874">
        <f t="shared" si="1"/>
        <v>0</v>
      </c>
      <c r="K51" s="1875">
        <f t="shared" si="2"/>
        <v>0</v>
      </c>
      <c r="L51" s="1910">
        <f t="shared" si="3"/>
        <v>0</v>
      </c>
      <c r="N51" s="748" t="s">
        <v>27862</v>
      </c>
      <c r="O51" s="748" t="s">
        <v>27685</v>
      </c>
      <c r="P51" s="923" t="s">
        <v>27826</v>
      </c>
    </row>
    <row r="52" spans="1:16" ht="14.45" customHeight="1" x14ac:dyDescent="0.35">
      <c r="A52" s="959" t="s">
        <v>27861</v>
      </c>
      <c r="B52" s="925" t="s">
        <v>204</v>
      </c>
      <c r="C52" s="1546" t="s">
        <v>210</v>
      </c>
      <c r="D52" s="1651">
        <v>0</v>
      </c>
      <c r="E52" s="945">
        <v>0</v>
      </c>
      <c r="F52" s="946">
        <v>0</v>
      </c>
      <c r="G52" s="1651">
        <v>0</v>
      </c>
      <c r="H52" s="945">
        <v>0</v>
      </c>
      <c r="I52" s="947">
        <v>0</v>
      </c>
      <c r="J52" s="1652">
        <f t="shared" si="1"/>
        <v>0</v>
      </c>
      <c r="K52" s="948">
        <f t="shared" si="2"/>
        <v>0</v>
      </c>
      <c r="L52" s="973">
        <f t="shared" si="3"/>
        <v>0</v>
      </c>
      <c r="N52" s="748" t="s">
        <v>27862</v>
      </c>
      <c r="O52" s="748" t="s">
        <v>27685</v>
      </c>
      <c r="P52" s="923" t="s">
        <v>27688</v>
      </c>
    </row>
    <row r="53" spans="1:16" ht="14.45" customHeight="1" x14ac:dyDescent="0.35">
      <c r="A53" s="924" t="s">
        <v>27861</v>
      </c>
      <c r="B53" s="929" t="s">
        <v>218</v>
      </c>
      <c r="C53" s="1547" t="s">
        <v>27769</v>
      </c>
      <c r="D53" s="930">
        <v>0</v>
      </c>
      <c r="E53" s="931">
        <v>0</v>
      </c>
      <c r="F53" s="932">
        <v>0</v>
      </c>
      <c r="G53" s="930">
        <v>0</v>
      </c>
      <c r="H53" s="931">
        <v>0</v>
      </c>
      <c r="I53" s="950">
        <v>0</v>
      </c>
      <c r="J53" s="935">
        <f t="shared" si="1"/>
        <v>0</v>
      </c>
      <c r="K53" s="936">
        <f t="shared" si="2"/>
        <v>0</v>
      </c>
      <c r="L53" s="975">
        <f t="shared" si="3"/>
        <v>0</v>
      </c>
      <c r="N53" s="748" t="s">
        <v>27862</v>
      </c>
      <c r="O53" s="748" t="s">
        <v>27691</v>
      </c>
      <c r="P53" s="923" t="s">
        <v>27826</v>
      </c>
    </row>
    <row r="54" spans="1:16" ht="14.45" customHeight="1" x14ac:dyDescent="0.35">
      <c r="A54" s="924" t="s">
        <v>27861</v>
      </c>
      <c r="B54" s="925" t="s">
        <v>218</v>
      </c>
      <c r="C54" s="1378" t="s">
        <v>210</v>
      </c>
      <c r="D54" s="954">
        <v>0</v>
      </c>
      <c r="E54" s="952">
        <v>0</v>
      </c>
      <c r="F54" s="953">
        <v>0</v>
      </c>
      <c r="G54" s="954">
        <v>0</v>
      </c>
      <c r="H54" s="952">
        <v>0</v>
      </c>
      <c r="I54" s="955">
        <v>0</v>
      </c>
      <c r="J54" s="956">
        <f t="shared" si="1"/>
        <v>0</v>
      </c>
      <c r="K54" s="957">
        <f t="shared" si="2"/>
        <v>0</v>
      </c>
      <c r="L54" s="994">
        <f t="shared" si="3"/>
        <v>0</v>
      </c>
      <c r="N54" s="748" t="s">
        <v>27862</v>
      </c>
      <c r="O54" s="748" t="s">
        <v>27691</v>
      </c>
      <c r="P54" s="923" t="s">
        <v>27688</v>
      </c>
    </row>
    <row r="55" spans="1:16" ht="14.45" customHeight="1" x14ac:dyDescent="0.35">
      <c r="A55" s="1397" t="s">
        <v>27863</v>
      </c>
      <c r="B55" s="1456" t="s">
        <v>204</v>
      </c>
      <c r="C55" s="1455" t="s">
        <v>27769</v>
      </c>
      <c r="D55" s="1870">
        <v>0</v>
      </c>
      <c r="E55" s="1871">
        <v>0</v>
      </c>
      <c r="F55" s="1872">
        <v>0</v>
      </c>
      <c r="G55" s="1870">
        <v>0</v>
      </c>
      <c r="H55" s="1871">
        <v>0</v>
      </c>
      <c r="I55" s="1873">
        <v>0</v>
      </c>
      <c r="J55" s="1874">
        <f t="shared" si="1"/>
        <v>0</v>
      </c>
      <c r="K55" s="1875">
        <f t="shared" si="2"/>
        <v>0</v>
      </c>
      <c r="L55" s="1910">
        <f t="shared" si="3"/>
        <v>0</v>
      </c>
      <c r="N55" s="748" t="s">
        <v>27864</v>
      </c>
      <c r="O55" s="748" t="s">
        <v>27685</v>
      </c>
      <c r="P55" s="923" t="s">
        <v>27826</v>
      </c>
    </row>
    <row r="56" spans="1:16" ht="14.45" customHeight="1" x14ac:dyDescent="0.35">
      <c r="A56" s="959" t="s">
        <v>27863</v>
      </c>
      <c r="B56" s="925" t="s">
        <v>204</v>
      </c>
      <c r="C56" s="1546" t="s">
        <v>210</v>
      </c>
      <c r="D56" s="1651">
        <v>0</v>
      </c>
      <c r="E56" s="945">
        <v>0</v>
      </c>
      <c r="F56" s="946">
        <v>0</v>
      </c>
      <c r="G56" s="1651">
        <v>0</v>
      </c>
      <c r="H56" s="945">
        <v>0</v>
      </c>
      <c r="I56" s="947">
        <v>0</v>
      </c>
      <c r="J56" s="1652">
        <f t="shared" si="1"/>
        <v>0</v>
      </c>
      <c r="K56" s="948">
        <f t="shared" si="2"/>
        <v>0</v>
      </c>
      <c r="L56" s="973">
        <f t="shared" si="3"/>
        <v>0</v>
      </c>
      <c r="N56" s="748" t="s">
        <v>27864</v>
      </c>
      <c r="O56" s="748" t="s">
        <v>27685</v>
      </c>
      <c r="P56" s="923" t="s">
        <v>27688</v>
      </c>
    </row>
    <row r="57" spans="1:16" ht="14.45" customHeight="1" x14ac:dyDescent="0.35">
      <c r="A57" s="924" t="s">
        <v>27863</v>
      </c>
      <c r="B57" s="929" t="s">
        <v>218</v>
      </c>
      <c r="C57" s="1547" t="s">
        <v>27769</v>
      </c>
      <c r="D57" s="930">
        <v>0</v>
      </c>
      <c r="E57" s="931">
        <v>0</v>
      </c>
      <c r="F57" s="932">
        <v>0</v>
      </c>
      <c r="G57" s="930">
        <v>0</v>
      </c>
      <c r="H57" s="931">
        <v>0</v>
      </c>
      <c r="I57" s="950">
        <v>0</v>
      </c>
      <c r="J57" s="935">
        <f t="shared" si="1"/>
        <v>0</v>
      </c>
      <c r="K57" s="936">
        <f t="shared" si="2"/>
        <v>0</v>
      </c>
      <c r="L57" s="975">
        <f t="shared" si="3"/>
        <v>0</v>
      </c>
      <c r="N57" s="748" t="s">
        <v>27864</v>
      </c>
      <c r="O57" s="748" t="s">
        <v>27691</v>
      </c>
      <c r="P57" s="923" t="s">
        <v>27826</v>
      </c>
    </row>
    <row r="58" spans="1:16" ht="14.45" customHeight="1" x14ac:dyDescent="0.35">
      <c r="A58" s="924" t="s">
        <v>27863</v>
      </c>
      <c r="B58" s="925" t="s">
        <v>218</v>
      </c>
      <c r="C58" s="1378" t="s">
        <v>210</v>
      </c>
      <c r="D58" s="954">
        <v>0</v>
      </c>
      <c r="E58" s="952">
        <v>0</v>
      </c>
      <c r="F58" s="953">
        <v>0</v>
      </c>
      <c r="G58" s="954">
        <v>0</v>
      </c>
      <c r="H58" s="952">
        <v>0</v>
      </c>
      <c r="I58" s="955">
        <v>0</v>
      </c>
      <c r="J58" s="956">
        <f t="shared" si="1"/>
        <v>0</v>
      </c>
      <c r="K58" s="957">
        <f t="shared" si="2"/>
        <v>0</v>
      </c>
      <c r="L58" s="994">
        <f t="shared" si="3"/>
        <v>0</v>
      </c>
      <c r="N58" s="748" t="s">
        <v>27864</v>
      </c>
      <c r="O58" s="748" t="s">
        <v>27691</v>
      </c>
      <c r="P58" s="923" t="s">
        <v>27688</v>
      </c>
    </row>
    <row r="59" spans="1:16" ht="14.45" customHeight="1" x14ac:dyDescent="0.35">
      <c r="A59" s="1455" t="s">
        <v>27865</v>
      </c>
      <c r="B59" s="1456" t="s">
        <v>204</v>
      </c>
      <c r="C59" s="1455" t="s">
        <v>27769</v>
      </c>
      <c r="D59" s="1870">
        <v>0</v>
      </c>
      <c r="E59" s="1871">
        <v>0</v>
      </c>
      <c r="F59" s="1872">
        <v>0</v>
      </c>
      <c r="G59" s="1870">
        <v>0</v>
      </c>
      <c r="H59" s="1871">
        <v>0</v>
      </c>
      <c r="I59" s="1873">
        <v>0</v>
      </c>
      <c r="J59" s="1874">
        <f t="shared" si="1"/>
        <v>0</v>
      </c>
      <c r="K59" s="1875">
        <f t="shared" si="2"/>
        <v>0</v>
      </c>
      <c r="L59" s="1910">
        <f t="shared" si="3"/>
        <v>0</v>
      </c>
      <c r="N59" s="748" t="s">
        <v>27866</v>
      </c>
      <c r="O59" s="748" t="s">
        <v>27685</v>
      </c>
      <c r="P59" s="923" t="s">
        <v>27826</v>
      </c>
    </row>
    <row r="60" spans="1:16" ht="14.45" customHeight="1" x14ac:dyDescent="0.35">
      <c r="A60" s="924" t="s">
        <v>27865</v>
      </c>
      <c r="B60" s="925" t="s">
        <v>204</v>
      </c>
      <c r="C60" s="1546" t="s">
        <v>210</v>
      </c>
      <c r="D60" s="1651">
        <v>0</v>
      </c>
      <c r="E60" s="945">
        <v>0</v>
      </c>
      <c r="F60" s="946">
        <v>0</v>
      </c>
      <c r="G60" s="1651">
        <v>0</v>
      </c>
      <c r="H60" s="945">
        <v>0</v>
      </c>
      <c r="I60" s="947">
        <v>0</v>
      </c>
      <c r="J60" s="1652">
        <f t="shared" si="1"/>
        <v>0</v>
      </c>
      <c r="K60" s="948">
        <f t="shared" si="2"/>
        <v>0</v>
      </c>
      <c r="L60" s="973">
        <f t="shared" si="3"/>
        <v>0</v>
      </c>
      <c r="N60" s="748" t="s">
        <v>27866</v>
      </c>
      <c r="O60" s="748" t="s">
        <v>27685</v>
      </c>
      <c r="P60" s="923" t="s">
        <v>27688</v>
      </c>
    </row>
    <row r="61" spans="1:16" ht="14.45" customHeight="1" x14ac:dyDescent="0.35">
      <c r="A61" s="924" t="s">
        <v>27865</v>
      </c>
      <c r="B61" s="929" t="s">
        <v>218</v>
      </c>
      <c r="C61" s="1547" t="s">
        <v>27769</v>
      </c>
      <c r="D61" s="930">
        <v>0</v>
      </c>
      <c r="E61" s="931">
        <v>0</v>
      </c>
      <c r="F61" s="932">
        <v>0</v>
      </c>
      <c r="G61" s="930">
        <v>0</v>
      </c>
      <c r="H61" s="931">
        <v>0</v>
      </c>
      <c r="I61" s="950">
        <v>0</v>
      </c>
      <c r="J61" s="935">
        <f t="shared" si="1"/>
        <v>0</v>
      </c>
      <c r="K61" s="936">
        <f t="shared" si="2"/>
        <v>0</v>
      </c>
      <c r="L61" s="975">
        <f t="shared" si="3"/>
        <v>0</v>
      </c>
      <c r="N61" s="748" t="s">
        <v>27866</v>
      </c>
      <c r="O61" s="748" t="s">
        <v>27691</v>
      </c>
      <c r="P61" s="923" t="s">
        <v>27826</v>
      </c>
    </row>
    <row r="62" spans="1:16" ht="14.45" customHeight="1" x14ac:dyDescent="0.35">
      <c r="A62" s="924" t="s">
        <v>27865</v>
      </c>
      <c r="B62" s="925" t="s">
        <v>218</v>
      </c>
      <c r="C62" s="1378" t="s">
        <v>210</v>
      </c>
      <c r="D62" s="954">
        <v>0</v>
      </c>
      <c r="E62" s="952">
        <v>0</v>
      </c>
      <c r="F62" s="953">
        <v>0</v>
      </c>
      <c r="G62" s="954">
        <v>0</v>
      </c>
      <c r="H62" s="952">
        <v>0</v>
      </c>
      <c r="I62" s="955">
        <v>0</v>
      </c>
      <c r="J62" s="956">
        <f t="shared" si="1"/>
        <v>0</v>
      </c>
      <c r="K62" s="957">
        <f t="shared" si="2"/>
        <v>0</v>
      </c>
      <c r="L62" s="994">
        <f t="shared" si="3"/>
        <v>0</v>
      </c>
      <c r="N62" s="748" t="s">
        <v>27866</v>
      </c>
      <c r="O62" s="748" t="s">
        <v>27691</v>
      </c>
      <c r="P62" s="923" t="s">
        <v>27688</v>
      </c>
    </row>
    <row r="63" spans="1:16" ht="14.45" customHeight="1" x14ac:dyDescent="0.35">
      <c r="A63" s="1397" t="s">
        <v>27867</v>
      </c>
      <c r="B63" s="1456" t="s">
        <v>204</v>
      </c>
      <c r="C63" s="1455" t="s">
        <v>27769</v>
      </c>
      <c r="D63" s="1870">
        <v>0</v>
      </c>
      <c r="E63" s="1871">
        <v>0</v>
      </c>
      <c r="F63" s="1872">
        <v>0</v>
      </c>
      <c r="G63" s="1870">
        <v>0</v>
      </c>
      <c r="H63" s="1871">
        <v>0</v>
      </c>
      <c r="I63" s="1873">
        <v>0</v>
      </c>
      <c r="J63" s="1874">
        <f t="shared" si="1"/>
        <v>0</v>
      </c>
      <c r="K63" s="1875">
        <f t="shared" si="2"/>
        <v>0</v>
      </c>
      <c r="L63" s="1910">
        <f t="shared" si="3"/>
        <v>0</v>
      </c>
      <c r="N63" s="748" t="s">
        <v>27868</v>
      </c>
      <c r="O63" s="748" t="s">
        <v>27685</v>
      </c>
      <c r="P63" s="923" t="s">
        <v>27826</v>
      </c>
    </row>
    <row r="64" spans="1:16" ht="14.45" customHeight="1" x14ac:dyDescent="0.35">
      <c r="A64" s="959" t="s">
        <v>27867</v>
      </c>
      <c r="B64" s="925" t="s">
        <v>204</v>
      </c>
      <c r="C64" s="1546" t="s">
        <v>210</v>
      </c>
      <c r="D64" s="1651">
        <v>0</v>
      </c>
      <c r="E64" s="945">
        <v>0</v>
      </c>
      <c r="F64" s="946">
        <v>0</v>
      </c>
      <c r="G64" s="1651">
        <v>0</v>
      </c>
      <c r="H64" s="945">
        <v>0</v>
      </c>
      <c r="I64" s="947">
        <v>0</v>
      </c>
      <c r="J64" s="1652">
        <f t="shared" si="1"/>
        <v>0</v>
      </c>
      <c r="K64" s="948">
        <f t="shared" si="2"/>
        <v>0</v>
      </c>
      <c r="L64" s="973">
        <f t="shared" si="3"/>
        <v>0</v>
      </c>
      <c r="N64" s="748" t="s">
        <v>27868</v>
      </c>
      <c r="O64" s="748" t="s">
        <v>27685</v>
      </c>
      <c r="P64" s="923" t="s">
        <v>27688</v>
      </c>
    </row>
    <row r="65" spans="1:16" ht="14.45" customHeight="1" x14ac:dyDescent="0.35">
      <c r="A65" s="924" t="s">
        <v>27867</v>
      </c>
      <c r="B65" s="929" t="s">
        <v>218</v>
      </c>
      <c r="C65" s="1547" t="s">
        <v>27769</v>
      </c>
      <c r="D65" s="930">
        <v>0</v>
      </c>
      <c r="E65" s="931">
        <v>0</v>
      </c>
      <c r="F65" s="932">
        <v>0</v>
      </c>
      <c r="G65" s="930">
        <v>0</v>
      </c>
      <c r="H65" s="931">
        <v>0</v>
      </c>
      <c r="I65" s="950">
        <v>0</v>
      </c>
      <c r="J65" s="935">
        <f t="shared" si="1"/>
        <v>0</v>
      </c>
      <c r="K65" s="936">
        <f t="shared" si="2"/>
        <v>0</v>
      </c>
      <c r="L65" s="975">
        <f t="shared" si="3"/>
        <v>0</v>
      </c>
      <c r="N65" s="748" t="s">
        <v>27868</v>
      </c>
      <c r="O65" s="748" t="s">
        <v>27691</v>
      </c>
      <c r="P65" s="923" t="s">
        <v>27826</v>
      </c>
    </row>
    <row r="66" spans="1:16" ht="14.45" customHeight="1" x14ac:dyDescent="0.35">
      <c r="A66" s="924" t="s">
        <v>27867</v>
      </c>
      <c r="B66" s="925" t="s">
        <v>218</v>
      </c>
      <c r="C66" s="1378" t="s">
        <v>210</v>
      </c>
      <c r="D66" s="960">
        <v>0</v>
      </c>
      <c r="E66" s="961">
        <v>0</v>
      </c>
      <c r="F66" s="962">
        <v>0</v>
      </c>
      <c r="G66" s="960">
        <v>0</v>
      </c>
      <c r="H66" s="961">
        <v>0</v>
      </c>
      <c r="I66" s="1457">
        <v>0</v>
      </c>
      <c r="J66" s="963">
        <f t="shared" si="1"/>
        <v>0</v>
      </c>
      <c r="K66" s="964">
        <f t="shared" si="2"/>
        <v>0</v>
      </c>
      <c r="L66" s="1458">
        <f t="shared" si="3"/>
        <v>0</v>
      </c>
      <c r="N66" s="748" t="s">
        <v>27868</v>
      </c>
      <c r="O66" s="748" t="s">
        <v>27691</v>
      </c>
      <c r="P66" s="923" t="s">
        <v>27688</v>
      </c>
    </row>
    <row r="67" spans="1:16" ht="14.45" customHeight="1" x14ac:dyDescent="0.35">
      <c r="A67" s="1455" t="s">
        <v>27869</v>
      </c>
      <c r="B67" s="1456" t="s">
        <v>204</v>
      </c>
      <c r="C67" s="1455" t="s">
        <v>27769</v>
      </c>
      <c r="D67" s="1870">
        <v>0</v>
      </c>
      <c r="E67" s="1871">
        <v>0</v>
      </c>
      <c r="F67" s="1872">
        <v>0</v>
      </c>
      <c r="G67" s="1870">
        <v>0</v>
      </c>
      <c r="H67" s="1871">
        <v>0</v>
      </c>
      <c r="I67" s="1873">
        <v>0</v>
      </c>
      <c r="J67" s="1874">
        <f t="shared" si="1"/>
        <v>0</v>
      </c>
      <c r="K67" s="1875">
        <f t="shared" si="2"/>
        <v>0</v>
      </c>
      <c r="L67" s="1910">
        <f t="shared" si="3"/>
        <v>0</v>
      </c>
      <c r="N67" s="748" t="s">
        <v>27870</v>
      </c>
      <c r="O67" s="748" t="s">
        <v>27685</v>
      </c>
      <c r="P67" s="923" t="s">
        <v>27826</v>
      </c>
    </row>
    <row r="68" spans="1:16" ht="14.45" customHeight="1" x14ac:dyDescent="0.35">
      <c r="A68" s="924" t="s">
        <v>27869</v>
      </c>
      <c r="B68" s="925" t="s">
        <v>204</v>
      </c>
      <c r="C68" s="1546" t="s">
        <v>210</v>
      </c>
      <c r="D68" s="1651">
        <v>0</v>
      </c>
      <c r="E68" s="945">
        <v>0</v>
      </c>
      <c r="F68" s="946">
        <v>0</v>
      </c>
      <c r="G68" s="1651">
        <v>0</v>
      </c>
      <c r="H68" s="945">
        <v>0</v>
      </c>
      <c r="I68" s="947">
        <v>0</v>
      </c>
      <c r="J68" s="1652">
        <f t="shared" si="1"/>
        <v>0</v>
      </c>
      <c r="K68" s="948">
        <f t="shared" si="2"/>
        <v>0</v>
      </c>
      <c r="L68" s="973">
        <f t="shared" si="3"/>
        <v>0</v>
      </c>
      <c r="N68" s="748" t="s">
        <v>27870</v>
      </c>
      <c r="O68" s="748" t="s">
        <v>27685</v>
      </c>
      <c r="P68" s="923" t="s">
        <v>27688</v>
      </c>
    </row>
    <row r="69" spans="1:16" ht="14.45" customHeight="1" x14ac:dyDescent="0.35">
      <c r="A69" s="924" t="s">
        <v>27869</v>
      </c>
      <c r="B69" s="929" t="s">
        <v>218</v>
      </c>
      <c r="C69" s="1547" t="s">
        <v>27769</v>
      </c>
      <c r="D69" s="930">
        <v>0</v>
      </c>
      <c r="E69" s="931">
        <v>0</v>
      </c>
      <c r="F69" s="932">
        <v>0</v>
      </c>
      <c r="G69" s="930">
        <v>0</v>
      </c>
      <c r="H69" s="931">
        <v>0</v>
      </c>
      <c r="I69" s="950">
        <v>0</v>
      </c>
      <c r="J69" s="935">
        <f t="shared" si="1"/>
        <v>0</v>
      </c>
      <c r="K69" s="936">
        <f t="shared" si="2"/>
        <v>0</v>
      </c>
      <c r="L69" s="975">
        <f t="shared" si="3"/>
        <v>0</v>
      </c>
      <c r="N69" s="748" t="s">
        <v>27870</v>
      </c>
      <c r="O69" s="748" t="s">
        <v>27691</v>
      </c>
      <c r="P69" s="923" t="s">
        <v>27826</v>
      </c>
    </row>
    <row r="70" spans="1:16" ht="14.45" customHeight="1" x14ac:dyDescent="0.35">
      <c r="A70" s="924" t="s">
        <v>27869</v>
      </c>
      <c r="B70" s="925" t="s">
        <v>218</v>
      </c>
      <c r="C70" s="1378" t="s">
        <v>210</v>
      </c>
      <c r="D70" s="954">
        <v>0</v>
      </c>
      <c r="E70" s="952">
        <v>0</v>
      </c>
      <c r="F70" s="953">
        <v>0</v>
      </c>
      <c r="G70" s="954">
        <v>0</v>
      </c>
      <c r="H70" s="952">
        <v>0</v>
      </c>
      <c r="I70" s="955">
        <v>0</v>
      </c>
      <c r="J70" s="956">
        <f t="shared" si="1"/>
        <v>0</v>
      </c>
      <c r="K70" s="957">
        <f t="shared" si="2"/>
        <v>0</v>
      </c>
      <c r="L70" s="994">
        <f t="shared" si="3"/>
        <v>0</v>
      </c>
      <c r="N70" s="748" t="s">
        <v>27870</v>
      </c>
      <c r="O70" s="748" t="s">
        <v>27691</v>
      </c>
      <c r="P70" s="923" t="s">
        <v>27688</v>
      </c>
    </row>
    <row r="71" spans="1:16" ht="14.45" customHeight="1" x14ac:dyDescent="0.35">
      <c r="A71" s="1397" t="s">
        <v>27871</v>
      </c>
      <c r="B71" s="1456" t="s">
        <v>204</v>
      </c>
      <c r="C71" s="1455" t="s">
        <v>27769</v>
      </c>
      <c r="D71" s="1870">
        <v>0</v>
      </c>
      <c r="E71" s="1871">
        <v>0</v>
      </c>
      <c r="F71" s="1872">
        <v>0</v>
      </c>
      <c r="G71" s="1870">
        <v>0</v>
      </c>
      <c r="H71" s="1871">
        <v>0</v>
      </c>
      <c r="I71" s="1873">
        <v>0</v>
      </c>
      <c r="J71" s="1874">
        <f t="shared" si="1"/>
        <v>0</v>
      </c>
      <c r="K71" s="1875">
        <f t="shared" si="2"/>
        <v>0</v>
      </c>
      <c r="L71" s="1910">
        <f t="shared" si="3"/>
        <v>0</v>
      </c>
      <c r="N71" s="748" t="s">
        <v>27872</v>
      </c>
      <c r="O71" s="748" t="s">
        <v>27685</v>
      </c>
      <c r="P71" s="923" t="s">
        <v>27826</v>
      </c>
    </row>
    <row r="72" spans="1:16" ht="14.45" customHeight="1" x14ac:dyDescent="0.35">
      <c r="A72" s="959" t="s">
        <v>27871</v>
      </c>
      <c r="B72" s="925" t="s">
        <v>204</v>
      </c>
      <c r="C72" s="1546" t="s">
        <v>210</v>
      </c>
      <c r="D72" s="1651">
        <v>0</v>
      </c>
      <c r="E72" s="945">
        <v>0</v>
      </c>
      <c r="F72" s="946">
        <v>0</v>
      </c>
      <c r="G72" s="1651">
        <v>0</v>
      </c>
      <c r="H72" s="945">
        <v>0</v>
      </c>
      <c r="I72" s="947">
        <v>0</v>
      </c>
      <c r="J72" s="1652">
        <f t="shared" si="1"/>
        <v>0</v>
      </c>
      <c r="K72" s="948">
        <f t="shared" si="2"/>
        <v>0</v>
      </c>
      <c r="L72" s="973">
        <f t="shared" si="3"/>
        <v>0</v>
      </c>
      <c r="N72" s="748" t="s">
        <v>27872</v>
      </c>
      <c r="O72" s="748" t="s">
        <v>27685</v>
      </c>
      <c r="P72" s="923" t="s">
        <v>27688</v>
      </c>
    </row>
    <row r="73" spans="1:16" ht="14.45" customHeight="1" x14ac:dyDescent="0.35">
      <c r="A73" s="924" t="s">
        <v>27871</v>
      </c>
      <c r="B73" s="929" t="s">
        <v>218</v>
      </c>
      <c r="C73" s="1547" t="s">
        <v>27769</v>
      </c>
      <c r="D73" s="930">
        <v>0</v>
      </c>
      <c r="E73" s="931">
        <v>0</v>
      </c>
      <c r="F73" s="932">
        <v>0</v>
      </c>
      <c r="G73" s="930">
        <v>0</v>
      </c>
      <c r="H73" s="931">
        <v>0</v>
      </c>
      <c r="I73" s="950">
        <v>0</v>
      </c>
      <c r="J73" s="935">
        <f t="shared" si="1"/>
        <v>0</v>
      </c>
      <c r="K73" s="936">
        <f t="shared" si="2"/>
        <v>0</v>
      </c>
      <c r="L73" s="975">
        <f t="shared" si="3"/>
        <v>0</v>
      </c>
      <c r="N73" s="748" t="s">
        <v>27872</v>
      </c>
      <c r="O73" s="748" t="s">
        <v>27691</v>
      </c>
      <c r="P73" s="923" t="s">
        <v>27826</v>
      </c>
    </row>
    <row r="74" spans="1:16" ht="14.45" customHeight="1" x14ac:dyDescent="0.35">
      <c r="A74" s="924" t="s">
        <v>27871</v>
      </c>
      <c r="B74" s="925" t="s">
        <v>218</v>
      </c>
      <c r="C74" s="1378" t="s">
        <v>210</v>
      </c>
      <c r="D74" s="954">
        <v>0</v>
      </c>
      <c r="E74" s="952">
        <v>0</v>
      </c>
      <c r="F74" s="953">
        <v>0</v>
      </c>
      <c r="G74" s="954">
        <v>0</v>
      </c>
      <c r="H74" s="952">
        <v>0</v>
      </c>
      <c r="I74" s="955">
        <v>0</v>
      </c>
      <c r="J74" s="956">
        <f t="shared" si="1"/>
        <v>0</v>
      </c>
      <c r="K74" s="957">
        <f t="shared" si="2"/>
        <v>0</v>
      </c>
      <c r="L74" s="994">
        <f t="shared" si="3"/>
        <v>0</v>
      </c>
      <c r="N74" s="748" t="s">
        <v>27872</v>
      </c>
      <c r="O74" s="748" t="s">
        <v>27691</v>
      </c>
      <c r="P74" s="923" t="s">
        <v>27688</v>
      </c>
    </row>
    <row r="75" spans="1:16" ht="14.45" customHeight="1" x14ac:dyDescent="0.35">
      <c r="A75" s="1397" t="s">
        <v>27873</v>
      </c>
      <c r="B75" s="1456" t="s">
        <v>204</v>
      </c>
      <c r="C75" s="1455" t="s">
        <v>27769</v>
      </c>
      <c r="D75" s="1870">
        <v>0</v>
      </c>
      <c r="E75" s="1871">
        <v>0</v>
      </c>
      <c r="F75" s="1872">
        <v>0</v>
      </c>
      <c r="G75" s="1870">
        <v>0</v>
      </c>
      <c r="H75" s="1871">
        <v>0</v>
      </c>
      <c r="I75" s="1873">
        <v>0</v>
      </c>
      <c r="J75" s="1874">
        <f t="shared" si="1"/>
        <v>0</v>
      </c>
      <c r="K75" s="1875">
        <f t="shared" si="2"/>
        <v>0</v>
      </c>
      <c r="L75" s="1910">
        <f t="shared" si="3"/>
        <v>0</v>
      </c>
      <c r="N75" s="748" t="s">
        <v>27874</v>
      </c>
      <c r="O75" s="748" t="s">
        <v>27685</v>
      </c>
      <c r="P75" s="923" t="s">
        <v>27826</v>
      </c>
    </row>
    <row r="76" spans="1:16" ht="14.45" customHeight="1" x14ac:dyDescent="0.35">
      <c r="A76" s="959" t="s">
        <v>27873</v>
      </c>
      <c r="B76" s="925" t="s">
        <v>204</v>
      </c>
      <c r="C76" s="1546" t="s">
        <v>210</v>
      </c>
      <c r="D76" s="1651">
        <v>0</v>
      </c>
      <c r="E76" s="945">
        <v>0</v>
      </c>
      <c r="F76" s="946">
        <v>0</v>
      </c>
      <c r="G76" s="1651">
        <v>0</v>
      </c>
      <c r="H76" s="945">
        <v>0</v>
      </c>
      <c r="I76" s="947">
        <v>0</v>
      </c>
      <c r="J76" s="1652">
        <f t="shared" si="1"/>
        <v>0</v>
      </c>
      <c r="K76" s="948">
        <f t="shared" si="2"/>
        <v>0</v>
      </c>
      <c r="L76" s="973">
        <f t="shared" si="3"/>
        <v>0</v>
      </c>
      <c r="N76" s="748" t="s">
        <v>27874</v>
      </c>
      <c r="O76" s="748" t="s">
        <v>27685</v>
      </c>
      <c r="P76" s="923" t="s">
        <v>27688</v>
      </c>
    </row>
    <row r="77" spans="1:16" ht="14.45" customHeight="1" x14ac:dyDescent="0.35">
      <c r="A77" s="924" t="s">
        <v>27873</v>
      </c>
      <c r="B77" s="929" t="s">
        <v>218</v>
      </c>
      <c r="C77" s="1547" t="s">
        <v>27769</v>
      </c>
      <c r="D77" s="930">
        <v>0</v>
      </c>
      <c r="E77" s="931">
        <v>0</v>
      </c>
      <c r="F77" s="932">
        <v>0</v>
      </c>
      <c r="G77" s="930">
        <v>0</v>
      </c>
      <c r="H77" s="931">
        <v>0</v>
      </c>
      <c r="I77" s="950">
        <v>0</v>
      </c>
      <c r="J77" s="935">
        <f t="shared" si="1"/>
        <v>0</v>
      </c>
      <c r="K77" s="936">
        <f t="shared" si="2"/>
        <v>0</v>
      </c>
      <c r="L77" s="975">
        <f t="shared" si="3"/>
        <v>0</v>
      </c>
      <c r="N77" s="748" t="s">
        <v>27874</v>
      </c>
      <c r="O77" s="748" t="s">
        <v>27691</v>
      </c>
      <c r="P77" s="923" t="s">
        <v>27826</v>
      </c>
    </row>
    <row r="78" spans="1:16" ht="14.45" customHeight="1" x14ac:dyDescent="0.35">
      <c r="A78" s="924" t="s">
        <v>27873</v>
      </c>
      <c r="B78" s="925" t="s">
        <v>218</v>
      </c>
      <c r="C78" s="1378" t="s">
        <v>210</v>
      </c>
      <c r="D78" s="954">
        <v>0</v>
      </c>
      <c r="E78" s="952">
        <v>0</v>
      </c>
      <c r="F78" s="953">
        <v>0</v>
      </c>
      <c r="G78" s="954">
        <v>0</v>
      </c>
      <c r="H78" s="952">
        <v>0</v>
      </c>
      <c r="I78" s="955">
        <v>0</v>
      </c>
      <c r="J78" s="956">
        <f t="shared" ref="J78:J86" si="4">SUM(D78,G78)</f>
        <v>0</v>
      </c>
      <c r="K78" s="957">
        <f t="shared" ref="K78:K86" si="5">SUM(E78,H78)</f>
        <v>0</v>
      </c>
      <c r="L78" s="994">
        <f t="shared" ref="L78:L86" si="6">SUM(F78,I78)</f>
        <v>0</v>
      </c>
      <c r="N78" s="748" t="s">
        <v>27874</v>
      </c>
      <c r="O78" s="748" t="s">
        <v>27691</v>
      </c>
      <c r="P78" s="923" t="s">
        <v>27688</v>
      </c>
    </row>
    <row r="79" spans="1:16" ht="14.45" customHeight="1" x14ac:dyDescent="0.35">
      <c r="A79" s="1397" t="s">
        <v>27875</v>
      </c>
      <c r="B79" s="1456" t="s">
        <v>204</v>
      </c>
      <c r="C79" s="1455" t="s">
        <v>27769</v>
      </c>
      <c r="D79" s="1870">
        <v>0</v>
      </c>
      <c r="E79" s="1871">
        <v>0</v>
      </c>
      <c r="F79" s="1872">
        <v>0</v>
      </c>
      <c r="G79" s="1870">
        <v>0</v>
      </c>
      <c r="H79" s="1871">
        <v>0</v>
      </c>
      <c r="I79" s="1873">
        <v>0</v>
      </c>
      <c r="J79" s="1874">
        <f t="shared" si="4"/>
        <v>0</v>
      </c>
      <c r="K79" s="1875">
        <f t="shared" si="5"/>
        <v>0</v>
      </c>
      <c r="L79" s="1910">
        <f t="shared" si="6"/>
        <v>0</v>
      </c>
      <c r="N79" s="748" t="s">
        <v>27876</v>
      </c>
      <c r="O79" s="748" t="s">
        <v>27685</v>
      </c>
      <c r="P79" s="923" t="s">
        <v>27826</v>
      </c>
    </row>
    <row r="80" spans="1:16" ht="14.45" customHeight="1" x14ac:dyDescent="0.35">
      <c r="A80" s="959" t="s">
        <v>27875</v>
      </c>
      <c r="B80" s="925" t="s">
        <v>204</v>
      </c>
      <c r="C80" s="1546" t="s">
        <v>210</v>
      </c>
      <c r="D80" s="1651">
        <v>0</v>
      </c>
      <c r="E80" s="945">
        <v>0</v>
      </c>
      <c r="F80" s="946">
        <v>0</v>
      </c>
      <c r="G80" s="1651">
        <v>0</v>
      </c>
      <c r="H80" s="945">
        <v>0</v>
      </c>
      <c r="I80" s="947">
        <v>0</v>
      </c>
      <c r="J80" s="1652">
        <f t="shared" si="4"/>
        <v>0</v>
      </c>
      <c r="K80" s="948">
        <f t="shared" si="5"/>
        <v>0</v>
      </c>
      <c r="L80" s="973">
        <f t="shared" si="6"/>
        <v>0</v>
      </c>
      <c r="N80" s="748" t="s">
        <v>27876</v>
      </c>
      <c r="O80" s="748" t="s">
        <v>27685</v>
      </c>
      <c r="P80" s="923" t="s">
        <v>27688</v>
      </c>
    </row>
    <row r="81" spans="1:16" ht="14.45" customHeight="1" x14ac:dyDescent="0.35">
      <c r="A81" s="924" t="s">
        <v>27875</v>
      </c>
      <c r="B81" s="929" t="s">
        <v>218</v>
      </c>
      <c r="C81" s="1547" t="s">
        <v>27769</v>
      </c>
      <c r="D81" s="930">
        <v>0</v>
      </c>
      <c r="E81" s="931">
        <v>0</v>
      </c>
      <c r="F81" s="932">
        <v>0</v>
      </c>
      <c r="G81" s="930">
        <v>0</v>
      </c>
      <c r="H81" s="931">
        <v>0</v>
      </c>
      <c r="I81" s="950">
        <v>0</v>
      </c>
      <c r="J81" s="935">
        <f t="shared" si="4"/>
        <v>0</v>
      </c>
      <c r="K81" s="936">
        <f t="shared" si="5"/>
        <v>0</v>
      </c>
      <c r="L81" s="975">
        <f t="shared" si="6"/>
        <v>0</v>
      </c>
      <c r="N81" s="748" t="s">
        <v>27876</v>
      </c>
      <c r="O81" s="748" t="s">
        <v>27691</v>
      </c>
      <c r="P81" s="923" t="s">
        <v>27826</v>
      </c>
    </row>
    <row r="82" spans="1:16" ht="14.45" customHeight="1" x14ac:dyDescent="0.35">
      <c r="A82" s="924" t="s">
        <v>27875</v>
      </c>
      <c r="B82" s="925" t="s">
        <v>218</v>
      </c>
      <c r="C82" s="1378" t="s">
        <v>210</v>
      </c>
      <c r="D82" s="954">
        <v>0</v>
      </c>
      <c r="E82" s="952">
        <v>0</v>
      </c>
      <c r="F82" s="953">
        <v>0</v>
      </c>
      <c r="G82" s="954">
        <v>0</v>
      </c>
      <c r="H82" s="952">
        <v>0</v>
      </c>
      <c r="I82" s="955">
        <v>0</v>
      </c>
      <c r="J82" s="956">
        <f t="shared" si="4"/>
        <v>0</v>
      </c>
      <c r="K82" s="957">
        <f t="shared" si="5"/>
        <v>0</v>
      </c>
      <c r="L82" s="994">
        <f t="shared" si="6"/>
        <v>0</v>
      </c>
      <c r="N82" s="748" t="s">
        <v>27876</v>
      </c>
      <c r="O82" s="748" t="s">
        <v>27691</v>
      </c>
      <c r="P82" s="923" t="s">
        <v>27688</v>
      </c>
    </row>
    <row r="83" spans="1:16" ht="14.45" customHeight="1" x14ac:dyDescent="0.35">
      <c r="A83" s="1397" t="s">
        <v>27877</v>
      </c>
      <c r="B83" s="1456" t="s">
        <v>204</v>
      </c>
      <c r="C83" s="1455" t="s">
        <v>27769</v>
      </c>
      <c r="D83" s="1870">
        <v>0</v>
      </c>
      <c r="E83" s="1871">
        <v>0</v>
      </c>
      <c r="F83" s="1872">
        <v>0</v>
      </c>
      <c r="G83" s="1870">
        <v>0</v>
      </c>
      <c r="H83" s="1871">
        <v>0</v>
      </c>
      <c r="I83" s="1873">
        <v>0</v>
      </c>
      <c r="J83" s="1874">
        <f t="shared" si="4"/>
        <v>0</v>
      </c>
      <c r="K83" s="1875">
        <f t="shared" si="5"/>
        <v>0</v>
      </c>
      <c r="L83" s="1910">
        <f t="shared" si="6"/>
        <v>0</v>
      </c>
      <c r="N83" s="748" t="s">
        <v>27878</v>
      </c>
      <c r="O83" s="748" t="s">
        <v>27685</v>
      </c>
      <c r="P83" s="923" t="s">
        <v>27826</v>
      </c>
    </row>
    <row r="84" spans="1:16" ht="14.45" customHeight="1" x14ac:dyDescent="0.35">
      <c r="A84" s="959" t="s">
        <v>27877</v>
      </c>
      <c r="B84" s="925" t="s">
        <v>204</v>
      </c>
      <c r="C84" s="1546" t="s">
        <v>210</v>
      </c>
      <c r="D84" s="1651">
        <v>0</v>
      </c>
      <c r="E84" s="945">
        <v>0</v>
      </c>
      <c r="F84" s="946">
        <v>0</v>
      </c>
      <c r="G84" s="1651">
        <v>0</v>
      </c>
      <c r="H84" s="945">
        <v>0</v>
      </c>
      <c r="I84" s="947">
        <v>0</v>
      </c>
      <c r="J84" s="1652">
        <f t="shared" si="4"/>
        <v>0</v>
      </c>
      <c r="K84" s="948">
        <f t="shared" si="5"/>
        <v>0</v>
      </c>
      <c r="L84" s="973">
        <f t="shared" si="6"/>
        <v>0</v>
      </c>
      <c r="N84" s="748" t="s">
        <v>27878</v>
      </c>
      <c r="O84" s="748" t="s">
        <v>27685</v>
      </c>
      <c r="P84" s="923" t="s">
        <v>27688</v>
      </c>
    </row>
    <row r="85" spans="1:16" ht="14.45" customHeight="1" x14ac:dyDescent="0.35">
      <c r="A85" s="924" t="s">
        <v>27877</v>
      </c>
      <c r="B85" s="929" t="s">
        <v>218</v>
      </c>
      <c r="C85" s="1547" t="s">
        <v>27769</v>
      </c>
      <c r="D85" s="930">
        <v>0</v>
      </c>
      <c r="E85" s="931">
        <v>0</v>
      </c>
      <c r="F85" s="932">
        <v>0</v>
      </c>
      <c r="G85" s="930">
        <v>0</v>
      </c>
      <c r="H85" s="931">
        <v>0</v>
      </c>
      <c r="I85" s="950">
        <v>0</v>
      </c>
      <c r="J85" s="935">
        <f t="shared" si="4"/>
        <v>0</v>
      </c>
      <c r="K85" s="936">
        <f t="shared" si="5"/>
        <v>0</v>
      </c>
      <c r="L85" s="975">
        <f t="shared" si="6"/>
        <v>0</v>
      </c>
      <c r="N85" s="748" t="s">
        <v>27878</v>
      </c>
      <c r="O85" s="748" t="s">
        <v>27691</v>
      </c>
      <c r="P85" s="923" t="s">
        <v>27826</v>
      </c>
    </row>
    <row r="86" spans="1:16" ht="14.45" customHeight="1" thickBot="1" x14ac:dyDescent="0.4">
      <c r="A86" s="924" t="s">
        <v>27877</v>
      </c>
      <c r="B86" s="966" t="s">
        <v>218</v>
      </c>
      <c r="C86" s="1378" t="s">
        <v>210</v>
      </c>
      <c r="D86" s="1326">
        <v>0</v>
      </c>
      <c r="E86" s="1327">
        <v>0</v>
      </c>
      <c r="F86" s="1328">
        <v>0</v>
      </c>
      <c r="G86" s="1326">
        <v>0</v>
      </c>
      <c r="H86" s="1327">
        <v>0</v>
      </c>
      <c r="I86" s="1329">
        <v>0</v>
      </c>
      <c r="J86" s="1330">
        <f t="shared" si="4"/>
        <v>0</v>
      </c>
      <c r="K86" s="1331">
        <f t="shared" si="5"/>
        <v>0</v>
      </c>
      <c r="L86" s="2187">
        <f t="shared" si="6"/>
        <v>0</v>
      </c>
      <c r="N86" s="748" t="s">
        <v>27878</v>
      </c>
      <c r="O86" s="748" t="s">
        <v>27691</v>
      </c>
      <c r="P86" s="923" t="s">
        <v>27688</v>
      </c>
    </row>
    <row r="87" spans="1:16" ht="14.45" customHeight="1" thickTop="1" x14ac:dyDescent="0.35">
      <c r="A87" s="967" t="s">
        <v>27879</v>
      </c>
      <c r="B87" s="968" t="s">
        <v>204</v>
      </c>
      <c r="C87" s="1550" t="s">
        <v>27769</v>
      </c>
      <c r="D87" s="956">
        <f t="shared" ref="D87:H87" si="7">SUM(D13,D17,D23,D27,D31,D35,D39,D43,D47,D51,D55,D59,D63,D67,D71,D75,D79,D83)</f>
        <v>0</v>
      </c>
      <c r="E87" s="957">
        <f t="shared" si="7"/>
        <v>0</v>
      </c>
      <c r="F87" s="958">
        <f>SUM(F13,F17,F23,F27,F31,F35,F39,F43,F47,F51,F55,F59,F63,F67,F71,F75,F79,F83)</f>
        <v>0</v>
      </c>
      <c r="G87" s="956">
        <f t="shared" si="7"/>
        <v>0</v>
      </c>
      <c r="H87" s="957">
        <f t="shared" si="7"/>
        <v>0</v>
      </c>
      <c r="I87" s="994">
        <f>SUM(I13,I17,I23,I27,I31,I35,I39,I43,I47,I51,I55,I59,I63,I67,I71,I75,I79,I83)</f>
        <v>0</v>
      </c>
      <c r="J87" s="1263">
        <f>SUM(J13,J17,J23,J27,J31,J35,J39,J43,J47,J51,J55,J59,J63,J67,J71,J75,J79,J83)</f>
        <v>0</v>
      </c>
      <c r="K87" s="1324">
        <f>SUM(K13,K17,K23,K27,K31,K35,K39,K43,K47,K51,K55,K59,K63,K67,K71,K75,K79,K83)</f>
        <v>0</v>
      </c>
      <c r="L87" s="1325">
        <f>SUM(L13,L17,L23,L27,L31,L35,L39,L43,L47,L51,L55,L59,L63,L67,L71,L75,L79,L83)</f>
        <v>0</v>
      </c>
      <c r="N87" s="748" t="s">
        <v>28321</v>
      </c>
      <c r="O87" s="748" t="s">
        <v>27685</v>
      </c>
      <c r="P87" s="923" t="s">
        <v>27826</v>
      </c>
    </row>
    <row r="88" spans="1:16" ht="14.45" customHeight="1" x14ac:dyDescent="0.35">
      <c r="A88" s="959" t="s">
        <v>27879</v>
      </c>
      <c r="B88" s="925" t="s">
        <v>204</v>
      </c>
      <c r="C88" s="1551" t="s">
        <v>27880</v>
      </c>
      <c r="D88" s="1332">
        <f>SUM(D21,D24,D28,D32,D36,D40,D44,D48,D52,D56,D60,D64,D68,D72,D76,D80,D84)</f>
        <v>0</v>
      </c>
      <c r="E88" s="1333">
        <f t="shared" ref="E88:L88" si="8">SUM(E21,E24,E28,E32,E36,E40,E44,E48,E52,E56,E60,E64,E68,E72,E76,E80,E84)</f>
        <v>0</v>
      </c>
      <c r="F88" s="1334">
        <f t="shared" si="8"/>
        <v>0</v>
      </c>
      <c r="G88" s="1332">
        <f t="shared" si="8"/>
        <v>0</v>
      </c>
      <c r="H88" s="1333">
        <f t="shared" si="8"/>
        <v>0</v>
      </c>
      <c r="I88" s="1335">
        <f t="shared" si="8"/>
        <v>0</v>
      </c>
      <c r="J88" s="1336">
        <f t="shared" si="8"/>
        <v>0</v>
      </c>
      <c r="K88" s="1337">
        <f t="shared" si="8"/>
        <v>0</v>
      </c>
      <c r="L88" s="1338">
        <f t="shared" si="8"/>
        <v>0</v>
      </c>
      <c r="N88" s="748" t="s">
        <v>28321</v>
      </c>
      <c r="O88" s="748" t="s">
        <v>27685</v>
      </c>
      <c r="P88" s="923" t="s">
        <v>27688</v>
      </c>
    </row>
    <row r="89" spans="1:16" ht="14.45" customHeight="1" x14ac:dyDescent="0.35">
      <c r="A89" s="974" t="s">
        <v>27879</v>
      </c>
      <c r="B89" s="929" t="s">
        <v>218</v>
      </c>
      <c r="C89" s="1378" t="s">
        <v>27769</v>
      </c>
      <c r="D89" s="956">
        <f t="shared" ref="D89:J89" si="9">SUM(D15,D19,D25,D29,D33,D37,D41,D45,D49,D53,D57,D61,D65,D69,D73,D77,D81,D85)</f>
        <v>0</v>
      </c>
      <c r="E89" s="957">
        <f t="shared" si="9"/>
        <v>0</v>
      </c>
      <c r="F89" s="958">
        <f>SUM(F15,F19,F25,F29,F33,F37,F41,F45,F49,F53,F57,F61,F65,F69,F73,F77,F81,F85)</f>
        <v>0</v>
      </c>
      <c r="G89" s="956">
        <f t="shared" si="9"/>
        <v>0</v>
      </c>
      <c r="H89" s="957">
        <f t="shared" si="9"/>
        <v>0</v>
      </c>
      <c r="I89" s="994">
        <f>SUM(I15,I19,I25,I29,I33,I37,I41,I45,I49,I53,I57,I61,I65,I69,I73,I77,I81,I85)</f>
        <v>0</v>
      </c>
      <c r="J89" s="1263">
        <f t="shared" si="9"/>
        <v>0</v>
      </c>
      <c r="K89" s="1324">
        <f>SUM(K15,K19,K25,K29,K33,K37,K41,K45,K49,K53,K57,K61,K65,K69,K73,K77,K81,K85)</f>
        <v>0</v>
      </c>
      <c r="L89" s="1325">
        <f>SUM(L15,L19,L25,L29,L33,L37,L41,L45,L49,L53,L57,L61,L65,L69,L73,L77,L81,L85)</f>
        <v>0</v>
      </c>
      <c r="N89" s="748" t="s">
        <v>28321</v>
      </c>
      <c r="O89" s="748" t="s">
        <v>27691</v>
      </c>
      <c r="P89" s="923" t="s">
        <v>27826</v>
      </c>
    </row>
    <row r="90" spans="1:16" ht="14.45" customHeight="1" x14ac:dyDescent="0.35">
      <c r="A90" s="974" t="s">
        <v>27879</v>
      </c>
      <c r="B90" s="1345" t="s">
        <v>218</v>
      </c>
      <c r="C90" s="1552" t="s">
        <v>27880</v>
      </c>
      <c r="D90" s="1323">
        <f>SUM(D22,D26,D30,D34,D38,D42,D46,D50,D54,D58,D62,D66,D70,D74,D78,D82,D86)</f>
        <v>0</v>
      </c>
      <c r="E90" s="1339">
        <f t="shared" ref="E90:L90" si="10">SUM(E22,E26,E30,E34,E38,E42,E46,E50,E54,E58,E62,E66,E70,E74,E78,E82,E86)</f>
        <v>0</v>
      </c>
      <c r="F90" s="1340">
        <f t="shared" si="10"/>
        <v>0</v>
      </c>
      <c r="G90" s="1323">
        <f t="shared" si="10"/>
        <v>0</v>
      </c>
      <c r="H90" s="1339">
        <f t="shared" si="10"/>
        <v>0</v>
      </c>
      <c r="I90" s="1341">
        <f t="shared" si="10"/>
        <v>0</v>
      </c>
      <c r="J90" s="1342">
        <f t="shared" si="10"/>
        <v>0</v>
      </c>
      <c r="K90" s="1343">
        <f t="shared" si="10"/>
        <v>0</v>
      </c>
      <c r="L90" s="1344">
        <f t="shared" si="10"/>
        <v>0</v>
      </c>
      <c r="N90" s="748" t="s">
        <v>28321</v>
      </c>
      <c r="O90" s="748" t="s">
        <v>27691</v>
      </c>
      <c r="P90" s="923" t="s">
        <v>27688</v>
      </c>
    </row>
    <row r="91" spans="1:16" ht="14.45" customHeight="1" thickBot="1" x14ac:dyDescent="0.4">
      <c r="A91" s="1521" t="s">
        <v>27879</v>
      </c>
      <c r="B91" s="1522" t="s">
        <v>27695</v>
      </c>
      <c r="C91" s="1553" t="s">
        <v>27696</v>
      </c>
      <c r="D91" s="976">
        <f t="shared" ref="D91:L91" si="11">SUM(D87:D90)</f>
        <v>0</v>
      </c>
      <c r="E91" s="977">
        <f t="shared" si="11"/>
        <v>0</v>
      </c>
      <c r="F91" s="978">
        <f t="shared" si="11"/>
        <v>0</v>
      </c>
      <c r="G91" s="976">
        <f t="shared" si="11"/>
        <v>0</v>
      </c>
      <c r="H91" s="977">
        <f t="shared" si="11"/>
        <v>0</v>
      </c>
      <c r="I91" s="1523">
        <f t="shared" si="11"/>
        <v>0</v>
      </c>
      <c r="J91" s="976">
        <f t="shared" si="11"/>
        <v>0</v>
      </c>
      <c r="K91" s="977">
        <f t="shared" si="11"/>
        <v>0</v>
      </c>
      <c r="L91" s="1523">
        <f t="shared" si="11"/>
        <v>0</v>
      </c>
      <c r="N91" s="748" t="s">
        <v>28321</v>
      </c>
      <c r="O91" s="748" t="s">
        <v>203</v>
      </c>
      <c r="P91" s="923" t="s">
        <v>28321</v>
      </c>
    </row>
    <row r="92" spans="1:16" ht="12.75" hidden="1" customHeight="1" x14ac:dyDescent="0.35">
      <c r="A92" s="979"/>
      <c r="B92" s="677"/>
      <c r="C92" s="980"/>
      <c r="D92" s="981"/>
      <c r="E92" s="981"/>
      <c r="F92" s="981"/>
      <c r="G92" s="981"/>
      <c r="H92" s="981"/>
      <c r="I92" s="981"/>
      <c r="J92" s="981"/>
      <c r="K92" s="981"/>
      <c r="L92" s="981"/>
      <c r="M92" s="982"/>
    </row>
    <row r="93" spans="1:16" ht="12.75" hidden="1" customHeight="1" x14ac:dyDescent="0.35">
      <c r="A93" s="974"/>
      <c r="B93" s="74"/>
      <c r="C93" s="922" t="s">
        <v>67</v>
      </c>
      <c r="D93" s="775">
        <v>1</v>
      </c>
      <c r="E93" s="775">
        <v>1</v>
      </c>
      <c r="F93" s="775">
        <v>1</v>
      </c>
      <c r="G93" s="775">
        <v>2</v>
      </c>
      <c r="H93" s="775">
        <v>2</v>
      </c>
      <c r="I93" s="775">
        <v>2</v>
      </c>
      <c r="J93" s="775">
        <v>12</v>
      </c>
      <c r="K93" s="775">
        <v>12</v>
      </c>
      <c r="L93" s="775">
        <v>12</v>
      </c>
      <c r="M93" s="309"/>
      <c r="N93" s="1347"/>
      <c r="O93" s="1347"/>
      <c r="P93" s="1347"/>
    </row>
    <row r="94" spans="1:16" ht="12.75" hidden="1" customHeight="1" x14ac:dyDescent="0.35">
      <c r="A94" s="974"/>
      <c r="B94" s="74"/>
      <c r="C94" s="922" t="s">
        <v>27699</v>
      </c>
      <c r="D94" s="775" t="s">
        <v>27714</v>
      </c>
      <c r="E94" s="775" t="s">
        <v>27715</v>
      </c>
      <c r="F94" s="775" t="s">
        <v>29705</v>
      </c>
      <c r="G94" s="775" t="s">
        <v>27714</v>
      </c>
      <c r="H94" s="775" t="s">
        <v>27715</v>
      </c>
      <c r="I94" s="775" t="s">
        <v>28250</v>
      </c>
      <c r="J94" s="775" t="s">
        <v>27714</v>
      </c>
      <c r="K94" s="775" t="s">
        <v>27715</v>
      </c>
      <c r="L94" s="775" t="s">
        <v>28250</v>
      </c>
      <c r="M94" s="309"/>
      <c r="N94" s="1347"/>
      <c r="O94" s="1347"/>
      <c r="P94" s="1347"/>
    </row>
    <row r="95" spans="1:16" x14ac:dyDescent="0.35">
      <c r="C95" s="309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1347"/>
      <c r="O95" s="1347"/>
      <c r="P95" s="1347"/>
    </row>
    <row r="96" spans="1:16" s="657" customFormat="1" ht="20.45" customHeight="1" x14ac:dyDescent="0.35">
      <c r="A96" s="657" t="s">
        <v>27881</v>
      </c>
      <c r="N96" s="1348"/>
      <c r="O96" s="1348"/>
      <c r="P96" s="1348"/>
    </row>
    <row r="97" spans="1:16" x14ac:dyDescent="0.35">
      <c r="A97" s="739" t="s">
        <v>28344</v>
      </c>
      <c r="B97" s="74"/>
      <c r="C97" s="744"/>
      <c r="D97" s="74"/>
      <c r="E97" s="74"/>
      <c r="F97" s="74"/>
    </row>
    <row r="98" spans="1:16" x14ac:dyDescent="0.35">
      <c r="A98" s="984" t="str">
        <f>'Table 6a Valid'!G99</f>
        <v/>
      </c>
      <c r="B98" s="985"/>
      <c r="C98" s="983"/>
      <c r="D98" s="744"/>
      <c r="E98" s="744"/>
      <c r="F98" s="744"/>
    </row>
    <row r="99" spans="1:16" x14ac:dyDescent="0.35">
      <c r="A99" s="1274" t="s">
        <v>29194</v>
      </c>
      <c r="B99" s="985"/>
      <c r="C99" s="983"/>
      <c r="D99" s="744"/>
      <c r="E99" s="744"/>
      <c r="F99" s="744"/>
    </row>
    <row r="100" spans="1:16" x14ac:dyDescent="0.35">
      <c r="A100" s="984" t="str">
        <f>'Table 6a Valid'!P103</f>
        <v/>
      </c>
      <c r="B100" s="985"/>
      <c r="C100" s="983"/>
      <c r="D100" s="744"/>
      <c r="E100" s="744"/>
      <c r="F100" s="744"/>
    </row>
    <row r="101" spans="1:16" x14ac:dyDescent="0.35">
      <c r="A101" s="1274" t="s">
        <v>29195</v>
      </c>
      <c r="B101" s="985"/>
      <c r="C101" s="983"/>
      <c r="D101" s="744"/>
      <c r="E101" s="744"/>
      <c r="F101" s="744"/>
    </row>
    <row r="102" spans="1:16" x14ac:dyDescent="0.35">
      <c r="A102" s="984" t="str">
        <f>'Table 6a Valid'!Y99</f>
        <v/>
      </c>
      <c r="B102" s="985"/>
      <c r="C102" s="983"/>
      <c r="D102" s="744"/>
      <c r="E102" s="744"/>
      <c r="F102" s="744"/>
    </row>
    <row r="103" spans="1:16" x14ac:dyDescent="0.35">
      <c r="A103" s="631" t="s">
        <v>29379</v>
      </c>
      <c r="B103" s="985"/>
      <c r="C103" s="983"/>
      <c r="D103" s="744"/>
      <c r="E103" s="744"/>
      <c r="F103" s="744"/>
    </row>
    <row r="104" spans="1:16" x14ac:dyDescent="0.35">
      <c r="A104" s="984" t="str">
        <f>'Table 6a Valid'!AK71</f>
        <v/>
      </c>
      <c r="B104" s="985"/>
      <c r="C104" s="983"/>
      <c r="D104" s="744"/>
      <c r="E104" s="744"/>
      <c r="F104" s="744"/>
    </row>
    <row r="105" spans="1:16" x14ac:dyDescent="0.35">
      <c r="A105" s="1274" t="s">
        <v>29380</v>
      </c>
      <c r="B105" s="985"/>
      <c r="C105" s="983"/>
      <c r="D105" s="744"/>
      <c r="E105" s="744"/>
      <c r="F105" s="744"/>
    </row>
    <row r="106" spans="1:16" x14ac:dyDescent="0.35">
      <c r="A106" s="984" t="str">
        <f>'Table 6a Valid'!AL71</f>
        <v/>
      </c>
      <c r="B106" s="985"/>
      <c r="C106" s="983"/>
      <c r="D106" s="744"/>
      <c r="E106" s="744"/>
      <c r="F106" s="744"/>
    </row>
    <row r="107" spans="1:16" x14ac:dyDescent="0.35">
      <c r="A107" s="1275" t="s">
        <v>29683</v>
      </c>
      <c r="B107" s="985"/>
      <c r="C107" s="983"/>
      <c r="D107" s="744"/>
      <c r="E107" s="744"/>
      <c r="F107" s="744"/>
    </row>
    <row r="108" spans="1:16" x14ac:dyDescent="0.35">
      <c r="A108" s="986" t="str">
        <f>'Table 6a Valid'!AU97</f>
        <v/>
      </c>
      <c r="B108" s="985"/>
      <c r="C108" s="983"/>
      <c r="D108" s="744"/>
      <c r="E108" s="744"/>
      <c r="F108" s="744"/>
    </row>
    <row r="109" spans="1:16" x14ac:dyDescent="0.35">
      <c r="A109" s="984"/>
      <c r="B109" s="985"/>
      <c r="C109" s="983"/>
      <c r="D109" s="744"/>
      <c r="E109" s="744"/>
      <c r="F109" s="744"/>
    </row>
    <row r="110" spans="1:16" s="657" customFormat="1" ht="20.45" customHeight="1" x14ac:dyDescent="0.35">
      <c r="A110" s="657" t="s">
        <v>27882</v>
      </c>
      <c r="N110" s="1348"/>
      <c r="O110" s="1348"/>
      <c r="P110" s="1348"/>
    </row>
    <row r="111" spans="1:16" x14ac:dyDescent="0.35">
      <c r="A111" s="631" t="s">
        <v>29200</v>
      </c>
    </row>
    <row r="112" spans="1:16" x14ac:dyDescent="0.35">
      <c r="A112" s="918" t="str">
        <f>'Table 6a Valid'!BA29</f>
        <v/>
      </c>
    </row>
    <row r="113" spans="1:1" ht="12.75" customHeight="1" x14ac:dyDescent="0.35">
      <c r="A113" s="631" t="s">
        <v>28311</v>
      </c>
    </row>
    <row r="114" spans="1:1" x14ac:dyDescent="0.35">
      <c r="A114" s="918" t="str">
        <f>'Table 6a Valid'!BI99</f>
        <v/>
      </c>
    </row>
  </sheetData>
  <sheetProtection algorithmName="SHA-512" hashValue="gxLLjAvbcrdO97t2Bc48GWUCoZrrCS1T+4lx/+Y7G2gKPlWWgiqjuVcStjE1GGHqFApvBiaEHb3gbFw7qrMgig==" saltValue="7bbCy+6I0KHCE4lDwI1p3w==" spinCount="100000" sheet="1" objects="1" scenarios="1"/>
  <autoFilter ref="A12:A91" xr:uid="{00000000-0009-0000-0000-000011000000}"/>
  <mergeCells count="22">
    <mergeCell ref="J9:L9"/>
    <mergeCell ref="G10:G12"/>
    <mergeCell ref="D9:F9"/>
    <mergeCell ref="L10:L12"/>
    <mergeCell ref="I10:I12"/>
    <mergeCell ref="G9:I9"/>
    <mergeCell ref="H10:H12"/>
    <mergeCell ref="K10:K12"/>
    <mergeCell ref="E10:E12"/>
    <mergeCell ref="J10:J12"/>
    <mergeCell ref="F10:F12"/>
    <mergeCell ref="D5:F5"/>
    <mergeCell ref="D6:F6"/>
    <mergeCell ref="D7:F7"/>
    <mergeCell ref="A7:B9"/>
    <mergeCell ref="D10:D12"/>
    <mergeCell ref="J5:L5"/>
    <mergeCell ref="J6:L6"/>
    <mergeCell ref="J7:L7"/>
    <mergeCell ref="G5:I5"/>
    <mergeCell ref="G6:I6"/>
    <mergeCell ref="G7:I7"/>
  </mergeCells>
  <conditionalFormatting sqref="D5:L5">
    <cfRule type="cellIs" dxfId="163" priority="41" operator="notEqual">
      <formula>"Validation: OK"</formula>
    </cfRule>
  </conditionalFormatting>
  <conditionalFormatting sqref="D6:L6">
    <cfRule type="cellIs" dxfId="162" priority="42" operator="notEqual">
      <formula>"Credibility: OK"</formula>
    </cfRule>
  </conditionalFormatting>
  <conditionalFormatting sqref="D13:L91">
    <cfRule type="cellIs" dxfId="160" priority="4" operator="equal">
      <formula>0</formula>
    </cfRule>
  </conditionalFormatting>
  <dataValidations count="5">
    <dataValidation type="custom" allowBlank="1" showInputMessage="1" showErrorMessage="1" errorTitle="Validation check" error="Table 6a, Column 1, Nursing - unclassified and non-nursing rows can only contain positive integers or zero." sqref="D13:F13 D19:F19 D17:F17 D15:F15 D21:F30 D47:F86" xr:uid="{82C4BC07-BB02-472E-B10C-73255A07784D}">
      <formula1>AND(D13&gt;=0,ROUND(D13,0)=D13)</formula1>
    </dataValidation>
    <dataValidation type="custom" allowBlank="1" showInputMessage="1" showErrorMessage="1" errorTitle="Validation check" error="Table 6a, Column 2, non-nursing rows can only contain positive integers or zero." sqref="G13:I13 G19:I19 G17:I17 G15:I15 G21:I30 H51:I86 G52:G86" xr:uid="{AA3DB02D-F795-4CB1-B0F8-7AD4914FB394}">
      <formula1>AND(G13&gt;=0,ROUND(G13,0)=G13)</formula1>
    </dataValidation>
    <dataValidation type="custom" allowBlank="1" showInputMessage="1" showErrorMessage="1" errorTitle="Validation check" error="Table 6a, Column 1, nursing rows excluding Nursing - unclassified can only contain positive values divisible by 0.5 or zero." sqref="D31:F46" xr:uid="{B48C3E84-CFBE-471C-8E89-830B406EB0A5}">
      <formula1>AND(D31&gt;=0,ROUND((D31/0.5),0)=(D31/0.5))</formula1>
    </dataValidation>
    <dataValidation type="custom" allowBlank="1" showInputMessage="1" showErrorMessage="1" errorTitle="Validation check" error="Table 6a, Column 2, nursing rows excluding Nursing - unclassified can only contain positive values divisible by 0.5 or zero." sqref="G31:I46" xr:uid="{E5F948D0-1A26-45D6-9870-7923C569831F}">
      <formula1>AND(G31&gt;=0,ROUND((G31/0.5),0)=(G31/0.5))</formula1>
    </dataValidation>
    <dataValidation type="custom" allowBlank="1" showInputMessage="1" showErrorMessage="1" errorTitle="Validation check" error="Table 6a, Column 2, Nursing - unclassified and non-nursing rows can only contain positive integers or zero." sqref="G47:I50 G51" xr:uid="{5D62B81A-127E-4B55-B61C-9B0B533F5C01}">
      <formula1>AND(G47&gt;=0,ROUND(G47,0)=G47)</formula1>
    </dataValidation>
  </dataValidations>
  <pageMargins left="0.70866141732283472" right="0.70866141732283472" top="0.74803149606299213" bottom="0.74803149606299213" header="0.31496062992125984" footer="0.31496062992125984"/>
  <pageSetup paperSize="8" scale="46" fitToHeight="0" orientation="landscape" r:id="rId1"/>
  <rowBreaks count="2" manualBreakCount="2">
    <brk id="42" max="36" man="1"/>
    <brk id="74" max="36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65FBD8-B6DA-4C15-A970-CD578EEAE544}">
            <xm:f>IF('Table 6a Valid'!E107=1,1,0)</xm:f>
            <x14:dxf>
              <font>
                <b/>
                <i val="0"/>
                <color rgb="FFFF0000"/>
              </font>
            </x14:dxf>
          </x14:cfRule>
          <xm:sqref>D13:L91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tabColor theme="7" tint="0.39997558519241921"/>
    <pageSetUpPr fitToPage="1"/>
  </sheetPr>
  <dimension ref="A1:L245"/>
  <sheetViews>
    <sheetView showGridLines="0" workbookViewId="0"/>
  </sheetViews>
  <sheetFormatPr defaultColWidth="9" defaultRowHeight="13.5" x14ac:dyDescent="0.35"/>
  <cols>
    <col min="1" max="1" width="25" style="666" customWidth="1"/>
    <col min="2" max="2" width="37.3984375" style="666" customWidth="1"/>
    <col min="3" max="3" width="18.59765625" style="666" customWidth="1"/>
    <col min="4" max="4" width="10.1328125" style="666" customWidth="1"/>
    <col min="5" max="5" width="19.1328125" style="666" customWidth="1"/>
    <col min="6" max="6" width="22.1328125" style="666" customWidth="1"/>
    <col min="7" max="7" width="33" style="666" customWidth="1"/>
    <col min="8" max="8" width="17.1328125" style="666" customWidth="1"/>
    <col min="9" max="9" width="84.86328125" style="666" customWidth="1"/>
    <col min="10" max="10" width="9" style="666"/>
    <col min="11" max="11" width="9" style="666" hidden="1" customWidth="1"/>
    <col min="12" max="15" width="9" style="666" customWidth="1"/>
    <col min="16" max="16384" width="9" style="666"/>
  </cols>
  <sheetData>
    <row r="1" spans="1:12" ht="25.15" x14ac:dyDescent="0.35">
      <c r="A1" s="636" t="str">
        <f>"HESES"&amp;YEAR&amp;" validation errors"</f>
        <v>HESES24 validation errors</v>
      </c>
      <c r="B1" s="74"/>
      <c r="C1" s="74"/>
      <c r="D1" s="74"/>
      <c r="E1" s="74"/>
      <c r="F1" s="170"/>
      <c r="G1" s="346"/>
      <c r="H1" s="346"/>
      <c r="K1" s="2118"/>
      <c r="L1" s="346"/>
    </row>
    <row r="2" spans="1:12" s="1395" customFormat="1" ht="25.15" customHeight="1" x14ac:dyDescent="0.35">
      <c r="A2" s="1391" t="str">
        <f>IF(PROVIDER="","Provider name",PROVIDER&amp;" ("&amp;UKPRN&amp;")")</f>
        <v>Provider name</v>
      </c>
      <c r="B2" s="968"/>
      <c r="C2" s="968"/>
      <c r="D2" s="968"/>
      <c r="E2" s="968"/>
      <c r="F2" s="1394"/>
      <c r="G2" s="1275"/>
      <c r="H2" s="1275"/>
      <c r="K2" s="1275"/>
      <c r="L2" s="1275"/>
    </row>
    <row r="3" spans="1:12" x14ac:dyDescent="0.35">
      <c r="A3" s="74" t="s">
        <v>51</v>
      </c>
      <c r="B3" s="74"/>
      <c r="C3" s="74"/>
      <c r="D3" s="74"/>
    </row>
    <row r="4" spans="1:12" x14ac:dyDescent="0.35">
      <c r="A4" s="1252" t="s">
        <v>52</v>
      </c>
      <c r="B4" s="74"/>
      <c r="C4" s="74"/>
      <c r="D4" s="346"/>
      <c r="G4" s="74"/>
    </row>
    <row r="5" spans="1:12" ht="13.9" x14ac:dyDescent="0.4">
      <c r="A5" s="667"/>
      <c r="B5" s="667"/>
      <c r="C5" s="667"/>
      <c r="D5" s="667"/>
      <c r="E5" s="667"/>
      <c r="F5" s="667"/>
      <c r="G5" s="667"/>
      <c r="H5" s="667"/>
      <c r="I5" s="667"/>
    </row>
    <row r="6" spans="1:12" ht="13.9" x14ac:dyDescent="0.4">
      <c r="A6" s="1398" t="s">
        <v>53</v>
      </c>
      <c r="B6" s="1399" t="s">
        <v>54</v>
      </c>
      <c r="C6" s="1398" t="s">
        <v>55</v>
      </c>
      <c r="D6" s="1398" t="s">
        <v>56</v>
      </c>
      <c r="E6" s="1398" t="s">
        <v>57</v>
      </c>
      <c r="F6" s="1398" t="s">
        <v>58</v>
      </c>
      <c r="G6" s="1398" t="s">
        <v>59</v>
      </c>
      <c r="H6" s="1399" t="s">
        <v>60</v>
      </c>
      <c r="I6" s="1398" t="s">
        <v>61</v>
      </c>
    </row>
    <row r="7" spans="1:12" hidden="1" x14ac:dyDescent="0.35">
      <c r="A7" s="668" t="s">
        <v>62</v>
      </c>
      <c r="B7" s="668" t="s">
        <v>63</v>
      </c>
      <c r="C7" s="668" t="s">
        <v>64</v>
      </c>
      <c r="D7" s="668" t="s">
        <v>65</v>
      </c>
      <c r="E7" s="668" t="s">
        <v>66</v>
      </c>
      <c r="F7" s="668" t="s">
        <v>67</v>
      </c>
      <c r="G7" s="668" t="s">
        <v>68</v>
      </c>
      <c r="H7" s="668" t="s">
        <v>69</v>
      </c>
      <c r="I7" s="292"/>
    </row>
    <row r="8" spans="1:12" x14ac:dyDescent="0.35">
      <c r="I8" s="2122" t="str">
        <f t="shared" ref="I8:I71" si="0">IF(H8&lt;&gt;"",VLOOKUP(H8,ValidationCodes,2,FALSE),"")</f>
        <v/>
      </c>
    </row>
    <row r="9" spans="1:12" x14ac:dyDescent="0.35">
      <c r="I9" s="2122" t="str">
        <f t="shared" si="0"/>
        <v/>
      </c>
    </row>
    <row r="10" spans="1:12" x14ac:dyDescent="0.35">
      <c r="I10" s="2122" t="str">
        <f t="shared" si="0"/>
        <v/>
      </c>
    </row>
    <row r="11" spans="1:12" x14ac:dyDescent="0.35">
      <c r="I11" s="2122" t="str">
        <f t="shared" si="0"/>
        <v/>
      </c>
    </row>
    <row r="12" spans="1:12" x14ac:dyDescent="0.35">
      <c r="I12" s="2122" t="str">
        <f t="shared" si="0"/>
        <v/>
      </c>
    </row>
    <row r="13" spans="1:12" x14ac:dyDescent="0.35">
      <c r="I13" s="2122" t="str">
        <f t="shared" si="0"/>
        <v/>
      </c>
    </row>
    <row r="14" spans="1:12" x14ac:dyDescent="0.35">
      <c r="I14" s="2122" t="str">
        <f t="shared" si="0"/>
        <v/>
      </c>
    </row>
    <row r="15" spans="1:12" x14ac:dyDescent="0.35">
      <c r="I15" s="2122" t="str">
        <f t="shared" si="0"/>
        <v/>
      </c>
    </row>
    <row r="16" spans="1:12" x14ac:dyDescent="0.35">
      <c r="I16" s="2122" t="str">
        <f t="shared" si="0"/>
        <v/>
      </c>
    </row>
    <row r="17" spans="9:9" x14ac:dyDescent="0.35">
      <c r="I17" s="2122" t="str">
        <f t="shared" si="0"/>
        <v/>
      </c>
    </row>
    <row r="18" spans="9:9" x14ac:dyDescent="0.35">
      <c r="I18" s="2122" t="str">
        <f t="shared" si="0"/>
        <v/>
      </c>
    </row>
    <row r="19" spans="9:9" x14ac:dyDescent="0.35">
      <c r="I19" s="2122" t="str">
        <f t="shared" si="0"/>
        <v/>
      </c>
    </row>
    <row r="20" spans="9:9" x14ac:dyDescent="0.35">
      <c r="I20" s="2122" t="str">
        <f t="shared" si="0"/>
        <v/>
      </c>
    </row>
    <row r="21" spans="9:9" x14ac:dyDescent="0.35">
      <c r="I21" s="2122" t="str">
        <f t="shared" si="0"/>
        <v/>
      </c>
    </row>
    <row r="22" spans="9:9" x14ac:dyDescent="0.35">
      <c r="I22" s="2122" t="str">
        <f t="shared" si="0"/>
        <v/>
      </c>
    </row>
    <row r="23" spans="9:9" x14ac:dyDescent="0.35">
      <c r="I23" s="2122" t="str">
        <f t="shared" si="0"/>
        <v/>
      </c>
    </row>
    <row r="24" spans="9:9" x14ac:dyDescent="0.35">
      <c r="I24" s="2122" t="str">
        <f t="shared" si="0"/>
        <v/>
      </c>
    </row>
    <row r="25" spans="9:9" x14ac:dyDescent="0.35">
      <c r="I25" s="2122" t="str">
        <f t="shared" si="0"/>
        <v/>
      </c>
    </row>
    <row r="26" spans="9:9" x14ac:dyDescent="0.35">
      <c r="I26" s="2122" t="str">
        <f t="shared" si="0"/>
        <v/>
      </c>
    </row>
    <row r="27" spans="9:9" x14ac:dyDescent="0.35">
      <c r="I27" s="2122" t="str">
        <f t="shared" si="0"/>
        <v/>
      </c>
    </row>
    <row r="28" spans="9:9" x14ac:dyDescent="0.35">
      <c r="I28" s="2122" t="str">
        <f t="shared" si="0"/>
        <v/>
      </c>
    </row>
    <row r="29" spans="9:9" x14ac:dyDescent="0.35">
      <c r="I29" s="2122" t="str">
        <f t="shared" si="0"/>
        <v/>
      </c>
    </row>
    <row r="30" spans="9:9" x14ac:dyDescent="0.35">
      <c r="I30" s="2122" t="str">
        <f t="shared" si="0"/>
        <v/>
      </c>
    </row>
    <row r="31" spans="9:9" x14ac:dyDescent="0.35">
      <c r="I31" s="2122" t="str">
        <f t="shared" si="0"/>
        <v/>
      </c>
    </row>
    <row r="32" spans="9:9" x14ac:dyDescent="0.35">
      <c r="I32" s="2122" t="str">
        <f t="shared" si="0"/>
        <v/>
      </c>
    </row>
    <row r="33" spans="9:9" x14ac:dyDescent="0.35">
      <c r="I33" s="2122" t="str">
        <f t="shared" si="0"/>
        <v/>
      </c>
    </row>
    <row r="34" spans="9:9" x14ac:dyDescent="0.35">
      <c r="I34" s="2122" t="str">
        <f t="shared" si="0"/>
        <v/>
      </c>
    </row>
    <row r="35" spans="9:9" x14ac:dyDescent="0.35">
      <c r="I35" s="2122" t="str">
        <f t="shared" si="0"/>
        <v/>
      </c>
    </row>
    <row r="36" spans="9:9" x14ac:dyDescent="0.35">
      <c r="I36" s="2122" t="str">
        <f t="shared" si="0"/>
        <v/>
      </c>
    </row>
    <row r="37" spans="9:9" x14ac:dyDescent="0.35">
      <c r="I37" s="2122" t="str">
        <f t="shared" si="0"/>
        <v/>
      </c>
    </row>
    <row r="38" spans="9:9" x14ac:dyDescent="0.35">
      <c r="I38" s="2122" t="str">
        <f t="shared" si="0"/>
        <v/>
      </c>
    </row>
    <row r="39" spans="9:9" x14ac:dyDescent="0.35">
      <c r="I39" s="2122" t="str">
        <f t="shared" si="0"/>
        <v/>
      </c>
    </row>
    <row r="40" spans="9:9" x14ac:dyDescent="0.35">
      <c r="I40" s="2122" t="str">
        <f t="shared" si="0"/>
        <v/>
      </c>
    </row>
    <row r="41" spans="9:9" x14ac:dyDescent="0.35">
      <c r="I41" s="2122" t="str">
        <f t="shared" si="0"/>
        <v/>
      </c>
    </row>
    <row r="42" spans="9:9" x14ac:dyDescent="0.35">
      <c r="I42" s="2122" t="str">
        <f t="shared" si="0"/>
        <v/>
      </c>
    </row>
    <row r="43" spans="9:9" x14ac:dyDescent="0.35">
      <c r="I43" s="2122" t="str">
        <f t="shared" si="0"/>
        <v/>
      </c>
    </row>
    <row r="44" spans="9:9" x14ac:dyDescent="0.35">
      <c r="I44" s="2122" t="str">
        <f t="shared" si="0"/>
        <v/>
      </c>
    </row>
    <row r="45" spans="9:9" x14ac:dyDescent="0.35">
      <c r="I45" s="2122" t="str">
        <f t="shared" si="0"/>
        <v/>
      </c>
    </row>
    <row r="46" spans="9:9" x14ac:dyDescent="0.35">
      <c r="I46" s="2122" t="str">
        <f t="shared" si="0"/>
        <v/>
      </c>
    </row>
    <row r="47" spans="9:9" x14ac:dyDescent="0.35">
      <c r="I47" s="2122" t="str">
        <f t="shared" si="0"/>
        <v/>
      </c>
    </row>
    <row r="48" spans="9:9" x14ac:dyDescent="0.35">
      <c r="I48" s="2122" t="str">
        <f t="shared" si="0"/>
        <v/>
      </c>
    </row>
    <row r="49" spans="9:12" x14ac:dyDescent="0.35">
      <c r="I49" s="2122" t="str">
        <f t="shared" si="0"/>
        <v/>
      </c>
    </row>
    <row r="50" spans="9:12" x14ac:dyDescent="0.35">
      <c r="I50" s="2122" t="str">
        <f t="shared" si="0"/>
        <v/>
      </c>
    </row>
    <row r="51" spans="9:12" x14ac:dyDescent="0.35">
      <c r="I51" s="2122" t="str">
        <f t="shared" si="0"/>
        <v/>
      </c>
    </row>
    <row r="52" spans="9:12" x14ac:dyDescent="0.35">
      <c r="I52" s="2122" t="str">
        <f t="shared" si="0"/>
        <v/>
      </c>
    </row>
    <row r="53" spans="9:12" x14ac:dyDescent="0.35">
      <c r="I53" s="2122" t="str">
        <f t="shared" si="0"/>
        <v/>
      </c>
    </row>
    <row r="54" spans="9:12" x14ac:dyDescent="0.35">
      <c r="I54" s="2122" t="str">
        <f t="shared" si="0"/>
        <v/>
      </c>
    </row>
    <row r="55" spans="9:12" x14ac:dyDescent="0.35">
      <c r="I55" s="2122" t="str">
        <f t="shared" si="0"/>
        <v/>
      </c>
    </row>
    <row r="56" spans="9:12" x14ac:dyDescent="0.35">
      <c r="I56" s="2122" t="str">
        <f t="shared" si="0"/>
        <v/>
      </c>
    </row>
    <row r="57" spans="9:12" x14ac:dyDescent="0.35">
      <c r="I57" s="2122" t="str">
        <f t="shared" si="0"/>
        <v/>
      </c>
    </row>
    <row r="58" spans="9:12" x14ac:dyDescent="0.35">
      <c r="I58" s="2122" t="str">
        <f t="shared" si="0"/>
        <v/>
      </c>
      <c r="K58" s="308"/>
      <c r="L58" s="308"/>
    </row>
    <row r="59" spans="9:12" x14ac:dyDescent="0.35">
      <c r="I59" s="2122" t="str">
        <f t="shared" si="0"/>
        <v/>
      </c>
      <c r="K59" s="308"/>
      <c r="L59" s="308"/>
    </row>
    <row r="60" spans="9:12" x14ac:dyDescent="0.35">
      <c r="I60" s="2122" t="str">
        <f t="shared" si="0"/>
        <v/>
      </c>
      <c r="K60" s="308"/>
      <c r="L60" s="308"/>
    </row>
    <row r="61" spans="9:12" x14ac:dyDescent="0.35">
      <c r="I61" s="2122" t="str">
        <f t="shared" si="0"/>
        <v/>
      </c>
      <c r="K61" s="308"/>
      <c r="L61" s="308"/>
    </row>
    <row r="62" spans="9:12" x14ac:dyDescent="0.35">
      <c r="I62" s="2122" t="str">
        <f t="shared" si="0"/>
        <v/>
      </c>
      <c r="K62" s="308"/>
      <c r="L62" s="308"/>
    </row>
    <row r="63" spans="9:12" x14ac:dyDescent="0.35">
      <c r="I63" s="2122" t="str">
        <f t="shared" si="0"/>
        <v/>
      </c>
      <c r="K63" s="308"/>
      <c r="L63" s="308"/>
    </row>
    <row r="64" spans="9:12" x14ac:dyDescent="0.35">
      <c r="I64" s="2122" t="str">
        <f t="shared" si="0"/>
        <v/>
      </c>
      <c r="K64" s="308"/>
      <c r="L64" s="308"/>
    </row>
    <row r="65" spans="9:12" x14ac:dyDescent="0.35">
      <c r="I65" s="2122" t="str">
        <f t="shared" si="0"/>
        <v/>
      </c>
      <c r="K65" s="308"/>
      <c r="L65" s="308"/>
    </row>
    <row r="66" spans="9:12" x14ac:dyDescent="0.35">
      <c r="I66" s="2122" t="str">
        <f t="shared" si="0"/>
        <v/>
      </c>
    </row>
    <row r="67" spans="9:12" x14ac:dyDescent="0.35">
      <c r="I67" s="2122" t="str">
        <f t="shared" si="0"/>
        <v/>
      </c>
      <c r="L67" s="308"/>
    </row>
    <row r="68" spans="9:12" x14ac:dyDescent="0.35">
      <c r="I68" s="2122" t="str">
        <f t="shared" si="0"/>
        <v/>
      </c>
      <c r="L68" s="308"/>
    </row>
    <row r="69" spans="9:12" x14ac:dyDescent="0.35">
      <c r="I69" s="2122" t="str">
        <f t="shared" si="0"/>
        <v/>
      </c>
      <c r="L69" s="308"/>
    </row>
    <row r="70" spans="9:12" x14ac:dyDescent="0.35">
      <c r="I70" s="2122" t="str">
        <f t="shared" si="0"/>
        <v/>
      </c>
      <c r="K70" s="308"/>
      <c r="L70" s="308"/>
    </row>
    <row r="71" spans="9:12" x14ac:dyDescent="0.35">
      <c r="I71" s="2122" t="str">
        <f t="shared" si="0"/>
        <v/>
      </c>
      <c r="K71" s="308"/>
      <c r="L71" s="308"/>
    </row>
    <row r="72" spans="9:12" x14ac:dyDescent="0.35">
      <c r="I72" s="2122" t="str">
        <f t="shared" ref="I72:I135" si="1">IF(H72&lt;&gt;"",VLOOKUP(H72,ValidationCodes,2,FALSE),"")</f>
        <v/>
      </c>
      <c r="K72" s="308"/>
      <c r="L72" s="308"/>
    </row>
    <row r="73" spans="9:12" x14ac:dyDescent="0.35">
      <c r="I73" s="2122" t="str">
        <f t="shared" si="1"/>
        <v/>
      </c>
      <c r="K73" s="308"/>
      <c r="L73" s="308"/>
    </row>
    <row r="74" spans="9:12" x14ac:dyDescent="0.35">
      <c r="I74" s="2122" t="str">
        <f t="shared" si="1"/>
        <v/>
      </c>
      <c r="K74" s="308"/>
      <c r="L74" s="308"/>
    </row>
    <row r="75" spans="9:12" x14ac:dyDescent="0.35">
      <c r="I75" s="2122" t="str">
        <f t="shared" si="1"/>
        <v/>
      </c>
      <c r="K75" s="308"/>
      <c r="L75" s="308"/>
    </row>
    <row r="76" spans="9:12" x14ac:dyDescent="0.35">
      <c r="I76" s="2122" t="str">
        <f t="shared" si="1"/>
        <v/>
      </c>
      <c r="K76" s="308"/>
      <c r="L76" s="308"/>
    </row>
    <row r="77" spans="9:12" x14ac:dyDescent="0.35">
      <c r="I77" s="2122" t="str">
        <f t="shared" si="1"/>
        <v/>
      </c>
      <c r="K77" s="308"/>
      <c r="L77" s="308"/>
    </row>
    <row r="78" spans="9:12" x14ac:dyDescent="0.35">
      <c r="I78" s="2122" t="str">
        <f t="shared" si="1"/>
        <v/>
      </c>
      <c r="K78" s="308"/>
      <c r="L78" s="308"/>
    </row>
    <row r="79" spans="9:12" x14ac:dyDescent="0.35">
      <c r="I79" s="2122" t="str">
        <f t="shared" si="1"/>
        <v/>
      </c>
      <c r="K79" s="308"/>
      <c r="L79" s="308"/>
    </row>
    <row r="80" spans="9:12" x14ac:dyDescent="0.35">
      <c r="I80" s="2122" t="str">
        <f t="shared" si="1"/>
        <v/>
      </c>
      <c r="K80" s="308"/>
      <c r="L80" s="308"/>
    </row>
    <row r="81" spans="9:12" x14ac:dyDescent="0.35">
      <c r="I81" s="2122" t="str">
        <f t="shared" si="1"/>
        <v/>
      </c>
      <c r="K81" s="308"/>
      <c r="L81" s="308"/>
    </row>
    <row r="82" spans="9:12" x14ac:dyDescent="0.35">
      <c r="I82" s="2122" t="str">
        <f t="shared" si="1"/>
        <v/>
      </c>
      <c r="K82" s="308"/>
      <c r="L82" s="308"/>
    </row>
    <row r="83" spans="9:12" x14ac:dyDescent="0.35">
      <c r="I83" s="2122" t="str">
        <f t="shared" si="1"/>
        <v/>
      </c>
      <c r="K83" s="308"/>
      <c r="L83" s="308"/>
    </row>
    <row r="84" spans="9:12" x14ac:dyDescent="0.35">
      <c r="I84" s="2122" t="str">
        <f t="shared" si="1"/>
        <v/>
      </c>
    </row>
    <row r="85" spans="9:12" x14ac:dyDescent="0.35">
      <c r="I85" s="2122" t="str">
        <f t="shared" si="1"/>
        <v/>
      </c>
    </row>
    <row r="86" spans="9:12" x14ac:dyDescent="0.35">
      <c r="I86" s="2122" t="str">
        <f t="shared" si="1"/>
        <v/>
      </c>
    </row>
    <row r="87" spans="9:12" x14ac:dyDescent="0.35">
      <c r="I87" s="2122" t="str">
        <f t="shared" si="1"/>
        <v/>
      </c>
    </row>
    <row r="88" spans="9:12" x14ac:dyDescent="0.35">
      <c r="I88" s="2122" t="str">
        <f t="shared" si="1"/>
        <v/>
      </c>
    </row>
    <row r="89" spans="9:12" x14ac:dyDescent="0.35">
      <c r="I89" s="2122" t="str">
        <f t="shared" si="1"/>
        <v/>
      </c>
    </row>
    <row r="90" spans="9:12" x14ac:dyDescent="0.35">
      <c r="I90" s="2122" t="str">
        <f t="shared" si="1"/>
        <v/>
      </c>
    </row>
    <row r="91" spans="9:12" x14ac:dyDescent="0.35">
      <c r="I91" s="2122" t="str">
        <f t="shared" si="1"/>
        <v/>
      </c>
    </row>
    <row r="92" spans="9:12" x14ac:dyDescent="0.35">
      <c r="I92" s="2122" t="str">
        <f t="shared" si="1"/>
        <v/>
      </c>
    </row>
    <row r="93" spans="9:12" x14ac:dyDescent="0.35">
      <c r="I93" s="2122" t="str">
        <f t="shared" si="1"/>
        <v/>
      </c>
    </row>
    <row r="94" spans="9:12" x14ac:dyDescent="0.35">
      <c r="I94" s="2122" t="str">
        <f t="shared" si="1"/>
        <v/>
      </c>
    </row>
    <row r="95" spans="9:12" x14ac:dyDescent="0.35">
      <c r="I95" s="2122" t="str">
        <f t="shared" si="1"/>
        <v/>
      </c>
    </row>
    <row r="96" spans="9:12" x14ac:dyDescent="0.35">
      <c r="I96" s="2122" t="str">
        <f t="shared" si="1"/>
        <v/>
      </c>
    </row>
    <row r="97" spans="9:9" x14ac:dyDescent="0.35">
      <c r="I97" s="2122" t="str">
        <f t="shared" si="1"/>
        <v/>
      </c>
    </row>
    <row r="98" spans="9:9" x14ac:dyDescent="0.35">
      <c r="I98" s="2122" t="str">
        <f t="shared" si="1"/>
        <v/>
      </c>
    </row>
    <row r="99" spans="9:9" x14ac:dyDescent="0.35">
      <c r="I99" s="2122" t="str">
        <f t="shared" si="1"/>
        <v/>
      </c>
    </row>
    <row r="100" spans="9:9" x14ac:dyDescent="0.35">
      <c r="I100" s="2122" t="str">
        <f t="shared" si="1"/>
        <v/>
      </c>
    </row>
    <row r="101" spans="9:9" x14ac:dyDescent="0.35">
      <c r="I101" s="2122" t="str">
        <f t="shared" si="1"/>
        <v/>
      </c>
    </row>
    <row r="102" spans="9:9" x14ac:dyDescent="0.35">
      <c r="I102" s="2122" t="str">
        <f t="shared" si="1"/>
        <v/>
      </c>
    </row>
    <row r="103" spans="9:9" x14ac:dyDescent="0.35">
      <c r="I103" s="2122" t="str">
        <f t="shared" si="1"/>
        <v/>
      </c>
    </row>
    <row r="104" spans="9:9" x14ac:dyDescent="0.35">
      <c r="I104" s="2122" t="str">
        <f t="shared" si="1"/>
        <v/>
      </c>
    </row>
    <row r="105" spans="9:9" x14ac:dyDescent="0.35">
      <c r="I105" s="2122" t="str">
        <f t="shared" si="1"/>
        <v/>
      </c>
    </row>
    <row r="106" spans="9:9" x14ac:dyDescent="0.35">
      <c r="I106" s="2122" t="str">
        <f t="shared" si="1"/>
        <v/>
      </c>
    </row>
    <row r="107" spans="9:9" x14ac:dyDescent="0.35">
      <c r="I107" s="2122" t="str">
        <f t="shared" si="1"/>
        <v/>
      </c>
    </row>
    <row r="108" spans="9:9" x14ac:dyDescent="0.35">
      <c r="I108" s="2122" t="str">
        <f t="shared" si="1"/>
        <v/>
      </c>
    </row>
    <row r="109" spans="9:9" x14ac:dyDescent="0.35">
      <c r="I109" s="2122" t="str">
        <f t="shared" si="1"/>
        <v/>
      </c>
    </row>
    <row r="110" spans="9:9" x14ac:dyDescent="0.35">
      <c r="I110" s="2122" t="str">
        <f t="shared" si="1"/>
        <v/>
      </c>
    </row>
    <row r="111" spans="9:9" x14ac:dyDescent="0.35">
      <c r="I111" s="2122" t="str">
        <f t="shared" si="1"/>
        <v/>
      </c>
    </row>
    <row r="112" spans="9:9" x14ac:dyDescent="0.35">
      <c r="I112" s="2122" t="str">
        <f t="shared" si="1"/>
        <v/>
      </c>
    </row>
    <row r="113" spans="9:9" x14ac:dyDescent="0.35">
      <c r="I113" s="2122" t="str">
        <f t="shared" si="1"/>
        <v/>
      </c>
    </row>
    <row r="114" spans="9:9" x14ac:dyDescent="0.35">
      <c r="I114" s="2122" t="str">
        <f t="shared" si="1"/>
        <v/>
      </c>
    </row>
    <row r="115" spans="9:9" x14ac:dyDescent="0.35">
      <c r="I115" s="2122" t="str">
        <f t="shared" si="1"/>
        <v/>
      </c>
    </row>
    <row r="116" spans="9:9" x14ac:dyDescent="0.35">
      <c r="I116" s="2122" t="str">
        <f t="shared" si="1"/>
        <v/>
      </c>
    </row>
    <row r="117" spans="9:9" x14ac:dyDescent="0.35">
      <c r="I117" s="2122" t="str">
        <f t="shared" si="1"/>
        <v/>
      </c>
    </row>
    <row r="118" spans="9:9" x14ac:dyDescent="0.35">
      <c r="I118" s="2122" t="str">
        <f t="shared" si="1"/>
        <v/>
      </c>
    </row>
    <row r="119" spans="9:9" x14ac:dyDescent="0.35">
      <c r="I119" s="2122" t="str">
        <f t="shared" si="1"/>
        <v/>
      </c>
    </row>
    <row r="120" spans="9:9" x14ac:dyDescent="0.35">
      <c r="I120" s="2122" t="str">
        <f t="shared" si="1"/>
        <v/>
      </c>
    </row>
    <row r="121" spans="9:9" x14ac:dyDescent="0.35">
      <c r="I121" s="2122" t="str">
        <f t="shared" si="1"/>
        <v/>
      </c>
    </row>
    <row r="122" spans="9:9" x14ac:dyDescent="0.35">
      <c r="I122" s="2122" t="str">
        <f t="shared" si="1"/>
        <v/>
      </c>
    </row>
    <row r="123" spans="9:9" x14ac:dyDescent="0.35">
      <c r="I123" s="2122" t="str">
        <f t="shared" si="1"/>
        <v/>
      </c>
    </row>
    <row r="124" spans="9:9" x14ac:dyDescent="0.35">
      <c r="I124" s="2122" t="str">
        <f t="shared" si="1"/>
        <v/>
      </c>
    </row>
    <row r="125" spans="9:9" x14ac:dyDescent="0.35">
      <c r="I125" s="2122" t="str">
        <f t="shared" si="1"/>
        <v/>
      </c>
    </row>
    <row r="126" spans="9:9" x14ac:dyDescent="0.35">
      <c r="I126" s="2122" t="str">
        <f t="shared" si="1"/>
        <v/>
      </c>
    </row>
    <row r="127" spans="9:9" x14ac:dyDescent="0.35">
      <c r="I127" s="2122" t="str">
        <f t="shared" si="1"/>
        <v/>
      </c>
    </row>
    <row r="128" spans="9:9" x14ac:dyDescent="0.35">
      <c r="I128" s="2122" t="str">
        <f t="shared" si="1"/>
        <v/>
      </c>
    </row>
    <row r="129" spans="9:9" x14ac:dyDescent="0.35">
      <c r="I129" s="2122" t="str">
        <f t="shared" si="1"/>
        <v/>
      </c>
    </row>
    <row r="130" spans="9:9" x14ac:dyDescent="0.35">
      <c r="I130" s="2122" t="str">
        <f t="shared" si="1"/>
        <v/>
      </c>
    </row>
    <row r="131" spans="9:9" x14ac:dyDescent="0.35">
      <c r="I131" s="2122" t="str">
        <f t="shared" si="1"/>
        <v/>
      </c>
    </row>
    <row r="132" spans="9:9" x14ac:dyDescent="0.35">
      <c r="I132" s="2122" t="str">
        <f t="shared" si="1"/>
        <v/>
      </c>
    </row>
    <row r="133" spans="9:9" x14ac:dyDescent="0.35">
      <c r="I133" s="2122" t="str">
        <f t="shared" si="1"/>
        <v/>
      </c>
    </row>
    <row r="134" spans="9:9" x14ac:dyDescent="0.35">
      <c r="I134" s="2122" t="str">
        <f t="shared" si="1"/>
        <v/>
      </c>
    </row>
    <row r="135" spans="9:9" x14ac:dyDescent="0.35">
      <c r="I135" s="2122" t="str">
        <f t="shared" si="1"/>
        <v/>
      </c>
    </row>
    <row r="136" spans="9:9" x14ac:dyDescent="0.35">
      <c r="I136" s="2122" t="str">
        <f t="shared" ref="I136:I199" si="2">IF(H136&lt;&gt;"",VLOOKUP(H136,ValidationCodes,2,FALSE),"")</f>
        <v/>
      </c>
    </row>
    <row r="137" spans="9:9" x14ac:dyDescent="0.35">
      <c r="I137" s="2122" t="str">
        <f t="shared" si="2"/>
        <v/>
      </c>
    </row>
    <row r="138" spans="9:9" x14ac:dyDescent="0.35">
      <c r="I138" s="2122" t="str">
        <f t="shared" si="2"/>
        <v/>
      </c>
    </row>
    <row r="139" spans="9:9" x14ac:dyDescent="0.35">
      <c r="I139" s="2122" t="str">
        <f t="shared" si="2"/>
        <v/>
      </c>
    </row>
    <row r="140" spans="9:9" x14ac:dyDescent="0.35">
      <c r="I140" s="2122" t="str">
        <f t="shared" si="2"/>
        <v/>
      </c>
    </row>
    <row r="141" spans="9:9" x14ac:dyDescent="0.35">
      <c r="I141" s="2122" t="str">
        <f t="shared" si="2"/>
        <v/>
      </c>
    </row>
    <row r="142" spans="9:9" x14ac:dyDescent="0.35">
      <c r="I142" s="2122" t="str">
        <f t="shared" si="2"/>
        <v/>
      </c>
    </row>
    <row r="143" spans="9:9" x14ac:dyDescent="0.35">
      <c r="I143" s="2122" t="str">
        <f t="shared" si="2"/>
        <v/>
      </c>
    </row>
    <row r="144" spans="9:9" x14ac:dyDescent="0.35">
      <c r="I144" s="2122" t="str">
        <f t="shared" si="2"/>
        <v/>
      </c>
    </row>
    <row r="145" spans="9:9" x14ac:dyDescent="0.35">
      <c r="I145" s="2122" t="str">
        <f t="shared" si="2"/>
        <v/>
      </c>
    </row>
    <row r="146" spans="9:9" x14ac:dyDescent="0.35">
      <c r="I146" s="2122" t="str">
        <f t="shared" si="2"/>
        <v/>
      </c>
    </row>
    <row r="147" spans="9:9" x14ac:dyDescent="0.35">
      <c r="I147" s="2122" t="str">
        <f t="shared" si="2"/>
        <v/>
      </c>
    </row>
    <row r="148" spans="9:9" x14ac:dyDescent="0.35">
      <c r="I148" s="2122" t="str">
        <f t="shared" si="2"/>
        <v/>
      </c>
    </row>
    <row r="149" spans="9:9" x14ac:dyDescent="0.35">
      <c r="I149" s="2122" t="str">
        <f t="shared" si="2"/>
        <v/>
      </c>
    </row>
    <row r="150" spans="9:9" x14ac:dyDescent="0.35">
      <c r="I150" s="2122" t="str">
        <f t="shared" si="2"/>
        <v/>
      </c>
    </row>
    <row r="151" spans="9:9" x14ac:dyDescent="0.35">
      <c r="I151" s="2122" t="str">
        <f t="shared" si="2"/>
        <v/>
      </c>
    </row>
    <row r="152" spans="9:9" x14ac:dyDescent="0.35">
      <c r="I152" s="2122" t="str">
        <f t="shared" si="2"/>
        <v/>
      </c>
    </row>
    <row r="153" spans="9:9" x14ac:dyDescent="0.35">
      <c r="I153" s="2122" t="str">
        <f t="shared" si="2"/>
        <v/>
      </c>
    </row>
    <row r="154" spans="9:9" x14ac:dyDescent="0.35">
      <c r="I154" s="2122" t="str">
        <f t="shared" si="2"/>
        <v/>
      </c>
    </row>
    <row r="155" spans="9:9" x14ac:dyDescent="0.35">
      <c r="I155" s="2122" t="str">
        <f t="shared" si="2"/>
        <v/>
      </c>
    </row>
    <row r="156" spans="9:9" x14ac:dyDescent="0.35">
      <c r="I156" s="2122" t="str">
        <f t="shared" si="2"/>
        <v/>
      </c>
    </row>
    <row r="157" spans="9:9" x14ac:dyDescent="0.35">
      <c r="I157" s="2122" t="str">
        <f t="shared" si="2"/>
        <v/>
      </c>
    </row>
    <row r="158" spans="9:9" x14ac:dyDescent="0.35">
      <c r="I158" s="2122" t="str">
        <f t="shared" si="2"/>
        <v/>
      </c>
    </row>
    <row r="159" spans="9:9" x14ac:dyDescent="0.35">
      <c r="I159" s="2122" t="str">
        <f t="shared" si="2"/>
        <v/>
      </c>
    </row>
    <row r="160" spans="9:9" x14ac:dyDescent="0.35">
      <c r="I160" s="2122" t="str">
        <f t="shared" si="2"/>
        <v/>
      </c>
    </row>
    <row r="161" spans="9:9" x14ac:dyDescent="0.35">
      <c r="I161" s="2122" t="str">
        <f t="shared" si="2"/>
        <v/>
      </c>
    </row>
    <row r="162" spans="9:9" x14ac:dyDescent="0.35">
      <c r="I162" s="2122" t="str">
        <f t="shared" si="2"/>
        <v/>
      </c>
    </row>
    <row r="163" spans="9:9" x14ac:dyDescent="0.35">
      <c r="I163" s="2122" t="str">
        <f t="shared" si="2"/>
        <v/>
      </c>
    </row>
    <row r="164" spans="9:9" x14ac:dyDescent="0.35">
      <c r="I164" s="2122" t="str">
        <f t="shared" si="2"/>
        <v/>
      </c>
    </row>
    <row r="165" spans="9:9" x14ac:dyDescent="0.35">
      <c r="I165" s="2122" t="str">
        <f t="shared" si="2"/>
        <v/>
      </c>
    </row>
    <row r="166" spans="9:9" x14ac:dyDescent="0.35">
      <c r="I166" s="2122" t="str">
        <f t="shared" si="2"/>
        <v/>
      </c>
    </row>
    <row r="167" spans="9:9" x14ac:dyDescent="0.35">
      <c r="I167" s="2122" t="str">
        <f t="shared" si="2"/>
        <v/>
      </c>
    </row>
    <row r="168" spans="9:9" x14ac:dyDescent="0.35">
      <c r="I168" s="2122" t="str">
        <f t="shared" si="2"/>
        <v/>
      </c>
    </row>
    <row r="169" spans="9:9" x14ac:dyDescent="0.35">
      <c r="I169" s="2122" t="str">
        <f t="shared" si="2"/>
        <v/>
      </c>
    </row>
    <row r="170" spans="9:9" x14ac:dyDescent="0.35">
      <c r="I170" s="2122" t="str">
        <f t="shared" si="2"/>
        <v/>
      </c>
    </row>
    <row r="171" spans="9:9" x14ac:dyDescent="0.35">
      <c r="I171" s="2122" t="str">
        <f t="shared" si="2"/>
        <v/>
      </c>
    </row>
    <row r="172" spans="9:9" x14ac:dyDescent="0.35">
      <c r="I172" s="2122" t="str">
        <f t="shared" si="2"/>
        <v/>
      </c>
    </row>
    <row r="173" spans="9:9" x14ac:dyDescent="0.35">
      <c r="I173" s="2122" t="str">
        <f t="shared" si="2"/>
        <v/>
      </c>
    </row>
    <row r="174" spans="9:9" x14ac:dyDescent="0.35">
      <c r="I174" s="2122" t="str">
        <f t="shared" si="2"/>
        <v/>
      </c>
    </row>
    <row r="175" spans="9:9" x14ac:dyDescent="0.35">
      <c r="I175" s="2122" t="str">
        <f t="shared" si="2"/>
        <v/>
      </c>
    </row>
    <row r="176" spans="9:9" x14ac:dyDescent="0.35">
      <c r="I176" s="2122" t="str">
        <f t="shared" si="2"/>
        <v/>
      </c>
    </row>
    <row r="177" spans="9:9" x14ac:dyDescent="0.35">
      <c r="I177" s="2122" t="str">
        <f t="shared" si="2"/>
        <v/>
      </c>
    </row>
    <row r="178" spans="9:9" x14ac:dyDescent="0.35">
      <c r="I178" s="2122" t="str">
        <f t="shared" si="2"/>
        <v/>
      </c>
    </row>
    <row r="179" spans="9:9" x14ac:dyDescent="0.35">
      <c r="I179" s="2122" t="str">
        <f t="shared" si="2"/>
        <v/>
      </c>
    </row>
    <row r="180" spans="9:9" x14ac:dyDescent="0.35">
      <c r="I180" s="2122" t="str">
        <f t="shared" si="2"/>
        <v/>
      </c>
    </row>
    <row r="181" spans="9:9" x14ac:dyDescent="0.35">
      <c r="I181" s="2122" t="str">
        <f t="shared" si="2"/>
        <v/>
      </c>
    </row>
    <row r="182" spans="9:9" x14ac:dyDescent="0.35">
      <c r="I182" s="2122" t="str">
        <f t="shared" si="2"/>
        <v/>
      </c>
    </row>
    <row r="183" spans="9:9" x14ac:dyDescent="0.35">
      <c r="I183" s="2122" t="str">
        <f t="shared" si="2"/>
        <v/>
      </c>
    </row>
    <row r="184" spans="9:9" x14ac:dyDescent="0.35">
      <c r="I184" s="2122" t="str">
        <f t="shared" si="2"/>
        <v/>
      </c>
    </row>
    <row r="185" spans="9:9" x14ac:dyDescent="0.35">
      <c r="I185" s="2122" t="str">
        <f t="shared" si="2"/>
        <v/>
      </c>
    </row>
    <row r="186" spans="9:9" x14ac:dyDescent="0.35">
      <c r="I186" s="2122" t="str">
        <f t="shared" si="2"/>
        <v/>
      </c>
    </row>
    <row r="187" spans="9:9" x14ac:dyDescent="0.35">
      <c r="I187" s="2122" t="str">
        <f t="shared" si="2"/>
        <v/>
      </c>
    </row>
    <row r="188" spans="9:9" x14ac:dyDescent="0.35">
      <c r="I188" s="2122" t="str">
        <f t="shared" si="2"/>
        <v/>
      </c>
    </row>
    <row r="189" spans="9:9" x14ac:dyDescent="0.35">
      <c r="I189" s="2122" t="str">
        <f t="shared" si="2"/>
        <v/>
      </c>
    </row>
    <row r="190" spans="9:9" x14ac:dyDescent="0.35">
      <c r="I190" s="2122" t="str">
        <f t="shared" si="2"/>
        <v/>
      </c>
    </row>
    <row r="191" spans="9:9" x14ac:dyDescent="0.35">
      <c r="I191" s="2122" t="str">
        <f t="shared" si="2"/>
        <v/>
      </c>
    </row>
    <row r="192" spans="9:9" x14ac:dyDescent="0.35">
      <c r="I192" s="2122" t="str">
        <f t="shared" si="2"/>
        <v/>
      </c>
    </row>
    <row r="193" spans="9:9" x14ac:dyDescent="0.35">
      <c r="I193" s="2122" t="str">
        <f t="shared" si="2"/>
        <v/>
      </c>
    </row>
    <row r="194" spans="9:9" x14ac:dyDescent="0.35">
      <c r="I194" s="2122" t="str">
        <f t="shared" si="2"/>
        <v/>
      </c>
    </row>
    <row r="195" spans="9:9" x14ac:dyDescent="0.35">
      <c r="I195" s="2122" t="str">
        <f t="shared" si="2"/>
        <v/>
      </c>
    </row>
    <row r="196" spans="9:9" x14ac:dyDescent="0.35">
      <c r="I196" s="2122" t="str">
        <f t="shared" si="2"/>
        <v/>
      </c>
    </row>
    <row r="197" spans="9:9" x14ac:dyDescent="0.35">
      <c r="I197" s="2122" t="str">
        <f t="shared" si="2"/>
        <v/>
      </c>
    </row>
    <row r="198" spans="9:9" x14ac:dyDescent="0.35">
      <c r="I198" s="2122" t="str">
        <f t="shared" si="2"/>
        <v/>
      </c>
    </row>
    <row r="199" spans="9:9" x14ac:dyDescent="0.35">
      <c r="I199" s="2122" t="str">
        <f t="shared" si="2"/>
        <v/>
      </c>
    </row>
    <row r="200" spans="9:9" x14ac:dyDescent="0.35">
      <c r="I200" s="2122" t="str">
        <f t="shared" ref="I200:I245" si="3">IF(H200&lt;&gt;"",VLOOKUP(H200,ValidationCodes,2,FALSE),"")</f>
        <v/>
      </c>
    </row>
    <row r="201" spans="9:9" x14ac:dyDescent="0.35">
      <c r="I201" s="2122" t="str">
        <f t="shared" si="3"/>
        <v/>
      </c>
    </row>
    <row r="202" spans="9:9" x14ac:dyDescent="0.35">
      <c r="I202" s="666" t="str">
        <f t="shared" si="3"/>
        <v/>
      </c>
    </row>
    <row r="203" spans="9:9" x14ac:dyDescent="0.35">
      <c r="I203" s="666" t="str">
        <f t="shared" si="3"/>
        <v/>
      </c>
    </row>
    <row r="204" spans="9:9" x14ac:dyDescent="0.35">
      <c r="I204" s="666" t="str">
        <f t="shared" si="3"/>
        <v/>
      </c>
    </row>
    <row r="205" spans="9:9" x14ac:dyDescent="0.35">
      <c r="I205" s="666" t="str">
        <f t="shared" si="3"/>
        <v/>
      </c>
    </row>
    <row r="206" spans="9:9" x14ac:dyDescent="0.35">
      <c r="I206" s="666" t="str">
        <f t="shared" si="3"/>
        <v/>
      </c>
    </row>
    <row r="207" spans="9:9" x14ac:dyDescent="0.35">
      <c r="I207" s="666" t="str">
        <f t="shared" si="3"/>
        <v/>
      </c>
    </row>
    <row r="208" spans="9:9" x14ac:dyDescent="0.35">
      <c r="I208" s="666" t="str">
        <f t="shared" si="3"/>
        <v/>
      </c>
    </row>
    <row r="209" spans="9:9" x14ac:dyDescent="0.35">
      <c r="I209" s="666" t="str">
        <f t="shared" si="3"/>
        <v/>
      </c>
    </row>
    <row r="210" spans="9:9" x14ac:dyDescent="0.35">
      <c r="I210" s="666" t="str">
        <f t="shared" si="3"/>
        <v/>
      </c>
    </row>
    <row r="211" spans="9:9" x14ac:dyDescent="0.35">
      <c r="I211" s="666" t="str">
        <f t="shared" si="3"/>
        <v/>
      </c>
    </row>
    <row r="212" spans="9:9" x14ac:dyDescent="0.35">
      <c r="I212" s="666" t="str">
        <f t="shared" si="3"/>
        <v/>
      </c>
    </row>
    <row r="213" spans="9:9" x14ac:dyDescent="0.35">
      <c r="I213" s="666" t="str">
        <f t="shared" si="3"/>
        <v/>
      </c>
    </row>
    <row r="214" spans="9:9" x14ac:dyDescent="0.35">
      <c r="I214" s="666" t="str">
        <f t="shared" si="3"/>
        <v/>
      </c>
    </row>
    <row r="215" spans="9:9" x14ac:dyDescent="0.35">
      <c r="I215" s="666" t="str">
        <f t="shared" si="3"/>
        <v/>
      </c>
    </row>
    <row r="216" spans="9:9" x14ac:dyDescent="0.35">
      <c r="I216" s="666" t="str">
        <f t="shared" si="3"/>
        <v/>
      </c>
    </row>
    <row r="217" spans="9:9" x14ac:dyDescent="0.35">
      <c r="I217" s="666" t="str">
        <f t="shared" si="3"/>
        <v/>
      </c>
    </row>
    <row r="218" spans="9:9" x14ac:dyDescent="0.35">
      <c r="I218" s="666" t="str">
        <f t="shared" si="3"/>
        <v/>
      </c>
    </row>
    <row r="219" spans="9:9" x14ac:dyDescent="0.35">
      <c r="I219" s="666" t="str">
        <f t="shared" si="3"/>
        <v/>
      </c>
    </row>
    <row r="220" spans="9:9" x14ac:dyDescent="0.35">
      <c r="I220" s="666" t="str">
        <f t="shared" si="3"/>
        <v/>
      </c>
    </row>
    <row r="221" spans="9:9" x14ac:dyDescent="0.35">
      <c r="I221" s="666" t="str">
        <f t="shared" si="3"/>
        <v/>
      </c>
    </row>
    <row r="222" spans="9:9" x14ac:dyDescent="0.35">
      <c r="I222" s="666" t="str">
        <f t="shared" si="3"/>
        <v/>
      </c>
    </row>
    <row r="223" spans="9:9" x14ac:dyDescent="0.35">
      <c r="I223" s="666" t="str">
        <f t="shared" si="3"/>
        <v/>
      </c>
    </row>
    <row r="224" spans="9:9" x14ac:dyDescent="0.35">
      <c r="I224" s="666" t="str">
        <f t="shared" si="3"/>
        <v/>
      </c>
    </row>
    <row r="225" spans="9:9" x14ac:dyDescent="0.35">
      <c r="I225" s="666" t="str">
        <f t="shared" si="3"/>
        <v/>
      </c>
    </row>
    <row r="226" spans="9:9" x14ac:dyDescent="0.35">
      <c r="I226" s="666" t="str">
        <f t="shared" si="3"/>
        <v/>
      </c>
    </row>
    <row r="227" spans="9:9" x14ac:dyDescent="0.35">
      <c r="I227" s="666" t="str">
        <f t="shared" si="3"/>
        <v/>
      </c>
    </row>
    <row r="228" spans="9:9" x14ac:dyDescent="0.35">
      <c r="I228" s="666" t="str">
        <f t="shared" si="3"/>
        <v/>
      </c>
    </row>
    <row r="229" spans="9:9" x14ac:dyDescent="0.35">
      <c r="I229" s="666" t="str">
        <f t="shared" si="3"/>
        <v/>
      </c>
    </row>
    <row r="230" spans="9:9" x14ac:dyDescent="0.35">
      <c r="I230" s="666" t="str">
        <f t="shared" si="3"/>
        <v/>
      </c>
    </row>
    <row r="231" spans="9:9" x14ac:dyDescent="0.35">
      <c r="I231" s="666" t="str">
        <f t="shared" si="3"/>
        <v/>
      </c>
    </row>
    <row r="232" spans="9:9" x14ac:dyDescent="0.35">
      <c r="I232" s="666" t="str">
        <f t="shared" si="3"/>
        <v/>
      </c>
    </row>
    <row r="233" spans="9:9" x14ac:dyDescent="0.35">
      <c r="I233" s="666" t="str">
        <f t="shared" si="3"/>
        <v/>
      </c>
    </row>
    <row r="234" spans="9:9" x14ac:dyDescent="0.35">
      <c r="I234" s="666" t="str">
        <f t="shared" si="3"/>
        <v/>
      </c>
    </row>
    <row r="235" spans="9:9" x14ac:dyDescent="0.35">
      <c r="I235" s="666" t="str">
        <f t="shared" si="3"/>
        <v/>
      </c>
    </row>
    <row r="236" spans="9:9" x14ac:dyDescent="0.35">
      <c r="I236" s="666" t="str">
        <f t="shared" si="3"/>
        <v/>
      </c>
    </row>
    <row r="237" spans="9:9" x14ac:dyDescent="0.35">
      <c r="I237" s="666" t="str">
        <f t="shared" si="3"/>
        <v/>
      </c>
    </row>
    <row r="238" spans="9:9" x14ac:dyDescent="0.35">
      <c r="I238" s="666" t="str">
        <f t="shared" si="3"/>
        <v/>
      </c>
    </row>
    <row r="239" spans="9:9" x14ac:dyDescent="0.35">
      <c r="I239" s="666" t="str">
        <f t="shared" si="3"/>
        <v/>
      </c>
    </row>
    <row r="240" spans="9:9" x14ac:dyDescent="0.35">
      <c r="I240" s="666" t="str">
        <f t="shared" si="3"/>
        <v/>
      </c>
    </row>
    <row r="241" spans="9:9" x14ac:dyDescent="0.35">
      <c r="I241" s="666" t="str">
        <f t="shared" si="3"/>
        <v/>
      </c>
    </row>
    <row r="242" spans="9:9" x14ac:dyDescent="0.35">
      <c r="I242" s="666" t="str">
        <f t="shared" si="3"/>
        <v/>
      </c>
    </row>
    <row r="243" spans="9:9" x14ac:dyDescent="0.35">
      <c r="I243" s="666" t="str">
        <f t="shared" si="3"/>
        <v/>
      </c>
    </row>
    <row r="244" spans="9:9" x14ac:dyDescent="0.35">
      <c r="I244" s="666" t="str">
        <f t="shared" si="3"/>
        <v/>
      </c>
    </row>
    <row r="245" spans="9:9" x14ac:dyDescent="0.35">
      <c r="I245" s="666" t="str">
        <f t="shared" si="3"/>
        <v/>
      </c>
    </row>
  </sheetData>
  <sheetProtection algorithmName="SHA-512" hashValue="WtXB5tybd8RB36T8TJxjJpaXchjPH2v5FxiKiQZT/g/xlza268qIRHXcyv/NkdA2kDvr7XiVdZcjs6efhS2Upw==" saltValue="/l0+/7zX/LsiGDgcB1gJnw==" spinCount="100000" sheet="1" objects="1" scenarios="1"/>
  <conditionalFormatting sqref="A8:I554">
    <cfRule type="expression" dxfId="240" priority="1">
      <formula>IF(AND($A8&lt;&gt;"",$A9=""),1,0)</formula>
    </cfRule>
    <cfRule type="expression" dxfId="239" priority="2">
      <formula>IF(AND($A8&lt;&gt;"",$A9&lt;&gt;""),1,0)</formula>
    </cfRule>
  </conditionalFormatting>
  <hyperlinks>
    <hyperlink ref="A4" r:id="rId1" xr:uid="{9775109B-22FD-4DC7-B7E9-10238BA83390}"/>
  </hyperlinks>
  <pageMargins left="0.70866141732283472" right="0.70866141732283472" top="0.74803149606299213" bottom="0.74803149606299213" header="0.31496062992125984" footer="0.31496062992125984"/>
  <pageSetup paperSize="8" scale="53" fitToHeight="0" orientation="landscape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DS185"/>
  <sheetViews>
    <sheetView workbookViewId="0"/>
  </sheetViews>
  <sheetFormatPr defaultColWidth="9" defaultRowHeight="12.75" x14ac:dyDescent="0.35"/>
  <cols>
    <col min="1" max="1" width="27.86328125" customWidth="1"/>
    <col min="2" max="2" width="19" customWidth="1"/>
    <col min="3" max="3" width="21" bestFit="1" customWidth="1"/>
    <col min="8" max="8" width="13.86328125" customWidth="1"/>
    <col min="67" max="77" width="9" customWidth="1"/>
    <col min="80" max="80" width="10" customWidth="1"/>
    <col min="81" max="104" width="9.1328125" customWidth="1"/>
  </cols>
  <sheetData>
    <row r="1" spans="1:123" ht="15" x14ac:dyDescent="0.4">
      <c r="A1" s="102" t="s">
        <v>27883</v>
      </c>
    </row>
    <row r="2" spans="1:123" ht="13.15" x14ac:dyDescent="0.4">
      <c r="F2" s="6" t="s">
        <v>27679</v>
      </c>
      <c r="G2" s="6"/>
      <c r="H2" s="6" t="s">
        <v>27680</v>
      </c>
      <c r="J2" s="6" t="s">
        <v>28274</v>
      </c>
      <c r="L2" s="6"/>
      <c r="M2" s="6"/>
      <c r="N2" s="6"/>
      <c r="T2" s="6"/>
      <c r="U2" s="6"/>
      <c r="V2" s="6"/>
      <c r="W2" s="6"/>
    </row>
    <row r="3" spans="1:123" ht="13.15" x14ac:dyDescent="0.4">
      <c r="B3" s="14" t="s">
        <v>343</v>
      </c>
      <c r="D3" s="7">
        <f>IF(AND(F3="Validation: OK",H3="Validation: OK"),0,1)</f>
        <v>0</v>
      </c>
      <c r="F3" s="575" t="str">
        <f>IF(AND(G97="",P101="",Y97="",AK67="",AL67="",AU95=""),"Validation: OK","Validation: Failure (see below table)")</f>
        <v>Validation: OK</v>
      </c>
      <c r="G3" s="11"/>
      <c r="H3" s="576" t="str">
        <f>IF(AND(J97="",S101="",AB97="",AN67="",AO67="",AX95=""),"Validation: OK","Validation: Failure (see below table)")</f>
        <v>Validation: OK</v>
      </c>
      <c r="J3" s="587" t="str">
        <f>IF(AND(F3="Validation: OK",H3="Validation: OK"),"Validation: OK","Validation: Failure (see below table)")</f>
        <v>Validation: OK</v>
      </c>
      <c r="L3" s="11"/>
      <c r="M3" s="11"/>
      <c r="N3" s="11"/>
      <c r="T3" s="11"/>
      <c r="U3" s="11"/>
      <c r="V3" s="11"/>
      <c r="W3" s="11"/>
    </row>
    <row r="4" spans="1:123" ht="13.15" x14ac:dyDescent="0.4">
      <c r="B4" s="14" t="s">
        <v>344</v>
      </c>
      <c r="D4" s="7">
        <f>IF(AND(F4="Credibility: OK",H4="Credibility: OK"),0,1)</f>
        <v>0</v>
      </c>
      <c r="F4" s="591" t="str">
        <f>IF(AND(BA27="",BI97=""),"Credibility: OK","Credibility: Warnings (see below table)")</f>
        <v>Credibility: OK</v>
      </c>
      <c r="G4" s="11"/>
      <c r="H4" s="2038" t="str">
        <f>IF(AND(BD27="",BL97=""),"Credibility: OK","Credibility: Warnings (see below table)")</f>
        <v>Credibility: OK</v>
      </c>
      <c r="J4" s="2152" t="str">
        <f>IF(AND(F4="Credibility: OK",H4="Credibility: OK"),"Credibility: OK","Credibility: Warnings (see below table)")</f>
        <v>Credibility: OK</v>
      </c>
      <c r="L4" s="11"/>
      <c r="M4" s="11"/>
      <c r="N4" s="11"/>
      <c r="T4" s="11"/>
      <c r="U4" s="11"/>
      <c r="V4" s="11"/>
      <c r="W4" s="11"/>
    </row>
    <row r="5" spans="1:123" x14ac:dyDescent="0.3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</row>
    <row r="6" spans="1:123" x14ac:dyDescent="0.35">
      <c r="H6" s="189"/>
      <c r="I6" s="189"/>
      <c r="J6" s="189"/>
    </row>
    <row r="7" spans="1:123" ht="133.9" x14ac:dyDescent="0.4">
      <c r="B7" s="1829" t="s">
        <v>346</v>
      </c>
      <c r="C7" s="331"/>
      <c r="D7" s="320" t="s">
        <v>28288</v>
      </c>
      <c r="E7" s="320" t="s">
        <v>28289</v>
      </c>
      <c r="F7" s="320" t="s">
        <v>28290</v>
      </c>
      <c r="G7" s="320" t="s">
        <v>28291</v>
      </c>
      <c r="H7" s="343" t="s">
        <v>28292</v>
      </c>
      <c r="I7" s="343" t="s">
        <v>28293</v>
      </c>
      <c r="J7" s="1878"/>
      <c r="M7" s="1829" t="s">
        <v>360</v>
      </c>
      <c r="N7" s="320"/>
      <c r="O7" s="320" t="s">
        <v>28309</v>
      </c>
      <c r="P7" s="320" t="s">
        <v>28310</v>
      </c>
      <c r="Q7" s="1807"/>
    </row>
    <row r="8" spans="1:123" x14ac:dyDescent="0.35">
      <c r="B8" s="1609" t="s">
        <v>363</v>
      </c>
      <c r="C8" s="11"/>
      <c r="D8" s="7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211"/>
      <c r="M8" s="1609" t="s">
        <v>363</v>
      </c>
      <c r="N8" s="7"/>
      <c r="O8" s="40">
        <v>1</v>
      </c>
      <c r="P8" s="7">
        <v>1</v>
      </c>
      <c r="Q8" s="54"/>
    </row>
    <row r="9" spans="1:123" ht="13.15" x14ac:dyDescent="0.4">
      <c r="B9" s="55"/>
      <c r="C9" s="42"/>
      <c r="D9" s="42"/>
      <c r="E9" s="42"/>
      <c r="F9" s="42"/>
      <c r="G9" s="189"/>
      <c r="H9" s="189"/>
      <c r="I9" s="189"/>
      <c r="J9" s="31"/>
      <c r="M9" s="57"/>
      <c r="N9" s="42"/>
      <c r="O9" s="189"/>
      <c r="P9" s="189"/>
      <c r="Q9" s="56"/>
    </row>
    <row r="12" spans="1:123" ht="13.15" x14ac:dyDescent="0.4">
      <c r="D12" s="6" t="s">
        <v>27810</v>
      </c>
    </row>
    <row r="14" spans="1:123" x14ac:dyDescent="0.35">
      <c r="CY14" s="11"/>
    </row>
    <row r="15" spans="1:123" ht="13.15" x14ac:dyDescent="0.4">
      <c r="A15" s="6" t="s">
        <v>27809</v>
      </c>
      <c r="G15" s="286" t="s">
        <v>27679</v>
      </c>
      <c r="H15" s="286" t="s">
        <v>27679</v>
      </c>
      <c r="I15" s="286" t="s">
        <v>27679</v>
      </c>
      <c r="J15" s="336" t="s">
        <v>27680</v>
      </c>
      <c r="K15" s="336" t="s">
        <v>27680</v>
      </c>
      <c r="L15" s="336" t="s">
        <v>27680</v>
      </c>
      <c r="AG15" s="11"/>
      <c r="AK15" s="11" t="s">
        <v>27884</v>
      </c>
    </row>
    <row r="16" spans="1:123" s="182" customFormat="1" ht="76.5" x14ac:dyDescent="0.35">
      <c r="G16" s="565" t="s">
        <v>192</v>
      </c>
      <c r="H16" s="565" t="s">
        <v>193</v>
      </c>
      <c r="I16" s="566" t="s">
        <v>28300</v>
      </c>
      <c r="J16" s="567" t="s">
        <v>192</v>
      </c>
      <c r="K16" s="567" t="s">
        <v>193</v>
      </c>
      <c r="L16" s="568" t="s">
        <v>28300</v>
      </c>
      <c r="M16"/>
      <c r="N16"/>
      <c r="O16"/>
      <c r="P16"/>
      <c r="Q16"/>
      <c r="R16"/>
      <c r="S16"/>
      <c r="T16"/>
      <c r="U16"/>
      <c r="AG16" s="184"/>
      <c r="CA16" s="184"/>
      <c r="DS16" s="184" t="s">
        <v>27884</v>
      </c>
    </row>
    <row r="17" spans="1:67" ht="12.75" customHeight="1" x14ac:dyDescent="0.35">
      <c r="M17" s="15"/>
      <c r="V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S17" s="15"/>
      <c r="AT17" s="15"/>
      <c r="AU17" s="15"/>
      <c r="AV17" s="15"/>
      <c r="AW17" s="15"/>
      <c r="AX17" s="15"/>
      <c r="AY17" s="15"/>
      <c r="AZ17" s="133"/>
      <c r="BA17" s="133"/>
      <c r="BB17" s="133"/>
      <c r="BC17" s="133"/>
      <c r="BD17" s="133"/>
      <c r="BE17" s="133"/>
      <c r="BF17" s="133"/>
      <c r="BG17" s="133"/>
    </row>
    <row r="18" spans="1:67" ht="12.75" customHeight="1" x14ac:dyDescent="0.35">
      <c r="E18" s="23"/>
      <c r="F18" s="16"/>
      <c r="G18" s="16" t="s">
        <v>27679</v>
      </c>
      <c r="H18" s="16" t="s">
        <v>27679</v>
      </c>
      <c r="I18" s="16" t="s">
        <v>27679</v>
      </c>
      <c r="J18" s="16" t="s">
        <v>27680</v>
      </c>
      <c r="K18" s="16" t="s">
        <v>27680</v>
      </c>
      <c r="L18" s="16" t="s">
        <v>27680</v>
      </c>
      <c r="N18" s="23"/>
      <c r="O18" s="16"/>
      <c r="P18" s="16" t="s">
        <v>27679</v>
      </c>
      <c r="Q18" s="16" t="s">
        <v>27679</v>
      </c>
      <c r="R18" s="16" t="s">
        <v>27679</v>
      </c>
      <c r="S18" s="16" t="s">
        <v>27680</v>
      </c>
      <c r="T18" s="16" t="s">
        <v>27680</v>
      </c>
      <c r="U18" s="16" t="s">
        <v>27680</v>
      </c>
      <c r="W18" s="23"/>
      <c r="X18" s="16"/>
      <c r="Y18" s="16" t="s">
        <v>27679</v>
      </c>
      <c r="Z18" s="16" t="s">
        <v>27679</v>
      </c>
      <c r="AA18" s="16" t="s">
        <v>27679</v>
      </c>
      <c r="AB18" s="16" t="s">
        <v>27680</v>
      </c>
      <c r="AC18" s="16" t="s">
        <v>27680</v>
      </c>
      <c r="AD18" s="16" t="s">
        <v>27680</v>
      </c>
      <c r="AF18" s="118"/>
      <c r="AK18" t="s">
        <v>27679</v>
      </c>
      <c r="AL18" t="s">
        <v>27679</v>
      </c>
      <c r="AN18" t="s">
        <v>27680</v>
      </c>
      <c r="AO18" t="s">
        <v>27680</v>
      </c>
      <c r="AR18" s="23"/>
      <c r="AS18" t="s">
        <v>27679</v>
      </c>
      <c r="AT18" t="s">
        <v>27679</v>
      </c>
      <c r="AU18" t="s">
        <v>27679</v>
      </c>
      <c r="AV18" t="s">
        <v>27680</v>
      </c>
      <c r="AW18" t="s">
        <v>27680</v>
      </c>
      <c r="AX18" t="s">
        <v>27680</v>
      </c>
      <c r="AY18" s="117"/>
      <c r="AZ18" s="130"/>
      <c r="BA18" t="s">
        <v>27679</v>
      </c>
      <c r="BB18" t="s">
        <v>27679</v>
      </c>
      <c r="BC18" t="s">
        <v>27679</v>
      </c>
      <c r="BD18" t="s">
        <v>27680</v>
      </c>
      <c r="BE18" t="s">
        <v>27680</v>
      </c>
      <c r="BF18" t="s">
        <v>27680</v>
      </c>
      <c r="BH18" s="127"/>
      <c r="BI18" s="128" t="s">
        <v>27679</v>
      </c>
      <c r="BJ18" s="128" t="s">
        <v>27679</v>
      </c>
      <c r="BK18" s="128" t="s">
        <v>27679</v>
      </c>
      <c r="BL18" s="128" t="s">
        <v>27680</v>
      </c>
      <c r="BM18" s="128" t="s">
        <v>27680</v>
      </c>
      <c r="BN18" s="128" t="s">
        <v>27680</v>
      </c>
      <c r="BO18" s="129"/>
    </row>
    <row r="19" spans="1:67" ht="64.150000000000006" x14ac:dyDescent="0.4">
      <c r="E19" s="118"/>
      <c r="G19" t="s">
        <v>192</v>
      </c>
      <c r="H19" t="s">
        <v>193</v>
      </c>
      <c r="I19" s="182" t="s">
        <v>28299</v>
      </c>
      <c r="J19" t="s">
        <v>192</v>
      </c>
      <c r="K19" t="s">
        <v>193</v>
      </c>
      <c r="L19" s="182" t="s">
        <v>28299</v>
      </c>
      <c r="N19" s="193" t="s">
        <v>28295</v>
      </c>
      <c r="P19" t="s">
        <v>192</v>
      </c>
      <c r="Q19" t="s">
        <v>193</v>
      </c>
      <c r="R19" s="182" t="s">
        <v>28299</v>
      </c>
      <c r="S19" t="s">
        <v>192</v>
      </c>
      <c r="T19" t="s">
        <v>193</v>
      </c>
      <c r="U19" s="182" t="s">
        <v>28299</v>
      </c>
      <c r="W19" s="193" t="s">
        <v>28296</v>
      </c>
      <c r="Y19" t="s">
        <v>192</v>
      </c>
      <c r="Z19" t="s">
        <v>193</v>
      </c>
      <c r="AA19" s="182" t="s">
        <v>28299</v>
      </c>
      <c r="AB19" t="s">
        <v>192</v>
      </c>
      <c r="AC19" t="s">
        <v>193</v>
      </c>
      <c r="AD19" s="182" t="s">
        <v>28299</v>
      </c>
      <c r="AF19" s="193" t="s">
        <v>28297</v>
      </c>
      <c r="AH19" s="6" t="s">
        <v>40</v>
      </c>
      <c r="AK19" t="s">
        <v>192</v>
      </c>
      <c r="AL19" t="s">
        <v>193</v>
      </c>
      <c r="AN19" t="s">
        <v>192</v>
      </c>
      <c r="AO19" t="s">
        <v>193</v>
      </c>
      <c r="AR19" s="1371" t="s">
        <v>28298</v>
      </c>
      <c r="AS19" t="s">
        <v>192</v>
      </c>
      <c r="AT19" t="s">
        <v>193</v>
      </c>
      <c r="AU19" s="182" t="s">
        <v>28299</v>
      </c>
      <c r="AV19" t="s">
        <v>192</v>
      </c>
      <c r="AW19" t="s">
        <v>193</v>
      </c>
      <c r="AX19" s="182" t="s">
        <v>28299</v>
      </c>
      <c r="AY19" s="17"/>
      <c r="AZ19" s="342" t="s">
        <v>28308</v>
      </c>
      <c r="BA19" t="s">
        <v>192</v>
      </c>
      <c r="BB19" t="s">
        <v>193</v>
      </c>
      <c r="BC19" s="182" t="s">
        <v>27885</v>
      </c>
      <c r="BD19" t="s">
        <v>192</v>
      </c>
      <c r="BE19" t="s">
        <v>193</v>
      </c>
      <c r="BF19" s="182" t="s">
        <v>27885</v>
      </c>
      <c r="BH19" s="342" t="s">
        <v>27886</v>
      </c>
      <c r="BI19" t="s">
        <v>192</v>
      </c>
      <c r="BJ19" t="s">
        <v>193</v>
      </c>
      <c r="BK19" s="182" t="s">
        <v>27885</v>
      </c>
      <c r="BL19" t="s">
        <v>192</v>
      </c>
      <c r="BM19" t="s">
        <v>193</v>
      </c>
      <c r="BN19" s="182" t="s">
        <v>27885</v>
      </c>
      <c r="BO19" s="131"/>
    </row>
    <row r="20" spans="1:67" ht="12.75" customHeight="1" x14ac:dyDescent="0.35">
      <c r="A20" t="s">
        <v>27887</v>
      </c>
      <c r="B20" t="s">
        <v>27888</v>
      </c>
      <c r="C20" t="s">
        <v>27889</v>
      </c>
      <c r="E20" s="24" t="s">
        <v>28294</v>
      </c>
      <c r="F20" s="1369"/>
      <c r="G20" s="1879" t="str">
        <f>IF(AND($D$8=1,'6a_Health_full_time'!D13&lt;0),G$18&amp;", "&amp;G$19&amp;", "&amp;$A20&amp;", "&amp;$B20&amp;", "&amp;$C20&amp;"; ","")</f>
        <v/>
      </c>
      <c r="H20" s="1653" t="str">
        <f>IF(AND($D$8=1,'6a_Health_full_time'!E13&lt;0),H$18&amp;", "&amp;H$19&amp;", "&amp;$A20&amp;", "&amp;$B20&amp;", "&amp;$C20&amp;"; ","")</f>
        <v/>
      </c>
      <c r="I20" s="1653" t="str">
        <f>IF(AND($D$8=1,'6a_Health_full_time'!F13&lt;0),I$18&amp;", "&amp;I$19&amp;", "&amp;$A20&amp;", "&amp;$B20&amp;", "&amp;$C20&amp;"; ","")</f>
        <v/>
      </c>
      <c r="J20" s="1879" t="str">
        <f>IF(AND($D$8=1,'6a_Health_full_time'!G13&lt;0),J$18&amp;", "&amp;J$19&amp;", "&amp;$A20&amp;", "&amp;$B20&amp;", "&amp;$C20&amp;"; ","")</f>
        <v/>
      </c>
      <c r="K20" s="1653" t="str">
        <f>IF(AND($D$8=1,'6a_Health_full_time'!H13&lt;0),K$18&amp;", "&amp;K$19&amp;", "&amp;$A20&amp;", "&amp;$B20&amp;", "&amp;$C20&amp;"; ","")</f>
        <v/>
      </c>
      <c r="L20" s="2191" t="str">
        <f>IF(AND($D$8=1,'6a_Health_full_time'!I13&lt;0),L$18&amp;", "&amp;L$19&amp;", "&amp;$A20&amp;", "&amp;$B20&amp;", "&amp;$C20&amp;"; ","")</f>
        <v/>
      </c>
      <c r="N20" s="118"/>
      <c r="P20" s="1879" t="str">
        <f>IF(AND($E$8=1,ABS('6a_Health_full_time'!D13)&lt;&gt;INT(ABS('6a_Health_full_time'!D13))),P$18&amp;", "&amp;P$19&amp;", "&amp;$A20&amp;", "&amp;$B20&amp;", "&amp;$C20&amp;"; ","")</f>
        <v/>
      </c>
      <c r="Q20" s="1653" t="str">
        <f>IF(AND($E$8=1,ABS('6a_Health_full_time'!E13)&lt;&gt;INT(ABS('6a_Health_full_time'!E13))),Q$18&amp;", "&amp;Q$19&amp;", "&amp;$A20&amp;", "&amp;$B20&amp;", "&amp;$C20&amp;"; ","")</f>
        <v/>
      </c>
      <c r="R20" s="1653" t="str">
        <f>IF(AND($E$8=1,ABS('6a_Health_full_time'!F13)&lt;&gt;INT(ABS('6a_Health_full_time'!F13))),R$18&amp;", "&amp;R$19&amp;", "&amp;$A20&amp;", "&amp;$B20&amp;", "&amp;$C20&amp;"; ","")</f>
        <v/>
      </c>
      <c r="S20" s="1879" t="str">
        <f>IF(AND($E$8=1,ABS('6a_Health_full_time'!G13)&lt;&gt;INT(ABS('6a_Health_full_time'!G13))),S$18&amp;", "&amp;S$19&amp;", "&amp;$A20&amp;", "&amp;$B20&amp;", "&amp;$C20&amp;"; ","")</f>
        <v/>
      </c>
      <c r="T20" s="1653" t="str">
        <f>IF(AND($E$8=1,ABS('6a_Health_full_time'!H13)&lt;&gt;INT(ABS('6a_Health_full_time'!H13))),T$18&amp;", "&amp;T$19&amp;", "&amp;$A20&amp;", "&amp;$B20&amp;", "&amp;$C20&amp;"; ","")</f>
        <v/>
      </c>
      <c r="U20" s="2191" t="str">
        <f>IF(AND($E$8=1,ABS('6a_Health_full_time'!I13)&lt;&gt;INT(ABS('6a_Health_full_time'!I13))),U$18&amp;", "&amp;U$19&amp;", "&amp;$A20&amp;", "&amp;$B20&amp;", "&amp;$C20&amp;"; ","")</f>
        <v/>
      </c>
      <c r="W20" s="118"/>
      <c r="Y20" s="1881"/>
      <c r="Z20" s="1882"/>
      <c r="AA20" s="1882"/>
      <c r="AB20" s="1883"/>
      <c r="AC20" s="1884"/>
      <c r="AD20" s="1884"/>
      <c r="AF20" s="118"/>
      <c r="AH20" t="s">
        <v>203</v>
      </c>
      <c r="AI20" t="s">
        <v>27888</v>
      </c>
      <c r="AJ20" t="s">
        <v>27889</v>
      </c>
      <c r="AK20" s="1885">
        <f>SUM('6a_Health_full_time'!D13,'6a_Health_full_time'!D17)</f>
        <v>0</v>
      </c>
      <c r="AL20" s="1653">
        <f>SUM('6a_Health_full_time'!E13,'6a_Health_full_time'!E17)</f>
        <v>0</v>
      </c>
      <c r="AM20" s="1655"/>
      <c r="AN20" s="1885">
        <f>SUM('6a_Health_full_time'!G13,'6a_Health_full_time'!G17)</f>
        <v>0</v>
      </c>
      <c r="AO20" s="1653">
        <f>SUM('6a_Health_full_time'!H13,'6a_Health_full_time'!H17)</f>
        <v>0</v>
      </c>
      <c r="AP20" s="2188"/>
      <c r="AR20" s="118"/>
      <c r="AU20" s="1886" t="str">
        <f>IF(AND($I$8=1,ABS(SUM('6a_Health_full_time'!D13:E13))&lt;ABS('6a_Health_full_time'!F13)),AU$18&amp;", "&amp;$A20&amp;", "&amp;$B20&amp;", "&amp;$C20&amp;"; ","")</f>
        <v/>
      </c>
      <c r="AX20" s="1896" t="str">
        <f>IF(AND($I$8=1,ABS(SUM('6a_Health_full_time'!G13:H13))&lt;ABS('6a_Health_full_time'!I13)),AX$18&amp;", "&amp;$A20&amp;", "&amp;$B20&amp;", "&amp;$C20&amp;"; ","")</f>
        <v/>
      </c>
      <c r="AY20" s="17"/>
      <c r="AZ20" s="203" t="s">
        <v>27890</v>
      </c>
      <c r="BA20" s="1887" t="str">
        <f>IF(AND($O$8=1,'6a_Health_full_time'!D47&lt;&gt;0),BA$18&amp;", "&amp;BA$19&amp;", "&amp;$B54&amp;", "&amp;$C54&amp;"; ","")</f>
        <v/>
      </c>
      <c r="BB20" s="1888" t="str">
        <f>IF(AND($O$8=1,'6a_Health_full_time'!E47&lt;&gt;0),BB$18&amp;", "&amp;BB$19&amp;", "&amp;$B54&amp;", "&amp;$C54&amp;"; ","")</f>
        <v/>
      </c>
      <c r="BC20" s="1888" t="str">
        <f>IF(AND($O$8=1,'6a_Health_full_time'!F47&lt;&gt;0),BC$18&amp;", "&amp;BC$19&amp;", "&amp;$B54&amp;", "&amp;$C54&amp;"; ","")</f>
        <v/>
      </c>
      <c r="BD20" s="1887" t="str">
        <f>IF(AND($O$8=1,'6a_Health_full_time'!G47&lt;&gt;0),BD$18&amp;", "&amp;BD$19&amp;", "&amp;$B54&amp;", "&amp;$C54&amp;"; ","")</f>
        <v/>
      </c>
      <c r="BE20" s="1888" t="str">
        <f>IF(AND($O$8=1,'6a_Health_full_time'!H47&lt;&gt;0),BE$18&amp;", "&amp;BE$19&amp;", "&amp;$B54&amp;", "&amp;$C54&amp;"; ","")</f>
        <v/>
      </c>
      <c r="BF20" s="1888" t="str">
        <f>IF(AND($O$8=1,'6a_Health_full_time'!I47&lt;&gt;0),BF$18&amp;", "&amp;BF$19&amp;", "&amp;$B54&amp;", "&amp;$C54&amp;"; ","")</f>
        <v/>
      </c>
      <c r="BH20" s="130"/>
      <c r="BI20" s="1879" t="str">
        <f>IF(AND($P$8=1,$B20="Long length",'6a_Health_full_time'!D13&lt;&gt;0),BI$18&amp;", "&amp;BI$19&amp;", "&amp;$A20&amp;", "&amp;$B20&amp;", "&amp;$C20&amp;"; ","")</f>
        <v/>
      </c>
      <c r="BJ20" s="1653" t="str">
        <f>IF(AND($P$8=1,$B20="Long length",'6a_Health_full_time'!E13&lt;&gt;0),BJ$18&amp;", "&amp;BJ$19&amp;", "&amp;$A20&amp;", "&amp;$B20&amp;", "&amp;$C20&amp;"; ","")</f>
        <v/>
      </c>
      <c r="BK20" s="1653" t="str">
        <f>IF(AND($P$8=1,$B20="Long length",'6a_Health_full_time'!F13&lt;&gt;0),BK$18&amp;", "&amp;BK$19&amp;", "&amp;$A20&amp;", "&amp;$B20&amp;", "&amp;$C20&amp;"; ","")</f>
        <v/>
      </c>
      <c r="BL20" s="1879" t="str">
        <f>IF(AND($P$8=1,$B20="Long length",'6a_Health_full_time'!G13&lt;&gt;0),BL$18&amp;", "&amp;BL$19&amp;", "&amp;$A20&amp;", "&amp;$B20&amp;", "&amp;$C20&amp;"; ","")</f>
        <v/>
      </c>
      <c r="BM20" s="1653" t="str">
        <f>IF(AND($P$8=1,$B20="Long length",'6a_Health_full_time'!H13&lt;&gt;0),BM$18&amp;", "&amp;BM$19&amp;", "&amp;$A20&amp;", "&amp;$B20&amp;", "&amp;$C20&amp;"; ","")</f>
        <v/>
      </c>
      <c r="BN20" s="1653" t="str">
        <f>IF(AND($P$8=1,$B20="Long length",'6a_Health_full_time'!I13&lt;&gt;0),BN$18&amp;", "&amp;BN$19&amp;", "&amp;$A20&amp;", "&amp;$B20&amp;", "&amp;$C20&amp;"; ","")</f>
        <v/>
      </c>
      <c r="BO20" s="131"/>
    </row>
    <row r="21" spans="1:67" ht="12.75" customHeight="1" x14ac:dyDescent="0.35">
      <c r="A21" t="s">
        <v>27887</v>
      </c>
      <c r="B21" t="s">
        <v>27888</v>
      </c>
      <c r="C21" t="s">
        <v>27891</v>
      </c>
      <c r="E21" s="1368"/>
      <c r="F21" s="1369"/>
      <c r="G21" s="338" t="str">
        <f>IF(AND($D$8=1,'6a_Health_full_time'!D14&lt;0),G$18&amp;", "&amp;G$19&amp;", "&amp;$A21&amp;", "&amp;$B21&amp;", "&amp;$C21&amp;"; ","")</f>
        <v/>
      </c>
      <c r="H21" s="112" t="str">
        <f>IF(AND($D$8=1,'6a_Health_full_time'!E14&lt;0),H$18&amp;", "&amp;H$19&amp;", "&amp;$A21&amp;", "&amp;$B21&amp;", "&amp;$C21&amp;"; ","")</f>
        <v/>
      </c>
      <c r="I21" s="112" t="str">
        <f>IF(AND($D$8=1,'6a_Health_full_time'!F14&lt;0),I$18&amp;", "&amp;I$19&amp;", "&amp;$A21&amp;", "&amp;$B21&amp;", "&amp;$C21&amp;"; ","")</f>
        <v/>
      </c>
      <c r="J21" s="338" t="str">
        <f>IF(AND($D$8=1,'6a_Health_full_time'!G14&lt;0),J$18&amp;", "&amp;J$19&amp;", "&amp;$A21&amp;", "&amp;$B21&amp;", "&amp;$C21&amp;"; ","")</f>
        <v/>
      </c>
      <c r="K21" s="112" t="str">
        <f>IF(AND($D$8=1,'6a_Health_full_time'!H14&lt;0),K$18&amp;", "&amp;K$19&amp;", "&amp;$A21&amp;", "&amp;$B21&amp;", "&amp;$C21&amp;"; ","")</f>
        <v/>
      </c>
      <c r="L21" s="481" t="str">
        <f>IF(AND($D$8=1,'6a_Health_full_time'!I14&lt;0),L$18&amp;", "&amp;L$19&amp;", "&amp;$A21&amp;", "&amp;$B21&amp;", "&amp;$C21&amp;"; ","")</f>
        <v/>
      </c>
      <c r="N21" s="118"/>
      <c r="P21" s="338"/>
      <c r="Q21" s="499"/>
      <c r="R21" s="499"/>
      <c r="S21" s="338"/>
      <c r="T21" s="112"/>
      <c r="U21" s="481"/>
      <c r="W21" s="118"/>
      <c r="Y21" s="113"/>
      <c r="Z21" s="481"/>
      <c r="AA21" s="481"/>
      <c r="AB21" s="483"/>
      <c r="AC21" s="121"/>
      <c r="AD21" s="121"/>
      <c r="AF21" s="118"/>
      <c r="AH21" t="s">
        <v>203</v>
      </c>
      <c r="AI21" t="s">
        <v>27888</v>
      </c>
      <c r="AJ21" t="s">
        <v>27891</v>
      </c>
      <c r="AK21" s="113"/>
      <c r="AL21" s="112"/>
      <c r="AM21" s="116"/>
      <c r="AN21" s="113"/>
      <c r="AO21" s="112"/>
      <c r="AP21" s="121"/>
      <c r="AR21" s="118"/>
      <c r="AU21" s="1373"/>
      <c r="AX21" s="483"/>
      <c r="AY21" s="17"/>
      <c r="AZ21" s="203" t="s">
        <v>27890</v>
      </c>
      <c r="BA21" s="1656" t="str">
        <f>IF(AND($O$8=1,'6a_Health_full_time'!D48&lt;&gt;0),BA$18&amp;", "&amp;BA$19&amp;", "&amp;$B55&amp;", "&amp;$C55&amp;"; ","")</f>
        <v/>
      </c>
      <c r="BB21" s="281" t="str">
        <f>IF(AND($O$8=1,'6a_Health_full_time'!E48&lt;&gt;0),BB$18&amp;", "&amp;BB$19&amp;", "&amp;$B55&amp;", "&amp;$C55&amp;"; ","")</f>
        <v/>
      </c>
      <c r="BC21" s="281" t="str">
        <f>IF(AND($O$8=1,'6a_Health_full_time'!F48&lt;&gt;0),BC$18&amp;", "&amp;BC$19&amp;", "&amp;$B55&amp;", "&amp;$C55&amp;"; ","")</f>
        <v/>
      </c>
      <c r="BD21" s="1656" t="str">
        <f>IF(AND($O$8=1,'6a_Health_full_time'!G48&lt;&gt;0),BD$18&amp;", "&amp;BD$19&amp;", "&amp;$B55&amp;", "&amp;$C55&amp;"; ","")</f>
        <v/>
      </c>
      <c r="BE21" s="281" t="str">
        <f>IF(AND($O$8=1,'6a_Health_full_time'!H48&lt;&gt;0),BE$18&amp;", "&amp;BE$19&amp;", "&amp;$B55&amp;", "&amp;$C55&amp;"; ","")</f>
        <v/>
      </c>
      <c r="BF21" s="281" t="str">
        <f>IF(AND($O$8=1,'6a_Health_full_time'!I48&lt;&gt;0),BF$18&amp;", "&amp;BF$19&amp;", "&amp;$B55&amp;", "&amp;$C55&amp;"; ","")</f>
        <v/>
      </c>
      <c r="BH21" s="342"/>
      <c r="BI21" s="338" t="str">
        <f>IF(AND($P$8=1,$B21="Long length",'6a_Health_full_time'!D14&lt;&gt;0),BI$18&amp;", "&amp;BI$19&amp;", "&amp;$A21&amp;", "&amp;$B21&amp;", "&amp;$C21&amp;"; ","")</f>
        <v/>
      </c>
      <c r="BJ21" s="499" t="str">
        <f>IF(AND($P$8=1,$B21="Long length",'6a_Health_full_time'!E14&lt;&gt;0),BJ$18&amp;", "&amp;BJ$19&amp;", "&amp;$A21&amp;", "&amp;$B21&amp;", "&amp;$C21&amp;"; ","")</f>
        <v/>
      </c>
      <c r="BK21" s="499" t="str">
        <f>IF(AND($P$8=1,$B21="Long length",'6a_Health_full_time'!F14&lt;&gt;0),BK$18&amp;", "&amp;BK$19&amp;", "&amp;$A21&amp;", "&amp;$B21&amp;", "&amp;$C21&amp;"; ","")</f>
        <v/>
      </c>
      <c r="BL21" s="338" t="str">
        <f>IF(AND($P$8=1,$B21="Long length",'6a_Health_full_time'!G14&lt;&gt;0),BL$18&amp;", "&amp;BL$19&amp;", "&amp;$A21&amp;", "&amp;$B21&amp;", "&amp;$C21&amp;"; ","")</f>
        <v/>
      </c>
      <c r="BM21" s="499" t="str">
        <f>IF(AND($P$8=1,$B21="Long length",'6a_Health_full_time'!H14&lt;&gt;0),BM$18&amp;", "&amp;BM$19&amp;", "&amp;$A21&amp;", "&amp;$B21&amp;", "&amp;$C21&amp;"; ","")</f>
        <v/>
      </c>
      <c r="BN21" s="499" t="str">
        <f>IF(AND($P$8=1,$B21="Long length",'6a_Health_full_time'!I14&lt;&gt;0),BN$18&amp;", "&amp;BN$19&amp;", "&amp;$A21&amp;", "&amp;$B21&amp;", "&amp;$C21&amp;"; ","")</f>
        <v/>
      </c>
      <c r="BO21" s="131"/>
    </row>
    <row r="22" spans="1:67" ht="13.15" x14ac:dyDescent="0.35">
      <c r="A22" t="s">
        <v>27887</v>
      </c>
      <c r="B22" t="s">
        <v>27892</v>
      </c>
      <c r="C22" t="s">
        <v>27889</v>
      </c>
      <c r="E22" s="118"/>
      <c r="G22" s="333" t="str">
        <f>IF(AND($D$8=1,'6a_Health_full_time'!D15&lt;0),G$18&amp;", "&amp;G$19&amp;", "&amp;$A22&amp;", "&amp;$B22&amp;", "&amp;$C22&amp;"; ","")</f>
        <v/>
      </c>
      <c r="H22" s="108" t="str">
        <f>IF(AND($D$8=1,'6a_Health_full_time'!E15&lt;0),H$18&amp;", "&amp;H$19&amp;", "&amp;$A22&amp;", "&amp;$B22&amp;", "&amp;$C22&amp;"; ","")</f>
        <v/>
      </c>
      <c r="I22" s="108" t="str">
        <f>IF(AND($D$8=1,'6a_Health_full_time'!F15&lt;0),I$18&amp;", "&amp;I$19&amp;", "&amp;$A22&amp;", "&amp;$B22&amp;", "&amp;$C22&amp;"; ","")</f>
        <v/>
      </c>
      <c r="J22" s="333" t="str">
        <f>IF(AND($D$8=1,'6a_Health_full_time'!G15&lt;0),J$18&amp;", "&amp;J$19&amp;", "&amp;$A22&amp;", "&amp;$B22&amp;", "&amp;$C22&amp;"; ","")</f>
        <v/>
      </c>
      <c r="K22" s="108" t="str">
        <f>IF(AND($D$8=1,'6a_Health_full_time'!H15&lt;0),K$18&amp;", "&amp;K$19&amp;", "&amp;$A22&amp;", "&amp;$B22&amp;", "&amp;$C22&amp;"; ","")</f>
        <v/>
      </c>
      <c r="L22" s="210" t="str">
        <f>IF(AND($D$8=1,'6a_Health_full_time'!I15&lt;0),L$18&amp;", "&amp;L$19&amp;", "&amp;$A22&amp;", "&amp;$B22&amp;", "&amp;$C22&amp;"; ","")</f>
        <v/>
      </c>
      <c r="N22" s="118"/>
      <c r="P22" s="333" t="str">
        <f>IF(AND($E$8=1,ABS('6a_Health_full_time'!D15)&lt;&gt;INT(ABS('6a_Health_full_time'!D15))),P$18&amp;", "&amp;P$19&amp;", "&amp;$A22&amp;", "&amp;$B22&amp;", "&amp;$C22&amp;"; ","")</f>
        <v/>
      </c>
      <c r="Q22" s="108" t="str">
        <f>IF(AND($E$8=1,ABS('6a_Health_full_time'!E15)&lt;&gt;INT(ABS('6a_Health_full_time'!E15))),Q$18&amp;", "&amp;Q$19&amp;", "&amp;$A22&amp;", "&amp;$B22&amp;", "&amp;$C22&amp;"; ","")</f>
        <v/>
      </c>
      <c r="R22" s="108" t="str">
        <f>IF(AND($E$8=1,ABS('6a_Health_full_time'!F15)&lt;&gt;INT(ABS('6a_Health_full_time'!F15))),R$18&amp;", "&amp;R$19&amp;", "&amp;$A22&amp;", "&amp;$B22&amp;", "&amp;$C22&amp;"; ","")</f>
        <v/>
      </c>
      <c r="S22" s="333" t="str">
        <f>IF(AND($E$8=1,ABS('6a_Health_full_time'!G15)&lt;&gt;INT(ABS('6a_Health_full_time'!G15))),S$18&amp;", "&amp;S$19&amp;", "&amp;$A22&amp;", "&amp;$B22&amp;", "&amp;$C22&amp;"; ","")</f>
        <v/>
      </c>
      <c r="T22" s="108" t="str">
        <f>IF(AND($E$8=1,ABS('6a_Health_full_time'!H15)&lt;&gt;INT(ABS('6a_Health_full_time'!H15))),T$18&amp;", "&amp;T$19&amp;", "&amp;$A22&amp;", "&amp;$B22&amp;", "&amp;$C22&amp;"; ","")</f>
        <v/>
      </c>
      <c r="U22" s="210" t="str">
        <f>IF(AND($E$8=1,ABS('6a_Health_full_time'!I15)&lt;&gt;INT(ABS('6a_Health_full_time'!I15))),U$18&amp;", "&amp;U$19&amp;", "&amp;$A22&amp;", "&amp;$B22&amp;", "&amp;$C22&amp;"; ","")</f>
        <v/>
      </c>
      <c r="W22" s="118"/>
      <c r="Y22" s="113"/>
      <c r="Z22" s="481"/>
      <c r="AA22" s="481"/>
      <c r="AB22" s="483"/>
      <c r="AC22" s="121"/>
      <c r="AD22" s="121"/>
      <c r="AF22" s="118"/>
      <c r="AH22" t="s">
        <v>203</v>
      </c>
      <c r="AI22" t="s">
        <v>27892</v>
      </c>
      <c r="AJ22" t="s">
        <v>27889</v>
      </c>
      <c r="AK22" s="109">
        <f>SUM('6a_Health_full_time'!D15,'6a_Health_full_time'!D19)</f>
        <v>0</v>
      </c>
      <c r="AL22" s="108">
        <f>SUM('6a_Health_full_time'!E15,'6a_Health_full_time'!E19)</f>
        <v>0</v>
      </c>
      <c r="AM22" s="116"/>
      <c r="AN22" s="109">
        <f>SUM('6a_Health_full_time'!G15,'6a_Health_full_time'!G19)</f>
        <v>0</v>
      </c>
      <c r="AO22" s="108">
        <f>SUM('6a_Health_full_time'!H15,'6a_Health_full_time'!H19)</f>
        <v>0</v>
      </c>
      <c r="AP22" s="121"/>
      <c r="AR22" s="118"/>
      <c r="AU22" s="562" t="str">
        <f>IF(AND($I$8=1,ABS(SUM('6a_Health_full_time'!D15:E15))&lt;ABS('6a_Health_full_time'!F15)),AU$18&amp;", "&amp;$A22&amp;", "&amp;$B22&amp;", "&amp;$C22&amp;"; ","")</f>
        <v/>
      </c>
      <c r="AX22" s="484" t="str">
        <f>IF(AND($I$8=1,ABS(SUM('6a_Health_full_time'!G15:H15))&lt;ABS('6a_Health_full_time'!I15)),AX$18&amp;", "&amp;$A22&amp;", "&amp;$B22&amp;", "&amp;$C22&amp;"; ","")</f>
        <v/>
      </c>
      <c r="AY22" s="17"/>
      <c r="AZ22" s="203" t="s">
        <v>27890</v>
      </c>
      <c r="BA22" s="280" t="str">
        <f>IF(AND($O$8=1,'6a_Health_full_time'!D49&lt;&gt;0),BA$18&amp;", "&amp;BA$19&amp;", "&amp;$B56&amp;", "&amp;$C56&amp;"; ","")</f>
        <v/>
      </c>
      <c r="BB22" s="282" t="str">
        <f>IF(AND($O$8=1,'6a_Health_full_time'!E49&lt;&gt;0),BB$18&amp;", "&amp;BB$19&amp;", "&amp;$B56&amp;", "&amp;$C56&amp;"; ","")</f>
        <v/>
      </c>
      <c r="BC22" s="282" t="str">
        <f>IF(AND($O$8=1,'6a_Health_full_time'!F49&lt;&gt;0),BC$18&amp;", "&amp;BC$19&amp;", "&amp;$B56&amp;", "&amp;$C56&amp;"; ","")</f>
        <v/>
      </c>
      <c r="BD22" s="280" t="str">
        <f>IF(AND($O$8=1,'6a_Health_full_time'!G49&lt;&gt;0),BD$18&amp;", "&amp;BD$19&amp;", "&amp;$B56&amp;", "&amp;$C56&amp;"; ","")</f>
        <v/>
      </c>
      <c r="BE22" s="282" t="str">
        <f>IF(AND($O$8=1,'6a_Health_full_time'!H49&lt;&gt;0),BE$18&amp;", "&amp;BE$19&amp;", "&amp;$B56&amp;", "&amp;$C56&amp;"; ","")</f>
        <v/>
      </c>
      <c r="BF22" s="282" t="str">
        <f>IF(AND($O$8=1,'6a_Health_full_time'!I49&lt;&gt;0),BF$18&amp;", "&amp;BF$19&amp;", "&amp;$B56&amp;", "&amp;$C56&amp;"; ","")</f>
        <v/>
      </c>
      <c r="BH22" s="130"/>
      <c r="BI22" s="333" t="str">
        <f>IF(AND($P$8=1,$B22="Long length",'6a_Health_full_time'!D15&lt;&gt;0),BI$18&amp;", "&amp;BI$19&amp;", "&amp;$A22&amp;", "&amp;$B22&amp;", "&amp;$C22&amp;"; ","")</f>
        <v/>
      </c>
      <c r="BJ22" s="108" t="str">
        <f>IF(AND($P$8=1,$B22="Long length",'6a_Health_full_time'!E15&lt;&gt;0),BJ$18&amp;", "&amp;BJ$19&amp;", "&amp;$A22&amp;", "&amp;$B22&amp;", "&amp;$C22&amp;"; ","")</f>
        <v/>
      </c>
      <c r="BK22" s="108" t="str">
        <f>IF(AND($P$8=1,$B22="Long length",'6a_Health_full_time'!F15&lt;&gt;0),BK$18&amp;", "&amp;BK$19&amp;", "&amp;$A22&amp;", "&amp;$B22&amp;", "&amp;$C22&amp;"; ","")</f>
        <v/>
      </c>
      <c r="BL22" s="333" t="str">
        <f>IF(AND($P$8=1,$B22="Long length",'6a_Health_full_time'!G15&lt;&gt;0),BL$18&amp;", "&amp;BL$19&amp;", "&amp;$A22&amp;", "&amp;$B22&amp;", "&amp;$C22&amp;"; ","")</f>
        <v/>
      </c>
      <c r="BM22" s="108" t="str">
        <f>IF(AND($P$8=1,$B22="Long length",'6a_Health_full_time'!H15&lt;&gt;0),BM$18&amp;", "&amp;BM$19&amp;", "&amp;$A22&amp;", "&amp;$B22&amp;", "&amp;$C22&amp;"; ","")</f>
        <v/>
      </c>
      <c r="BN22" s="108" t="str">
        <f>IF(AND($P$8=1,$B22="Long length",'6a_Health_full_time'!I15&lt;&gt;0),BN$18&amp;", "&amp;BN$19&amp;", "&amp;$A22&amp;", "&amp;$B22&amp;", "&amp;$C22&amp;"; ","")</f>
        <v/>
      </c>
      <c r="BO22" s="131"/>
    </row>
    <row r="23" spans="1:67" ht="13.15" x14ac:dyDescent="0.35">
      <c r="A23" t="s">
        <v>27887</v>
      </c>
      <c r="B23" t="s">
        <v>27892</v>
      </c>
      <c r="C23" t="s">
        <v>27891</v>
      </c>
      <c r="E23" s="118"/>
      <c r="G23" s="338" t="str">
        <f>IF(AND($D$8=1,'6a_Health_full_time'!D16&lt;0),G$18&amp;", "&amp;G$19&amp;", "&amp;$A23&amp;", "&amp;$B23&amp;", "&amp;$C23&amp;"; ","")</f>
        <v/>
      </c>
      <c r="H23" s="212" t="str">
        <f>IF(AND($D$8=1,'6a_Health_full_time'!E16&lt;0),H$18&amp;", "&amp;H$19&amp;", "&amp;$A23&amp;", "&amp;$B23&amp;", "&amp;$C23&amp;"; ","")</f>
        <v/>
      </c>
      <c r="I23" s="212" t="str">
        <f>IF(AND($D$8=1,'6a_Health_full_time'!F16&lt;0),I$18&amp;", "&amp;I$19&amp;", "&amp;$A23&amp;", "&amp;$B23&amp;", "&amp;$C23&amp;"; ","")</f>
        <v/>
      </c>
      <c r="J23" s="338" t="str">
        <f>IF(AND($D$8=1,'6a_Health_full_time'!G16&lt;0),J$18&amp;", "&amp;J$19&amp;", "&amp;$A23&amp;", "&amp;$B23&amp;", "&amp;$C23&amp;"; ","")</f>
        <v/>
      </c>
      <c r="K23" s="212" t="str">
        <f>IF(AND($D$8=1,'6a_Health_full_time'!H16&lt;0),K$18&amp;", "&amp;K$19&amp;", "&amp;$A23&amp;", "&amp;$B23&amp;", "&amp;$C23&amp;"; ","")</f>
        <v/>
      </c>
      <c r="L23" s="1381" t="str">
        <f>IF(AND($D$8=1,'6a_Health_full_time'!I16&lt;0),L$18&amp;", "&amp;L$19&amp;", "&amp;$A23&amp;", "&amp;$B23&amp;", "&amp;$C23&amp;"; ","")</f>
        <v/>
      </c>
      <c r="N23" s="118"/>
      <c r="P23" s="338"/>
      <c r="Q23" s="112"/>
      <c r="R23" s="112"/>
      <c r="S23" s="338"/>
      <c r="T23" s="112"/>
      <c r="U23" s="481"/>
      <c r="W23" s="118"/>
      <c r="Y23" s="113"/>
      <c r="Z23" s="481"/>
      <c r="AA23" s="481"/>
      <c r="AB23" s="483"/>
      <c r="AC23" s="121"/>
      <c r="AD23" s="121"/>
      <c r="AF23" s="118"/>
      <c r="AH23" t="s">
        <v>203</v>
      </c>
      <c r="AI23" t="s">
        <v>27892</v>
      </c>
      <c r="AJ23" t="s">
        <v>27891</v>
      </c>
      <c r="AK23" s="113"/>
      <c r="AL23" s="112"/>
      <c r="AM23" s="116"/>
      <c r="AN23" s="113"/>
      <c r="AO23" s="112"/>
      <c r="AP23" s="121"/>
      <c r="AR23" s="118"/>
      <c r="AU23" s="1373"/>
      <c r="AX23" s="483"/>
      <c r="AY23" s="17"/>
      <c r="AZ23" s="203" t="s">
        <v>27890</v>
      </c>
      <c r="BA23" s="340" t="str">
        <f>IF(AND($O$8=1,'6a_Health_full_time'!D50&lt;&gt;0),BA$18&amp;", "&amp;BA$19&amp;", "&amp;$B57&amp;", "&amp;$C57&amp;"; ","")</f>
        <v/>
      </c>
      <c r="BB23" s="341" t="str">
        <f>IF(AND($O$8=1,'6a_Health_full_time'!E50&lt;&gt;0),BB$18&amp;", "&amp;BB$19&amp;", "&amp;$B57&amp;", "&amp;$C57&amp;"; ","")</f>
        <v/>
      </c>
      <c r="BC23" s="341" t="str">
        <f>IF(AND($O$8=1,'6a_Health_full_time'!F50&lt;&gt;0),BC$18&amp;", "&amp;BC$19&amp;", "&amp;$B57&amp;", "&amp;$C57&amp;"; ","")</f>
        <v/>
      </c>
      <c r="BD23" s="340" t="str">
        <f>IF(AND($O$8=1,'6a_Health_full_time'!G50&lt;&gt;0),BD$18&amp;", "&amp;BD$19&amp;", "&amp;$B57&amp;", "&amp;$C57&amp;"; ","")</f>
        <v/>
      </c>
      <c r="BE23" s="341" t="str">
        <f>IF(AND($O$8=1,'6a_Health_full_time'!H50&lt;&gt;0),BE$18&amp;", "&amp;BE$19&amp;", "&amp;$B57&amp;", "&amp;$C57&amp;"; ","")</f>
        <v/>
      </c>
      <c r="BF23" s="341" t="str">
        <f>IF(AND($O$8=1,'6a_Health_full_time'!I50&lt;&gt;0),BF$18&amp;", "&amp;BF$19&amp;", "&amp;$B57&amp;", "&amp;$C57&amp;"; ","")</f>
        <v/>
      </c>
      <c r="BH23" s="130"/>
      <c r="BI23" s="338" t="str">
        <f>IF(AND($P$8=1,$B23="Long length",'6a_Health_full_time'!D16&lt;&gt;0),BI$18&amp;", "&amp;BI$19&amp;", "&amp;$A23&amp;", "&amp;$B23&amp;", "&amp;$C23&amp;"; ","")</f>
        <v/>
      </c>
      <c r="BJ23" s="112" t="str">
        <f>IF(AND($P$8=1,$B23="Long length",'6a_Health_full_time'!E16&lt;&gt;0),BJ$18&amp;", "&amp;BJ$19&amp;", "&amp;$A23&amp;", "&amp;$B23&amp;", "&amp;$C23&amp;"; ","")</f>
        <v/>
      </c>
      <c r="BK23" s="112" t="str">
        <f>IF(AND($P$8=1,$B23="Long length",'6a_Health_full_time'!F16&lt;&gt;0),BK$18&amp;", "&amp;BK$19&amp;", "&amp;$A23&amp;", "&amp;$B23&amp;", "&amp;$C23&amp;"; ","")</f>
        <v/>
      </c>
      <c r="BL23" s="338" t="str">
        <f>IF(AND($P$8=1,$B23="Long length",'6a_Health_full_time'!G16&lt;&gt;0),BL$18&amp;", "&amp;BL$19&amp;", "&amp;$A23&amp;", "&amp;$B23&amp;", "&amp;$C23&amp;"; ","")</f>
        <v/>
      </c>
      <c r="BM23" s="112" t="str">
        <f>IF(AND($P$8=1,$B23="Long length",'6a_Health_full_time'!H16&lt;&gt;0),BM$18&amp;", "&amp;BM$19&amp;", "&amp;$A23&amp;", "&amp;$B23&amp;", "&amp;$C23&amp;"; ","")</f>
        <v/>
      </c>
      <c r="BN23" s="112" t="str">
        <f>IF(AND($P$8=1,$B23="Long length",'6a_Health_full_time'!I16&lt;&gt;0),BN$18&amp;", "&amp;BN$19&amp;", "&amp;$A23&amp;", "&amp;$B23&amp;", "&amp;$C23&amp;"; ","")</f>
        <v/>
      </c>
      <c r="BO23" s="131"/>
    </row>
    <row r="24" spans="1:67" x14ac:dyDescent="0.35">
      <c r="A24" t="s">
        <v>27893</v>
      </c>
      <c r="B24" t="s">
        <v>27888</v>
      </c>
      <c r="C24" t="s">
        <v>27889</v>
      </c>
      <c r="E24" s="118"/>
      <c r="G24" s="1879" t="str">
        <f>IF(AND($D$8=1,'6a_Health_full_time'!D17&lt;0),G$18&amp;", "&amp;G$19&amp;", "&amp;$A24&amp;", "&amp;$B24&amp;", "&amp;$C24&amp;"; ","")</f>
        <v/>
      </c>
      <c r="H24" s="1653" t="str">
        <f>IF(AND($D$8=1,'6a_Health_full_time'!E17&lt;0),H$18&amp;", "&amp;H$19&amp;", "&amp;$A24&amp;", "&amp;$B24&amp;", "&amp;$C24&amp;"; ","")</f>
        <v/>
      </c>
      <c r="I24" s="1653" t="str">
        <f>IF(AND($D$8=1,'6a_Health_full_time'!F17&lt;0),I$18&amp;", "&amp;I$19&amp;", "&amp;$A24&amp;", "&amp;$B24&amp;", "&amp;$C24&amp;"; ","")</f>
        <v/>
      </c>
      <c r="J24" s="1879" t="str">
        <f>IF(AND($D$8=1,'6a_Health_full_time'!G17&lt;0),J$18&amp;", "&amp;J$19&amp;", "&amp;$A24&amp;", "&amp;$B24&amp;", "&amp;$C24&amp;"; ","")</f>
        <v/>
      </c>
      <c r="K24" s="1653" t="str">
        <f>IF(AND($D$8=1,'6a_Health_full_time'!H17&lt;0),K$18&amp;", "&amp;K$19&amp;", "&amp;$A24&amp;", "&amp;$B24&amp;", "&amp;$C24&amp;"; ","")</f>
        <v/>
      </c>
      <c r="L24" s="2191" t="str">
        <f>IF(AND($D$8=1,'6a_Health_full_time'!I17&lt;0),L$18&amp;", "&amp;L$19&amp;", "&amp;$A24&amp;", "&amp;$B24&amp;", "&amp;$C24&amp;"; ","")</f>
        <v/>
      </c>
      <c r="N24" s="118"/>
      <c r="P24" s="1879" t="str">
        <f>IF(AND($E$8=1,ABS('6a_Health_full_time'!D17)&lt;&gt;INT(ABS('6a_Health_full_time'!D17))),P$18&amp;", "&amp;P$19&amp;", "&amp;$A24&amp;", "&amp;$B24&amp;", "&amp;$C24&amp;"; ","")</f>
        <v/>
      </c>
      <c r="Q24" s="1653" t="str">
        <f>IF(AND($E$8=1,ABS('6a_Health_full_time'!E17)&lt;&gt;INT(ABS('6a_Health_full_time'!E17))),Q$18&amp;", "&amp;Q$19&amp;", "&amp;$A24&amp;", "&amp;$B24&amp;", "&amp;$C24&amp;"; ","")</f>
        <v/>
      </c>
      <c r="R24" s="1653" t="str">
        <f>IF(AND($E$8=1,ABS('6a_Health_full_time'!F17)&lt;&gt;INT(ABS('6a_Health_full_time'!F17))),R$18&amp;", "&amp;R$19&amp;", "&amp;$A24&amp;", "&amp;$B24&amp;", "&amp;$C24&amp;"; ","")</f>
        <v/>
      </c>
      <c r="S24" s="1879" t="str">
        <f>IF(AND($E$8=1,ABS('6a_Health_full_time'!G17)&lt;&gt;INT(ABS('6a_Health_full_time'!G17))),S$18&amp;", "&amp;S$19&amp;", "&amp;$A24&amp;", "&amp;$B24&amp;", "&amp;$C24&amp;"; ","")</f>
        <v/>
      </c>
      <c r="T24" s="1653" t="str">
        <f>IF(AND($E$8=1,ABS('6a_Health_full_time'!H17)&lt;&gt;INT(ABS('6a_Health_full_time'!H17))),T$18&amp;", "&amp;T$19&amp;", "&amp;$A24&amp;", "&amp;$B24&amp;", "&amp;$C24&amp;"; ","")</f>
        <v/>
      </c>
      <c r="U24" s="2191" t="str">
        <f>IF(AND($E$8=1,ABS('6a_Health_full_time'!I17)&lt;&gt;INT(ABS('6a_Health_full_time'!I17))),U$18&amp;", "&amp;U$19&amp;", "&amp;$A24&amp;", "&amp;$B24&amp;", "&amp;$C24&amp;"; ","")</f>
        <v/>
      </c>
      <c r="W24" s="118"/>
      <c r="Y24" s="1881"/>
      <c r="Z24" s="1882"/>
      <c r="AA24" s="1882"/>
      <c r="AB24" s="1883"/>
      <c r="AC24" s="1884"/>
      <c r="AD24" s="1884"/>
      <c r="AF24" s="118"/>
      <c r="AG24" s="592"/>
      <c r="AH24" t="s">
        <v>225</v>
      </c>
      <c r="AI24" t="s">
        <v>27888</v>
      </c>
      <c r="AJ24" t="s">
        <v>27889</v>
      </c>
      <c r="AK24" s="1885">
        <f>SUM('6a_Health_full_time'!D23,'6a_Health_full_time'!D27,'6a_Health_full_time'!D51,'6a_Health_full_time'!D55,'6a_Health_full_time'!D59,'6a_Health_full_time'!D63,'6a_Health_full_time'!D67,'6a_Health_full_time'!D71,'6a_Health_full_time'!D75,'6a_Health_full_time'!D79,'6a_Health_full_time'!D83)</f>
        <v>0</v>
      </c>
      <c r="AL24" s="1653">
        <f>SUM('6a_Health_full_time'!E23,'6a_Health_full_time'!E27,'6a_Health_full_time'!E51,'6a_Health_full_time'!E55,'6a_Health_full_time'!E59,'6a_Health_full_time'!E63,'6a_Health_full_time'!E67,'6a_Health_full_time'!E71,'6a_Health_full_time'!E75,'6a_Health_full_time'!E79,'6a_Health_full_time'!E83)</f>
        <v>0</v>
      </c>
      <c r="AM24" s="1655"/>
      <c r="AN24" s="1885">
        <f>SUM('6a_Health_full_time'!G23,'6a_Health_full_time'!G27,'6a_Health_full_time'!G51,'6a_Health_full_time'!G55,'6a_Health_full_time'!G59,'6a_Health_full_time'!G63,'6a_Health_full_time'!G67,'6a_Health_full_time'!G71,'6a_Health_full_time'!G75,'6a_Health_full_time'!G79,'6a_Health_full_time'!G83)</f>
        <v>0</v>
      </c>
      <c r="AO24" s="1653">
        <f>SUM('6a_Health_full_time'!H23,'6a_Health_full_time'!H27,'6a_Health_full_time'!H51,'6a_Health_full_time'!H55,'6a_Health_full_time'!H59,'6a_Health_full_time'!H63,'6a_Health_full_time'!H67,'6a_Health_full_time'!H71,'6a_Health_full_time'!H75,'6a_Health_full_time'!H79,'6a_Health_full_time'!H83)</f>
        <v>0</v>
      </c>
      <c r="AP24" s="1884"/>
      <c r="AR24" s="118"/>
      <c r="AU24" s="1886" t="str">
        <f>IF(AND($I$8=1,ABS(SUM('6a_Health_full_time'!D17:E17))&lt;ABS('6a_Health_full_time'!F17)),AU$18&amp;", "&amp;$A24&amp;", "&amp;$B24&amp;", "&amp;$C24&amp;"; ","")</f>
        <v/>
      </c>
      <c r="AX24" s="1896" t="str">
        <f>IF(AND($I$8=1,ABS(SUM('6a_Health_full_time'!G17:H17))&lt;ABS('6a_Health_full_time'!I17)),AX$18&amp;", "&amp;$A24&amp;", "&amp;$B24&amp;", "&amp;$C24&amp;"; ","")</f>
        <v/>
      </c>
      <c r="AY24" s="17"/>
      <c r="AZ24" s="130"/>
      <c r="BH24" s="130"/>
      <c r="BI24" s="1879" t="str">
        <f>IF(AND($P$8=1,$B24="Long length",'6a_Health_full_time'!D17&lt;&gt;0),BI$18&amp;", "&amp;BI$19&amp;", "&amp;$A24&amp;", "&amp;$B24&amp;", "&amp;$C24&amp;"; ","")</f>
        <v/>
      </c>
      <c r="BJ24" s="1653" t="str">
        <f>IF(AND($P$8=1,$B24="Long length",'6a_Health_full_time'!E17&lt;&gt;0),BJ$18&amp;", "&amp;BJ$19&amp;", "&amp;$A24&amp;", "&amp;$B24&amp;", "&amp;$C24&amp;"; ","")</f>
        <v/>
      </c>
      <c r="BK24" s="1653" t="str">
        <f>IF(AND($P$8=1,$B24="Long length",'6a_Health_full_time'!F17&lt;&gt;0),BK$18&amp;", "&amp;BK$19&amp;", "&amp;$A24&amp;", "&amp;$B24&amp;", "&amp;$C24&amp;"; ","")</f>
        <v/>
      </c>
      <c r="BL24" s="1879" t="str">
        <f>IF(AND($P$8=1,$B24="Long length",'6a_Health_full_time'!G17&lt;&gt;0),BL$18&amp;", "&amp;BL$19&amp;", "&amp;$A24&amp;", "&amp;$B24&amp;", "&amp;$C24&amp;"; ","")</f>
        <v/>
      </c>
      <c r="BM24" s="1653" t="str">
        <f>IF(AND($P$8=1,$B24="Long length",'6a_Health_full_time'!H17&lt;&gt;0),BM$18&amp;", "&amp;BM$19&amp;", "&amp;$A24&amp;", "&amp;$B24&amp;", "&amp;$C24&amp;"; ","")</f>
        <v/>
      </c>
      <c r="BN24" s="1653" t="str">
        <f>IF(AND($P$8=1,$B24="Long length",'6a_Health_full_time'!I17&lt;&gt;0),BN$18&amp;", "&amp;BN$19&amp;", "&amp;$A24&amp;", "&amp;$B24&amp;", "&amp;$C24&amp;"; ","")</f>
        <v/>
      </c>
      <c r="BO24" s="131"/>
    </row>
    <row r="25" spans="1:67" x14ac:dyDescent="0.35">
      <c r="A25" t="s">
        <v>27893</v>
      </c>
      <c r="B25" t="s">
        <v>27888</v>
      </c>
      <c r="C25" t="s">
        <v>27891</v>
      </c>
      <c r="E25" s="118"/>
      <c r="G25" s="338" t="str">
        <f>IF(AND($D$8=1,'6a_Health_full_time'!D18&lt;0),G$18&amp;", "&amp;G$19&amp;", "&amp;$A25&amp;", "&amp;$B25&amp;", "&amp;$C25&amp;"; ","")</f>
        <v/>
      </c>
      <c r="H25" s="112" t="str">
        <f>IF(AND($D$8=1,'6a_Health_full_time'!E18&lt;0),H$18&amp;", "&amp;H$19&amp;", "&amp;$A25&amp;", "&amp;$B25&amp;", "&amp;$C25&amp;"; ","")</f>
        <v/>
      </c>
      <c r="I25" s="112" t="str">
        <f>IF(AND($D$8=1,'6a_Health_full_time'!F18&lt;0),I$18&amp;", "&amp;I$19&amp;", "&amp;$A25&amp;", "&amp;$B25&amp;", "&amp;$C25&amp;"; ","")</f>
        <v/>
      </c>
      <c r="J25" s="338" t="str">
        <f>IF(AND($D$8=1,'6a_Health_full_time'!G18&lt;0),J$18&amp;", "&amp;J$19&amp;", "&amp;$A25&amp;", "&amp;$B25&amp;", "&amp;$C25&amp;"; ","")</f>
        <v/>
      </c>
      <c r="K25" s="112" t="str">
        <f>IF(AND($D$8=1,'6a_Health_full_time'!H18&lt;0),K$18&amp;", "&amp;K$19&amp;", "&amp;$A25&amp;", "&amp;$B25&amp;", "&amp;$C25&amp;"; ","")</f>
        <v/>
      </c>
      <c r="L25" s="481" t="str">
        <f>IF(AND($D$8=1,'6a_Health_full_time'!I18&lt;0),L$18&amp;", "&amp;L$19&amp;", "&amp;$A25&amp;", "&amp;$B25&amp;", "&amp;$C25&amp;"; ","")</f>
        <v/>
      </c>
      <c r="N25" s="118"/>
      <c r="P25" s="338"/>
      <c r="Q25" s="112"/>
      <c r="R25" s="112"/>
      <c r="S25" s="338"/>
      <c r="T25" s="112"/>
      <c r="U25" s="481"/>
      <c r="W25" s="118"/>
      <c r="Y25" s="113"/>
      <c r="Z25" s="481"/>
      <c r="AA25" s="481"/>
      <c r="AB25" s="483"/>
      <c r="AC25" s="121"/>
      <c r="AD25" s="121"/>
      <c r="AF25" s="118"/>
      <c r="AG25" s="592"/>
      <c r="AH25" t="s">
        <v>225</v>
      </c>
      <c r="AI25" t="s">
        <v>27888</v>
      </c>
      <c r="AJ25" t="s">
        <v>27891</v>
      </c>
      <c r="AK25" s="109">
        <f>SUM('6a_Health_full_time'!D24,'6a_Health_full_time'!D28,'6a_Health_full_time'!D52,'6a_Health_full_time'!D56,'6a_Health_full_time'!D60,'6a_Health_full_time'!D64,'6a_Health_full_time'!D68,'6a_Health_full_time'!D72,'6a_Health_full_time'!D76,'6a_Health_full_time'!D80,'6a_Health_full_time'!D84)</f>
        <v>0</v>
      </c>
      <c r="AL25" s="108">
        <f>SUM('6a_Health_full_time'!E24,'6a_Health_full_time'!E28,'6a_Health_full_time'!E52,'6a_Health_full_time'!E56,'6a_Health_full_time'!E60,'6a_Health_full_time'!E64,'6a_Health_full_time'!E68,'6a_Health_full_time'!E72,'6a_Health_full_time'!E76,'6a_Health_full_time'!E80,'6a_Health_full_time'!E84)</f>
        <v>0</v>
      </c>
      <c r="AM25" s="116"/>
      <c r="AN25" s="109">
        <f>SUM('6a_Health_full_time'!G24,'6a_Health_full_time'!G28,'6a_Health_full_time'!G52,'6a_Health_full_time'!G56,'6a_Health_full_time'!G60,'6a_Health_full_time'!G64,'6a_Health_full_time'!G68,'6a_Health_full_time'!G72,'6a_Health_full_time'!G76,'6a_Health_full_time'!G80,'6a_Health_full_time'!G84)</f>
        <v>0</v>
      </c>
      <c r="AO25" s="108">
        <f>SUM('6a_Health_full_time'!H24,'6a_Health_full_time'!H28,'6a_Health_full_time'!H52,'6a_Health_full_time'!H56,'6a_Health_full_time'!H60,'6a_Health_full_time'!H64,'6a_Health_full_time'!H68,'6a_Health_full_time'!H72,'6a_Health_full_time'!H76,'6a_Health_full_time'!H80,'6a_Health_full_time'!H84)</f>
        <v>0</v>
      </c>
      <c r="AP25" s="121"/>
      <c r="AR25" s="118"/>
      <c r="AU25" s="1373"/>
      <c r="AX25" s="483"/>
      <c r="AY25" s="17"/>
      <c r="AZ25" s="130"/>
      <c r="BA25" s="1835" t="str">
        <f t="shared" ref="BA25:BF25" si="0">BA20&amp;BA21&amp;BA22&amp;BA23</f>
        <v/>
      </c>
      <c r="BB25" s="1835" t="str">
        <f t="shared" si="0"/>
        <v/>
      </c>
      <c r="BC25" s="1835" t="str">
        <f t="shared" si="0"/>
        <v/>
      </c>
      <c r="BD25" s="1835" t="str">
        <f t="shared" si="0"/>
        <v/>
      </c>
      <c r="BE25" s="1835" t="str">
        <f t="shared" si="0"/>
        <v/>
      </c>
      <c r="BF25" s="1826" t="str">
        <f t="shared" si="0"/>
        <v/>
      </c>
      <c r="BH25" s="130"/>
      <c r="BI25" s="338" t="str">
        <f>IF(AND($P$8=1,$B25="Long length",'6a_Health_full_time'!D18&lt;&gt;0),BI$18&amp;", "&amp;BI$19&amp;", "&amp;$A25&amp;", "&amp;$B25&amp;", "&amp;$C25&amp;"; ","")</f>
        <v/>
      </c>
      <c r="BJ25" s="112" t="str">
        <f>IF(AND($P$8=1,$B25="Long length",'6a_Health_full_time'!E18&lt;&gt;0),BJ$18&amp;", "&amp;BJ$19&amp;", "&amp;$A25&amp;", "&amp;$B25&amp;", "&amp;$C25&amp;"; ","")</f>
        <v/>
      </c>
      <c r="BK25" s="112" t="str">
        <f>IF(AND($P$8=1,$B25="Long length",'6a_Health_full_time'!F18&lt;&gt;0),BK$18&amp;", "&amp;BK$19&amp;", "&amp;$A25&amp;", "&amp;$B25&amp;", "&amp;$C25&amp;"; ","")</f>
        <v/>
      </c>
      <c r="BL25" s="338" t="str">
        <f>IF(AND($P$8=1,$B25="Long length",'6a_Health_full_time'!G18&lt;&gt;0),BL$18&amp;", "&amp;BL$19&amp;", "&amp;$A25&amp;", "&amp;$B25&amp;", "&amp;$C25&amp;"; ","")</f>
        <v/>
      </c>
      <c r="BM25" s="112" t="str">
        <f>IF(AND($P$8=1,$B25="Long length",'6a_Health_full_time'!H18&lt;&gt;0),BM$18&amp;", "&amp;BM$19&amp;", "&amp;$A25&amp;", "&amp;$B25&amp;", "&amp;$C25&amp;"; ","")</f>
        <v/>
      </c>
      <c r="BN25" s="112" t="str">
        <f>IF(AND($P$8=1,$B25="Long length",'6a_Health_full_time'!I18&lt;&gt;0),BN$18&amp;", "&amp;BN$19&amp;", "&amp;$A25&amp;", "&amp;$B25&amp;", "&amp;$C25&amp;"; ","")</f>
        <v/>
      </c>
      <c r="BO25" s="131"/>
    </row>
    <row r="26" spans="1:67" x14ac:dyDescent="0.35">
      <c r="A26" t="s">
        <v>27893</v>
      </c>
      <c r="B26" t="s">
        <v>27892</v>
      </c>
      <c r="C26" t="s">
        <v>27889</v>
      </c>
      <c r="E26" s="118"/>
      <c r="G26" s="333" t="str">
        <f>IF(AND($D$8=1,'6a_Health_full_time'!D19&lt;0),G$18&amp;", "&amp;G$19&amp;", "&amp;$A26&amp;", "&amp;$B26&amp;", "&amp;$C26&amp;"; ","")</f>
        <v/>
      </c>
      <c r="H26" s="108" t="str">
        <f>IF(AND($D$8=1,'6a_Health_full_time'!E19&lt;0),H$18&amp;", "&amp;H$19&amp;", "&amp;$A26&amp;", "&amp;$B26&amp;", "&amp;$C26&amp;"; ","")</f>
        <v/>
      </c>
      <c r="I26" s="108" t="str">
        <f>IF(AND($D$8=1,'6a_Health_full_time'!F19&lt;0),I$18&amp;", "&amp;I$19&amp;", "&amp;$A26&amp;", "&amp;$B26&amp;", "&amp;$C26&amp;"; ","")</f>
        <v/>
      </c>
      <c r="J26" s="333" t="str">
        <f>IF(AND($D$8=1,'6a_Health_full_time'!G19&lt;0),J$18&amp;", "&amp;J$19&amp;", "&amp;$A26&amp;", "&amp;$B26&amp;", "&amp;$C26&amp;"; ","")</f>
        <v/>
      </c>
      <c r="K26" s="108" t="str">
        <f>IF(AND($D$8=1,'6a_Health_full_time'!H19&lt;0),K$18&amp;", "&amp;K$19&amp;", "&amp;$A26&amp;", "&amp;$B26&amp;", "&amp;$C26&amp;"; ","")</f>
        <v/>
      </c>
      <c r="L26" s="210" t="str">
        <f>IF(AND($D$8=1,'6a_Health_full_time'!I19&lt;0),L$18&amp;", "&amp;L$19&amp;", "&amp;$A26&amp;", "&amp;$B26&amp;", "&amp;$C26&amp;"; ","")</f>
        <v/>
      </c>
      <c r="N26" s="118"/>
      <c r="P26" s="333" t="str">
        <f>IF(AND($E$8=1,ABS('6a_Health_full_time'!D19)&lt;&gt;INT(ABS('6a_Health_full_time'!D19))),P$18&amp;", "&amp;P$19&amp;", "&amp;$A26&amp;", "&amp;$B26&amp;", "&amp;$C26&amp;"; ","")</f>
        <v/>
      </c>
      <c r="Q26" s="108" t="str">
        <f>IF(AND($E$8=1,ABS('6a_Health_full_time'!E19)&lt;&gt;INT(ABS('6a_Health_full_time'!E19))),Q$18&amp;", "&amp;Q$19&amp;", "&amp;$A26&amp;", "&amp;$B26&amp;", "&amp;$C26&amp;"; ","")</f>
        <v/>
      </c>
      <c r="R26" s="108" t="str">
        <f>IF(AND($E$8=1,ABS('6a_Health_full_time'!F19)&lt;&gt;INT(ABS('6a_Health_full_time'!F19))),R$18&amp;", "&amp;R$19&amp;", "&amp;$A26&amp;", "&amp;$B26&amp;", "&amp;$C26&amp;"; ","")</f>
        <v/>
      </c>
      <c r="S26" s="333" t="str">
        <f>IF(AND($E$8=1,ABS('6a_Health_full_time'!G19)&lt;&gt;INT(ABS('6a_Health_full_time'!G19))),S$18&amp;", "&amp;S$19&amp;", "&amp;$A26&amp;", "&amp;$B26&amp;", "&amp;$C26&amp;"; ","")</f>
        <v/>
      </c>
      <c r="T26" s="108" t="str">
        <f>IF(AND($E$8=1,ABS('6a_Health_full_time'!H19)&lt;&gt;INT(ABS('6a_Health_full_time'!H19))),T$18&amp;", "&amp;T$19&amp;", "&amp;$A26&amp;", "&amp;$B26&amp;", "&amp;$C26&amp;"; ","")</f>
        <v/>
      </c>
      <c r="U26" s="210" t="str">
        <f>IF(AND($E$8=1,ABS('6a_Health_full_time'!I19)&lt;&gt;INT(ABS('6a_Health_full_time'!I19))),U$18&amp;", "&amp;U$19&amp;", "&amp;$A26&amp;", "&amp;$B26&amp;", "&amp;$C26&amp;"; ","")</f>
        <v/>
      </c>
      <c r="W26" s="118"/>
      <c r="Y26" s="113"/>
      <c r="Z26" s="481"/>
      <c r="AA26" s="481"/>
      <c r="AB26" s="483"/>
      <c r="AC26" s="121"/>
      <c r="AD26" s="121"/>
      <c r="AF26" s="193"/>
      <c r="AH26" t="s">
        <v>225</v>
      </c>
      <c r="AI26" t="s">
        <v>27888</v>
      </c>
      <c r="AJ26" t="s">
        <v>27894</v>
      </c>
      <c r="AK26" s="109">
        <f>SUM('6a_Health_full_time'!D21)</f>
        <v>0</v>
      </c>
      <c r="AL26" s="108">
        <f>SUM('6a_Health_full_time'!E21)</f>
        <v>0</v>
      </c>
      <c r="AM26" s="116"/>
      <c r="AN26" s="109">
        <f>SUM('6a_Health_full_time'!G21)</f>
        <v>0</v>
      </c>
      <c r="AO26" s="108">
        <f>SUM('6a_Health_full_time'!H21)</f>
        <v>0</v>
      </c>
      <c r="AP26" s="121"/>
      <c r="AR26" s="118"/>
      <c r="AU26" s="562" t="str">
        <f>IF(AND($I$8=1,ABS(SUM('6a_Health_full_time'!D19:E19))&lt;ABS('6a_Health_full_time'!F19)),AU$18&amp;", "&amp;$A26&amp;", "&amp;$B26&amp;", "&amp;$C26&amp;"; ","")</f>
        <v/>
      </c>
      <c r="AX26" s="484" t="str">
        <f>IF(AND($I$8=1,ABS(SUM('6a_Health_full_time'!G19:H19))&lt;ABS('6a_Health_full_time'!I19)),AX$18&amp;", "&amp;$A26&amp;", "&amp;$B26&amp;", "&amp;$C26&amp;"; ","")</f>
        <v/>
      </c>
      <c r="AY26" s="17"/>
      <c r="AZ26" s="130"/>
      <c r="BH26" s="130"/>
      <c r="BI26" s="333" t="str">
        <f>IF(AND($P$8=1,$B26="Long length",'6a_Health_full_time'!D19&lt;&gt;0),BI$18&amp;", "&amp;BI$19&amp;", "&amp;$A26&amp;", "&amp;$B26&amp;", "&amp;$C26&amp;"; ","")</f>
        <v/>
      </c>
      <c r="BJ26" s="108" t="str">
        <f>IF(AND($P$8=1,$B26="Long length",'6a_Health_full_time'!E19&lt;&gt;0),BJ$18&amp;", "&amp;BJ$19&amp;", "&amp;$A26&amp;", "&amp;$B26&amp;", "&amp;$C26&amp;"; ","")</f>
        <v/>
      </c>
      <c r="BK26" s="108" t="str">
        <f>IF(AND($P$8=1,$B26="Long length",'6a_Health_full_time'!F19&lt;&gt;0),BK$18&amp;", "&amp;BK$19&amp;", "&amp;$A26&amp;", "&amp;$B26&amp;", "&amp;$C26&amp;"; ","")</f>
        <v/>
      </c>
      <c r="BL26" s="333" t="str">
        <f>IF(AND($P$8=1,$B26="Long length",'6a_Health_full_time'!G19&lt;&gt;0),BL$18&amp;", "&amp;BL$19&amp;", "&amp;$A26&amp;", "&amp;$B26&amp;", "&amp;$C26&amp;"; ","")</f>
        <v/>
      </c>
      <c r="BM26" s="108" t="str">
        <f>IF(AND($P$8=1,$B26="Long length",'6a_Health_full_time'!H19&lt;&gt;0),BM$18&amp;", "&amp;BM$19&amp;", "&amp;$A26&amp;", "&amp;$B26&amp;", "&amp;$C26&amp;"; ","")</f>
        <v/>
      </c>
      <c r="BN26" s="108" t="str">
        <f>IF(AND($P$8=1,$B26="Long length",'6a_Health_full_time'!I19&lt;&gt;0),BN$18&amp;", "&amp;BN$19&amp;", "&amp;$A26&amp;", "&amp;$B26&amp;", "&amp;$C26&amp;"; ","")</f>
        <v/>
      </c>
      <c r="BO26" s="131"/>
    </row>
    <row r="27" spans="1:67" x14ac:dyDescent="0.35">
      <c r="A27" t="s">
        <v>27893</v>
      </c>
      <c r="B27" t="s">
        <v>27892</v>
      </c>
      <c r="C27" t="s">
        <v>27891</v>
      </c>
      <c r="E27" s="118"/>
      <c r="G27" s="338" t="str">
        <f>IF(AND($D$8=1,'6a_Health_full_time'!D20&lt;0),G$18&amp;", "&amp;G$19&amp;", "&amp;$A27&amp;", "&amp;$B27&amp;", "&amp;$C27&amp;"; ","")</f>
        <v/>
      </c>
      <c r="H27" s="112" t="str">
        <f>IF(AND($D$8=1,'6a_Health_full_time'!E20&lt;0),H$18&amp;", "&amp;H$19&amp;", "&amp;$A27&amp;", "&amp;$B27&amp;", "&amp;$C27&amp;"; ","")</f>
        <v/>
      </c>
      <c r="I27" s="112" t="str">
        <f>IF(AND($D$8=1,'6a_Health_full_time'!F20&lt;0),I$18&amp;", "&amp;I$19&amp;", "&amp;$A27&amp;", "&amp;$B27&amp;", "&amp;$C27&amp;"; ","")</f>
        <v/>
      </c>
      <c r="J27" s="338" t="str">
        <f>IF(AND($D$8=1,'6a_Health_full_time'!G20&lt;0),J$18&amp;", "&amp;J$19&amp;", "&amp;$A27&amp;", "&amp;$B27&amp;", "&amp;$C27&amp;"; ","")</f>
        <v/>
      </c>
      <c r="K27" s="112" t="str">
        <f>IF(AND($D$8=1,'6a_Health_full_time'!H20&lt;0),K$18&amp;", "&amp;K$19&amp;", "&amp;$A27&amp;", "&amp;$B27&amp;", "&amp;$C27&amp;"; ","")</f>
        <v/>
      </c>
      <c r="L27" s="481" t="str">
        <f>IF(AND($D$8=1,'6a_Health_full_time'!I20&lt;0),L$18&amp;", "&amp;L$19&amp;", "&amp;$A27&amp;", "&amp;$B27&amp;", "&amp;$C27&amp;"; ","")</f>
        <v/>
      </c>
      <c r="N27" s="118"/>
      <c r="P27" s="338"/>
      <c r="Q27" s="112"/>
      <c r="R27" s="112"/>
      <c r="S27" s="338"/>
      <c r="T27" s="112"/>
      <c r="U27" s="481"/>
      <c r="W27" s="118"/>
      <c r="Y27" s="113"/>
      <c r="Z27" s="481"/>
      <c r="AA27" s="481"/>
      <c r="AB27" s="483"/>
      <c r="AC27" s="121"/>
      <c r="AD27" s="121"/>
      <c r="AF27" s="118"/>
      <c r="AH27" t="s">
        <v>225</v>
      </c>
      <c r="AI27" t="s">
        <v>27892</v>
      </c>
      <c r="AJ27" t="s">
        <v>27889</v>
      </c>
      <c r="AK27" s="109">
        <f>SUM('6a_Health_full_time'!D25,'6a_Health_full_time'!D29,'6a_Health_full_time'!D53,'6a_Health_full_time'!D57,'6a_Health_full_time'!D61,'6a_Health_full_time'!D65,'6a_Health_full_time'!D69,'6a_Health_full_time'!D73,'6a_Health_full_time'!D77,'6a_Health_full_time'!D81,'6a_Health_full_time'!D85)</f>
        <v>0</v>
      </c>
      <c r="AL27" s="108">
        <f>SUM('6a_Health_full_time'!E25,'6a_Health_full_time'!E29,'6a_Health_full_time'!E53,'6a_Health_full_time'!E57,'6a_Health_full_time'!E61,'6a_Health_full_time'!E65,'6a_Health_full_time'!E69,'6a_Health_full_time'!E73,'6a_Health_full_time'!E77,'6a_Health_full_time'!E81,'6a_Health_full_time'!E85)</f>
        <v>0</v>
      </c>
      <c r="AM27" s="116"/>
      <c r="AN27" s="109">
        <f>SUM('6a_Health_full_time'!G25,'6a_Health_full_time'!G29,'6a_Health_full_time'!G53,'6a_Health_full_time'!G57,'6a_Health_full_time'!G61,'6a_Health_full_time'!G65,'6a_Health_full_time'!G69,'6a_Health_full_time'!G73,'6a_Health_full_time'!G77,'6a_Health_full_time'!G81,'6a_Health_full_time'!G85)</f>
        <v>0</v>
      </c>
      <c r="AO27" s="108">
        <f>SUM('6a_Health_full_time'!H25,'6a_Health_full_time'!H29,'6a_Health_full_time'!H53,'6a_Health_full_time'!H57,'6a_Health_full_time'!H61,'6a_Health_full_time'!H65,'6a_Health_full_time'!H69,'6a_Health_full_time'!H73,'6a_Health_full_time'!H77,'6a_Health_full_time'!H81,'6a_Health_full_time'!H85)</f>
        <v>0</v>
      </c>
      <c r="AP27" s="121"/>
      <c r="AR27" s="118"/>
      <c r="AU27" s="1374"/>
      <c r="AX27" s="1382"/>
      <c r="AY27" s="17"/>
      <c r="AZ27" s="130"/>
      <c r="BA27" s="1889" t="str">
        <f>BA25&amp;BB25&amp;BC25</f>
        <v/>
      </c>
      <c r="BD27" s="2039" t="str">
        <f>BD25&amp;BE25&amp;BF25</f>
        <v/>
      </c>
      <c r="BH27" s="130"/>
      <c r="BI27" s="1370" t="str">
        <f>IF(AND($P$8=1,$B27="Long length",'6a_Health_full_time'!D20&lt;&gt;0),BI$18&amp;", "&amp;BI$19&amp;", "&amp;$A27&amp;", "&amp;$B27&amp;", "&amp;$C27&amp;"; ","")</f>
        <v/>
      </c>
      <c r="BJ27" s="212" t="str">
        <f>IF(AND($P$8=1,$B27="Long length",'6a_Health_full_time'!E20&lt;&gt;0),BJ$18&amp;", "&amp;BJ$19&amp;", "&amp;$A27&amp;", "&amp;$B27&amp;", "&amp;$C27&amp;"; ","")</f>
        <v/>
      </c>
      <c r="BK27" s="212" t="str">
        <f>IF(AND($P$8=1,$B27="Long length",'6a_Health_full_time'!F20&lt;&gt;0),BK$18&amp;", "&amp;BK$19&amp;", "&amp;$A27&amp;", "&amp;$B27&amp;", "&amp;$C27&amp;"; ","")</f>
        <v/>
      </c>
      <c r="BL27" s="1370" t="str">
        <f>IF(AND($P$8=1,$B27="Long length",'6a_Health_full_time'!G20&lt;&gt;0),BL$18&amp;", "&amp;BL$19&amp;", "&amp;$A27&amp;", "&amp;$B27&amp;", "&amp;$C27&amp;"; ","")</f>
        <v/>
      </c>
      <c r="BM27" s="212" t="str">
        <f>IF(AND($P$8=1,$B27="Long length",'6a_Health_full_time'!H20&lt;&gt;0),BM$18&amp;", "&amp;BM$19&amp;", "&amp;$A27&amp;", "&amp;$B27&amp;", "&amp;$C27&amp;"; ","")</f>
        <v/>
      </c>
      <c r="BN27" s="212" t="str">
        <f>IF(AND($P$8=1,$B27="Long length",'6a_Health_full_time'!I20&lt;&gt;0),BN$18&amp;", "&amp;BN$19&amp;", "&amp;$A27&amp;", "&amp;$B27&amp;", "&amp;$C27&amp;"; ","")</f>
        <v/>
      </c>
      <c r="BO27" s="131"/>
    </row>
    <row r="28" spans="1:67" x14ac:dyDescent="0.35">
      <c r="A28" t="s">
        <v>27893</v>
      </c>
      <c r="B28" t="s">
        <v>27888</v>
      </c>
      <c r="C28" t="s">
        <v>27894</v>
      </c>
      <c r="E28" s="118"/>
      <c r="G28" s="1879" t="str">
        <f>IF(AND($D$8=1,'6a_Health_full_time'!D21&lt;0),G$18&amp;", "&amp;G$19&amp;", "&amp;$A28&amp;", "&amp;$B28&amp;", "&amp;$C28&amp;"; ","")</f>
        <v/>
      </c>
      <c r="H28" s="1653" t="str">
        <f>IF(AND($D$8=1,'6a_Health_full_time'!E21&lt;0),H$18&amp;", "&amp;H$19&amp;", "&amp;$A28&amp;", "&amp;$B28&amp;", "&amp;$C28&amp;"; ","")</f>
        <v/>
      </c>
      <c r="I28" s="1653" t="str">
        <f>IF(AND($D$8=1,'6a_Health_full_time'!F21&lt;0),I$18&amp;", "&amp;I$19&amp;", "&amp;$A28&amp;", "&amp;$B28&amp;", "&amp;$C28&amp;"; ","")</f>
        <v/>
      </c>
      <c r="J28" s="1879" t="str">
        <f>IF(AND($D$8=1,'6a_Health_full_time'!G21&lt;0),J$18&amp;", "&amp;J$19&amp;", "&amp;$A28&amp;", "&amp;$B28&amp;", "&amp;$C28&amp;"; ","")</f>
        <v/>
      </c>
      <c r="K28" s="1653" t="str">
        <f>IF(AND($D$8=1,'6a_Health_full_time'!H21&lt;0),K$18&amp;", "&amp;K$19&amp;", "&amp;$A28&amp;", "&amp;$B28&amp;", "&amp;$C28&amp;"; ","")</f>
        <v/>
      </c>
      <c r="L28" s="2191" t="str">
        <f>IF(AND($D$8=1,'6a_Health_full_time'!I21&lt;0),L$18&amp;", "&amp;L$19&amp;", "&amp;$A28&amp;", "&amp;$B28&amp;", "&amp;$C28&amp;"; ","")</f>
        <v/>
      </c>
      <c r="N28" s="118"/>
      <c r="P28" s="1879" t="str">
        <f>IF(AND($E$8=1,ABS('6a_Health_full_time'!D21)&lt;&gt;INT(ABS('6a_Health_full_time'!D21))),P$18&amp;", "&amp;P$19&amp;", "&amp;$A28&amp;", "&amp;$B28&amp;", "&amp;$C28&amp;"; ","")</f>
        <v/>
      </c>
      <c r="Q28" s="1653" t="str">
        <f>IF(AND($E$8=1,ABS('6a_Health_full_time'!E21)&lt;&gt;INT(ABS('6a_Health_full_time'!E21))),Q$18&amp;", "&amp;Q$19&amp;", "&amp;$A28&amp;", "&amp;$B28&amp;", "&amp;$C28&amp;"; ","")</f>
        <v/>
      </c>
      <c r="R28" s="1653" t="str">
        <f>IF(AND($E$8=1,ABS('6a_Health_full_time'!F21)&lt;&gt;INT(ABS('6a_Health_full_time'!F21))),R$18&amp;", "&amp;R$19&amp;", "&amp;$A28&amp;", "&amp;$B28&amp;", "&amp;$C28&amp;"; ","")</f>
        <v/>
      </c>
      <c r="S28" s="1879" t="str">
        <f>IF(AND($E$8=1,ABS('6a_Health_full_time'!G21)&lt;&gt;INT(ABS('6a_Health_full_time'!G21))),S$18&amp;", "&amp;S$19&amp;", "&amp;$A28&amp;", "&amp;$B28&amp;", "&amp;$C28&amp;"; ","")</f>
        <v/>
      </c>
      <c r="T28" s="1653" t="str">
        <f>IF(AND($E$8=1,ABS('6a_Health_full_time'!H21)&lt;&gt;INT(ABS('6a_Health_full_time'!H21))),T$18&amp;", "&amp;T$19&amp;", "&amp;$A28&amp;", "&amp;$B28&amp;", "&amp;$C28&amp;"; ","")</f>
        <v/>
      </c>
      <c r="U28" s="2191" t="str">
        <f>IF(AND($E$8=1,ABS('6a_Health_full_time'!I21)&lt;&gt;INT(ABS('6a_Health_full_time'!I21))),U$18&amp;", "&amp;U$19&amp;", "&amp;$A28&amp;", "&amp;$B28&amp;", "&amp;$C28&amp;"; ","")</f>
        <v/>
      </c>
      <c r="W28" s="118"/>
      <c r="Y28" s="1881"/>
      <c r="Z28" s="1882"/>
      <c r="AA28" s="1882"/>
      <c r="AB28" s="1883"/>
      <c r="AC28" s="1884"/>
      <c r="AD28" s="1884"/>
      <c r="AF28" s="118"/>
      <c r="AH28" t="s">
        <v>225</v>
      </c>
      <c r="AI28" t="s">
        <v>27892</v>
      </c>
      <c r="AJ28" t="s">
        <v>27891</v>
      </c>
      <c r="AK28" s="109">
        <f>SUM('6a_Health_full_time'!D26,'6a_Health_full_time'!D30,'6a_Health_full_time'!D54,'6a_Health_full_time'!D58,'6a_Health_full_time'!D62,'6a_Health_full_time'!D66,'6a_Health_full_time'!D70,'6a_Health_full_time'!D74,'6a_Health_full_time'!D78,'6a_Health_full_time'!D82,'6a_Health_full_time'!D86)</f>
        <v>0</v>
      </c>
      <c r="AL28" s="108">
        <f>SUM('6a_Health_full_time'!E26,'6a_Health_full_time'!E30,'6a_Health_full_time'!E54,'6a_Health_full_time'!E58,'6a_Health_full_time'!E62,'6a_Health_full_time'!E66,'6a_Health_full_time'!E70,'6a_Health_full_time'!E74,'6a_Health_full_time'!E78,'6a_Health_full_time'!E82,'6a_Health_full_time'!E86)</f>
        <v>0</v>
      </c>
      <c r="AM28" s="116"/>
      <c r="AN28" s="109">
        <f>SUM('6a_Health_full_time'!G26,'6a_Health_full_time'!G30,'6a_Health_full_time'!G54,'6a_Health_full_time'!G58,'6a_Health_full_time'!G62,'6a_Health_full_time'!G66,'6a_Health_full_time'!G70,'6a_Health_full_time'!G74,'6a_Health_full_time'!G78,'6a_Health_full_time'!G82,'6a_Health_full_time'!G86)</f>
        <v>0</v>
      </c>
      <c r="AO28" s="108">
        <f>SUM('6a_Health_full_time'!H26,'6a_Health_full_time'!H30,'6a_Health_full_time'!H54,'6a_Health_full_time'!H58,'6a_Health_full_time'!H62,'6a_Health_full_time'!H66,'6a_Health_full_time'!H70,'6a_Health_full_time'!H74,'6a_Health_full_time'!H78,'6a_Health_full_time'!H82,'6a_Health_full_time'!H86)</f>
        <v>0</v>
      </c>
      <c r="AP28" s="121"/>
      <c r="AR28" s="118"/>
      <c r="AU28" s="562" t="str">
        <f>IF(AND($I$8=1,ABS(SUM('6a_Health_full_time'!D21:E21))&lt;ABS('6a_Health_full_time'!F21)),AU$18&amp;", "&amp;$A28&amp;", "&amp;$B28&amp;", "&amp;$C28&amp;"; ","")</f>
        <v/>
      </c>
      <c r="AX28" s="484" t="str">
        <f>IF(AND($I$8=1,ABS(SUM('6a_Health_full_time'!G21:H21))&lt;ABS('6a_Health_full_time'!I21)),AX$18&amp;", "&amp;$A28&amp;", "&amp;$B28&amp;", "&amp;$C28&amp;"; ","")</f>
        <v/>
      </c>
      <c r="AY28" s="17"/>
      <c r="AZ28" s="130"/>
      <c r="BH28" s="130"/>
      <c r="BI28" s="333" t="str">
        <f>IF(AND($P$8=1,$B28="Long length",'6a_Health_full_time'!D21&lt;&gt;0),BI$18&amp;", "&amp;BI$19&amp;", "&amp;$A28&amp;", "&amp;$B28&amp;", "&amp;$C28&amp;"; ","")</f>
        <v/>
      </c>
      <c r="BJ28" s="108" t="str">
        <f>IF(AND($P$8=1,$B28="Long length",'6a_Health_full_time'!E21&lt;&gt;0),BJ$18&amp;", "&amp;BJ$19&amp;", "&amp;$A28&amp;", "&amp;$B28&amp;", "&amp;$C28&amp;"; ","")</f>
        <v/>
      </c>
      <c r="BK28" s="108" t="str">
        <f>IF(AND($P$8=1,$B28="Long length",'6a_Health_full_time'!F21&lt;&gt;0),BK$18&amp;", "&amp;BK$19&amp;", "&amp;$A28&amp;", "&amp;$B28&amp;", "&amp;$C28&amp;"; ","")</f>
        <v/>
      </c>
      <c r="BL28" s="333" t="str">
        <f>IF(AND($P$8=1,$B28="Long length",'6a_Health_full_time'!G21&lt;&gt;0),BL$18&amp;", "&amp;BL$19&amp;", "&amp;$A28&amp;", "&amp;$B28&amp;", "&amp;$C28&amp;"; ","")</f>
        <v/>
      </c>
      <c r="BM28" s="108" t="str">
        <f>IF(AND($P$8=1,$B28="Long length",'6a_Health_full_time'!H21&lt;&gt;0),BM$18&amp;", "&amp;BM$19&amp;", "&amp;$A28&amp;", "&amp;$B28&amp;", "&amp;$C28&amp;"; ","")</f>
        <v/>
      </c>
      <c r="BN28" s="108" t="str">
        <f>IF(AND($P$8=1,$B28="Long length",'6a_Health_full_time'!I21&lt;&gt;0),BN$18&amp;", "&amp;BN$19&amp;", "&amp;$A28&amp;", "&amp;$B28&amp;", "&amp;$C28&amp;"; ","")</f>
        <v/>
      </c>
      <c r="BO28" s="131"/>
    </row>
    <row r="29" spans="1:67" x14ac:dyDescent="0.35">
      <c r="A29" t="s">
        <v>27893</v>
      </c>
      <c r="B29" t="s">
        <v>27892</v>
      </c>
      <c r="C29" t="s">
        <v>27894</v>
      </c>
      <c r="E29" s="118"/>
      <c r="G29" s="333" t="str">
        <f>IF(AND($D$8=1,'6a_Health_full_time'!D22&lt;0),G$18&amp;", "&amp;G$19&amp;", "&amp;$A29&amp;", "&amp;$B29&amp;", "&amp;$C29&amp;"; ","")</f>
        <v/>
      </c>
      <c r="H29" s="108" t="str">
        <f>IF(AND($D$8=1,'6a_Health_full_time'!E22&lt;0),H$18&amp;", "&amp;H$19&amp;", "&amp;$A29&amp;", "&amp;$B29&amp;", "&amp;$C29&amp;"; ","")</f>
        <v/>
      </c>
      <c r="I29" s="108" t="str">
        <f>IF(AND($D$8=1,'6a_Health_full_time'!F22&lt;0),I$18&amp;", "&amp;I$19&amp;", "&amp;$A29&amp;", "&amp;$B29&amp;", "&amp;$C29&amp;"; ","")</f>
        <v/>
      </c>
      <c r="J29" s="333" t="str">
        <f>IF(AND($D$8=1,'6a_Health_full_time'!G22&lt;0),J$18&amp;", "&amp;J$19&amp;", "&amp;$A29&amp;", "&amp;$B29&amp;", "&amp;$C29&amp;"; ","")</f>
        <v/>
      </c>
      <c r="K29" s="108" t="str">
        <f>IF(AND($D$8=1,'6a_Health_full_time'!H22&lt;0),K$18&amp;", "&amp;K$19&amp;", "&amp;$A29&amp;", "&amp;$B29&amp;", "&amp;$C29&amp;"; ","")</f>
        <v/>
      </c>
      <c r="L29" s="210" t="str">
        <f>IF(AND($D$8=1,'6a_Health_full_time'!I22&lt;0),L$18&amp;", "&amp;L$19&amp;", "&amp;$A29&amp;", "&amp;$B29&amp;", "&amp;$C29&amp;"; ","")</f>
        <v/>
      </c>
      <c r="N29" s="118"/>
      <c r="P29" s="333" t="str">
        <f>IF(AND($E$8=1,ABS('6a_Health_full_time'!D22)&lt;&gt;INT(ABS('6a_Health_full_time'!D22))),P$18&amp;", "&amp;P$19&amp;", "&amp;$A29&amp;", "&amp;$B29&amp;", "&amp;$C29&amp;"; ","")</f>
        <v/>
      </c>
      <c r="Q29" s="108" t="str">
        <f>IF(AND($E$8=1,ABS('6a_Health_full_time'!E22)&lt;&gt;INT(ABS('6a_Health_full_time'!E22))),Q$18&amp;", "&amp;Q$19&amp;", "&amp;$A29&amp;", "&amp;$B29&amp;", "&amp;$C29&amp;"; ","")</f>
        <v/>
      </c>
      <c r="R29" s="108" t="str">
        <f>IF(AND($E$8=1,ABS('6a_Health_full_time'!F22)&lt;&gt;INT(ABS('6a_Health_full_time'!F22))),R$18&amp;", "&amp;R$19&amp;", "&amp;$A29&amp;", "&amp;$B29&amp;", "&amp;$C29&amp;"; ","")</f>
        <v/>
      </c>
      <c r="S29" s="333" t="str">
        <f>IF(AND($E$8=1,ABS('6a_Health_full_time'!G22)&lt;&gt;INT(ABS('6a_Health_full_time'!G22))),S$18&amp;", "&amp;S$19&amp;", "&amp;$A29&amp;", "&amp;$B29&amp;", "&amp;$C29&amp;"; ","")</f>
        <v/>
      </c>
      <c r="T29" s="108" t="str">
        <f>IF(AND($E$8=1,ABS('6a_Health_full_time'!H22)&lt;&gt;INT(ABS('6a_Health_full_time'!H22))),T$18&amp;", "&amp;T$19&amp;", "&amp;$A29&amp;", "&amp;$B29&amp;", "&amp;$C29&amp;"; ","")</f>
        <v/>
      </c>
      <c r="U29" s="210" t="str">
        <f>IF(AND($E$8=1,ABS('6a_Health_full_time'!I22)&lt;&gt;INT(ABS('6a_Health_full_time'!I22))),U$18&amp;", "&amp;U$19&amp;", "&amp;$A29&amp;", "&amp;$B29&amp;", "&amp;$C29&amp;"; ","")</f>
        <v/>
      </c>
      <c r="W29" s="118"/>
      <c r="Y29" s="113"/>
      <c r="Z29" s="481"/>
      <c r="AA29" s="481"/>
      <c r="AB29" s="483"/>
      <c r="AC29" s="121"/>
      <c r="AD29" s="121"/>
      <c r="AF29" s="118"/>
      <c r="AH29" t="s">
        <v>225</v>
      </c>
      <c r="AI29" t="s">
        <v>27892</v>
      </c>
      <c r="AJ29" t="s">
        <v>27894</v>
      </c>
      <c r="AK29" s="109">
        <f>SUM('6a_Health_full_time'!D22)</f>
        <v>0</v>
      </c>
      <c r="AL29" s="108">
        <f>SUM('6a_Health_full_time'!E22)</f>
        <v>0</v>
      </c>
      <c r="AM29" s="116"/>
      <c r="AN29" s="109">
        <f>SUM('6a_Health_full_time'!G22)</f>
        <v>0</v>
      </c>
      <c r="AO29" s="108">
        <f>SUM('6a_Health_full_time'!H22)</f>
        <v>0</v>
      </c>
      <c r="AP29" s="121"/>
      <c r="AR29" s="118"/>
      <c r="AU29" s="562" t="str">
        <f>IF(AND($I$8=1,ABS(SUM('6a_Health_full_time'!D22:E22))&lt;ABS('6a_Health_full_time'!F22)),AU$18&amp;", "&amp;$A29&amp;", "&amp;$B29&amp;", "&amp;$C29&amp;"; ","")</f>
        <v/>
      </c>
      <c r="AX29" s="484" t="str">
        <f>IF(AND($I$8=1,ABS(SUM('6a_Health_full_time'!G22:H22))&lt;ABS('6a_Health_full_time'!I22)),AX$18&amp;", "&amp;$A29&amp;", "&amp;$B29&amp;", "&amp;$C29&amp;"; ","")</f>
        <v/>
      </c>
      <c r="AY29" s="17"/>
      <c r="AZ29" s="130"/>
      <c r="BA29" s="1826" t="str">
        <f>BA27&amp;BD27</f>
        <v/>
      </c>
      <c r="BH29" s="130"/>
      <c r="BI29" s="333" t="str">
        <f>IF(AND($P$8=1,$B29="Long length",'6a_Health_full_time'!D22&lt;&gt;0),BI$18&amp;", "&amp;BI$19&amp;", "&amp;$A29&amp;", "&amp;$B29&amp;", "&amp;$C29&amp;"; ","")</f>
        <v/>
      </c>
      <c r="BJ29" s="108" t="str">
        <f>IF(AND($P$8=1,$B29="Long length",'6a_Health_full_time'!E22&lt;&gt;0),BJ$18&amp;", "&amp;BJ$19&amp;", "&amp;$A29&amp;", "&amp;$B29&amp;", "&amp;$C29&amp;"; ","")</f>
        <v/>
      </c>
      <c r="BK29" s="108" t="str">
        <f>IF(AND($P$8=1,$B29="Long length",'6a_Health_full_time'!F22&lt;&gt;0),BK$18&amp;", "&amp;BK$19&amp;", "&amp;$A29&amp;", "&amp;$B29&amp;", "&amp;$C29&amp;"; ","")</f>
        <v/>
      </c>
      <c r="BL29" s="333" t="str">
        <f>IF(AND($P$8=1,$B29="Long length",'6a_Health_full_time'!G22&lt;&gt;0),BL$18&amp;", "&amp;BL$19&amp;", "&amp;$A29&amp;", "&amp;$B29&amp;", "&amp;$C29&amp;"; ","")</f>
        <v/>
      </c>
      <c r="BM29" s="108" t="str">
        <f>IF(AND($P$8=1,$B29="Long length",'6a_Health_full_time'!H22&lt;&gt;0),BM$18&amp;", "&amp;BM$19&amp;", "&amp;$A29&amp;", "&amp;$B29&amp;", "&amp;$C29&amp;"; ","")</f>
        <v/>
      </c>
      <c r="BN29" s="108" t="str">
        <f>IF(AND($P$8=1,$B29="Long length",'6a_Health_full_time'!I22&lt;&gt;0),BN$18&amp;", "&amp;BN$19&amp;", "&amp;$A29&amp;", "&amp;$B29&amp;", "&amp;$C29&amp;"; ","")</f>
        <v/>
      </c>
      <c r="BO29" s="131"/>
    </row>
    <row r="30" spans="1:67" x14ac:dyDescent="0.35">
      <c r="A30" t="s">
        <v>27895</v>
      </c>
      <c r="B30" t="s">
        <v>27888</v>
      </c>
      <c r="C30" t="s">
        <v>27889</v>
      </c>
      <c r="E30" s="118"/>
      <c r="G30" s="1879" t="str">
        <f>IF(AND($D$8=1,'6a_Health_full_time'!D23&lt;0),G$18&amp;", "&amp;G$19&amp;", "&amp;$A30&amp;", "&amp;$B30&amp;", "&amp;$C30&amp;"; ","")</f>
        <v/>
      </c>
      <c r="H30" s="1653" t="str">
        <f>IF(AND($D$8=1,'6a_Health_full_time'!E23&lt;0),H$18&amp;", "&amp;H$19&amp;", "&amp;$A30&amp;", "&amp;$B30&amp;", "&amp;$C30&amp;"; ","")</f>
        <v/>
      </c>
      <c r="I30" s="1653" t="str">
        <f>IF(AND($D$8=1,'6a_Health_full_time'!F23&lt;0),I$18&amp;", "&amp;I$19&amp;", "&amp;$A30&amp;", "&amp;$B30&amp;", "&amp;$C30&amp;"; ","")</f>
        <v/>
      </c>
      <c r="J30" s="1879" t="str">
        <f>IF(AND($D$8=1,'6a_Health_full_time'!G23&lt;0),J$18&amp;", "&amp;J$19&amp;", "&amp;$A30&amp;", "&amp;$B30&amp;", "&amp;$C30&amp;"; ","")</f>
        <v/>
      </c>
      <c r="K30" s="1653" t="str">
        <f>IF(AND($D$8=1,'6a_Health_full_time'!H23&lt;0),K$18&amp;", "&amp;K$19&amp;", "&amp;$A30&amp;", "&amp;$B30&amp;", "&amp;$C30&amp;"; ","")</f>
        <v/>
      </c>
      <c r="L30" s="2191" t="str">
        <f>IF(AND($D$8=1,'6a_Health_full_time'!I23&lt;0),L$18&amp;", "&amp;L$19&amp;", "&amp;$A30&amp;", "&amp;$B30&amp;", "&amp;$C30&amp;"; ","")</f>
        <v/>
      </c>
      <c r="N30" s="118"/>
      <c r="O30" s="328"/>
      <c r="P30" s="1879" t="str">
        <f>IF(AND($E$8=1,ABS('6a_Health_full_time'!D23)&lt;&gt;INT(ABS('6a_Health_full_time'!D23))),P$18&amp;", "&amp;P$19&amp;", "&amp;$A30&amp;", "&amp;$B30&amp;", "&amp;$C30&amp;"; ","")</f>
        <v/>
      </c>
      <c r="Q30" s="1653" t="str">
        <f>IF(AND($E$8=1,ABS('6a_Health_full_time'!E23)&lt;&gt;INT(ABS('6a_Health_full_time'!E23))),Q$18&amp;", "&amp;Q$19&amp;", "&amp;$A30&amp;", "&amp;$B30&amp;", "&amp;$C30&amp;"; ","")</f>
        <v/>
      </c>
      <c r="R30" s="1653" t="str">
        <f>IF(AND($E$8=1,ABS('6a_Health_full_time'!F23)&lt;&gt;INT(ABS('6a_Health_full_time'!F23))),R$18&amp;", "&amp;R$19&amp;", "&amp;$A30&amp;", "&amp;$B30&amp;", "&amp;$C30&amp;"; ","")</f>
        <v/>
      </c>
      <c r="S30" s="1879" t="str">
        <f>IF(AND($E$8=1,ABS('6a_Health_full_time'!G23)&lt;&gt;INT(ABS('6a_Health_full_time'!G23))),S$18&amp;", "&amp;S$19&amp;", "&amp;$A30&amp;", "&amp;$B30&amp;", "&amp;$C30&amp;"; ","")</f>
        <v/>
      </c>
      <c r="T30" s="1653" t="str">
        <f>IF(AND($E$8=1,ABS('6a_Health_full_time'!H23)&lt;&gt;INT(ABS('6a_Health_full_time'!H23))),T$18&amp;", "&amp;T$19&amp;", "&amp;$A30&amp;", "&amp;$B30&amp;", "&amp;$C30&amp;"; ","")</f>
        <v/>
      </c>
      <c r="U30" s="2191" t="str">
        <f>IF(AND($E$8=1,ABS('6a_Health_full_time'!I23)&lt;&gt;INT(ABS('6a_Health_full_time'!I23))),U$18&amp;", "&amp;U$19&amp;", "&amp;$A30&amp;", "&amp;$B30&amp;", "&amp;$C30&amp;"; ","")</f>
        <v/>
      </c>
      <c r="W30" s="118"/>
      <c r="X30" s="328"/>
      <c r="Y30" s="1881"/>
      <c r="Z30" s="1882"/>
      <c r="AA30" s="1882"/>
      <c r="AB30" s="1883"/>
      <c r="AC30" s="1884"/>
      <c r="AD30" s="1884"/>
      <c r="AF30" s="118"/>
      <c r="AH30" t="s">
        <v>238</v>
      </c>
      <c r="AI30" t="s">
        <v>27888</v>
      </c>
      <c r="AJ30" t="s">
        <v>27889</v>
      </c>
      <c r="AK30" s="1885">
        <f>SUM('6a_Health_full_time'!D31,'6a_Health_full_time'!D35,'6a_Health_full_time'!D39,'6a_Health_full_time'!D43,'6a_Health_full_time'!D47)</f>
        <v>0</v>
      </c>
      <c r="AL30" s="1653">
        <f>SUM('6a_Health_full_time'!E31,'6a_Health_full_time'!E35,'6a_Health_full_time'!E39,'6a_Health_full_time'!E43,'6a_Health_full_time'!E47)</f>
        <v>0</v>
      </c>
      <c r="AM30" s="1655"/>
      <c r="AN30" s="1885">
        <f>SUM('6a_Health_full_time'!G31,'6a_Health_full_time'!G35,'6a_Health_full_time'!G39,'6a_Health_full_time'!G43,'6a_Health_full_time'!G47)</f>
        <v>0</v>
      </c>
      <c r="AO30" s="1653">
        <f>SUM('6a_Health_full_time'!H31,'6a_Health_full_time'!H35,'6a_Health_full_time'!H39,'6a_Health_full_time'!H43,'6a_Health_full_time'!H47)</f>
        <v>0</v>
      </c>
      <c r="AP30" s="1884"/>
      <c r="AR30" s="118"/>
      <c r="AU30" s="1886" t="str">
        <f>IF(AND($I$8=1,ABS(SUM('6a_Health_full_time'!D23:E23))&lt;ABS('6a_Health_full_time'!F23)),AU$18&amp;", "&amp;$A30&amp;", "&amp;$B30&amp;", "&amp;$C30&amp;"; ","")</f>
        <v/>
      </c>
      <c r="AX30" s="1896" t="str">
        <f>IF(AND($I$8=1,ABS(SUM('6a_Health_full_time'!G23:H23))&lt;ABS('6a_Health_full_time'!I23)),AX$18&amp;", "&amp;$A30&amp;", "&amp;$B30&amp;", "&amp;$C30&amp;"; ","")</f>
        <v/>
      </c>
      <c r="AY30" s="17"/>
      <c r="AZ30" s="132"/>
      <c r="BA30" s="133"/>
      <c r="BB30" s="133"/>
      <c r="BC30" s="133"/>
      <c r="BD30" s="133"/>
      <c r="BE30" s="133"/>
      <c r="BF30" s="133"/>
      <c r="BG30" s="134"/>
      <c r="BH30" s="130"/>
      <c r="BI30" s="1879" t="str">
        <f>IF(AND($P$8=1,$B30="Long length",'6a_Health_full_time'!D23&lt;&gt;0),BI$18&amp;", "&amp;BI$19&amp;", "&amp;$A30&amp;", "&amp;$B30&amp;", "&amp;$C30&amp;"; ","")</f>
        <v/>
      </c>
      <c r="BJ30" s="1653" t="str">
        <f>IF(AND($P$8=1,$B30="Long length",'6a_Health_full_time'!E23&lt;&gt;0),BJ$18&amp;", "&amp;BJ$19&amp;", "&amp;$A30&amp;", "&amp;$B30&amp;", "&amp;$C30&amp;"; ","")</f>
        <v/>
      </c>
      <c r="BK30" s="1653" t="str">
        <f>IF(AND($P$8=1,$B30="Long length",'6a_Health_full_time'!F23&lt;&gt;0),BK$18&amp;", "&amp;BK$19&amp;", "&amp;$A30&amp;", "&amp;$B30&amp;", "&amp;$C30&amp;"; ","")</f>
        <v/>
      </c>
      <c r="BL30" s="1879" t="str">
        <f>IF(AND($P$8=1,$B30="Long length",'6a_Health_full_time'!G23&lt;&gt;0),BL$18&amp;", "&amp;BL$19&amp;", "&amp;$A30&amp;", "&amp;$B30&amp;", "&amp;$C30&amp;"; ","")</f>
        <v/>
      </c>
      <c r="BM30" s="1653" t="str">
        <f>IF(AND($P$8=1,$B30="Long length",'6a_Health_full_time'!H23&lt;&gt;0),BM$18&amp;", "&amp;BM$19&amp;", "&amp;$A30&amp;", "&amp;$B30&amp;", "&amp;$C30&amp;"; ","")</f>
        <v/>
      </c>
      <c r="BN30" s="1653" t="str">
        <f>IF(AND($P$8=1,$B30="Long length",'6a_Health_full_time'!I23&lt;&gt;0),BN$18&amp;", "&amp;BN$19&amp;", "&amp;$A30&amp;", "&amp;$B30&amp;", "&amp;$C30&amp;"; ","")</f>
        <v/>
      </c>
      <c r="BO30" s="131"/>
    </row>
    <row r="31" spans="1:67" x14ac:dyDescent="0.35">
      <c r="A31" t="s">
        <v>27895</v>
      </c>
      <c r="B31" t="s">
        <v>27888</v>
      </c>
      <c r="C31" t="s">
        <v>27891</v>
      </c>
      <c r="E31" s="118"/>
      <c r="G31" s="333" t="str">
        <f>IF(AND($D$8=1,'6a_Health_full_time'!D24&lt;0),G$18&amp;", "&amp;G$19&amp;", "&amp;$A31&amp;", "&amp;$B31&amp;", "&amp;$C31&amp;"; ","")</f>
        <v/>
      </c>
      <c r="H31" s="108" t="str">
        <f>IF(AND($D$8=1,'6a_Health_full_time'!E24&lt;0),H$18&amp;", "&amp;H$19&amp;", "&amp;$A31&amp;", "&amp;$B31&amp;", "&amp;$C31&amp;"; ","")</f>
        <v/>
      </c>
      <c r="I31" s="108" t="str">
        <f>IF(AND($D$8=1,'6a_Health_full_time'!F24&lt;0),I$18&amp;", "&amp;I$19&amp;", "&amp;$A31&amp;", "&amp;$B31&amp;", "&amp;$C31&amp;"; ","")</f>
        <v/>
      </c>
      <c r="J31" s="333" t="str">
        <f>IF(AND($D$8=1,'6a_Health_full_time'!G24&lt;0),J$18&amp;", "&amp;J$19&amp;", "&amp;$A31&amp;", "&amp;$B31&amp;", "&amp;$C31&amp;"; ","")</f>
        <v/>
      </c>
      <c r="K31" s="108" t="str">
        <f>IF(AND($D$8=1,'6a_Health_full_time'!H24&lt;0),K$18&amp;", "&amp;K$19&amp;", "&amp;$A31&amp;", "&amp;$B31&amp;", "&amp;$C31&amp;"; ","")</f>
        <v/>
      </c>
      <c r="L31" s="210" t="str">
        <f>IF(AND($D$8=1,'6a_Health_full_time'!I24&lt;0),L$18&amp;", "&amp;L$19&amp;", "&amp;$A31&amp;", "&amp;$B31&amp;", "&amp;$C31&amp;"; ","")</f>
        <v/>
      </c>
      <c r="N31" s="193"/>
      <c r="O31" s="328"/>
      <c r="P31" s="333" t="str">
        <f>IF(AND($E$8=1,ABS('6a_Health_full_time'!D24)&lt;&gt;INT(ABS('6a_Health_full_time'!D24))),P$18&amp;", "&amp;P$19&amp;", "&amp;$A31&amp;", "&amp;$B31&amp;", "&amp;$C31&amp;"; ","")</f>
        <v/>
      </c>
      <c r="Q31" s="335" t="str">
        <f>IF(AND($E$8=1,ABS('6a_Health_full_time'!E24)&lt;&gt;INT(ABS('6a_Health_full_time'!E24))),Q$18&amp;", "&amp;Q$19&amp;", "&amp;$A31&amp;", "&amp;$B31&amp;", "&amp;$C31&amp;"; ","")</f>
        <v/>
      </c>
      <c r="R31" s="335" t="str">
        <f>IF(AND($E$8=1,ABS('6a_Health_full_time'!F24)&lt;&gt;INT(ABS('6a_Health_full_time'!F24))),R$18&amp;", "&amp;R$19&amp;", "&amp;$A31&amp;", "&amp;$B31&amp;", "&amp;$C31&amp;"; ","")</f>
        <v/>
      </c>
      <c r="S31" s="333" t="str">
        <f>IF(AND($E$8=1,ABS('6a_Health_full_time'!G24)&lt;&gt;INT(ABS('6a_Health_full_time'!G24))),S$18&amp;", "&amp;S$19&amp;", "&amp;$A31&amp;", "&amp;$B31&amp;", "&amp;$C31&amp;"; ","")</f>
        <v/>
      </c>
      <c r="T31" s="108" t="str">
        <f>IF(AND($E$8=1,ABS('6a_Health_full_time'!H24)&lt;&gt;INT(ABS('6a_Health_full_time'!H24))),T$18&amp;", "&amp;T$19&amp;", "&amp;$A31&amp;", "&amp;$B31&amp;", "&amp;$C31&amp;"; ","")</f>
        <v/>
      </c>
      <c r="U31" s="210" t="str">
        <f>IF(AND($E$8=1,ABS('6a_Health_full_time'!I24)&lt;&gt;INT(ABS('6a_Health_full_time'!I24))),U$18&amp;", "&amp;U$19&amp;", "&amp;$A31&amp;", "&amp;$B31&amp;", "&amp;$C31&amp;"; ","")</f>
        <v/>
      </c>
      <c r="W31" s="193"/>
      <c r="X31" s="328"/>
      <c r="Y31" s="113"/>
      <c r="Z31" s="481"/>
      <c r="AA31" s="481"/>
      <c r="AB31" s="483"/>
      <c r="AC31" s="121"/>
      <c r="AD31" s="121"/>
      <c r="AF31" s="118"/>
      <c r="AH31" t="s">
        <v>238</v>
      </c>
      <c r="AI31" t="s">
        <v>27888</v>
      </c>
      <c r="AJ31" t="s">
        <v>27891</v>
      </c>
      <c r="AK31" s="109">
        <f>SUM('6a_Health_full_time'!D32,'6a_Health_full_time'!D36,'6a_Health_full_time'!D40,'6a_Health_full_time'!D44,'6a_Health_full_time'!D48)</f>
        <v>0</v>
      </c>
      <c r="AL31" s="108">
        <f>SUM('6a_Health_full_time'!E32,'6a_Health_full_time'!E36,'6a_Health_full_time'!E40,'6a_Health_full_time'!E44,'6a_Health_full_time'!E48)</f>
        <v>0</v>
      </c>
      <c r="AM31" s="116"/>
      <c r="AN31" s="109">
        <f>SUM('6a_Health_full_time'!G32,'6a_Health_full_time'!G36,'6a_Health_full_time'!G40,'6a_Health_full_time'!G44,'6a_Health_full_time'!G48)</f>
        <v>0</v>
      </c>
      <c r="AO31" s="108">
        <f>SUM('6a_Health_full_time'!H32,'6a_Health_full_time'!H36,'6a_Health_full_time'!H40,'6a_Health_full_time'!H44,'6a_Health_full_time'!H48)</f>
        <v>0</v>
      </c>
      <c r="AP31" s="121"/>
      <c r="AR31" s="118"/>
      <c r="AU31" s="562" t="str">
        <f>IF(AND($I$8=1,ABS(SUM('6a_Health_full_time'!D24:E24))&lt;ABS('6a_Health_full_time'!F24)),AU$18&amp;", "&amp;$A31&amp;", "&amp;$B31&amp;", "&amp;$C31&amp;"; ","")</f>
        <v/>
      </c>
      <c r="AX31" s="484" t="str">
        <f>IF(AND($I$8=1,ABS(SUM('6a_Health_full_time'!G24:H24))&lt;ABS('6a_Health_full_time'!I24)),AX$18&amp;", "&amp;$A31&amp;", "&amp;$B31&amp;", "&amp;$C31&amp;"; ","")</f>
        <v/>
      </c>
      <c r="AY31" s="17"/>
      <c r="BH31" s="130"/>
      <c r="BI31" s="333" t="str">
        <f>IF(AND($P$8=1,$B31="Long length",'6a_Health_full_time'!D24&lt;&gt;0),BI$18&amp;", "&amp;BI$19&amp;", "&amp;$A31&amp;", "&amp;$B31&amp;", "&amp;$C31&amp;"; ","")</f>
        <v/>
      </c>
      <c r="BJ31" s="335" t="str">
        <f>IF(AND($P$8=1,$B31="Long length",'6a_Health_full_time'!E24&lt;&gt;0),BJ$18&amp;", "&amp;BJ$19&amp;", "&amp;$A31&amp;", "&amp;$B31&amp;", "&amp;$C31&amp;"; ","")</f>
        <v/>
      </c>
      <c r="BK31" s="335" t="str">
        <f>IF(AND($P$8=1,$B31="Long length",'6a_Health_full_time'!F24&lt;&gt;0),BK$18&amp;", "&amp;BK$19&amp;", "&amp;$A31&amp;", "&amp;$B31&amp;", "&amp;$C31&amp;"; ","")</f>
        <v/>
      </c>
      <c r="BL31" s="333" t="str">
        <f>IF(AND($P$8=1,$B31="Long length",'6a_Health_full_time'!G24&lt;&gt;0),BL$18&amp;", "&amp;BL$19&amp;", "&amp;$A31&amp;", "&amp;$B31&amp;", "&amp;$C31&amp;"; ","")</f>
        <v/>
      </c>
      <c r="BM31" s="335" t="str">
        <f>IF(AND($P$8=1,$B31="Long length",'6a_Health_full_time'!H24&lt;&gt;0),BM$18&amp;", "&amp;BM$19&amp;", "&amp;$A31&amp;", "&amp;$B31&amp;", "&amp;$C31&amp;"; ","")</f>
        <v/>
      </c>
      <c r="BN31" s="335" t="str">
        <f>IF(AND($P$8=1,$B31="Long length",'6a_Health_full_time'!I24&lt;&gt;0),BN$18&amp;", "&amp;BN$19&amp;", "&amp;$A31&amp;", "&amp;$B31&amp;", "&amp;$C31&amp;"; ","")</f>
        <v/>
      </c>
      <c r="BO31" s="131"/>
    </row>
    <row r="32" spans="1:67" x14ac:dyDescent="0.35">
      <c r="A32" t="s">
        <v>27895</v>
      </c>
      <c r="B32" t="s">
        <v>27892</v>
      </c>
      <c r="C32" t="s">
        <v>27889</v>
      </c>
      <c r="E32" s="118"/>
      <c r="G32" s="333" t="str">
        <f>IF(AND($D$8=1,'6a_Health_full_time'!D25&lt;0),G$18&amp;", "&amp;G$19&amp;", "&amp;$A32&amp;", "&amp;$B32&amp;", "&amp;$C32&amp;"; ","")</f>
        <v/>
      </c>
      <c r="H32" s="108" t="str">
        <f>IF(AND($D$8=1,'6a_Health_full_time'!E25&lt;0),H$18&amp;", "&amp;H$19&amp;", "&amp;$A32&amp;", "&amp;$B32&amp;", "&amp;$C32&amp;"; ","")</f>
        <v/>
      </c>
      <c r="I32" s="108" t="str">
        <f>IF(AND($D$8=1,'6a_Health_full_time'!F25&lt;0),I$18&amp;", "&amp;I$19&amp;", "&amp;$A32&amp;", "&amp;$B32&amp;", "&amp;$C32&amp;"; ","")</f>
        <v/>
      </c>
      <c r="J32" s="333" t="str">
        <f>IF(AND($D$8=1,'6a_Health_full_time'!G25&lt;0),J$18&amp;", "&amp;J$19&amp;", "&amp;$A32&amp;", "&amp;$B32&amp;", "&amp;$C32&amp;"; ","")</f>
        <v/>
      </c>
      <c r="K32" s="108" t="str">
        <f>IF(AND($D$8=1,'6a_Health_full_time'!H25&lt;0),K$18&amp;", "&amp;K$19&amp;", "&amp;$A32&amp;", "&amp;$B32&amp;", "&amp;$C32&amp;"; ","")</f>
        <v/>
      </c>
      <c r="L32" s="210" t="str">
        <f>IF(AND($D$8=1,'6a_Health_full_time'!I25&lt;0),L$18&amp;", "&amp;L$19&amp;", "&amp;$A32&amp;", "&amp;$B32&amp;", "&amp;$C32&amp;"; ","")</f>
        <v/>
      </c>
      <c r="N32" s="118"/>
      <c r="P32" s="333" t="str">
        <f>IF(AND($E$8=1,ABS('6a_Health_full_time'!D25)&lt;&gt;INT(ABS('6a_Health_full_time'!D25))),P$18&amp;", "&amp;P$19&amp;", "&amp;$A32&amp;", "&amp;$B32&amp;", "&amp;$C32&amp;"; ","")</f>
        <v/>
      </c>
      <c r="Q32" s="108" t="str">
        <f>IF(AND($E$8=1,ABS('6a_Health_full_time'!E25)&lt;&gt;INT(ABS('6a_Health_full_time'!E25))),Q$18&amp;", "&amp;Q$19&amp;", "&amp;$A32&amp;", "&amp;$B32&amp;", "&amp;$C32&amp;"; ","")</f>
        <v/>
      </c>
      <c r="R32" s="108" t="str">
        <f>IF(AND($E$8=1,ABS('6a_Health_full_time'!F25)&lt;&gt;INT(ABS('6a_Health_full_time'!F25))),R$18&amp;", "&amp;R$19&amp;", "&amp;$A32&amp;", "&amp;$B32&amp;", "&amp;$C32&amp;"; ","")</f>
        <v/>
      </c>
      <c r="S32" s="333" t="str">
        <f>IF(AND($E$8=1,ABS('6a_Health_full_time'!G25)&lt;&gt;INT(ABS('6a_Health_full_time'!G25))),S$18&amp;", "&amp;S$19&amp;", "&amp;$A32&amp;", "&amp;$B32&amp;", "&amp;$C32&amp;"; ","")</f>
        <v/>
      </c>
      <c r="T32" s="108" t="str">
        <f>IF(AND($E$8=1,ABS('6a_Health_full_time'!H25)&lt;&gt;INT(ABS('6a_Health_full_time'!H25))),T$18&amp;", "&amp;T$19&amp;", "&amp;$A32&amp;", "&amp;$B32&amp;", "&amp;$C32&amp;"; ","")</f>
        <v/>
      </c>
      <c r="U32" s="210" t="str">
        <f>IF(AND($E$8=1,ABS('6a_Health_full_time'!I25)&lt;&gt;INT(ABS('6a_Health_full_time'!I25))),U$18&amp;", "&amp;U$19&amp;", "&amp;$A32&amp;", "&amp;$B32&amp;", "&amp;$C32&amp;"; ","")</f>
        <v/>
      </c>
      <c r="W32" s="118"/>
      <c r="Y32" s="113"/>
      <c r="Z32" s="481"/>
      <c r="AA32" s="481"/>
      <c r="AB32" s="483"/>
      <c r="AC32" s="121"/>
      <c r="AD32" s="121"/>
      <c r="AF32" s="118"/>
      <c r="AH32" t="s">
        <v>238</v>
      </c>
      <c r="AI32" t="s">
        <v>27892</v>
      </c>
      <c r="AJ32" t="s">
        <v>27889</v>
      </c>
      <c r="AK32" s="109">
        <f>SUM('6a_Health_full_time'!D33,'6a_Health_full_time'!D37,'6a_Health_full_time'!D41,'6a_Health_full_time'!D45,'6a_Health_full_time'!D49)</f>
        <v>0</v>
      </c>
      <c r="AL32" s="108">
        <f>SUM('6a_Health_full_time'!E33,'6a_Health_full_time'!E37,'6a_Health_full_time'!E41,'6a_Health_full_time'!E45,'6a_Health_full_time'!E49)</f>
        <v>0</v>
      </c>
      <c r="AM32" s="116"/>
      <c r="AN32" s="109">
        <f>SUM('6a_Health_full_time'!G33,'6a_Health_full_time'!G37,'6a_Health_full_time'!G41,'6a_Health_full_time'!G45,'6a_Health_full_time'!G49)</f>
        <v>0</v>
      </c>
      <c r="AO32" s="108">
        <f>SUM('6a_Health_full_time'!H33,'6a_Health_full_time'!H37,'6a_Health_full_time'!H41,'6a_Health_full_time'!H45,'6a_Health_full_time'!H49)</f>
        <v>0</v>
      </c>
      <c r="AP32" s="121"/>
      <c r="AR32" s="118"/>
      <c r="AU32" s="562" t="str">
        <f>IF(AND($I$8=1,ABS(SUM('6a_Health_full_time'!D25:E25))&lt;ABS('6a_Health_full_time'!F25)),AU$18&amp;", "&amp;$A32&amp;", "&amp;$B32&amp;", "&amp;$C32&amp;"; ","")</f>
        <v/>
      </c>
      <c r="AX32" s="484" t="str">
        <f>IF(AND($I$8=1,ABS(SUM('6a_Health_full_time'!G25:H25))&lt;ABS('6a_Health_full_time'!I25)),AX$18&amp;", "&amp;$A32&amp;", "&amp;$B32&amp;", "&amp;$C32&amp;"; ","")</f>
        <v/>
      </c>
      <c r="AY32" s="17"/>
      <c r="BH32" s="130"/>
      <c r="BI32" s="333" t="str">
        <f>IF(AND($P$8=1,$B32="Long length",'6a_Health_full_time'!D25&lt;&gt;0),BI$18&amp;", "&amp;BI$19&amp;", "&amp;$A32&amp;", "&amp;$B32&amp;", "&amp;$C32&amp;"; ","")</f>
        <v/>
      </c>
      <c r="BJ32" s="108" t="str">
        <f>IF(AND($P$8=1,$B32="Long length",'6a_Health_full_time'!E25&lt;&gt;0),BJ$18&amp;", "&amp;BJ$19&amp;", "&amp;$A32&amp;", "&amp;$B32&amp;", "&amp;$C32&amp;"; ","")</f>
        <v/>
      </c>
      <c r="BK32" s="108" t="str">
        <f>IF(AND($P$8=1,$B32="Long length",'6a_Health_full_time'!F25&lt;&gt;0),BK$18&amp;", "&amp;BK$19&amp;", "&amp;$A32&amp;", "&amp;$B32&amp;", "&amp;$C32&amp;"; ","")</f>
        <v/>
      </c>
      <c r="BL32" s="333" t="str">
        <f>IF(AND($P$8=1,$B32="Long length",'6a_Health_full_time'!G25&lt;&gt;0),BL$18&amp;", "&amp;BL$19&amp;", "&amp;$A32&amp;", "&amp;$B32&amp;", "&amp;$C32&amp;"; ","")</f>
        <v/>
      </c>
      <c r="BM32" s="108" t="str">
        <f>IF(AND($P$8=1,$B32="Long length",'6a_Health_full_time'!H25&lt;&gt;0),BM$18&amp;", "&amp;BM$19&amp;", "&amp;$A32&amp;", "&amp;$B32&amp;", "&amp;$C32&amp;"; ","")</f>
        <v/>
      </c>
      <c r="BN32" s="108" t="str">
        <f>IF(AND($P$8=1,$B32="Long length",'6a_Health_full_time'!I25&lt;&gt;0),BN$18&amp;", "&amp;BN$19&amp;", "&amp;$A32&amp;", "&amp;$B32&amp;", "&amp;$C32&amp;"; ","")</f>
        <v/>
      </c>
      <c r="BO32" s="131"/>
    </row>
    <row r="33" spans="1:67" x14ac:dyDescent="0.35">
      <c r="A33" t="s">
        <v>27895</v>
      </c>
      <c r="B33" t="s">
        <v>27892</v>
      </c>
      <c r="C33" t="s">
        <v>27891</v>
      </c>
      <c r="E33" s="118"/>
      <c r="G33" s="333" t="str">
        <f>IF(AND($D$8=1,'6a_Health_full_time'!D26&lt;0),G$18&amp;", "&amp;G$19&amp;", "&amp;$A33&amp;", "&amp;$B33&amp;", "&amp;$C33&amp;"; ","")</f>
        <v/>
      </c>
      <c r="H33" s="108" t="str">
        <f>IF(AND($D$8=1,'6a_Health_full_time'!E26&lt;0),H$18&amp;", "&amp;H$19&amp;", "&amp;$A33&amp;", "&amp;$B33&amp;", "&amp;$C33&amp;"; ","")</f>
        <v/>
      </c>
      <c r="I33" s="108" t="str">
        <f>IF(AND($D$8=1,'6a_Health_full_time'!F26&lt;0),I$18&amp;", "&amp;I$19&amp;", "&amp;$A33&amp;", "&amp;$B33&amp;", "&amp;$C33&amp;"; ","")</f>
        <v/>
      </c>
      <c r="J33" s="333" t="str">
        <f>IF(AND($D$8=1,'6a_Health_full_time'!G26&lt;0),J$18&amp;", "&amp;J$19&amp;", "&amp;$A33&amp;", "&amp;$B33&amp;", "&amp;$C33&amp;"; ","")</f>
        <v/>
      </c>
      <c r="K33" s="108" t="str">
        <f>IF(AND($D$8=1,'6a_Health_full_time'!H26&lt;0),K$18&amp;", "&amp;K$19&amp;", "&amp;$A33&amp;", "&amp;$B33&amp;", "&amp;$C33&amp;"; ","")</f>
        <v/>
      </c>
      <c r="L33" s="210" t="str">
        <f>IF(AND($D$8=1,'6a_Health_full_time'!I26&lt;0),L$18&amp;", "&amp;L$19&amp;", "&amp;$A33&amp;", "&amp;$B33&amp;", "&amp;$C33&amp;"; ","")</f>
        <v/>
      </c>
      <c r="N33" s="118"/>
      <c r="P33" s="333" t="str">
        <f>IF(AND($E$8=1,ABS('6a_Health_full_time'!D26)&lt;&gt;INT(ABS('6a_Health_full_time'!D26))),P$18&amp;", "&amp;P$19&amp;", "&amp;$A33&amp;", "&amp;$B33&amp;", "&amp;$C33&amp;"; ","")</f>
        <v/>
      </c>
      <c r="Q33" s="108" t="str">
        <f>IF(AND($E$8=1,ABS('6a_Health_full_time'!E26)&lt;&gt;INT(ABS('6a_Health_full_time'!E26))),Q$18&amp;", "&amp;Q$19&amp;", "&amp;$A33&amp;", "&amp;$B33&amp;", "&amp;$C33&amp;"; ","")</f>
        <v/>
      </c>
      <c r="R33" s="108" t="str">
        <f>IF(AND($E$8=1,ABS('6a_Health_full_time'!F26)&lt;&gt;INT(ABS('6a_Health_full_time'!F26))),R$18&amp;", "&amp;R$19&amp;", "&amp;$A33&amp;", "&amp;$B33&amp;", "&amp;$C33&amp;"; ","")</f>
        <v/>
      </c>
      <c r="S33" s="333" t="str">
        <f>IF(AND($E$8=1,ABS('6a_Health_full_time'!G26)&lt;&gt;INT(ABS('6a_Health_full_time'!G26))),S$18&amp;", "&amp;S$19&amp;", "&amp;$A33&amp;", "&amp;$B33&amp;", "&amp;$C33&amp;"; ","")</f>
        <v/>
      </c>
      <c r="T33" s="108" t="str">
        <f>IF(AND($E$8=1,ABS('6a_Health_full_time'!H26)&lt;&gt;INT(ABS('6a_Health_full_time'!H26))),T$18&amp;", "&amp;T$19&amp;", "&amp;$A33&amp;", "&amp;$B33&amp;", "&amp;$C33&amp;"; ","")</f>
        <v/>
      </c>
      <c r="U33" s="210" t="str">
        <f>IF(AND($E$8=1,ABS('6a_Health_full_time'!I26)&lt;&gt;INT(ABS('6a_Health_full_time'!I26))),U$18&amp;", "&amp;U$19&amp;", "&amp;$A33&amp;", "&amp;$B33&amp;", "&amp;$C33&amp;"; ","")</f>
        <v/>
      </c>
      <c r="W33" s="118"/>
      <c r="Y33" s="113"/>
      <c r="Z33" s="482"/>
      <c r="AA33" s="482"/>
      <c r="AB33" s="483"/>
      <c r="AC33" s="121"/>
      <c r="AD33" s="121"/>
      <c r="AF33" s="118"/>
      <c r="AH33" t="s">
        <v>238</v>
      </c>
      <c r="AI33" t="s">
        <v>27892</v>
      </c>
      <c r="AJ33" t="s">
        <v>27891</v>
      </c>
      <c r="AK33" s="124">
        <f>SUM('6a_Health_full_time'!D34,'6a_Health_full_time'!D38,'6a_Health_full_time'!D42,'6a_Health_full_time'!D46,'6a_Health_full_time'!D50)</f>
        <v>0</v>
      </c>
      <c r="AL33" s="125">
        <f>SUM('6a_Health_full_time'!E34,'6a_Health_full_time'!E38,'6a_Health_full_time'!E42,'6a_Health_full_time'!E46,'6a_Health_full_time'!E50)</f>
        <v>0</v>
      </c>
      <c r="AM33" s="122"/>
      <c r="AN33" s="124">
        <f>SUM('6a_Health_full_time'!G34,'6a_Health_full_time'!G38,'6a_Health_full_time'!G42,'6a_Health_full_time'!G46,'6a_Health_full_time'!G50)</f>
        <v>0</v>
      </c>
      <c r="AO33" s="125">
        <f>SUM('6a_Health_full_time'!H34,'6a_Health_full_time'!H38,'6a_Health_full_time'!H42,'6a_Health_full_time'!H46,'6a_Health_full_time'!H50)</f>
        <v>0</v>
      </c>
      <c r="AP33" s="123"/>
      <c r="AR33" s="118"/>
      <c r="AU33" s="562" t="str">
        <f>IF(AND($I$8=1,ABS(SUM('6a_Health_full_time'!D26:E26))&lt;ABS('6a_Health_full_time'!F26)),AU$18&amp;", "&amp;$A33&amp;", "&amp;$B33&amp;", "&amp;$C33&amp;"; ","")</f>
        <v/>
      </c>
      <c r="AX33" s="484" t="str">
        <f>IF(AND($I$8=1,ABS(SUM('6a_Health_full_time'!G26:H26))&lt;ABS('6a_Health_full_time'!I26)),AX$18&amp;", "&amp;$A33&amp;", "&amp;$B33&amp;", "&amp;$C33&amp;"; ","")</f>
        <v/>
      </c>
      <c r="AY33" s="17"/>
      <c r="BH33" s="130"/>
      <c r="BI33" s="333" t="str">
        <f>IF(AND($P$8=1,$B33="Long length",'6a_Health_full_time'!D26&lt;&gt;0),BI$18&amp;", "&amp;BI$19&amp;", "&amp;$A33&amp;", "&amp;$B33&amp;", "&amp;$C33&amp;"; ","")</f>
        <v/>
      </c>
      <c r="BJ33" s="108" t="str">
        <f>IF(AND($P$8=1,$B33="Long length",'6a_Health_full_time'!E26&lt;&gt;0),BJ$18&amp;", "&amp;BJ$19&amp;", "&amp;$A33&amp;", "&amp;$B33&amp;", "&amp;$C33&amp;"; ","")</f>
        <v/>
      </c>
      <c r="BK33" s="108" t="str">
        <f>IF(AND($P$8=1,$B33="Long length",'6a_Health_full_time'!F26&lt;&gt;0),BK$18&amp;", "&amp;BK$19&amp;", "&amp;$A33&amp;", "&amp;$B33&amp;", "&amp;$C33&amp;"; ","")</f>
        <v/>
      </c>
      <c r="BL33" s="333" t="str">
        <f>IF(AND($P$8=1,$B33="Long length",'6a_Health_full_time'!G26&lt;&gt;0),BL$18&amp;", "&amp;BL$19&amp;", "&amp;$A33&amp;", "&amp;$B33&amp;", "&amp;$C33&amp;"; ","")</f>
        <v/>
      </c>
      <c r="BM33" s="108" t="str">
        <f>IF(AND($P$8=1,$B33="Long length",'6a_Health_full_time'!H26&lt;&gt;0),BM$18&amp;", "&amp;BM$19&amp;", "&amp;$A33&amp;", "&amp;$B33&amp;", "&amp;$C33&amp;"; ","")</f>
        <v/>
      </c>
      <c r="BN33" s="108" t="str">
        <f>IF(AND($P$8=1,$B33="Long length",'6a_Health_full_time'!I26&lt;&gt;0),BN$18&amp;", "&amp;BN$19&amp;", "&amp;$A33&amp;", "&amp;$B33&amp;", "&amp;$C33&amp;"; ","")</f>
        <v/>
      </c>
      <c r="BO33" s="131"/>
    </row>
    <row r="34" spans="1:67" x14ac:dyDescent="0.35">
      <c r="A34" t="s">
        <v>27896</v>
      </c>
      <c r="B34" t="s">
        <v>27888</v>
      </c>
      <c r="C34" t="s">
        <v>27889</v>
      </c>
      <c r="E34" s="118"/>
      <c r="G34" s="1879" t="str">
        <f>IF(AND($D$8=1,'6a_Health_full_time'!D27&lt;0),G$18&amp;", "&amp;G$19&amp;", "&amp;$A34&amp;", "&amp;$B34&amp;", "&amp;$C34&amp;"; ","")</f>
        <v/>
      </c>
      <c r="H34" s="1653" t="str">
        <f>IF(AND($D$8=1,'6a_Health_full_time'!E27&lt;0),H$18&amp;", "&amp;H$19&amp;", "&amp;$A34&amp;", "&amp;$B34&amp;", "&amp;$C34&amp;"; ","")</f>
        <v/>
      </c>
      <c r="I34" s="1653" t="str">
        <f>IF(AND($D$8=1,'6a_Health_full_time'!F27&lt;0),I$18&amp;", "&amp;I$19&amp;", "&amp;$A34&amp;", "&amp;$B34&amp;", "&amp;$C34&amp;"; ","")</f>
        <v/>
      </c>
      <c r="J34" s="1879" t="str">
        <f>IF(AND($D$8=1,'6a_Health_full_time'!G27&lt;0),J$18&amp;", "&amp;J$19&amp;", "&amp;$A34&amp;", "&amp;$B34&amp;", "&amp;$C34&amp;"; ","")</f>
        <v/>
      </c>
      <c r="K34" s="1653" t="str">
        <f>IF(AND($D$8=1,'6a_Health_full_time'!H27&lt;0),K$18&amp;", "&amp;K$19&amp;", "&amp;$A34&amp;", "&amp;$B34&amp;", "&amp;$C34&amp;"; ","")</f>
        <v/>
      </c>
      <c r="L34" s="2191" t="str">
        <f>IF(AND($D$8=1,'6a_Health_full_time'!I27&lt;0),L$18&amp;", "&amp;L$19&amp;", "&amp;$A34&amp;", "&amp;$B34&amp;", "&amp;$C34&amp;"; ","")</f>
        <v/>
      </c>
      <c r="N34" s="118"/>
      <c r="P34" s="1879" t="str">
        <f>IF(AND($E$8=1,ABS('6a_Health_full_time'!D27)&lt;&gt;INT(ABS('6a_Health_full_time'!D27))),P$18&amp;", "&amp;P$19&amp;", "&amp;$A34&amp;", "&amp;$B34&amp;", "&amp;$C34&amp;"; ","")</f>
        <v/>
      </c>
      <c r="Q34" s="1653" t="str">
        <f>IF(AND($E$8=1,ABS('6a_Health_full_time'!E27)&lt;&gt;INT(ABS('6a_Health_full_time'!E27))),Q$18&amp;", "&amp;Q$19&amp;", "&amp;$A34&amp;", "&amp;$B34&amp;", "&amp;$C34&amp;"; ","")</f>
        <v/>
      </c>
      <c r="R34" s="1653" t="str">
        <f>IF(AND($E$8=1,ABS('6a_Health_full_time'!F27)&lt;&gt;INT(ABS('6a_Health_full_time'!F27))),R$18&amp;", "&amp;R$19&amp;", "&amp;$A34&amp;", "&amp;$B34&amp;", "&amp;$C34&amp;"; ","")</f>
        <v/>
      </c>
      <c r="S34" s="1879" t="str">
        <f>IF(AND($E$8=1,ABS('6a_Health_full_time'!G27)&lt;&gt;INT(ABS('6a_Health_full_time'!G27))),S$18&amp;", "&amp;S$19&amp;", "&amp;$A34&amp;", "&amp;$B34&amp;", "&amp;$C34&amp;"; ","")</f>
        <v/>
      </c>
      <c r="T34" s="1653" t="str">
        <f>IF(AND($E$8=1,ABS('6a_Health_full_time'!H27)&lt;&gt;INT(ABS('6a_Health_full_time'!H27))),T$18&amp;", "&amp;T$19&amp;", "&amp;$A34&amp;", "&amp;$B34&amp;", "&amp;$C34&amp;"; ","")</f>
        <v/>
      </c>
      <c r="U34" s="2191" t="str">
        <f>IF(AND($E$8=1,ABS('6a_Health_full_time'!I27)&lt;&gt;INT(ABS('6a_Health_full_time'!I27))),U$18&amp;", "&amp;U$19&amp;", "&amp;$A34&amp;", "&amp;$B34&amp;", "&amp;$C34&amp;"; ","")</f>
        <v/>
      </c>
      <c r="W34" s="118"/>
      <c r="Y34" s="1881"/>
      <c r="Z34" s="1882"/>
      <c r="AA34" s="1882"/>
      <c r="AB34" s="1883"/>
      <c r="AC34" s="1884"/>
      <c r="AD34" s="1884"/>
      <c r="AF34" s="118"/>
      <c r="AK34" t="s">
        <v>27679</v>
      </c>
      <c r="AL34" t="s">
        <v>27679</v>
      </c>
      <c r="AN34" t="s">
        <v>27680</v>
      </c>
      <c r="AO34" t="s">
        <v>27680</v>
      </c>
      <c r="AR34" s="118"/>
      <c r="AU34" s="1886" t="str">
        <f>IF(AND($I$8=1,ABS(SUM('6a_Health_full_time'!D27:E27))&lt;ABS('6a_Health_full_time'!F27)),AU$18&amp;", "&amp;$A34&amp;", "&amp;$B34&amp;", "&amp;$C34&amp;"; ","")</f>
        <v/>
      </c>
      <c r="AX34" s="1896" t="str">
        <f>IF(AND($I$8=1,ABS(SUM('6a_Health_full_time'!G27:H27))&lt;ABS('6a_Health_full_time'!I27)),AX$18&amp;", "&amp;$A34&amp;", "&amp;$B34&amp;", "&amp;$C34&amp;"; ","")</f>
        <v/>
      </c>
      <c r="AY34" s="17"/>
      <c r="BH34" s="130"/>
      <c r="BI34" s="1879" t="str">
        <f>IF(AND($P$8=1,$B34="Long length",'6a_Health_full_time'!D27&lt;&gt;0),BI$18&amp;", "&amp;BI$19&amp;", "&amp;$A34&amp;", "&amp;$B34&amp;", "&amp;$C34&amp;"; ","")</f>
        <v/>
      </c>
      <c r="BJ34" s="1653" t="str">
        <f>IF(AND($P$8=1,$B34="Long length",'6a_Health_full_time'!E27&lt;&gt;0),BJ$18&amp;", "&amp;BJ$19&amp;", "&amp;$A34&amp;", "&amp;$B34&amp;", "&amp;$C34&amp;"; ","")</f>
        <v/>
      </c>
      <c r="BK34" s="1653" t="str">
        <f>IF(AND($P$8=1,$B34="Long length",'6a_Health_full_time'!F27&lt;&gt;0),BK$18&amp;", "&amp;BK$19&amp;", "&amp;$A34&amp;", "&amp;$B34&amp;", "&amp;$C34&amp;"; ","")</f>
        <v/>
      </c>
      <c r="BL34" s="1879" t="str">
        <f>IF(AND($P$8=1,$B34="Long length",'6a_Health_full_time'!G27&lt;&gt;0),BL$18&amp;", "&amp;BL$19&amp;", "&amp;$A34&amp;", "&amp;$B34&amp;", "&amp;$C34&amp;"; ","")</f>
        <v/>
      </c>
      <c r="BM34" s="1653" t="str">
        <f>IF(AND($P$8=1,$B34="Long length",'6a_Health_full_time'!H27&lt;&gt;0),BM$18&amp;", "&amp;BM$19&amp;", "&amp;$A34&amp;", "&amp;$B34&amp;", "&amp;$C34&amp;"; ","")</f>
        <v/>
      </c>
      <c r="BN34" s="1653" t="str">
        <f>IF(AND($P$8=1,$B34="Long length",'6a_Health_full_time'!I27&lt;&gt;0),BN$18&amp;", "&amp;BN$19&amp;", "&amp;$A34&amp;", "&amp;$B34&amp;", "&amp;$C34&amp;"; ","")</f>
        <v/>
      </c>
      <c r="BO34" s="131"/>
    </row>
    <row r="35" spans="1:67" ht="13.15" x14ac:dyDescent="0.4">
      <c r="A35" t="s">
        <v>27896</v>
      </c>
      <c r="B35" t="s">
        <v>27888</v>
      </c>
      <c r="C35" t="s">
        <v>27891</v>
      </c>
      <c r="E35" s="118"/>
      <c r="G35" s="333" t="str">
        <f>IF(AND($D$8=1,'6a_Health_full_time'!D28&lt;0),G$18&amp;", "&amp;G$19&amp;", "&amp;$A35&amp;", "&amp;$B35&amp;", "&amp;$C35&amp;"; ","")</f>
        <v/>
      </c>
      <c r="H35" s="108" t="str">
        <f>IF(AND($D$8=1,'6a_Health_full_time'!E28&lt;0),H$18&amp;", "&amp;H$19&amp;", "&amp;$A35&amp;", "&amp;$B35&amp;", "&amp;$C35&amp;"; ","")</f>
        <v/>
      </c>
      <c r="I35" s="108" t="str">
        <f>IF(AND($D$8=1,'6a_Health_full_time'!F28&lt;0),I$18&amp;", "&amp;I$19&amp;", "&amp;$A35&amp;", "&amp;$B35&amp;", "&amp;$C35&amp;"; ","")</f>
        <v/>
      </c>
      <c r="J35" s="333" t="str">
        <f>IF(AND($D$8=1,'6a_Health_full_time'!G28&lt;0),J$18&amp;", "&amp;J$19&amp;", "&amp;$A35&amp;", "&amp;$B35&amp;", "&amp;$C35&amp;"; ","")</f>
        <v/>
      </c>
      <c r="K35" s="108" t="str">
        <f>IF(AND($D$8=1,'6a_Health_full_time'!H28&lt;0),K$18&amp;", "&amp;K$19&amp;", "&amp;$A35&amp;", "&amp;$B35&amp;", "&amp;$C35&amp;"; ","")</f>
        <v/>
      </c>
      <c r="L35" s="210" t="str">
        <f>IF(AND($D$8=1,'6a_Health_full_time'!I28&lt;0),L$18&amp;", "&amp;L$19&amp;", "&amp;$A35&amp;", "&amp;$B35&amp;", "&amp;$C35&amp;"; ","")</f>
        <v/>
      </c>
      <c r="N35" s="118"/>
      <c r="P35" s="333" t="str">
        <f>IF(AND($E$8=1,ABS('6a_Health_full_time'!D28)&lt;&gt;INT(ABS('6a_Health_full_time'!D28))),P$18&amp;", "&amp;P$19&amp;", "&amp;$A35&amp;", "&amp;$B35&amp;", "&amp;$C35&amp;"; ","")</f>
        <v/>
      </c>
      <c r="Q35" s="108" t="str">
        <f>IF(AND($E$8=1,ABS('6a_Health_full_time'!E28)&lt;&gt;INT(ABS('6a_Health_full_time'!E28))),Q$18&amp;", "&amp;Q$19&amp;", "&amp;$A35&amp;", "&amp;$B35&amp;", "&amp;$C35&amp;"; ","")</f>
        <v/>
      </c>
      <c r="R35" s="108" t="str">
        <f>IF(AND($E$8=1,ABS('6a_Health_full_time'!F28)&lt;&gt;INT(ABS('6a_Health_full_time'!F28))),R$18&amp;", "&amp;R$19&amp;", "&amp;$A35&amp;", "&amp;$B35&amp;", "&amp;$C35&amp;"; ","")</f>
        <v/>
      </c>
      <c r="S35" s="333" t="str">
        <f>IF(AND($E$8=1,ABS('6a_Health_full_time'!G28)&lt;&gt;INT(ABS('6a_Health_full_time'!G28))),S$18&amp;", "&amp;S$19&amp;", "&amp;$A35&amp;", "&amp;$B35&amp;", "&amp;$C35&amp;"; ","")</f>
        <v/>
      </c>
      <c r="T35" s="108" t="str">
        <f>IF(AND($E$8=1,ABS('6a_Health_full_time'!H28)&lt;&gt;INT(ABS('6a_Health_full_time'!H28))),T$18&amp;", "&amp;T$19&amp;", "&amp;$A35&amp;", "&amp;$B35&amp;", "&amp;$C35&amp;"; ","")</f>
        <v/>
      </c>
      <c r="U35" s="210" t="str">
        <f>IF(AND($E$8=1,ABS('6a_Health_full_time'!I28)&lt;&gt;INT(ABS('6a_Health_full_time'!I28))),U$18&amp;", "&amp;U$19&amp;", "&amp;$A35&amp;", "&amp;$B35&amp;", "&amp;$C35&amp;"; ","")</f>
        <v/>
      </c>
      <c r="W35" s="118"/>
      <c r="Y35" s="113"/>
      <c r="Z35" s="481"/>
      <c r="AA35" s="481"/>
      <c r="AB35" s="483"/>
      <c r="AC35" s="121"/>
      <c r="AD35" s="121"/>
      <c r="AF35" s="118"/>
      <c r="AH35" s="6" t="s">
        <v>30</v>
      </c>
      <c r="AK35" t="s">
        <v>192</v>
      </c>
      <c r="AL35" t="s">
        <v>193</v>
      </c>
      <c r="AN35" t="s">
        <v>192</v>
      </c>
      <c r="AO35" t="s">
        <v>193</v>
      </c>
      <c r="AR35" s="118"/>
      <c r="AU35" s="562" t="str">
        <f>IF(AND($I$8=1,ABS(SUM('6a_Health_full_time'!D28:E28))&lt;ABS('6a_Health_full_time'!F28)),AU$18&amp;", "&amp;$A35&amp;", "&amp;$B35&amp;", "&amp;$C35&amp;"; ","")</f>
        <v/>
      </c>
      <c r="AX35" s="484" t="str">
        <f>IF(AND($I$8=1,ABS(SUM('6a_Health_full_time'!G28:H28))&lt;ABS('6a_Health_full_time'!I28)),AX$18&amp;", "&amp;$A35&amp;", "&amp;$B35&amp;", "&amp;$C35&amp;"; ","")</f>
        <v/>
      </c>
      <c r="AY35" s="17"/>
      <c r="BH35" s="130"/>
      <c r="BI35" s="333" t="str">
        <f>IF(AND($P$8=1,$B35="Long length",'6a_Health_full_time'!D28&lt;&gt;0),BI$18&amp;", "&amp;BI$19&amp;", "&amp;$A35&amp;", "&amp;$B35&amp;", "&amp;$C35&amp;"; ","")</f>
        <v/>
      </c>
      <c r="BJ35" s="108" t="str">
        <f>IF(AND($P$8=1,$B35="Long length",'6a_Health_full_time'!E28&lt;&gt;0),BJ$18&amp;", "&amp;BJ$19&amp;", "&amp;$A35&amp;", "&amp;$B35&amp;", "&amp;$C35&amp;"; ","")</f>
        <v/>
      </c>
      <c r="BK35" s="108" t="str">
        <f>IF(AND($P$8=1,$B35="Long length",'6a_Health_full_time'!F28&lt;&gt;0),BK$18&amp;", "&amp;BK$19&amp;", "&amp;$A35&amp;", "&amp;$B35&amp;", "&amp;$C35&amp;"; ","")</f>
        <v/>
      </c>
      <c r="BL35" s="333" t="str">
        <f>IF(AND($P$8=1,$B35="Long length",'6a_Health_full_time'!G28&lt;&gt;0),BL$18&amp;", "&amp;BL$19&amp;", "&amp;$A35&amp;", "&amp;$B35&amp;", "&amp;$C35&amp;"; ","")</f>
        <v/>
      </c>
      <c r="BM35" s="108" t="str">
        <f>IF(AND($P$8=1,$B35="Long length",'6a_Health_full_time'!H28&lt;&gt;0),BM$18&amp;", "&amp;BM$19&amp;", "&amp;$A35&amp;", "&amp;$B35&amp;", "&amp;$C35&amp;"; ","")</f>
        <v/>
      </c>
      <c r="BN35" s="108" t="str">
        <f>IF(AND($P$8=1,$B35="Long length",'6a_Health_full_time'!I28&lt;&gt;0),BN$18&amp;", "&amp;BN$19&amp;", "&amp;$A35&amp;", "&amp;$B35&amp;", "&amp;$C35&amp;"; ","")</f>
        <v/>
      </c>
      <c r="BO35" s="131"/>
    </row>
    <row r="36" spans="1:67" x14ac:dyDescent="0.35">
      <c r="A36" t="s">
        <v>27896</v>
      </c>
      <c r="B36" t="s">
        <v>27892</v>
      </c>
      <c r="C36" t="s">
        <v>27889</v>
      </c>
      <c r="E36" s="118"/>
      <c r="G36" s="333" t="str">
        <f>IF(AND($D$8=1,'6a_Health_full_time'!D29&lt;0),G$18&amp;", "&amp;G$19&amp;", "&amp;$A36&amp;", "&amp;$B36&amp;", "&amp;$C36&amp;"; ","")</f>
        <v/>
      </c>
      <c r="H36" s="108" t="str">
        <f>IF(AND($D$8=1,'6a_Health_full_time'!E29&lt;0),H$18&amp;", "&amp;H$19&amp;", "&amp;$A36&amp;", "&amp;$B36&amp;", "&amp;$C36&amp;"; ","")</f>
        <v/>
      </c>
      <c r="I36" s="108" t="str">
        <f>IF(AND($D$8=1,'6a_Health_full_time'!F29&lt;0),I$18&amp;", "&amp;I$19&amp;", "&amp;$A36&amp;", "&amp;$B36&amp;", "&amp;$C36&amp;"; ","")</f>
        <v/>
      </c>
      <c r="J36" s="333" t="str">
        <f>IF(AND($D$8=1,'6a_Health_full_time'!G29&lt;0),J$18&amp;", "&amp;J$19&amp;", "&amp;$A36&amp;", "&amp;$B36&amp;", "&amp;$C36&amp;"; ","")</f>
        <v/>
      </c>
      <c r="K36" s="108" t="str">
        <f>IF(AND($D$8=1,'6a_Health_full_time'!H29&lt;0),K$18&amp;", "&amp;K$19&amp;", "&amp;$A36&amp;", "&amp;$B36&amp;", "&amp;$C36&amp;"; ","")</f>
        <v/>
      </c>
      <c r="L36" s="210" t="str">
        <f>IF(AND($D$8=1,'6a_Health_full_time'!I29&lt;0),L$18&amp;", "&amp;L$19&amp;", "&amp;$A36&amp;", "&amp;$B36&amp;", "&amp;$C36&amp;"; ","")</f>
        <v/>
      </c>
      <c r="N36" s="118"/>
      <c r="P36" s="333" t="str">
        <f>IF(AND($E$8=1,ABS('6a_Health_full_time'!D29)&lt;&gt;INT(ABS('6a_Health_full_time'!D29))),P$18&amp;", "&amp;P$19&amp;", "&amp;$A36&amp;", "&amp;$B36&amp;", "&amp;$C36&amp;"; ","")</f>
        <v/>
      </c>
      <c r="Q36" s="108" t="str">
        <f>IF(AND($E$8=1,ABS('6a_Health_full_time'!E29)&lt;&gt;INT(ABS('6a_Health_full_time'!E29))),Q$18&amp;", "&amp;Q$19&amp;", "&amp;$A36&amp;", "&amp;$B36&amp;", "&amp;$C36&amp;"; ","")</f>
        <v/>
      </c>
      <c r="R36" s="108" t="str">
        <f>IF(AND($E$8=1,ABS('6a_Health_full_time'!F29)&lt;&gt;INT(ABS('6a_Health_full_time'!F29))),R$18&amp;", "&amp;R$19&amp;", "&amp;$A36&amp;", "&amp;$B36&amp;", "&amp;$C36&amp;"; ","")</f>
        <v/>
      </c>
      <c r="S36" s="333" t="str">
        <f>IF(AND($E$8=1,ABS('6a_Health_full_time'!G29)&lt;&gt;INT(ABS('6a_Health_full_time'!G29))),S$18&amp;", "&amp;S$19&amp;", "&amp;$A36&amp;", "&amp;$B36&amp;", "&amp;$C36&amp;"; ","")</f>
        <v/>
      </c>
      <c r="T36" s="108" t="str">
        <f>IF(AND($E$8=1,ABS('6a_Health_full_time'!H29)&lt;&gt;INT(ABS('6a_Health_full_time'!H29))),T$18&amp;", "&amp;T$19&amp;", "&amp;$A36&amp;", "&amp;$B36&amp;", "&amp;$C36&amp;"; ","")</f>
        <v/>
      </c>
      <c r="U36" s="210" t="str">
        <f>IF(AND($E$8=1,ABS('6a_Health_full_time'!I29)&lt;&gt;INT(ABS('6a_Health_full_time'!I29))),U$18&amp;", "&amp;U$19&amp;", "&amp;$A36&amp;", "&amp;$B36&amp;", "&amp;$C36&amp;"; ","")</f>
        <v/>
      </c>
      <c r="W36" s="118"/>
      <c r="Y36" s="113"/>
      <c r="Z36" s="481"/>
      <c r="AA36" s="481"/>
      <c r="AB36" s="483"/>
      <c r="AC36" s="121"/>
      <c r="AD36" s="121"/>
      <c r="AF36" s="118"/>
      <c r="AH36" t="s">
        <v>203</v>
      </c>
      <c r="AI36" t="s">
        <v>27888</v>
      </c>
      <c r="AJ36" t="s">
        <v>27889</v>
      </c>
      <c r="AK36" s="1885">
        <f>SUM('1_Full_time'!G12:G13)</f>
        <v>0</v>
      </c>
      <c r="AL36" s="1653">
        <f>SUM('1_Full_time'!H12:H13)</f>
        <v>0</v>
      </c>
      <c r="AM36" s="1655"/>
      <c r="AN36" s="1885">
        <f>SUM('1_Full_time'!J12:J13)</f>
        <v>0</v>
      </c>
      <c r="AO36" s="1653">
        <f>SUM('1_Full_time'!K12:K13)</f>
        <v>0</v>
      </c>
      <c r="AP36" s="1884"/>
      <c r="AR36" s="118"/>
      <c r="AU36" s="562" t="str">
        <f>IF(AND($I$8=1,ABS(SUM('6a_Health_full_time'!D29:E29))&lt;ABS('6a_Health_full_time'!F29)),AU$18&amp;", "&amp;$A36&amp;", "&amp;$B36&amp;", "&amp;$C36&amp;"; ","")</f>
        <v/>
      </c>
      <c r="AX36" s="484" t="str">
        <f>IF(AND($I$8=1,ABS(SUM('6a_Health_full_time'!G29:H29))&lt;ABS('6a_Health_full_time'!I29)),AX$18&amp;", "&amp;$A36&amp;", "&amp;$B36&amp;", "&amp;$C36&amp;"; ","")</f>
        <v/>
      </c>
      <c r="AY36" s="17"/>
      <c r="BH36" s="130"/>
      <c r="BI36" s="333" t="str">
        <f>IF(AND($P$8=1,$B36="Long length",'6a_Health_full_time'!D29&lt;&gt;0),BI$18&amp;", "&amp;BI$19&amp;", "&amp;$A36&amp;", "&amp;$B36&amp;", "&amp;$C36&amp;"; ","")</f>
        <v/>
      </c>
      <c r="BJ36" s="108" t="str">
        <f>IF(AND($P$8=1,$B36="Long length",'6a_Health_full_time'!E29&lt;&gt;0),BJ$18&amp;", "&amp;BJ$19&amp;", "&amp;$A36&amp;", "&amp;$B36&amp;", "&amp;$C36&amp;"; ","")</f>
        <v/>
      </c>
      <c r="BK36" s="108" t="str">
        <f>IF(AND($P$8=1,$B36="Long length",'6a_Health_full_time'!F29&lt;&gt;0),BK$18&amp;", "&amp;BK$19&amp;", "&amp;$A36&amp;", "&amp;$B36&amp;", "&amp;$C36&amp;"; ","")</f>
        <v/>
      </c>
      <c r="BL36" s="333" t="str">
        <f>IF(AND($P$8=1,$B36="Long length",'6a_Health_full_time'!G29&lt;&gt;0),BL$18&amp;", "&amp;BL$19&amp;", "&amp;$A36&amp;", "&amp;$B36&amp;", "&amp;$C36&amp;"; ","")</f>
        <v/>
      </c>
      <c r="BM36" s="108" t="str">
        <f>IF(AND($P$8=1,$B36="Long length",'6a_Health_full_time'!H29&lt;&gt;0),BM$18&amp;", "&amp;BM$19&amp;", "&amp;$A36&amp;", "&amp;$B36&amp;", "&amp;$C36&amp;"; ","")</f>
        <v/>
      </c>
      <c r="BN36" s="108" t="str">
        <f>IF(AND($P$8=1,$B36="Long length",'6a_Health_full_time'!I29&lt;&gt;0),BN$18&amp;", "&amp;BN$19&amp;", "&amp;$A36&amp;", "&amp;$B36&amp;", "&amp;$C36&amp;"; ","")</f>
        <v/>
      </c>
      <c r="BO36" s="131"/>
    </row>
    <row r="37" spans="1:67" x14ac:dyDescent="0.35">
      <c r="A37" t="s">
        <v>27896</v>
      </c>
      <c r="B37" t="s">
        <v>27892</v>
      </c>
      <c r="C37" t="s">
        <v>27891</v>
      </c>
      <c r="E37" s="118"/>
      <c r="G37" s="333" t="str">
        <f>IF(AND($D$8=1,'6a_Health_full_time'!D30&lt;0),G$18&amp;", "&amp;G$19&amp;", "&amp;$A37&amp;", "&amp;$B37&amp;", "&amp;$C37&amp;"; ","")</f>
        <v/>
      </c>
      <c r="H37" s="108" t="str">
        <f>IF(AND($D$8=1,'6a_Health_full_time'!E30&lt;0),H$18&amp;", "&amp;H$19&amp;", "&amp;$A37&amp;", "&amp;$B37&amp;", "&amp;$C37&amp;"; ","")</f>
        <v/>
      </c>
      <c r="I37" s="108" t="str">
        <f>IF(AND($D$8=1,'6a_Health_full_time'!F30&lt;0),I$18&amp;", "&amp;I$19&amp;", "&amp;$A37&amp;", "&amp;$B37&amp;", "&amp;$C37&amp;"; ","")</f>
        <v/>
      </c>
      <c r="J37" s="333" t="str">
        <f>IF(AND($D$8=1,'6a_Health_full_time'!G30&lt;0),J$18&amp;", "&amp;J$19&amp;", "&amp;$A37&amp;", "&amp;$B37&amp;", "&amp;$C37&amp;"; ","")</f>
        <v/>
      </c>
      <c r="K37" s="108" t="str">
        <f>IF(AND($D$8=1,'6a_Health_full_time'!H30&lt;0),K$18&amp;", "&amp;K$19&amp;", "&amp;$A37&amp;", "&amp;$B37&amp;", "&amp;$C37&amp;"; ","")</f>
        <v/>
      </c>
      <c r="L37" s="210" t="str">
        <f>IF(AND($D$8=1,'6a_Health_full_time'!I30&lt;0),L$18&amp;", "&amp;L$19&amp;", "&amp;$A37&amp;", "&amp;$B37&amp;", "&amp;$C37&amp;"; ","")</f>
        <v/>
      </c>
      <c r="N37" s="118"/>
      <c r="P37" s="333" t="str">
        <f>IF(AND($E$8=1,ABS('6a_Health_full_time'!D30)&lt;&gt;INT(ABS('6a_Health_full_time'!D30))),P$18&amp;", "&amp;P$19&amp;", "&amp;$A37&amp;", "&amp;$B37&amp;", "&amp;$C37&amp;"; ","")</f>
        <v/>
      </c>
      <c r="Q37" s="108" t="str">
        <f>IF(AND($E$8=1,ABS('6a_Health_full_time'!E30)&lt;&gt;INT(ABS('6a_Health_full_time'!E30))),Q$18&amp;", "&amp;Q$19&amp;", "&amp;$A37&amp;", "&amp;$B37&amp;", "&amp;$C37&amp;"; ","")</f>
        <v/>
      </c>
      <c r="R37" s="108" t="str">
        <f>IF(AND($E$8=1,ABS('6a_Health_full_time'!F30)&lt;&gt;INT(ABS('6a_Health_full_time'!F30))),R$18&amp;", "&amp;R$19&amp;", "&amp;$A37&amp;", "&amp;$B37&amp;", "&amp;$C37&amp;"; ","")</f>
        <v/>
      </c>
      <c r="S37" s="333" t="str">
        <f>IF(AND($E$8=1,ABS('6a_Health_full_time'!G30)&lt;&gt;INT(ABS('6a_Health_full_time'!G30))),S$18&amp;", "&amp;S$19&amp;", "&amp;$A37&amp;", "&amp;$B37&amp;", "&amp;$C37&amp;"; ","")</f>
        <v/>
      </c>
      <c r="T37" s="108" t="str">
        <f>IF(AND($E$8=1,ABS('6a_Health_full_time'!H30)&lt;&gt;INT(ABS('6a_Health_full_time'!H30))),T$18&amp;", "&amp;T$19&amp;", "&amp;$A37&amp;", "&amp;$B37&amp;", "&amp;$C37&amp;"; ","")</f>
        <v/>
      </c>
      <c r="U37" s="210" t="str">
        <f>IF(AND($E$8=1,ABS('6a_Health_full_time'!I30)&lt;&gt;INT(ABS('6a_Health_full_time'!I30))),U$18&amp;", "&amp;U$19&amp;", "&amp;$A37&amp;", "&amp;$B37&amp;", "&amp;$C37&amp;"; ","")</f>
        <v/>
      </c>
      <c r="W37" s="118"/>
      <c r="Y37" s="113"/>
      <c r="Z37" s="481"/>
      <c r="AA37" s="481"/>
      <c r="AB37" s="483"/>
      <c r="AC37" s="121"/>
      <c r="AD37" s="121"/>
      <c r="AF37" s="118"/>
      <c r="AH37" t="s">
        <v>203</v>
      </c>
      <c r="AI37" t="s">
        <v>27888</v>
      </c>
      <c r="AJ37" t="s">
        <v>27891</v>
      </c>
      <c r="AK37" s="113"/>
      <c r="AL37" s="112"/>
      <c r="AM37" s="116"/>
      <c r="AN37" s="113"/>
      <c r="AO37" s="112"/>
      <c r="AP37" s="2189"/>
      <c r="AR37" s="118"/>
      <c r="AU37" s="562" t="str">
        <f>IF(AND($I$8=1,ABS(SUM('6a_Health_full_time'!D30:E30))&lt;ABS('6a_Health_full_time'!F30)),AU$18&amp;", "&amp;$A37&amp;", "&amp;$B37&amp;", "&amp;$C37&amp;"; ","")</f>
        <v/>
      </c>
      <c r="AX37" s="484" t="str">
        <f>IF(AND($I$8=1,ABS(SUM('6a_Health_full_time'!G30:H30))&lt;ABS('6a_Health_full_time'!I30)),AX$18&amp;", "&amp;$A37&amp;", "&amp;$B37&amp;", "&amp;$C37&amp;"; ","")</f>
        <v/>
      </c>
      <c r="AY37" s="17"/>
      <c r="BH37" s="130"/>
      <c r="BI37" s="333" t="str">
        <f>IF(AND($P$8=1,$B37="Long length",'6a_Health_full_time'!D30&lt;&gt;0),BI$18&amp;", "&amp;BI$19&amp;", "&amp;$A37&amp;", "&amp;$B37&amp;", "&amp;$C37&amp;"; ","")</f>
        <v/>
      </c>
      <c r="BJ37" s="108" t="str">
        <f>IF(AND($P$8=1,$B37="Long length",'6a_Health_full_time'!E30&lt;&gt;0),BJ$18&amp;", "&amp;BJ$19&amp;", "&amp;$A37&amp;", "&amp;$B37&amp;", "&amp;$C37&amp;"; ","")</f>
        <v/>
      </c>
      <c r="BK37" s="108" t="str">
        <f>IF(AND($P$8=1,$B37="Long length",'6a_Health_full_time'!F30&lt;&gt;0),BK$18&amp;", "&amp;BK$19&amp;", "&amp;$A37&amp;", "&amp;$B37&amp;", "&amp;$C37&amp;"; ","")</f>
        <v/>
      </c>
      <c r="BL37" s="333" t="str">
        <f>IF(AND($P$8=1,$B37="Long length",'6a_Health_full_time'!G30&lt;&gt;0),BL$18&amp;", "&amp;BL$19&amp;", "&amp;$A37&amp;", "&amp;$B37&amp;", "&amp;$C37&amp;"; ","")</f>
        <v/>
      </c>
      <c r="BM37" s="108" t="str">
        <f>IF(AND($P$8=1,$B37="Long length",'6a_Health_full_time'!H30&lt;&gt;0),BM$18&amp;", "&amp;BM$19&amp;", "&amp;$A37&amp;", "&amp;$B37&amp;", "&amp;$C37&amp;"; ","")</f>
        <v/>
      </c>
      <c r="BN37" s="108" t="str">
        <f>IF(AND($P$8=1,$B37="Long length",'6a_Health_full_time'!I30&lt;&gt;0),BN$18&amp;", "&amp;BN$19&amp;", "&amp;$A37&amp;", "&amp;$B37&amp;", "&amp;$C37&amp;"; ","")</f>
        <v/>
      </c>
      <c r="BO37" s="131"/>
    </row>
    <row r="38" spans="1:67" x14ac:dyDescent="0.35">
      <c r="A38" t="s">
        <v>27897</v>
      </c>
      <c r="B38" t="s">
        <v>27888</v>
      </c>
      <c r="C38" t="s">
        <v>27889</v>
      </c>
      <c r="E38" s="118"/>
      <c r="G38" s="1879" t="str">
        <f>IF(AND($D$8=1,'6a_Health_full_time'!D31&lt;0),G$18&amp;", "&amp;G$19&amp;", "&amp;$A38&amp;", "&amp;$B38&amp;", "&amp;$C38&amp;"; ","")</f>
        <v/>
      </c>
      <c r="H38" s="1653" t="str">
        <f>IF(AND($D$8=1,'6a_Health_full_time'!E31&lt;0),H$18&amp;", "&amp;H$19&amp;", "&amp;$A38&amp;", "&amp;$B38&amp;", "&amp;$C38&amp;"; ","")</f>
        <v/>
      </c>
      <c r="I38" s="1653" t="str">
        <f>IF(AND($D$8=1,'6a_Health_full_time'!F31&lt;0),I$18&amp;", "&amp;I$19&amp;", "&amp;$A38&amp;", "&amp;$B38&amp;", "&amp;$C38&amp;"; ","")</f>
        <v/>
      </c>
      <c r="J38" s="1879" t="str">
        <f>IF(AND($D$8=1,'6a_Health_full_time'!G31&lt;0),J$18&amp;", "&amp;J$19&amp;", "&amp;$A38&amp;", "&amp;$B38&amp;", "&amp;$C38&amp;"; ","")</f>
        <v/>
      </c>
      <c r="K38" s="1653" t="str">
        <f>IF(AND($D$8=1,'6a_Health_full_time'!H31&lt;0),K$18&amp;", "&amp;K$19&amp;", "&amp;$A38&amp;", "&amp;$B38&amp;", "&amp;$C38&amp;"; ","")</f>
        <v/>
      </c>
      <c r="L38" s="2191" t="str">
        <f>IF(AND($D$8=1,'6a_Health_full_time'!I31&lt;0),L$18&amp;", "&amp;L$19&amp;", "&amp;$A38&amp;", "&amp;$B38&amp;", "&amp;$C38&amp;"; ","")</f>
        <v/>
      </c>
      <c r="N38" s="118"/>
      <c r="P38" s="1880"/>
      <c r="Q38" s="1654"/>
      <c r="R38" s="1654"/>
      <c r="S38" s="1880"/>
      <c r="T38" s="1654"/>
      <c r="U38" s="2188"/>
      <c r="W38" s="118"/>
      <c r="Y38" s="1885" t="str">
        <f>IF(AND($F$8=1,'6a_Health_full_time'!D31&lt;&gt;"",ABS('6a_Health_full_time'!D31)-INT(ABS('6a_Health_full_time'!D31))&lt;&gt;0,ABS('6a_Health_full_time'!D31)-INT(ABS('6a_Health_full_time'!D31))&lt;&gt;0.5),Y$18&amp;", "&amp;Y$19&amp;", "&amp;$A38&amp;", "&amp;$B38&amp;", "&amp;$C38&amp;"; ","")</f>
        <v/>
      </c>
      <c r="Z38" s="1890" t="str">
        <f>IF(AND($F$8=1,'6a_Health_full_time'!E31&lt;&gt;"",ABS('6a_Health_full_time'!E31)-INT(ABS('6a_Health_full_time'!E31))&lt;&gt;0,ABS('6a_Health_full_time'!E31)-INT(ABS('6a_Health_full_time'!E31))&lt;&gt;0.5),Z$18&amp;", "&amp;Z$19&amp;", "&amp;$A38&amp;", "&amp;$B38&amp;", "&amp;$C38&amp;"; ","")</f>
        <v/>
      </c>
      <c r="AA38" s="1890" t="str">
        <f>IF(AND($F$8=1,'6a_Health_full_time'!F31&lt;&gt;"",ABS('6a_Health_full_time'!F31)-INT(ABS('6a_Health_full_time'!F31))&lt;&gt;0,ABS('6a_Health_full_time'!F31)-INT(ABS('6a_Health_full_time'!F31))&lt;&gt;0.5),AA$18&amp;", "&amp;AA$19&amp;", "&amp;$A38&amp;", "&amp;$B38&amp;", "&amp;$C38&amp;"; ","")</f>
        <v/>
      </c>
      <c r="AB38" s="1885" t="str">
        <f>IF(AND($F$8=1,'6a_Health_full_time'!G31&lt;&gt;"",ABS('6a_Health_full_time'!G31)-INT(ABS('6a_Health_full_time'!G31))&lt;&gt;0,ABS('6a_Health_full_time'!G31)-INT(ABS('6a_Health_full_time'!G31))&lt;&gt;0.5),AB$18&amp;", "&amp;AB$19&amp;", "&amp;$A38&amp;", "&amp;$B38&amp;", "&amp;$C38&amp;"; ","")</f>
        <v/>
      </c>
      <c r="AC38" s="1890" t="str">
        <f>IF(AND($F$8=1,'6a_Health_full_time'!H31&lt;&gt;"",ABS('6a_Health_full_time'!H31)-INT(ABS('6a_Health_full_time'!H31))&lt;&gt;0,ABS('6a_Health_full_time'!H31)-INT(ABS('6a_Health_full_time'!H31))&lt;&gt;0.5),AC$18&amp;", "&amp;AC$19&amp;", "&amp;$A38&amp;", "&amp;$B38&amp;", "&amp;$C38&amp;"; ","")</f>
        <v/>
      </c>
      <c r="AD38" s="1890" t="str">
        <f>IF(AND($F$8=1,'6a_Health_full_time'!I31&lt;&gt;"",ABS('6a_Health_full_time'!I31)-INT(ABS('6a_Health_full_time'!I31))&lt;&gt;0,ABS('6a_Health_full_time'!I31)-INT(ABS('6a_Health_full_time'!I31))&lt;&gt;0.5),AD$18&amp;", "&amp;AD$19&amp;", "&amp;$A38&amp;", "&amp;$B38&amp;", "&amp;$C38&amp;"; ","")</f>
        <v/>
      </c>
      <c r="AF38" s="118"/>
      <c r="AH38" t="s">
        <v>203</v>
      </c>
      <c r="AI38" t="s">
        <v>27892</v>
      </c>
      <c r="AJ38" t="s">
        <v>27889</v>
      </c>
      <c r="AK38" s="109">
        <f>SUM('1_Full_time'!G18:G19)</f>
        <v>0</v>
      </c>
      <c r="AL38" s="108">
        <f>SUM('1_Full_time'!H18:H19)</f>
        <v>0</v>
      </c>
      <c r="AM38" s="116"/>
      <c r="AN38" s="109">
        <f>SUM('1_Full_time'!J18:J19)</f>
        <v>0</v>
      </c>
      <c r="AO38" s="108">
        <f>SUM('1_Full_time'!K18:K19)</f>
        <v>0</v>
      </c>
      <c r="AP38" s="116"/>
      <c r="AR38" s="118"/>
      <c r="AU38" s="1886" t="str">
        <f>IF(AND($I$8=1,ABS(SUM('6a_Health_full_time'!D31:E31))&lt;ABS('6a_Health_full_time'!F31)),AU$18&amp;", "&amp;$A38&amp;", "&amp;$B38&amp;", "&amp;$C38&amp;"; ","")</f>
        <v/>
      </c>
      <c r="AX38" s="1896" t="str">
        <f>IF(AND($I$8=1,ABS(SUM('6a_Health_full_time'!G31:H31))&lt;ABS('6a_Health_full_time'!I31)),AX$18&amp;", "&amp;$A38&amp;", "&amp;$B38&amp;", "&amp;$C38&amp;"; ","")</f>
        <v/>
      </c>
      <c r="AY38" s="17"/>
      <c r="BH38" s="130"/>
      <c r="BI38" s="1879" t="str">
        <f>IF(AND($P$8=1,$B38="Long length",'6a_Health_full_time'!D31&lt;&gt;0),BI$18&amp;", "&amp;BI$19&amp;", "&amp;$A38&amp;", "&amp;$B38&amp;", "&amp;$C38&amp;"; ","")</f>
        <v/>
      </c>
      <c r="BJ38" s="1653" t="str">
        <f>IF(AND($P$8=1,$B38="Long length",'6a_Health_full_time'!E31&lt;&gt;0),BJ$18&amp;", "&amp;BJ$19&amp;", "&amp;$A38&amp;", "&amp;$B38&amp;", "&amp;$C38&amp;"; ","")</f>
        <v/>
      </c>
      <c r="BK38" s="1653" t="str">
        <f>IF(AND($P$8=1,$B38="Long length",'6a_Health_full_time'!F31&lt;&gt;0),BK$18&amp;", "&amp;BK$19&amp;", "&amp;$A38&amp;", "&amp;$B38&amp;", "&amp;$C38&amp;"; ","")</f>
        <v/>
      </c>
      <c r="BL38" s="1879" t="str">
        <f>IF(AND($P$8=1,$B38="Long length",'6a_Health_full_time'!G31&lt;&gt;0),BL$18&amp;", "&amp;BL$19&amp;", "&amp;$A38&amp;", "&amp;$B38&amp;", "&amp;$C38&amp;"; ","")</f>
        <v/>
      </c>
      <c r="BM38" s="1653" t="str">
        <f>IF(AND($P$8=1,$B38="Long length",'6a_Health_full_time'!H31&lt;&gt;0),BM$18&amp;", "&amp;BM$19&amp;", "&amp;$A38&amp;", "&amp;$B38&amp;", "&amp;$C38&amp;"; ","")</f>
        <v/>
      </c>
      <c r="BN38" s="1653" t="str">
        <f>IF(AND($P$8=1,$B38="Long length",'6a_Health_full_time'!I31&lt;&gt;0),BN$18&amp;", "&amp;BN$19&amp;", "&amp;$A38&amp;", "&amp;$B38&amp;", "&amp;$C38&amp;"; ","")</f>
        <v/>
      </c>
      <c r="BO38" s="131"/>
    </row>
    <row r="39" spans="1:67" x14ac:dyDescent="0.35">
      <c r="A39" t="s">
        <v>27897</v>
      </c>
      <c r="B39" t="s">
        <v>27888</v>
      </c>
      <c r="C39" t="s">
        <v>27891</v>
      </c>
      <c r="E39" s="118"/>
      <c r="G39" s="333" t="str">
        <f>IF(AND($D$8=1,'6a_Health_full_time'!D32&lt;0),G$18&amp;", "&amp;G$19&amp;", "&amp;$A39&amp;", "&amp;$B39&amp;", "&amp;$C39&amp;"; ","")</f>
        <v/>
      </c>
      <c r="H39" s="108" t="str">
        <f>IF(AND($D$8=1,'6a_Health_full_time'!E32&lt;0),H$18&amp;", "&amp;H$19&amp;", "&amp;$A39&amp;", "&amp;$B39&amp;", "&amp;$C39&amp;"; ","")</f>
        <v/>
      </c>
      <c r="I39" s="108" t="str">
        <f>IF(AND($D$8=1,'6a_Health_full_time'!F32&lt;0),I$18&amp;", "&amp;I$19&amp;", "&amp;$A39&amp;", "&amp;$B39&amp;", "&amp;$C39&amp;"; ","")</f>
        <v/>
      </c>
      <c r="J39" s="333" t="str">
        <f>IF(AND($D$8=1,'6a_Health_full_time'!G32&lt;0),J$18&amp;", "&amp;J$19&amp;", "&amp;$A39&amp;", "&amp;$B39&amp;", "&amp;$C39&amp;"; ","")</f>
        <v/>
      </c>
      <c r="K39" s="108" t="str">
        <f>IF(AND($D$8=1,'6a_Health_full_time'!H32&lt;0),K$18&amp;", "&amp;K$19&amp;", "&amp;$A39&amp;", "&amp;$B39&amp;", "&amp;$C39&amp;"; ","")</f>
        <v/>
      </c>
      <c r="L39" s="210" t="str">
        <f>IF(AND($D$8=1,'6a_Health_full_time'!I32&lt;0),L$18&amp;", "&amp;L$19&amp;", "&amp;$A39&amp;", "&amp;$B39&amp;", "&amp;$C39&amp;"; ","")</f>
        <v/>
      </c>
      <c r="N39" s="118"/>
      <c r="P39" s="338"/>
      <c r="Q39" s="112"/>
      <c r="R39" s="112"/>
      <c r="S39" s="338"/>
      <c r="T39" s="112"/>
      <c r="U39" s="481"/>
      <c r="W39" s="118"/>
      <c r="Y39" s="109" t="str">
        <f>IF(AND($F$8=1,'6a_Health_full_time'!D32&lt;&gt;"",ABS('6a_Health_full_time'!D32)-INT(ABS('6a_Health_full_time'!D32))&lt;&gt;0,ABS('6a_Health_full_time'!D32)-INT(ABS('6a_Health_full_time'!D32))&lt;&gt;0.5),Y$18&amp;", "&amp;Y$19&amp;", "&amp;$A39&amp;", "&amp;$B39&amp;", "&amp;$C39&amp;"; ","")</f>
        <v/>
      </c>
      <c r="Z39" s="210" t="str">
        <f>IF(AND($F$8=1,'6a_Health_full_time'!E32&lt;&gt;"",ABS('6a_Health_full_time'!E32)-INT(ABS('6a_Health_full_time'!E32))&lt;&gt;0,ABS('6a_Health_full_time'!E32)-INT(ABS('6a_Health_full_time'!E32))&lt;&gt;0.5),Z$18&amp;", "&amp;Z$19&amp;", "&amp;$A39&amp;", "&amp;$B39&amp;", "&amp;$C39&amp;"; ","")</f>
        <v/>
      </c>
      <c r="AA39" s="210" t="str">
        <f>IF(AND($F$8=1,'6a_Health_full_time'!F32&lt;&gt;"",ABS('6a_Health_full_time'!F32)-INT(ABS('6a_Health_full_time'!F32))&lt;&gt;0,ABS('6a_Health_full_time'!F32)-INT(ABS('6a_Health_full_time'!F32))&lt;&gt;0.5),AA$18&amp;", "&amp;AA$19&amp;", "&amp;$A39&amp;", "&amp;$B39&amp;", "&amp;$C39&amp;"; ","")</f>
        <v/>
      </c>
      <c r="AB39" s="109" t="str">
        <f>IF(AND($F$8=1,'6a_Health_full_time'!G32&lt;&gt;"",ABS('6a_Health_full_time'!G32)-INT(ABS('6a_Health_full_time'!G32))&lt;&gt;0,ABS('6a_Health_full_time'!G32)-INT(ABS('6a_Health_full_time'!G32))&lt;&gt;0.5),AB$18&amp;", "&amp;AB$19&amp;", "&amp;$A39&amp;", "&amp;$B39&amp;", "&amp;$C39&amp;"; ","")</f>
        <v/>
      </c>
      <c r="AC39" s="210" t="str">
        <f>IF(AND($F$8=1,'6a_Health_full_time'!H32&lt;&gt;"",ABS('6a_Health_full_time'!H32)-INT(ABS('6a_Health_full_time'!H32))&lt;&gt;0,ABS('6a_Health_full_time'!H32)-INT(ABS('6a_Health_full_time'!H32))&lt;&gt;0.5),AC$18&amp;", "&amp;AC$19&amp;", "&amp;$A39&amp;", "&amp;$B39&amp;", "&amp;$C39&amp;"; ","")</f>
        <v/>
      </c>
      <c r="AD39" s="210" t="str">
        <f>IF(AND($F$8=1,'6a_Health_full_time'!I32&lt;&gt;"",ABS('6a_Health_full_time'!I32)-INT(ABS('6a_Health_full_time'!I32))&lt;&gt;0,ABS('6a_Health_full_time'!I32)-INT(ABS('6a_Health_full_time'!I32))&lt;&gt;0.5),AD$18&amp;", "&amp;AD$19&amp;", "&amp;$A39&amp;", "&amp;$B39&amp;", "&amp;$C39&amp;"; ","")</f>
        <v/>
      </c>
      <c r="AF39" s="118"/>
      <c r="AH39" t="s">
        <v>203</v>
      </c>
      <c r="AI39" t="s">
        <v>27892</v>
      </c>
      <c r="AJ39" t="s">
        <v>27891</v>
      </c>
      <c r="AK39" s="113"/>
      <c r="AL39" s="112"/>
      <c r="AM39" s="116"/>
      <c r="AN39" s="113"/>
      <c r="AO39" s="112"/>
      <c r="AP39" s="116"/>
      <c r="AR39" s="118"/>
      <c r="AU39" s="562" t="str">
        <f>IF(AND($I$8=1,ABS(SUM('6a_Health_full_time'!D32:E32))&lt;ABS('6a_Health_full_time'!F32)),AU$18&amp;", "&amp;$A39&amp;", "&amp;$B39&amp;", "&amp;$C39&amp;"; ","")</f>
        <v/>
      </c>
      <c r="AX39" s="484" t="str">
        <f>IF(AND($I$8=1,ABS(SUM('6a_Health_full_time'!G32:H32))&lt;ABS('6a_Health_full_time'!I32)),AX$18&amp;", "&amp;$A39&amp;", "&amp;$B39&amp;", "&amp;$C39&amp;"; ","")</f>
        <v/>
      </c>
      <c r="AY39" s="17"/>
      <c r="BH39" s="130"/>
      <c r="BI39" s="333" t="str">
        <f>IF(AND($P$8=1,$B39="Long length",'6a_Health_full_time'!D32&lt;&gt;0),BI$18&amp;", "&amp;BI$19&amp;", "&amp;$A39&amp;", "&amp;$B39&amp;", "&amp;$C39&amp;"; ","")</f>
        <v/>
      </c>
      <c r="BJ39" s="335" t="str">
        <f>IF(AND($P$8=1,$B39="Long length",'6a_Health_full_time'!E32&lt;&gt;0),BJ$18&amp;", "&amp;BJ$19&amp;", "&amp;$A39&amp;", "&amp;$B39&amp;", "&amp;$C39&amp;"; ","")</f>
        <v/>
      </c>
      <c r="BK39" s="335" t="str">
        <f>IF(AND($P$8=1,$B39="Long length",'6a_Health_full_time'!F32&lt;&gt;0),BK$18&amp;", "&amp;BK$19&amp;", "&amp;$A39&amp;", "&amp;$B39&amp;", "&amp;$C39&amp;"; ","")</f>
        <v/>
      </c>
      <c r="BL39" s="333" t="str">
        <f>IF(AND($P$8=1,$B39="Long length",'6a_Health_full_time'!G32&lt;&gt;0),BL$18&amp;", "&amp;BL$19&amp;", "&amp;$A39&amp;", "&amp;$B39&amp;", "&amp;$C39&amp;"; ","")</f>
        <v/>
      </c>
      <c r="BM39" s="335" t="str">
        <f>IF(AND($P$8=1,$B39="Long length",'6a_Health_full_time'!H32&lt;&gt;0),BM$18&amp;", "&amp;BM$19&amp;", "&amp;$A39&amp;", "&amp;$B39&amp;", "&amp;$C39&amp;"; ","")</f>
        <v/>
      </c>
      <c r="BN39" s="335" t="str">
        <f>IF(AND($P$8=1,$B39="Long length",'6a_Health_full_time'!I32&lt;&gt;0),BN$18&amp;", "&amp;BN$19&amp;", "&amp;$A39&amp;", "&amp;$B39&amp;", "&amp;$C39&amp;"; ","")</f>
        <v/>
      </c>
      <c r="BO39" s="131"/>
    </row>
    <row r="40" spans="1:67" x14ac:dyDescent="0.35">
      <c r="A40" t="s">
        <v>27897</v>
      </c>
      <c r="B40" t="s">
        <v>27892</v>
      </c>
      <c r="C40" t="s">
        <v>27889</v>
      </c>
      <c r="E40" s="118"/>
      <c r="G40" s="333" t="str">
        <f>IF(AND($D$8=1,'6a_Health_full_time'!D33&lt;0),G$18&amp;", "&amp;G$19&amp;", "&amp;$A40&amp;", "&amp;$B40&amp;", "&amp;$C40&amp;"; ","")</f>
        <v/>
      </c>
      <c r="H40" s="108" t="str">
        <f>IF(AND($D$8=1,'6a_Health_full_time'!E33&lt;0),H$18&amp;", "&amp;H$19&amp;", "&amp;$A40&amp;", "&amp;$B40&amp;", "&amp;$C40&amp;"; ","")</f>
        <v/>
      </c>
      <c r="I40" s="108" t="str">
        <f>IF(AND($D$8=1,'6a_Health_full_time'!F33&lt;0),I$18&amp;", "&amp;I$19&amp;", "&amp;$A40&amp;", "&amp;$B40&amp;", "&amp;$C40&amp;"; ","")</f>
        <v/>
      </c>
      <c r="J40" s="333" t="str">
        <f>IF(AND($D$8=1,'6a_Health_full_time'!G33&lt;0),J$18&amp;", "&amp;J$19&amp;", "&amp;$A40&amp;", "&amp;$B40&amp;", "&amp;$C40&amp;"; ","")</f>
        <v/>
      </c>
      <c r="K40" s="108" t="str">
        <f>IF(AND($D$8=1,'6a_Health_full_time'!H33&lt;0),K$18&amp;", "&amp;K$19&amp;", "&amp;$A40&amp;", "&amp;$B40&amp;", "&amp;$C40&amp;"; ","")</f>
        <v/>
      </c>
      <c r="L40" s="210" t="str">
        <f>IF(AND($D$8=1,'6a_Health_full_time'!I33&lt;0),L$18&amp;", "&amp;L$19&amp;", "&amp;$A40&amp;", "&amp;$B40&amp;", "&amp;$C40&amp;"; ","")</f>
        <v/>
      </c>
      <c r="N40" s="118"/>
      <c r="P40" s="338"/>
      <c r="Q40" s="112"/>
      <c r="R40" s="112"/>
      <c r="S40" s="338"/>
      <c r="T40" s="112"/>
      <c r="U40" s="481"/>
      <c r="W40" s="118"/>
      <c r="Y40" s="109" t="str">
        <f>IF(AND($F$8=1,'6a_Health_full_time'!D33&lt;&gt;"",ABS('6a_Health_full_time'!D33)-INT(ABS('6a_Health_full_time'!D33))&lt;&gt;0,ABS('6a_Health_full_time'!D33)-INT(ABS('6a_Health_full_time'!D33))&lt;&gt;0.5),Y$18&amp;", "&amp;Y$19&amp;", "&amp;$A40&amp;", "&amp;$B40&amp;", "&amp;$C40&amp;"; ","")</f>
        <v/>
      </c>
      <c r="Z40" s="210" t="str">
        <f>IF(AND($F$8=1,'6a_Health_full_time'!E33&lt;&gt;"",ABS('6a_Health_full_time'!E33)-INT(ABS('6a_Health_full_time'!E33))&lt;&gt;0,ABS('6a_Health_full_time'!E33)-INT(ABS('6a_Health_full_time'!E33))&lt;&gt;0.5),Z$18&amp;", "&amp;Z$19&amp;", "&amp;$A40&amp;", "&amp;$B40&amp;", "&amp;$C40&amp;"; ","")</f>
        <v/>
      </c>
      <c r="AA40" s="210" t="str">
        <f>IF(AND($F$8=1,'6a_Health_full_time'!F33&lt;&gt;"",ABS('6a_Health_full_time'!F33)-INT(ABS('6a_Health_full_time'!F33))&lt;&gt;0,ABS('6a_Health_full_time'!F33)-INT(ABS('6a_Health_full_time'!F33))&lt;&gt;0.5),AA$18&amp;", "&amp;AA$19&amp;", "&amp;$A40&amp;", "&amp;$B40&amp;", "&amp;$C40&amp;"; ","")</f>
        <v/>
      </c>
      <c r="AB40" s="109" t="str">
        <f>IF(AND($F$8=1,'6a_Health_full_time'!G33&lt;&gt;"",ABS('6a_Health_full_time'!G33)-INT(ABS('6a_Health_full_time'!G33))&lt;&gt;0,ABS('6a_Health_full_time'!G33)-INT(ABS('6a_Health_full_time'!G33))&lt;&gt;0.5),AB$18&amp;", "&amp;AB$19&amp;", "&amp;$A40&amp;", "&amp;$B40&amp;", "&amp;$C40&amp;"; ","")</f>
        <v/>
      </c>
      <c r="AC40" s="210" t="str">
        <f>IF(AND($F$8=1,'6a_Health_full_time'!H33&lt;&gt;"",ABS('6a_Health_full_time'!H33)-INT(ABS('6a_Health_full_time'!H33))&lt;&gt;0,ABS('6a_Health_full_time'!H33)-INT(ABS('6a_Health_full_time'!H33))&lt;&gt;0.5),AC$18&amp;", "&amp;AC$19&amp;", "&amp;$A40&amp;", "&amp;$B40&amp;", "&amp;$C40&amp;"; ","")</f>
        <v/>
      </c>
      <c r="AD40" s="210" t="str">
        <f>IF(AND($F$8=1,'6a_Health_full_time'!I33&lt;&gt;"",ABS('6a_Health_full_time'!I33)-INT(ABS('6a_Health_full_time'!I33))&lt;&gt;0,ABS('6a_Health_full_time'!I33)-INT(ABS('6a_Health_full_time'!I33))&lt;&gt;0.5),AD$18&amp;", "&amp;AD$19&amp;", "&amp;$A40&amp;", "&amp;$B40&amp;", "&amp;$C40&amp;"; ","")</f>
        <v/>
      </c>
      <c r="AF40" s="118"/>
      <c r="AH40" t="s">
        <v>225</v>
      </c>
      <c r="AI40" t="s">
        <v>27888</v>
      </c>
      <c r="AJ40" t="s">
        <v>27889</v>
      </c>
      <c r="AK40" s="1885">
        <f>SUM('1_Full_time'!G24:G25)</f>
        <v>0</v>
      </c>
      <c r="AL40" s="1653">
        <f>SUM('1_Full_time'!H24:H25)</f>
        <v>0</v>
      </c>
      <c r="AM40" s="1655"/>
      <c r="AN40" s="1885">
        <f>SUM('1_Full_time'!J24:J25)</f>
        <v>0</v>
      </c>
      <c r="AO40" s="1653">
        <f>SUM('1_Full_time'!K24:K25)</f>
        <v>0</v>
      </c>
      <c r="AP40" s="2190"/>
      <c r="AR40" s="118"/>
      <c r="AU40" s="562" t="str">
        <f>IF(AND($I$8=1,ABS(SUM('6a_Health_full_time'!D33:E33))&lt;ABS('6a_Health_full_time'!F33)),AU$18&amp;", "&amp;$A40&amp;", "&amp;$B40&amp;", "&amp;$C40&amp;"; ","")</f>
        <v/>
      </c>
      <c r="AX40" s="484" t="str">
        <f>IF(AND($I$8=1,ABS(SUM('6a_Health_full_time'!G33:H33))&lt;ABS('6a_Health_full_time'!I33)),AX$18&amp;", "&amp;$A40&amp;", "&amp;$B40&amp;", "&amp;$C40&amp;"; ","")</f>
        <v/>
      </c>
      <c r="AY40" s="17"/>
      <c r="BH40" s="130"/>
      <c r="BI40" s="333" t="str">
        <f>IF(AND($P$8=1,$B40="Long length",'6a_Health_full_time'!D33&lt;&gt;0),BI$18&amp;", "&amp;BI$19&amp;", "&amp;$A40&amp;", "&amp;$B40&amp;", "&amp;$C40&amp;"; ","")</f>
        <v/>
      </c>
      <c r="BJ40" s="108" t="str">
        <f>IF(AND($P$8=1,$B40="Long length",'6a_Health_full_time'!E33&lt;&gt;0),BJ$18&amp;", "&amp;BJ$19&amp;", "&amp;$A40&amp;", "&amp;$B40&amp;", "&amp;$C40&amp;"; ","")</f>
        <v/>
      </c>
      <c r="BK40" s="108" t="str">
        <f>IF(AND($P$8=1,$B40="Long length",'6a_Health_full_time'!F33&lt;&gt;0),BK$18&amp;", "&amp;BK$19&amp;", "&amp;$A40&amp;", "&amp;$B40&amp;", "&amp;$C40&amp;"; ","")</f>
        <v/>
      </c>
      <c r="BL40" s="333" t="str">
        <f>IF(AND($P$8=1,$B40="Long length",'6a_Health_full_time'!G33&lt;&gt;0),BL$18&amp;", "&amp;BL$19&amp;", "&amp;$A40&amp;", "&amp;$B40&amp;", "&amp;$C40&amp;"; ","")</f>
        <v/>
      </c>
      <c r="BM40" s="108" t="str">
        <f>IF(AND($P$8=1,$B40="Long length",'6a_Health_full_time'!H33&lt;&gt;0),BM$18&amp;", "&amp;BM$19&amp;", "&amp;$A40&amp;", "&amp;$B40&amp;", "&amp;$C40&amp;"; ","")</f>
        <v/>
      </c>
      <c r="BN40" s="108" t="str">
        <f>IF(AND($P$8=1,$B40="Long length",'6a_Health_full_time'!I33&lt;&gt;0),BN$18&amp;", "&amp;BN$19&amp;", "&amp;$A40&amp;", "&amp;$B40&amp;", "&amp;$C40&amp;"; ","")</f>
        <v/>
      </c>
      <c r="BO40" s="131"/>
    </row>
    <row r="41" spans="1:67" x14ac:dyDescent="0.35">
      <c r="A41" t="s">
        <v>27897</v>
      </c>
      <c r="B41" t="s">
        <v>27892</v>
      </c>
      <c r="C41" t="s">
        <v>27891</v>
      </c>
      <c r="E41" s="118"/>
      <c r="G41" s="333" t="str">
        <f>IF(AND($D$8=1,'6a_Health_full_time'!D34&lt;0),G$18&amp;", "&amp;G$19&amp;", "&amp;$A41&amp;", "&amp;$B41&amp;", "&amp;$C41&amp;"; ","")</f>
        <v/>
      </c>
      <c r="H41" s="335" t="str">
        <f>IF(AND($D$8=1,'6a_Health_full_time'!E34&lt;0),H$18&amp;", "&amp;H$19&amp;", "&amp;$A41&amp;", "&amp;$B41&amp;", "&amp;$C41&amp;"; ","")</f>
        <v/>
      </c>
      <c r="I41" s="335" t="str">
        <f>IF(AND($D$8=1,'6a_Health_full_time'!F34&lt;0),I$18&amp;", "&amp;I$19&amp;", "&amp;$A41&amp;", "&amp;$B41&amp;", "&amp;$C41&amp;"; ","")</f>
        <v/>
      </c>
      <c r="J41" s="333" t="str">
        <f>IF(AND($D$8=1,'6a_Health_full_time'!G34&lt;0),J$18&amp;", "&amp;J$19&amp;", "&amp;$A41&amp;", "&amp;$B41&amp;", "&amp;$C41&amp;"; ","")</f>
        <v/>
      </c>
      <c r="K41" s="335" t="str">
        <f>IF(AND($D$8=1,'6a_Health_full_time'!H34&lt;0),K$18&amp;", "&amp;K$19&amp;", "&amp;$A41&amp;", "&amp;$B41&amp;", "&amp;$C41&amp;"; ","")</f>
        <v/>
      </c>
      <c r="L41" s="2192" t="str">
        <f>IF(AND($D$8=1,'6a_Health_full_time'!I34&lt;0),L$18&amp;", "&amp;L$19&amp;", "&amp;$A41&amp;", "&amp;$B41&amp;", "&amp;$C41&amp;"; ","")</f>
        <v/>
      </c>
      <c r="N41" s="118"/>
      <c r="P41" s="338"/>
      <c r="Q41" s="112"/>
      <c r="R41" s="112"/>
      <c r="S41" s="338"/>
      <c r="T41" s="112"/>
      <c r="U41" s="481"/>
      <c r="W41" s="118"/>
      <c r="Y41" s="109" t="str">
        <f>IF(AND($F$8=1,'6a_Health_full_time'!D34&lt;&gt;"",ABS('6a_Health_full_time'!D34)-INT(ABS('6a_Health_full_time'!D34))&lt;&gt;0,ABS('6a_Health_full_time'!D34)-INT(ABS('6a_Health_full_time'!D34))&lt;&gt;0.5),Y$18&amp;", "&amp;Y$19&amp;", "&amp;$A41&amp;", "&amp;$B41&amp;", "&amp;$C41&amp;"; ","")</f>
        <v/>
      </c>
      <c r="Z41" s="210" t="str">
        <f>IF(AND($F$8=1,'6a_Health_full_time'!E34&lt;&gt;"",ABS('6a_Health_full_time'!E34)-INT(ABS('6a_Health_full_time'!E34))&lt;&gt;0,ABS('6a_Health_full_time'!E34)-INT(ABS('6a_Health_full_time'!E34))&lt;&gt;0.5),Z$18&amp;", "&amp;Z$19&amp;", "&amp;$A41&amp;", "&amp;$B41&amp;", "&amp;$C41&amp;"; ","")</f>
        <v/>
      </c>
      <c r="AA41" s="210" t="str">
        <f>IF(AND($F$8=1,'6a_Health_full_time'!F34&lt;&gt;"",ABS('6a_Health_full_time'!F34)-INT(ABS('6a_Health_full_time'!F34))&lt;&gt;0,ABS('6a_Health_full_time'!F34)-INT(ABS('6a_Health_full_time'!F34))&lt;&gt;0.5),AA$18&amp;", "&amp;AA$19&amp;", "&amp;$A41&amp;", "&amp;$B41&amp;", "&amp;$C41&amp;"; ","")</f>
        <v/>
      </c>
      <c r="AB41" s="109" t="str">
        <f>IF(AND($F$8=1,'6a_Health_full_time'!G34&lt;&gt;"",ABS('6a_Health_full_time'!G34)-INT(ABS('6a_Health_full_time'!G34))&lt;&gt;0,ABS('6a_Health_full_time'!G34)-INT(ABS('6a_Health_full_time'!G34))&lt;&gt;0.5),AB$18&amp;", "&amp;AB$19&amp;", "&amp;$A41&amp;", "&amp;$B41&amp;", "&amp;$C41&amp;"; ","")</f>
        <v/>
      </c>
      <c r="AC41" s="210" t="str">
        <f>IF(AND($F$8=1,'6a_Health_full_time'!H34&lt;&gt;"",ABS('6a_Health_full_time'!H34)-INT(ABS('6a_Health_full_time'!H34))&lt;&gt;0,ABS('6a_Health_full_time'!H34)-INT(ABS('6a_Health_full_time'!H34))&lt;&gt;0.5),AC$18&amp;", "&amp;AC$19&amp;", "&amp;$A41&amp;", "&amp;$B41&amp;", "&amp;$C41&amp;"; ","")</f>
        <v/>
      </c>
      <c r="AD41" s="210" t="str">
        <f>IF(AND($F$8=1,'6a_Health_full_time'!I34&lt;&gt;"",ABS('6a_Health_full_time'!I34)-INT(ABS('6a_Health_full_time'!I34))&lt;&gt;0,ABS('6a_Health_full_time'!I34)-INT(ABS('6a_Health_full_time'!I34))&lt;&gt;0.5),AD$18&amp;", "&amp;AD$19&amp;", "&amp;$A41&amp;", "&amp;$B41&amp;", "&amp;$C41&amp;"; ","")</f>
        <v/>
      </c>
      <c r="AF41" s="118"/>
      <c r="AH41" t="s">
        <v>225</v>
      </c>
      <c r="AI41" t="s">
        <v>27888</v>
      </c>
      <c r="AJ41" t="s">
        <v>27891</v>
      </c>
      <c r="AK41" s="109">
        <f>'1_Full_time'!G26</f>
        <v>0</v>
      </c>
      <c r="AL41" s="108">
        <f>'1_Full_time'!H26</f>
        <v>0</v>
      </c>
      <c r="AM41" s="116"/>
      <c r="AN41" s="109">
        <f>'1_Full_time'!J26</f>
        <v>0</v>
      </c>
      <c r="AO41" s="108">
        <f>'1_Full_time'!K26</f>
        <v>0</v>
      </c>
      <c r="AP41" s="116"/>
      <c r="AR41" s="118"/>
      <c r="AU41" s="562" t="str">
        <f>IF(AND($I$8=1,ABS(SUM('6a_Health_full_time'!D34:E34))&lt;ABS('6a_Health_full_time'!F34)),AU$18&amp;", "&amp;$A41&amp;", "&amp;$B41&amp;", "&amp;$C41&amp;"; ","")</f>
        <v/>
      </c>
      <c r="AX41" s="484" t="str">
        <f>IF(AND($I$8=1,ABS(SUM('6a_Health_full_time'!G34:H34))&lt;ABS('6a_Health_full_time'!I34)),AX$18&amp;", "&amp;$A41&amp;", "&amp;$B41&amp;", "&amp;$C41&amp;"; ","")</f>
        <v/>
      </c>
      <c r="AY41" s="17"/>
      <c r="BH41" s="130"/>
      <c r="BI41" s="333" t="str">
        <f>IF(AND($P$8=1,$B41="Long length",'6a_Health_full_time'!D34&lt;&gt;0),BI$18&amp;", "&amp;BI$19&amp;", "&amp;$A41&amp;", "&amp;$B41&amp;", "&amp;$C41&amp;"; ","")</f>
        <v/>
      </c>
      <c r="BJ41" s="108" t="str">
        <f>IF(AND($P$8=1,$B41="Long length",'6a_Health_full_time'!E34&lt;&gt;0),BJ$18&amp;", "&amp;BJ$19&amp;", "&amp;$A41&amp;", "&amp;$B41&amp;", "&amp;$C41&amp;"; ","")</f>
        <v/>
      </c>
      <c r="BK41" s="108" t="str">
        <f>IF(AND($P$8=1,$B41="Long length",'6a_Health_full_time'!F34&lt;&gt;0),BK$18&amp;", "&amp;BK$19&amp;", "&amp;$A41&amp;", "&amp;$B41&amp;", "&amp;$C41&amp;"; ","")</f>
        <v/>
      </c>
      <c r="BL41" s="333" t="str">
        <f>IF(AND($P$8=1,$B41="Long length",'6a_Health_full_time'!G34&lt;&gt;0),BL$18&amp;", "&amp;BL$19&amp;", "&amp;$A41&amp;", "&amp;$B41&amp;", "&amp;$C41&amp;"; ","")</f>
        <v/>
      </c>
      <c r="BM41" s="108" t="str">
        <f>IF(AND($P$8=1,$B41="Long length",'6a_Health_full_time'!H34&lt;&gt;0),BM$18&amp;", "&amp;BM$19&amp;", "&amp;$A41&amp;", "&amp;$B41&amp;", "&amp;$C41&amp;"; ","")</f>
        <v/>
      </c>
      <c r="BN41" s="108" t="str">
        <f>IF(AND($P$8=1,$B41="Long length",'6a_Health_full_time'!I34&lt;&gt;0),BN$18&amp;", "&amp;BN$19&amp;", "&amp;$A41&amp;", "&amp;$B41&amp;", "&amp;$C41&amp;"; ","")</f>
        <v/>
      </c>
      <c r="BO41" s="131"/>
    </row>
    <row r="42" spans="1:67" x14ac:dyDescent="0.35">
      <c r="A42" t="s">
        <v>27898</v>
      </c>
      <c r="B42" t="s">
        <v>27888</v>
      </c>
      <c r="C42" t="s">
        <v>27889</v>
      </c>
      <c r="E42" s="118"/>
      <c r="G42" s="1879" t="str">
        <f>IF(AND($D$8=1,'6a_Health_full_time'!D35&lt;0),G$18&amp;", "&amp;G$19&amp;", "&amp;$A42&amp;", "&amp;$B42&amp;", "&amp;$C42&amp;"; ","")</f>
        <v/>
      </c>
      <c r="H42" s="1653" t="str">
        <f>IF(AND($D$8=1,'6a_Health_full_time'!E35&lt;0),H$18&amp;", "&amp;H$19&amp;", "&amp;$A42&amp;", "&amp;$B42&amp;", "&amp;$C42&amp;"; ","")</f>
        <v/>
      </c>
      <c r="I42" s="1653" t="str">
        <f>IF(AND($D$8=1,'6a_Health_full_time'!F35&lt;0),I$18&amp;", "&amp;I$19&amp;", "&amp;$A42&amp;", "&amp;$B42&amp;", "&amp;$C42&amp;"; ","")</f>
        <v/>
      </c>
      <c r="J42" s="1879" t="str">
        <f>IF(AND($D$8=1,'6a_Health_full_time'!G35&lt;0),J$18&amp;", "&amp;J$19&amp;", "&amp;$A42&amp;", "&amp;$B42&amp;", "&amp;$C42&amp;"; ","")</f>
        <v/>
      </c>
      <c r="K42" s="1653" t="str">
        <f>IF(AND($D$8=1,'6a_Health_full_time'!H35&lt;0),K$18&amp;", "&amp;K$19&amp;", "&amp;$A42&amp;", "&amp;$B42&amp;", "&amp;$C42&amp;"; ","")</f>
        <v/>
      </c>
      <c r="L42" s="2191" t="str">
        <f>IF(AND($D$8=1,'6a_Health_full_time'!I35&lt;0),L$18&amp;", "&amp;L$19&amp;", "&amp;$A42&amp;", "&amp;$B42&amp;", "&amp;$C42&amp;"; ","")</f>
        <v/>
      </c>
      <c r="N42" s="118"/>
      <c r="P42" s="1880"/>
      <c r="Q42" s="1654"/>
      <c r="R42" s="1654"/>
      <c r="S42" s="1880"/>
      <c r="T42" s="1654"/>
      <c r="U42" s="2188"/>
      <c r="W42" s="118"/>
      <c r="Y42" s="1891" t="str">
        <f>IF(AND($F$8=1,'6a_Health_full_time'!D35&lt;&gt;"",ABS('6a_Health_full_time'!D35)-INT(ABS('6a_Health_full_time'!D35))&lt;&gt;0,ABS('6a_Health_full_time'!D35)-INT(ABS('6a_Health_full_time'!D35))&lt;&gt;0.5),Y$18&amp;", "&amp;Y$19&amp;", "&amp;$A42&amp;", "&amp;$B42&amp;", "&amp;$C42&amp;"; ","")</f>
        <v/>
      </c>
      <c r="Z42" s="1890" t="str">
        <f>IF(AND($F$8=1,'6a_Health_full_time'!E35&lt;&gt;"",ABS('6a_Health_full_time'!E35)-INT(ABS('6a_Health_full_time'!E35))&lt;&gt;0,ABS('6a_Health_full_time'!E35)-INT(ABS('6a_Health_full_time'!E35))&lt;&gt;0.5),Z$18&amp;", "&amp;Z$19&amp;", "&amp;$A42&amp;", "&amp;$B42&amp;", "&amp;$C42&amp;"; ","")</f>
        <v/>
      </c>
      <c r="AA42" s="1890" t="str">
        <f>IF(AND($F$8=1,'6a_Health_full_time'!F35&lt;&gt;"",ABS('6a_Health_full_time'!F35)-INT(ABS('6a_Health_full_time'!F35))&lt;&gt;0,ABS('6a_Health_full_time'!F35)-INT(ABS('6a_Health_full_time'!F35))&lt;&gt;0.5),AA$18&amp;", "&amp;AA$19&amp;", "&amp;$A42&amp;", "&amp;$B42&amp;", "&amp;$C42&amp;"; ","")</f>
        <v/>
      </c>
      <c r="AB42" s="1891" t="str">
        <f>IF(AND($F$8=1,'6a_Health_full_time'!G35&lt;&gt;"",ABS('6a_Health_full_time'!G35)-INT(ABS('6a_Health_full_time'!G35))&lt;&gt;0,ABS('6a_Health_full_time'!G35)-INT(ABS('6a_Health_full_time'!G35))&lt;&gt;0.5),AB$18&amp;", "&amp;AB$19&amp;", "&amp;$A42&amp;", "&amp;$B42&amp;", "&amp;$C42&amp;"; ","")</f>
        <v/>
      </c>
      <c r="AC42" s="1890" t="str">
        <f>IF(AND($F$8=1,'6a_Health_full_time'!H35&lt;&gt;"",ABS('6a_Health_full_time'!H35)-INT(ABS('6a_Health_full_time'!H35))&lt;&gt;0,ABS('6a_Health_full_time'!H35)-INT(ABS('6a_Health_full_time'!H35))&lt;&gt;0.5),AC$18&amp;", "&amp;AC$19&amp;", "&amp;$A42&amp;", "&amp;$B42&amp;", "&amp;$C42&amp;"; ","")</f>
        <v/>
      </c>
      <c r="AD42" s="1890" t="str">
        <f>IF(AND($F$8=1,'6a_Health_full_time'!I35&lt;&gt;"",ABS('6a_Health_full_time'!I35)-INT(ABS('6a_Health_full_time'!I35))&lt;&gt;0,ABS('6a_Health_full_time'!I35)-INT(ABS('6a_Health_full_time'!I35))&lt;&gt;0.5),AD$18&amp;", "&amp;AD$19&amp;", "&amp;$A42&amp;", "&amp;$B42&amp;", "&amp;$C42&amp;"; ","")</f>
        <v/>
      </c>
      <c r="AF42" s="118"/>
      <c r="AH42" t="s">
        <v>225</v>
      </c>
      <c r="AI42" t="s">
        <v>27888</v>
      </c>
      <c r="AJ42" t="s">
        <v>27894</v>
      </c>
      <c r="AK42" s="109">
        <f>'1_Full_time'!G27</f>
        <v>0</v>
      </c>
      <c r="AL42" s="108">
        <f>'1_Full_time'!H27</f>
        <v>0</v>
      </c>
      <c r="AM42" s="116"/>
      <c r="AN42" s="109">
        <f>'1_Full_time'!J27</f>
        <v>0</v>
      </c>
      <c r="AO42" s="108">
        <f>'1_Full_time'!K27</f>
        <v>0</v>
      </c>
      <c r="AP42" s="116"/>
      <c r="AR42" s="118"/>
      <c r="AU42" s="1886" t="str">
        <f>IF(AND($I$8=1,ABS(SUM('6a_Health_full_time'!D35:E35))&lt;ABS('6a_Health_full_time'!F35)),AU$18&amp;", "&amp;$A42&amp;", "&amp;$B42&amp;", "&amp;$C42&amp;"; ","")</f>
        <v/>
      </c>
      <c r="AX42" s="1896" t="str">
        <f>IF(AND($I$8=1,ABS(SUM('6a_Health_full_time'!G35:H35))&lt;ABS('6a_Health_full_time'!I35)),AX$18&amp;", "&amp;$A42&amp;", "&amp;$B42&amp;", "&amp;$C42&amp;"; ","")</f>
        <v/>
      </c>
      <c r="AY42" s="17"/>
      <c r="BH42" s="130"/>
      <c r="BI42" s="1879" t="str">
        <f>IF(AND($P$8=1,$B42="Long length",'6a_Health_full_time'!D35&lt;&gt;0),BI$18&amp;", "&amp;BI$19&amp;", "&amp;$A42&amp;", "&amp;$B42&amp;", "&amp;$C42&amp;"; ","")</f>
        <v/>
      </c>
      <c r="BJ42" s="1653" t="str">
        <f>IF(AND($P$8=1,$B42="Long length",'6a_Health_full_time'!E35&lt;&gt;0),BJ$18&amp;", "&amp;BJ$19&amp;", "&amp;$A42&amp;", "&amp;$B42&amp;", "&amp;$C42&amp;"; ","")</f>
        <v/>
      </c>
      <c r="BK42" s="1653" t="str">
        <f>IF(AND($P$8=1,$B42="Long length",'6a_Health_full_time'!F35&lt;&gt;0),BK$18&amp;", "&amp;BK$19&amp;", "&amp;$A42&amp;", "&amp;$B42&amp;", "&amp;$C42&amp;"; ","")</f>
        <v/>
      </c>
      <c r="BL42" s="1879" t="str">
        <f>IF(AND($P$8=1,$B42="Long length",'6a_Health_full_time'!G35&lt;&gt;0),BL$18&amp;", "&amp;BL$19&amp;", "&amp;$A42&amp;", "&amp;$B42&amp;", "&amp;$C42&amp;"; ","")</f>
        <v/>
      </c>
      <c r="BM42" s="1653" t="str">
        <f>IF(AND($P$8=1,$B42="Long length",'6a_Health_full_time'!H35&lt;&gt;0),BM$18&amp;", "&amp;BM$19&amp;", "&amp;$A42&amp;", "&amp;$B42&amp;", "&amp;$C42&amp;"; ","")</f>
        <v/>
      </c>
      <c r="BN42" s="1653" t="str">
        <f>IF(AND($P$8=1,$B42="Long length",'6a_Health_full_time'!I35&lt;&gt;0),BN$18&amp;", "&amp;BN$19&amp;", "&amp;$A42&amp;", "&amp;$B42&amp;", "&amp;$C42&amp;"; ","")</f>
        <v/>
      </c>
      <c r="BO42" s="131"/>
    </row>
    <row r="43" spans="1:67" x14ac:dyDescent="0.35">
      <c r="A43" t="s">
        <v>27898</v>
      </c>
      <c r="B43" t="s">
        <v>27888</v>
      </c>
      <c r="C43" t="s">
        <v>27891</v>
      </c>
      <c r="E43" s="118"/>
      <c r="G43" s="333" t="str">
        <f>IF(AND($D$8=1,'6a_Health_full_time'!D36&lt;0),G$18&amp;", "&amp;G$19&amp;", "&amp;$A43&amp;", "&amp;$B43&amp;", "&amp;$C43&amp;"; ","")</f>
        <v/>
      </c>
      <c r="H43" s="108" t="str">
        <f>IF(AND($D$8=1,'6a_Health_full_time'!E36&lt;0),H$18&amp;", "&amp;H$19&amp;", "&amp;$A43&amp;", "&amp;$B43&amp;", "&amp;$C43&amp;"; ","")</f>
        <v/>
      </c>
      <c r="I43" s="108" t="str">
        <f>IF(AND($D$8=1,'6a_Health_full_time'!F36&lt;0),I$18&amp;", "&amp;I$19&amp;", "&amp;$A43&amp;", "&amp;$B43&amp;", "&amp;$C43&amp;"; ","")</f>
        <v/>
      </c>
      <c r="J43" s="333" t="str">
        <f>IF(AND($D$8=1,'6a_Health_full_time'!G36&lt;0),J$18&amp;", "&amp;J$19&amp;", "&amp;$A43&amp;", "&amp;$B43&amp;", "&amp;$C43&amp;"; ","")</f>
        <v/>
      </c>
      <c r="K43" s="108" t="str">
        <f>IF(AND($D$8=1,'6a_Health_full_time'!H36&lt;0),K$18&amp;", "&amp;K$19&amp;", "&amp;$A43&amp;", "&amp;$B43&amp;", "&amp;$C43&amp;"; ","")</f>
        <v/>
      </c>
      <c r="L43" s="210" t="str">
        <f>IF(AND($D$8=1,'6a_Health_full_time'!I36&lt;0),L$18&amp;", "&amp;L$19&amp;", "&amp;$A43&amp;", "&amp;$B43&amp;", "&amp;$C43&amp;"; ","")</f>
        <v/>
      </c>
      <c r="N43" s="118"/>
      <c r="P43" s="338"/>
      <c r="Q43" s="112"/>
      <c r="R43" s="112"/>
      <c r="S43" s="338"/>
      <c r="T43" s="112"/>
      <c r="U43" s="481"/>
      <c r="W43" s="118"/>
      <c r="Y43" s="109" t="str">
        <f>IF(AND($F$8=1,'6a_Health_full_time'!D36&lt;&gt;"",ABS('6a_Health_full_time'!D36)-INT(ABS('6a_Health_full_time'!D36))&lt;&gt;0,ABS('6a_Health_full_time'!D36)-INT(ABS('6a_Health_full_time'!D36))&lt;&gt;0.5),Y$18&amp;", "&amp;Y$19&amp;", "&amp;$A43&amp;", "&amp;$B43&amp;", "&amp;$C43&amp;"; ","")</f>
        <v/>
      </c>
      <c r="Z43" s="210" t="str">
        <f>IF(AND($F$8=1,'6a_Health_full_time'!E36&lt;&gt;"",ABS('6a_Health_full_time'!E36)-INT(ABS('6a_Health_full_time'!E36))&lt;&gt;0,ABS('6a_Health_full_time'!E36)-INT(ABS('6a_Health_full_time'!E36))&lt;&gt;0.5),Z$18&amp;", "&amp;Z$19&amp;", "&amp;$A43&amp;", "&amp;$B43&amp;", "&amp;$C43&amp;"; ","")</f>
        <v/>
      </c>
      <c r="AA43" s="210" t="str">
        <f>IF(AND($F$8=1,'6a_Health_full_time'!F36&lt;&gt;"",ABS('6a_Health_full_time'!F36)-INT(ABS('6a_Health_full_time'!F36))&lt;&gt;0,ABS('6a_Health_full_time'!F36)-INT(ABS('6a_Health_full_time'!F36))&lt;&gt;0.5),AA$18&amp;", "&amp;AA$19&amp;", "&amp;$A43&amp;", "&amp;$B43&amp;", "&amp;$C43&amp;"; ","")</f>
        <v/>
      </c>
      <c r="AB43" s="109" t="str">
        <f>IF(AND($F$8=1,'6a_Health_full_time'!G36&lt;&gt;"",ABS('6a_Health_full_time'!G36)-INT(ABS('6a_Health_full_time'!G36))&lt;&gt;0,ABS('6a_Health_full_time'!G36)-INT(ABS('6a_Health_full_time'!G36))&lt;&gt;0.5),AB$18&amp;", "&amp;AB$19&amp;", "&amp;$A43&amp;", "&amp;$B43&amp;", "&amp;$C43&amp;"; ","")</f>
        <v/>
      </c>
      <c r="AC43" s="210" t="str">
        <f>IF(AND($F$8=1,'6a_Health_full_time'!H36&lt;&gt;"",ABS('6a_Health_full_time'!H36)-INT(ABS('6a_Health_full_time'!H36))&lt;&gt;0,ABS('6a_Health_full_time'!H36)-INT(ABS('6a_Health_full_time'!H36))&lt;&gt;0.5),AC$18&amp;", "&amp;AC$19&amp;", "&amp;$A43&amp;", "&amp;$B43&amp;", "&amp;$C43&amp;"; ","")</f>
        <v/>
      </c>
      <c r="AD43" s="210" t="str">
        <f>IF(AND($F$8=1,'6a_Health_full_time'!I36&lt;&gt;"",ABS('6a_Health_full_time'!I36)-INT(ABS('6a_Health_full_time'!I36))&lt;&gt;0,ABS('6a_Health_full_time'!I36)-INT(ABS('6a_Health_full_time'!I36))&lt;&gt;0.5),AD$18&amp;", "&amp;AD$19&amp;", "&amp;$A43&amp;", "&amp;$B43&amp;", "&amp;$C43&amp;"; ","")</f>
        <v/>
      </c>
      <c r="AF43" s="118"/>
      <c r="AH43" t="s">
        <v>225</v>
      </c>
      <c r="AI43" t="s">
        <v>27892</v>
      </c>
      <c r="AJ43" t="s">
        <v>27889</v>
      </c>
      <c r="AK43" s="109">
        <f>SUM('1_Full_time'!G30:G31)</f>
        <v>0</v>
      </c>
      <c r="AL43" s="108">
        <f>SUM('1_Full_time'!H30:H31)</f>
        <v>0</v>
      </c>
      <c r="AM43" s="116"/>
      <c r="AN43" s="109">
        <f>SUM('1_Full_time'!J30:J31)</f>
        <v>0</v>
      </c>
      <c r="AO43" s="108">
        <f>SUM('1_Full_time'!K30:K31)</f>
        <v>0</v>
      </c>
      <c r="AP43" s="116"/>
      <c r="AR43" s="118"/>
      <c r="AU43" s="562" t="str">
        <f>IF(AND($I$8=1,ABS(SUM('6a_Health_full_time'!D36:E36))&lt;ABS('6a_Health_full_time'!F36)),AU$18&amp;", "&amp;$A43&amp;", "&amp;$B43&amp;", "&amp;$C43&amp;"; ","")</f>
        <v/>
      </c>
      <c r="AX43" s="484" t="str">
        <f>IF(AND($I$8=1,ABS(SUM('6a_Health_full_time'!G36:H36))&lt;ABS('6a_Health_full_time'!I36)),AX$18&amp;", "&amp;$A43&amp;", "&amp;$B43&amp;", "&amp;$C43&amp;"; ","")</f>
        <v/>
      </c>
      <c r="AY43" s="17"/>
      <c r="BH43" s="130"/>
      <c r="BI43" s="333" t="str">
        <f>IF(AND($P$8=1,$B43="Long length",'6a_Health_full_time'!D36&lt;&gt;0),BI$18&amp;", "&amp;BI$19&amp;", "&amp;$A43&amp;", "&amp;$B43&amp;", "&amp;$C43&amp;"; ","")</f>
        <v/>
      </c>
      <c r="BJ43" s="108" t="str">
        <f>IF(AND($P$8=1,$B43="Long length",'6a_Health_full_time'!E36&lt;&gt;0),BJ$18&amp;", "&amp;BJ$19&amp;", "&amp;$A43&amp;", "&amp;$B43&amp;", "&amp;$C43&amp;"; ","")</f>
        <v/>
      </c>
      <c r="BK43" s="108" t="str">
        <f>IF(AND($P$8=1,$B43="Long length",'6a_Health_full_time'!F36&lt;&gt;0),BK$18&amp;", "&amp;BK$19&amp;", "&amp;$A43&amp;", "&amp;$B43&amp;", "&amp;$C43&amp;"; ","")</f>
        <v/>
      </c>
      <c r="BL43" s="333" t="str">
        <f>IF(AND($P$8=1,$B43="Long length",'6a_Health_full_time'!G36&lt;&gt;0),BL$18&amp;", "&amp;BL$19&amp;", "&amp;$A43&amp;", "&amp;$B43&amp;", "&amp;$C43&amp;"; ","")</f>
        <v/>
      </c>
      <c r="BM43" s="108" t="str">
        <f>IF(AND($P$8=1,$B43="Long length",'6a_Health_full_time'!H36&lt;&gt;0),BM$18&amp;", "&amp;BM$19&amp;", "&amp;$A43&amp;", "&amp;$B43&amp;", "&amp;$C43&amp;"; ","")</f>
        <v/>
      </c>
      <c r="BN43" s="108" t="str">
        <f>IF(AND($P$8=1,$B43="Long length",'6a_Health_full_time'!I36&lt;&gt;0),BN$18&amp;", "&amp;BN$19&amp;", "&amp;$A43&amp;", "&amp;$B43&amp;", "&amp;$C43&amp;"; ","")</f>
        <v/>
      </c>
      <c r="BO43" s="131"/>
    </row>
    <row r="44" spans="1:67" x14ac:dyDescent="0.35">
      <c r="A44" t="s">
        <v>27898</v>
      </c>
      <c r="B44" t="s">
        <v>27892</v>
      </c>
      <c r="C44" t="s">
        <v>27889</v>
      </c>
      <c r="E44" s="118"/>
      <c r="G44" s="333" t="str">
        <f>IF(AND($D$8=1,'6a_Health_full_time'!D37&lt;0),G$18&amp;", "&amp;G$19&amp;", "&amp;$A44&amp;", "&amp;$B44&amp;", "&amp;$C44&amp;"; ","")</f>
        <v/>
      </c>
      <c r="H44" s="108" t="str">
        <f>IF(AND($D$8=1,'6a_Health_full_time'!E37&lt;0),H$18&amp;", "&amp;H$19&amp;", "&amp;$A44&amp;", "&amp;$B44&amp;", "&amp;$C44&amp;"; ","")</f>
        <v/>
      </c>
      <c r="I44" s="108" t="str">
        <f>IF(AND($D$8=1,'6a_Health_full_time'!F37&lt;0),I$18&amp;", "&amp;I$19&amp;", "&amp;$A44&amp;", "&amp;$B44&amp;", "&amp;$C44&amp;"; ","")</f>
        <v/>
      </c>
      <c r="J44" s="333" t="str">
        <f>IF(AND($D$8=1,'6a_Health_full_time'!G37&lt;0),J$18&amp;", "&amp;J$19&amp;", "&amp;$A44&amp;", "&amp;$B44&amp;", "&amp;$C44&amp;"; ","")</f>
        <v/>
      </c>
      <c r="K44" s="108" t="str">
        <f>IF(AND($D$8=1,'6a_Health_full_time'!H37&lt;0),K$18&amp;", "&amp;K$19&amp;", "&amp;$A44&amp;", "&amp;$B44&amp;", "&amp;$C44&amp;"; ","")</f>
        <v/>
      </c>
      <c r="L44" s="210" t="str">
        <f>IF(AND($D$8=1,'6a_Health_full_time'!I37&lt;0),L$18&amp;", "&amp;L$19&amp;", "&amp;$A44&amp;", "&amp;$B44&amp;", "&amp;$C44&amp;"; ","")</f>
        <v/>
      </c>
      <c r="N44" s="118"/>
      <c r="P44" s="338"/>
      <c r="Q44" s="112"/>
      <c r="R44" s="112"/>
      <c r="S44" s="338"/>
      <c r="T44" s="112"/>
      <c r="U44" s="481"/>
      <c r="W44" s="118"/>
      <c r="Y44" s="109" t="str">
        <f>IF(AND($F$8=1,'6a_Health_full_time'!D37&lt;&gt;"",ABS('6a_Health_full_time'!D37)-INT(ABS('6a_Health_full_time'!D37))&lt;&gt;0,ABS('6a_Health_full_time'!D37)-INT(ABS('6a_Health_full_time'!D37))&lt;&gt;0.5),Y$18&amp;", "&amp;Y$19&amp;", "&amp;$A44&amp;", "&amp;$B44&amp;", "&amp;$C44&amp;"; ","")</f>
        <v/>
      </c>
      <c r="Z44" s="210" t="str">
        <f>IF(AND($F$8=1,'6a_Health_full_time'!E37&lt;&gt;"",ABS('6a_Health_full_time'!E37)-INT(ABS('6a_Health_full_time'!E37))&lt;&gt;0,ABS('6a_Health_full_time'!E37)-INT(ABS('6a_Health_full_time'!E37))&lt;&gt;0.5),Z$18&amp;", "&amp;Z$19&amp;", "&amp;$A44&amp;", "&amp;$B44&amp;", "&amp;$C44&amp;"; ","")</f>
        <v/>
      </c>
      <c r="AA44" s="210" t="str">
        <f>IF(AND($F$8=1,'6a_Health_full_time'!F37&lt;&gt;"",ABS('6a_Health_full_time'!F37)-INT(ABS('6a_Health_full_time'!F37))&lt;&gt;0,ABS('6a_Health_full_time'!F37)-INT(ABS('6a_Health_full_time'!F37))&lt;&gt;0.5),AA$18&amp;", "&amp;AA$19&amp;", "&amp;$A44&amp;", "&amp;$B44&amp;", "&amp;$C44&amp;"; ","")</f>
        <v/>
      </c>
      <c r="AB44" s="109" t="str">
        <f>IF(AND($F$8=1,'6a_Health_full_time'!G37&lt;&gt;"",ABS('6a_Health_full_time'!G37)-INT(ABS('6a_Health_full_time'!G37))&lt;&gt;0,ABS('6a_Health_full_time'!G37)-INT(ABS('6a_Health_full_time'!G37))&lt;&gt;0.5),AB$18&amp;", "&amp;AB$19&amp;", "&amp;$A44&amp;", "&amp;$B44&amp;", "&amp;$C44&amp;"; ","")</f>
        <v/>
      </c>
      <c r="AC44" s="210" t="str">
        <f>IF(AND($F$8=1,'6a_Health_full_time'!H37&lt;&gt;"",ABS('6a_Health_full_time'!H37)-INT(ABS('6a_Health_full_time'!H37))&lt;&gt;0,ABS('6a_Health_full_time'!H37)-INT(ABS('6a_Health_full_time'!H37))&lt;&gt;0.5),AC$18&amp;", "&amp;AC$19&amp;", "&amp;$A44&amp;", "&amp;$B44&amp;", "&amp;$C44&amp;"; ","")</f>
        <v/>
      </c>
      <c r="AD44" s="210" t="str">
        <f>IF(AND($F$8=1,'6a_Health_full_time'!I37&lt;&gt;"",ABS('6a_Health_full_time'!I37)-INT(ABS('6a_Health_full_time'!I37))&lt;&gt;0,ABS('6a_Health_full_time'!I37)-INT(ABS('6a_Health_full_time'!I37))&lt;&gt;0.5),AD$18&amp;", "&amp;AD$19&amp;", "&amp;$A44&amp;", "&amp;$B44&amp;", "&amp;$C44&amp;"; ","")</f>
        <v/>
      </c>
      <c r="AF44" s="118"/>
      <c r="AH44" t="s">
        <v>225</v>
      </c>
      <c r="AI44" t="s">
        <v>27892</v>
      </c>
      <c r="AJ44" t="s">
        <v>27891</v>
      </c>
      <c r="AK44" s="109">
        <f>'1_Full_time'!G32</f>
        <v>0</v>
      </c>
      <c r="AL44" s="108">
        <f>'1_Full_time'!H32</f>
        <v>0</v>
      </c>
      <c r="AM44" s="116"/>
      <c r="AN44" s="109">
        <f>'1_Full_time'!J32</f>
        <v>0</v>
      </c>
      <c r="AO44" s="108">
        <f>'1_Full_time'!K32</f>
        <v>0</v>
      </c>
      <c r="AP44" s="116"/>
      <c r="AR44" s="118"/>
      <c r="AU44" s="562" t="str">
        <f>IF(AND($I$8=1,ABS(SUM('6a_Health_full_time'!D37:E37))&lt;ABS('6a_Health_full_time'!F37)),AU$18&amp;", "&amp;$A44&amp;", "&amp;$B44&amp;", "&amp;$C44&amp;"; ","")</f>
        <v/>
      </c>
      <c r="AX44" s="484" t="str">
        <f>IF(AND($I$8=1,ABS(SUM('6a_Health_full_time'!G37:H37))&lt;ABS('6a_Health_full_time'!I37)),AX$18&amp;", "&amp;$A44&amp;", "&amp;$B44&amp;", "&amp;$C44&amp;"; ","")</f>
        <v/>
      </c>
      <c r="AY44" s="17"/>
      <c r="BH44" s="130"/>
      <c r="BI44" s="333" t="str">
        <f>IF(AND($P$8=1,$B44="Long length",'6a_Health_full_time'!D37&lt;&gt;0),BI$18&amp;", "&amp;BI$19&amp;", "&amp;$A44&amp;", "&amp;$B44&amp;", "&amp;$C44&amp;"; ","")</f>
        <v/>
      </c>
      <c r="BJ44" s="108" t="str">
        <f>IF(AND($P$8=1,$B44="Long length",'6a_Health_full_time'!E37&lt;&gt;0),BJ$18&amp;", "&amp;BJ$19&amp;", "&amp;$A44&amp;", "&amp;$B44&amp;", "&amp;$C44&amp;"; ","")</f>
        <v/>
      </c>
      <c r="BK44" s="108" t="str">
        <f>IF(AND($P$8=1,$B44="Long length",'6a_Health_full_time'!F37&lt;&gt;0),BK$18&amp;", "&amp;BK$19&amp;", "&amp;$A44&amp;", "&amp;$B44&amp;", "&amp;$C44&amp;"; ","")</f>
        <v/>
      </c>
      <c r="BL44" s="333" t="str">
        <f>IF(AND($P$8=1,$B44="Long length",'6a_Health_full_time'!G37&lt;&gt;0),BL$18&amp;", "&amp;BL$19&amp;", "&amp;$A44&amp;", "&amp;$B44&amp;", "&amp;$C44&amp;"; ","")</f>
        <v/>
      </c>
      <c r="BM44" s="108" t="str">
        <f>IF(AND($P$8=1,$B44="Long length",'6a_Health_full_time'!H37&lt;&gt;0),BM$18&amp;", "&amp;BM$19&amp;", "&amp;$A44&amp;", "&amp;$B44&amp;", "&amp;$C44&amp;"; ","")</f>
        <v/>
      </c>
      <c r="BN44" s="108" t="str">
        <f>IF(AND($P$8=1,$B44="Long length",'6a_Health_full_time'!I37&lt;&gt;0),BN$18&amp;", "&amp;BN$19&amp;", "&amp;$A44&amp;", "&amp;$B44&amp;", "&amp;$C44&amp;"; ","")</f>
        <v/>
      </c>
      <c r="BO44" s="131"/>
    </row>
    <row r="45" spans="1:67" x14ac:dyDescent="0.35">
      <c r="A45" t="s">
        <v>27898</v>
      </c>
      <c r="B45" t="s">
        <v>27892</v>
      </c>
      <c r="C45" t="s">
        <v>27891</v>
      </c>
      <c r="E45" s="118"/>
      <c r="G45" s="333" t="str">
        <f>IF(AND($D$8=1,'6a_Health_full_time'!D38&lt;0),G$18&amp;", "&amp;G$19&amp;", "&amp;$A45&amp;", "&amp;$B45&amp;", "&amp;$C45&amp;"; ","")</f>
        <v/>
      </c>
      <c r="H45" s="108" t="str">
        <f>IF(AND($D$8=1,'6a_Health_full_time'!E38&lt;0),H$18&amp;", "&amp;H$19&amp;", "&amp;$A45&amp;", "&amp;$B45&amp;", "&amp;$C45&amp;"; ","")</f>
        <v/>
      </c>
      <c r="I45" s="108" t="str">
        <f>IF(AND($D$8=1,'6a_Health_full_time'!F38&lt;0),I$18&amp;", "&amp;I$19&amp;", "&amp;$A45&amp;", "&amp;$B45&amp;", "&amp;$C45&amp;"; ","")</f>
        <v/>
      </c>
      <c r="J45" s="333" t="str">
        <f>IF(AND($D$8=1,'6a_Health_full_time'!G38&lt;0),J$18&amp;", "&amp;J$19&amp;", "&amp;$A45&amp;", "&amp;$B45&amp;", "&amp;$C45&amp;"; ","")</f>
        <v/>
      </c>
      <c r="K45" s="108" t="str">
        <f>IF(AND($D$8=1,'6a_Health_full_time'!H38&lt;0),K$18&amp;", "&amp;K$19&amp;", "&amp;$A45&amp;", "&amp;$B45&amp;", "&amp;$C45&amp;"; ","")</f>
        <v/>
      </c>
      <c r="L45" s="210" t="str">
        <f>IF(AND($D$8=1,'6a_Health_full_time'!I38&lt;0),L$18&amp;", "&amp;L$19&amp;", "&amp;$A45&amp;", "&amp;$B45&amp;", "&amp;$C45&amp;"; ","")</f>
        <v/>
      </c>
      <c r="N45" s="118"/>
      <c r="P45" s="338"/>
      <c r="Q45" s="112"/>
      <c r="R45" s="112"/>
      <c r="S45" s="338"/>
      <c r="T45" s="112"/>
      <c r="U45" s="481"/>
      <c r="W45" s="118"/>
      <c r="Y45" s="109" t="str">
        <f>IF(AND($F$8=1,'6a_Health_full_time'!D38&lt;&gt;"",ABS('6a_Health_full_time'!D38)-INT(ABS('6a_Health_full_time'!D38))&lt;&gt;0,ABS('6a_Health_full_time'!D38)-INT(ABS('6a_Health_full_time'!D38))&lt;&gt;0.5),Y$18&amp;", "&amp;Y$19&amp;", "&amp;$A45&amp;", "&amp;$B45&amp;", "&amp;$C45&amp;"; ","")</f>
        <v/>
      </c>
      <c r="Z45" s="210" t="str">
        <f>IF(AND($F$8=1,'6a_Health_full_time'!E38&lt;&gt;"",ABS('6a_Health_full_time'!E38)-INT(ABS('6a_Health_full_time'!E38))&lt;&gt;0,ABS('6a_Health_full_time'!E38)-INT(ABS('6a_Health_full_time'!E38))&lt;&gt;0.5),Z$18&amp;", "&amp;Z$19&amp;", "&amp;$A45&amp;", "&amp;$B45&amp;", "&amp;$C45&amp;"; ","")</f>
        <v/>
      </c>
      <c r="AA45" s="210" t="str">
        <f>IF(AND($F$8=1,'6a_Health_full_time'!F38&lt;&gt;"",ABS('6a_Health_full_time'!F38)-INT(ABS('6a_Health_full_time'!F38))&lt;&gt;0,ABS('6a_Health_full_time'!F38)-INT(ABS('6a_Health_full_time'!F38))&lt;&gt;0.5),AA$18&amp;", "&amp;AA$19&amp;", "&amp;$A45&amp;", "&amp;$B45&amp;", "&amp;$C45&amp;"; ","")</f>
        <v/>
      </c>
      <c r="AB45" s="109" t="str">
        <f>IF(AND($F$8=1,'6a_Health_full_time'!G38&lt;&gt;"",ABS('6a_Health_full_time'!G38)-INT(ABS('6a_Health_full_time'!G38))&lt;&gt;0,ABS('6a_Health_full_time'!G38)-INT(ABS('6a_Health_full_time'!G38))&lt;&gt;0.5),AB$18&amp;", "&amp;AB$19&amp;", "&amp;$A45&amp;", "&amp;$B45&amp;", "&amp;$C45&amp;"; ","")</f>
        <v/>
      </c>
      <c r="AC45" s="210" t="str">
        <f>IF(AND($F$8=1,'6a_Health_full_time'!H38&lt;&gt;"",ABS('6a_Health_full_time'!H38)-INT(ABS('6a_Health_full_time'!H38))&lt;&gt;0,ABS('6a_Health_full_time'!H38)-INT(ABS('6a_Health_full_time'!H38))&lt;&gt;0.5),AC$18&amp;", "&amp;AC$19&amp;", "&amp;$A45&amp;", "&amp;$B45&amp;", "&amp;$C45&amp;"; ","")</f>
        <v/>
      </c>
      <c r="AD45" s="210" t="str">
        <f>IF(AND($F$8=1,'6a_Health_full_time'!I38&lt;&gt;"",ABS('6a_Health_full_time'!I38)-INT(ABS('6a_Health_full_time'!I38))&lt;&gt;0,ABS('6a_Health_full_time'!I38)-INT(ABS('6a_Health_full_time'!I38))&lt;&gt;0.5),AD$18&amp;", "&amp;AD$19&amp;", "&amp;$A45&amp;", "&amp;$B45&amp;", "&amp;$C45&amp;"; ","")</f>
        <v/>
      </c>
      <c r="AF45" s="118"/>
      <c r="AH45" t="s">
        <v>225</v>
      </c>
      <c r="AI45" t="s">
        <v>27888</v>
      </c>
      <c r="AJ45" t="s">
        <v>27894</v>
      </c>
      <c r="AK45" s="109">
        <f>'1_Full_time'!G33</f>
        <v>0</v>
      </c>
      <c r="AL45" s="108">
        <f>'1_Full_time'!H33</f>
        <v>0</v>
      </c>
      <c r="AM45" s="116"/>
      <c r="AN45" s="109">
        <f>'1_Full_time'!J33</f>
        <v>0</v>
      </c>
      <c r="AO45" s="108">
        <f>'1_Full_time'!K33</f>
        <v>0</v>
      </c>
      <c r="AP45" s="116"/>
      <c r="AR45" s="118"/>
      <c r="AU45" s="562" t="str">
        <f>IF(AND($I$8=1,ABS(SUM('6a_Health_full_time'!D38:E38))&lt;ABS('6a_Health_full_time'!F38)),AU$18&amp;", "&amp;$A45&amp;", "&amp;$B45&amp;", "&amp;$C45&amp;"; ","")</f>
        <v/>
      </c>
      <c r="AX45" s="484" t="str">
        <f>IF(AND($I$8=1,ABS(SUM('6a_Health_full_time'!G38:H38))&lt;ABS('6a_Health_full_time'!I38)),AX$18&amp;", "&amp;$A45&amp;", "&amp;$B45&amp;", "&amp;$C45&amp;"; ","")</f>
        <v/>
      </c>
      <c r="AY45" s="17"/>
      <c r="BH45" s="130"/>
      <c r="BI45" s="333" t="str">
        <f>IF(AND($P$8=1,$B45="Long length",'6a_Health_full_time'!D38&lt;&gt;0),BI$18&amp;", "&amp;BI$19&amp;", "&amp;$A45&amp;", "&amp;$B45&amp;", "&amp;$C45&amp;"; ","")</f>
        <v/>
      </c>
      <c r="BJ45" s="108" t="str">
        <f>IF(AND($P$8=1,$B45="Long length",'6a_Health_full_time'!E38&lt;&gt;0),BJ$18&amp;", "&amp;BJ$19&amp;", "&amp;$A45&amp;", "&amp;$B45&amp;", "&amp;$C45&amp;"; ","")</f>
        <v/>
      </c>
      <c r="BK45" s="108" t="str">
        <f>IF(AND($P$8=1,$B45="Long length",'6a_Health_full_time'!F38&lt;&gt;0),BK$18&amp;", "&amp;BK$19&amp;", "&amp;$A45&amp;", "&amp;$B45&amp;", "&amp;$C45&amp;"; ","")</f>
        <v/>
      </c>
      <c r="BL45" s="333" t="str">
        <f>IF(AND($P$8=1,$B45="Long length",'6a_Health_full_time'!G38&lt;&gt;0),BL$18&amp;", "&amp;BL$19&amp;", "&amp;$A45&amp;", "&amp;$B45&amp;", "&amp;$C45&amp;"; ","")</f>
        <v/>
      </c>
      <c r="BM45" s="108" t="str">
        <f>IF(AND($P$8=1,$B45="Long length",'6a_Health_full_time'!H38&lt;&gt;0),BM$18&amp;", "&amp;BM$19&amp;", "&amp;$A45&amp;", "&amp;$B45&amp;", "&amp;$C45&amp;"; ","")</f>
        <v/>
      </c>
      <c r="BN45" s="108" t="str">
        <f>IF(AND($P$8=1,$B45="Long length",'6a_Health_full_time'!I38&lt;&gt;0),BN$18&amp;", "&amp;BN$19&amp;", "&amp;$A45&amp;", "&amp;$B45&amp;", "&amp;$C45&amp;"; ","")</f>
        <v/>
      </c>
      <c r="BO45" s="131"/>
    </row>
    <row r="46" spans="1:67" x14ac:dyDescent="0.35">
      <c r="A46" t="s">
        <v>27899</v>
      </c>
      <c r="B46" t="s">
        <v>27888</v>
      </c>
      <c r="C46" t="s">
        <v>27889</v>
      </c>
      <c r="E46" s="118"/>
      <c r="G46" s="1879" t="str">
        <f>IF(AND($D$8=1,'6a_Health_full_time'!D39&lt;0),G$18&amp;", "&amp;G$19&amp;", "&amp;$A46&amp;", "&amp;$B46&amp;", "&amp;$C46&amp;"; ","")</f>
        <v/>
      </c>
      <c r="H46" s="1653" t="str">
        <f>IF(AND($D$8=1,'6a_Health_full_time'!E39&lt;0),H$18&amp;", "&amp;H$19&amp;", "&amp;$A46&amp;", "&amp;$B46&amp;", "&amp;$C46&amp;"; ","")</f>
        <v/>
      </c>
      <c r="I46" s="1653" t="str">
        <f>IF(AND($D$8=1,'6a_Health_full_time'!F39&lt;0),I$18&amp;", "&amp;I$19&amp;", "&amp;$A46&amp;", "&amp;$B46&amp;", "&amp;$C46&amp;"; ","")</f>
        <v/>
      </c>
      <c r="J46" s="1879" t="str">
        <f>IF(AND($D$8=1,'6a_Health_full_time'!G39&lt;0),J$18&amp;", "&amp;J$19&amp;", "&amp;$A46&amp;", "&amp;$B46&amp;", "&amp;$C46&amp;"; ","")</f>
        <v/>
      </c>
      <c r="K46" s="1653" t="str">
        <f>IF(AND($D$8=1,'6a_Health_full_time'!H39&lt;0),K$18&amp;", "&amp;K$19&amp;", "&amp;$A46&amp;", "&amp;$B46&amp;", "&amp;$C46&amp;"; ","")</f>
        <v/>
      </c>
      <c r="L46" s="2191" t="str">
        <f>IF(AND($D$8=1,'6a_Health_full_time'!I39&lt;0),L$18&amp;", "&amp;L$19&amp;", "&amp;$A46&amp;", "&amp;$B46&amp;", "&amp;$C46&amp;"; ","")</f>
        <v/>
      </c>
      <c r="N46" s="118"/>
      <c r="P46" s="1880"/>
      <c r="Q46" s="1654"/>
      <c r="R46" s="1654"/>
      <c r="S46" s="1880"/>
      <c r="T46" s="1654"/>
      <c r="U46" s="2188"/>
      <c r="W46" s="118"/>
      <c r="Y46" s="1885" t="str">
        <f>IF(AND($F$8=1,'6a_Health_full_time'!D39&lt;&gt;"",ABS('6a_Health_full_time'!D39)-INT(ABS('6a_Health_full_time'!D39))&lt;&gt;0,ABS('6a_Health_full_time'!D39)-INT(ABS('6a_Health_full_time'!D39))&lt;&gt;0.5),Y$18&amp;", "&amp;Y$19&amp;", "&amp;$A46&amp;", "&amp;$B46&amp;", "&amp;$C46&amp;"; ","")</f>
        <v/>
      </c>
      <c r="Z46" s="1890" t="str">
        <f>IF(AND($F$8=1,'6a_Health_full_time'!E39&lt;&gt;"",ABS('6a_Health_full_time'!E39)-INT(ABS('6a_Health_full_time'!E39))&lt;&gt;0,ABS('6a_Health_full_time'!E39)-INT(ABS('6a_Health_full_time'!E39))&lt;&gt;0.5),Z$18&amp;", "&amp;Z$19&amp;", "&amp;$A46&amp;", "&amp;$B46&amp;", "&amp;$C46&amp;"; ","")</f>
        <v/>
      </c>
      <c r="AA46" s="1890" t="str">
        <f>IF(AND($F$8=1,'6a_Health_full_time'!F39&lt;&gt;"",ABS('6a_Health_full_time'!F39)-INT(ABS('6a_Health_full_time'!F39))&lt;&gt;0,ABS('6a_Health_full_time'!F39)-INT(ABS('6a_Health_full_time'!F39))&lt;&gt;0.5),AA$18&amp;", "&amp;AA$19&amp;", "&amp;$A46&amp;", "&amp;$B46&amp;", "&amp;$C46&amp;"; ","")</f>
        <v/>
      </c>
      <c r="AB46" s="1885" t="str">
        <f>IF(AND($F$8=1,'6a_Health_full_time'!G39&lt;&gt;"",ABS('6a_Health_full_time'!G39)-INT(ABS('6a_Health_full_time'!G39))&lt;&gt;0,ABS('6a_Health_full_time'!G39)-INT(ABS('6a_Health_full_time'!G39))&lt;&gt;0.5),AB$18&amp;", "&amp;AB$19&amp;", "&amp;$A46&amp;", "&amp;$B46&amp;", "&amp;$C46&amp;"; ","")</f>
        <v/>
      </c>
      <c r="AC46" s="1890" t="str">
        <f>IF(AND($F$8=1,'6a_Health_full_time'!H39&lt;&gt;"",ABS('6a_Health_full_time'!H39)-INT(ABS('6a_Health_full_time'!H39))&lt;&gt;0,ABS('6a_Health_full_time'!H39)-INT(ABS('6a_Health_full_time'!H39))&lt;&gt;0.5),AC$18&amp;", "&amp;AC$19&amp;", "&amp;$A46&amp;", "&amp;$B46&amp;", "&amp;$C46&amp;"; ","")</f>
        <v/>
      </c>
      <c r="AD46" s="1890" t="str">
        <f>IF(AND($F$8=1,'6a_Health_full_time'!I39&lt;&gt;"",ABS('6a_Health_full_time'!I39)-INT(ABS('6a_Health_full_time'!I39))&lt;&gt;0,ABS('6a_Health_full_time'!I39)-INT(ABS('6a_Health_full_time'!I39))&lt;&gt;0.5),AD$18&amp;", "&amp;AD$19&amp;", "&amp;$A46&amp;", "&amp;$B46&amp;", "&amp;$C46&amp;"; ","")</f>
        <v/>
      </c>
      <c r="AF46" s="118"/>
      <c r="AH46" t="s">
        <v>238</v>
      </c>
      <c r="AI46" t="s">
        <v>27888</v>
      </c>
      <c r="AJ46" t="s">
        <v>27889</v>
      </c>
      <c r="AK46" s="1885">
        <f>SUM('1_Full_time'!G36:G37)</f>
        <v>0</v>
      </c>
      <c r="AL46" s="1657">
        <f>SUM('1_Full_time'!H36:H37)</f>
        <v>0</v>
      </c>
      <c r="AM46" s="1655"/>
      <c r="AN46" s="1885">
        <f>SUM('1_Full_time'!J36:J37)</f>
        <v>0</v>
      </c>
      <c r="AO46" s="1653">
        <f>SUM('1_Full_time'!K36:K37)</f>
        <v>0</v>
      </c>
      <c r="AP46" s="2190"/>
      <c r="AR46" s="118"/>
      <c r="AU46" s="1886" t="str">
        <f>IF(AND($I$8=1,ABS(SUM('6a_Health_full_time'!D39:E39))&lt;ABS('6a_Health_full_time'!F39)),AU$18&amp;", "&amp;$A46&amp;", "&amp;$B46&amp;", "&amp;$C46&amp;"; ","")</f>
        <v/>
      </c>
      <c r="AX46" s="1896" t="str">
        <f>IF(AND($I$8=1,ABS(SUM('6a_Health_full_time'!G39:H39))&lt;ABS('6a_Health_full_time'!I39)),AX$18&amp;", "&amp;$A46&amp;", "&amp;$B46&amp;", "&amp;$C46&amp;"; ","")</f>
        <v/>
      </c>
      <c r="AY46" s="17"/>
      <c r="BH46" s="130"/>
      <c r="BI46" s="1879" t="str">
        <f>IF(AND($P$8=1,$B46="Long length",'6a_Health_full_time'!D39&lt;&gt;0),BI$18&amp;", "&amp;BI$19&amp;", "&amp;$A46&amp;", "&amp;$B46&amp;", "&amp;$C46&amp;"; ","")</f>
        <v/>
      </c>
      <c r="BJ46" s="1653" t="str">
        <f>IF(AND($P$8=1,$B46="Long length",'6a_Health_full_time'!E39&lt;&gt;0),BJ$18&amp;", "&amp;BJ$19&amp;", "&amp;$A46&amp;", "&amp;$B46&amp;", "&amp;$C46&amp;"; ","")</f>
        <v/>
      </c>
      <c r="BK46" s="1653" t="str">
        <f>IF(AND($P$8=1,$B46="Long length",'6a_Health_full_time'!F39&lt;&gt;0),BK$18&amp;", "&amp;BK$19&amp;", "&amp;$A46&amp;", "&amp;$B46&amp;", "&amp;$C46&amp;"; ","")</f>
        <v/>
      </c>
      <c r="BL46" s="1879" t="str">
        <f>IF(AND($P$8=1,$B46="Long length",'6a_Health_full_time'!G39&lt;&gt;0),BL$18&amp;", "&amp;BL$19&amp;", "&amp;$A46&amp;", "&amp;$B46&amp;", "&amp;$C46&amp;"; ","")</f>
        <v/>
      </c>
      <c r="BM46" s="1653" t="str">
        <f>IF(AND($P$8=1,$B46="Long length",'6a_Health_full_time'!H39&lt;&gt;0),BM$18&amp;", "&amp;BM$19&amp;", "&amp;$A46&amp;", "&amp;$B46&amp;", "&amp;$C46&amp;"; ","")</f>
        <v/>
      </c>
      <c r="BN46" s="1653" t="str">
        <f>IF(AND($P$8=1,$B46="Long length",'6a_Health_full_time'!I39&lt;&gt;0),BN$18&amp;", "&amp;BN$19&amp;", "&amp;$A46&amp;", "&amp;$B46&amp;", "&amp;$C46&amp;"; ","")</f>
        <v/>
      </c>
      <c r="BO46" s="131"/>
    </row>
    <row r="47" spans="1:67" x14ac:dyDescent="0.35">
      <c r="A47" t="s">
        <v>27899</v>
      </c>
      <c r="B47" t="s">
        <v>27888</v>
      </c>
      <c r="C47" t="s">
        <v>27891</v>
      </c>
      <c r="E47" s="118"/>
      <c r="G47" s="333" t="str">
        <f>IF(AND($D$8=1,'6a_Health_full_time'!D40&lt;0),G$18&amp;", "&amp;G$19&amp;", "&amp;$A47&amp;", "&amp;$B47&amp;", "&amp;$C47&amp;"; ","")</f>
        <v/>
      </c>
      <c r="H47" s="108" t="str">
        <f>IF(AND($D$8=1,'6a_Health_full_time'!E40&lt;0),H$18&amp;", "&amp;H$19&amp;", "&amp;$A47&amp;", "&amp;$B47&amp;", "&amp;$C47&amp;"; ","")</f>
        <v/>
      </c>
      <c r="I47" s="108" t="str">
        <f>IF(AND($D$8=1,'6a_Health_full_time'!F40&lt;0),I$18&amp;", "&amp;I$19&amp;", "&amp;$A47&amp;", "&amp;$B47&amp;", "&amp;$C47&amp;"; ","")</f>
        <v/>
      </c>
      <c r="J47" s="333" t="str">
        <f>IF(AND($D$8=1,'6a_Health_full_time'!G40&lt;0),J$18&amp;", "&amp;J$19&amp;", "&amp;$A47&amp;", "&amp;$B47&amp;", "&amp;$C47&amp;"; ","")</f>
        <v/>
      </c>
      <c r="K47" s="108" t="str">
        <f>IF(AND($D$8=1,'6a_Health_full_time'!H40&lt;0),K$18&amp;", "&amp;K$19&amp;", "&amp;$A47&amp;", "&amp;$B47&amp;", "&amp;$C47&amp;"; ","")</f>
        <v/>
      </c>
      <c r="L47" s="210" t="str">
        <f>IF(AND($D$8=1,'6a_Health_full_time'!I40&lt;0),L$18&amp;", "&amp;L$19&amp;", "&amp;$A47&amp;", "&amp;$B47&amp;", "&amp;$C47&amp;"; ","")</f>
        <v/>
      </c>
      <c r="N47" s="118"/>
      <c r="P47" s="338"/>
      <c r="Q47" s="112"/>
      <c r="R47" s="112"/>
      <c r="S47" s="338"/>
      <c r="T47" s="112"/>
      <c r="U47" s="481"/>
      <c r="W47" s="118"/>
      <c r="Y47" s="109" t="str">
        <f>IF(AND($F$8=1,'6a_Health_full_time'!D40&lt;&gt;"",ABS('6a_Health_full_time'!D40)-INT(ABS('6a_Health_full_time'!D40))&lt;&gt;0,ABS('6a_Health_full_time'!D40)-INT(ABS('6a_Health_full_time'!D40))&lt;&gt;0.5),Y$18&amp;", "&amp;Y$19&amp;", "&amp;$A47&amp;", "&amp;$B47&amp;", "&amp;$C47&amp;"; ","")</f>
        <v/>
      </c>
      <c r="Z47" s="210" t="str">
        <f>IF(AND($F$8=1,'6a_Health_full_time'!E40&lt;&gt;"",ABS('6a_Health_full_time'!E40)-INT(ABS('6a_Health_full_time'!E40))&lt;&gt;0,ABS('6a_Health_full_time'!E40)-INT(ABS('6a_Health_full_time'!E40))&lt;&gt;0.5),Z$18&amp;", "&amp;Z$19&amp;", "&amp;$A47&amp;", "&amp;$B47&amp;", "&amp;$C47&amp;"; ","")</f>
        <v/>
      </c>
      <c r="AA47" s="210" t="str">
        <f>IF(AND($F$8=1,'6a_Health_full_time'!F40&lt;&gt;"",ABS('6a_Health_full_time'!F40)-INT(ABS('6a_Health_full_time'!F40))&lt;&gt;0,ABS('6a_Health_full_time'!F40)-INT(ABS('6a_Health_full_time'!F40))&lt;&gt;0.5),AA$18&amp;", "&amp;AA$19&amp;", "&amp;$A47&amp;", "&amp;$B47&amp;", "&amp;$C47&amp;"; ","")</f>
        <v/>
      </c>
      <c r="AB47" s="109" t="str">
        <f>IF(AND($F$8=1,'6a_Health_full_time'!G40&lt;&gt;"",ABS('6a_Health_full_time'!G40)-INT(ABS('6a_Health_full_time'!G40))&lt;&gt;0,ABS('6a_Health_full_time'!G40)-INT(ABS('6a_Health_full_time'!G40))&lt;&gt;0.5),AB$18&amp;", "&amp;AB$19&amp;", "&amp;$A47&amp;", "&amp;$B47&amp;", "&amp;$C47&amp;"; ","")</f>
        <v/>
      </c>
      <c r="AC47" s="210" t="str">
        <f>IF(AND($F$8=1,'6a_Health_full_time'!H40&lt;&gt;"",ABS('6a_Health_full_time'!H40)-INT(ABS('6a_Health_full_time'!H40))&lt;&gt;0,ABS('6a_Health_full_time'!H40)-INT(ABS('6a_Health_full_time'!H40))&lt;&gt;0.5),AC$18&amp;", "&amp;AC$19&amp;", "&amp;$A47&amp;", "&amp;$B47&amp;", "&amp;$C47&amp;"; ","")</f>
        <v/>
      </c>
      <c r="AD47" s="210" t="str">
        <f>IF(AND($F$8=1,'6a_Health_full_time'!I40&lt;&gt;"",ABS('6a_Health_full_time'!I40)-INT(ABS('6a_Health_full_time'!I40))&lt;&gt;0,ABS('6a_Health_full_time'!I40)-INT(ABS('6a_Health_full_time'!I40))&lt;&gt;0.5),AD$18&amp;", "&amp;AD$19&amp;", "&amp;$A47&amp;", "&amp;$B47&amp;", "&amp;$C47&amp;"; ","")</f>
        <v/>
      </c>
      <c r="AF47" s="118"/>
      <c r="AH47" t="s">
        <v>238</v>
      </c>
      <c r="AI47" t="s">
        <v>27888</v>
      </c>
      <c r="AJ47" t="s">
        <v>27891</v>
      </c>
      <c r="AK47" s="109">
        <f>'1_Full_time'!G38</f>
        <v>0</v>
      </c>
      <c r="AL47" s="630">
        <f>'1_Full_time'!H38</f>
        <v>0</v>
      </c>
      <c r="AM47" s="116"/>
      <c r="AN47" s="109">
        <f>'1_Full_time'!J38</f>
        <v>0</v>
      </c>
      <c r="AO47" s="108">
        <f>'1_Full_time'!K38</f>
        <v>0</v>
      </c>
      <c r="AP47" s="116"/>
      <c r="AR47" s="118"/>
      <c r="AU47" s="562" t="str">
        <f>IF(AND($I$8=1,ABS(SUM('6a_Health_full_time'!D40:E40))&lt;ABS('6a_Health_full_time'!F40)),AU$18&amp;", "&amp;$A47&amp;", "&amp;$B47&amp;", "&amp;$C47&amp;"; ","")</f>
        <v/>
      </c>
      <c r="AX47" s="484" t="str">
        <f>IF(AND($I$8=1,ABS(SUM('6a_Health_full_time'!G40:H40))&lt;ABS('6a_Health_full_time'!I40)),AX$18&amp;", "&amp;$A47&amp;", "&amp;$B47&amp;", "&amp;$C47&amp;"; ","")</f>
        <v/>
      </c>
      <c r="AY47" s="17"/>
      <c r="BH47" s="130"/>
      <c r="BI47" s="333" t="str">
        <f>IF(AND($P$8=1,$B47="Long length",'6a_Health_full_time'!D40&lt;&gt;0),BI$18&amp;", "&amp;BI$19&amp;", "&amp;$A47&amp;", "&amp;$B47&amp;", "&amp;$C47&amp;"; ","")</f>
        <v/>
      </c>
      <c r="BJ47" s="335" t="str">
        <f>IF(AND($P$8=1,$B47="Long length",'6a_Health_full_time'!E40&lt;&gt;0),BJ$18&amp;", "&amp;BJ$19&amp;", "&amp;$A47&amp;", "&amp;$B47&amp;", "&amp;$C47&amp;"; ","")</f>
        <v/>
      </c>
      <c r="BK47" s="335" t="str">
        <f>IF(AND($P$8=1,$B47="Long length",'6a_Health_full_time'!F40&lt;&gt;0),BK$18&amp;", "&amp;BK$19&amp;", "&amp;$A47&amp;", "&amp;$B47&amp;", "&amp;$C47&amp;"; ","")</f>
        <v/>
      </c>
      <c r="BL47" s="333" t="str">
        <f>IF(AND($P$8=1,$B47="Long length",'6a_Health_full_time'!G40&lt;&gt;0),BL$18&amp;", "&amp;BL$19&amp;", "&amp;$A47&amp;", "&amp;$B47&amp;", "&amp;$C47&amp;"; ","")</f>
        <v/>
      </c>
      <c r="BM47" s="335" t="str">
        <f>IF(AND($P$8=1,$B47="Long length",'6a_Health_full_time'!H40&lt;&gt;0),BM$18&amp;", "&amp;BM$19&amp;", "&amp;$A47&amp;", "&amp;$B47&amp;", "&amp;$C47&amp;"; ","")</f>
        <v/>
      </c>
      <c r="BN47" s="335" t="str">
        <f>IF(AND($P$8=1,$B47="Long length",'6a_Health_full_time'!I40&lt;&gt;0),BN$18&amp;", "&amp;BN$19&amp;", "&amp;$A47&amp;", "&amp;$B47&amp;", "&amp;$C47&amp;"; ","")</f>
        <v/>
      </c>
      <c r="BO47" s="131"/>
    </row>
    <row r="48" spans="1:67" x14ac:dyDescent="0.35">
      <c r="A48" t="s">
        <v>27899</v>
      </c>
      <c r="B48" t="s">
        <v>27892</v>
      </c>
      <c r="C48" t="s">
        <v>27889</v>
      </c>
      <c r="E48" s="118"/>
      <c r="G48" s="333" t="str">
        <f>IF(AND($D$8=1,'6a_Health_full_time'!D41&lt;0),G$18&amp;", "&amp;G$19&amp;", "&amp;$A48&amp;", "&amp;$B48&amp;", "&amp;$C48&amp;"; ","")</f>
        <v/>
      </c>
      <c r="H48" s="108" t="str">
        <f>IF(AND($D$8=1,'6a_Health_full_time'!E41&lt;0),H$18&amp;", "&amp;H$19&amp;", "&amp;$A48&amp;", "&amp;$B48&amp;", "&amp;$C48&amp;"; ","")</f>
        <v/>
      </c>
      <c r="I48" s="108" t="str">
        <f>IF(AND($D$8=1,'6a_Health_full_time'!F41&lt;0),I$18&amp;", "&amp;I$19&amp;", "&amp;$A48&amp;", "&amp;$B48&amp;", "&amp;$C48&amp;"; ","")</f>
        <v/>
      </c>
      <c r="J48" s="333" t="str">
        <f>IF(AND($D$8=1,'6a_Health_full_time'!G41&lt;0),J$18&amp;", "&amp;J$19&amp;", "&amp;$A48&amp;", "&amp;$B48&amp;", "&amp;$C48&amp;"; ","")</f>
        <v/>
      </c>
      <c r="K48" s="108" t="str">
        <f>IF(AND($D$8=1,'6a_Health_full_time'!H41&lt;0),K$18&amp;", "&amp;K$19&amp;", "&amp;$A48&amp;", "&amp;$B48&amp;", "&amp;$C48&amp;"; ","")</f>
        <v/>
      </c>
      <c r="L48" s="210" t="str">
        <f>IF(AND($D$8=1,'6a_Health_full_time'!I41&lt;0),L$18&amp;", "&amp;L$19&amp;", "&amp;$A48&amp;", "&amp;$B48&amp;", "&amp;$C48&amp;"; ","")</f>
        <v/>
      </c>
      <c r="N48" s="118"/>
      <c r="P48" s="338"/>
      <c r="Q48" s="112"/>
      <c r="R48" s="112"/>
      <c r="S48" s="338"/>
      <c r="T48" s="112"/>
      <c r="U48" s="481"/>
      <c r="W48" s="118"/>
      <c r="Y48" s="109" t="str">
        <f>IF(AND($F$8=1,'6a_Health_full_time'!D41&lt;&gt;"",ABS('6a_Health_full_time'!D41)-INT(ABS('6a_Health_full_time'!D41))&lt;&gt;0,ABS('6a_Health_full_time'!D41)-INT(ABS('6a_Health_full_time'!D41))&lt;&gt;0.5),Y$18&amp;", "&amp;Y$19&amp;", "&amp;$A48&amp;", "&amp;$B48&amp;", "&amp;$C48&amp;"; ","")</f>
        <v/>
      </c>
      <c r="Z48" s="210" t="str">
        <f>IF(AND($F$8=1,'6a_Health_full_time'!E41&lt;&gt;"",ABS('6a_Health_full_time'!E41)-INT(ABS('6a_Health_full_time'!E41))&lt;&gt;0,ABS('6a_Health_full_time'!E41)-INT(ABS('6a_Health_full_time'!E41))&lt;&gt;0.5),Z$18&amp;", "&amp;Z$19&amp;", "&amp;$A48&amp;", "&amp;$B48&amp;", "&amp;$C48&amp;"; ","")</f>
        <v/>
      </c>
      <c r="AA48" s="210" t="str">
        <f>IF(AND($F$8=1,'6a_Health_full_time'!F41&lt;&gt;"",ABS('6a_Health_full_time'!F41)-INT(ABS('6a_Health_full_time'!F41))&lt;&gt;0,ABS('6a_Health_full_time'!F41)-INT(ABS('6a_Health_full_time'!F41))&lt;&gt;0.5),AA$18&amp;", "&amp;AA$19&amp;", "&amp;$A48&amp;", "&amp;$B48&amp;", "&amp;$C48&amp;"; ","")</f>
        <v/>
      </c>
      <c r="AB48" s="109" t="str">
        <f>IF(AND($F$8=1,'6a_Health_full_time'!G41&lt;&gt;"",ABS('6a_Health_full_time'!G41)-INT(ABS('6a_Health_full_time'!G41))&lt;&gt;0,ABS('6a_Health_full_time'!G41)-INT(ABS('6a_Health_full_time'!G41))&lt;&gt;0.5),AB$18&amp;", "&amp;AB$19&amp;", "&amp;$A48&amp;", "&amp;$B48&amp;", "&amp;$C48&amp;"; ","")</f>
        <v/>
      </c>
      <c r="AC48" s="210" t="str">
        <f>IF(AND($F$8=1,'6a_Health_full_time'!H41&lt;&gt;"",ABS('6a_Health_full_time'!H41)-INT(ABS('6a_Health_full_time'!H41))&lt;&gt;0,ABS('6a_Health_full_time'!H41)-INT(ABS('6a_Health_full_time'!H41))&lt;&gt;0.5),AC$18&amp;", "&amp;AC$19&amp;", "&amp;$A48&amp;", "&amp;$B48&amp;", "&amp;$C48&amp;"; ","")</f>
        <v/>
      </c>
      <c r="AD48" s="210" t="str">
        <f>IF(AND($F$8=1,'6a_Health_full_time'!I41&lt;&gt;"",ABS('6a_Health_full_time'!I41)-INT(ABS('6a_Health_full_time'!I41))&lt;&gt;0,ABS('6a_Health_full_time'!I41)-INT(ABS('6a_Health_full_time'!I41))&lt;&gt;0.5),AD$18&amp;", "&amp;AD$19&amp;", "&amp;$A48&amp;", "&amp;$B48&amp;", "&amp;$C48&amp;"; ","")</f>
        <v/>
      </c>
      <c r="AF48" s="118"/>
      <c r="AH48" t="s">
        <v>238</v>
      </c>
      <c r="AI48" t="s">
        <v>27892</v>
      </c>
      <c r="AJ48" t="s">
        <v>27889</v>
      </c>
      <c r="AK48" s="109">
        <f>SUM('1_Full_time'!G42:G43)</f>
        <v>0</v>
      </c>
      <c r="AL48" s="630">
        <f>SUM('1_Full_time'!H42:H43)</f>
        <v>0</v>
      </c>
      <c r="AM48" s="116"/>
      <c r="AN48" s="109">
        <f>SUM('1_Full_time'!J42:J43)</f>
        <v>0</v>
      </c>
      <c r="AO48" s="108">
        <f>SUM('1_Full_time'!K42:K43)</f>
        <v>0</v>
      </c>
      <c r="AP48" s="116"/>
      <c r="AR48" s="118"/>
      <c r="AU48" s="562" t="str">
        <f>IF(AND($I$8=1,ABS(SUM('6a_Health_full_time'!D41:E41))&lt;ABS('6a_Health_full_time'!F41)),AU$18&amp;", "&amp;$A48&amp;", "&amp;$B48&amp;", "&amp;$C48&amp;"; ","")</f>
        <v/>
      </c>
      <c r="AX48" s="484" t="str">
        <f>IF(AND($I$8=1,ABS(SUM('6a_Health_full_time'!G41:H41))&lt;ABS('6a_Health_full_time'!I41)),AX$18&amp;", "&amp;$A48&amp;", "&amp;$B48&amp;", "&amp;$C48&amp;"; ","")</f>
        <v/>
      </c>
      <c r="AY48" s="17"/>
      <c r="BH48" s="130"/>
      <c r="BI48" s="333" t="str">
        <f>IF(AND($P$8=1,$B48="Long length",'6a_Health_full_time'!D41&lt;&gt;0),BI$18&amp;", "&amp;BI$19&amp;", "&amp;$A48&amp;", "&amp;$B48&amp;", "&amp;$C48&amp;"; ","")</f>
        <v/>
      </c>
      <c r="BJ48" s="108" t="str">
        <f>IF(AND($P$8=1,$B48="Long length",'6a_Health_full_time'!E41&lt;&gt;0),BJ$18&amp;", "&amp;BJ$19&amp;", "&amp;$A48&amp;", "&amp;$B48&amp;", "&amp;$C48&amp;"; ","")</f>
        <v/>
      </c>
      <c r="BK48" s="108" t="str">
        <f>IF(AND($P$8=1,$B48="Long length",'6a_Health_full_time'!F41&lt;&gt;0),BK$18&amp;", "&amp;BK$19&amp;", "&amp;$A48&amp;", "&amp;$B48&amp;", "&amp;$C48&amp;"; ","")</f>
        <v/>
      </c>
      <c r="BL48" s="333" t="str">
        <f>IF(AND($P$8=1,$B48="Long length",'6a_Health_full_time'!G41&lt;&gt;0),BL$18&amp;", "&amp;BL$19&amp;", "&amp;$A48&amp;", "&amp;$B48&amp;", "&amp;$C48&amp;"; ","")</f>
        <v/>
      </c>
      <c r="BM48" s="108" t="str">
        <f>IF(AND($P$8=1,$B48="Long length",'6a_Health_full_time'!H41&lt;&gt;0),BM$18&amp;", "&amp;BM$19&amp;", "&amp;$A48&amp;", "&amp;$B48&amp;", "&amp;$C48&amp;"; ","")</f>
        <v/>
      </c>
      <c r="BN48" s="108" t="str">
        <f>IF(AND($P$8=1,$B48="Long length",'6a_Health_full_time'!I41&lt;&gt;0),BN$18&amp;", "&amp;BN$19&amp;", "&amp;$A48&amp;", "&amp;$B48&amp;", "&amp;$C48&amp;"; ","")</f>
        <v/>
      </c>
      <c r="BO48" s="131"/>
    </row>
    <row r="49" spans="1:67" x14ac:dyDescent="0.35">
      <c r="A49" t="s">
        <v>27899</v>
      </c>
      <c r="B49" t="s">
        <v>27892</v>
      </c>
      <c r="C49" t="s">
        <v>27891</v>
      </c>
      <c r="E49" s="118"/>
      <c r="G49" s="333" t="str">
        <f>IF(AND($D$8=1,'6a_Health_full_time'!D42&lt;0),G$18&amp;", "&amp;G$19&amp;", "&amp;$A49&amp;", "&amp;$B49&amp;", "&amp;$C49&amp;"; ","")</f>
        <v/>
      </c>
      <c r="H49" s="108" t="str">
        <f>IF(AND($D$8=1,'6a_Health_full_time'!E42&lt;0),H$18&amp;", "&amp;H$19&amp;", "&amp;$A49&amp;", "&amp;$B49&amp;", "&amp;$C49&amp;"; ","")</f>
        <v/>
      </c>
      <c r="I49" s="108" t="str">
        <f>IF(AND($D$8=1,'6a_Health_full_time'!F42&lt;0),I$18&amp;", "&amp;I$19&amp;", "&amp;$A49&amp;", "&amp;$B49&amp;", "&amp;$C49&amp;"; ","")</f>
        <v/>
      </c>
      <c r="J49" s="333" t="str">
        <f>IF(AND($D$8=1,'6a_Health_full_time'!G42&lt;0),J$18&amp;", "&amp;J$19&amp;", "&amp;$A49&amp;", "&amp;$B49&amp;", "&amp;$C49&amp;"; ","")</f>
        <v/>
      </c>
      <c r="K49" s="108" t="str">
        <f>IF(AND($D$8=1,'6a_Health_full_time'!H42&lt;0),K$18&amp;", "&amp;K$19&amp;", "&amp;$A49&amp;", "&amp;$B49&amp;", "&amp;$C49&amp;"; ","")</f>
        <v/>
      </c>
      <c r="L49" s="210" t="str">
        <f>IF(AND($D$8=1,'6a_Health_full_time'!I42&lt;0),L$18&amp;", "&amp;L$19&amp;", "&amp;$A49&amp;", "&amp;$B49&amp;", "&amp;$C49&amp;"; ","")</f>
        <v/>
      </c>
      <c r="N49" s="118"/>
      <c r="P49" s="338"/>
      <c r="Q49" s="112"/>
      <c r="R49" s="112"/>
      <c r="S49" s="338"/>
      <c r="T49" s="112"/>
      <c r="U49" s="481"/>
      <c r="W49" s="118"/>
      <c r="Y49" s="109" t="str">
        <f>IF(AND($F$8=1,'6a_Health_full_time'!D42&lt;&gt;"",ABS('6a_Health_full_time'!D42)-INT(ABS('6a_Health_full_time'!D42))&lt;&gt;0,ABS('6a_Health_full_time'!D42)-INT(ABS('6a_Health_full_time'!D42))&lt;&gt;0.5),Y$18&amp;", "&amp;Y$19&amp;", "&amp;$A49&amp;", "&amp;$B49&amp;", "&amp;$C49&amp;"; ","")</f>
        <v/>
      </c>
      <c r="Z49" s="210" t="str">
        <f>IF(AND($F$8=1,'6a_Health_full_time'!E42&lt;&gt;"",ABS('6a_Health_full_time'!E42)-INT(ABS('6a_Health_full_time'!E42))&lt;&gt;0,ABS('6a_Health_full_time'!E42)-INT(ABS('6a_Health_full_time'!E42))&lt;&gt;0.5),Z$18&amp;", "&amp;Z$19&amp;", "&amp;$A49&amp;", "&amp;$B49&amp;", "&amp;$C49&amp;"; ","")</f>
        <v/>
      </c>
      <c r="AA49" s="210" t="str">
        <f>IF(AND($F$8=1,'6a_Health_full_time'!F42&lt;&gt;"",ABS('6a_Health_full_time'!F42)-INT(ABS('6a_Health_full_time'!F42))&lt;&gt;0,ABS('6a_Health_full_time'!F42)-INT(ABS('6a_Health_full_time'!F42))&lt;&gt;0.5),AA$18&amp;", "&amp;AA$19&amp;", "&amp;$A49&amp;", "&amp;$B49&amp;", "&amp;$C49&amp;"; ","")</f>
        <v/>
      </c>
      <c r="AB49" s="109" t="str">
        <f>IF(AND($F$8=1,'6a_Health_full_time'!G42&lt;&gt;"",ABS('6a_Health_full_time'!G42)-INT(ABS('6a_Health_full_time'!G42))&lt;&gt;0,ABS('6a_Health_full_time'!G42)-INT(ABS('6a_Health_full_time'!G42))&lt;&gt;0.5),AB$18&amp;", "&amp;AB$19&amp;", "&amp;$A49&amp;", "&amp;$B49&amp;", "&amp;$C49&amp;"; ","")</f>
        <v/>
      </c>
      <c r="AC49" s="210" t="str">
        <f>IF(AND($F$8=1,'6a_Health_full_time'!H42&lt;&gt;"",ABS('6a_Health_full_time'!H42)-INT(ABS('6a_Health_full_time'!H42))&lt;&gt;0,ABS('6a_Health_full_time'!H42)-INT(ABS('6a_Health_full_time'!H42))&lt;&gt;0.5),AC$18&amp;", "&amp;AC$19&amp;", "&amp;$A49&amp;", "&amp;$B49&amp;", "&amp;$C49&amp;"; ","")</f>
        <v/>
      </c>
      <c r="AD49" s="210" t="str">
        <f>IF(AND($F$8=1,'6a_Health_full_time'!I42&lt;&gt;"",ABS('6a_Health_full_time'!I42)-INT(ABS('6a_Health_full_time'!I42))&lt;&gt;0,ABS('6a_Health_full_time'!I42)-INT(ABS('6a_Health_full_time'!I42))&lt;&gt;0.5),AD$18&amp;", "&amp;AD$19&amp;", "&amp;$A49&amp;", "&amp;$B49&amp;", "&amp;$C49&amp;"; ","")</f>
        <v/>
      </c>
      <c r="AF49" s="118"/>
      <c r="AH49" t="s">
        <v>238</v>
      </c>
      <c r="AI49" t="s">
        <v>27892</v>
      </c>
      <c r="AJ49" t="s">
        <v>27891</v>
      </c>
      <c r="AK49" s="124">
        <f>'1_Full_time'!G44</f>
        <v>0</v>
      </c>
      <c r="AL49" s="629">
        <f>'1_Full_time'!H44</f>
        <v>0</v>
      </c>
      <c r="AM49" s="122"/>
      <c r="AN49" s="124">
        <f>'1_Full_time'!J44</f>
        <v>0</v>
      </c>
      <c r="AO49" s="125">
        <f>'1_Full_time'!K44</f>
        <v>0</v>
      </c>
      <c r="AP49" s="122"/>
      <c r="AR49" s="118"/>
      <c r="AU49" s="562" t="str">
        <f>IF(AND($I$8=1,ABS(SUM('6a_Health_full_time'!D42:E42))&lt;ABS('6a_Health_full_time'!F42)),AU$18&amp;", "&amp;$A49&amp;", "&amp;$B49&amp;", "&amp;$C49&amp;"; ","")</f>
        <v/>
      </c>
      <c r="AX49" s="484" t="str">
        <f>IF(AND($I$8=1,ABS(SUM('6a_Health_full_time'!G42:H42))&lt;ABS('6a_Health_full_time'!I42)),AX$18&amp;", "&amp;$A49&amp;", "&amp;$B49&amp;", "&amp;$C49&amp;"; ","")</f>
        <v/>
      </c>
      <c r="AY49" s="17"/>
      <c r="BH49" s="130"/>
      <c r="BI49" s="333" t="str">
        <f>IF(AND($P$8=1,$B49="Long length",'6a_Health_full_time'!D42&lt;&gt;0),BI$18&amp;", "&amp;BI$19&amp;", "&amp;$A49&amp;", "&amp;$B49&amp;", "&amp;$C49&amp;"; ","")</f>
        <v/>
      </c>
      <c r="BJ49" s="108" t="str">
        <f>IF(AND($P$8=1,$B49="Long length",'6a_Health_full_time'!E42&lt;&gt;0),BJ$18&amp;", "&amp;BJ$19&amp;", "&amp;$A49&amp;", "&amp;$B49&amp;", "&amp;$C49&amp;"; ","")</f>
        <v/>
      </c>
      <c r="BK49" s="108" t="str">
        <f>IF(AND($P$8=1,$B49="Long length",'6a_Health_full_time'!F42&lt;&gt;0),BK$18&amp;", "&amp;BK$19&amp;", "&amp;$A49&amp;", "&amp;$B49&amp;", "&amp;$C49&amp;"; ","")</f>
        <v/>
      </c>
      <c r="BL49" s="333" t="str">
        <f>IF(AND($P$8=1,$B49="Long length",'6a_Health_full_time'!G42&lt;&gt;0),BL$18&amp;", "&amp;BL$19&amp;", "&amp;$A49&amp;", "&amp;$B49&amp;", "&amp;$C49&amp;"; ","")</f>
        <v/>
      </c>
      <c r="BM49" s="108" t="str">
        <f>IF(AND($P$8=1,$B49="Long length",'6a_Health_full_time'!H42&lt;&gt;0),BM$18&amp;", "&amp;BM$19&amp;", "&amp;$A49&amp;", "&amp;$B49&amp;", "&amp;$C49&amp;"; ","")</f>
        <v/>
      </c>
      <c r="BN49" s="108" t="str">
        <f>IF(AND($P$8=1,$B49="Long length",'6a_Health_full_time'!I42&lt;&gt;0),BN$18&amp;", "&amp;BN$19&amp;", "&amp;$A49&amp;", "&amp;$B49&amp;", "&amp;$C49&amp;"; ","")</f>
        <v/>
      </c>
      <c r="BO49" s="131"/>
    </row>
    <row r="50" spans="1:67" x14ac:dyDescent="0.35">
      <c r="A50" t="s">
        <v>27900</v>
      </c>
      <c r="B50" t="s">
        <v>27888</v>
      </c>
      <c r="C50" t="s">
        <v>27889</v>
      </c>
      <c r="E50" s="118"/>
      <c r="G50" s="1879" t="str">
        <f>IF(AND($D$8=1,'6a_Health_full_time'!D43&lt;0),G$18&amp;", "&amp;G$19&amp;", "&amp;$A50&amp;", "&amp;$B50&amp;", "&amp;$C50&amp;"; ","")</f>
        <v/>
      </c>
      <c r="H50" s="1653" t="str">
        <f>IF(AND($D$8=1,'6a_Health_full_time'!E43&lt;0),H$18&amp;", "&amp;H$19&amp;", "&amp;$A50&amp;", "&amp;$B50&amp;", "&amp;$C50&amp;"; ","")</f>
        <v/>
      </c>
      <c r="I50" s="1653" t="str">
        <f>IF(AND($D$8=1,'6a_Health_full_time'!F43&lt;0),I$18&amp;", "&amp;I$19&amp;", "&amp;$A50&amp;", "&amp;$B50&amp;", "&amp;$C50&amp;"; ","")</f>
        <v/>
      </c>
      <c r="J50" s="1879" t="str">
        <f>IF(AND($D$8=1,'6a_Health_full_time'!G43&lt;0),J$18&amp;", "&amp;J$19&amp;", "&amp;$A50&amp;", "&amp;$B50&amp;", "&amp;$C50&amp;"; ","")</f>
        <v/>
      </c>
      <c r="K50" s="1653" t="str">
        <f>IF(AND($D$8=1,'6a_Health_full_time'!H43&lt;0),K$18&amp;", "&amp;K$19&amp;", "&amp;$A50&amp;", "&amp;$B50&amp;", "&amp;$C50&amp;"; ","")</f>
        <v/>
      </c>
      <c r="L50" s="2191" t="str">
        <f>IF(AND($D$8=1,'6a_Health_full_time'!I43&lt;0),L$18&amp;", "&amp;L$19&amp;", "&amp;$A50&amp;", "&amp;$B50&amp;", "&amp;$C50&amp;"; ","")</f>
        <v/>
      </c>
      <c r="N50" s="118"/>
      <c r="P50" s="1880"/>
      <c r="Q50" s="1654"/>
      <c r="R50" s="1654"/>
      <c r="S50" s="1880"/>
      <c r="T50" s="1654"/>
      <c r="U50" s="2188"/>
      <c r="W50" s="118"/>
      <c r="Y50" s="1885" t="str">
        <f>IF(AND($F$8=1,'6a_Health_full_time'!D43&lt;&gt;"",ABS('6a_Health_full_time'!D43)-INT(ABS('6a_Health_full_time'!D43))&lt;&gt;0,ABS('6a_Health_full_time'!D43)-INT(ABS('6a_Health_full_time'!D43))&lt;&gt;0.5),Y$18&amp;", "&amp;Y$19&amp;", "&amp;$A50&amp;", "&amp;$B50&amp;", "&amp;$C50&amp;"; ","")</f>
        <v/>
      </c>
      <c r="Z50" s="1890" t="str">
        <f>IF(AND($F$8=1,'6a_Health_full_time'!E43&lt;&gt;"",ABS('6a_Health_full_time'!E43)-INT(ABS('6a_Health_full_time'!E43))&lt;&gt;0,ABS('6a_Health_full_time'!E43)-INT(ABS('6a_Health_full_time'!E43))&lt;&gt;0.5),Z$18&amp;", "&amp;Z$19&amp;", "&amp;$A50&amp;", "&amp;$B50&amp;", "&amp;$C50&amp;"; ","")</f>
        <v/>
      </c>
      <c r="AA50" s="1890" t="str">
        <f>IF(AND($F$8=1,'6a_Health_full_time'!F43&lt;&gt;"",ABS('6a_Health_full_time'!F43)-INT(ABS('6a_Health_full_time'!F43))&lt;&gt;0,ABS('6a_Health_full_time'!F43)-INT(ABS('6a_Health_full_time'!F43))&lt;&gt;0.5),AA$18&amp;", "&amp;AA$19&amp;", "&amp;$A50&amp;", "&amp;$B50&amp;", "&amp;$C50&amp;"; ","")</f>
        <v/>
      </c>
      <c r="AB50" s="1885" t="str">
        <f>IF(AND($F$8=1,'6a_Health_full_time'!G43&lt;&gt;"",ABS('6a_Health_full_time'!G43)-INT(ABS('6a_Health_full_time'!G43))&lt;&gt;0,ABS('6a_Health_full_time'!G43)-INT(ABS('6a_Health_full_time'!G43))&lt;&gt;0.5),AB$18&amp;", "&amp;AB$19&amp;", "&amp;$A50&amp;", "&amp;$B50&amp;", "&amp;$C50&amp;"; ","")</f>
        <v/>
      </c>
      <c r="AC50" s="1890" t="str">
        <f>IF(AND($F$8=1,'6a_Health_full_time'!H43&lt;&gt;"",ABS('6a_Health_full_time'!H43)-INT(ABS('6a_Health_full_time'!H43))&lt;&gt;0,ABS('6a_Health_full_time'!H43)-INT(ABS('6a_Health_full_time'!H43))&lt;&gt;0.5),AC$18&amp;", "&amp;AC$19&amp;", "&amp;$A50&amp;", "&amp;$B50&amp;", "&amp;$C50&amp;"; ","")</f>
        <v/>
      </c>
      <c r="AD50" s="1890" t="str">
        <f>IF(AND($F$8=1,'6a_Health_full_time'!I43&lt;&gt;"",ABS('6a_Health_full_time'!I43)-INT(ABS('6a_Health_full_time'!I43))&lt;&gt;0,ABS('6a_Health_full_time'!I43)-INT(ABS('6a_Health_full_time'!I43))&lt;&gt;0.5),AD$18&amp;", "&amp;AD$19&amp;", "&amp;$A50&amp;", "&amp;$B50&amp;", "&amp;$C50&amp;"; ","")</f>
        <v/>
      </c>
      <c r="AF50" s="118"/>
      <c r="AK50" t="s">
        <v>27679</v>
      </c>
      <c r="AL50" t="s">
        <v>27679</v>
      </c>
      <c r="AN50" t="s">
        <v>27680</v>
      </c>
      <c r="AO50" t="s">
        <v>27680</v>
      </c>
      <c r="AR50" s="118"/>
      <c r="AU50" s="1886" t="str">
        <f>IF(AND($I$8=1,ABS(SUM('6a_Health_full_time'!D43:E43))&lt;ABS('6a_Health_full_time'!F43)),AU$18&amp;", "&amp;$A50&amp;", "&amp;$B50&amp;", "&amp;$C50&amp;"; ","")</f>
        <v/>
      </c>
      <c r="AX50" s="1896" t="str">
        <f>IF(AND($I$8=1,ABS(SUM('6a_Health_full_time'!G43:H43))&lt;ABS('6a_Health_full_time'!I43)),AX$18&amp;", "&amp;$A50&amp;", "&amp;$B50&amp;", "&amp;$C50&amp;"; ","")</f>
        <v/>
      </c>
      <c r="AY50" s="17"/>
      <c r="BH50" s="130"/>
      <c r="BI50" s="1879" t="str">
        <f>IF(AND($P$8=1,$B50="Long length",'6a_Health_full_time'!D43&lt;&gt;0),BI$18&amp;", "&amp;BI$19&amp;", "&amp;$A50&amp;", "&amp;$B50&amp;", "&amp;$C50&amp;"; ","")</f>
        <v/>
      </c>
      <c r="BJ50" s="1653" t="str">
        <f>IF(AND($P$8=1,$B50="Long length",'6a_Health_full_time'!E43&lt;&gt;0),BJ$18&amp;", "&amp;BJ$19&amp;", "&amp;$A50&amp;", "&amp;$B50&amp;", "&amp;$C50&amp;"; ","")</f>
        <v/>
      </c>
      <c r="BK50" s="1653" t="str">
        <f>IF(AND($P$8=1,$B50="Long length",'6a_Health_full_time'!F43&lt;&gt;0),BK$18&amp;", "&amp;BK$19&amp;", "&amp;$A50&amp;", "&amp;$B50&amp;", "&amp;$C50&amp;"; ","")</f>
        <v/>
      </c>
      <c r="BL50" s="1879" t="str">
        <f>IF(AND($P$8=1,$B50="Long length",'6a_Health_full_time'!G43&lt;&gt;0),BL$18&amp;", "&amp;BL$19&amp;", "&amp;$A50&amp;", "&amp;$B50&amp;", "&amp;$C50&amp;"; ","")</f>
        <v/>
      </c>
      <c r="BM50" s="1653" t="str">
        <f>IF(AND($P$8=1,$B50="Long length",'6a_Health_full_time'!H43&lt;&gt;0),BM$18&amp;", "&amp;BM$19&amp;", "&amp;$A50&amp;", "&amp;$B50&amp;", "&amp;$C50&amp;"; ","")</f>
        <v/>
      </c>
      <c r="BN50" s="1653" t="str">
        <f>IF(AND($P$8=1,$B50="Long length",'6a_Health_full_time'!I43&lt;&gt;0),BN$18&amp;", "&amp;BN$19&amp;", "&amp;$A50&amp;", "&amp;$B50&amp;", "&amp;$C50&amp;"; ","")</f>
        <v/>
      </c>
      <c r="BO50" s="131"/>
    </row>
    <row r="51" spans="1:67" ht="13.15" x14ac:dyDescent="0.4">
      <c r="A51" t="s">
        <v>27900</v>
      </c>
      <c r="B51" t="s">
        <v>27888</v>
      </c>
      <c r="C51" t="s">
        <v>27891</v>
      </c>
      <c r="E51" s="118"/>
      <c r="G51" s="333" t="str">
        <f>IF(AND($D$8=1,'6a_Health_full_time'!D44&lt;0),G$18&amp;", "&amp;G$19&amp;", "&amp;$A51&amp;", "&amp;$B51&amp;", "&amp;$C51&amp;"; ","")</f>
        <v/>
      </c>
      <c r="H51" s="108" t="str">
        <f>IF(AND($D$8=1,'6a_Health_full_time'!E44&lt;0),H$18&amp;", "&amp;H$19&amp;", "&amp;$A51&amp;", "&amp;$B51&amp;", "&amp;$C51&amp;"; ","")</f>
        <v/>
      </c>
      <c r="I51" s="108" t="str">
        <f>IF(AND($D$8=1,'6a_Health_full_time'!F44&lt;0),I$18&amp;", "&amp;I$19&amp;", "&amp;$A51&amp;", "&amp;$B51&amp;", "&amp;$C51&amp;"; ","")</f>
        <v/>
      </c>
      <c r="J51" s="333" t="str">
        <f>IF(AND($D$8=1,'6a_Health_full_time'!G44&lt;0),J$18&amp;", "&amp;J$19&amp;", "&amp;$A51&amp;", "&amp;$B51&amp;", "&amp;$C51&amp;"; ","")</f>
        <v/>
      </c>
      <c r="K51" s="108" t="str">
        <f>IF(AND($D$8=1,'6a_Health_full_time'!H44&lt;0),K$18&amp;", "&amp;K$19&amp;", "&amp;$A51&amp;", "&amp;$B51&amp;", "&amp;$C51&amp;"; ","")</f>
        <v/>
      </c>
      <c r="L51" s="210" t="str">
        <f>IF(AND($D$8=1,'6a_Health_full_time'!I44&lt;0),L$18&amp;", "&amp;L$19&amp;", "&amp;$A51&amp;", "&amp;$B51&amp;", "&amp;$C51&amp;"; ","")</f>
        <v/>
      </c>
      <c r="N51" s="118"/>
      <c r="P51" s="338"/>
      <c r="Q51" s="112"/>
      <c r="R51" s="112"/>
      <c r="S51" s="338"/>
      <c r="T51" s="112"/>
      <c r="U51" s="481"/>
      <c r="W51" s="118"/>
      <c r="Y51" s="109" t="str">
        <f>IF(AND($F$8=1,'6a_Health_full_time'!D44&lt;&gt;"",ABS('6a_Health_full_time'!D44)-INT(ABS('6a_Health_full_time'!D44))&lt;&gt;0,ABS('6a_Health_full_time'!D44)-INT(ABS('6a_Health_full_time'!D44))&lt;&gt;0.5),Y$18&amp;", "&amp;Y$19&amp;", "&amp;$A51&amp;", "&amp;$B51&amp;", "&amp;$C51&amp;"; ","")</f>
        <v/>
      </c>
      <c r="Z51" s="210" t="str">
        <f>IF(AND($F$8=1,'6a_Health_full_time'!E44&lt;&gt;"",ABS('6a_Health_full_time'!E44)-INT(ABS('6a_Health_full_time'!E44))&lt;&gt;0,ABS('6a_Health_full_time'!E44)-INT(ABS('6a_Health_full_time'!E44))&lt;&gt;0.5),Z$18&amp;", "&amp;Z$19&amp;", "&amp;$A51&amp;", "&amp;$B51&amp;", "&amp;$C51&amp;"; ","")</f>
        <v/>
      </c>
      <c r="AA51" s="210" t="str">
        <f>IF(AND($F$8=1,'6a_Health_full_time'!F44&lt;&gt;"",ABS('6a_Health_full_time'!F44)-INT(ABS('6a_Health_full_time'!F44))&lt;&gt;0,ABS('6a_Health_full_time'!F44)-INT(ABS('6a_Health_full_time'!F44))&lt;&gt;0.5),AA$18&amp;", "&amp;AA$19&amp;", "&amp;$A51&amp;", "&amp;$B51&amp;", "&amp;$C51&amp;"; ","")</f>
        <v/>
      </c>
      <c r="AB51" s="109" t="str">
        <f>IF(AND($F$8=1,'6a_Health_full_time'!G44&lt;&gt;"",ABS('6a_Health_full_time'!G44)-INT(ABS('6a_Health_full_time'!G44))&lt;&gt;0,ABS('6a_Health_full_time'!G44)-INT(ABS('6a_Health_full_time'!G44))&lt;&gt;0.5),AB$18&amp;", "&amp;AB$19&amp;", "&amp;$A51&amp;", "&amp;$B51&amp;", "&amp;$C51&amp;"; ","")</f>
        <v/>
      </c>
      <c r="AC51" s="210" t="str">
        <f>IF(AND($F$8=1,'6a_Health_full_time'!H44&lt;&gt;"",ABS('6a_Health_full_time'!H44)-INT(ABS('6a_Health_full_time'!H44))&lt;&gt;0,ABS('6a_Health_full_time'!H44)-INT(ABS('6a_Health_full_time'!H44))&lt;&gt;0.5),AC$18&amp;", "&amp;AC$19&amp;", "&amp;$A51&amp;", "&amp;$B51&amp;", "&amp;$C51&amp;"; ","")</f>
        <v/>
      </c>
      <c r="AD51" s="210" t="str">
        <f>IF(AND($F$8=1,'6a_Health_full_time'!I44&lt;&gt;"",ABS('6a_Health_full_time'!I44)-INT(ABS('6a_Health_full_time'!I44))&lt;&gt;0,ABS('6a_Health_full_time'!I44)-INT(ABS('6a_Health_full_time'!I44))&lt;&gt;0.5),AD$18&amp;", "&amp;AD$19&amp;", "&amp;$A51&amp;", "&amp;$B51&amp;", "&amp;$C51&amp;"; ","")</f>
        <v/>
      </c>
      <c r="AF51" s="118"/>
      <c r="AH51" s="6" t="s">
        <v>27901</v>
      </c>
      <c r="AK51" t="s">
        <v>192</v>
      </c>
      <c r="AL51" t="s">
        <v>193</v>
      </c>
      <c r="AN51" t="s">
        <v>192</v>
      </c>
      <c r="AO51" t="s">
        <v>193</v>
      </c>
      <c r="AR51" s="118"/>
      <c r="AU51" s="562" t="str">
        <f>IF(AND($I$8=1,ABS(SUM('6a_Health_full_time'!D44:E44))&lt;ABS('6a_Health_full_time'!F44)),AU$18&amp;", "&amp;$A51&amp;", "&amp;$B51&amp;", "&amp;$C51&amp;"; ","")</f>
        <v/>
      </c>
      <c r="AX51" s="484" t="str">
        <f>IF(AND($I$8=1,ABS(SUM('6a_Health_full_time'!G44:H44))&lt;ABS('6a_Health_full_time'!I44)),AX$18&amp;", "&amp;$A51&amp;", "&amp;$B51&amp;", "&amp;$C51&amp;"; ","")</f>
        <v/>
      </c>
      <c r="AY51" s="17"/>
      <c r="BH51" s="130"/>
      <c r="BI51" s="333" t="str">
        <f>IF(AND($P$8=1,$B51="Long length",'6a_Health_full_time'!D44&lt;&gt;0),BI$18&amp;", "&amp;BI$19&amp;", "&amp;$A51&amp;", "&amp;$B51&amp;", "&amp;$C51&amp;"; ","")</f>
        <v/>
      </c>
      <c r="BJ51" s="108" t="str">
        <f>IF(AND($P$8=1,$B51="Long length",'6a_Health_full_time'!E44&lt;&gt;0),BJ$18&amp;", "&amp;BJ$19&amp;", "&amp;$A51&amp;", "&amp;$B51&amp;", "&amp;$C51&amp;"; ","")</f>
        <v/>
      </c>
      <c r="BK51" s="108" t="str">
        <f>IF(AND($P$8=1,$B51="Long length",'6a_Health_full_time'!F44&lt;&gt;0),BK$18&amp;", "&amp;BK$19&amp;", "&amp;$A51&amp;", "&amp;$B51&amp;", "&amp;$C51&amp;"; ","")</f>
        <v/>
      </c>
      <c r="BL51" s="333" t="str">
        <f>IF(AND($P$8=1,$B51="Long length",'6a_Health_full_time'!G44&lt;&gt;0),BL$18&amp;", "&amp;BL$19&amp;", "&amp;$A51&amp;", "&amp;$B51&amp;", "&amp;$C51&amp;"; ","")</f>
        <v/>
      </c>
      <c r="BM51" s="108" t="str">
        <f>IF(AND($P$8=1,$B51="Long length",'6a_Health_full_time'!H44&lt;&gt;0),BM$18&amp;", "&amp;BM$19&amp;", "&amp;$A51&amp;", "&amp;$B51&amp;", "&amp;$C51&amp;"; ","")</f>
        <v/>
      </c>
      <c r="BN51" s="108" t="str">
        <f>IF(AND($P$8=1,$B51="Long length",'6a_Health_full_time'!I44&lt;&gt;0),BN$18&amp;", "&amp;BN$19&amp;", "&amp;$A51&amp;", "&amp;$B51&amp;", "&amp;$C51&amp;"; ","")</f>
        <v/>
      </c>
      <c r="BO51" s="131"/>
    </row>
    <row r="52" spans="1:67" x14ac:dyDescent="0.35">
      <c r="A52" t="s">
        <v>27900</v>
      </c>
      <c r="B52" t="s">
        <v>27892</v>
      </c>
      <c r="C52" t="s">
        <v>27889</v>
      </c>
      <c r="E52" s="118"/>
      <c r="G52" s="333" t="str">
        <f>IF(AND($D$8=1,'6a_Health_full_time'!D45&lt;0),G$18&amp;", "&amp;G$19&amp;", "&amp;$A52&amp;", "&amp;$B52&amp;", "&amp;$C52&amp;"; ","")</f>
        <v/>
      </c>
      <c r="H52" s="335" t="str">
        <f>IF(AND($D$8=1,'6a_Health_full_time'!E45&lt;0),H$18&amp;", "&amp;H$19&amp;", "&amp;$A52&amp;", "&amp;$B52&amp;", "&amp;$C52&amp;"; ","")</f>
        <v/>
      </c>
      <c r="I52" s="335" t="str">
        <f>IF(AND($D$8=1,'6a_Health_full_time'!F45&lt;0),I$18&amp;", "&amp;I$19&amp;", "&amp;$A52&amp;", "&amp;$B52&amp;", "&amp;$C52&amp;"; ","")</f>
        <v/>
      </c>
      <c r="J52" s="333" t="str">
        <f>IF(AND($D$8=1,'6a_Health_full_time'!G45&lt;0),J$18&amp;", "&amp;J$19&amp;", "&amp;$A52&amp;", "&amp;$B52&amp;", "&amp;$C52&amp;"; ","")</f>
        <v/>
      </c>
      <c r="K52" s="335" t="str">
        <f>IF(AND($D$8=1,'6a_Health_full_time'!H45&lt;0),K$18&amp;", "&amp;K$19&amp;", "&amp;$A52&amp;", "&amp;$B52&amp;", "&amp;$C52&amp;"; ","")</f>
        <v/>
      </c>
      <c r="L52" s="2192" t="str">
        <f>IF(AND($D$8=1,'6a_Health_full_time'!I45&lt;0),L$18&amp;", "&amp;L$19&amp;", "&amp;$A52&amp;", "&amp;$B52&amp;", "&amp;$C52&amp;"; ","")</f>
        <v/>
      </c>
      <c r="N52" s="118"/>
      <c r="P52" s="338"/>
      <c r="Q52" s="112"/>
      <c r="R52" s="112"/>
      <c r="S52" s="338"/>
      <c r="T52" s="112"/>
      <c r="U52" s="481"/>
      <c r="W52" s="118"/>
      <c r="Y52" s="109" t="str">
        <f>IF(AND($F$8=1,'6a_Health_full_time'!D45&lt;&gt;"",ABS('6a_Health_full_time'!D45)-INT(ABS('6a_Health_full_time'!D45))&lt;&gt;0,ABS('6a_Health_full_time'!D45)-INT(ABS('6a_Health_full_time'!D45))&lt;&gt;0.5),Y$18&amp;", "&amp;Y$19&amp;", "&amp;$A52&amp;", "&amp;$B52&amp;", "&amp;$C52&amp;"; ","")</f>
        <v/>
      </c>
      <c r="Z52" s="210" t="str">
        <f>IF(AND($F$8=1,'6a_Health_full_time'!E45&lt;&gt;"",ABS('6a_Health_full_time'!E45)-INT(ABS('6a_Health_full_time'!E45))&lt;&gt;0,ABS('6a_Health_full_time'!E45)-INT(ABS('6a_Health_full_time'!E45))&lt;&gt;0.5),Z$18&amp;", "&amp;Z$19&amp;", "&amp;$A52&amp;", "&amp;$B52&amp;", "&amp;$C52&amp;"; ","")</f>
        <v/>
      </c>
      <c r="AA52" s="210" t="str">
        <f>IF(AND($F$8=1,'6a_Health_full_time'!F45&lt;&gt;"",ABS('6a_Health_full_time'!F45)-INT(ABS('6a_Health_full_time'!F45))&lt;&gt;0,ABS('6a_Health_full_time'!F45)-INT(ABS('6a_Health_full_time'!F45))&lt;&gt;0.5),AA$18&amp;", "&amp;AA$19&amp;", "&amp;$A52&amp;", "&amp;$B52&amp;", "&amp;$C52&amp;"; ","")</f>
        <v/>
      </c>
      <c r="AB52" s="109" t="str">
        <f>IF(AND($F$8=1,'6a_Health_full_time'!G45&lt;&gt;"",ABS('6a_Health_full_time'!G45)-INT(ABS('6a_Health_full_time'!G45))&lt;&gt;0,ABS('6a_Health_full_time'!G45)-INT(ABS('6a_Health_full_time'!G45))&lt;&gt;0.5),AB$18&amp;", "&amp;AB$19&amp;", "&amp;$A52&amp;", "&amp;$B52&amp;", "&amp;$C52&amp;"; ","")</f>
        <v/>
      </c>
      <c r="AC52" s="210" t="str">
        <f>IF(AND($F$8=1,'6a_Health_full_time'!H45&lt;&gt;"",ABS('6a_Health_full_time'!H45)-INT(ABS('6a_Health_full_time'!H45))&lt;&gt;0,ABS('6a_Health_full_time'!H45)-INT(ABS('6a_Health_full_time'!H45))&lt;&gt;0.5),AC$18&amp;", "&amp;AC$19&amp;", "&amp;$A52&amp;", "&amp;$B52&amp;", "&amp;$C52&amp;"; ","")</f>
        <v/>
      </c>
      <c r="AD52" s="210" t="str">
        <f>IF(AND($F$8=1,'6a_Health_full_time'!I45&lt;&gt;"",ABS('6a_Health_full_time'!I45)-INT(ABS('6a_Health_full_time'!I45))&lt;&gt;0,ABS('6a_Health_full_time'!I45)-INT(ABS('6a_Health_full_time'!I45))&lt;&gt;0.5),AD$18&amp;", "&amp;AD$19&amp;", "&amp;$A52&amp;", "&amp;$B52&amp;", "&amp;$C52&amp;"; ","")</f>
        <v/>
      </c>
      <c r="AF52" s="118"/>
      <c r="AH52" t="s">
        <v>203</v>
      </c>
      <c r="AI52" t="s">
        <v>27888</v>
      </c>
      <c r="AJ52" t="s">
        <v>27889</v>
      </c>
      <c r="AK52" s="1885" t="str">
        <f>IF(AND($G$8=1,AK20&gt;AK36),AK$50&amp;", Price group "&amp;$AH52&amp;" professions, "&amp;$AI52&amp;", "&amp;$AJ52&amp;"; ","")</f>
        <v/>
      </c>
      <c r="AL52" s="1653" t="str">
        <f t="shared" ref="AL52:AO52" si="1">IF(AND($G$8=1,AL20&gt;AL36),AL$50&amp;", Price group "&amp;$AH52&amp;" professions, "&amp;$AI52&amp;", "&amp;$AJ52&amp;"; ","")</f>
        <v/>
      </c>
      <c r="AM52" s="1655"/>
      <c r="AN52" s="1885" t="str">
        <f t="shared" si="1"/>
        <v/>
      </c>
      <c r="AO52" s="1653" t="str">
        <f t="shared" si="1"/>
        <v/>
      </c>
      <c r="AP52" s="2190"/>
      <c r="AR52" s="118"/>
      <c r="AU52" s="562" t="str">
        <f>IF(AND($I$8=1,ABS(SUM('6a_Health_full_time'!D45:E45))&lt;ABS('6a_Health_full_time'!F45)),AU$18&amp;", "&amp;$A52&amp;", "&amp;$B52&amp;", "&amp;$C52&amp;"; ","")</f>
        <v/>
      </c>
      <c r="AX52" s="484" t="str">
        <f>IF(AND($I$8=1,ABS(SUM('6a_Health_full_time'!G45:H45))&lt;ABS('6a_Health_full_time'!I45)),AX$18&amp;", "&amp;$A52&amp;", "&amp;$B52&amp;", "&amp;$C52&amp;"; ","")</f>
        <v/>
      </c>
      <c r="AY52" s="17"/>
      <c r="BH52" s="130"/>
      <c r="BI52" s="333" t="str">
        <f>IF(AND($P$8=1,$B52="Long length",'6a_Health_full_time'!D45&lt;&gt;0),BI$18&amp;", "&amp;BI$19&amp;", "&amp;$A52&amp;", "&amp;$B52&amp;", "&amp;$C52&amp;"; ","")</f>
        <v/>
      </c>
      <c r="BJ52" s="108" t="str">
        <f>IF(AND($P$8=1,$B52="Long length",'6a_Health_full_time'!E45&lt;&gt;0),BJ$18&amp;", "&amp;BJ$19&amp;", "&amp;$A52&amp;", "&amp;$B52&amp;", "&amp;$C52&amp;"; ","")</f>
        <v/>
      </c>
      <c r="BK52" s="108" t="str">
        <f>IF(AND($P$8=1,$B52="Long length",'6a_Health_full_time'!F45&lt;&gt;0),BK$18&amp;", "&amp;BK$19&amp;", "&amp;$A52&amp;", "&amp;$B52&amp;", "&amp;$C52&amp;"; ","")</f>
        <v/>
      </c>
      <c r="BL52" s="333" t="str">
        <f>IF(AND($P$8=1,$B52="Long length",'6a_Health_full_time'!G45&lt;&gt;0),BL$18&amp;", "&amp;BL$19&amp;", "&amp;$A52&amp;", "&amp;$B52&amp;", "&amp;$C52&amp;"; ","")</f>
        <v/>
      </c>
      <c r="BM52" s="108" t="str">
        <f>IF(AND($P$8=1,$B52="Long length",'6a_Health_full_time'!H45&lt;&gt;0),BM$18&amp;", "&amp;BM$19&amp;", "&amp;$A52&amp;", "&amp;$B52&amp;", "&amp;$C52&amp;"; ","")</f>
        <v/>
      </c>
      <c r="BN52" s="108" t="str">
        <f>IF(AND($P$8=1,$B52="Long length",'6a_Health_full_time'!I45&lt;&gt;0),BN$18&amp;", "&amp;BN$19&amp;", "&amp;$A52&amp;", "&amp;$B52&amp;", "&amp;$C52&amp;"; ","")</f>
        <v/>
      </c>
      <c r="BO52" s="131"/>
    </row>
    <row r="53" spans="1:67" x14ac:dyDescent="0.35">
      <c r="A53" t="s">
        <v>27900</v>
      </c>
      <c r="B53" t="s">
        <v>27892</v>
      </c>
      <c r="C53" t="s">
        <v>27891</v>
      </c>
      <c r="E53" s="118"/>
      <c r="G53" s="333" t="str">
        <f>IF(AND($D$8=1,'6a_Health_full_time'!D46&lt;0),G$18&amp;", "&amp;G$19&amp;", "&amp;$A53&amp;", "&amp;$B53&amp;", "&amp;$C53&amp;"; ","")</f>
        <v/>
      </c>
      <c r="H53" s="108" t="str">
        <f>IF(AND($D$8=1,'6a_Health_full_time'!E46&lt;0),H$18&amp;", "&amp;H$19&amp;", "&amp;$A53&amp;", "&amp;$B53&amp;", "&amp;$C53&amp;"; ","")</f>
        <v/>
      </c>
      <c r="I53" s="108" t="str">
        <f>IF(AND($D$8=1,'6a_Health_full_time'!F46&lt;0),I$18&amp;", "&amp;I$19&amp;", "&amp;$A53&amp;", "&amp;$B53&amp;", "&amp;$C53&amp;"; ","")</f>
        <v/>
      </c>
      <c r="J53" s="333" t="str">
        <f>IF(AND($D$8=1,'6a_Health_full_time'!G46&lt;0),J$18&amp;", "&amp;J$19&amp;", "&amp;$A53&amp;", "&amp;$B53&amp;", "&amp;$C53&amp;"; ","")</f>
        <v/>
      </c>
      <c r="K53" s="108" t="str">
        <f>IF(AND($D$8=1,'6a_Health_full_time'!H46&lt;0),K$18&amp;", "&amp;K$19&amp;", "&amp;$A53&amp;", "&amp;$B53&amp;", "&amp;$C53&amp;"; ","")</f>
        <v/>
      </c>
      <c r="L53" s="210" t="str">
        <f>IF(AND($D$8=1,'6a_Health_full_time'!I46&lt;0),L$18&amp;", "&amp;L$19&amp;", "&amp;$A53&amp;", "&amp;$B53&amp;", "&amp;$C53&amp;"; ","")</f>
        <v/>
      </c>
      <c r="N53" s="118"/>
      <c r="P53" s="338"/>
      <c r="Q53" s="115"/>
      <c r="R53" s="115"/>
      <c r="S53" s="339"/>
      <c r="T53" s="115"/>
      <c r="U53" s="482"/>
      <c r="W53" s="118"/>
      <c r="Y53" s="109" t="str">
        <f>IF(AND($F$8=1,'6a_Health_full_time'!D46&lt;&gt;"",ABS('6a_Health_full_time'!D46)-INT(ABS('6a_Health_full_time'!D46))&lt;&gt;0,ABS('6a_Health_full_time'!D46)-INT(ABS('6a_Health_full_time'!D46))&lt;&gt;0.5),Y$18&amp;", "&amp;Y$19&amp;", "&amp;$A53&amp;", "&amp;$B53&amp;", "&amp;$C53&amp;"; ","")</f>
        <v/>
      </c>
      <c r="Z53" s="210" t="str">
        <f>IF(AND($F$8=1,'6a_Health_full_time'!E46&lt;&gt;"",ABS('6a_Health_full_time'!E46)-INT(ABS('6a_Health_full_time'!E46))&lt;&gt;0,ABS('6a_Health_full_time'!E46)-INT(ABS('6a_Health_full_time'!E46))&lt;&gt;0.5),Z$18&amp;", "&amp;Z$19&amp;", "&amp;$A53&amp;", "&amp;$B53&amp;", "&amp;$C53&amp;"; ","")</f>
        <v/>
      </c>
      <c r="AA53" s="210" t="str">
        <f>IF(AND($F$8=1,'6a_Health_full_time'!F46&lt;&gt;"",ABS('6a_Health_full_time'!F46)-INT(ABS('6a_Health_full_time'!F46))&lt;&gt;0,ABS('6a_Health_full_time'!F46)-INT(ABS('6a_Health_full_time'!F46))&lt;&gt;0.5),AA$18&amp;", "&amp;AA$19&amp;", "&amp;$A53&amp;", "&amp;$B53&amp;", "&amp;$C53&amp;"; ","")</f>
        <v/>
      </c>
      <c r="AB53" s="109" t="str">
        <f>IF(AND($F$8=1,'6a_Health_full_time'!G46&lt;&gt;"",ABS('6a_Health_full_time'!G46)-INT(ABS('6a_Health_full_time'!G46))&lt;&gt;0,ABS('6a_Health_full_time'!G46)-INT(ABS('6a_Health_full_time'!G46))&lt;&gt;0.5),AB$18&amp;", "&amp;AB$19&amp;", "&amp;$A53&amp;", "&amp;$B53&amp;", "&amp;$C53&amp;"; ","")</f>
        <v/>
      </c>
      <c r="AC53" s="210" t="str">
        <f>IF(AND($F$8=1,'6a_Health_full_time'!H46&lt;&gt;"",ABS('6a_Health_full_time'!H46)-INT(ABS('6a_Health_full_time'!H46))&lt;&gt;0,ABS('6a_Health_full_time'!H46)-INT(ABS('6a_Health_full_time'!H46))&lt;&gt;0.5),AC$18&amp;", "&amp;AC$19&amp;", "&amp;$A53&amp;", "&amp;$B53&amp;", "&amp;$C53&amp;"; ","")</f>
        <v/>
      </c>
      <c r="AD53" s="210" t="str">
        <f>IF(AND($F$8=1,'6a_Health_full_time'!I46&lt;&gt;"",ABS('6a_Health_full_time'!I46)-INT(ABS('6a_Health_full_time'!I46))&lt;&gt;0,ABS('6a_Health_full_time'!I46)-INT(ABS('6a_Health_full_time'!I46))&lt;&gt;0.5),AD$18&amp;", "&amp;AD$19&amp;", "&amp;$A53&amp;", "&amp;$B53&amp;", "&amp;$C53&amp;"; ","")</f>
        <v/>
      </c>
      <c r="AF53" s="118"/>
      <c r="AH53" t="s">
        <v>203</v>
      </c>
      <c r="AI53" t="s">
        <v>27888</v>
      </c>
      <c r="AJ53" t="s">
        <v>27891</v>
      </c>
      <c r="AK53" s="113"/>
      <c r="AL53" s="112"/>
      <c r="AM53" s="116"/>
      <c r="AN53" s="113"/>
      <c r="AO53" s="112"/>
      <c r="AP53" s="116"/>
      <c r="AR53" s="118"/>
      <c r="AU53" s="562" t="str">
        <f>IF(AND($I$8=1,ABS(SUM('6a_Health_full_time'!D46:E46))&lt;ABS('6a_Health_full_time'!F46)),AU$18&amp;", "&amp;$A53&amp;", "&amp;$B53&amp;", "&amp;$C53&amp;"; ","")</f>
        <v/>
      </c>
      <c r="AX53" s="484" t="str">
        <f>IF(AND($I$8=1,ABS(SUM('6a_Health_full_time'!G46:H46))&lt;ABS('6a_Health_full_time'!I46)),AX$18&amp;", "&amp;$A53&amp;", "&amp;$B53&amp;", "&amp;$C53&amp;"; ","")</f>
        <v/>
      </c>
      <c r="AY53" s="17"/>
      <c r="BH53" s="130"/>
      <c r="BI53" s="333" t="str">
        <f>IF(AND($P$8=1,$B53="Long length",'6a_Health_full_time'!D46&lt;&gt;0),BI$18&amp;", "&amp;BI$19&amp;", "&amp;$A53&amp;", "&amp;$B53&amp;", "&amp;$C53&amp;"; ","")</f>
        <v/>
      </c>
      <c r="BJ53" s="108" t="str">
        <f>IF(AND($P$8=1,$B53="Long length",'6a_Health_full_time'!E46&lt;&gt;0),BJ$18&amp;", "&amp;BJ$19&amp;", "&amp;$A53&amp;", "&amp;$B53&amp;", "&amp;$C53&amp;"; ","")</f>
        <v/>
      </c>
      <c r="BK53" s="108" t="str">
        <f>IF(AND($P$8=1,$B53="Long length",'6a_Health_full_time'!F46&lt;&gt;0),BK$18&amp;", "&amp;BK$19&amp;", "&amp;$A53&amp;", "&amp;$B53&amp;", "&amp;$C53&amp;"; ","")</f>
        <v/>
      </c>
      <c r="BL53" s="333" t="str">
        <f>IF(AND($P$8=1,$B53="Long length",'6a_Health_full_time'!G46&lt;&gt;0),BL$18&amp;", "&amp;BL$19&amp;", "&amp;$A53&amp;", "&amp;$B53&amp;", "&amp;$C53&amp;"; ","")</f>
        <v/>
      </c>
      <c r="BM53" s="108" t="str">
        <f>IF(AND($P$8=1,$B53="Long length",'6a_Health_full_time'!H46&lt;&gt;0),BM$18&amp;", "&amp;BM$19&amp;", "&amp;$A53&amp;", "&amp;$B53&amp;", "&amp;$C53&amp;"; ","")</f>
        <v/>
      </c>
      <c r="BN53" s="108" t="str">
        <f>IF(AND($P$8=1,$B53="Long length",'6a_Health_full_time'!I46&lt;&gt;0),BN$18&amp;", "&amp;BN$19&amp;", "&amp;$A53&amp;", "&amp;$B53&amp;", "&amp;$C53&amp;"; ","")</f>
        <v/>
      </c>
      <c r="BO53" s="131"/>
    </row>
    <row r="54" spans="1:67" x14ac:dyDescent="0.35">
      <c r="A54" t="s">
        <v>27902</v>
      </c>
      <c r="B54" t="s">
        <v>27888</v>
      </c>
      <c r="C54" t="s">
        <v>27889</v>
      </c>
      <c r="E54" s="118"/>
      <c r="G54" s="1879" t="str">
        <f>IF(AND($D$8=1,'6a_Health_full_time'!D47&lt;0),G$18&amp;", "&amp;G$19&amp;", "&amp;$A54&amp;", "&amp;$B54&amp;", "&amp;$C54&amp;"; ","")</f>
        <v/>
      </c>
      <c r="H54" s="1653" t="str">
        <f>IF(AND($D$8=1,'6a_Health_full_time'!E47&lt;0),H$18&amp;", "&amp;H$19&amp;", "&amp;$A54&amp;", "&amp;$B54&amp;", "&amp;$C54&amp;"; ","")</f>
        <v/>
      </c>
      <c r="I54" s="1653" t="str">
        <f>IF(AND($D$8=1,'6a_Health_full_time'!F47&lt;0),I$18&amp;", "&amp;I$19&amp;", "&amp;$A54&amp;", "&amp;$B54&amp;", "&amp;$C54&amp;"; ","")</f>
        <v/>
      </c>
      <c r="J54" s="1879" t="str">
        <f>IF(AND($D$8=1,'6a_Health_full_time'!G47&lt;0),J$18&amp;", "&amp;J$19&amp;", "&amp;$A54&amp;", "&amp;$B54&amp;", "&amp;$C54&amp;"; ","")</f>
        <v/>
      </c>
      <c r="K54" s="1653" t="str">
        <f>IF(AND($D$8=1,'6a_Health_full_time'!H47&lt;0),K$18&amp;", "&amp;K$19&amp;", "&amp;$A54&amp;", "&amp;$B54&amp;", "&amp;$C54&amp;"; ","")</f>
        <v/>
      </c>
      <c r="L54" s="2191" t="str">
        <f>IF(AND($D$8=1,'6a_Health_full_time'!I47&lt;0),L$18&amp;", "&amp;L$19&amp;", "&amp;$A54&amp;", "&amp;$B54&amp;", "&amp;$C54&amp;"; ","")</f>
        <v/>
      </c>
      <c r="N54" s="118"/>
      <c r="P54" s="1879" t="str">
        <f>IF(AND($E$8=1,ABS('6a_Health_full_time'!D47)&lt;&gt;INT(ABS('6a_Health_full_time'!D47))),P$18&amp;", "&amp;P$19&amp;", "&amp;$A54&amp;", "&amp;$B54&amp;", "&amp;$C54&amp;"; ","")</f>
        <v/>
      </c>
      <c r="Q54" s="1653" t="str">
        <f>IF(AND($E$8=1,ABS('6a_Health_full_time'!E47)&lt;&gt;INT(ABS('6a_Health_full_time'!E47))),Q$18&amp;", "&amp;Q$19&amp;", "&amp;$A54&amp;", "&amp;$B54&amp;", "&amp;$C54&amp;"; ","")</f>
        <v/>
      </c>
      <c r="R54" s="1653" t="str">
        <f>IF(AND($E$8=1,ABS('6a_Health_full_time'!F47)&lt;&gt;INT(ABS('6a_Health_full_time'!F47))),R$18&amp;", "&amp;R$19&amp;", "&amp;$A54&amp;", "&amp;$B54&amp;", "&amp;$C54&amp;"; ","")</f>
        <v/>
      </c>
      <c r="S54" s="1879" t="str">
        <f>IF(AND($E$8=1,ABS('6a_Health_full_time'!G47)&lt;&gt;INT(ABS('6a_Health_full_time'!G47))),S$18&amp;", "&amp;S$19&amp;", "&amp;$A54&amp;", "&amp;$B54&amp;", "&amp;$C54&amp;"; ","")</f>
        <v/>
      </c>
      <c r="T54" s="1653" t="str">
        <f>IF(AND($E$8=1,ABS('6a_Health_full_time'!H47)&lt;&gt;INT(ABS('6a_Health_full_time'!H47))),T$18&amp;", "&amp;T$19&amp;", "&amp;$A54&amp;", "&amp;$B54&amp;", "&amp;$C54&amp;"; ","")</f>
        <v/>
      </c>
      <c r="U54" s="2191" t="str">
        <f>IF(AND($E$8=1,ABS('6a_Health_full_time'!I47)&lt;&gt;INT(ABS('6a_Health_full_time'!I47))),U$18&amp;", "&amp;U$19&amp;", "&amp;$A54&amp;", "&amp;$B54&amp;", "&amp;$C54&amp;"; ","")</f>
        <v/>
      </c>
      <c r="W54" s="118"/>
      <c r="Y54" s="1881"/>
      <c r="Z54" s="1882"/>
      <c r="AA54" s="1882"/>
      <c r="AB54" s="1883"/>
      <c r="AC54" s="1884"/>
      <c r="AD54" s="1884"/>
      <c r="AF54" s="118"/>
      <c r="AH54" t="s">
        <v>203</v>
      </c>
      <c r="AI54" t="s">
        <v>27892</v>
      </c>
      <c r="AJ54" t="s">
        <v>27889</v>
      </c>
      <c r="AK54" s="109" t="str">
        <f t="shared" ref="AK54:AO54" si="2">IF(AND($G$8=1,AK22&gt;AK38),AK$50&amp;", Price group "&amp;$AH54&amp;" professions, "&amp;$AI54&amp;", "&amp;$AJ54&amp;"; ","")</f>
        <v/>
      </c>
      <c r="AL54" s="108" t="str">
        <f t="shared" si="2"/>
        <v/>
      </c>
      <c r="AM54" s="116"/>
      <c r="AN54" s="109" t="str">
        <f t="shared" si="2"/>
        <v/>
      </c>
      <c r="AO54" s="108" t="str">
        <f t="shared" si="2"/>
        <v/>
      </c>
      <c r="AP54" s="116"/>
      <c r="AR54" s="118"/>
      <c r="AU54" s="1886" t="str">
        <f>IF(AND($I$8=1,ABS(SUM('6a_Health_full_time'!D47:E47))&lt;ABS('6a_Health_full_time'!F47)),AU$18&amp;", "&amp;$A54&amp;", "&amp;$B54&amp;", "&amp;$C54&amp;"; ","")</f>
        <v/>
      </c>
      <c r="AX54" s="1896" t="str">
        <f>IF(AND($I$8=1,ABS(SUM('6a_Health_full_time'!G47:H47))&lt;ABS('6a_Health_full_time'!I47)),AX$18&amp;", "&amp;$A54&amp;", "&amp;$B54&amp;", "&amp;$C54&amp;"; ","")</f>
        <v/>
      </c>
      <c r="AY54" s="17"/>
      <c r="BH54" s="130"/>
      <c r="BI54" s="1879" t="str">
        <f>IF(AND($P$8=1,$B54="Long length",'6a_Health_full_time'!D47&lt;&gt;0),BI$18&amp;", "&amp;BI$19&amp;", "&amp;$A54&amp;", "&amp;$B54&amp;", "&amp;$C54&amp;"; ","")</f>
        <v/>
      </c>
      <c r="BJ54" s="1653" t="str">
        <f>IF(AND($P$8=1,$B54="Long length",'6a_Health_full_time'!E47&lt;&gt;0),BJ$18&amp;", "&amp;BJ$19&amp;", "&amp;$A54&amp;", "&amp;$B54&amp;", "&amp;$C54&amp;"; ","")</f>
        <v/>
      </c>
      <c r="BK54" s="1653" t="str">
        <f>IF(AND($P$8=1,$B54="Long length",'6a_Health_full_time'!F47&lt;&gt;0),BK$18&amp;", "&amp;BK$19&amp;", "&amp;$A54&amp;", "&amp;$B54&amp;", "&amp;$C54&amp;"; ","")</f>
        <v/>
      </c>
      <c r="BL54" s="1879" t="str">
        <f>IF(AND($P$8=1,$B54="Long length",'6a_Health_full_time'!G47&lt;&gt;0),BL$18&amp;", "&amp;BL$19&amp;", "&amp;$A54&amp;", "&amp;$B54&amp;", "&amp;$C54&amp;"; ","")</f>
        <v/>
      </c>
      <c r="BM54" s="1653" t="str">
        <f>IF(AND($P$8=1,$B54="Long length",'6a_Health_full_time'!H47&lt;&gt;0),BM$18&amp;", "&amp;BM$19&amp;", "&amp;$A54&amp;", "&amp;$B54&amp;", "&amp;$C54&amp;"; ","")</f>
        <v/>
      </c>
      <c r="BN54" s="1653" t="str">
        <f>IF(AND($P$8=1,$B54="Long length",'6a_Health_full_time'!I47&lt;&gt;0),BN$18&amp;", "&amp;BN$19&amp;", "&amp;$A54&amp;", "&amp;$B54&amp;", "&amp;$C54&amp;"; ","")</f>
        <v/>
      </c>
      <c r="BO54" s="131"/>
    </row>
    <row r="55" spans="1:67" x14ac:dyDescent="0.35">
      <c r="A55" t="s">
        <v>27902</v>
      </c>
      <c r="B55" t="s">
        <v>27888</v>
      </c>
      <c r="C55" t="s">
        <v>27891</v>
      </c>
      <c r="E55" s="118"/>
      <c r="G55" s="333" t="str">
        <f>IF(AND($D$8=1,'6a_Health_full_time'!D48&lt;0),G$18&amp;", "&amp;G$19&amp;", "&amp;$A55&amp;", "&amp;$B55&amp;", "&amp;$C55&amp;"; ","")</f>
        <v/>
      </c>
      <c r="H55" s="108" t="str">
        <f>IF(AND($D$8=1,'6a_Health_full_time'!E48&lt;0),H$18&amp;", "&amp;H$19&amp;", "&amp;$A55&amp;", "&amp;$B55&amp;", "&amp;$C55&amp;"; ","")</f>
        <v/>
      </c>
      <c r="I55" s="108" t="str">
        <f>IF(AND($D$8=1,'6a_Health_full_time'!F48&lt;0),I$18&amp;", "&amp;I$19&amp;", "&amp;$A55&amp;", "&amp;$B55&amp;", "&amp;$C55&amp;"; ","")</f>
        <v/>
      </c>
      <c r="J55" s="333" t="str">
        <f>IF(AND($D$8=1,'6a_Health_full_time'!G48&lt;0),J$18&amp;", "&amp;J$19&amp;", "&amp;$A55&amp;", "&amp;$B55&amp;", "&amp;$C55&amp;"; ","")</f>
        <v/>
      </c>
      <c r="K55" s="108" t="str">
        <f>IF(AND($D$8=1,'6a_Health_full_time'!H48&lt;0),K$18&amp;", "&amp;K$19&amp;", "&amp;$A55&amp;", "&amp;$B55&amp;", "&amp;$C55&amp;"; ","")</f>
        <v/>
      </c>
      <c r="L55" s="210" t="str">
        <f>IF(AND($D$8=1,'6a_Health_full_time'!I48&lt;0),L$18&amp;", "&amp;L$19&amp;", "&amp;$A55&amp;", "&amp;$B55&amp;", "&amp;$C55&amp;"; ","")</f>
        <v/>
      </c>
      <c r="N55" s="118"/>
      <c r="P55" s="333" t="str">
        <f>IF(AND($E$8=1,ABS('6a_Health_full_time'!D48)&lt;&gt;INT(ABS('6a_Health_full_time'!D48))),P$18&amp;", "&amp;P$19&amp;", "&amp;$A55&amp;", "&amp;$B55&amp;", "&amp;$C55&amp;"; ","")</f>
        <v/>
      </c>
      <c r="Q55" s="335" t="str">
        <f>IF(AND($E$8=1,ABS('6a_Health_full_time'!E48)&lt;&gt;INT(ABS('6a_Health_full_time'!E48))),Q$18&amp;", "&amp;Q$19&amp;", "&amp;$A55&amp;", "&amp;$B55&amp;", "&amp;$C55&amp;"; ","")</f>
        <v/>
      </c>
      <c r="R55" s="335" t="str">
        <f>IF(AND($E$8=1,ABS('6a_Health_full_time'!F48)&lt;&gt;INT(ABS('6a_Health_full_time'!F48))),R$18&amp;", "&amp;R$19&amp;", "&amp;$A55&amp;", "&amp;$B55&amp;", "&amp;$C55&amp;"; ","")</f>
        <v/>
      </c>
      <c r="S55" s="333" t="str">
        <f>IF(AND($E$8=1,ABS('6a_Health_full_time'!G48)&lt;&gt;INT(ABS('6a_Health_full_time'!G48))),S$18&amp;", "&amp;S$19&amp;", "&amp;$A55&amp;", "&amp;$B55&amp;", "&amp;$C55&amp;"; ","")</f>
        <v/>
      </c>
      <c r="T55" s="108" t="str">
        <f>IF(AND($E$8=1,ABS('6a_Health_full_time'!H48)&lt;&gt;INT(ABS('6a_Health_full_time'!H48))),T$18&amp;", "&amp;T$19&amp;", "&amp;$A55&amp;", "&amp;$B55&amp;", "&amp;$C55&amp;"; ","")</f>
        <v/>
      </c>
      <c r="U55" s="210" t="str">
        <f>IF(AND($E$8=1,ABS('6a_Health_full_time'!I48)&lt;&gt;INT(ABS('6a_Health_full_time'!I48))),U$18&amp;", "&amp;U$19&amp;", "&amp;$A55&amp;", "&amp;$B55&amp;", "&amp;$C55&amp;"; ","")</f>
        <v/>
      </c>
      <c r="W55" s="118"/>
      <c r="Y55" s="113"/>
      <c r="Z55" s="481"/>
      <c r="AA55" s="481"/>
      <c r="AB55" s="483"/>
      <c r="AC55" s="121"/>
      <c r="AD55" s="121"/>
      <c r="AF55" s="118"/>
      <c r="AH55" t="s">
        <v>203</v>
      </c>
      <c r="AI55" t="s">
        <v>27892</v>
      </c>
      <c r="AJ55" t="s">
        <v>27891</v>
      </c>
      <c r="AK55" s="113"/>
      <c r="AL55" s="112"/>
      <c r="AM55" s="116"/>
      <c r="AN55" s="113"/>
      <c r="AO55" s="112"/>
      <c r="AP55" s="116"/>
      <c r="AR55" s="118"/>
      <c r="AU55" s="562" t="str">
        <f>IF(AND($I$8=1,ABS(SUM('6a_Health_full_time'!D48:E48))&lt;ABS('6a_Health_full_time'!F48)),AU$18&amp;", "&amp;$A55&amp;", "&amp;$B55&amp;", "&amp;$C55&amp;"; ","")</f>
        <v/>
      </c>
      <c r="AX55" s="484" t="str">
        <f>IF(AND($I$8=1,ABS(SUM('6a_Health_full_time'!G48:H48))&lt;ABS('6a_Health_full_time'!I48)),AX$18&amp;", "&amp;$A55&amp;", "&amp;$B55&amp;", "&amp;$C55&amp;"; ","")</f>
        <v/>
      </c>
      <c r="AY55" s="17"/>
      <c r="BH55" s="130"/>
      <c r="BI55" s="333" t="str">
        <f>IF(AND($P$8=1,$B55="Long length",'6a_Health_full_time'!D48&lt;&gt;0),BI$18&amp;", "&amp;BI$19&amp;", "&amp;$A55&amp;", "&amp;$B55&amp;", "&amp;$C55&amp;"; ","")</f>
        <v/>
      </c>
      <c r="BJ55" s="335" t="str">
        <f>IF(AND($P$8=1,$B55="Long length",'6a_Health_full_time'!E48&lt;&gt;0),BJ$18&amp;", "&amp;BJ$19&amp;", "&amp;$A55&amp;", "&amp;$B55&amp;", "&amp;$C55&amp;"; ","")</f>
        <v/>
      </c>
      <c r="BK55" s="335" t="str">
        <f>IF(AND($P$8=1,$B55="Long length",'6a_Health_full_time'!F48&lt;&gt;0),BK$18&amp;", "&amp;BK$19&amp;", "&amp;$A55&amp;", "&amp;$B55&amp;", "&amp;$C55&amp;"; ","")</f>
        <v/>
      </c>
      <c r="BL55" s="333" t="str">
        <f>IF(AND($P$8=1,$B55="Long length",'6a_Health_full_time'!G48&lt;&gt;0),BL$18&amp;", "&amp;BL$19&amp;", "&amp;$A55&amp;", "&amp;$B55&amp;", "&amp;$C55&amp;"; ","")</f>
        <v/>
      </c>
      <c r="BM55" s="335" t="str">
        <f>IF(AND($P$8=1,$B55="Long length",'6a_Health_full_time'!H48&lt;&gt;0),BM$18&amp;", "&amp;BM$19&amp;", "&amp;$A55&amp;", "&amp;$B55&amp;", "&amp;$C55&amp;"; ","")</f>
        <v/>
      </c>
      <c r="BN55" s="335" t="str">
        <f>IF(AND($P$8=1,$B55="Long length",'6a_Health_full_time'!I48&lt;&gt;0),BN$18&amp;", "&amp;BN$19&amp;", "&amp;$A55&amp;", "&amp;$B55&amp;", "&amp;$C55&amp;"; ","")</f>
        <v/>
      </c>
      <c r="BO55" s="131"/>
    </row>
    <row r="56" spans="1:67" x14ac:dyDescent="0.35">
      <c r="A56" t="s">
        <v>27902</v>
      </c>
      <c r="B56" t="s">
        <v>27892</v>
      </c>
      <c r="C56" t="s">
        <v>27889</v>
      </c>
      <c r="E56" s="118"/>
      <c r="G56" s="333" t="str">
        <f>IF(AND($D$8=1,'6a_Health_full_time'!D49&lt;0),G$18&amp;", "&amp;G$19&amp;", "&amp;$A56&amp;", "&amp;$B56&amp;", "&amp;$C56&amp;"; ","")</f>
        <v/>
      </c>
      <c r="H56" s="108" t="str">
        <f>IF(AND($D$8=1,'6a_Health_full_time'!E49&lt;0),H$18&amp;", "&amp;H$19&amp;", "&amp;$A56&amp;", "&amp;$B56&amp;", "&amp;$C56&amp;"; ","")</f>
        <v/>
      </c>
      <c r="I56" s="108" t="str">
        <f>IF(AND($D$8=1,'6a_Health_full_time'!F49&lt;0),I$18&amp;", "&amp;I$19&amp;", "&amp;$A56&amp;", "&amp;$B56&amp;", "&amp;$C56&amp;"; ","")</f>
        <v/>
      </c>
      <c r="J56" s="333" t="str">
        <f>IF(AND($D$8=1,'6a_Health_full_time'!G49&lt;0),J$18&amp;", "&amp;J$19&amp;", "&amp;$A56&amp;", "&amp;$B56&amp;", "&amp;$C56&amp;"; ","")</f>
        <v/>
      </c>
      <c r="K56" s="108" t="str">
        <f>IF(AND($D$8=1,'6a_Health_full_time'!H49&lt;0),K$18&amp;", "&amp;K$19&amp;", "&amp;$A56&amp;", "&amp;$B56&amp;", "&amp;$C56&amp;"; ","")</f>
        <v/>
      </c>
      <c r="L56" s="210" t="str">
        <f>IF(AND($D$8=1,'6a_Health_full_time'!I49&lt;0),L$18&amp;", "&amp;L$19&amp;", "&amp;$A56&amp;", "&amp;$B56&amp;", "&amp;$C56&amp;"; ","")</f>
        <v/>
      </c>
      <c r="N56" s="118"/>
      <c r="P56" s="333" t="str">
        <f>IF(AND($E$8=1,ABS('6a_Health_full_time'!D49)&lt;&gt;INT(ABS('6a_Health_full_time'!D49))),P$18&amp;", "&amp;P$19&amp;", "&amp;$A56&amp;", "&amp;$B56&amp;", "&amp;$C56&amp;"; ","")</f>
        <v/>
      </c>
      <c r="Q56" s="108" t="str">
        <f>IF(AND($E$8=1,ABS('6a_Health_full_time'!E49)&lt;&gt;INT(ABS('6a_Health_full_time'!E49))),Q$18&amp;", "&amp;Q$19&amp;", "&amp;$A56&amp;", "&amp;$B56&amp;", "&amp;$C56&amp;"; ","")</f>
        <v/>
      </c>
      <c r="R56" s="108" t="str">
        <f>IF(AND($E$8=1,ABS('6a_Health_full_time'!F49)&lt;&gt;INT(ABS('6a_Health_full_time'!F49))),R$18&amp;", "&amp;R$19&amp;", "&amp;$A56&amp;", "&amp;$B56&amp;", "&amp;$C56&amp;"; ","")</f>
        <v/>
      </c>
      <c r="S56" s="333" t="str">
        <f>IF(AND($E$8=1,ABS('6a_Health_full_time'!G49)&lt;&gt;INT(ABS('6a_Health_full_time'!G49))),S$18&amp;", "&amp;S$19&amp;", "&amp;$A56&amp;", "&amp;$B56&amp;", "&amp;$C56&amp;"; ","")</f>
        <v/>
      </c>
      <c r="T56" s="108" t="str">
        <f>IF(AND($E$8=1,ABS('6a_Health_full_time'!H49)&lt;&gt;INT(ABS('6a_Health_full_time'!H49))),T$18&amp;", "&amp;T$19&amp;", "&amp;$A56&amp;", "&amp;$B56&amp;", "&amp;$C56&amp;"; ","")</f>
        <v/>
      </c>
      <c r="U56" s="210" t="str">
        <f>IF(AND($E$8=1,ABS('6a_Health_full_time'!I49)&lt;&gt;INT(ABS('6a_Health_full_time'!I49))),U$18&amp;", "&amp;U$19&amp;", "&amp;$A56&amp;", "&amp;$B56&amp;", "&amp;$C56&amp;"; ","")</f>
        <v/>
      </c>
      <c r="W56" s="118"/>
      <c r="Y56" s="113"/>
      <c r="Z56" s="481"/>
      <c r="AA56" s="481"/>
      <c r="AB56" s="483"/>
      <c r="AC56" s="121"/>
      <c r="AD56" s="121"/>
      <c r="AF56" s="118"/>
      <c r="AH56" t="s">
        <v>225</v>
      </c>
      <c r="AI56" t="s">
        <v>27888</v>
      </c>
      <c r="AJ56" t="s">
        <v>27889</v>
      </c>
      <c r="AK56" s="1885" t="str">
        <f t="shared" ref="AK56:AO56" si="3">IF(AND($G$8=1,AK24&gt;AK40),AK$50&amp;", Price group "&amp;$AH56&amp;" professions, "&amp;$AI56&amp;", "&amp;$AJ56&amp;"; ","")</f>
        <v/>
      </c>
      <c r="AL56" s="1653" t="str">
        <f t="shared" si="3"/>
        <v/>
      </c>
      <c r="AM56" s="1655"/>
      <c r="AN56" s="1885" t="str">
        <f t="shared" si="3"/>
        <v/>
      </c>
      <c r="AO56" s="1653" t="str">
        <f t="shared" si="3"/>
        <v/>
      </c>
      <c r="AP56" s="2190"/>
      <c r="AR56" s="118"/>
      <c r="AU56" s="562" t="str">
        <f>IF(AND($I$8=1,ABS(SUM('6a_Health_full_time'!D49:E49))&lt;ABS('6a_Health_full_time'!F49)),AU$18&amp;", "&amp;$A56&amp;", "&amp;$B56&amp;", "&amp;$C56&amp;"; ","")</f>
        <v/>
      </c>
      <c r="AX56" s="484" t="str">
        <f>IF(AND($I$8=1,ABS(SUM('6a_Health_full_time'!G49:H49))&lt;ABS('6a_Health_full_time'!I49)),AX$18&amp;", "&amp;$A56&amp;", "&amp;$B56&amp;", "&amp;$C56&amp;"; ","")</f>
        <v/>
      </c>
      <c r="AY56" s="17"/>
      <c r="BH56" s="130"/>
      <c r="BI56" s="333" t="str">
        <f>IF(AND($P$8=1,$B56="Long length",'6a_Health_full_time'!D49&lt;&gt;0),BI$18&amp;", "&amp;BI$19&amp;", "&amp;$A56&amp;", "&amp;$B56&amp;", "&amp;$C56&amp;"; ","")</f>
        <v/>
      </c>
      <c r="BJ56" s="108" t="str">
        <f>IF(AND($P$8=1,$B56="Long length",'6a_Health_full_time'!E49&lt;&gt;0),BJ$18&amp;", "&amp;BJ$19&amp;", "&amp;$A56&amp;", "&amp;$B56&amp;", "&amp;$C56&amp;"; ","")</f>
        <v/>
      </c>
      <c r="BK56" s="108" t="str">
        <f>IF(AND($P$8=1,$B56="Long length",'6a_Health_full_time'!F49&lt;&gt;0),BK$18&amp;", "&amp;BK$19&amp;", "&amp;$A56&amp;", "&amp;$B56&amp;", "&amp;$C56&amp;"; ","")</f>
        <v/>
      </c>
      <c r="BL56" s="333" t="str">
        <f>IF(AND($P$8=1,$B56="Long length",'6a_Health_full_time'!G49&lt;&gt;0),BL$18&amp;", "&amp;BL$19&amp;", "&amp;$A56&amp;", "&amp;$B56&amp;", "&amp;$C56&amp;"; ","")</f>
        <v/>
      </c>
      <c r="BM56" s="108" t="str">
        <f>IF(AND($P$8=1,$B56="Long length",'6a_Health_full_time'!H49&lt;&gt;0),BM$18&amp;", "&amp;BM$19&amp;", "&amp;$A56&amp;", "&amp;$B56&amp;", "&amp;$C56&amp;"; ","")</f>
        <v/>
      </c>
      <c r="BN56" s="108" t="str">
        <f>IF(AND($P$8=1,$B56="Long length",'6a_Health_full_time'!I49&lt;&gt;0),BN$18&amp;", "&amp;BN$19&amp;", "&amp;$A56&amp;", "&amp;$B56&amp;", "&amp;$C56&amp;"; ","")</f>
        <v/>
      </c>
      <c r="BO56" s="131"/>
    </row>
    <row r="57" spans="1:67" x14ac:dyDescent="0.35">
      <c r="A57" t="s">
        <v>27902</v>
      </c>
      <c r="B57" t="s">
        <v>27892</v>
      </c>
      <c r="C57" t="s">
        <v>27891</v>
      </c>
      <c r="E57" s="118"/>
      <c r="G57" s="333" t="str">
        <f>IF(AND($D$8=1,'6a_Health_full_time'!D50&lt;0),G$18&amp;", "&amp;G$19&amp;", "&amp;$A57&amp;", "&amp;$B57&amp;", "&amp;$C57&amp;"; ","")</f>
        <v/>
      </c>
      <c r="H57" s="108" t="str">
        <f>IF(AND($D$8=1,'6a_Health_full_time'!E50&lt;0),H$18&amp;", "&amp;H$19&amp;", "&amp;$A57&amp;", "&amp;$B57&amp;", "&amp;$C57&amp;"; ","")</f>
        <v/>
      </c>
      <c r="I57" s="108" t="str">
        <f>IF(AND($D$8=1,'6a_Health_full_time'!F50&lt;0),I$18&amp;", "&amp;I$19&amp;", "&amp;$A57&amp;", "&amp;$B57&amp;", "&amp;$C57&amp;"; ","")</f>
        <v/>
      </c>
      <c r="J57" s="333" t="str">
        <f>IF(AND($D$8=1,'6a_Health_full_time'!G50&lt;0),J$18&amp;", "&amp;J$19&amp;", "&amp;$A57&amp;", "&amp;$B57&amp;", "&amp;$C57&amp;"; ","")</f>
        <v/>
      </c>
      <c r="K57" s="108" t="str">
        <f>IF(AND($D$8=1,'6a_Health_full_time'!H50&lt;0),K$18&amp;", "&amp;K$19&amp;", "&amp;$A57&amp;", "&amp;$B57&amp;", "&amp;$C57&amp;"; ","")</f>
        <v/>
      </c>
      <c r="L57" s="210" t="str">
        <f>IF(AND($D$8=1,'6a_Health_full_time'!I50&lt;0),L$18&amp;", "&amp;L$19&amp;", "&amp;$A57&amp;", "&amp;$B57&amp;", "&amp;$C57&amp;"; ","")</f>
        <v/>
      </c>
      <c r="N57" s="118"/>
      <c r="P57" s="333" t="str">
        <f>IF(AND($E$8=1,ABS('6a_Health_full_time'!D50)&lt;&gt;INT(ABS('6a_Health_full_time'!D50))),P$18&amp;", "&amp;P$19&amp;", "&amp;$A57&amp;", "&amp;$B57&amp;", "&amp;$C57&amp;"; ","")</f>
        <v/>
      </c>
      <c r="Q57" s="108" t="str">
        <f>IF(AND($E$8=1,ABS('6a_Health_full_time'!E50)&lt;&gt;INT(ABS('6a_Health_full_time'!E50))),Q$18&amp;", "&amp;Q$19&amp;", "&amp;$A57&amp;", "&amp;$B57&amp;", "&amp;$C57&amp;"; ","")</f>
        <v/>
      </c>
      <c r="R57" s="108" t="str">
        <f>IF(AND($E$8=1,ABS('6a_Health_full_time'!F50)&lt;&gt;INT(ABS('6a_Health_full_time'!F50))),R$18&amp;", "&amp;R$19&amp;", "&amp;$A57&amp;", "&amp;$B57&amp;", "&amp;$C57&amp;"; ","")</f>
        <v/>
      </c>
      <c r="S57" s="333" t="str">
        <f>IF(AND($E$8=1,ABS('6a_Health_full_time'!G50)&lt;&gt;INT(ABS('6a_Health_full_time'!G50))),S$18&amp;", "&amp;S$19&amp;", "&amp;$A57&amp;", "&amp;$B57&amp;", "&amp;$C57&amp;"; ","")</f>
        <v/>
      </c>
      <c r="T57" s="108" t="str">
        <f>IF(AND($E$8=1,ABS('6a_Health_full_time'!H50)&lt;&gt;INT(ABS('6a_Health_full_time'!H50))),T$18&amp;", "&amp;T$19&amp;", "&amp;$A57&amp;", "&amp;$B57&amp;", "&amp;$C57&amp;"; ","")</f>
        <v/>
      </c>
      <c r="U57" s="210" t="str">
        <f>IF(AND($E$8=1,ABS('6a_Health_full_time'!I50)&lt;&gt;INT(ABS('6a_Health_full_time'!I50))),U$18&amp;", "&amp;U$19&amp;", "&amp;$A57&amp;", "&amp;$B57&amp;", "&amp;$C57&amp;"; ","")</f>
        <v/>
      </c>
      <c r="W57" s="118"/>
      <c r="Y57" s="113"/>
      <c r="Z57" s="481"/>
      <c r="AA57" s="481"/>
      <c r="AB57" s="483"/>
      <c r="AC57" s="121"/>
      <c r="AD57" s="121"/>
      <c r="AF57" s="118"/>
      <c r="AH57" t="s">
        <v>225</v>
      </c>
      <c r="AI57" t="s">
        <v>27888</v>
      </c>
      <c r="AJ57" t="s">
        <v>27891</v>
      </c>
      <c r="AK57" s="109" t="str">
        <f t="shared" ref="AK57:AO57" si="4">IF(AND($G$8=1,AK25&gt;AK41),AK$50&amp;", Price group "&amp;$AH57&amp;" professions, "&amp;$AI57&amp;", "&amp;$AJ57&amp;"; ","")</f>
        <v/>
      </c>
      <c r="AL57" s="108" t="str">
        <f t="shared" si="4"/>
        <v/>
      </c>
      <c r="AM57" s="116"/>
      <c r="AN57" s="109" t="str">
        <f t="shared" si="4"/>
        <v/>
      </c>
      <c r="AO57" s="108" t="str">
        <f t="shared" si="4"/>
        <v/>
      </c>
      <c r="AP57" s="116"/>
      <c r="AR57" s="118"/>
      <c r="AU57" s="562" t="str">
        <f>IF(AND($I$8=1,ABS(SUM('6a_Health_full_time'!D50:E50))&lt;ABS('6a_Health_full_time'!F50)),AU$18&amp;", "&amp;$A57&amp;", "&amp;$B57&amp;", "&amp;$C57&amp;"; ","")</f>
        <v/>
      </c>
      <c r="AX57" s="484" t="str">
        <f>IF(AND($I$8=1,ABS(SUM('6a_Health_full_time'!G50:H50))&lt;ABS('6a_Health_full_time'!I50)),AX$18&amp;", "&amp;$A57&amp;", "&amp;$B57&amp;", "&amp;$C57&amp;"; ","")</f>
        <v/>
      </c>
      <c r="AY57" s="17"/>
      <c r="BH57" s="130"/>
      <c r="BI57" s="333" t="str">
        <f>IF(AND($P$8=1,$B57="Long length",'6a_Health_full_time'!D50&lt;&gt;0),BI$18&amp;", "&amp;BI$19&amp;", "&amp;$A57&amp;", "&amp;$B57&amp;", "&amp;$C57&amp;"; ","")</f>
        <v/>
      </c>
      <c r="BJ57" s="108" t="str">
        <f>IF(AND($P$8=1,$B57="Long length",'6a_Health_full_time'!E50&lt;&gt;0),BJ$18&amp;", "&amp;BJ$19&amp;", "&amp;$A57&amp;", "&amp;$B57&amp;", "&amp;$C57&amp;"; ","")</f>
        <v/>
      </c>
      <c r="BK57" s="108" t="str">
        <f>IF(AND($P$8=1,$B57="Long length",'6a_Health_full_time'!F50&lt;&gt;0),BK$18&amp;", "&amp;BK$19&amp;", "&amp;$A57&amp;", "&amp;$B57&amp;", "&amp;$C57&amp;"; ","")</f>
        <v/>
      </c>
      <c r="BL57" s="333" t="str">
        <f>IF(AND($P$8=1,$B57="Long length",'6a_Health_full_time'!G50&lt;&gt;0),BL$18&amp;", "&amp;BL$19&amp;", "&amp;$A57&amp;", "&amp;$B57&amp;", "&amp;$C57&amp;"; ","")</f>
        <v/>
      </c>
      <c r="BM57" s="108" t="str">
        <f>IF(AND($P$8=1,$B57="Long length",'6a_Health_full_time'!H50&lt;&gt;0),BM$18&amp;", "&amp;BM$19&amp;", "&amp;$A57&amp;", "&amp;$B57&amp;", "&amp;$C57&amp;"; ","")</f>
        <v/>
      </c>
      <c r="BN57" s="108" t="str">
        <f>IF(AND($P$8=1,$B57="Long length",'6a_Health_full_time'!I50&lt;&gt;0),BN$18&amp;", "&amp;BN$19&amp;", "&amp;$A57&amp;", "&amp;$B57&amp;", "&amp;$C57&amp;"; ","")</f>
        <v/>
      </c>
      <c r="BO57" s="131"/>
    </row>
    <row r="58" spans="1:67" x14ac:dyDescent="0.35">
      <c r="A58" t="s">
        <v>27903</v>
      </c>
      <c r="B58" t="s">
        <v>27888</v>
      </c>
      <c r="C58" t="s">
        <v>27889</v>
      </c>
      <c r="E58" s="118"/>
      <c r="G58" s="1879" t="str">
        <f>IF(AND($D$8=1,'6a_Health_full_time'!D51&lt;0),G$18&amp;", "&amp;G$19&amp;", "&amp;$A58&amp;", "&amp;$B58&amp;", "&amp;$C58&amp;"; ","")</f>
        <v/>
      </c>
      <c r="H58" s="1653" t="str">
        <f>IF(AND($D$8=1,'6a_Health_full_time'!E51&lt;0),H$18&amp;", "&amp;H$19&amp;", "&amp;$A58&amp;", "&amp;$B58&amp;", "&amp;$C58&amp;"; ","")</f>
        <v/>
      </c>
      <c r="I58" s="1653" t="str">
        <f>IF(AND($D$8=1,'6a_Health_full_time'!F51&lt;0),I$18&amp;", "&amp;I$19&amp;", "&amp;$A58&amp;", "&amp;$B58&amp;", "&amp;$C58&amp;"; ","")</f>
        <v/>
      </c>
      <c r="J58" s="1879" t="str">
        <f>IF(AND($D$8=1,'6a_Health_full_time'!G51&lt;0),J$18&amp;", "&amp;J$19&amp;", "&amp;$A58&amp;", "&amp;$B58&amp;", "&amp;$C58&amp;"; ","")</f>
        <v/>
      </c>
      <c r="K58" s="1653" t="str">
        <f>IF(AND($D$8=1,'6a_Health_full_time'!H51&lt;0),K$18&amp;", "&amp;K$19&amp;", "&amp;$A58&amp;", "&amp;$B58&amp;", "&amp;$C58&amp;"; ","")</f>
        <v/>
      </c>
      <c r="L58" s="2191" t="str">
        <f>IF(AND($D$8=1,'6a_Health_full_time'!I51&lt;0),L$18&amp;", "&amp;L$19&amp;", "&amp;$A58&amp;", "&amp;$B58&amp;", "&amp;$C58&amp;"; ","")</f>
        <v/>
      </c>
      <c r="N58" s="118"/>
      <c r="P58" s="1879" t="str">
        <f>IF(AND($E$8=1,ABS('6a_Health_full_time'!D51)&lt;&gt;INT(ABS('6a_Health_full_time'!D51))),P$18&amp;", "&amp;P$19&amp;", "&amp;$A58&amp;", "&amp;$B58&amp;", "&amp;$C58&amp;"; ","")</f>
        <v/>
      </c>
      <c r="Q58" s="1653" t="str">
        <f>IF(AND($E$8=1,ABS('6a_Health_full_time'!E51)&lt;&gt;INT(ABS('6a_Health_full_time'!E51))),Q$18&amp;", "&amp;Q$19&amp;", "&amp;$A58&amp;", "&amp;$B58&amp;", "&amp;$C58&amp;"; ","")</f>
        <v/>
      </c>
      <c r="R58" s="1653" t="str">
        <f>IF(AND($E$8=1,ABS('6a_Health_full_time'!F51)&lt;&gt;INT(ABS('6a_Health_full_time'!F51))),R$18&amp;", "&amp;R$19&amp;", "&amp;$A58&amp;", "&amp;$B58&amp;", "&amp;$C58&amp;"; ","")</f>
        <v/>
      </c>
      <c r="S58" s="1879" t="str">
        <f>IF(AND($E$8=1,ABS('6a_Health_full_time'!G51)&lt;&gt;INT(ABS('6a_Health_full_time'!G51))),S$18&amp;", "&amp;S$19&amp;", "&amp;$A58&amp;", "&amp;$B58&amp;", "&amp;$C58&amp;"; ","")</f>
        <v/>
      </c>
      <c r="T58" s="1653" t="str">
        <f>IF(AND($E$8=1,ABS('6a_Health_full_time'!H51)&lt;&gt;INT(ABS('6a_Health_full_time'!H51))),T$18&amp;", "&amp;T$19&amp;", "&amp;$A58&amp;", "&amp;$B58&amp;", "&amp;$C58&amp;"; ","")</f>
        <v/>
      </c>
      <c r="U58" s="2191" t="str">
        <f>IF(AND($E$8=1,ABS('6a_Health_full_time'!I51)&lt;&gt;INT(ABS('6a_Health_full_time'!I51))),U$18&amp;", "&amp;U$19&amp;", "&amp;$A58&amp;", "&amp;$B58&amp;", "&amp;$C58&amp;"; ","")</f>
        <v/>
      </c>
      <c r="W58" s="118"/>
      <c r="Y58" s="1881"/>
      <c r="Z58" s="1882"/>
      <c r="AA58" s="1882"/>
      <c r="AB58" s="1883"/>
      <c r="AC58" s="1884"/>
      <c r="AD58" s="1884"/>
      <c r="AF58" s="118"/>
      <c r="AH58" t="s">
        <v>225</v>
      </c>
      <c r="AI58" t="s">
        <v>27888</v>
      </c>
      <c r="AJ58" t="s">
        <v>27894</v>
      </c>
      <c r="AK58" s="109" t="str">
        <f t="shared" ref="AK58:AO58" si="5">IF(AND($G$8=1,AK26&gt;AK42),AK$50&amp;", Price group "&amp;$AH58&amp;" professions, "&amp;$AI58&amp;", "&amp;$AJ58&amp;"; ","")</f>
        <v/>
      </c>
      <c r="AL58" s="108" t="str">
        <f t="shared" si="5"/>
        <v/>
      </c>
      <c r="AM58" s="116"/>
      <c r="AN58" s="109" t="str">
        <f t="shared" si="5"/>
        <v/>
      </c>
      <c r="AO58" s="108" t="str">
        <f t="shared" si="5"/>
        <v/>
      </c>
      <c r="AP58" s="116"/>
      <c r="AR58" s="118"/>
      <c r="AU58" s="1886" t="str">
        <f>IF(AND($I$8=1,ABS(SUM('6a_Health_full_time'!D51:E51))&lt;ABS('6a_Health_full_time'!F51)),AU$18&amp;", "&amp;$A58&amp;", "&amp;$B58&amp;", "&amp;$C58&amp;"; ","")</f>
        <v/>
      </c>
      <c r="AX58" s="1896" t="str">
        <f>IF(AND($I$8=1,ABS(SUM('6a_Health_full_time'!G51:H51))&lt;ABS('6a_Health_full_time'!I51)),AX$18&amp;", "&amp;$A58&amp;", "&amp;$B58&amp;", "&amp;$C58&amp;"; ","")</f>
        <v/>
      </c>
      <c r="AY58" s="17"/>
      <c r="BH58" s="130"/>
      <c r="BI58" s="1879" t="str">
        <f>IF(AND($P$8=1,$B58="Long length",'6a_Health_full_time'!D51&lt;&gt;0),BI$18&amp;", "&amp;BI$19&amp;", "&amp;$A58&amp;", "&amp;$B58&amp;", "&amp;$C58&amp;"; ","")</f>
        <v/>
      </c>
      <c r="BJ58" s="1653" t="str">
        <f>IF(AND($P$8=1,$B58="Long length",'6a_Health_full_time'!E51&lt;&gt;0),BJ$18&amp;", "&amp;BJ$19&amp;", "&amp;$A58&amp;", "&amp;$B58&amp;", "&amp;$C58&amp;"; ","")</f>
        <v/>
      </c>
      <c r="BK58" s="1653" t="str">
        <f>IF(AND($P$8=1,$B58="Long length",'6a_Health_full_time'!F51&lt;&gt;0),BK$18&amp;", "&amp;BK$19&amp;", "&amp;$A58&amp;", "&amp;$B58&amp;", "&amp;$C58&amp;"; ","")</f>
        <v/>
      </c>
      <c r="BL58" s="1879" t="str">
        <f>IF(AND($P$8=1,$B58="Long length",'6a_Health_full_time'!G51&lt;&gt;0),BL$18&amp;", "&amp;BL$19&amp;", "&amp;$A58&amp;", "&amp;$B58&amp;", "&amp;$C58&amp;"; ","")</f>
        <v/>
      </c>
      <c r="BM58" s="1653" t="str">
        <f>IF(AND($P$8=1,$B58="Long length",'6a_Health_full_time'!H51&lt;&gt;0),BM$18&amp;", "&amp;BM$19&amp;", "&amp;$A58&amp;", "&amp;$B58&amp;", "&amp;$C58&amp;"; ","")</f>
        <v/>
      </c>
      <c r="BN58" s="1653" t="str">
        <f>IF(AND($P$8=1,$B58="Long length",'6a_Health_full_time'!I51&lt;&gt;0),BN$18&amp;", "&amp;BN$19&amp;", "&amp;$A58&amp;", "&amp;$B58&amp;", "&amp;$C58&amp;"; ","")</f>
        <v/>
      </c>
      <c r="BO58" s="131"/>
    </row>
    <row r="59" spans="1:67" ht="13.5" customHeight="1" x14ac:dyDescent="0.35">
      <c r="A59" t="s">
        <v>27903</v>
      </c>
      <c r="B59" t="s">
        <v>27888</v>
      </c>
      <c r="C59" t="s">
        <v>27891</v>
      </c>
      <c r="E59" s="118"/>
      <c r="G59" s="333" t="str">
        <f>IF(AND($D$8=1,'6a_Health_full_time'!D52&lt;0),G$18&amp;", "&amp;G$19&amp;", "&amp;$A59&amp;", "&amp;$B59&amp;", "&amp;$C59&amp;"; ","")</f>
        <v/>
      </c>
      <c r="H59" s="108" t="str">
        <f>IF(AND($D$8=1,'6a_Health_full_time'!E52&lt;0),H$18&amp;", "&amp;H$19&amp;", "&amp;$A59&amp;", "&amp;$B59&amp;", "&amp;$C59&amp;"; ","")</f>
        <v/>
      </c>
      <c r="I59" s="108" t="str">
        <f>IF(AND($D$8=1,'6a_Health_full_time'!F52&lt;0),I$18&amp;", "&amp;I$19&amp;", "&amp;$A59&amp;", "&amp;$B59&amp;", "&amp;$C59&amp;"; ","")</f>
        <v/>
      </c>
      <c r="J59" s="333" t="str">
        <f>IF(AND($D$8=1,'6a_Health_full_time'!G52&lt;0),J$18&amp;", "&amp;J$19&amp;", "&amp;$A59&amp;", "&amp;$B59&amp;", "&amp;$C59&amp;"; ","")</f>
        <v/>
      </c>
      <c r="K59" s="108" t="str">
        <f>IF(AND($D$8=1,'6a_Health_full_time'!H52&lt;0),K$18&amp;", "&amp;K$19&amp;", "&amp;$A59&amp;", "&amp;$B59&amp;", "&amp;$C59&amp;"; ","")</f>
        <v/>
      </c>
      <c r="L59" s="210" t="str">
        <f>IF(AND($D$8=1,'6a_Health_full_time'!I52&lt;0),L$18&amp;", "&amp;L$19&amp;", "&amp;$A59&amp;", "&amp;$B59&amp;", "&amp;$C59&amp;"; ","")</f>
        <v/>
      </c>
      <c r="N59" s="118"/>
      <c r="P59" s="333" t="str">
        <f>IF(AND($E$8=1,ABS('6a_Health_full_time'!D52)&lt;&gt;INT(ABS('6a_Health_full_time'!D52))),P$18&amp;", "&amp;P$19&amp;", "&amp;$A59&amp;", "&amp;$B59&amp;", "&amp;$C59&amp;"; ","")</f>
        <v/>
      </c>
      <c r="Q59" s="335" t="str">
        <f>IF(AND($E$8=1,ABS('6a_Health_full_time'!E52)&lt;&gt;INT(ABS('6a_Health_full_time'!E52))),Q$18&amp;", "&amp;Q$19&amp;", "&amp;$A59&amp;", "&amp;$B59&amp;", "&amp;$C59&amp;"; ","")</f>
        <v/>
      </c>
      <c r="R59" s="335" t="str">
        <f>IF(AND($E$8=1,ABS('6a_Health_full_time'!F52)&lt;&gt;INT(ABS('6a_Health_full_time'!F52))),R$18&amp;", "&amp;R$19&amp;", "&amp;$A59&amp;", "&amp;$B59&amp;", "&amp;$C59&amp;"; ","")</f>
        <v/>
      </c>
      <c r="S59" s="333" t="str">
        <f>IF(AND($E$8=1,ABS('6a_Health_full_time'!G52)&lt;&gt;INT(ABS('6a_Health_full_time'!G52))),S$18&amp;", "&amp;S$19&amp;", "&amp;$A59&amp;", "&amp;$B59&amp;", "&amp;$C59&amp;"; ","")</f>
        <v/>
      </c>
      <c r="T59" s="108" t="str">
        <f>IF(AND($E$8=1,ABS('6a_Health_full_time'!H52)&lt;&gt;INT(ABS('6a_Health_full_time'!H52))),T$18&amp;", "&amp;T$19&amp;", "&amp;$A59&amp;", "&amp;$B59&amp;", "&amp;$C59&amp;"; ","")</f>
        <v/>
      </c>
      <c r="U59" s="210" t="str">
        <f>IF(AND($E$8=1,ABS('6a_Health_full_time'!I52)&lt;&gt;INT(ABS('6a_Health_full_time'!I52))),U$18&amp;", "&amp;U$19&amp;", "&amp;$A59&amp;", "&amp;$B59&amp;", "&amp;$C59&amp;"; ","")</f>
        <v/>
      </c>
      <c r="W59" s="118"/>
      <c r="Y59" s="113"/>
      <c r="Z59" s="481"/>
      <c r="AA59" s="481"/>
      <c r="AB59" s="483"/>
      <c r="AC59" s="121"/>
      <c r="AD59" s="121"/>
      <c r="AF59" s="118"/>
      <c r="AH59" t="s">
        <v>225</v>
      </c>
      <c r="AI59" t="s">
        <v>27892</v>
      </c>
      <c r="AJ59" t="s">
        <v>27889</v>
      </c>
      <c r="AK59" s="109" t="str">
        <f t="shared" ref="AK59:AO59" si="6">IF(AND($G$8=1,AK27&gt;AK43),AK$50&amp;", Price group "&amp;$AH59&amp;" professions, "&amp;$AI59&amp;", "&amp;$AJ59&amp;"; ","")</f>
        <v/>
      </c>
      <c r="AL59" s="108" t="str">
        <f t="shared" si="6"/>
        <v/>
      </c>
      <c r="AM59" s="116"/>
      <c r="AN59" s="109" t="str">
        <f t="shared" si="6"/>
        <v/>
      </c>
      <c r="AO59" s="108" t="str">
        <f t="shared" si="6"/>
        <v/>
      </c>
      <c r="AP59" s="116"/>
      <c r="AR59" s="118"/>
      <c r="AU59" s="562" t="str">
        <f>IF(AND($I$8=1,ABS(SUM('6a_Health_full_time'!D52:E52))&lt;ABS('6a_Health_full_time'!F52)),AU$18&amp;", "&amp;$A59&amp;", "&amp;$B59&amp;", "&amp;$C59&amp;"; ","")</f>
        <v/>
      </c>
      <c r="AX59" s="484" t="str">
        <f>IF(AND($I$8=1,ABS(SUM('6a_Health_full_time'!G52:H52))&lt;ABS('6a_Health_full_time'!I52)),AX$18&amp;", "&amp;$A59&amp;", "&amp;$B59&amp;", "&amp;$C59&amp;"; ","")</f>
        <v/>
      </c>
      <c r="AY59" s="17"/>
      <c r="BH59" s="130"/>
      <c r="BI59" s="333" t="str">
        <f>IF(AND($P$8=1,$B59="Long length",'6a_Health_full_time'!D52&lt;&gt;0),BI$18&amp;", "&amp;BI$19&amp;", "&amp;$A59&amp;", "&amp;$B59&amp;", "&amp;$C59&amp;"; ","")</f>
        <v/>
      </c>
      <c r="BJ59" s="108" t="str">
        <f>IF(AND($P$8=1,$B59="Long length",'6a_Health_full_time'!E52&lt;&gt;0),BJ$18&amp;", "&amp;BJ$19&amp;", "&amp;$A59&amp;", "&amp;$B59&amp;", "&amp;$C59&amp;"; ","")</f>
        <v/>
      </c>
      <c r="BK59" s="108" t="str">
        <f>IF(AND($P$8=1,$B59="Long length",'6a_Health_full_time'!F52&lt;&gt;0),BK$18&amp;", "&amp;BK$19&amp;", "&amp;$A59&amp;", "&amp;$B59&amp;", "&amp;$C59&amp;"; ","")</f>
        <v/>
      </c>
      <c r="BL59" s="333" t="str">
        <f>IF(AND($P$8=1,$B59="Long length",'6a_Health_full_time'!G52&lt;&gt;0),BL$18&amp;", "&amp;BL$19&amp;", "&amp;$A59&amp;", "&amp;$B59&amp;", "&amp;$C59&amp;"; ","")</f>
        <v/>
      </c>
      <c r="BM59" s="108" t="str">
        <f>IF(AND($P$8=1,$B59="Long length",'6a_Health_full_time'!H52&lt;&gt;0),BM$18&amp;", "&amp;BM$19&amp;", "&amp;$A59&amp;", "&amp;$B59&amp;", "&amp;$C59&amp;"; ","")</f>
        <v/>
      </c>
      <c r="BN59" s="108" t="str">
        <f>IF(AND($P$8=1,$B59="Long length",'6a_Health_full_time'!I52&lt;&gt;0),BN$18&amp;", "&amp;BN$19&amp;", "&amp;$A59&amp;", "&amp;$B59&amp;", "&amp;$C59&amp;"; ","")</f>
        <v/>
      </c>
      <c r="BO59" s="131"/>
    </row>
    <row r="60" spans="1:67" x14ac:dyDescent="0.35">
      <c r="A60" t="s">
        <v>27903</v>
      </c>
      <c r="B60" t="s">
        <v>27892</v>
      </c>
      <c r="C60" t="s">
        <v>27889</v>
      </c>
      <c r="E60" s="118"/>
      <c r="G60" s="333" t="str">
        <f>IF(AND($D$8=1,'6a_Health_full_time'!D53&lt;0),G$18&amp;", "&amp;G$19&amp;", "&amp;$A60&amp;", "&amp;$B60&amp;", "&amp;$C60&amp;"; ","")</f>
        <v/>
      </c>
      <c r="H60" s="108" t="str">
        <f>IF(AND($D$8=1,'6a_Health_full_time'!E53&lt;0),H$18&amp;", "&amp;H$19&amp;", "&amp;$A60&amp;", "&amp;$B60&amp;", "&amp;$C60&amp;"; ","")</f>
        <v/>
      </c>
      <c r="I60" s="108" t="str">
        <f>IF(AND($D$8=1,'6a_Health_full_time'!F53&lt;0),I$18&amp;", "&amp;I$19&amp;", "&amp;$A60&amp;", "&amp;$B60&amp;", "&amp;$C60&amp;"; ","")</f>
        <v/>
      </c>
      <c r="J60" s="333" t="str">
        <f>IF(AND($D$8=1,'6a_Health_full_time'!G53&lt;0),J$18&amp;", "&amp;J$19&amp;", "&amp;$A60&amp;", "&amp;$B60&amp;", "&amp;$C60&amp;"; ","")</f>
        <v/>
      </c>
      <c r="K60" s="108" t="str">
        <f>IF(AND($D$8=1,'6a_Health_full_time'!H53&lt;0),K$18&amp;", "&amp;K$19&amp;", "&amp;$A60&amp;", "&amp;$B60&amp;", "&amp;$C60&amp;"; ","")</f>
        <v/>
      </c>
      <c r="L60" s="210" t="str">
        <f>IF(AND($D$8=1,'6a_Health_full_time'!I53&lt;0),L$18&amp;", "&amp;L$19&amp;", "&amp;$A60&amp;", "&amp;$B60&amp;", "&amp;$C60&amp;"; ","")</f>
        <v/>
      </c>
      <c r="N60" s="118"/>
      <c r="P60" s="333" t="str">
        <f>IF(AND($E$8=1,ABS('6a_Health_full_time'!D53)&lt;&gt;INT(ABS('6a_Health_full_time'!D53))),P$18&amp;", "&amp;P$19&amp;", "&amp;$A60&amp;", "&amp;$B60&amp;", "&amp;$C60&amp;"; ","")</f>
        <v/>
      </c>
      <c r="Q60" s="108" t="str">
        <f>IF(AND($E$8=1,ABS('6a_Health_full_time'!E53)&lt;&gt;INT(ABS('6a_Health_full_time'!E53))),Q$18&amp;", "&amp;Q$19&amp;", "&amp;$A60&amp;", "&amp;$B60&amp;", "&amp;$C60&amp;"; ","")</f>
        <v/>
      </c>
      <c r="R60" s="108" t="str">
        <f>IF(AND($E$8=1,ABS('6a_Health_full_time'!F53)&lt;&gt;INT(ABS('6a_Health_full_time'!F53))),R$18&amp;", "&amp;R$19&amp;", "&amp;$A60&amp;", "&amp;$B60&amp;", "&amp;$C60&amp;"; ","")</f>
        <v/>
      </c>
      <c r="S60" s="333" t="str">
        <f>IF(AND($E$8=1,ABS('6a_Health_full_time'!G53)&lt;&gt;INT(ABS('6a_Health_full_time'!G53))),S$18&amp;", "&amp;S$19&amp;", "&amp;$A60&amp;", "&amp;$B60&amp;", "&amp;$C60&amp;"; ","")</f>
        <v/>
      </c>
      <c r="T60" s="108" t="str">
        <f>IF(AND($E$8=1,ABS('6a_Health_full_time'!H53)&lt;&gt;INT(ABS('6a_Health_full_time'!H53))),T$18&amp;", "&amp;T$19&amp;", "&amp;$A60&amp;", "&amp;$B60&amp;", "&amp;$C60&amp;"; ","")</f>
        <v/>
      </c>
      <c r="U60" s="210" t="str">
        <f>IF(AND($E$8=1,ABS('6a_Health_full_time'!I53)&lt;&gt;INT(ABS('6a_Health_full_time'!I53))),U$18&amp;", "&amp;U$19&amp;", "&amp;$A60&amp;", "&amp;$B60&amp;", "&amp;$C60&amp;"; ","")</f>
        <v/>
      </c>
      <c r="W60" s="118"/>
      <c r="Y60" s="113"/>
      <c r="Z60" s="481"/>
      <c r="AA60" s="481"/>
      <c r="AB60" s="483"/>
      <c r="AC60" s="121"/>
      <c r="AD60" s="121"/>
      <c r="AF60" s="118"/>
      <c r="AH60" t="s">
        <v>225</v>
      </c>
      <c r="AI60" t="s">
        <v>27892</v>
      </c>
      <c r="AJ60" t="s">
        <v>27891</v>
      </c>
      <c r="AK60" s="109" t="str">
        <f t="shared" ref="AK60:AO60" si="7">IF(AND($G$8=1,AK28&gt;AK44),AK$50&amp;", Price group "&amp;$AH60&amp;" professions, "&amp;$AI60&amp;", "&amp;$AJ60&amp;"; ","")</f>
        <v/>
      </c>
      <c r="AL60" s="108" t="str">
        <f t="shared" si="7"/>
        <v/>
      </c>
      <c r="AM60" s="116"/>
      <c r="AN60" s="109" t="str">
        <f t="shared" si="7"/>
        <v/>
      </c>
      <c r="AO60" s="108" t="str">
        <f t="shared" si="7"/>
        <v/>
      </c>
      <c r="AP60" s="116"/>
      <c r="AR60" s="118"/>
      <c r="AU60" s="562" t="str">
        <f>IF(AND($I$8=1,ABS(SUM('6a_Health_full_time'!D53:E53))&lt;ABS('6a_Health_full_time'!F53)),AU$18&amp;", "&amp;$A60&amp;", "&amp;$B60&amp;", "&amp;$C60&amp;"; ","")</f>
        <v/>
      </c>
      <c r="AX60" s="484" t="str">
        <f>IF(AND($I$8=1,ABS(SUM('6a_Health_full_time'!G53:H53))&lt;ABS('6a_Health_full_time'!I53)),AX$18&amp;", "&amp;$A60&amp;", "&amp;$B60&amp;", "&amp;$C60&amp;"; ","")</f>
        <v/>
      </c>
      <c r="AY60" s="17"/>
      <c r="BH60" s="130"/>
      <c r="BI60" s="333" t="str">
        <f>IF(AND($P$8=1,$B60="Long length",'6a_Health_full_time'!D53&lt;&gt;0),BI$18&amp;", "&amp;BI$19&amp;", "&amp;$A60&amp;", "&amp;$B60&amp;", "&amp;$C60&amp;"; ","")</f>
        <v/>
      </c>
      <c r="BJ60" s="108" t="str">
        <f>IF(AND($P$8=1,$B60="Long length",'6a_Health_full_time'!E53&lt;&gt;0),BJ$18&amp;", "&amp;BJ$19&amp;", "&amp;$A60&amp;", "&amp;$B60&amp;", "&amp;$C60&amp;"; ","")</f>
        <v/>
      </c>
      <c r="BK60" s="108" t="str">
        <f>IF(AND($P$8=1,$B60="Long length",'6a_Health_full_time'!F53&lt;&gt;0),BK$18&amp;", "&amp;BK$19&amp;", "&amp;$A60&amp;", "&amp;$B60&amp;", "&amp;$C60&amp;"; ","")</f>
        <v/>
      </c>
      <c r="BL60" s="333" t="str">
        <f>IF(AND($P$8=1,$B60="Long length",'6a_Health_full_time'!G53&lt;&gt;0),BL$18&amp;", "&amp;BL$19&amp;", "&amp;$A60&amp;", "&amp;$B60&amp;", "&amp;$C60&amp;"; ","")</f>
        <v/>
      </c>
      <c r="BM60" s="108" t="str">
        <f>IF(AND($P$8=1,$B60="Long length",'6a_Health_full_time'!H53&lt;&gt;0),BM$18&amp;", "&amp;BM$19&amp;", "&amp;$A60&amp;", "&amp;$B60&amp;", "&amp;$C60&amp;"; ","")</f>
        <v/>
      </c>
      <c r="BN60" s="108" t="str">
        <f>IF(AND($P$8=1,$B60="Long length",'6a_Health_full_time'!I53&lt;&gt;0),BN$18&amp;", "&amp;BN$19&amp;", "&amp;$A60&amp;", "&amp;$B60&amp;", "&amp;$C60&amp;"; ","")</f>
        <v/>
      </c>
      <c r="BO60" s="131"/>
    </row>
    <row r="61" spans="1:67" x14ac:dyDescent="0.35">
      <c r="A61" t="s">
        <v>27903</v>
      </c>
      <c r="B61" t="s">
        <v>27892</v>
      </c>
      <c r="C61" t="s">
        <v>27891</v>
      </c>
      <c r="E61" s="118"/>
      <c r="G61" s="333" t="str">
        <f>IF(AND($D$8=1,'6a_Health_full_time'!D54&lt;0),G$18&amp;", "&amp;G$19&amp;", "&amp;$A61&amp;", "&amp;$B61&amp;", "&amp;$C61&amp;"; ","")</f>
        <v/>
      </c>
      <c r="H61" s="108" t="str">
        <f>IF(AND($D$8=1,'6a_Health_full_time'!E54&lt;0),H$18&amp;", "&amp;H$19&amp;", "&amp;$A61&amp;", "&amp;$B61&amp;", "&amp;$C61&amp;"; ","")</f>
        <v/>
      </c>
      <c r="I61" s="108" t="str">
        <f>IF(AND($D$8=1,'6a_Health_full_time'!F54&lt;0),I$18&amp;", "&amp;I$19&amp;", "&amp;$A61&amp;", "&amp;$B61&amp;", "&amp;$C61&amp;"; ","")</f>
        <v/>
      </c>
      <c r="J61" s="333" t="str">
        <f>IF(AND($D$8=1,'6a_Health_full_time'!G54&lt;0),J$18&amp;", "&amp;J$19&amp;", "&amp;$A61&amp;", "&amp;$B61&amp;", "&amp;$C61&amp;"; ","")</f>
        <v/>
      </c>
      <c r="K61" s="108" t="str">
        <f>IF(AND($D$8=1,'6a_Health_full_time'!H54&lt;0),K$18&amp;", "&amp;K$19&amp;", "&amp;$A61&amp;", "&amp;$B61&amp;", "&amp;$C61&amp;"; ","")</f>
        <v/>
      </c>
      <c r="L61" s="210" t="str">
        <f>IF(AND($D$8=1,'6a_Health_full_time'!I54&lt;0),L$18&amp;", "&amp;L$19&amp;", "&amp;$A61&amp;", "&amp;$B61&amp;", "&amp;$C61&amp;"; ","")</f>
        <v/>
      </c>
      <c r="N61" s="118"/>
      <c r="P61" s="333" t="str">
        <f>IF(AND($E$8=1,ABS('6a_Health_full_time'!D54)&lt;&gt;INT(ABS('6a_Health_full_time'!D54))),P$18&amp;", "&amp;P$19&amp;", "&amp;$A61&amp;", "&amp;$B61&amp;", "&amp;$C61&amp;"; ","")</f>
        <v/>
      </c>
      <c r="Q61" s="108" t="str">
        <f>IF(AND($E$8=1,ABS('6a_Health_full_time'!E54)&lt;&gt;INT(ABS('6a_Health_full_time'!E54))),Q$18&amp;", "&amp;Q$19&amp;", "&amp;$A61&amp;", "&amp;$B61&amp;", "&amp;$C61&amp;"; ","")</f>
        <v/>
      </c>
      <c r="R61" s="108" t="str">
        <f>IF(AND($E$8=1,ABS('6a_Health_full_time'!F54)&lt;&gt;INT(ABS('6a_Health_full_time'!F54))),R$18&amp;", "&amp;R$19&amp;", "&amp;$A61&amp;", "&amp;$B61&amp;", "&amp;$C61&amp;"; ","")</f>
        <v/>
      </c>
      <c r="S61" s="333" t="str">
        <f>IF(AND($E$8=1,ABS('6a_Health_full_time'!G54)&lt;&gt;INT(ABS('6a_Health_full_time'!G54))),S$18&amp;", "&amp;S$19&amp;", "&amp;$A61&amp;", "&amp;$B61&amp;", "&amp;$C61&amp;"; ","")</f>
        <v/>
      </c>
      <c r="T61" s="108" t="str">
        <f>IF(AND($E$8=1,ABS('6a_Health_full_time'!H54)&lt;&gt;INT(ABS('6a_Health_full_time'!H54))),T$18&amp;", "&amp;T$19&amp;", "&amp;$A61&amp;", "&amp;$B61&amp;", "&amp;$C61&amp;"; ","")</f>
        <v/>
      </c>
      <c r="U61" s="210" t="str">
        <f>IF(AND($E$8=1,ABS('6a_Health_full_time'!I54)&lt;&gt;INT(ABS('6a_Health_full_time'!I54))),U$18&amp;", "&amp;U$19&amp;", "&amp;$A61&amp;", "&amp;$B61&amp;", "&amp;$C61&amp;"; ","")</f>
        <v/>
      </c>
      <c r="W61" s="118"/>
      <c r="Y61" s="113"/>
      <c r="Z61" s="481"/>
      <c r="AA61" s="481"/>
      <c r="AB61" s="483"/>
      <c r="AC61" s="121"/>
      <c r="AD61" s="121"/>
      <c r="AF61" s="118"/>
      <c r="AH61" t="s">
        <v>225</v>
      </c>
      <c r="AI61" t="s">
        <v>27888</v>
      </c>
      <c r="AJ61" t="s">
        <v>27894</v>
      </c>
      <c r="AK61" s="109" t="str">
        <f t="shared" ref="AK61:AO61" si="8">IF(AND($G$8=1,AK29&gt;AK45),AK$50&amp;", Price group "&amp;$AH61&amp;" professions, "&amp;$AI61&amp;", "&amp;$AJ61&amp;"; ","")</f>
        <v/>
      </c>
      <c r="AL61" s="108" t="str">
        <f t="shared" si="8"/>
        <v/>
      </c>
      <c r="AM61" s="116"/>
      <c r="AN61" s="109" t="str">
        <f t="shared" si="8"/>
        <v/>
      </c>
      <c r="AO61" s="108" t="str">
        <f t="shared" si="8"/>
        <v/>
      </c>
      <c r="AP61" s="116"/>
      <c r="AR61" s="118"/>
      <c r="AU61" s="562" t="str">
        <f>IF(AND($I$8=1,ABS(SUM('6a_Health_full_time'!D54:E54))&lt;ABS('6a_Health_full_time'!F54)),AU$18&amp;", "&amp;$A61&amp;", "&amp;$B61&amp;", "&amp;$C61&amp;"; ","")</f>
        <v/>
      </c>
      <c r="AX61" s="484" t="str">
        <f>IF(AND($I$8=1,ABS(SUM('6a_Health_full_time'!G54:H54))&lt;ABS('6a_Health_full_time'!I54)),AX$18&amp;", "&amp;$A61&amp;", "&amp;$B61&amp;", "&amp;$C61&amp;"; ","")</f>
        <v/>
      </c>
      <c r="AY61" s="17"/>
      <c r="BH61" s="130"/>
      <c r="BI61" s="333" t="str">
        <f>IF(AND($P$8=1,$B61="Long length",'6a_Health_full_time'!D54&lt;&gt;0),BI$18&amp;", "&amp;BI$19&amp;", "&amp;$A61&amp;", "&amp;$B61&amp;", "&amp;$C61&amp;"; ","")</f>
        <v/>
      </c>
      <c r="BJ61" s="108" t="str">
        <f>IF(AND($P$8=1,$B61="Long length",'6a_Health_full_time'!E54&lt;&gt;0),BJ$18&amp;", "&amp;BJ$19&amp;", "&amp;$A61&amp;", "&amp;$B61&amp;", "&amp;$C61&amp;"; ","")</f>
        <v/>
      </c>
      <c r="BK61" s="108" t="str">
        <f>IF(AND($P$8=1,$B61="Long length",'6a_Health_full_time'!F54&lt;&gt;0),BK$18&amp;", "&amp;BK$19&amp;", "&amp;$A61&amp;", "&amp;$B61&amp;", "&amp;$C61&amp;"; ","")</f>
        <v/>
      </c>
      <c r="BL61" s="333" t="str">
        <f>IF(AND($P$8=1,$B61="Long length",'6a_Health_full_time'!G54&lt;&gt;0),BL$18&amp;", "&amp;BL$19&amp;", "&amp;$A61&amp;", "&amp;$B61&amp;", "&amp;$C61&amp;"; ","")</f>
        <v/>
      </c>
      <c r="BM61" s="108" t="str">
        <f>IF(AND($P$8=1,$B61="Long length",'6a_Health_full_time'!H54&lt;&gt;0),BM$18&amp;", "&amp;BM$19&amp;", "&amp;$A61&amp;", "&amp;$B61&amp;", "&amp;$C61&amp;"; ","")</f>
        <v/>
      </c>
      <c r="BN61" s="108" t="str">
        <f>IF(AND($P$8=1,$B61="Long length",'6a_Health_full_time'!I54&lt;&gt;0),BN$18&amp;", "&amp;BN$19&amp;", "&amp;$A61&amp;", "&amp;$B61&amp;", "&amp;$C61&amp;"; ","")</f>
        <v/>
      </c>
      <c r="BO61" s="131"/>
    </row>
    <row r="62" spans="1:67" x14ac:dyDescent="0.35">
      <c r="A62" t="s">
        <v>27904</v>
      </c>
      <c r="B62" t="s">
        <v>27888</v>
      </c>
      <c r="C62" t="s">
        <v>27889</v>
      </c>
      <c r="E62" s="118"/>
      <c r="G62" s="1879" t="str">
        <f>IF(AND($D$8=1,'6a_Health_full_time'!D55&lt;0),G$18&amp;", "&amp;G$19&amp;", "&amp;$A62&amp;", "&amp;$B62&amp;", "&amp;$C62&amp;"; ","")</f>
        <v/>
      </c>
      <c r="H62" s="1653" t="str">
        <f>IF(AND($D$8=1,'6a_Health_full_time'!E55&lt;0),H$18&amp;", "&amp;H$19&amp;", "&amp;$A62&amp;", "&amp;$B62&amp;", "&amp;$C62&amp;"; ","")</f>
        <v/>
      </c>
      <c r="I62" s="1653" t="str">
        <f>IF(AND($D$8=1,'6a_Health_full_time'!F55&lt;0),I$18&amp;", "&amp;I$19&amp;", "&amp;$A62&amp;", "&amp;$B62&amp;", "&amp;$C62&amp;"; ","")</f>
        <v/>
      </c>
      <c r="J62" s="1879" t="str">
        <f>IF(AND($D$8=1,'6a_Health_full_time'!G55&lt;0),J$18&amp;", "&amp;J$19&amp;", "&amp;$A62&amp;", "&amp;$B62&amp;", "&amp;$C62&amp;"; ","")</f>
        <v/>
      </c>
      <c r="K62" s="1653" t="str">
        <f>IF(AND($D$8=1,'6a_Health_full_time'!H55&lt;0),K$18&amp;", "&amp;K$19&amp;", "&amp;$A62&amp;", "&amp;$B62&amp;", "&amp;$C62&amp;"; ","")</f>
        <v/>
      </c>
      <c r="L62" s="2191" t="str">
        <f>IF(AND($D$8=1,'6a_Health_full_time'!I55&lt;0),L$18&amp;", "&amp;L$19&amp;", "&amp;$A62&amp;", "&amp;$B62&amp;", "&amp;$C62&amp;"; ","")</f>
        <v/>
      </c>
      <c r="N62" s="118"/>
      <c r="P62" s="1879" t="str">
        <f>IF(AND($E$8=1,ABS('6a_Health_full_time'!D55)&lt;&gt;INT(ABS('6a_Health_full_time'!D55))),P$18&amp;", "&amp;P$19&amp;", "&amp;$A62&amp;", "&amp;$B62&amp;", "&amp;$C62&amp;"; ","")</f>
        <v/>
      </c>
      <c r="Q62" s="1653" t="str">
        <f>IF(AND($E$8=1,ABS('6a_Health_full_time'!E55)&lt;&gt;INT(ABS('6a_Health_full_time'!E55))),Q$18&amp;", "&amp;Q$19&amp;", "&amp;$A62&amp;", "&amp;$B62&amp;", "&amp;$C62&amp;"; ","")</f>
        <v/>
      </c>
      <c r="R62" s="1653" t="str">
        <f>IF(AND($E$8=1,ABS('6a_Health_full_time'!F55)&lt;&gt;INT(ABS('6a_Health_full_time'!F55))),R$18&amp;", "&amp;R$19&amp;", "&amp;$A62&amp;", "&amp;$B62&amp;", "&amp;$C62&amp;"; ","")</f>
        <v/>
      </c>
      <c r="S62" s="1879" t="str">
        <f>IF(AND($E$8=1,ABS('6a_Health_full_time'!G55)&lt;&gt;INT(ABS('6a_Health_full_time'!G55))),S$18&amp;", "&amp;S$19&amp;", "&amp;$A62&amp;", "&amp;$B62&amp;", "&amp;$C62&amp;"; ","")</f>
        <v/>
      </c>
      <c r="T62" s="1653" t="str">
        <f>IF(AND($E$8=1,ABS('6a_Health_full_time'!H55)&lt;&gt;INT(ABS('6a_Health_full_time'!H55))),T$18&amp;", "&amp;T$19&amp;", "&amp;$A62&amp;", "&amp;$B62&amp;", "&amp;$C62&amp;"; ","")</f>
        <v/>
      </c>
      <c r="U62" s="2191" t="str">
        <f>IF(AND($E$8=1,ABS('6a_Health_full_time'!I55)&lt;&gt;INT(ABS('6a_Health_full_time'!I55))),U$18&amp;", "&amp;U$19&amp;", "&amp;$A62&amp;", "&amp;$B62&amp;", "&amp;$C62&amp;"; ","")</f>
        <v/>
      </c>
      <c r="W62" s="118"/>
      <c r="Y62" s="1881"/>
      <c r="Z62" s="1882"/>
      <c r="AA62" s="1882"/>
      <c r="AB62" s="1883"/>
      <c r="AC62" s="1884"/>
      <c r="AD62" s="1884"/>
      <c r="AF62" s="118"/>
      <c r="AH62" t="s">
        <v>238</v>
      </c>
      <c r="AI62" t="s">
        <v>27888</v>
      </c>
      <c r="AJ62" t="s">
        <v>27889</v>
      </c>
      <c r="AK62" s="1885" t="str">
        <f t="shared" ref="AK62:AO62" si="9">IF(AND($G$8=1,AK30&gt;AK46),AK$50&amp;", Price group "&amp;$AH62&amp;" professions, "&amp;$AI62&amp;", "&amp;$AJ62&amp;"; ","")</f>
        <v/>
      </c>
      <c r="AL62" s="1653" t="str">
        <f t="shared" si="9"/>
        <v/>
      </c>
      <c r="AM62" s="1655"/>
      <c r="AN62" s="1885" t="str">
        <f t="shared" si="9"/>
        <v/>
      </c>
      <c r="AO62" s="1653" t="str">
        <f t="shared" si="9"/>
        <v/>
      </c>
      <c r="AP62" s="2190"/>
      <c r="AR62" s="118"/>
      <c r="AU62" s="1886" t="str">
        <f>IF(AND($I$8=1,ABS(SUM('6a_Health_full_time'!D55:E55))&lt;ABS('6a_Health_full_time'!F55)),AU$18&amp;", "&amp;$A62&amp;", "&amp;$B62&amp;", "&amp;$C62&amp;"; ","")</f>
        <v/>
      </c>
      <c r="AX62" s="1896" t="str">
        <f>IF(AND($I$8=1,ABS(SUM('6a_Health_full_time'!G55:H55))&lt;ABS('6a_Health_full_time'!I55)),AX$18&amp;", "&amp;$A62&amp;", "&amp;$B62&amp;", "&amp;$C62&amp;"; ","")</f>
        <v/>
      </c>
      <c r="AY62" s="17"/>
      <c r="BH62" s="130"/>
      <c r="BI62" s="1879" t="str">
        <f>IF(AND($P$8=1,$B62="Long length",'6a_Health_full_time'!D55&lt;&gt;0),BI$18&amp;", "&amp;BI$19&amp;", "&amp;$A62&amp;", "&amp;$B62&amp;", "&amp;$C62&amp;"; ","")</f>
        <v/>
      </c>
      <c r="BJ62" s="1653" t="str">
        <f>IF(AND($P$8=1,$B62="Long length",'6a_Health_full_time'!E55&lt;&gt;0),BJ$18&amp;", "&amp;BJ$19&amp;", "&amp;$A62&amp;", "&amp;$B62&amp;", "&amp;$C62&amp;"; ","")</f>
        <v/>
      </c>
      <c r="BK62" s="1653" t="str">
        <f>IF(AND($P$8=1,$B62="Long length",'6a_Health_full_time'!F55&lt;&gt;0),BK$18&amp;", "&amp;BK$19&amp;", "&amp;$A62&amp;", "&amp;$B62&amp;", "&amp;$C62&amp;"; ","")</f>
        <v/>
      </c>
      <c r="BL62" s="1879" t="str">
        <f>IF(AND($P$8=1,$B62="Long length",'6a_Health_full_time'!G55&lt;&gt;0),BL$18&amp;", "&amp;BL$19&amp;", "&amp;$A62&amp;", "&amp;$B62&amp;", "&amp;$C62&amp;"; ","")</f>
        <v/>
      </c>
      <c r="BM62" s="1653" t="str">
        <f>IF(AND($P$8=1,$B62="Long length",'6a_Health_full_time'!H55&lt;&gt;0),BM$18&amp;", "&amp;BM$19&amp;", "&amp;$A62&amp;", "&amp;$B62&amp;", "&amp;$C62&amp;"; ","")</f>
        <v/>
      </c>
      <c r="BN62" s="1653" t="str">
        <f>IF(AND($P$8=1,$B62="Long length",'6a_Health_full_time'!I55&lt;&gt;0),BN$18&amp;", "&amp;BN$19&amp;", "&amp;$A62&amp;", "&amp;$B62&amp;", "&amp;$C62&amp;"; ","")</f>
        <v/>
      </c>
      <c r="BO62" s="131"/>
    </row>
    <row r="63" spans="1:67" x14ac:dyDescent="0.35">
      <c r="A63" t="s">
        <v>27904</v>
      </c>
      <c r="B63" t="s">
        <v>27888</v>
      </c>
      <c r="C63" t="s">
        <v>27891</v>
      </c>
      <c r="E63" s="118"/>
      <c r="G63" s="333" t="str">
        <f>IF(AND($D$8=1,'6a_Health_full_time'!D56&lt;0),G$18&amp;", "&amp;G$19&amp;", "&amp;$A63&amp;", "&amp;$B63&amp;", "&amp;$C63&amp;"; ","")</f>
        <v/>
      </c>
      <c r="H63" s="108" t="str">
        <f>IF(AND($D$8=1,'6a_Health_full_time'!E56&lt;0),H$18&amp;", "&amp;H$19&amp;", "&amp;$A63&amp;", "&amp;$B63&amp;", "&amp;$C63&amp;"; ","")</f>
        <v/>
      </c>
      <c r="I63" s="108" t="str">
        <f>IF(AND($D$8=1,'6a_Health_full_time'!F56&lt;0),I$18&amp;", "&amp;I$19&amp;", "&amp;$A63&amp;", "&amp;$B63&amp;", "&amp;$C63&amp;"; ","")</f>
        <v/>
      </c>
      <c r="J63" s="333" t="str">
        <f>IF(AND($D$8=1,'6a_Health_full_time'!G56&lt;0),J$18&amp;", "&amp;J$19&amp;", "&amp;$A63&amp;", "&amp;$B63&amp;", "&amp;$C63&amp;"; ","")</f>
        <v/>
      </c>
      <c r="K63" s="108" t="str">
        <f>IF(AND($D$8=1,'6a_Health_full_time'!H56&lt;0),K$18&amp;", "&amp;K$19&amp;", "&amp;$A63&amp;", "&amp;$B63&amp;", "&amp;$C63&amp;"; ","")</f>
        <v/>
      </c>
      <c r="L63" s="210" t="str">
        <f>IF(AND($D$8=1,'6a_Health_full_time'!I56&lt;0),L$18&amp;", "&amp;L$19&amp;", "&amp;$A63&amp;", "&amp;$B63&amp;", "&amp;$C63&amp;"; ","")</f>
        <v/>
      </c>
      <c r="N63" s="118"/>
      <c r="P63" s="333" t="str">
        <f>IF(AND($E$8=1,ABS('6a_Health_full_time'!D56)&lt;&gt;INT(ABS('6a_Health_full_time'!D56))),P$18&amp;", "&amp;P$19&amp;", "&amp;$A63&amp;", "&amp;$B63&amp;", "&amp;$C63&amp;"; ","")</f>
        <v/>
      </c>
      <c r="Q63" s="335" t="str">
        <f>IF(AND($E$8=1,ABS('6a_Health_full_time'!E56)&lt;&gt;INT(ABS('6a_Health_full_time'!E56))),Q$18&amp;", "&amp;Q$19&amp;", "&amp;$A63&amp;", "&amp;$B63&amp;", "&amp;$C63&amp;"; ","")</f>
        <v/>
      </c>
      <c r="R63" s="335" t="str">
        <f>IF(AND($E$8=1,ABS('6a_Health_full_time'!F56)&lt;&gt;INT(ABS('6a_Health_full_time'!F56))),R$18&amp;", "&amp;R$19&amp;", "&amp;$A63&amp;", "&amp;$B63&amp;", "&amp;$C63&amp;"; ","")</f>
        <v/>
      </c>
      <c r="S63" s="333" t="str">
        <f>IF(AND($E$8=1,ABS('6a_Health_full_time'!G56)&lt;&gt;INT(ABS('6a_Health_full_time'!G56))),S$18&amp;", "&amp;S$19&amp;", "&amp;$A63&amp;", "&amp;$B63&amp;", "&amp;$C63&amp;"; ","")</f>
        <v/>
      </c>
      <c r="T63" s="108" t="str">
        <f>IF(AND($E$8=1,ABS('6a_Health_full_time'!H56)&lt;&gt;INT(ABS('6a_Health_full_time'!H56))),T$18&amp;", "&amp;T$19&amp;", "&amp;$A63&amp;", "&amp;$B63&amp;", "&amp;$C63&amp;"; ","")</f>
        <v/>
      </c>
      <c r="U63" s="210" t="str">
        <f>IF(AND($E$8=1,ABS('6a_Health_full_time'!I56)&lt;&gt;INT(ABS('6a_Health_full_time'!I56))),U$18&amp;", "&amp;U$19&amp;", "&amp;$A63&amp;", "&amp;$B63&amp;", "&amp;$C63&amp;"; ","")</f>
        <v/>
      </c>
      <c r="W63" s="118"/>
      <c r="Y63" s="113"/>
      <c r="Z63" s="481"/>
      <c r="AA63" s="481"/>
      <c r="AB63" s="483"/>
      <c r="AC63" s="121"/>
      <c r="AD63" s="121"/>
      <c r="AF63" s="118"/>
      <c r="AH63" t="s">
        <v>238</v>
      </c>
      <c r="AI63" t="s">
        <v>27888</v>
      </c>
      <c r="AJ63" t="s">
        <v>27891</v>
      </c>
      <c r="AK63" s="109" t="str">
        <f t="shared" ref="AK63:AO63" si="10">IF(AND($G$8=1,AK31&gt;AK47),AK$50&amp;", Price group "&amp;$AH63&amp;" professions, "&amp;$AI63&amp;", "&amp;$AJ63&amp;"; ","")</f>
        <v/>
      </c>
      <c r="AL63" s="108" t="str">
        <f t="shared" si="10"/>
        <v/>
      </c>
      <c r="AM63" s="116"/>
      <c r="AN63" s="109" t="str">
        <f t="shared" si="10"/>
        <v/>
      </c>
      <c r="AO63" s="108" t="str">
        <f t="shared" si="10"/>
        <v/>
      </c>
      <c r="AP63" s="116"/>
      <c r="AR63" s="118"/>
      <c r="AU63" s="562" t="str">
        <f>IF(AND($I$8=1,ABS(SUM('6a_Health_full_time'!D56:E56))&lt;ABS('6a_Health_full_time'!F56)),AU$18&amp;", "&amp;$A63&amp;", "&amp;$B63&amp;", "&amp;$C63&amp;"; ","")</f>
        <v/>
      </c>
      <c r="AX63" s="484" t="str">
        <f>IF(AND($I$8=1,ABS(SUM('6a_Health_full_time'!G56:H56))&lt;ABS('6a_Health_full_time'!I56)),AX$18&amp;", "&amp;$A63&amp;", "&amp;$B63&amp;", "&amp;$C63&amp;"; ","")</f>
        <v/>
      </c>
      <c r="AY63" s="17"/>
      <c r="BH63" s="130"/>
      <c r="BI63" s="333" t="str">
        <f>IF(AND($P$8=1,$B63="Long length",'6a_Health_full_time'!D56&lt;&gt;0),BI$18&amp;", "&amp;BI$19&amp;", "&amp;$A63&amp;", "&amp;$B63&amp;", "&amp;$C63&amp;"; ","")</f>
        <v/>
      </c>
      <c r="BJ63" s="335" t="str">
        <f>IF(AND($P$8=1,$B63="Long length",'6a_Health_full_time'!E56&lt;&gt;0),BJ$18&amp;", "&amp;BJ$19&amp;", "&amp;$A63&amp;", "&amp;$B63&amp;", "&amp;$C63&amp;"; ","")</f>
        <v/>
      </c>
      <c r="BK63" s="335" t="str">
        <f>IF(AND($P$8=1,$B63="Long length",'6a_Health_full_time'!F56&lt;&gt;0),BK$18&amp;", "&amp;BK$19&amp;", "&amp;$A63&amp;", "&amp;$B63&amp;", "&amp;$C63&amp;"; ","")</f>
        <v/>
      </c>
      <c r="BL63" s="333" t="str">
        <f>IF(AND($P$8=1,$B63="Long length",'6a_Health_full_time'!G56&lt;&gt;0),BL$18&amp;", "&amp;BL$19&amp;", "&amp;$A63&amp;", "&amp;$B63&amp;", "&amp;$C63&amp;"; ","")</f>
        <v/>
      </c>
      <c r="BM63" s="335" t="str">
        <f>IF(AND($P$8=1,$B63="Long length",'6a_Health_full_time'!H56&lt;&gt;0),BM$18&amp;", "&amp;BM$19&amp;", "&amp;$A63&amp;", "&amp;$B63&amp;", "&amp;$C63&amp;"; ","")</f>
        <v/>
      </c>
      <c r="BN63" s="335" t="str">
        <f>IF(AND($P$8=1,$B63="Long length",'6a_Health_full_time'!I56&lt;&gt;0),BN$18&amp;", "&amp;BN$19&amp;", "&amp;$A63&amp;", "&amp;$B63&amp;", "&amp;$C63&amp;"; ","")</f>
        <v/>
      </c>
      <c r="BO63" s="131"/>
    </row>
    <row r="64" spans="1:67" x14ac:dyDescent="0.35">
      <c r="A64" t="s">
        <v>27904</v>
      </c>
      <c r="B64" t="s">
        <v>27892</v>
      </c>
      <c r="C64" t="s">
        <v>27889</v>
      </c>
      <c r="E64" s="118"/>
      <c r="G64" s="333" t="str">
        <f>IF(AND($D$8=1,'6a_Health_full_time'!D57&lt;0),G$18&amp;", "&amp;G$19&amp;", "&amp;$A64&amp;", "&amp;$B64&amp;", "&amp;$C64&amp;"; ","")</f>
        <v/>
      </c>
      <c r="H64" s="108" t="str">
        <f>IF(AND($D$8=1,'6a_Health_full_time'!E57&lt;0),H$18&amp;", "&amp;H$19&amp;", "&amp;$A64&amp;", "&amp;$B64&amp;", "&amp;$C64&amp;"; ","")</f>
        <v/>
      </c>
      <c r="I64" s="108" t="str">
        <f>IF(AND($D$8=1,'6a_Health_full_time'!F57&lt;0),I$18&amp;", "&amp;I$19&amp;", "&amp;$A64&amp;", "&amp;$B64&amp;", "&amp;$C64&amp;"; ","")</f>
        <v/>
      </c>
      <c r="J64" s="333" t="str">
        <f>IF(AND($D$8=1,'6a_Health_full_time'!G57&lt;0),J$18&amp;", "&amp;J$19&amp;", "&amp;$A64&amp;", "&amp;$B64&amp;", "&amp;$C64&amp;"; ","")</f>
        <v/>
      </c>
      <c r="K64" s="108" t="str">
        <f>IF(AND($D$8=1,'6a_Health_full_time'!H57&lt;0),K$18&amp;", "&amp;K$19&amp;", "&amp;$A64&amp;", "&amp;$B64&amp;", "&amp;$C64&amp;"; ","")</f>
        <v/>
      </c>
      <c r="L64" s="210" t="str">
        <f>IF(AND($D$8=1,'6a_Health_full_time'!I57&lt;0),L$18&amp;", "&amp;L$19&amp;", "&amp;$A64&amp;", "&amp;$B64&amp;", "&amp;$C64&amp;"; ","")</f>
        <v/>
      </c>
      <c r="N64" s="118"/>
      <c r="P64" s="333" t="str">
        <f>IF(AND($E$8=1,ABS('6a_Health_full_time'!D57)&lt;&gt;INT(ABS('6a_Health_full_time'!D57))),P$18&amp;", "&amp;P$19&amp;", "&amp;$A64&amp;", "&amp;$B64&amp;", "&amp;$C64&amp;"; ","")</f>
        <v/>
      </c>
      <c r="Q64" s="108" t="str">
        <f>IF(AND($E$8=1,ABS('6a_Health_full_time'!E57)&lt;&gt;INT(ABS('6a_Health_full_time'!E57))),Q$18&amp;", "&amp;Q$19&amp;", "&amp;$A64&amp;", "&amp;$B64&amp;", "&amp;$C64&amp;"; ","")</f>
        <v/>
      </c>
      <c r="R64" s="108" t="str">
        <f>IF(AND($E$8=1,ABS('6a_Health_full_time'!F57)&lt;&gt;INT(ABS('6a_Health_full_time'!F57))),R$18&amp;", "&amp;R$19&amp;", "&amp;$A64&amp;", "&amp;$B64&amp;", "&amp;$C64&amp;"; ","")</f>
        <v/>
      </c>
      <c r="S64" s="333" t="str">
        <f>IF(AND($E$8=1,ABS('6a_Health_full_time'!G57)&lt;&gt;INT(ABS('6a_Health_full_time'!G57))),S$18&amp;", "&amp;S$19&amp;", "&amp;$A64&amp;", "&amp;$B64&amp;", "&amp;$C64&amp;"; ","")</f>
        <v/>
      </c>
      <c r="T64" s="108" t="str">
        <f>IF(AND($E$8=1,ABS('6a_Health_full_time'!H57)&lt;&gt;INT(ABS('6a_Health_full_time'!H57))),T$18&amp;", "&amp;T$19&amp;", "&amp;$A64&amp;", "&amp;$B64&amp;", "&amp;$C64&amp;"; ","")</f>
        <v/>
      </c>
      <c r="U64" s="210" t="str">
        <f>IF(AND($E$8=1,ABS('6a_Health_full_time'!I57)&lt;&gt;INT(ABS('6a_Health_full_time'!I57))),U$18&amp;", "&amp;U$19&amp;", "&amp;$A64&amp;", "&amp;$B64&amp;", "&amp;$C64&amp;"; ","")</f>
        <v/>
      </c>
      <c r="W64" s="118"/>
      <c r="Y64" s="113"/>
      <c r="Z64" s="481"/>
      <c r="AA64" s="481"/>
      <c r="AB64" s="483"/>
      <c r="AC64" s="121"/>
      <c r="AD64" s="121"/>
      <c r="AF64" s="118"/>
      <c r="AH64" t="s">
        <v>238</v>
      </c>
      <c r="AI64" t="s">
        <v>27892</v>
      </c>
      <c r="AJ64" t="s">
        <v>27889</v>
      </c>
      <c r="AK64" s="109" t="str">
        <f t="shared" ref="AK64:AO64" si="11">IF(AND($G$8=1,AK32&gt;AK48),AK$50&amp;", Price group "&amp;$AH64&amp;" professions, "&amp;$AI64&amp;", "&amp;$AJ64&amp;"; ","")</f>
        <v/>
      </c>
      <c r="AL64" s="108" t="str">
        <f t="shared" si="11"/>
        <v/>
      </c>
      <c r="AM64" s="116"/>
      <c r="AN64" s="109" t="str">
        <f t="shared" si="11"/>
        <v/>
      </c>
      <c r="AO64" s="108" t="str">
        <f t="shared" si="11"/>
        <v/>
      </c>
      <c r="AP64" s="116"/>
      <c r="AR64" s="118"/>
      <c r="AU64" s="562" t="str">
        <f>IF(AND($I$8=1,ABS(SUM('6a_Health_full_time'!D57:E57))&lt;ABS('6a_Health_full_time'!F57)),AU$18&amp;", "&amp;$A64&amp;", "&amp;$B64&amp;", "&amp;$C64&amp;"; ","")</f>
        <v/>
      </c>
      <c r="AX64" s="484" t="str">
        <f>IF(AND($I$8=1,ABS(SUM('6a_Health_full_time'!G57:H57))&lt;ABS('6a_Health_full_time'!I57)),AX$18&amp;", "&amp;$A64&amp;", "&amp;$B64&amp;", "&amp;$C64&amp;"; ","")</f>
        <v/>
      </c>
      <c r="AY64" s="17"/>
      <c r="BH64" s="130"/>
      <c r="BI64" s="333" t="str">
        <f>IF(AND($P$8=1,$B64="Long length",'6a_Health_full_time'!D57&lt;&gt;0),BI$18&amp;", "&amp;BI$19&amp;", "&amp;$A64&amp;", "&amp;$B64&amp;", "&amp;$C64&amp;"; ","")</f>
        <v/>
      </c>
      <c r="BJ64" s="108" t="str">
        <f>IF(AND($P$8=1,$B64="Long length",'6a_Health_full_time'!E57&lt;&gt;0),BJ$18&amp;", "&amp;BJ$19&amp;", "&amp;$A64&amp;", "&amp;$B64&amp;", "&amp;$C64&amp;"; ","")</f>
        <v/>
      </c>
      <c r="BK64" s="108" t="str">
        <f>IF(AND($P$8=1,$B64="Long length",'6a_Health_full_time'!F57&lt;&gt;0),BK$18&amp;", "&amp;BK$19&amp;", "&amp;$A64&amp;", "&amp;$B64&amp;", "&amp;$C64&amp;"; ","")</f>
        <v/>
      </c>
      <c r="BL64" s="333" t="str">
        <f>IF(AND($P$8=1,$B64="Long length",'6a_Health_full_time'!G57&lt;&gt;0),BL$18&amp;", "&amp;BL$19&amp;", "&amp;$A64&amp;", "&amp;$B64&amp;", "&amp;$C64&amp;"; ","")</f>
        <v/>
      </c>
      <c r="BM64" s="108" t="str">
        <f>IF(AND($P$8=1,$B64="Long length",'6a_Health_full_time'!H57&lt;&gt;0),BM$18&amp;", "&amp;BM$19&amp;", "&amp;$A64&amp;", "&amp;$B64&amp;", "&amp;$C64&amp;"; ","")</f>
        <v/>
      </c>
      <c r="BN64" s="108" t="str">
        <f>IF(AND($P$8=1,$B64="Long length",'6a_Health_full_time'!I57&lt;&gt;0),BN$18&amp;", "&amp;BN$19&amp;", "&amp;$A64&amp;", "&amp;$B64&amp;", "&amp;$C64&amp;"; ","")</f>
        <v/>
      </c>
      <c r="BO64" s="131"/>
    </row>
    <row r="65" spans="1:67" x14ac:dyDescent="0.35">
      <c r="A65" t="s">
        <v>27904</v>
      </c>
      <c r="B65" t="s">
        <v>27892</v>
      </c>
      <c r="C65" t="s">
        <v>27891</v>
      </c>
      <c r="E65" s="118"/>
      <c r="G65" s="333" t="str">
        <f>IF(AND($D$8=1,'6a_Health_full_time'!D58&lt;0),G$18&amp;", "&amp;G$19&amp;", "&amp;$A65&amp;", "&amp;$B65&amp;", "&amp;$C65&amp;"; ","")</f>
        <v/>
      </c>
      <c r="H65" s="111" t="str">
        <f>IF(AND($D$8=1,'6a_Health_full_time'!E58&lt;0),H$18&amp;", "&amp;H$19&amp;", "&amp;$A65&amp;", "&amp;$B65&amp;", "&amp;$C65&amp;"; ","")</f>
        <v/>
      </c>
      <c r="I65" s="111" t="str">
        <f>IF(AND($D$8=1,'6a_Health_full_time'!F58&lt;0),I$18&amp;", "&amp;I$19&amp;", "&amp;$A65&amp;", "&amp;$B65&amp;", "&amp;$C65&amp;"; ","")</f>
        <v/>
      </c>
      <c r="J65" s="333" t="str">
        <f>IF(AND($D$8=1,'6a_Health_full_time'!G58&lt;0),J$18&amp;", "&amp;J$19&amp;", "&amp;$A65&amp;", "&amp;$B65&amp;", "&amp;$C65&amp;"; ","")</f>
        <v/>
      </c>
      <c r="K65" s="111" t="str">
        <f>IF(AND($D$8=1,'6a_Health_full_time'!H58&lt;0),K$18&amp;", "&amp;K$19&amp;", "&amp;$A65&amp;", "&amp;$B65&amp;", "&amp;$C65&amp;"; ","")</f>
        <v/>
      </c>
      <c r="L65" s="213" t="str">
        <f>IF(AND($D$8=1,'6a_Health_full_time'!I58&lt;0),L$18&amp;", "&amp;L$19&amp;", "&amp;$A65&amp;", "&amp;$B65&amp;", "&amp;$C65&amp;"; ","")</f>
        <v/>
      </c>
      <c r="N65" s="118"/>
      <c r="P65" s="333" t="str">
        <f>IF(AND($E$8=1,ABS('6a_Health_full_time'!D58)&lt;&gt;INT(ABS('6a_Health_full_time'!D58))),P$18&amp;", "&amp;P$19&amp;", "&amp;$A65&amp;", "&amp;$B65&amp;", "&amp;$C65&amp;"; ","")</f>
        <v/>
      </c>
      <c r="Q65" s="108" t="str">
        <f>IF(AND($E$8=1,ABS('6a_Health_full_time'!E58)&lt;&gt;INT(ABS('6a_Health_full_time'!E58))),Q$18&amp;", "&amp;Q$19&amp;", "&amp;$A65&amp;", "&amp;$B65&amp;", "&amp;$C65&amp;"; ","")</f>
        <v/>
      </c>
      <c r="R65" s="108" t="str">
        <f>IF(AND($E$8=1,ABS('6a_Health_full_time'!F58)&lt;&gt;INT(ABS('6a_Health_full_time'!F58))),R$18&amp;", "&amp;R$19&amp;", "&amp;$A65&amp;", "&amp;$B65&amp;", "&amp;$C65&amp;"; ","")</f>
        <v/>
      </c>
      <c r="S65" s="333" t="str">
        <f>IF(AND($E$8=1,ABS('6a_Health_full_time'!G58)&lt;&gt;INT(ABS('6a_Health_full_time'!G58))),S$18&amp;", "&amp;S$19&amp;", "&amp;$A65&amp;", "&amp;$B65&amp;", "&amp;$C65&amp;"; ","")</f>
        <v/>
      </c>
      <c r="T65" s="108" t="str">
        <f>IF(AND($E$8=1,ABS('6a_Health_full_time'!H58)&lt;&gt;INT(ABS('6a_Health_full_time'!H58))),T$18&amp;", "&amp;T$19&amp;", "&amp;$A65&amp;", "&amp;$B65&amp;", "&amp;$C65&amp;"; ","")</f>
        <v/>
      </c>
      <c r="U65" s="210" t="str">
        <f>IF(AND($E$8=1,ABS('6a_Health_full_time'!I58)&lt;&gt;INT(ABS('6a_Health_full_time'!I58))),U$18&amp;", "&amp;U$19&amp;", "&amp;$A65&amp;", "&amp;$B65&amp;", "&amp;$C65&amp;"; ","")</f>
        <v/>
      </c>
      <c r="W65" s="118"/>
      <c r="Y65" s="113"/>
      <c r="Z65" s="481"/>
      <c r="AA65" s="481"/>
      <c r="AB65" s="483"/>
      <c r="AC65" s="121"/>
      <c r="AD65" s="121"/>
      <c r="AF65" s="118"/>
      <c r="AH65" t="s">
        <v>238</v>
      </c>
      <c r="AI65" t="s">
        <v>27892</v>
      </c>
      <c r="AJ65" t="s">
        <v>27891</v>
      </c>
      <c r="AK65" s="124" t="str">
        <f t="shared" ref="AK65:AO65" si="12">IF(AND($G$8=1,AK33&gt;AK49),AK$50&amp;", Price group "&amp;$AH65&amp;" professions, "&amp;$AI65&amp;", "&amp;$AJ65&amp;"; ","")</f>
        <v/>
      </c>
      <c r="AL65" s="125" t="str">
        <f t="shared" si="12"/>
        <v/>
      </c>
      <c r="AM65" s="122"/>
      <c r="AN65" s="124" t="str">
        <f t="shared" si="12"/>
        <v/>
      </c>
      <c r="AO65" s="125" t="str">
        <f t="shared" si="12"/>
        <v/>
      </c>
      <c r="AP65" s="122"/>
      <c r="AR65" s="118"/>
      <c r="AU65" s="562" t="str">
        <f>IF(AND($I$8=1,ABS(SUM('6a_Health_full_time'!D58:E58))&lt;ABS('6a_Health_full_time'!F58)),AU$18&amp;", "&amp;$A65&amp;", "&amp;$B65&amp;", "&amp;$C65&amp;"; ","")</f>
        <v/>
      </c>
      <c r="AX65" s="484" t="str">
        <f>IF(AND($I$8=1,ABS(SUM('6a_Health_full_time'!G58:H58))&lt;ABS('6a_Health_full_time'!I58)),AX$18&amp;", "&amp;$A65&amp;", "&amp;$B65&amp;", "&amp;$C65&amp;"; ","")</f>
        <v/>
      </c>
      <c r="AY65" s="17"/>
      <c r="BH65" s="130"/>
      <c r="BI65" s="333" t="str">
        <f>IF(AND($P$8=1,$B65="Long length",'6a_Health_full_time'!D58&lt;&gt;0),BI$18&amp;", "&amp;BI$19&amp;", "&amp;$A65&amp;", "&amp;$B65&amp;", "&amp;$C65&amp;"; ","")</f>
        <v/>
      </c>
      <c r="BJ65" s="108" t="str">
        <f>IF(AND($P$8=1,$B65="Long length",'6a_Health_full_time'!E58&lt;&gt;0),BJ$18&amp;", "&amp;BJ$19&amp;", "&amp;$A65&amp;", "&amp;$B65&amp;", "&amp;$C65&amp;"; ","")</f>
        <v/>
      </c>
      <c r="BK65" s="108" t="str">
        <f>IF(AND($P$8=1,$B65="Long length",'6a_Health_full_time'!F58&lt;&gt;0),BK$18&amp;", "&amp;BK$19&amp;", "&amp;$A65&amp;", "&amp;$B65&amp;", "&amp;$C65&amp;"; ","")</f>
        <v/>
      </c>
      <c r="BL65" s="333" t="str">
        <f>IF(AND($P$8=1,$B65="Long length",'6a_Health_full_time'!G58&lt;&gt;0),BL$18&amp;", "&amp;BL$19&amp;", "&amp;$A65&amp;", "&amp;$B65&amp;", "&amp;$C65&amp;"; ","")</f>
        <v/>
      </c>
      <c r="BM65" s="108" t="str">
        <f>IF(AND($P$8=1,$B65="Long length",'6a_Health_full_time'!H58&lt;&gt;0),BM$18&amp;", "&amp;BM$19&amp;", "&amp;$A65&amp;", "&amp;$B65&amp;", "&amp;$C65&amp;"; ","")</f>
        <v/>
      </c>
      <c r="BN65" s="108" t="str">
        <f>IF(AND($P$8=1,$B65="Long length",'6a_Health_full_time'!I58&lt;&gt;0),BN$18&amp;", "&amp;BN$19&amp;", "&amp;$A65&amp;", "&amp;$B65&amp;", "&amp;$C65&amp;"; ","")</f>
        <v/>
      </c>
      <c r="BO65" s="131"/>
    </row>
    <row r="66" spans="1:67" x14ac:dyDescent="0.35">
      <c r="A66" t="s">
        <v>27905</v>
      </c>
      <c r="B66" t="s">
        <v>27888</v>
      </c>
      <c r="C66" t="s">
        <v>27889</v>
      </c>
      <c r="E66" s="118"/>
      <c r="G66" s="1879" t="str">
        <f>IF(AND($D$8=1,'6a_Health_full_time'!D59&lt;0),G$18&amp;", "&amp;G$19&amp;", "&amp;$A66&amp;", "&amp;$B66&amp;", "&amp;$C66&amp;"; ","")</f>
        <v/>
      </c>
      <c r="H66" s="1653" t="str">
        <f>IF(AND($D$8=1,'6a_Health_full_time'!E59&lt;0),H$18&amp;", "&amp;H$19&amp;", "&amp;$A66&amp;", "&amp;$B66&amp;", "&amp;$C66&amp;"; ","")</f>
        <v/>
      </c>
      <c r="I66" s="1653" t="str">
        <f>IF(AND($D$8=1,'6a_Health_full_time'!F59&lt;0),I$18&amp;", "&amp;I$19&amp;", "&amp;$A66&amp;", "&amp;$B66&amp;", "&amp;$C66&amp;"; ","")</f>
        <v/>
      </c>
      <c r="J66" s="1879" t="str">
        <f>IF(AND($D$8=1,'6a_Health_full_time'!G59&lt;0),J$18&amp;", "&amp;J$19&amp;", "&amp;$A66&amp;", "&amp;$B66&amp;", "&amp;$C66&amp;"; ","")</f>
        <v/>
      </c>
      <c r="K66" s="1653" t="str">
        <f>IF(AND($D$8=1,'6a_Health_full_time'!H59&lt;0),K$18&amp;", "&amp;K$19&amp;", "&amp;$A66&amp;", "&amp;$B66&amp;", "&amp;$C66&amp;"; ","")</f>
        <v/>
      </c>
      <c r="L66" s="2191" t="str">
        <f>IF(AND($D$8=1,'6a_Health_full_time'!I59&lt;0),L$18&amp;", "&amp;L$19&amp;", "&amp;$A66&amp;", "&amp;$B66&amp;", "&amp;$C66&amp;"; ","")</f>
        <v/>
      </c>
      <c r="N66" s="118"/>
      <c r="P66" s="1879" t="str">
        <f>IF(AND($E$8=1,ABS('6a_Health_full_time'!D59)&lt;&gt;INT(ABS('6a_Health_full_time'!D59))),P$18&amp;", "&amp;P$19&amp;", "&amp;$A66&amp;", "&amp;$B66&amp;", "&amp;$C66&amp;"; ","")</f>
        <v/>
      </c>
      <c r="Q66" s="1653" t="str">
        <f>IF(AND($E$8=1,ABS('6a_Health_full_time'!E59)&lt;&gt;INT(ABS('6a_Health_full_time'!E59))),Q$18&amp;", "&amp;Q$19&amp;", "&amp;$A66&amp;", "&amp;$B66&amp;", "&amp;$C66&amp;"; ","")</f>
        <v/>
      </c>
      <c r="R66" s="1653" t="str">
        <f>IF(AND($E$8=1,ABS('6a_Health_full_time'!F59)&lt;&gt;INT(ABS('6a_Health_full_time'!F59))),R$18&amp;", "&amp;R$19&amp;", "&amp;$A66&amp;", "&amp;$B66&amp;", "&amp;$C66&amp;"; ","")</f>
        <v/>
      </c>
      <c r="S66" s="1879" t="str">
        <f>IF(AND($E$8=1,ABS('6a_Health_full_time'!G59)&lt;&gt;INT(ABS('6a_Health_full_time'!G59))),S$18&amp;", "&amp;S$19&amp;", "&amp;$A66&amp;", "&amp;$B66&amp;", "&amp;$C66&amp;"; ","")</f>
        <v/>
      </c>
      <c r="T66" s="1653" t="str">
        <f>IF(AND($E$8=1,ABS('6a_Health_full_time'!H59)&lt;&gt;INT(ABS('6a_Health_full_time'!H59))),T$18&amp;", "&amp;T$19&amp;", "&amp;$A66&amp;", "&amp;$B66&amp;", "&amp;$C66&amp;"; ","")</f>
        <v/>
      </c>
      <c r="U66" s="2191" t="str">
        <f>IF(AND($E$8=1,ABS('6a_Health_full_time'!I59)&lt;&gt;INT(ABS('6a_Health_full_time'!I59))),U$18&amp;", "&amp;U$19&amp;", "&amp;$A66&amp;", "&amp;$B66&amp;", "&amp;$C66&amp;"; ","")</f>
        <v/>
      </c>
      <c r="W66" s="118"/>
      <c r="Y66" s="1881"/>
      <c r="Z66" s="1882"/>
      <c r="AA66" s="1882"/>
      <c r="AB66" s="1883"/>
      <c r="AC66" s="1884"/>
      <c r="AD66" s="1884"/>
      <c r="AF66" s="118"/>
      <c r="AK66" t="s">
        <v>27979</v>
      </c>
      <c r="AL66" t="s">
        <v>27980</v>
      </c>
      <c r="AR66" s="118"/>
      <c r="AU66" s="1886" t="str">
        <f>IF(AND($I$8=1,ABS(SUM('6a_Health_full_time'!D59:E59))&lt;ABS('6a_Health_full_time'!F59)),AU$18&amp;", "&amp;$A66&amp;", "&amp;$B66&amp;", "&amp;$C66&amp;"; ","")</f>
        <v/>
      </c>
      <c r="AX66" s="1896" t="str">
        <f>IF(AND($I$8=1,ABS(SUM('6a_Health_full_time'!G59:H59))&lt;ABS('6a_Health_full_time'!I59)),AX$18&amp;", "&amp;$A66&amp;", "&amp;$B66&amp;", "&amp;$C66&amp;"; ","")</f>
        <v/>
      </c>
      <c r="AY66" s="17"/>
      <c r="BH66" s="130"/>
      <c r="BI66" s="1879" t="str">
        <f>IF(AND($P$8=1,$B66="Long length",'6a_Health_full_time'!D59&lt;&gt;0),BI$18&amp;", "&amp;BI$19&amp;", "&amp;$A66&amp;", "&amp;$B66&amp;", "&amp;$C66&amp;"; ","")</f>
        <v/>
      </c>
      <c r="BJ66" s="1653" t="str">
        <f>IF(AND($P$8=1,$B66="Long length",'6a_Health_full_time'!E59&lt;&gt;0),BJ$18&amp;", "&amp;BJ$19&amp;", "&amp;$A66&amp;", "&amp;$B66&amp;", "&amp;$C66&amp;"; ","")</f>
        <v/>
      </c>
      <c r="BK66" s="1653" t="str">
        <f>IF(AND($P$8=1,$B66="Long length",'6a_Health_full_time'!F59&lt;&gt;0),BK$18&amp;", "&amp;BK$19&amp;", "&amp;$A66&amp;", "&amp;$B66&amp;", "&amp;$C66&amp;"; ","")</f>
        <v/>
      </c>
      <c r="BL66" s="1879" t="str">
        <f>IF(AND($P$8=1,$B66="Long length",'6a_Health_full_time'!G59&lt;&gt;0),BL$18&amp;", "&amp;BL$19&amp;", "&amp;$A66&amp;", "&amp;$B66&amp;", "&amp;$C66&amp;"; ","")</f>
        <v/>
      </c>
      <c r="BM66" s="1653" t="str">
        <f>IF(AND($P$8=1,$B66="Long length",'6a_Health_full_time'!H59&lt;&gt;0),BM$18&amp;", "&amp;BM$19&amp;", "&amp;$A66&amp;", "&amp;$B66&amp;", "&amp;$C66&amp;"; ","")</f>
        <v/>
      </c>
      <c r="BN66" s="1653" t="str">
        <f>IF(AND($P$8=1,$B66="Long length",'6a_Health_full_time'!I59&lt;&gt;0),BN$18&amp;", "&amp;BN$19&amp;", "&amp;$A66&amp;", "&amp;$B66&amp;", "&amp;$C66&amp;"; ","")</f>
        <v/>
      </c>
      <c r="BO66" s="131"/>
    </row>
    <row r="67" spans="1:67" x14ac:dyDescent="0.35">
      <c r="A67" t="s">
        <v>27905</v>
      </c>
      <c r="B67" t="s">
        <v>27888</v>
      </c>
      <c r="C67" t="s">
        <v>27891</v>
      </c>
      <c r="E67" s="118"/>
      <c r="G67" s="333" t="str">
        <f>IF(AND($D$8=1,'6a_Health_full_time'!D60&lt;0),G$18&amp;", "&amp;G$19&amp;", "&amp;$A67&amp;", "&amp;$B67&amp;", "&amp;$C67&amp;"; ","")</f>
        <v/>
      </c>
      <c r="H67" s="108" t="str">
        <f>IF(AND($D$8=1,'6a_Health_full_time'!E60&lt;0),H$18&amp;", "&amp;H$19&amp;", "&amp;$A67&amp;", "&amp;$B67&amp;", "&amp;$C67&amp;"; ","")</f>
        <v/>
      </c>
      <c r="I67" s="108" t="str">
        <f>IF(AND($D$8=1,'6a_Health_full_time'!F60&lt;0),I$18&amp;", "&amp;I$19&amp;", "&amp;$A67&amp;", "&amp;$B67&amp;", "&amp;$C67&amp;"; ","")</f>
        <v/>
      </c>
      <c r="J67" s="333" t="str">
        <f>IF(AND($D$8=1,'6a_Health_full_time'!G60&lt;0),J$18&amp;", "&amp;J$19&amp;", "&amp;$A67&amp;", "&amp;$B67&amp;", "&amp;$C67&amp;"; ","")</f>
        <v/>
      </c>
      <c r="K67" s="108" t="str">
        <f>IF(AND($D$8=1,'6a_Health_full_time'!H60&lt;0),K$18&amp;", "&amp;K$19&amp;", "&amp;$A67&amp;", "&amp;$B67&amp;", "&amp;$C67&amp;"; ","")</f>
        <v/>
      </c>
      <c r="L67" s="210" t="str">
        <f>IF(AND($D$8=1,'6a_Health_full_time'!I60&lt;0),L$18&amp;", "&amp;L$19&amp;", "&amp;$A67&amp;", "&amp;$B67&amp;", "&amp;$C67&amp;"; ","")</f>
        <v/>
      </c>
      <c r="N67" s="118"/>
      <c r="P67" s="333" t="str">
        <f>IF(AND($E$8=1,ABS('6a_Health_full_time'!D60)&lt;&gt;INT(ABS('6a_Health_full_time'!D60))),P$18&amp;", "&amp;P$19&amp;", "&amp;$A67&amp;", "&amp;$B67&amp;", "&amp;$C67&amp;"; ","")</f>
        <v/>
      </c>
      <c r="Q67" s="335" t="str">
        <f>IF(AND($E$8=1,ABS('6a_Health_full_time'!E60)&lt;&gt;INT(ABS('6a_Health_full_time'!E60))),Q$18&amp;", "&amp;Q$19&amp;", "&amp;$A67&amp;", "&amp;$B67&amp;", "&amp;$C67&amp;"; ","")</f>
        <v/>
      </c>
      <c r="R67" s="335" t="str">
        <f>IF(AND($E$8=1,ABS('6a_Health_full_time'!F60)&lt;&gt;INT(ABS('6a_Health_full_time'!F60))),R$18&amp;", "&amp;R$19&amp;", "&amp;$A67&amp;", "&amp;$B67&amp;", "&amp;$C67&amp;"; ","")</f>
        <v/>
      </c>
      <c r="S67" s="333" t="str">
        <f>IF(AND($E$8=1,ABS('6a_Health_full_time'!G60)&lt;&gt;INT(ABS('6a_Health_full_time'!G60))),S$18&amp;", "&amp;S$19&amp;", "&amp;$A67&amp;", "&amp;$B67&amp;", "&amp;$C67&amp;"; ","")</f>
        <v/>
      </c>
      <c r="T67" s="108" t="str">
        <f>IF(AND($E$8=1,ABS('6a_Health_full_time'!H60)&lt;&gt;INT(ABS('6a_Health_full_time'!H60))),T$18&amp;", "&amp;T$19&amp;", "&amp;$A67&amp;", "&amp;$B67&amp;", "&amp;$C67&amp;"; ","")</f>
        <v/>
      </c>
      <c r="U67" s="210" t="str">
        <f>IF(AND($E$8=1,ABS('6a_Health_full_time'!I60)&lt;&gt;INT(ABS('6a_Health_full_time'!I60))),U$18&amp;", "&amp;U$19&amp;", "&amp;$A67&amp;", "&amp;$B67&amp;", "&amp;$C67&amp;"; ","")</f>
        <v/>
      </c>
      <c r="W67" s="118"/>
      <c r="Y67" s="113"/>
      <c r="Z67" s="481"/>
      <c r="AA67" s="481"/>
      <c r="AB67" s="483"/>
      <c r="AC67" s="121"/>
      <c r="AD67" s="121"/>
      <c r="AF67" s="118"/>
      <c r="AK67" s="1893" t="str">
        <f>AK52&amp;AK54&amp;AK56&amp;AK57&amp;AK58&amp;AK59&amp;AK60&amp;AK61&amp;AK62&amp;AK63&amp;AK64&amp;AK65</f>
        <v/>
      </c>
      <c r="AL67" s="1893" t="str">
        <f>AL52&amp;AL54&amp;AL56&amp;AL57&amp;AL58&amp;AL59&amp;AL60&amp;AL61&amp;AL62&amp;AL63&amp;AL64&amp;AL65</f>
        <v/>
      </c>
      <c r="AM67" s="1894"/>
      <c r="AN67" s="1895" t="str">
        <f t="shared" ref="AN67:AO67" si="13">AN52&amp;AN54&amp;AN56&amp;AN57&amp;AN58&amp;AN59&amp;AN60&amp;AN61&amp;AN62&amp;AN63&amp;AN64&amp;AN65</f>
        <v/>
      </c>
      <c r="AO67" s="1895" t="str">
        <f t="shared" si="13"/>
        <v/>
      </c>
      <c r="AP67" s="1913"/>
      <c r="AR67" s="118"/>
      <c r="AU67" s="562" t="str">
        <f>IF(AND($I$8=1,ABS(SUM('6a_Health_full_time'!D60:E60))&lt;ABS('6a_Health_full_time'!F60)),AU$18&amp;", "&amp;$A67&amp;", "&amp;$B67&amp;", "&amp;$C67&amp;"; ","")</f>
        <v/>
      </c>
      <c r="AX67" s="484" t="str">
        <f>IF(AND($I$8=1,ABS(SUM('6a_Health_full_time'!G60:H60))&lt;ABS('6a_Health_full_time'!I60)),AX$18&amp;", "&amp;$A67&amp;", "&amp;$B67&amp;", "&amp;$C67&amp;"; ","")</f>
        <v/>
      </c>
      <c r="AY67" s="17"/>
      <c r="BH67" s="130"/>
      <c r="BI67" s="333" t="str">
        <f>IF(AND($P$8=1,$B67="Long length",'6a_Health_full_time'!D60&lt;&gt;0),BI$18&amp;", "&amp;BI$19&amp;", "&amp;$A67&amp;", "&amp;$B67&amp;", "&amp;$C67&amp;"; ","")</f>
        <v/>
      </c>
      <c r="BJ67" s="108" t="str">
        <f>IF(AND($P$8=1,$B67="Long length",'6a_Health_full_time'!E60&lt;&gt;0),BJ$18&amp;", "&amp;BJ$19&amp;", "&amp;$A67&amp;", "&amp;$B67&amp;", "&amp;$C67&amp;"; ","")</f>
        <v/>
      </c>
      <c r="BK67" s="108" t="str">
        <f>IF(AND($P$8=1,$B67="Long length",'6a_Health_full_time'!F60&lt;&gt;0),BK$18&amp;", "&amp;BK$19&amp;", "&amp;$A67&amp;", "&amp;$B67&amp;", "&amp;$C67&amp;"; ","")</f>
        <v/>
      </c>
      <c r="BL67" s="333" t="str">
        <f>IF(AND($P$8=1,$B67="Long length",'6a_Health_full_time'!G60&lt;&gt;0),BL$18&amp;", "&amp;BL$19&amp;", "&amp;$A67&amp;", "&amp;$B67&amp;", "&amp;$C67&amp;"; ","")</f>
        <v/>
      </c>
      <c r="BM67" s="108" t="str">
        <f>IF(AND($P$8=1,$B67="Long length",'6a_Health_full_time'!H60&lt;&gt;0),BM$18&amp;", "&amp;BM$19&amp;", "&amp;$A67&amp;", "&amp;$B67&amp;", "&amp;$C67&amp;"; ","")</f>
        <v/>
      </c>
      <c r="BN67" s="108" t="str">
        <f>IF(AND($P$8=1,$B67="Long length",'6a_Health_full_time'!I60&lt;&gt;0),BN$18&amp;", "&amp;BN$19&amp;", "&amp;$A67&amp;", "&amp;$B67&amp;", "&amp;$C67&amp;"; ","")</f>
        <v/>
      </c>
      <c r="BO67" s="131"/>
    </row>
    <row r="68" spans="1:67" x14ac:dyDescent="0.35">
      <c r="A68" t="s">
        <v>27905</v>
      </c>
      <c r="B68" t="s">
        <v>27892</v>
      </c>
      <c r="C68" t="s">
        <v>27889</v>
      </c>
      <c r="E68" s="118"/>
      <c r="G68" s="333" t="str">
        <f>IF(AND($D$8=1,'6a_Health_full_time'!D61&lt;0),G$18&amp;", "&amp;G$19&amp;", "&amp;$A68&amp;", "&amp;$B68&amp;", "&amp;$C68&amp;"; ","")</f>
        <v/>
      </c>
      <c r="H68" s="108" t="str">
        <f>IF(AND($D$8=1,'6a_Health_full_time'!E61&lt;0),H$18&amp;", "&amp;H$19&amp;", "&amp;$A68&amp;", "&amp;$B68&amp;", "&amp;$C68&amp;"; ","")</f>
        <v/>
      </c>
      <c r="I68" s="108" t="str">
        <f>IF(AND($D$8=1,'6a_Health_full_time'!F61&lt;0),I$18&amp;", "&amp;I$19&amp;", "&amp;$A68&amp;", "&amp;$B68&amp;", "&amp;$C68&amp;"; ","")</f>
        <v/>
      </c>
      <c r="J68" s="333" t="str">
        <f>IF(AND($D$8=1,'6a_Health_full_time'!G61&lt;0),J$18&amp;", "&amp;J$19&amp;", "&amp;$A68&amp;", "&amp;$B68&amp;", "&amp;$C68&amp;"; ","")</f>
        <v/>
      </c>
      <c r="K68" s="108" t="str">
        <f>IF(AND($D$8=1,'6a_Health_full_time'!H61&lt;0),K$18&amp;", "&amp;K$19&amp;", "&amp;$A68&amp;", "&amp;$B68&amp;", "&amp;$C68&amp;"; ","")</f>
        <v/>
      </c>
      <c r="L68" s="210" t="str">
        <f>IF(AND($D$8=1,'6a_Health_full_time'!I61&lt;0),L$18&amp;", "&amp;L$19&amp;", "&amp;$A68&amp;", "&amp;$B68&amp;", "&amp;$C68&amp;"; ","")</f>
        <v/>
      </c>
      <c r="N68" s="118"/>
      <c r="P68" s="333" t="str">
        <f>IF(AND($E$8=1,ABS('6a_Health_full_time'!D61)&lt;&gt;INT(ABS('6a_Health_full_time'!D61))),P$18&amp;", "&amp;P$19&amp;", "&amp;$A68&amp;", "&amp;$B68&amp;", "&amp;$C68&amp;"; ","")</f>
        <v/>
      </c>
      <c r="Q68" s="108" t="str">
        <f>IF(AND($E$8=1,ABS('6a_Health_full_time'!E61)&lt;&gt;INT(ABS('6a_Health_full_time'!E61))),Q$18&amp;", "&amp;Q$19&amp;", "&amp;$A68&amp;", "&amp;$B68&amp;", "&amp;$C68&amp;"; ","")</f>
        <v/>
      </c>
      <c r="R68" s="108" t="str">
        <f>IF(AND($E$8=1,ABS('6a_Health_full_time'!F61)&lt;&gt;INT(ABS('6a_Health_full_time'!F61))),R$18&amp;", "&amp;R$19&amp;", "&amp;$A68&amp;", "&amp;$B68&amp;", "&amp;$C68&amp;"; ","")</f>
        <v/>
      </c>
      <c r="S68" s="333" t="str">
        <f>IF(AND($E$8=1,ABS('6a_Health_full_time'!G61)&lt;&gt;INT(ABS('6a_Health_full_time'!G61))),S$18&amp;", "&amp;S$19&amp;", "&amp;$A68&amp;", "&amp;$B68&amp;", "&amp;$C68&amp;"; ","")</f>
        <v/>
      </c>
      <c r="T68" s="108" t="str">
        <f>IF(AND($E$8=1,ABS('6a_Health_full_time'!H61)&lt;&gt;INT(ABS('6a_Health_full_time'!H61))),T$18&amp;", "&amp;T$19&amp;", "&amp;$A68&amp;", "&amp;$B68&amp;", "&amp;$C68&amp;"; ","")</f>
        <v/>
      </c>
      <c r="U68" s="210" t="str">
        <f>IF(AND($E$8=1,ABS('6a_Health_full_time'!I61)&lt;&gt;INT(ABS('6a_Health_full_time'!I61))),U$18&amp;", "&amp;U$19&amp;", "&amp;$A68&amp;", "&amp;$B68&amp;", "&amp;$C68&amp;"; ","")</f>
        <v/>
      </c>
      <c r="W68" s="118"/>
      <c r="Y68" s="113"/>
      <c r="Z68" s="481"/>
      <c r="AA68" s="481"/>
      <c r="AB68" s="483"/>
      <c r="AC68" s="121"/>
      <c r="AD68" s="121"/>
      <c r="AF68" s="118"/>
      <c r="AR68" s="118"/>
      <c r="AU68" s="562" t="str">
        <f>IF(AND($I$8=1,ABS(SUM('6a_Health_full_time'!D61:E61))&lt;ABS('6a_Health_full_time'!F61)),AU$18&amp;", "&amp;$A68&amp;", "&amp;$B68&amp;", "&amp;$C68&amp;"; ","")</f>
        <v/>
      </c>
      <c r="AX68" s="484" t="str">
        <f>IF(AND($I$8=1,ABS(SUM('6a_Health_full_time'!G61:H61))&lt;ABS('6a_Health_full_time'!I61)),AX$18&amp;", "&amp;$A68&amp;", "&amp;$B68&amp;", "&amp;$C68&amp;"; ","")</f>
        <v/>
      </c>
      <c r="AY68" s="17"/>
      <c r="BH68" s="130"/>
      <c r="BI68" s="333" t="str">
        <f>IF(AND($P$8=1,$B68="Long length",'6a_Health_full_time'!D61&lt;&gt;0),BI$18&amp;", "&amp;BI$19&amp;", "&amp;$A68&amp;", "&amp;$B68&amp;", "&amp;$C68&amp;"; ","")</f>
        <v/>
      </c>
      <c r="BJ68" s="108" t="str">
        <f>IF(AND($P$8=1,$B68="Long length",'6a_Health_full_time'!E61&lt;&gt;0),BJ$18&amp;", "&amp;BJ$19&amp;", "&amp;$A68&amp;", "&amp;$B68&amp;", "&amp;$C68&amp;"; ","")</f>
        <v/>
      </c>
      <c r="BK68" s="108" t="str">
        <f>IF(AND($P$8=1,$B68="Long length",'6a_Health_full_time'!F61&lt;&gt;0),BK$18&amp;", "&amp;BK$19&amp;", "&amp;$A68&amp;", "&amp;$B68&amp;", "&amp;$C68&amp;"; ","")</f>
        <v/>
      </c>
      <c r="BL68" s="333" t="str">
        <f>IF(AND($P$8=1,$B68="Long length",'6a_Health_full_time'!G61&lt;&gt;0),BL$18&amp;", "&amp;BL$19&amp;", "&amp;$A68&amp;", "&amp;$B68&amp;", "&amp;$C68&amp;"; ","")</f>
        <v/>
      </c>
      <c r="BM68" s="108" t="str">
        <f>IF(AND($P$8=1,$B68="Long length",'6a_Health_full_time'!H61&lt;&gt;0),BM$18&amp;", "&amp;BM$19&amp;", "&amp;$A68&amp;", "&amp;$B68&amp;", "&amp;$C68&amp;"; ","")</f>
        <v/>
      </c>
      <c r="BN68" s="108" t="str">
        <f>IF(AND($P$8=1,$B68="Long length",'6a_Health_full_time'!I61&lt;&gt;0),BN$18&amp;", "&amp;BN$19&amp;", "&amp;$A68&amp;", "&amp;$B68&amp;", "&amp;$C68&amp;"; ","")</f>
        <v/>
      </c>
      <c r="BO68" s="131"/>
    </row>
    <row r="69" spans="1:67" x14ac:dyDescent="0.35">
      <c r="A69" t="s">
        <v>27905</v>
      </c>
      <c r="B69" t="s">
        <v>27892</v>
      </c>
      <c r="C69" t="s">
        <v>27891</v>
      </c>
      <c r="E69" s="118"/>
      <c r="G69" s="333" t="str">
        <f>IF(AND($D$8=1,'6a_Health_full_time'!D62&lt;0),G$18&amp;", "&amp;G$19&amp;", "&amp;$A69&amp;", "&amp;$B69&amp;", "&amp;$C69&amp;"; ","")</f>
        <v/>
      </c>
      <c r="H69" s="108" t="str">
        <f>IF(AND($D$8=1,'6a_Health_full_time'!E62&lt;0),H$18&amp;", "&amp;H$19&amp;", "&amp;$A69&amp;", "&amp;$B69&amp;", "&amp;$C69&amp;"; ","")</f>
        <v/>
      </c>
      <c r="I69" s="108" t="str">
        <f>IF(AND($D$8=1,'6a_Health_full_time'!F62&lt;0),I$18&amp;", "&amp;I$19&amp;", "&amp;$A69&amp;", "&amp;$B69&amp;", "&amp;$C69&amp;"; ","")</f>
        <v/>
      </c>
      <c r="J69" s="333" t="str">
        <f>IF(AND($D$8=1,'6a_Health_full_time'!G62&lt;0),J$18&amp;", "&amp;J$19&amp;", "&amp;$A69&amp;", "&amp;$B69&amp;", "&amp;$C69&amp;"; ","")</f>
        <v/>
      </c>
      <c r="K69" s="108" t="str">
        <f>IF(AND($D$8=1,'6a_Health_full_time'!H62&lt;0),K$18&amp;", "&amp;K$19&amp;", "&amp;$A69&amp;", "&amp;$B69&amp;", "&amp;$C69&amp;"; ","")</f>
        <v/>
      </c>
      <c r="L69" s="210" t="str">
        <f>IF(AND($D$8=1,'6a_Health_full_time'!I62&lt;0),L$18&amp;", "&amp;L$19&amp;", "&amp;$A69&amp;", "&amp;$B69&amp;", "&amp;$C69&amp;"; ","")</f>
        <v/>
      </c>
      <c r="N69" s="118"/>
      <c r="P69" s="333" t="str">
        <f>IF(AND($E$8=1,ABS('6a_Health_full_time'!D62)&lt;&gt;INT(ABS('6a_Health_full_time'!D62))),P$18&amp;", "&amp;P$19&amp;", "&amp;$A69&amp;", "&amp;$B69&amp;", "&amp;$C69&amp;"; ","")</f>
        <v/>
      </c>
      <c r="Q69" s="108" t="str">
        <f>IF(AND($E$8=1,ABS('6a_Health_full_time'!E62)&lt;&gt;INT(ABS('6a_Health_full_time'!E62))),Q$18&amp;", "&amp;Q$19&amp;", "&amp;$A69&amp;", "&amp;$B69&amp;", "&amp;$C69&amp;"; ","")</f>
        <v/>
      </c>
      <c r="R69" s="108" t="str">
        <f>IF(AND($E$8=1,ABS('6a_Health_full_time'!F62)&lt;&gt;INT(ABS('6a_Health_full_time'!F62))),R$18&amp;", "&amp;R$19&amp;", "&amp;$A69&amp;", "&amp;$B69&amp;", "&amp;$C69&amp;"; ","")</f>
        <v/>
      </c>
      <c r="S69" s="333" t="str">
        <f>IF(AND($E$8=1,ABS('6a_Health_full_time'!G62)&lt;&gt;INT(ABS('6a_Health_full_time'!G62))),S$18&amp;", "&amp;S$19&amp;", "&amp;$A69&amp;", "&amp;$B69&amp;", "&amp;$C69&amp;"; ","")</f>
        <v/>
      </c>
      <c r="T69" s="108" t="str">
        <f>IF(AND($E$8=1,ABS('6a_Health_full_time'!H62)&lt;&gt;INT(ABS('6a_Health_full_time'!H62))),T$18&amp;", "&amp;T$19&amp;", "&amp;$A69&amp;", "&amp;$B69&amp;", "&amp;$C69&amp;"; ","")</f>
        <v/>
      </c>
      <c r="U69" s="210" t="str">
        <f>IF(AND($E$8=1,ABS('6a_Health_full_time'!I62)&lt;&gt;INT(ABS('6a_Health_full_time'!I62))),U$18&amp;", "&amp;U$19&amp;", "&amp;$A69&amp;", "&amp;$B69&amp;", "&amp;$C69&amp;"; ","")</f>
        <v/>
      </c>
      <c r="W69" s="118"/>
      <c r="Y69" s="113"/>
      <c r="Z69" s="481"/>
      <c r="AA69" s="481"/>
      <c r="AB69" s="483"/>
      <c r="AC69" s="121"/>
      <c r="AD69" s="121"/>
      <c r="AF69" s="118"/>
      <c r="AR69" s="118"/>
      <c r="AU69" s="562" t="str">
        <f>IF(AND($I$8=1,ABS(SUM('6a_Health_full_time'!D62:E62))&lt;ABS('6a_Health_full_time'!F62)),AU$18&amp;", "&amp;$A69&amp;", "&amp;$B69&amp;", "&amp;$C69&amp;"; ","")</f>
        <v/>
      </c>
      <c r="AX69" s="484" t="str">
        <f>IF(AND($I$8=1,ABS(SUM('6a_Health_full_time'!G62:H62))&lt;ABS('6a_Health_full_time'!I62)),AX$18&amp;", "&amp;$A69&amp;", "&amp;$B69&amp;", "&amp;$C69&amp;"; ","")</f>
        <v/>
      </c>
      <c r="AY69" s="17"/>
      <c r="BH69" s="130"/>
      <c r="BI69" s="333" t="str">
        <f>IF(AND($P$8=1,$B69="Long length",'6a_Health_full_time'!D62&lt;&gt;0),BI$18&amp;", "&amp;BI$19&amp;", "&amp;$A69&amp;", "&amp;$B69&amp;", "&amp;$C69&amp;"; ","")</f>
        <v/>
      </c>
      <c r="BJ69" s="108" t="str">
        <f>IF(AND($P$8=1,$B69="Long length",'6a_Health_full_time'!E62&lt;&gt;0),BJ$18&amp;", "&amp;BJ$19&amp;", "&amp;$A69&amp;", "&amp;$B69&amp;", "&amp;$C69&amp;"; ","")</f>
        <v/>
      </c>
      <c r="BK69" s="108" t="str">
        <f>IF(AND($P$8=1,$B69="Long length",'6a_Health_full_time'!F62&lt;&gt;0),BK$18&amp;", "&amp;BK$19&amp;", "&amp;$A69&amp;", "&amp;$B69&amp;", "&amp;$C69&amp;"; ","")</f>
        <v/>
      </c>
      <c r="BL69" s="333" t="str">
        <f>IF(AND($P$8=1,$B69="Long length",'6a_Health_full_time'!G62&lt;&gt;0),BL$18&amp;", "&amp;BL$19&amp;", "&amp;$A69&amp;", "&amp;$B69&amp;", "&amp;$C69&amp;"; ","")</f>
        <v/>
      </c>
      <c r="BM69" s="108" t="str">
        <f>IF(AND($P$8=1,$B69="Long length",'6a_Health_full_time'!H62&lt;&gt;0),BM$18&amp;", "&amp;BM$19&amp;", "&amp;$A69&amp;", "&amp;$B69&amp;", "&amp;$C69&amp;"; ","")</f>
        <v/>
      </c>
      <c r="BN69" s="108" t="str">
        <f>IF(AND($P$8=1,$B69="Long length",'6a_Health_full_time'!I62&lt;&gt;0),BN$18&amp;", "&amp;BN$19&amp;", "&amp;$A69&amp;", "&amp;$B69&amp;", "&amp;$C69&amp;"; ","")</f>
        <v/>
      </c>
      <c r="BO69" s="131"/>
    </row>
    <row r="70" spans="1:67" x14ac:dyDescent="0.35">
      <c r="A70" t="s">
        <v>27906</v>
      </c>
      <c r="B70" t="s">
        <v>27888</v>
      </c>
      <c r="C70" t="s">
        <v>27889</v>
      </c>
      <c r="E70" s="118"/>
      <c r="G70" s="1879" t="str">
        <f>IF(AND($D$8=1,'6a_Health_full_time'!D63&lt;0),G$18&amp;", "&amp;G$19&amp;", "&amp;$A70&amp;", "&amp;$B70&amp;", "&amp;$C70&amp;"; ","")</f>
        <v/>
      </c>
      <c r="H70" s="1653" t="str">
        <f>IF(AND($D$8=1,'6a_Health_full_time'!E63&lt;0),H$18&amp;", "&amp;H$19&amp;", "&amp;$A70&amp;", "&amp;$B70&amp;", "&amp;$C70&amp;"; ","")</f>
        <v/>
      </c>
      <c r="I70" s="1653" t="str">
        <f>IF(AND($D$8=1,'6a_Health_full_time'!F63&lt;0),I$18&amp;", "&amp;I$19&amp;", "&amp;$A70&amp;", "&amp;$B70&amp;", "&amp;$C70&amp;"; ","")</f>
        <v/>
      </c>
      <c r="J70" s="1879" t="str">
        <f>IF(AND($D$8=1,'6a_Health_full_time'!G63&lt;0),J$18&amp;", "&amp;J$19&amp;", "&amp;$A70&amp;", "&amp;$B70&amp;", "&amp;$C70&amp;"; ","")</f>
        <v/>
      </c>
      <c r="K70" s="1653" t="str">
        <f>IF(AND($D$8=1,'6a_Health_full_time'!H63&lt;0),K$18&amp;", "&amp;K$19&amp;", "&amp;$A70&amp;", "&amp;$B70&amp;", "&amp;$C70&amp;"; ","")</f>
        <v/>
      </c>
      <c r="L70" s="2191" t="str">
        <f>IF(AND($D$8=1,'6a_Health_full_time'!I63&lt;0),L$18&amp;", "&amp;L$19&amp;", "&amp;$A70&amp;", "&amp;$B70&amp;", "&amp;$C70&amp;"; ","")</f>
        <v/>
      </c>
      <c r="N70" s="118"/>
      <c r="P70" s="1879" t="str">
        <f>IF(AND($E$8=1,ABS('6a_Health_full_time'!D63)&lt;&gt;INT(ABS('6a_Health_full_time'!D63))),P$18&amp;", "&amp;P$19&amp;", "&amp;$A70&amp;", "&amp;$B70&amp;", "&amp;$C70&amp;"; ","")</f>
        <v/>
      </c>
      <c r="Q70" s="1653" t="str">
        <f>IF(AND($E$8=1,ABS('6a_Health_full_time'!E63)&lt;&gt;INT(ABS('6a_Health_full_time'!E63))),Q$18&amp;", "&amp;Q$19&amp;", "&amp;$A70&amp;", "&amp;$B70&amp;", "&amp;$C70&amp;"; ","")</f>
        <v/>
      </c>
      <c r="R70" s="1653" t="str">
        <f>IF(AND($E$8=1,ABS('6a_Health_full_time'!F63)&lt;&gt;INT(ABS('6a_Health_full_time'!F63))),R$18&amp;", "&amp;R$19&amp;", "&amp;$A70&amp;", "&amp;$B70&amp;", "&amp;$C70&amp;"; ","")</f>
        <v/>
      </c>
      <c r="S70" s="1879" t="str">
        <f>IF(AND($E$8=1,ABS('6a_Health_full_time'!G63)&lt;&gt;INT(ABS('6a_Health_full_time'!G63))),S$18&amp;", "&amp;S$19&amp;", "&amp;$A70&amp;", "&amp;$B70&amp;", "&amp;$C70&amp;"; ","")</f>
        <v/>
      </c>
      <c r="T70" s="1653" t="str">
        <f>IF(AND($E$8=1,ABS('6a_Health_full_time'!H63)&lt;&gt;INT(ABS('6a_Health_full_time'!H63))),T$18&amp;", "&amp;T$19&amp;", "&amp;$A70&amp;", "&amp;$B70&amp;", "&amp;$C70&amp;"; ","")</f>
        <v/>
      </c>
      <c r="U70" s="2191" t="str">
        <f>IF(AND($E$8=1,ABS('6a_Health_full_time'!I63)&lt;&gt;INT(ABS('6a_Health_full_time'!I63))),U$18&amp;", "&amp;U$19&amp;", "&amp;$A70&amp;", "&amp;$B70&amp;", "&amp;$C70&amp;"; ","")</f>
        <v/>
      </c>
      <c r="W70" s="118"/>
      <c r="Y70" s="1881"/>
      <c r="Z70" s="1882"/>
      <c r="AA70" s="1882"/>
      <c r="AB70" s="1883"/>
      <c r="AC70" s="1884"/>
      <c r="AD70" s="1884"/>
      <c r="AF70" s="118"/>
      <c r="AK70" t="s">
        <v>27907</v>
      </c>
      <c r="AL70" t="s">
        <v>27908</v>
      </c>
      <c r="AR70" s="118"/>
      <c r="AU70" s="1886" t="str">
        <f>IF(AND($I$8=1,ABS(SUM('6a_Health_full_time'!D63:E63))&lt;ABS('6a_Health_full_time'!F63)),AU$18&amp;", "&amp;$A70&amp;", "&amp;$B70&amp;", "&amp;$C70&amp;"; ","")</f>
        <v/>
      </c>
      <c r="AX70" s="1896" t="str">
        <f>IF(AND($I$8=1,ABS(SUM('6a_Health_full_time'!G63:H63))&lt;ABS('6a_Health_full_time'!I63)),AX$18&amp;", "&amp;$A70&amp;", "&amp;$B70&amp;", "&amp;$C70&amp;"; ","")</f>
        <v/>
      </c>
      <c r="AY70" s="17"/>
      <c r="BH70" s="130"/>
      <c r="BI70" s="1879" t="str">
        <f>IF(AND($P$8=1,$B70="Long length",'6a_Health_full_time'!D63&lt;&gt;0),BI$18&amp;", "&amp;BI$19&amp;", "&amp;$A70&amp;", "&amp;$B70&amp;", "&amp;$C70&amp;"; ","")</f>
        <v/>
      </c>
      <c r="BJ70" s="1653" t="str">
        <f>IF(AND($P$8=1,$B70="Long length",'6a_Health_full_time'!E63&lt;&gt;0),BJ$18&amp;", "&amp;BJ$19&amp;", "&amp;$A70&amp;", "&amp;$B70&amp;", "&amp;$C70&amp;"; ","")</f>
        <v/>
      </c>
      <c r="BK70" s="1653" t="str">
        <f>IF(AND($P$8=1,$B70="Long length",'6a_Health_full_time'!F63&lt;&gt;0),BK$18&amp;", "&amp;BK$19&amp;", "&amp;$A70&amp;", "&amp;$B70&amp;", "&amp;$C70&amp;"; ","")</f>
        <v/>
      </c>
      <c r="BL70" s="1879" t="str">
        <f>IF(AND($P$8=1,$B70="Long length",'6a_Health_full_time'!G63&lt;&gt;0),BL$18&amp;", "&amp;BL$19&amp;", "&amp;$A70&amp;", "&amp;$B70&amp;", "&amp;$C70&amp;"; ","")</f>
        <v/>
      </c>
      <c r="BM70" s="1653" t="str">
        <f>IF(AND($P$8=1,$B70="Long length",'6a_Health_full_time'!H63&lt;&gt;0),BM$18&amp;", "&amp;BM$19&amp;", "&amp;$A70&amp;", "&amp;$B70&amp;", "&amp;$C70&amp;"; ","")</f>
        <v/>
      </c>
      <c r="BN70" s="1653" t="str">
        <f>IF(AND($P$8=1,$B70="Long length",'6a_Health_full_time'!I63&lt;&gt;0),BN$18&amp;", "&amp;BN$19&amp;", "&amp;$A70&amp;", "&amp;$B70&amp;", "&amp;$C70&amp;"; ","")</f>
        <v/>
      </c>
      <c r="BO70" s="131"/>
    </row>
    <row r="71" spans="1:67" x14ac:dyDescent="0.35">
      <c r="A71" t="s">
        <v>27906</v>
      </c>
      <c r="B71" t="s">
        <v>27888</v>
      </c>
      <c r="C71" t="s">
        <v>27891</v>
      </c>
      <c r="E71" s="118"/>
      <c r="G71" s="333" t="str">
        <f>IF(AND($D$8=1,'6a_Health_full_time'!D64&lt;0),G$18&amp;", "&amp;G$19&amp;", "&amp;$A71&amp;", "&amp;$B71&amp;", "&amp;$C71&amp;"; ","")</f>
        <v/>
      </c>
      <c r="H71" s="108" t="str">
        <f>IF(AND($D$8=1,'6a_Health_full_time'!E64&lt;0),H$18&amp;", "&amp;H$19&amp;", "&amp;$A71&amp;", "&amp;$B71&amp;", "&amp;$C71&amp;"; ","")</f>
        <v/>
      </c>
      <c r="I71" s="108" t="str">
        <f>IF(AND($D$8=1,'6a_Health_full_time'!F64&lt;0),I$18&amp;", "&amp;I$19&amp;", "&amp;$A71&amp;", "&amp;$B71&amp;", "&amp;$C71&amp;"; ","")</f>
        <v/>
      </c>
      <c r="J71" s="333" t="str">
        <f>IF(AND($D$8=1,'6a_Health_full_time'!G64&lt;0),J$18&amp;", "&amp;J$19&amp;", "&amp;$A71&amp;", "&amp;$B71&amp;", "&amp;$C71&amp;"; ","")</f>
        <v/>
      </c>
      <c r="K71" s="108" t="str">
        <f>IF(AND($D$8=1,'6a_Health_full_time'!H64&lt;0),K$18&amp;", "&amp;K$19&amp;", "&amp;$A71&amp;", "&amp;$B71&amp;", "&amp;$C71&amp;"; ","")</f>
        <v/>
      </c>
      <c r="L71" s="210" t="str">
        <f>IF(AND($D$8=1,'6a_Health_full_time'!I64&lt;0),L$18&amp;", "&amp;L$19&amp;", "&amp;$A71&amp;", "&amp;$B71&amp;", "&amp;$C71&amp;"; ","")</f>
        <v/>
      </c>
      <c r="N71" s="118"/>
      <c r="P71" s="333" t="str">
        <f>IF(AND($E$8=1,ABS('6a_Health_full_time'!D64)&lt;&gt;INT(ABS('6a_Health_full_time'!D64))),P$18&amp;", "&amp;P$19&amp;", "&amp;$A71&amp;", "&amp;$B71&amp;", "&amp;$C71&amp;"; ","")</f>
        <v/>
      </c>
      <c r="Q71" s="335" t="str">
        <f>IF(AND($E$8=1,ABS('6a_Health_full_time'!E64)&lt;&gt;INT(ABS('6a_Health_full_time'!E64))),Q$18&amp;", "&amp;Q$19&amp;", "&amp;$A71&amp;", "&amp;$B71&amp;", "&amp;$C71&amp;"; ","")</f>
        <v/>
      </c>
      <c r="R71" s="335" t="str">
        <f>IF(AND($E$8=1,ABS('6a_Health_full_time'!F64)&lt;&gt;INT(ABS('6a_Health_full_time'!F64))),R$18&amp;", "&amp;R$19&amp;", "&amp;$A71&amp;", "&amp;$B71&amp;", "&amp;$C71&amp;"; ","")</f>
        <v/>
      </c>
      <c r="S71" s="333" t="str">
        <f>IF(AND($E$8=1,ABS('6a_Health_full_time'!G64)&lt;&gt;INT(ABS('6a_Health_full_time'!G64))),S$18&amp;", "&amp;S$19&amp;", "&amp;$A71&amp;", "&amp;$B71&amp;", "&amp;$C71&amp;"; ","")</f>
        <v/>
      </c>
      <c r="T71" s="108" t="str">
        <f>IF(AND($E$8=1,ABS('6a_Health_full_time'!H64)&lt;&gt;INT(ABS('6a_Health_full_time'!H64))),T$18&amp;", "&amp;T$19&amp;", "&amp;$A71&amp;", "&amp;$B71&amp;", "&amp;$C71&amp;"; ","")</f>
        <v/>
      </c>
      <c r="U71" s="210" t="str">
        <f>IF(AND($E$8=1,ABS('6a_Health_full_time'!I64)&lt;&gt;INT(ABS('6a_Health_full_time'!I64))),U$18&amp;", "&amp;U$19&amp;", "&amp;$A71&amp;", "&amp;$B71&amp;", "&amp;$C71&amp;"; ","")</f>
        <v/>
      </c>
      <c r="W71" s="118"/>
      <c r="Y71" s="113"/>
      <c r="Z71" s="481"/>
      <c r="AA71" s="481"/>
      <c r="AB71" s="483"/>
      <c r="AC71" s="121"/>
      <c r="AD71" s="121"/>
      <c r="AF71" s="118"/>
      <c r="AK71" s="1826" t="str">
        <f>CONCATENATE(AK67,AN67)</f>
        <v/>
      </c>
      <c r="AL71" s="1826" t="str">
        <f>CONCATENATE(AL67,AO67)</f>
        <v/>
      </c>
      <c r="AR71" s="118"/>
      <c r="AU71" s="562" t="str">
        <f>IF(AND($I$8=1,ABS(SUM('6a_Health_full_time'!D64:E64))&lt;ABS('6a_Health_full_time'!F64)),AU$18&amp;", "&amp;$A71&amp;", "&amp;$B71&amp;", "&amp;$C71&amp;"; ","")</f>
        <v/>
      </c>
      <c r="AX71" s="484" t="str">
        <f>IF(AND($I$8=1,ABS(SUM('6a_Health_full_time'!G64:H64))&lt;ABS('6a_Health_full_time'!I64)),AX$18&amp;", "&amp;$A71&amp;", "&amp;$B71&amp;", "&amp;$C71&amp;"; ","")</f>
        <v/>
      </c>
      <c r="AY71" s="17"/>
      <c r="BH71" s="130"/>
      <c r="BI71" s="333" t="str">
        <f>IF(AND($P$8=1,$B71="Long length",'6a_Health_full_time'!D64&lt;&gt;0),BI$18&amp;", "&amp;BI$19&amp;", "&amp;$A71&amp;", "&amp;$B71&amp;", "&amp;$C71&amp;"; ","")</f>
        <v/>
      </c>
      <c r="BJ71" s="335" t="str">
        <f>IF(AND($P$8=1,$B71="Long length",'6a_Health_full_time'!E64&lt;&gt;0),BJ$18&amp;", "&amp;BJ$19&amp;", "&amp;$A71&amp;", "&amp;$B71&amp;", "&amp;$C71&amp;"; ","")</f>
        <v/>
      </c>
      <c r="BK71" s="335" t="str">
        <f>IF(AND($P$8=1,$B71="Long length",'6a_Health_full_time'!F64&lt;&gt;0),BK$18&amp;", "&amp;BK$19&amp;", "&amp;$A71&amp;", "&amp;$B71&amp;", "&amp;$C71&amp;"; ","")</f>
        <v/>
      </c>
      <c r="BL71" s="333" t="str">
        <f>IF(AND($P$8=1,$B71="Long length",'6a_Health_full_time'!G64&lt;&gt;0),BL$18&amp;", "&amp;BL$19&amp;", "&amp;$A71&amp;", "&amp;$B71&amp;", "&amp;$C71&amp;"; ","")</f>
        <v/>
      </c>
      <c r="BM71" s="335" t="str">
        <f>IF(AND($P$8=1,$B71="Long length",'6a_Health_full_time'!H64&lt;&gt;0),BM$18&amp;", "&amp;BM$19&amp;", "&amp;$A71&amp;", "&amp;$B71&amp;", "&amp;$C71&amp;"; ","")</f>
        <v/>
      </c>
      <c r="BN71" s="335" t="str">
        <f>IF(AND($P$8=1,$B71="Long length",'6a_Health_full_time'!I64&lt;&gt;0),BN$18&amp;", "&amp;BN$19&amp;", "&amp;$A71&amp;", "&amp;$B71&amp;", "&amp;$C71&amp;"; ","")</f>
        <v/>
      </c>
      <c r="BO71" s="131"/>
    </row>
    <row r="72" spans="1:67" x14ac:dyDescent="0.35">
      <c r="A72" t="s">
        <v>27906</v>
      </c>
      <c r="B72" t="s">
        <v>27892</v>
      </c>
      <c r="C72" t="s">
        <v>27889</v>
      </c>
      <c r="E72" s="118"/>
      <c r="G72" s="333" t="str">
        <f>IF(AND($D$8=1,'6a_Health_full_time'!D65&lt;0),G$18&amp;", "&amp;G$19&amp;", "&amp;$A72&amp;", "&amp;$B72&amp;", "&amp;$C72&amp;"; ","")</f>
        <v/>
      </c>
      <c r="H72" s="108" t="str">
        <f>IF(AND($D$8=1,'6a_Health_full_time'!E65&lt;0),H$18&amp;", "&amp;H$19&amp;", "&amp;$A72&amp;", "&amp;$B72&amp;", "&amp;$C72&amp;"; ","")</f>
        <v/>
      </c>
      <c r="I72" s="108" t="str">
        <f>IF(AND($D$8=1,'6a_Health_full_time'!F65&lt;0),I$18&amp;", "&amp;I$19&amp;", "&amp;$A72&amp;", "&amp;$B72&amp;", "&amp;$C72&amp;"; ","")</f>
        <v/>
      </c>
      <c r="J72" s="333" t="str">
        <f>IF(AND($D$8=1,'6a_Health_full_time'!G65&lt;0),J$18&amp;", "&amp;J$19&amp;", "&amp;$A72&amp;", "&amp;$B72&amp;", "&amp;$C72&amp;"; ","")</f>
        <v/>
      </c>
      <c r="K72" s="108" t="str">
        <f>IF(AND($D$8=1,'6a_Health_full_time'!H65&lt;0),K$18&amp;", "&amp;K$19&amp;", "&amp;$A72&amp;", "&amp;$B72&amp;", "&amp;$C72&amp;"; ","")</f>
        <v/>
      </c>
      <c r="L72" s="210" t="str">
        <f>IF(AND($D$8=1,'6a_Health_full_time'!I65&lt;0),L$18&amp;", "&amp;L$19&amp;", "&amp;$A72&amp;", "&amp;$B72&amp;", "&amp;$C72&amp;"; ","")</f>
        <v/>
      </c>
      <c r="N72" s="118"/>
      <c r="P72" s="333" t="str">
        <f>IF(AND($E$8=1,ABS('6a_Health_full_time'!D65)&lt;&gt;INT(ABS('6a_Health_full_time'!D65))),P$18&amp;", "&amp;P$19&amp;", "&amp;$A72&amp;", "&amp;$B72&amp;", "&amp;$C72&amp;"; ","")</f>
        <v/>
      </c>
      <c r="Q72" s="108" t="str">
        <f>IF(AND($E$8=1,ABS('6a_Health_full_time'!E65)&lt;&gt;INT(ABS('6a_Health_full_time'!E65))),Q$18&amp;", "&amp;Q$19&amp;", "&amp;$A72&amp;", "&amp;$B72&amp;", "&amp;$C72&amp;"; ","")</f>
        <v/>
      </c>
      <c r="R72" s="108" t="str">
        <f>IF(AND($E$8=1,ABS('6a_Health_full_time'!F65)&lt;&gt;INT(ABS('6a_Health_full_time'!F65))),R$18&amp;", "&amp;R$19&amp;", "&amp;$A72&amp;", "&amp;$B72&amp;", "&amp;$C72&amp;"; ","")</f>
        <v/>
      </c>
      <c r="S72" s="333" t="str">
        <f>IF(AND($E$8=1,ABS('6a_Health_full_time'!G65)&lt;&gt;INT(ABS('6a_Health_full_time'!G65))),S$18&amp;", "&amp;S$19&amp;", "&amp;$A72&amp;", "&amp;$B72&amp;", "&amp;$C72&amp;"; ","")</f>
        <v/>
      </c>
      <c r="T72" s="108" t="str">
        <f>IF(AND($E$8=1,ABS('6a_Health_full_time'!H65)&lt;&gt;INT(ABS('6a_Health_full_time'!H65))),T$18&amp;", "&amp;T$19&amp;", "&amp;$A72&amp;", "&amp;$B72&amp;", "&amp;$C72&amp;"; ","")</f>
        <v/>
      </c>
      <c r="U72" s="210" t="str">
        <f>IF(AND($E$8=1,ABS('6a_Health_full_time'!I65)&lt;&gt;INT(ABS('6a_Health_full_time'!I65))),U$18&amp;", "&amp;U$19&amp;", "&amp;$A72&amp;", "&amp;$B72&amp;", "&amp;$C72&amp;"; ","")</f>
        <v/>
      </c>
      <c r="W72" s="118"/>
      <c r="Y72" s="113"/>
      <c r="Z72" s="481"/>
      <c r="AA72" s="481"/>
      <c r="AB72" s="483"/>
      <c r="AC72" s="121"/>
      <c r="AD72" s="121"/>
      <c r="AF72" s="119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25"/>
      <c r="AR72" s="118"/>
      <c r="AU72" s="562" t="str">
        <f>IF(AND($I$8=1,ABS(SUM('6a_Health_full_time'!D65:E65))&lt;ABS('6a_Health_full_time'!F65)),AU$18&amp;", "&amp;$A72&amp;", "&amp;$B72&amp;", "&amp;$C72&amp;"; ","")</f>
        <v/>
      </c>
      <c r="AX72" s="484" t="str">
        <f>IF(AND($I$8=1,ABS(SUM('6a_Health_full_time'!G65:H65))&lt;ABS('6a_Health_full_time'!I65)),AX$18&amp;", "&amp;$A72&amp;", "&amp;$B72&amp;", "&amp;$C72&amp;"; ","")</f>
        <v/>
      </c>
      <c r="AY72" s="17"/>
      <c r="BH72" s="130"/>
      <c r="BI72" s="333" t="str">
        <f>IF(AND($P$8=1,$B72="Long length",'6a_Health_full_time'!D65&lt;&gt;0),BI$18&amp;", "&amp;BI$19&amp;", "&amp;$A72&amp;", "&amp;$B72&amp;", "&amp;$C72&amp;"; ","")</f>
        <v/>
      </c>
      <c r="BJ72" s="108" t="str">
        <f>IF(AND($P$8=1,$B72="Long length",'6a_Health_full_time'!E65&lt;&gt;0),BJ$18&amp;", "&amp;BJ$19&amp;", "&amp;$A72&amp;", "&amp;$B72&amp;", "&amp;$C72&amp;"; ","")</f>
        <v/>
      </c>
      <c r="BK72" s="108" t="str">
        <f>IF(AND($P$8=1,$B72="Long length",'6a_Health_full_time'!F65&lt;&gt;0),BK$18&amp;", "&amp;BK$19&amp;", "&amp;$A72&amp;", "&amp;$B72&amp;", "&amp;$C72&amp;"; ","")</f>
        <v/>
      </c>
      <c r="BL72" s="333" t="str">
        <f>IF(AND($P$8=1,$B72="Long length",'6a_Health_full_time'!G65&lt;&gt;0),BL$18&amp;", "&amp;BL$19&amp;", "&amp;$A72&amp;", "&amp;$B72&amp;", "&amp;$C72&amp;"; ","")</f>
        <v/>
      </c>
      <c r="BM72" s="108" t="str">
        <f>IF(AND($P$8=1,$B72="Long length",'6a_Health_full_time'!H65&lt;&gt;0),BM$18&amp;", "&amp;BM$19&amp;", "&amp;$A72&amp;", "&amp;$B72&amp;", "&amp;$C72&amp;"; ","")</f>
        <v/>
      </c>
      <c r="BN72" s="108" t="str">
        <f>IF(AND($P$8=1,$B72="Long length",'6a_Health_full_time'!I65&lt;&gt;0),BN$18&amp;", "&amp;BN$19&amp;", "&amp;$A72&amp;", "&amp;$B72&amp;", "&amp;$C72&amp;"; ","")</f>
        <v/>
      </c>
      <c r="BO72" s="131"/>
    </row>
    <row r="73" spans="1:67" x14ac:dyDescent="0.35">
      <c r="A73" t="s">
        <v>27906</v>
      </c>
      <c r="B73" t="s">
        <v>27892</v>
      </c>
      <c r="C73" t="s">
        <v>27891</v>
      </c>
      <c r="E73" s="118"/>
      <c r="G73" s="333" t="str">
        <f>IF(AND($D$8=1,'6a_Health_full_time'!D66&lt;0),G$18&amp;", "&amp;G$19&amp;", "&amp;$A73&amp;", "&amp;$B73&amp;", "&amp;$C73&amp;"; ","")</f>
        <v/>
      </c>
      <c r="H73" s="108" t="str">
        <f>IF(AND($D$8=1,'6a_Health_full_time'!E66&lt;0),H$18&amp;", "&amp;H$19&amp;", "&amp;$A73&amp;", "&amp;$B73&amp;", "&amp;$C73&amp;"; ","")</f>
        <v/>
      </c>
      <c r="I73" s="108" t="str">
        <f>IF(AND($D$8=1,'6a_Health_full_time'!F66&lt;0),I$18&amp;", "&amp;I$19&amp;", "&amp;$A73&amp;", "&amp;$B73&amp;", "&amp;$C73&amp;"; ","")</f>
        <v/>
      </c>
      <c r="J73" s="333" t="str">
        <f>IF(AND($D$8=1,'6a_Health_full_time'!G66&lt;0),J$18&amp;", "&amp;J$19&amp;", "&amp;$A73&amp;", "&amp;$B73&amp;", "&amp;$C73&amp;"; ","")</f>
        <v/>
      </c>
      <c r="K73" s="108" t="str">
        <f>IF(AND($D$8=1,'6a_Health_full_time'!H66&lt;0),K$18&amp;", "&amp;K$19&amp;", "&amp;$A73&amp;", "&amp;$B73&amp;", "&amp;$C73&amp;"; ","")</f>
        <v/>
      </c>
      <c r="L73" s="210" t="str">
        <f>IF(AND($D$8=1,'6a_Health_full_time'!I66&lt;0),L$18&amp;", "&amp;L$19&amp;", "&amp;$A73&amp;", "&amp;$B73&amp;", "&amp;$C73&amp;"; ","")</f>
        <v/>
      </c>
      <c r="N73" s="118"/>
      <c r="P73" s="333" t="str">
        <f>IF(AND($E$8=1,ABS('6a_Health_full_time'!D66)&lt;&gt;INT(ABS('6a_Health_full_time'!D66))),P$18&amp;", "&amp;P$19&amp;", "&amp;$A73&amp;", "&amp;$B73&amp;", "&amp;$C73&amp;"; ","")</f>
        <v/>
      </c>
      <c r="Q73" s="108" t="str">
        <f>IF(AND($E$8=1,ABS('6a_Health_full_time'!E66)&lt;&gt;INT(ABS('6a_Health_full_time'!E66))),Q$18&amp;", "&amp;Q$19&amp;", "&amp;$A73&amp;", "&amp;$B73&amp;", "&amp;$C73&amp;"; ","")</f>
        <v/>
      </c>
      <c r="R73" s="108" t="str">
        <f>IF(AND($E$8=1,ABS('6a_Health_full_time'!F66)&lt;&gt;INT(ABS('6a_Health_full_time'!F66))),R$18&amp;", "&amp;R$19&amp;", "&amp;$A73&amp;", "&amp;$B73&amp;", "&amp;$C73&amp;"; ","")</f>
        <v/>
      </c>
      <c r="S73" s="333" t="str">
        <f>IF(AND($E$8=1,ABS('6a_Health_full_time'!G66)&lt;&gt;INT(ABS('6a_Health_full_time'!G66))),S$18&amp;", "&amp;S$19&amp;", "&amp;$A73&amp;", "&amp;$B73&amp;", "&amp;$C73&amp;"; ","")</f>
        <v/>
      </c>
      <c r="T73" s="108" t="str">
        <f>IF(AND($E$8=1,ABS('6a_Health_full_time'!H66)&lt;&gt;INT(ABS('6a_Health_full_time'!H66))),T$18&amp;", "&amp;T$19&amp;", "&amp;$A73&amp;", "&amp;$B73&amp;", "&amp;$C73&amp;"; ","")</f>
        <v/>
      </c>
      <c r="U73" s="210" t="str">
        <f>IF(AND($E$8=1,ABS('6a_Health_full_time'!I66)&lt;&gt;INT(ABS('6a_Health_full_time'!I66))),U$18&amp;", "&amp;U$19&amp;", "&amp;$A73&amp;", "&amp;$B73&amp;", "&amp;$C73&amp;"; ","")</f>
        <v/>
      </c>
      <c r="W73" s="118"/>
      <c r="Y73" s="113"/>
      <c r="Z73" s="481"/>
      <c r="AA73" s="481"/>
      <c r="AB73" s="483"/>
      <c r="AC73" s="121"/>
      <c r="AD73" s="121"/>
      <c r="AF73" s="118"/>
      <c r="AR73" s="118"/>
      <c r="AU73" s="562" t="str">
        <f>IF(AND($I$8=1,ABS(SUM('6a_Health_full_time'!D66:E66))&lt;ABS('6a_Health_full_time'!F66)),AU$18&amp;", "&amp;$A73&amp;", "&amp;$B73&amp;", "&amp;$C73&amp;"; ","")</f>
        <v/>
      </c>
      <c r="AX73" s="484" t="str">
        <f>IF(AND($I$8=1,ABS(SUM('6a_Health_full_time'!G66:H66))&lt;ABS('6a_Health_full_time'!I66)),AX$18&amp;", "&amp;$A73&amp;", "&amp;$B73&amp;", "&amp;$C73&amp;"; ","")</f>
        <v/>
      </c>
      <c r="AY73" s="17"/>
      <c r="BH73" s="130"/>
      <c r="BI73" s="333" t="str">
        <f>IF(AND($P$8=1,$B73="Long length",'6a_Health_full_time'!D66&lt;&gt;0),BI$18&amp;", "&amp;BI$19&amp;", "&amp;$A73&amp;", "&amp;$B73&amp;", "&amp;$C73&amp;"; ","")</f>
        <v/>
      </c>
      <c r="BJ73" s="108" t="str">
        <f>IF(AND($P$8=1,$B73="Long length",'6a_Health_full_time'!E66&lt;&gt;0),BJ$18&amp;", "&amp;BJ$19&amp;", "&amp;$A73&amp;", "&amp;$B73&amp;", "&amp;$C73&amp;"; ","")</f>
        <v/>
      </c>
      <c r="BK73" s="108" t="str">
        <f>IF(AND($P$8=1,$B73="Long length",'6a_Health_full_time'!F66&lt;&gt;0),BK$18&amp;", "&amp;BK$19&amp;", "&amp;$A73&amp;", "&amp;$B73&amp;", "&amp;$C73&amp;"; ","")</f>
        <v/>
      </c>
      <c r="BL73" s="333" t="str">
        <f>IF(AND($P$8=1,$B73="Long length",'6a_Health_full_time'!G66&lt;&gt;0),BL$18&amp;", "&amp;BL$19&amp;", "&amp;$A73&amp;", "&amp;$B73&amp;", "&amp;$C73&amp;"; ","")</f>
        <v/>
      </c>
      <c r="BM73" s="108" t="str">
        <f>IF(AND($P$8=1,$B73="Long length",'6a_Health_full_time'!H66&lt;&gt;0),BM$18&amp;", "&amp;BM$19&amp;", "&amp;$A73&amp;", "&amp;$B73&amp;", "&amp;$C73&amp;"; ","")</f>
        <v/>
      </c>
      <c r="BN73" s="108" t="str">
        <f>IF(AND($P$8=1,$B73="Long length",'6a_Health_full_time'!I66&lt;&gt;0),BN$18&amp;", "&amp;BN$19&amp;", "&amp;$A73&amp;", "&amp;$B73&amp;", "&amp;$C73&amp;"; ","")</f>
        <v/>
      </c>
      <c r="BO73" s="131"/>
    </row>
    <row r="74" spans="1:67" x14ac:dyDescent="0.35">
      <c r="A74" t="s">
        <v>27909</v>
      </c>
      <c r="B74" t="s">
        <v>27888</v>
      </c>
      <c r="C74" t="s">
        <v>27889</v>
      </c>
      <c r="E74" s="118"/>
      <c r="G74" s="1879" t="str">
        <f>IF(AND($D$8=1,'6a_Health_full_time'!D67&lt;0),G$18&amp;", "&amp;G$19&amp;", "&amp;$A74&amp;", "&amp;$B74&amp;", "&amp;$C74&amp;"; ","")</f>
        <v/>
      </c>
      <c r="H74" s="1653" t="str">
        <f>IF(AND($D$8=1,'6a_Health_full_time'!E67&lt;0),H$18&amp;", "&amp;H$19&amp;", "&amp;$A74&amp;", "&amp;$B74&amp;", "&amp;$C74&amp;"; ","")</f>
        <v/>
      </c>
      <c r="I74" s="1653" t="str">
        <f>IF(AND($D$8=1,'6a_Health_full_time'!F67&lt;0),I$18&amp;", "&amp;I$19&amp;", "&amp;$A74&amp;", "&amp;$B74&amp;", "&amp;$C74&amp;"; ","")</f>
        <v/>
      </c>
      <c r="J74" s="1879" t="str">
        <f>IF(AND($D$8=1,'6a_Health_full_time'!G67&lt;0),J$18&amp;", "&amp;J$19&amp;", "&amp;$A74&amp;", "&amp;$B74&amp;", "&amp;$C74&amp;"; ","")</f>
        <v/>
      </c>
      <c r="K74" s="1653" t="str">
        <f>IF(AND($D$8=1,'6a_Health_full_time'!H67&lt;0),K$18&amp;", "&amp;K$19&amp;", "&amp;$A74&amp;", "&amp;$B74&amp;", "&amp;$C74&amp;"; ","")</f>
        <v/>
      </c>
      <c r="L74" s="2191" t="str">
        <f>IF(AND($D$8=1,'6a_Health_full_time'!I67&lt;0),L$18&amp;", "&amp;L$19&amp;", "&amp;$A74&amp;", "&amp;$B74&amp;", "&amp;$C74&amp;"; ","")</f>
        <v/>
      </c>
      <c r="N74" s="118"/>
      <c r="P74" s="1879" t="str">
        <f>IF(AND($E$8=1,ABS('6a_Health_full_time'!D67)&lt;&gt;INT(ABS('6a_Health_full_time'!D67))),P$18&amp;", "&amp;P$19&amp;", "&amp;$A74&amp;", "&amp;$B74&amp;", "&amp;$C74&amp;"; ","")</f>
        <v/>
      </c>
      <c r="Q74" s="1653" t="str">
        <f>IF(AND($E$8=1,ABS('6a_Health_full_time'!E67)&lt;&gt;INT(ABS('6a_Health_full_time'!E67))),Q$18&amp;", "&amp;Q$19&amp;", "&amp;$A74&amp;", "&amp;$B74&amp;", "&amp;$C74&amp;"; ","")</f>
        <v/>
      </c>
      <c r="R74" s="1653" t="str">
        <f>IF(AND($E$8=1,ABS('6a_Health_full_time'!F67)&lt;&gt;INT(ABS('6a_Health_full_time'!F67))),R$18&amp;", "&amp;R$19&amp;", "&amp;$A74&amp;", "&amp;$B74&amp;", "&amp;$C74&amp;"; ","")</f>
        <v/>
      </c>
      <c r="S74" s="1879" t="str">
        <f>IF(AND($E$8=1,ABS('6a_Health_full_time'!G67)&lt;&gt;INT(ABS('6a_Health_full_time'!G67))),S$18&amp;", "&amp;S$19&amp;", "&amp;$A74&amp;", "&amp;$B74&amp;", "&amp;$C74&amp;"; ","")</f>
        <v/>
      </c>
      <c r="T74" s="1653" t="str">
        <f>IF(AND($E$8=1,ABS('6a_Health_full_time'!H67)&lt;&gt;INT(ABS('6a_Health_full_time'!H67))),T$18&amp;", "&amp;T$19&amp;", "&amp;$A74&amp;", "&amp;$B74&amp;", "&amp;$C74&amp;"; ","")</f>
        <v/>
      </c>
      <c r="U74" s="2191" t="str">
        <f>IF(AND($E$8=1,ABS('6a_Health_full_time'!I67)&lt;&gt;INT(ABS('6a_Health_full_time'!I67))),U$18&amp;", "&amp;U$19&amp;", "&amp;$A74&amp;", "&amp;$B74&amp;", "&amp;$C74&amp;"; ","")</f>
        <v/>
      </c>
      <c r="W74" s="118"/>
      <c r="Y74" s="1881"/>
      <c r="Z74" s="1882"/>
      <c r="AA74" s="1882"/>
      <c r="AB74" s="1883"/>
      <c r="AC74" s="1884"/>
      <c r="AD74" s="1884"/>
      <c r="AF74" s="118"/>
      <c r="AK74" t="s">
        <v>27679</v>
      </c>
      <c r="AL74" t="s">
        <v>27679</v>
      </c>
      <c r="AN74" t="s">
        <v>27680</v>
      </c>
      <c r="AO74" t="s">
        <v>27680</v>
      </c>
      <c r="AR74" s="118"/>
      <c r="AU74" s="1886" t="str">
        <f>IF(AND($I$8=1,ABS(SUM('6a_Health_full_time'!D67:E67))&lt;ABS('6a_Health_full_time'!F67)),AU$18&amp;", "&amp;$A74&amp;", "&amp;$B74&amp;", "&amp;$C74&amp;"; ","")</f>
        <v/>
      </c>
      <c r="AX74" s="1896" t="str">
        <f>IF(AND($I$8=1,ABS(SUM('6a_Health_full_time'!G67:H67))&lt;ABS('6a_Health_full_time'!I67)),AX$18&amp;", "&amp;$A74&amp;", "&amp;$B74&amp;", "&amp;$C74&amp;"; ","")</f>
        <v/>
      </c>
      <c r="AY74" s="17"/>
      <c r="BH74" s="130"/>
      <c r="BI74" s="1879" t="str">
        <f>IF(AND($P$8=1,$B74="Long length",'6a_Health_full_time'!D67&lt;&gt;0),BI$18&amp;", "&amp;BI$19&amp;", "&amp;$A74&amp;", "&amp;$B74&amp;", "&amp;$C74&amp;"; ","")</f>
        <v/>
      </c>
      <c r="BJ74" s="1653" t="str">
        <f>IF(AND($P$8=1,$B74="Long length",'6a_Health_full_time'!E67&lt;&gt;0),BJ$18&amp;", "&amp;BJ$19&amp;", "&amp;$A74&amp;", "&amp;$B74&amp;", "&amp;$C74&amp;"; ","")</f>
        <v/>
      </c>
      <c r="BK74" s="1653" t="str">
        <f>IF(AND($P$8=1,$B74="Long length",'6a_Health_full_time'!F67&lt;&gt;0),BK$18&amp;", "&amp;BK$19&amp;", "&amp;$A74&amp;", "&amp;$B74&amp;", "&amp;$C74&amp;"; ","")</f>
        <v/>
      </c>
      <c r="BL74" s="1879" t="str">
        <f>IF(AND($P$8=1,$B74="Long length",'6a_Health_full_time'!G67&lt;&gt;0),BL$18&amp;", "&amp;BL$19&amp;", "&amp;$A74&amp;", "&amp;$B74&amp;", "&amp;$C74&amp;"; ","")</f>
        <v/>
      </c>
      <c r="BM74" s="1653" t="str">
        <f>IF(AND($P$8=1,$B74="Long length",'6a_Health_full_time'!H67&lt;&gt;0),BM$18&amp;", "&amp;BM$19&amp;", "&amp;$A74&amp;", "&amp;$B74&amp;", "&amp;$C74&amp;"; ","")</f>
        <v/>
      </c>
      <c r="BN74" s="1653" t="str">
        <f>IF(AND($P$8=1,$B74="Long length",'6a_Health_full_time'!I67&lt;&gt;0),BN$18&amp;", "&amp;BN$19&amp;", "&amp;$A74&amp;", "&amp;$B74&amp;", "&amp;$C74&amp;"; ","")</f>
        <v/>
      </c>
      <c r="BO74" s="131"/>
    </row>
    <row r="75" spans="1:67" x14ac:dyDescent="0.35">
      <c r="A75" t="s">
        <v>27909</v>
      </c>
      <c r="B75" t="s">
        <v>27888</v>
      </c>
      <c r="C75" t="s">
        <v>27891</v>
      </c>
      <c r="E75" s="118"/>
      <c r="G75" s="333" t="str">
        <f>IF(AND($D$8=1,'6a_Health_full_time'!D68&lt;0),G$18&amp;", "&amp;G$19&amp;", "&amp;$A75&amp;", "&amp;$B75&amp;", "&amp;$C75&amp;"; ","")</f>
        <v/>
      </c>
      <c r="H75" s="108" t="str">
        <f>IF(AND($D$8=1,'6a_Health_full_time'!E68&lt;0),H$18&amp;", "&amp;H$19&amp;", "&amp;$A75&amp;", "&amp;$B75&amp;", "&amp;$C75&amp;"; ","")</f>
        <v/>
      </c>
      <c r="I75" s="108" t="str">
        <f>IF(AND($D$8=1,'6a_Health_full_time'!F68&lt;0),I$18&amp;", "&amp;I$19&amp;", "&amp;$A75&amp;", "&amp;$B75&amp;", "&amp;$C75&amp;"; ","")</f>
        <v/>
      </c>
      <c r="J75" s="333" t="str">
        <f>IF(AND($D$8=1,'6a_Health_full_time'!G68&lt;0),J$18&amp;", "&amp;J$19&amp;", "&amp;$A75&amp;", "&amp;$B75&amp;", "&amp;$C75&amp;"; ","")</f>
        <v/>
      </c>
      <c r="K75" s="108" t="str">
        <f>IF(AND($D$8=1,'6a_Health_full_time'!H68&lt;0),K$18&amp;", "&amp;K$19&amp;", "&amp;$A75&amp;", "&amp;$B75&amp;", "&amp;$C75&amp;"; ","")</f>
        <v/>
      </c>
      <c r="L75" s="210" t="str">
        <f>IF(AND($D$8=1,'6a_Health_full_time'!I68&lt;0),L$18&amp;", "&amp;L$19&amp;", "&amp;$A75&amp;", "&amp;$B75&amp;", "&amp;$C75&amp;"; ","")</f>
        <v/>
      </c>
      <c r="N75" s="118"/>
      <c r="P75" s="333" t="str">
        <f>IF(AND($E$8=1,ABS('6a_Health_full_time'!D68)&lt;&gt;INT(ABS('6a_Health_full_time'!D68))),P$18&amp;", "&amp;P$19&amp;", "&amp;$A75&amp;", "&amp;$B75&amp;", "&amp;$C75&amp;"; ","")</f>
        <v/>
      </c>
      <c r="Q75" s="335" t="str">
        <f>IF(AND($E$8=1,ABS('6a_Health_full_time'!E68)&lt;&gt;INT(ABS('6a_Health_full_time'!E68))),Q$18&amp;", "&amp;Q$19&amp;", "&amp;$A75&amp;", "&amp;$B75&amp;", "&amp;$C75&amp;"; ","")</f>
        <v/>
      </c>
      <c r="R75" s="335" t="str">
        <f>IF(AND($E$8=1,ABS('6a_Health_full_time'!F68)&lt;&gt;INT(ABS('6a_Health_full_time'!F68))),R$18&amp;", "&amp;R$19&amp;", "&amp;$A75&amp;", "&amp;$B75&amp;", "&amp;$C75&amp;"; ","")</f>
        <v/>
      </c>
      <c r="S75" s="333" t="str">
        <f>IF(AND($E$8=1,ABS('6a_Health_full_time'!G68)&lt;&gt;INT(ABS('6a_Health_full_time'!G68))),S$18&amp;", "&amp;S$19&amp;", "&amp;$A75&amp;", "&amp;$B75&amp;", "&amp;$C75&amp;"; ","")</f>
        <v/>
      </c>
      <c r="T75" s="108" t="str">
        <f>IF(AND($E$8=1,ABS('6a_Health_full_time'!H68)&lt;&gt;INT(ABS('6a_Health_full_time'!H68))),T$18&amp;", "&amp;T$19&amp;", "&amp;$A75&amp;", "&amp;$B75&amp;", "&amp;$C75&amp;"; ","")</f>
        <v/>
      </c>
      <c r="U75" s="210" t="str">
        <f>IF(AND($E$8=1,ABS('6a_Health_full_time'!I68)&lt;&gt;INT(ABS('6a_Health_full_time'!I68))),U$18&amp;", "&amp;U$19&amp;", "&amp;$A75&amp;", "&amp;$B75&amp;", "&amp;$C75&amp;"; ","")</f>
        <v/>
      </c>
      <c r="W75" s="118"/>
      <c r="Y75" s="113"/>
      <c r="Z75" s="481"/>
      <c r="AA75" s="481"/>
      <c r="AB75" s="483"/>
      <c r="AC75" s="121"/>
      <c r="AD75" s="121"/>
      <c r="AF75" s="118"/>
      <c r="AJ75" t="s">
        <v>200</v>
      </c>
      <c r="AK75" t="s">
        <v>192</v>
      </c>
      <c r="AL75" t="s">
        <v>193</v>
      </c>
      <c r="AN75" t="s">
        <v>192</v>
      </c>
      <c r="AO75" t="s">
        <v>193</v>
      </c>
      <c r="AR75" s="118"/>
      <c r="AU75" s="562" t="str">
        <f>IF(AND($I$8=1,ABS(SUM('6a_Health_full_time'!D68:E68))&lt;ABS('6a_Health_full_time'!F68)),AU$18&amp;", "&amp;$A75&amp;", "&amp;$B75&amp;", "&amp;$C75&amp;"; ","")</f>
        <v/>
      </c>
      <c r="AX75" s="484" t="str">
        <f>IF(AND($I$8=1,ABS(SUM('6a_Health_full_time'!G68:H68))&lt;ABS('6a_Health_full_time'!I68)),AX$18&amp;", "&amp;$A75&amp;", "&amp;$B75&amp;", "&amp;$C75&amp;"; ","")</f>
        <v/>
      </c>
      <c r="AY75" s="17"/>
      <c r="BH75" s="130"/>
      <c r="BI75" s="333" t="str">
        <f>IF(AND($P$8=1,$B75="Long length",'6a_Health_full_time'!D68&lt;&gt;0),BI$18&amp;", "&amp;BI$19&amp;", "&amp;$A75&amp;", "&amp;$B75&amp;", "&amp;$C75&amp;"; ","")</f>
        <v/>
      </c>
      <c r="BJ75" s="108" t="str">
        <f>IF(AND($P$8=1,$B75="Long length",'6a_Health_full_time'!E68&lt;&gt;0),BJ$18&amp;", "&amp;BJ$19&amp;", "&amp;$A75&amp;", "&amp;$B75&amp;", "&amp;$C75&amp;"; ","")</f>
        <v/>
      </c>
      <c r="BK75" s="108" t="str">
        <f>IF(AND($P$8=1,$B75="Long length",'6a_Health_full_time'!F68&lt;&gt;0),BK$18&amp;", "&amp;BK$19&amp;", "&amp;$A75&amp;", "&amp;$B75&amp;", "&amp;$C75&amp;"; ","")</f>
        <v/>
      </c>
      <c r="BL75" s="333" t="str">
        <f>IF(AND($P$8=1,$B75="Long length",'6a_Health_full_time'!G68&lt;&gt;0),BL$18&amp;", "&amp;BL$19&amp;", "&amp;$A75&amp;", "&amp;$B75&amp;", "&amp;$C75&amp;"; ","")</f>
        <v/>
      </c>
      <c r="BM75" s="108" t="str">
        <f>IF(AND($P$8=1,$B75="Long length",'6a_Health_full_time'!H68&lt;&gt;0),BM$18&amp;", "&amp;BM$19&amp;", "&amp;$A75&amp;", "&amp;$B75&amp;", "&amp;$C75&amp;"; ","")</f>
        <v/>
      </c>
      <c r="BN75" s="108" t="str">
        <f>IF(AND($P$8=1,$B75="Long length",'6a_Health_full_time'!I68&lt;&gt;0),BN$18&amp;", "&amp;BN$19&amp;", "&amp;$A75&amp;", "&amp;$B75&amp;", "&amp;$C75&amp;"; ","")</f>
        <v/>
      </c>
      <c r="BO75" s="131"/>
    </row>
    <row r="76" spans="1:67" ht="13.15" x14ac:dyDescent="0.35">
      <c r="A76" t="s">
        <v>27909</v>
      </c>
      <c r="B76" t="s">
        <v>27892</v>
      </c>
      <c r="C76" t="s">
        <v>27889</v>
      </c>
      <c r="E76" s="118"/>
      <c r="G76" s="333" t="str">
        <f>IF(AND($D$8=1,'6a_Health_full_time'!D69&lt;0),G$18&amp;", "&amp;G$19&amp;", "&amp;$A76&amp;", "&amp;$B76&amp;", "&amp;$C76&amp;"; ","")</f>
        <v/>
      </c>
      <c r="H76" s="108" t="str">
        <f>IF(AND($D$8=1,'6a_Health_full_time'!E69&lt;0),H$18&amp;", "&amp;H$19&amp;", "&amp;$A76&amp;", "&amp;$B76&amp;", "&amp;$C76&amp;"; ","")</f>
        <v/>
      </c>
      <c r="I76" s="108" t="str">
        <f>IF(AND($D$8=1,'6a_Health_full_time'!F69&lt;0),I$18&amp;", "&amp;I$19&amp;", "&amp;$A76&amp;", "&amp;$B76&amp;", "&amp;$C76&amp;"; ","")</f>
        <v/>
      </c>
      <c r="J76" s="333" t="str">
        <f>IF(AND($D$8=1,'6a_Health_full_time'!G69&lt;0),J$18&amp;", "&amp;J$19&amp;", "&amp;$A76&amp;", "&amp;$B76&amp;", "&amp;$C76&amp;"; ","")</f>
        <v/>
      </c>
      <c r="K76" s="108" t="str">
        <f>IF(AND($D$8=1,'6a_Health_full_time'!H69&lt;0),K$18&amp;", "&amp;K$19&amp;", "&amp;$A76&amp;", "&amp;$B76&amp;", "&amp;$C76&amp;"; ","")</f>
        <v/>
      </c>
      <c r="L76" s="210" t="str">
        <f>IF(AND($D$8=1,'6a_Health_full_time'!I69&lt;0),L$18&amp;", "&amp;L$19&amp;", "&amp;$A76&amp;", "&amp;$B76&amp;", "&amp;$C76&amp;"; ","")</f>
        <v/>
      </c>
      <c r="N76" s="118"/>
      <c r="P76" s="333" t="str">
        <f>IF(AND($E$8=1,ABS('6a_Health_full_time'!D69)&lt;&gt;INT(ABS('6a_Health_full_time'!D69))),P$18&amp;", "&amp;P$19&amp;", "&amp;$A76&amp;", "&amp;$B76&amp;", "&amp;$C76&amp;"; ","")</f>
        <v/>
      </c>
      <c r="Q76" s="108" t="str">
        <f>IF(AND($E$8=1,ABS('6a_Health_full_time'!E69)&lt;&gt;INT(ABS('6a_Health_full_time'!E69))),Q$18&amp;", "&amp;Q$19&amp;", "&amp;$A76&amp;", "&amp;$B76&amp;", "&amp;$C76&amp;"; ","")</f>
        <v/>
      </c>
      <c r="R76" s="108" t="str">
        <f>IF(AND($E$8=1,ABS('6a_Health_full_time'!F69)&lt;&gt;INT(ABS('6a_Health_full_time'!F69))),R$18&amp;", "&amp;R$19&amp;", "&amp;$A76&amp;", "&amp;$B76&amp;", "&amp;$C76&amp;"; ","")</f>
        <v/>
      </c>
      <c r="S76" s="333" t="str">
        <f>IF(AND($E$8=1,ABS('6a_Health_full_time'!G69)&lt;&gt;INT(ABS('6a_Health_full_time'!G69))),S$18&amp;", "&amp;S$19&amp;", "&amp;$A76&amp;", "&amp;$B76&amp;", "&amp;$C76&amp;"; ","")</f>
        <v/>
      </c>
      <c r="T76" s="108" t="str">
        <f>IF(AND($E$8=1,ABS('6a_Health_full_time'!H69)&lt;&gt;INT(ABS('6a_Health_full_time'!H69))),T$18&amp;", "&amp;T$19&amp;", "&amp;$A76&amp;", "&amp;$B76&amp;", "&amp;$C76&amp;"; ","")</f>
        <v/>
      </c>
      <c r="U76" s="210" t="str">
        <f>IF(AND($E$8=1,ABS('6a_Health_full_time'!I69)&lt;&gt;INT(ABS('6a_Health_full_time'!I69))),U$18&amp;", "&amp;U$19&amp;", "&amp;$A76&amp;", "&amp;$B76&amp;", "&amp;$C76&amp;"; ","")</f>
        <v/>
      </c>
      <c r="W76" s="118"/>
      <c r="Y76" s="113"/>
      <c r="Z76" s="481"/>
      <c r="AA76" s="481"/>
      <c r="AB76" s="483"/>
      <c r="AC76" s="121"/>
      <c r="AD76" s="121"/>
      <c r="AF76" s="118"/>
      <c r="AG76" s="1375" t="s">
        <v>27842</v>
      </c>
      <c r="AH76" s="195"/>
      <c r="AI76" s="195"/>
      <c r="AJ76" t="s">
        <v>203</v>
      </c>
      <c r="AK76" s="1896" t="str">
        <f>$AK$52</f>
        <v/>
      </c>
      <c r="AL76" s="1892" t="str">
        <f>$AL$52</f>
        <v/>
      </c>
      <c r="AM76" s="1897"/>
      <c r="AN76" s="1896" t="str">
        <f>$AN$52</f>
        <v/>
      </c>
      <c r="AO76" s="1892" t="str">
        <f>$AO$52</f>
        <v/>
      </c>
      <c r="AP76" s="1884"/>
      <c r="AR76" s="118"/>
      <c r="AU76" s="562" t="str">
        <f>IF(AND($I$8=1,ABS(SUM('6a_Health_full_time'!D69:E69))&lt;ABS('6a_Health_full_time'!F69)),AU$18&amp;", "&amp;$A76&amp;", "&amp;$B76&amp;", "&amp;$C76&amp;"; ","")</f>
        <v/>
      </c>
      <c r="AX76" s="484" t="str">
        <f>IF(AND($I$8=1,ABS(SUM('6a_Health_full_time'!G69:H69))&lt;ABS('6a_Health_full_time'!I69)),AX$18&amp;", "&amp;$A76&amp;", "&amp;$B76&amp;", "&amp;$C76&amp;"; ","")</f>
        <v/>
      </c>
      <c r="AY76" s="17"/>
      <c r="BH76" s="130"/>
      <c r="BI76" s="333" t="str">
        <f>IF(AND($P$8=1,$B76="Long length",'6a_Health_full_time'!D69&lt;&gt;0),BI$18&amp;", "&amp;BI$19&amp;", "&amp;$A76&amp;", "&amp;$B76&amp;", "&amp;$C76&amp;"; ","")</f>
        <v/>
      </c>
      <c r="BJ76" s="108" t="str">
        <f>IF(AND($P$8=1,$B76="Long length",'6a_Health_full_time'!E69&lt;&gt;0),BJ$18&amp;", "&amp;BJ$19&amp;", "&amp;$A76&amp;", "&amp;$B76&amp;", "&amp;$C76&amp;"; ","")</f>
        <v/>
      </c>
      <c r="BK76" s="108" t="str">
        <f>IF(AND($P$8=1,$B76="Long length",'6a_Health_full_time'!F69&lt;&gt;0),BK$18&amp;", "&amp;BK$19&amp;", "&amp;$A76&amp;", "&amp;$B76&amp;", "&amp;$C76&amp;"; ","")</f>
        <v/>
      </c>
      <c r="BL76" s="333" t="str">
        <f>IF(AND($P$8=1,$B76="Long length",'6a_Health_full_time'!G69&lt;&gt;0),BL$18&amp;", "&amp;BL$19&amp;", "&amp;$A76&amp;", "&amp;$B76&amp;", "&amp;$C76&amp;"; ","")</f>
        <v/>
      </c>
      <c r="BM76" s="108" t="str">
        <f>IF(AND($P$8=1,$B76="Long length",'6a_Health_full_time'!H69&lt;&gt;0),BM$18&amp;", "&amp;BM$19&amp;", "&amp;$A76&amp;", "&amp;$B76&amp;", "&amp;$C76&amp;"; ","")</f>
        <v/>
      </c>
      <c r="BN76" s="108" t="str">
        <f>IF(AND($P$8=1,$B76="Long length",'6a_Health_full_time'!I69&lt;&gt;0),BN$18&amp;", "&amp;BN$19&amp;", "&amp;$A76&amp;", "&amp;$B76&amp;", "&amp;$C76&amp;"; ","")</f>
        <v/>
      </c>
      <c r="BO76" s="131"/>
    </row>
    <row r="77" spans="1:67" ht="13.15" x14ac:dyDescent="0.35">
      <c r="A77" t="s">
        <v>27909</v>
      </c>
      <c r="B77" t="s">
        <v>27892</v>
      </c>
      <c r="C77" t="s">
        <v>27891</v>
      </c>
      <c r="E77" s="118"/>
      <c r="G77" s="333" t="str">
        <f>IF(AND($D$8=1,'6a_Health_full_time'!D70&lt;0),G$18&amp;", "&amp;G$19&amp;", "&amp;$A77&amp;", "&amp;$B77&amp;", "&amp;$C77&amp;"; ","")</f>
        <v/>
      </c>
      <c r="H77" s="108" t="str">
        <f>IF(AND($D$8=1,'6a_Health_full_time'!E70&lt;0),H$18&amp;", "&amp;H$19&amp;", "&amp;$A77&amp;", "&amp;$B77&amp;", "&amp;$C77&amp;"; ","")</f>
        <v/>
      </c>
      <c r="I77" s="108" t="str">
        <f>IF(AND($D$8=1,'6a_Health_full_time'!F70&lt;0),I$18&amp;", "&amp;I$19&amp;", "&amp;$A77&amp;", "&amp;$B77&amp;", "&amp;$C77&amp;"; ","")</f>
        <v/>
      </c>
      <c r="J77" s="333" t="str">
        <f>IF(AND($D$8=1,'6a_Health_full_time'!G70&lt;0),J$18&amp;", "&amp;J$19&amp;", "&amp;$A77&amp;", "&amp;$B77&amp;", "&amp;$C77&amp;"; ","")</f>
        <v/>
      </c>
      <c r="K77" s="108" t="str">
        <f>IF(AND($D$8=1,'6a_Health_full_time'!H70&lt;0),K$18&amp;", "&amp;K$19&amp;", "&amp;$A77&amp;", "&amp;$B77&amp;", "&amp;$C77&amp;"; ","")</f>
        <v/>
      </c>
      <c r="L77" s="210" t="str">
        <f>IF(AND($D$8=1,'6a_Health_full_time'!I70&lt;0),L$18&amp;", "&amp;L$19&amp;", "&amp;$A77&amp;", "&amp;$B77&amp;", "&amp;$C77&amp;"; ","")</f>
        <v/>
      </c>
      <c r="N77" s="118"/>
      <c r="P77" s="333" t="str">
        <f>IF(AND($E$8=1,ABS('6a_Health_full_time'!D70)&lt;&gt;INT(ABS('6a_Health_full_time'!D70))),P$18&amp;", "&amp;P$19&amp;", "&amp;$A77&amp;", "&amp;$B77&amp;", "&amp;$C77&amp;"; ","")</f>
        <v/>
      </c>
      <c r="Q77" s="108" t="str">
        <f>IF(AND($E$8=1,ABS('6a_Health_full_time'!E70)&lt;&gt;INT(ABS('6a_Health_full_time'!E70))),Q$18&amp;", "&amp;Q$19&amp;", "&amp;$A77&amp;", "&amp;$B77&amp;", "&amp;$C77&amp;"; ","")</f>
        <v/>
      </c>
      <c r="R77" s="108" t="str">
        <f>IF(AND($E$8=1,ABS('6a_Health_full_time'!F70)&lt;&gt;INT(ABS('6a_Health_full_time'!F70))),R$18&amp;", "&amp;R$19&amp;", "&amp;$A77&amp;", "&amp;$B77&amp;", "&amp;$C77&amp;"; ","")</f>
        <v/>
      </c>
      <c r="S77" s="333" t="str">
        <f>IF(AND($E$8=1,ABS('6a_Health_full_time'!G70)&lt;&gt;INT(ABS('6a_Health_full_time'!G70))),S$18&amp;", "&amp;S$19&amp;", "&amp;$A77&amp;", "&amp;$B77&amp;", "&amp;$C77&amp;"; ","")</f>
        <v/>
      </c>
      <c r="T77" s="108" t="str">
        <f>IF(AND($E$8=1,ABS('6a_Health_full_time'!H70)&lt;&gt;INT(ABS('6a_Health_full_time'!H70))),T$18&amp;", "&amp;T$19&amp;", "&amp;$A77&amp;", "&amp;$B77&amp;", "&amp;$C77&amp;"; ","")</f>
        <v/>
      </c>
      <c r="U77" s="210" t="str">
        <f>IF(AND($E$8=1,ABS('6a_Health_full_time'!I70)&lt;&gt;INT(ABS('6a_Health_full_time'!I70))),U$18&amp;", "&amp;U$19&amp;", "&amp;$A77&amp;", "&amp;$B77&amp;", "&amp;$C77&amp;"; ","")</f>
        <v/>
      </c>
      <c r="W77" s="118"/>
      <c r="Y77" s="113"/>
      <c r="Z77" s="481"/>
      <c r="AA77" s="481"/>
      <c r="AB77" s="483"/>
      <c r="AC77" s="121"/>
      <c r="AD77" s="121"/>
      <c r="AF77" s="118"/>
      <c r="AG77" s="519" t="s">
        <v>27842</v>
      </c>
      <c r="AH77" s="195"/>
      <c r="AI77" s="195"/>
      <c r="AJ77" t="s">
        <v>203</v>
      </c>
      <c r="AK77" s="485"/>
      <c r="AL77" s="121"/>
      <c r="AM77" s="121"/>
      <c r="AN77" s="483"/>
      <c r="AO77" s="121"/>
      <c r="AP77" s="337"/>
      <c r="AR77" s="118"/>
      <c r="AU77" s="562" t="str">
        <f>IF(AND($I$8=1,ABS(SUM('6a_Health_full_time'!D70:E70))&lt;ABS('6a_Health_full_time'!F70)),AU$18&amp;", "&amp;$A77&amp;", "&amp;$B77&amp;", "&amp;$C77&amp;"; ","")</f>
        <v/>
      </c>
      <c r="AX77" s="484" t="str">
        <f>IF(AND($I$8=1,ABS(SUM('6a_Health_full_time'!G70:H70))&lt;ABS('6a_Health_full_time'!I70)),AX$18&amp;", "&amp;$A77&amp;", "&amp;$B77&amp;", "&amp;$C77&amp;"; ","")</f>
        <v/>
      </c>
      <c r="AY77" s="17"/>
      <c r="BH77" s="130"/>
      <c r="BI77" s="333" t="str">
        <f>IF(AND($P$8=1,$B77="Long length",'6a_Health_full_time'!D70&lt;&gt;0),BI$18&amp;", "&amp;BI$19&amp;", "&amp;$A77&amp;", "&amp;$B77&amp;", "&amp;$C77&amp;"; ","")</f>
        <v/>
      </c>
      <c r="BJ77" s="108" t="str">
        <f>IF(AND($P$8=1,$B77="Long length",'6a_Health_full_time'!E70&lt;&gt;0),BJ$18&amp;", "&amp;BJ$19&amp;", "&amp;$A77&amp;", "&amp;$B77&amp;", "&amp;$C77&amp;"; ","")</f>
        <v/>
      </c>
      <c r="BK77" s="108" t="str">
        <f>IF(AND($P$8=1,$B77="Long length",'6a_Health_full_time'!F70&lt;&gt;0),BK$18&amp;", "&amp;BK$19&amp;", "&amp;$A77&amp;", "&amp;$B77&amp;", "&amp;$C77&amp;"; ","")</f>
        <v/>
      </c>
      <c r="BL77" s="333" t="str">
        <f>IF(AND($P$8=1,$B77="Long length",'6a_Health_full_time'!G70&lt;&gt;0),BL$18&amp;", "&amp;BL$19&amp;", "&amp;$A77&amp;", "&amp;$B77&amp;", "&amp;$C77&amp;"; ","")</f>
        <v/>
      </c>
      <c r="BM77" s="108" t="str">
        <f>IF(AND($P$8=1,$B77="Long length",'6a_Health_full_time'!H70&lt;&gt;0),BM$18&amp;", "&amp;BM$19&amp;", "&amp;$A77&amp;", "&amp;$B77&amp;", "&amp;$C77&amp;"; ","")</f>
        <v/>
      </c>
      <c r="BN77" s="108" t="str">
        <f>IF(AND($P$8=1,$B77="Long length",'6a_Health_full_time'!I70&lt;&gt;0),BN$18&amp;", "&amp;BN$19&amp;", "&amp;$A77&amp;", "&amp;$B77&amp;", "&amp;$C77&amp;"; ","")</f>
        <v/>
      </c>
      <c r="BO77" s="131"/>
    </row>
    <row r="78" spans="1:67" ht="13.15" x14ac:dyDescent="0.35">
      <c r="A78" t="s">
        <v>27910</v>
      </c>
      <c r="B78" t="s">
        <v>27888</v>
      </c>
      <c r="C78" t="s">
        <v>27889</v>
      </c>
      <c r="E78" s="118"/>
      <c r="G78" s="1879" t="str">
        <f>IF(AND($D$8=1,'6a_Health_full_time'!D71&lt;0),G$18&amp;", "&amp;G$19&amp;", "&amp;$A78&amp;", "&amp;$B78&amp;", "&amp;$C78&amp;"; ","")</f>
        <v/>
      </c>
      <c r="H78" s="1653" t="str">
        <f>IF(AND($D$8=1,'6a_Health_full_time'!E71&lt;0),H$18&amp;", "&amp;H$19&amp;", "&amp;$A78&amp;", "&amp;$B78&amp;", "&amp;$C78&amp;"; ","")</f>
        <v/>
      </c>
      <c r="I78" s="1653" t="str">
        <f>IF(AND($D$8=1,'6a_Health_full_time'!F71&lt;0),I$18&amp;", "&amp;I$19&amp;", "&amp;$A78&amp;", "&amp;$B78&amp;", "&amp;$C78&amp;"; ","")</f>
        <v/>
      </c>
      <c r="J78" s="1879" t="str">
        <f>IF(AND($D$8=1,'6a_Health_full_time'!G71&lt;0),J$18&amp;", "&amp;J$19&amp;", "&amp;$A78&amp;", "&amp;$B78&amp;", "&amp;$C78&amp;"; ","")</f>
        <v/>
      </c>
      <c r="K78" s="1653" t="str">
        <f>IF(AND($D$8=1,'6a_Health_full_time'!H71&lt;0),K$18&amp;", "&amp;K$19&amp;", "&amp;$A78&amp;", "&amp;$B78&amp;", "&amp;$C78&amp;"; ","")</f>
        <v/>
      </c>
      <c r="L78" s="2191" t="str">
        <f>IF(AND($D$8=1,'6a_Health_full_time'!I71&lt;0),L$18&amp;", "&amp;L$19&amp;", "&amp;$A78&amp;", "&amp;$B78&amp;", "&amp;$C78&amp;"; ","")</f>
        <v/>
      </c>
      <c r="N78" s="118"/>
      <c r="P78" s="1879" t="str">
        <f>IF(AND($E$8=1,ABS('6a_Health_full_time'!D71)&lt;&gt;INT(ABS('6a_Health_full_time'!D71))),P$18&amp;", "&amp;P$19&amp;", "&amp;$A78&amp;", "&amp;$B78&amp;", "&amp;$C78&amp;"; ","")</f>
        <v/>
      </c>
      <c r="Q78" s="1653" t="str">
        <f>IF(AND($E$8=1,ABS('6a_Health_full_time'!E71)&lt;&gt;INT(ABS('6a_Health_full_time'!E71))),Q$18&amp;", "&amp;Q$19&amp;", "&amp;$A78&amp;", "&amp;$B78&amp;", "&amp;$C78&amp;"; ","")</f>
        <v/>
      </c>
      <c r="R78" s="1653" t="str">
        <f>IF(AND($E$8=1,ABS('6a_Health_full_time'!F71)&lt;&gt;INT(ABS('6a_Health_full_time'!F71))),R$18&amp;", "&amp;R$19&amp;", "&amp;$A78&amp;", "&amp;$B78&amp;", "&amp;$C78&amp;"; ","")</f>
        <v/>
      </c>
      <c r="S78" s="1879" t="str">
        <f>IF(AND($E$8=1,ABS('6a_Health_full_time'!G71)&lt;&gt;INT(ABS('6a_Health_full_time'!G71))),S$18&amp;", "&amp;S$19&amp;", "&amp;$A78&amp;", "&amp;$B78&amp;", "&amp;$C78&amp;"; ","")</f>
        <v/>
      </c>
      <c r="T78" s="1653" t="str">
        <f>IF(AND($E$8=1,ABS('6a_Health_full_time'!H71)&lt;&gt;INT(ABS('6a_Health_full_time'!H71))),T$18&amp;", "&amp;T$19&amp;", "&amp;$A78&amp;", "&amp;$B78&amp;", "&amp;$C78&amp;"; ","")</f>
        <v/>
      </c>
      <c r="U78" s="2191" t="str">
        <f>IF(AND($E$8=1,ABS('6a_Health_full_time'!I71)&lt;&gt;INT(ABS('6a_Health_full_time'!I71))),U$18&amp;", "&amp;U$19&amp;", "&amp;$A78&amp;", "&amp;$B78&amp;", "&amp;$C78&amp;"; ","")</f>
        <v/>
      </c>
      <c r="W78" s="118"/>
      <c r="Y78" s="1881"/>
      <c r="Z78" s="1882"/>
      <c r="AA78" s="1882"/>
      <c r="AB78" s="1883"/>
      <c r="AC78" s="1884"/>
      <c r="AD78" s="1884"/>
      <c r="AF78" s="118"/>
      <c r="AG78" s="519" t="s">
        <v>27842</v>
      </c>
      <c r="AH78" s="195"/>
      <c r="AI78" s="195"/>
      <c r="AJ78" t="s">
        <v>203</v>
      </c>
      <c r="AK78" s="484" t="str">
        <f>$AK$54</f>
        <v/>
      </c>
      <c r="AL78" s="120" t="str">
        <f>$AL$54</f>
        <v/>
      </c>
      <c r="AM78" s="121"/>
      <c r="AN78" s="484" t="str">
        <f>$AN$54</f>
        <v/>
      </c>
      <c r="AO78" s="120" t="str">
        <f>$AO$54</f>
        <v/>
      </c>
      <c r="AP78" s="121"/>
      <c r="AR78" s="118"/>
      <c r="AU78" s="1886" t="str">
        <f>IF(AND($I$8=1,ABS(SUM('6a_Health_full_time'!D71:E71))&lt;ABS('6a_Health_full_time'!F71)),AU$18&amp;", "&amp;$A78&amp;", "&amp;$B78&amp;", "&amp;$C78&amp;"; ","")</f>
        <v/>
      </c>
      <c r="AX78" s="1896" t="str">
        <f>IF(AND($I$8=1,ABS(SUM('6a_Health_full_time'!G71:H71))&lt;ABS('6a_Health_full_time'!I71)),AX$18&amp;", "&amp;$A78&amp;", "&amp;$B78&amp;", "&amp;$C78&amp;"; ","")</f>
        <v/>
      </c>
      <c r="AY78" s="17"/>
      <c r="BH78" s="130"/>
      <c r="BI78" s="1879" t="str">
        <f>IF(AND($P$8=1,$B78="Long length",'6a_Health_full_time'!D71&lt;&gt;0),BI$18&amp;", "&amp;BI$19&amp;", "&amp;$A78&amp;", "&amp;$B78&amp;", "&amp;$C78&amp;"; ","")</f>
        <v/>
      </c>
      <c r="BJ78" s="1653" t="str">
        <f>IF(AND($P$8=1,$B78="Long length",'6a_Health_full_time'!E71&lt;&gt;0),BJ$18&amp;", "&amp;BJ$19&amp;", "&amp;$A78&amp;", "&amp;$B78&amp;", "&amp;$C78&amp;"; ","")</f>
        <v/>
      </c>
      <c r="BK78" s="1653" t="str">
        <f>IF(AND($P$8=1,$B78="Long length",'6a_Health_full_time'!F71&lt;&gt;0),BK$18&amp;", "&amp;BK$19&amp;", "&amp;$A78&amp;", "&amp;$B78&amp;", "&amp;$C78&amp;"; ","")</f>
        <v/>
      </c>
      <c r="BL78" s="1879" t="str">
        <f>IF(AND($P$8=1,$B78="Long length",'6a_Health_full_time'!G71&lt;&gt;0),BL$18&amp;", "&amp;BL$19&amp;", "&amp;$A78&amp;", "&amp;$B78&amp;", "&amp;$C78&amp;"; ","")</f>
        <v/>
      </c>
      <c r="BM78" s="1653" t="str">
        <f>IF(AND($P$8=1,$B78="Long length",'6a_Health_full_time'!H71&lt;&gt;0),BM$18&amp;", "&amp;BM$19&amp;", "&amp;$A78&amp;", "&amp;$B78&amp;", "&amp;$C78&amp;"; ","")</f>
        <v/>
      </c>
      <c r="BN78" s="1653" t="str">
        <f>IF(AND($P$8=1,$B78="Long length",'6a_Health_full_time'!I71&lt;&gt;0),BN$18&amp;", "&amp;BN$19&amp;", "&amp;$A78&amp;", "&amp;$B78&amp;", "&amp;$C78&amp;"; ","")</f>
        <v/>
      </c>
      <c r="BO78" s="131"/>
    </row>
    <row r="79" spans="1:67" ht="13.15" x14ac:dyDescent="0.35">
      <c r="A79" t="s">
        <v>27910</v>
      </c>
      <c r="B79" t="s">
        <v>27888</v>
      </c>
      <c r="C79" t="s">
        <v>27891</v>
      </c>
      <c r="E79" s="118"/>
      <c r="G79" s="333" t="str">
        <f>IF(AND($D$8=1,'6a_Health_full_time'!D72&lt;0),G$18&amp;", "&amp;G$19&amp;", "&amp;$A79&amp;", "&amp;$B79&amp;", "&amp;$C79&amp;"; ","")</f>
        <v/>
      </c>
      <c r="H79" s="108" t="str">
        <f>IF(AND($D$8=1,'6a_Health_full_time'!E72&lt;0),H$18&amp;", "&amp;H$19&amp;", "&amp;$A79&amp;", "&amp;$B79&amp;", "&amp;$C79&amp;"; ","")</f>
        <v/>
      </c>
      <c r="I79" s="108" t="str">
        <f>IF(AND($D$8=1,'6a_Health_full_time'!F72&lt;0),I$18&amp;", "&amp;I$19&amp;", "&amp;$A79&amp;", "&amp;$B79&amp;", "&amp;$C79&amp;"; ","")</f>
        <v/>
      </c>
      <c r="J79" s="333" t="str">
        <f>IF(AND($D$8=1,'6a_Health_full_time'!G72&lt;0),J$18&amp;", "&amp;J$19&amp;", "&amp;$A79&amp;", "&amp;$B79&amp;", "&amp;$C79&amp;"; ","")</f>
        <v/>
      </c>
      <c r="K79" s="108" t="str">
        <f>IF(AND($D$8=1,'6a_Health_full_time'!H72&lt;0),K$18&amp;", "&amp;K$19&amp;", "&amp;$A79&amp;", "&amp;$B79&amp;", "&amp;$C79&amp;"; ","")</f>
        <v/>
      </c>
      <c r="L79" s="210" t="str">
        <f>IF(AND($D$8=1,'6a_Health_full_time'!I72&lt;0),L$18&amp;", "&amp;L$19&amp;", "&amp;$A79&amp;", "&amp;$B79&amp;", "&amp;$C79&amp;"; ","")</f>
        <v/>
      </c>
      <c r="N79" s="118"/>
      <c r="P79" s="333" t="str">
        <f>IF(AND($E$8=1,ABS('6a_Health_full_time'!D72)&lt;&gt;INT(ABS('6a_Health_full_time'!D72))),P$18&amp;", "&amp;P$19&amp;", "&amp;$A79&amp;", "&amp;$B79&amp;", "&amp;$C79&amp;"; ","")</f>
        <v/>
      </c>
      <c r="Q79" s="335" t="str">
        <f>IF(AND($E$8=1,ABS('6a_Health_full_time'!E72)&lt;&gt;INT(ABS('6a_Health_full_time'!E72))),Q$18&amp;", "&amp;Q$19&amp;", "&amp;$A79&amp;", "&amp;$B79&amp;", "&amp;$C79&amp;"; ","")</f>
        <v/>
      </c>
      <c r="R79" s="335" t="str">
        <f>IF(AND($E$8=1,ABS('6a_Health_full_time'!F72)&lt;&gt;INT(ABS('6a_Health_full_time'!F72))),R$18&amp;", "&amp;R$19&amp;", "&amp;$A79&amp;", "&amp;$B79&amp;", "&amp;$C79&amp;"; ","")</f>
        <v/>
      </c>
      <c r="S79" s="333" t="str">
        <f>IF(AND($E$8=1,ABS('6a_Health_full_time'!G72)&lt;&gt;INT(ABS('6a_Health_full_time'!G72))),S$18&amp;", "&amp;S$19&amp;", "&amp;$A79&amp;", "&amp;$B79&amp;", "&amp;$C79&amp;"; ","")</f>
        <v/>
      </c>
      <c r="T79" s="108" t="str">
        <f>IF(AND($E$8=1,ABS('6a_Health_full_time'!H72)&lt;&gt;INT(ABS('6a_Health_full_time'!H72))),T$18&amp;", "&amp;T$19&amp;", "&amp;$A79&amp;", "&amp;$B79&amp;", "&amp;$C79&amp;"; ","")</f>
        <v/>
      </c>
      <c r="U79" s="210" t="str">
        <f>IF(AND($E$8=1,ABS('6a_Health_full_time'!I72)&lt;&gt;INT(ABS('6a_Health_full_time'!I72))),U$18&amp;", "&amp;U$19&amp;", "&amp;$A79&amp;", "&amp;$B79&amp;", "&amp;$C79&amp;"; ","")</f>
        <v/>
      </c>
      <c r="W79" s="118"/>
      <c r="Y79" s="113"/>
      <c r="Z79" s="481"/>
      <c r="AA79" s="481"/>
      <c r="AB79" s="483"/>
      <c r="AC79" s="121"/>
      <c r="AD79" s="121"/>
      <c r="AF79" s="118"/>
      <c r="AG79" s="519" t="s">
        <v>27842</v>
      </c>
      <c r="AJ79" t="s">
        <v>203</v>
      </c>
      <c r="AK79" s="483"/>
      <c r="AL79" s="121"/>
      <c r="AM79" s="121"/>
      <c r="AN79" s="483"/>
      <c r="AO79" s="121"/>
      <c r="AP79" s="121"/>
      <c r="AR79" s="118"/>
      <c r="AU79" s="562" t="str">
        <f>IF(AND($I$8=1,ABS(SUM('6a_Health_full_time'!D72:E72))&lt;ABS('6a_Health_full_time'!F72)),AU$18&amp;", "&amp;$A79&amp;", "&amp;$B79&amp;", "&amp;$C79&amp;"; ","")</f>
        <v/>
      </c>
      <c r="AX79" s="484" t="str">
        <f>IF(AND($I$8=1,ABS(SUM('6a_Health_full_time'!G72:H72))&lt;ABS('6a_Health_full_time'!I72)),AX$18&amp;", "&amp;$A79&amp;", "&amp;$B79&amp;", "&amp;$C79&amp;"; ","")</f>
        <v/>
      </c>
      <c r="AY79" s="17"/>
      <c r="BH79" s="130"/>
      <c r="BI79" s="333" t="str">
        <f>IF(AND($P$8=1,$B79="Long length",'6a_Health_full_time'!D72&lt;&gt;0),BI$18&amp;", "&amp;BI$19&amp;", "&amp;$A79&amp;", "&amp;$B79&amp;", "&amp;$C79&amp;"; ","")</f>
        <v/>
      </c>
      <c r="BJ79" s="335" t="str">
        <f>IF(AND($P$8=1,$B79="Long length",'6a_Health_full_time'!E72&lt;&gt;0),BJ$18&amp;", "&amp;BJ$19&amp;", "&amp;$A79&amp;", "&amp;$B79&amp;", "&amp;$C79&amp;"; ","")</f>
        <v/>
      </c>
      <c r="BK79" s="335" t="str">
        <f>IF(AND($P$8=1,$B79="Long length",'6a_Health_full_time'!F72&lt;&gt;0),BK$18&amp;", "&amp;BK$19&amp;", "&amp;$A79&amp;", "&amp;$B79&amp;", "&amp;$C79&amp;"; ","")</f>
        <v/>
      </c>
      <c r="BL79" s="333" t="str">
        <f>IF(AND($P$8=1,$B79="Long length",'6a_Health_full_time'!G72&lt;&gt;0),BL$18&amp;", "&amp;BL$19&amp;", "&amp;$A79&amp;", "&amp;$B79&amp;", "&amp;$C79&amp;"; ","")</f>
        <v/>
      </c>
      <c r="BM79" s="335" t="str">
        <f>IF(AND($P$8=1,$B79="Long length",'6a_Health_full_time'!H72&lt;&gt;0),BM$18&amp;", "&amp;BM$19&amp;", "&amp;$A79&amp;", "&amp;$B79&amp;", "&amp;$C79&amp;"; ","")</f>
        <v/>
      </c>
      <c r="BN79" s="335" t="str">
        <f>IF(AND($P$8=1,$B79="Long length",'6a_Health_full_time'!I72&lt;&gt;0),BN$18&amp;", "&amp;BN$19&amp;", "&amp;$A79&amp;", "&amp;$B79&amp;", "&amp;$C79&amp;"; ","")</f>
        <v/>
      </c>
      <c r="BO79" s="131"/>
    </row>
    <row r="80" spans="1:67" ht="13.15" x14ac:dyDescent="0.35">
      <c r="A80" t="s">
        <v>27910</v>
      </c>
      <c r="B80" t="s">
        <v>27892</v>
      </c>
      <c r="C80" t="s">
        <v>27889</v>
      </c>
      <c r="E80" s="118"/>
      <c r="G80" s="333" t="str">
        <f>IF(AND($D$8=1,'6a_Health_full_time'!D73&lt;0),G$18&amp;", "&amp;G$19&amp;", "&amp;$A80&amp;", "&amp;$B80&amp;", "&amp;$C80&amp;"; ","")</f>
        <v/>
      </c>
      <c r="H80" s="108" t="str">
        <f>IF(AND($D$8=1,'6a_Health_full_time'!E73&lt;0),H$18&amp;", "&amp;H$19&amp;", "&amp;$A80&amp;", "&amp;$B80&amp;", "&amp;$C80&amp;"; ","")</f>
        <v/>
      </c>
      <c r="I80" s="108" t="str">
        <f>IF(AND($D$8=1,'6a_Health_full_time'!F73&lt;0),I$18&amp;", "&amp;I$19&amp;", "&amp;$A80&amp;", "&amp;$B80&amp;", "&amp;$C80&amp;"; ","")</f>
        <v/>
      </c>
      <c r="J80" s="333" t="str">
        <f>IF(AND($D$8=1,'6a_Health_full_time'!G73&lt;0),J$18&amp;", "&amp;J$19&amp;", "&amp;$A80&amp;", "&amp;$B80&amp;", "&amp;$C80&amp;"; ","")</f>
        <v/>
      </c>
      <c r="K80" s="108" t="str">
        <f>IF(AND($D$8=1,'6a_Health_full_time'!H73&lt;0),K$18&amp;", "&amp;K$19&amp;", "&amp;$A80&amp;", "&amp;$B80&amp;", "&amp;$C80&amp;"; ","")</f>
        <v/>
      </c>
      <c r="L80" s="210" t="str">
        <f>IF(AND($D$8=1,'6a_Health_full_time'!I73&lt;0),L$18&amp;", "&amp;L$19&amp;", "&amp;$A80&amp;", "&amp;$B80&amp;", "&amp;$C80&amp;"; ","")</f>
        <v/>
      </c>
      <c r="N80" s="118"/>
      <c r="P80" s="333" t="str">
        <f>IF(AND($E$8=1,ABS('6a_Health_full_time'!D73)&lt;&gt;INT(ABS('6a_Health_full_time'!D73))),P$18&amp;", "&amp;P$19&amp;", "&amp;$A80&amp;", "&amp;$B80&amp;", "&amp;$C80&amp;"; ","")</f>
        <v/>
      </c>
      <c r="Q80" s="108" t="str">
        <f>IF(AND($E$8=1,ABS('6a_Health_full_time'!E73)&lt;&gt;INT(ABS('6a_Health_full_time'!E73))),Q$18&amp;", "&amp;Q$19&amp;", "&amp;$A80&amp;", "&amp;$B80&amp;", "&amp;$C80&amp;"; ","")</f>
        <v/>
      </c>
      <c r="R80" s="108" t="str">
        <f>IF(AND($E$8=1,ABS('6a_Health_full_time'!F73)&lt;&gt;INT(ABS('6a_Health_full_time'!F73))),R$18&amp;", "&amp;R$19&amp;", "&amp;$A80&amp;", "&amp;$B80&amp;", "&amp;$C80&amp;"; ","")</f>
        <v/>
      </c>
      <c r="S80" s="333" t="str">
        <f>IF(AND($E$8=1,ABS('6a_Health_full_time'!G73)&lt;&gt;INT(ABS('6a_Health_full_time'!G73))),S$18&amp;", "&amp;S$19&amp;", "&amp;$A80&amp;", "&amp;$B80&amp;", "&amp;$C80&amp;"; ","")</f>
        <v/>
      </c>
      <c r="T80" s="108" t="str">
        <f>IF(AND($E$8=1,ABS('6a_Health_full_time'!H73)&lt;&gt;INT(ABS('6a_Health_full_time'!H73))),T$18&amp;", "&amp;T$19&amp;", "&amp;$A80&amp;", "&amp;$B80&amp;", "&amp;$C80&amp;"; ","")</f>
        <v/>
      </c>
      <c r="U80" s="210" t="str">
        <f>IF(AND($E$8=1,ABS('6a_Health_full_time'!I73)&lt;&gt;INT(ABS('6a_Health_full_time'!I73))),U$18&amp;", "&amp;U$19&amp;", "&amp;$A80&amp;", "&amp;$B80&amp;", "&amp;$C80&amp;"; ","")</f>
        <v/>
      </c>
      <c r="W80" s="118"/>
      <c r="Y80" s="113"/>
      <c r="Z80" s="481"/>
      <c r="AA80" s="481"/>
      <c r="AB80" s="485"/>
      <c r="AC80" s="121"/>
      <c r="AD80" s="121"/>
      <c r="AF80" s="118"/>
      <c r="AG80" s="1375" t="s">
        <v>27844</v>
      </c>
      <c r="AJ80" t="s">
        <v>203</v>
      </c>
      <c r="AK80" s="1896" t="str">
        <f>$AK$52</f>
        <v/>
      </c>
      <c r="AL80" s="1892" t="str">
        <f>$AL$52</f>
        <v/>
      </c>
      <c r="AM80" s="1884"/>
      <c r="AN80" s="1896" t="str">
        <f>$AN$52</f>
        <v/>
      </c>
      <c r="AO80" s="1892" t="str">
        <f>$AO$52</f>
        <v/>
      </c>
      <c r="AP80" s="1884"/>
      <c r="AR80" s="118"/>
      <c r="AU80" s="562" t="str">
        <f>IF(AND($I$8=1,ABS(SUM('6a_Health_full_time'!D73:E73))&lt;ABS('6a_Health_full_time'!F73)),AU$18&amp;", "&amp;$A80&amp;", "&amp;$B80&amp;", "&amp;$C80&amp;"; ","")</f>
        <v/>
      </c>
      <c r="AX80" s="484" t="str">
        <f>IF(AND($I$8=1,ABS(SUM('6a_Health_full_time'!G73:H73))&lt;ABS('6a_Health_full_time'!I73)),AX$18&amp;", "&amp;$A80&amp;", "&amp;$B80&amp;", "&amp;$C80&amp;"; ","")</f>
        <v/>
      </c>
      <c r="AY80" s="17"/>
      <c r="BH80" s="130"/>
      <c r="BI80" s="333" t="str">
        <f>IF(AND($P$8=1,$B80="Long length",'6a_Health_full_time'!D73&lt;&gt;0),BI$18&amp;", "&amp;BI$19&amp;", "&amp;$A80&amp;", "&amp;$B80&amp;", "&amp;$C80&amp;"; ","")</f>
        <v/>
      </c>
      <c r="BJ80" s="108" t="str">
        <f>IF(AND($P$8=1,$B80="Long length",'6a_Health_full_time'!E73&lt;&gt;0),BJ$18&amp;", "&amp;BJ$19&amp;", "&amp;$A80&amp;", "&amp;$B80&amp;", "&amp;$C80&amp;"; ","")</f>
        <v/>
      </c>
      <c r="BK80" s="108" t="str">
        <f>IF(AND($P$8=1,$B80="Long length",'6a_Health_full_time'!F73&lt;&gt;0),BK$18&amp;", "&amp;BK$19&amp;", "&amp;$A80&amp;", "&amp;$B80&amp;", "&amp;$C80&amp;"; ","")</f>
        <v/>
      </c>
      <c r="BL80" s="333" t="str">
        <f>IF(AND($P$8=1,$B80="Long length",'6a_Health_full_time'!G73&lt;&gt;0),BL$18&amp;", "&amp;BL$19&amp;", "&amp;$A80&amp;", "&amp;$B80&amp;", "&amp;$C80&amp;"; ","")</f>
        <v/>
      </c>
      <c r="BM80" s="108" t="str">
        <f>IF(AND($P$8=1,$B80="Long length",'6a_Health_full_time'!H73&lt;&gt;0),BM$18&amp;", "&amp;BM$19&amp;", "&amp;$A80&amp;", "&amp;$B80&amp;", "&amp;$C80&amp;"; ","")</f>
        <v/>
      </c>
      <c r="BN80" s="108" t="str">
        <f>IF(AND($P$8=1,$B80="Long length",'6a_Health_full_time'!I73&lt;&gt;0),BN$18&amp;", "&amp;BN$19&amp;", "&amp;$A80&amp;", "&amp;$B80&amp;", "&amp;$C80&amp;"; ","")</f>
        <v/>
      </c>
      <c r="BO80" s="131"/>
    </row>
    <row r="81" spans="1:67" ht="13.15" x14ac:dyDescent="0.35">
      <c r="A81" t="s">
        <v>27910</v>
      </c>
      <c r="B81" t="s">
        <v>27892</v>
      </c>
      <c r="C81" t="s">
        <v>27891</v>
      </c>
      <c r="E81" s="118"/>
      <c r="G81" s="333" t="str">
        <f>IF(AND($D$8=1,'6a_Health_full_time'!D74&lt;0),G$18&amp;", "&amp;G$19&amp;", "&amp;$A81&amp;", "&amp;$B81&amp;", "&amp;$C81&amp;"; ","")</f>
        <v/>
      </c>
      <c r="H81" s="108" t="str">
        <f>IF(AND($D$8=1,'6a_Health_full_time'!E74&lt;0),H$18&amp;", "&amp;H$19&amp;", "&amp;$A81&amp;", "&amp;$B81&amp;", "&amp;$C81&amp;"; ","")</f>
        <v/>
      </c>
      <c r="I81" s="108" t="str">
        <f>IF(AND($D$8=1,'6a_Health_full_time'!F74&lt;0),I$18&amp;", "&amp;I$19&amp;", "&amp;$A81&amp;", "&amp;$B81&amp;", "&amp;$C81&amp;"; ","")</f>
        <v/>
      </c>
      <c r="J81" s="333" t="str">
        <f>IF(AND($D$8=1,'6a_Health_full_time'!G74&lt;0),J$18&amp;", "&amp;J$19&amp;", "&amp;$A81&amp;", "&amp;$B81&amp;", "&amp;$C81&amp;"; ","")</f>
        <v/>
      </c>
      <c r="K81" s="108" t="str">
        <f>IF(AND($D$8=1,'6a_Health_full_time'!H74&lt;0),K$18&amp;", "&amp;K$19&amp;", "&amp;$A81&amp;", "&amp;$B81&amp;", "&amp;$C81&amp;"; ","")</f>
        <v/>
      </c>
      <c r="L81" s="210" t="str">
        <f>IF(AND($D$8=1,'6a_Health_full_time'!I74&lt;0),L$18&amp;", "&amp;L$19&amp;", "&amp;$A81&amp;", "&amp;$B81&amp;", "&amp;$C81&amp;"; ","")</f>
        <v/>
      </c>
      <c r="N81" s="118"/>
      <c r="P81" s="333" t="str">
        <f>IF(AND($E$8=1,ABS('6a_Health_full_time'!D74)&lt;&gt;INT(ABS('6a_Health_full_time'!D74))),P$18&amp;", "&amp;P$19&amp;", "&amp;$A81&amp;", "&amp;$B81&amp;", "&amp;$C81&amp;"; ","")</f>
        <v/>
      </c>
      <c r="Q81" s="108" t="str">
        <f>IF(AND($E$8=1,ABS('6a_Health_full_time'!E74)&lt;&gt;INT(ABS('6a_Health_full_time'!E74))),Q$18&amp;", "&amp;Q$19&amp;", "&amp;$A81&amp;", "&amp;$B81&amp;", "&amp;$C81&amp;"; ","")</f>
        <v/>
      </c>
      <c r="R81" s="108" t="str">
        <f>IF(AND($E$8=1,ABS('6a_Health_full_time'!F74)&lt;&gt;INT(ABS('6a_Health_full_time'!F74))),R$18&amp;", "&amp;R$19&amp;", "&amp;$A81&amp;", "&amp;$B81&amp;", "&amp;$C81&amp;"; ","")</f>
        <v/>
      </c>
      <c r="S81" s="333" t="str">
        <f>IF(AND($E$8=1,ABS('6a_Health_full_time'!G74)&lt;&gt;INT(ABS('6a_Health_full_time'!G74))),S$18&amp;", "&amp;S$19&amp;", "&amp;$A81&amp;", "&amp;$B81&amp;", "&amp;$C81&amp;"; ","")</f>
        <v/>
      </c>
      <c r="T81" s="108" t="str">
        <f>IF(AND($E$8=1,ABS('6a_Health_full_time'!H74)&lt;&gt;INT(ABS('6a_Health_full_time'!H74))),T$18&amp;", "&amp;T$19&amp;", "&amp;$A81&amp;", "&amp;$B81&amp;", "&amp;$C81&amp;"; ","")</f>
        <v/>
      </c>
      <c r="U81" s="210" t="str">
        <f>IF(AND($E$8=1,ABS('6a_Health_full_time'!I74)&lt;&gt;INT(ABS('6a_Health_full_time'!I74))),U$18&amp;", "&amp;U$19&amp;", "&amp;$A81&amp;", "&amp;$B81&amp;", "&amp;$C81&amp;"; ","")</f>
        <v/>
      </c>
      <c r="W81" s="118"/>
      <c r="Y81" s="113"/>
      <c r="Z81" s="481"/>
      <c r="AA81" s="481"/>
      <c r="AB81" s="483"/>
      <c r="AC81" s="121"/>
      <c r="AD81" s="121"/>
      <c r="AF81" s="118"/>
      <c r="AG81" s="519" t="s">
        <v>27844</v>
      </c>
      <c r="AJ81" t="s">
        <v>203</v>
      </c>
      <c r="AK81" s="483"/>
      <c r="AL81" s="121"/>
      <c r="AM81" s="121"/>
      <c r="AN81" s="483"/>
      <c r="AO81" s="121"/>
      <c r="AP81" s="121"/>
      <c r="AR81" s="118"/>
      <c r="AU81" s="562" t="str">
        <f>IF(AND($I$8=1,ABS(SUM('6a_Health_full_time'!D74:E74))&lt;ABS('6a_Health_full_time'!F74)),AU$18&amp;", "&amp;$A81&amp;", "&amp;$B81&amp;", "&amp;$C81&amp;"; ","")</f>
        <v/>
      </c>
      <c r="AX81" s="484" t="str">
        <f>IF(AND($I$8=1,ABS(SUM('6a_Health_full_time'!G74:H74))&lt;ABS('6a_Health_full_time'!I74)),AX$18&amp;", "&amp;$A81&amp;", "&amp;$B81&amp;", "&amp;$C81&amp;"; ","")</f>
        <v/>
      </c>
      <c r="AY81" s="17"/>
      <c r="BH81" s="130"/>
      <c r="BI81" s="333" t="str">
        <f>IF(AND($P$8=1,$B81="Long length",'6a_Health_full_time'!D74&lt;&gt;0),BI$18&amp;", "&amp;BI$19&amp;", "&amp;$A81&amp;", "&amp;$B81&amp;", "&amp;$C81&amp;"; ","")</f>
        <v/>
      </c>
      <c r="BJ81" s="108" t="str">
        <f>IF(AND($P$8=1,$B81="Long length",'6a_Health_full_time'!E74&lt;&gt;0),BJ$18&amp;", "&amp;BJ$19&amp;", "&amp;$A81&amp;", "&amp;$B81&amp;", "&amp;$C81&amp;"; ","")</f>
        <v/>
      </c>
      <c r="BK81" s="108" t="str">
        <f>IF(AND($P$8=1,$B81="Long length",'6a_Health_full_time'!F74&lt;&gt;0),BK$18&amp;", "&amp;BK$19&amp;", "&amp;$A81&amp;", "&amp;$B81&amp;", "&amp;$C81&amp;"; ","")</f>
        <v/>
      </c>
      <c r="BL81" s="333" t="str">
        <f>IF(AND($P$8=1,$B81="Long length",'6a_Health_full_time'!G74&lt;&gt;0),BL$18&amp;", "&amp;BL$19&amp;", "&amp;$A81&amp;", "&amp;$B81&amp;", "&amp;$C81&amp;"; ","")</f>
        <v/>
      </c>
      <c r="BM81" s="108" t="str">
        <f>IF(AND($P$8=1,$B81="Long length",'6a_Health_full_time'!H74&lt;&gt;0),BM$18&amp;", "&amp;BM$19&amp;", "&amp;$A81&amp;", "&amp;$B81&amp;", "&amp;$C81&amp;"; ","")</f>
        <v/>
      </c>
      <c r="BN81" s="108" t="str">
        <f>IF(AND($P$8=1,$B81="Long length",'6a_Health_full_time'!I74&lt;&gt;0),BN$18&amp;", "&amp;BN$19&amp;", "&amp;$A81&amp;", "&amp;$B81&amp;", "&amp;$C81&amp;"; ","")</f>
        <v/>
      </c>
      <c r="BO81" s="131"/>
    </row>
    <row r="82" spans="1:67" ht="13.15" x14ac:dyDescent="0.35">
      <c r="A82" t="s">
        <v>27911</v>
      </c>
      <c r="B82" t="s">
        <v>27888</v>
      </c>
      <c r="C82" t="s">
        <v>27889</v>
      </c>
      <c r="E82" s="118"/>
      <c r="G82" s="1879" t="str">
        <f>IF(AND($D$8=1,'6a_Health_full_time'!D75&lt;0),G$18&amp;", "&amp;G$19&amp;", "&amp;$A82&amp;", "&amp;$B82&amp;", "&amp;$C82&amp;"; ","")</f>
        <v/>
      </c>
      <c r="H82" s="1653" t="str">
        <f>IF(AND($D$8=1,'6a_Health_full_time'!E75&lt;0),H$18&amp;", "&amp;H$19&amp;", "&amp;$A82&amp;", "&amp;$B82&amp;", "&amp;$C82&amp;"; ","")</f>
        <v/>
      </c>
      <c r="I82" s="1653" t="str">
        <f>IF(AND($D$8=1,'6a_Health_full_time'!F75&lt;0),I$18&amp;", "&amp;I$19&amp;", "&amp;$A82&amp;", "&amp;$B82&amp;", "&amp;$C82&amp;"; ","")</f>
        <v/>
      </c>
      <c r="J82" s="1879" t="str">
        <f>IF(AND($D$8=1,'6a_Health_full_time'!G75&lt;0),J$18&amp;", "&amp;J$19&amp;", "&amp;$A82&amp;", "&amp;$B82&amp;", "&amp;$C82&amp;"; ","")</f>
        <v/>
      </c>
      <c r="K82" s="1653" t="str">
        <f>IF(AND($D$8=1,'6a_Health_full_time'!H75&lt;0),K$18&amp;", "&amp;K$19&amp;", "&amp;$A82&amp;", "&amp;$B82&amp;", "&amp;$C82&amp;"; ","")</f>
        <v/>
      </c>
      <c r="L82" s="2191" t="str">
        <f>IF(AND($D$8=1,'6a_Health_full_time'!I75&lt;0),L$18&amp;", "&amp;L$19&amp;", "&amp;$A82&amp;", "&amp;$B82&amp;", "&amp;$C82&amp;"; ","")</f>
        <v/>
      </c>
      <c r="N82" s="118"/>
      <c r="P82" s="1879" t="str">
        <f>IF(AND($E$8=1,ABS('6a_Health_full_time'!D75)&lt;&gt;INT(ABS('6a_Health_full_time'!D75))),P$18&amp;", "&amp;P$19&amp;", "&amp;$A82&amp;", "&amp;$B82&amp;", "&amp;$C82&amp;"; ","")</f>
        <v/>
      </c>
      <c r="Q82" s="1653" t="str">
        <f>IF(AND($E$8=1,ABS('6a_Health_full_time'!E75)&lt;&gt;INT(ABS('6a_Health_full_time'!E75))),Q$18&amp;", "&amp;Q$19&amp;", "&amp;$A82&amp;", "&amp;$B82&amp;", "&amp;$C82&amp;"; ","")</f>
        <v/>
      </c>
      <c r="R82" s="1653" t="str">
        <f>IF(AND($E$8=1,ABS('6a_Health_full_time'!F75)&lt;&gt;INT(ABS('6a_Health_full_time'!F75))),R$18&amp;", "&amp;R$19&amp;", "&amp;$A82&amp;", "&amp;$B82&amp;", "&amp;$C82&amp;"; ","")</f>
        <v/>
      </c>
      <c r="S82" s="1879" t="str">
        <f>IF(AND($E$8=1,ABS('6a_Health_full_time'!G75)&lt;&gt;INT(ABS('6a_Health_full_time'!G75))),S$18&amp;", "&amp;S$19&amp;", "&amp;$A82&amp;", "&amp;$B82&amp;", "&amp;$C82&amp;"; ","")</f>
        <v/>
      </c>
      <c r="T82" s="1653" t="str">
        <f>IF(AND($E$8=1,ABS('6a_Health_full_time'!H75)&lt;&gt;INT(ABS('6a_Health_full_time'!H75))),T$18&amp;", "&amp;T$19&amp;", "&amp;$A82&amp;", "&amp;$B82&amp;", "&amp;$C82&amp;"; ","")</f>
        <v/>
      </c>
      <c r="U82" s="2191" t="str">
        <f>IF(AND($E$8=1,ABS('6a_Health_full_time'!I75)&lt;&gt;INT(ABS('6a_Health_full_time'!I75))),U$18&amp;", "&amp;U$19&amp;", "&amp;$A82&amp;", "&amp;$B82&amp;", "&amp;$C82&amp;"; ","")</f>
        <v/>
      </c>
      <c r="W82" s="118"/>
      <c r="Y82" s="1881"/>
      <c r="Z82" s="1882"/>
      <c r="AA82" s="1882"/>
      <c r="AB82" s="1883"/>
      <c r="AC82" s="1884"/>
      <c r="AD82" s="1884"/>
      <c r="AF82" s="118"/>
      <c r="AG82" s="519" t="s">
        <v>27844</v>
      </c>
      <c r="AJ82" t="s">
        <v>203</v>
      </c>
      <c r="AK82" s="484" t="str">
        <f>$AK$54</f>
        <v/>
      </c>
      <c r="AL82" s="120" t="str">
        <f>$AL$54</f>
        <v/>
      </c>
      <c r="AM82" s="121"/>
      <c r="AN82" s="484" t="str">
        <f>$AN$54</f>
        <v/>
      </c>
      <c r="AO82" s="120" t="str">
        <f>$AO$54</f>
        <v/>
      </c>
      <c r="AP82" s="121"/>
      <c r="AR82" s="118"/>
      <c r="AU82" s="1886" t="str">
        <f>IF(AND($I$8=1,ABS(SUM('6a_Health_full_time'!D75:E75))&lt;ABS('6a_Health_full_time'!F75)),AU$18&amp;", "&amp;$A82&amp;", "&amp;$B82&amp;", "&amp;$C82&amp;"; ","")</f>
        <v/>
      </c>
      <c r="AX82" s="1896" t="str">
        <f>IF(AND($I$8=1,ABS(SUM('6a_Health_full_time'!G75:H75))&lt;ABS('6a_Health_full_time'!I75)),AX$18&amp;", "&amp;$A82&amp;", "&amp;$B82&amp;", "&amp;$C82&amp;"; ","")</f>
        <v/>
      </c>
      <c r="AY82" s="17"/>
      <c r="BH82" s="130"/>
      <c r="BI82" s="1879" t="str">
        <f>IF(AND($P$8=1,$B82="Long length",'6a_Health_full_time'!D75&lt;&gt;0),BI$18&amp;", "&amp;BI$19&amp;", "&amp;$A82&amp;", "&amp;$B82&amp;", "&amp;$C82&amp;"; ","")</f>
        <v/>
      </c>
      <c r="BJ82" s="1653" t="str">
        <f>IF(AND($P$8=1,$B82="Long length",'6a_Health_full_time'!E75&lt;&gt;0),BJ$18&amp;", "&amp;BJ$19&amp;", "&amp;$A82&amp;", "&amp;$B82&amp;", "&amp;$C82&amp;"; ","")</f>
        <v/>
      </c>
      <c r="BK82" s="1653" t="str">
        <f>IF(AND($P$8=1,$B82="Long length",'6a_Health_full_time'!F75&lt;&gt;0),BK$18&amp;", "&amp;BK$19&amp;", "&amp;$A82&amp;", "&amp;$B82&amp;", "&amp;$C82&amp;"; ","")</f>
        <v/>
      </c>
      <c r="BL82" s="1879" t="str">
        <f>IF(AND($P$8=1,$B82="Long length",'6a_Health_full_time'!G75&lt;&gt;0),BL$18&amp;", "&amp;BL$19&amp;", "&amp;$A82&amp;", "&amp;$B82&amp;", "&amp;$C82&amp;"; ","")</f>
        <v/>
      </c>
      <c r="BM82" s="1653" t="str">
        <f>IF(AND($P$8=1,$B82="Long length",'6a_Health_full_time'!H75&lt;&gt;0),BM$18&amp;", "&amp;BM$19&amp;", "&amp;$A82&amp;", "&amp;$B82&amp;", "&amp;$C82&amp;"; ","")</f>
        <v/>
      </c>
      <c r="BN82" s="1653" t="str">
        <f>IF(AND($P$8=1,$B82="Long length",'6a_Health_full_time'!I75&lt;&gt;0),BN$18&amp;", "&amp;BN$19&amp;", "&amp;$A82&amp;", "&amp;$B82&amp;", "&amp;$C82&amp;"; ","")</f>
        <v/>
      </c>
      <c r="BO82" s="131"/>
    </row>
    <row r="83" spans="1:67" ht="13.15" x14ac:dyDescent="0.35">
      <c r="A83" t="s">
        <v>27911</v>
      </c>
      <c r="B83" t="s">
        <v>27888</v>
      </c>
      <c r="C83" t="s">
        <v>27891</v>
      </c>
      <c r="E83" s="118"/>
      <c r="G83" s="333" t="str">
        <f>IF(AND($D$8=1,'6a_Health_full_time'!D76&lt;0),G$18&amp;", "&amp;G$19&amp;", "&amp;$A83&amp;", "&amp;$B83&amp;", "&amp;$C83&amp;"; ","")</f>
        <v/>
      </c>
      <c r="H83" s="108" t="str">
        <f>IF(AND($D$8=1,'6a_Health_full_time'!E76&lt;0),H$18&amp;", "&amp;H$19&amp;", "&amp;$A83&amp;", "&amp;$B83&amp;", "&amp;$C83&amp;"; ","")</f>
        <v/>
      </c>
      <c r="I83" s="108" t="str">
        <f>IF(AND($D$8=1,'6a_Health_full_time'!F76&lt;0),I$18&amp;", "&amp;I$19&amp;", "&amp;$A83&amp;", "&amp;$B83&amp;", "&amp;$C83&amp;"; ","")</f>
        <v/>
      </c>
      <c r="J83" s="333" t="str">
        <f>IF(AND($D$8=1,'6a_Health_full_time'!G76&lt;0),J$18&amp;", "&amp;J$19&amp;", "&amp;$A83&amp;", "&amp;$B83&amp;", "&amp;$C83&amp;"; ","")</f>
        <v/>
      </c>
      <c r="K83" s="108" t="str">
        <f>IF(AND($D$8=1,'6a_Health_full_time'!H76&lt;0),K$18&amp;", "&amp;K$19&amp;", "&amp;$A83&amp;", "&amp;$B83&amp;", "&amp;$C83&amp;"; ","")</f>
        <v/>
      </c>
      <c r="L83" s="210" t="str">
        <f>IF(AND($D$8=1,'6a_Health_full_time'!I76&lt;0),L$18&amp;", "&amp;L$19&amp;", "&amp;$A83&amp;", "&amp;$B83&amp;", "&amp;$C83&amp;"; ","")</f>
        <v/>
      </c>
      <c r="N83" s="118"/>
      <c r="P83" s="333" t="str">
        <f>IF(AND($E$8=1,ABS('6a_Health_full_time'!D76)&lt;&gt;INT(ABS('6a_Health_full_time'!D76))),P$18&amp;", "&amp;P$19&amp;", "&amp;$A83&amp;", "&amp;$B83&amp;", "&amp;$C83&amp;"; ","")</f>
        <v/>
      </c>
      <c r="Q83" s="335" t="str">
        <f>IF(AND($E$8=1,ABS('6a_Health_full_time'!E76)&lt;&gt;INT(ABS('6a_Health_full_time'!E76))),Q$18&amp;", "&amp;Q$19&amp;", "&amp;$A83&amp;", "&amp;$B83&amp;", "&amp;$C83&amp;"; ","")</f>
        <v/>
      </c>
      <c r="R83" s="335" t="str">
        <f>IF(AND($E$8=1,ABS('6a_Health_full_time'!F76)&lt;&gt;INT(ABS('6a_Health_full_time'!F76))),R$18&amp;", "&amp;R$19&amp;", "&amp;$A83&amp;", "&amp;$B83&amp;", "&amp;$C83&amp;"; ","")</f>
        <v/>
      </c>
      <c r="S83" s="333" t="str">
        <f>IF(AND($E$8=1,ABS('6a_Health_full_time'!G76)&lt;&gt;INT(ABS('6a_Health_full_time'!G76))),S$18&amp;", "&amp;S$19&amp;", "&amp;$A83&amp;", "&amp;$B83&amp;", "&amp;$C83&amp;"; ","")</f>
        <v/>
      </c>
      <c r="T83" s="108" t="str">
        <f>IF(AND($E$8=1,ABS('6a_Health_full_time'!H76)&lt;&gt;INT(ABS('6a_Health_full_time'!H76))),T$18&amp;", "&amp;T$19&amp;", "&amp;$A83&amp;", "&amp;$B83&amp;", "&amp;$C83&amp;"; ","")</f>
        <v/>
      </c>
      <c r="U83" s="210" t="str">
        <f>IF(AND($E$8=1,ABS('6a_Health_full_time'!I76)&lt;&gt;INT(ABS('6a_Health_full_time'!I76))),U$18&amp;", "&amp;U$19&amp;", "&amp;$A83&amp;", "&amp;$B83&amp;", "&amp;$C83&amp;"; ","")</f>
        <v/>
      </c>
      <c r="W83" s="118"/>
      <c r="Y83" s="113"/>
      <c r="Z83" s="481"/>
      <c r="AA83" s="481"/>
      <c r="AB83" s="483"/>
      <c r="AC83" s="121"/>
      <c r="AD83" s="121"/>
      <c r="AF83" s="118"/>
      <c r="AG83" s="519" t="s">
        <v>27844</v>
      </c>
      <c r="AJ83" t="s">
        <v>203</v>
      </c>
      <c r="AK83" s="486"/>
      <c r="AL83" s="121"/>
      <c r="AM83" s="121"/>
      <c r="AN83" s="483"/>
      <c r="AO83" s="121"/>
      <c r="AP83" s="121"/>
      <c r="AR83" s="118"/>
      <c r="AU83" s="562" t="str">
        <f>IF(AND($I$8=1,ABS(SUM('6a_Health_full_time'!D76:E76))&lt;ABS('6a_Health_full_time'!F76)),AU$18&amp;", "&amp;$A83&amp;", "&amp;$B83&amp;", "&amp;$C83&amp;"; ","")</f>
        <v/>
      </c>
      <c r="AX83" s="484" t="str">
        <f>IF(AND($I$8=1,ABS(SUM('6a_Health_full_time'!G76:H76))&lt;ABS('6a_Health_full_time'!I76)),AX$18&amp;", "&amp;$A83&amp;", "&amp;$B83&amp;", "&amp;$C83&amp;"; ","")</f>
        <v/>
      </c>
      <c r="AY83" s="17"/>
      <c r="BH83" s="130"/>
      <c r="BI83" s="333" t="str">
        <f>IF(AND($P$8=1,$B83="Long length",'6a_Health_full_time'!D76&lt;&gt;0),BI$18&amp;", "&amp;BI$19&amp;", "&amp;$A83&amp;", "&amp;$B83&amp;", "&amp;$C83&amp;"; ","")</f>
        <v/>
      </c>
      <c r="BJ83" s="108" t="str">
        <f>IF(AND($P$8=1,$B83="Long length",'6a_Health_full_time'!E76&lt;&gt;0),BJ$18&amp;", "&amp;BJ$19&amp;", "&amp;$A83&amp;", "&amp;$B83&amp;", "&amp;$C83&amp;"; ","")</f>
        <v/>
      </c>
      <c r="BK83" s="108" t="str">
        <f>IF(AND($P$8=1,$B83="Long length",'6a_Health_full_time'!F76&lt;&gt;0),BK$18&amp;", "&amp;BK$19&amp;", "&amp;$A83&amp;", "&amp;$B83&amp;", "&amp;$C83&amp;"; ","")</f>
        <v/>
      </c>
      <c r="BL83" s="333" t="str">
        <f>IF(AND($P$8=1,$B83="Long length",'6a_Health_full_time'!G76&lt;&gt;0),BL$18&amp;", "&amp;BL$19&amp;", "&amp;$A83&amp;", "&amp;$B83&amp;", "&amp;$C83&amp;"; ","")</f>
        <v/>
      </c>
      <c r="BM83" s="108" t="str">
        <f>IF(AND($P$8=1,$B83="Long length",'6a_Health_full_time'!H76&lt;&gt;0),BM$18&amp;", "&amp;BM$19&amp;", "&amp;$A83&amp;", "&amp;$B83&amp;", "&amp;$C83&amp;"; ","")</f>
        <v/>
      </c>
      <c r="BN83" s="108" t="str">
        <f>IF(AND($P$8=1,$B83="Long length",'6a_Health_full_time'!I76&lt;&gt;0),BN$18&amp;", "&amp;BN$19&amp;", "&amp;$A83&amp;", "&amp;$B83&amp;", "&amp;$C83&amp;"; ","")</f>
        <v/>
      </c>
      <c r="BO83" s="131"/>
    </row>
    <row r="84" spans="1:67" ht="13.15" x14ac:dyDescent="0.35">
      <c r="A84" t="s">
        <v>27911</v>
      </c>
      <c r="B84" t="s">
        <v>27892</v>
      </c>
      <c r="C84" t="s">
        <v>27889</v>
      </c>
      <c r="E84" s="118"/>
      <c r="G84" s="333" t="str">
        <f>IF(AND($D$8=1,'6a_Health_full_time'!D77&lt;0),G$18&amp;", "&amp;G$19&amp;", "&amp;$A84&amp;", "&amp;$B84&amp;", "&amp;$C84&amp;"; ","")</f>
        <v/>
      </c>
      <c r="H84" s="108" t="str">
        <f>IF(AND($D$8=1,'6a_Health_full_time'!E77&lt;0),H$18&amp;", "&amp;H$19&amp;", "&amp;$A84&amp;", "&amp;$B84&amp;", "&amp;$C84&amp;"; ","")</f>
        <v/>
      </c>
      <c r="I84" s="108" t="str">
        <f>IF(AND($D$8=1,'6a_Health_full_time'!F77&lt;0),I$18&amp;", "&amp;I$19&amp;", "&amp;$A84&amp;", "&amp;$B84&amp;", "&amp;$C84&amp;"; ","")</f>
        <v/>
      </c>
      <c r="J84" s="333" t="str">
        <f>IF(AND($D$8=1,'6a_Health_full_time'!G77&lt;0),J$18&amp;", "&amp;J$19&amp;", "&amp;$A84&amp;", "&amp;$B84&amp;", "&amp;$C84&amp;"; ","")</f>
        <v/>
      </c>
      <c r="K84" s="108" t="str">
        <f>IF(AND($D$8=1,'6a_Health_full_time'!H77&lt;0),K$18&amp;", "&amp;K$19&amp;", "&amp;$A84&amp;", "&amp;$B84&amp;", "&amp;$C84&amp;"; ","")</f>
        <v/>
      </c>
      <c r="L84" s="210" t="str">
        <f>IF(AND($D$8=1,'6a_Health_full_time'!I77&lt;0),L$18&amp;", "&amp;L$19&amp;", "&amp;$A84&amp;", "&amp;$B84&amp;", "&amp;$C84&amp;"; ","")</f>
        <v/>
      </c>
      <c r="N84" s="118"/>
      <c r="P84" s="333" t="str">
        <f>IF(AND($E$8=1,ABS('6a_Health_full_time'!D77)&lt;&gt;INT(ABS('6a_Health_full_time'!D77))),P$18&amp;", "&amp;P$19&amp;", "&amp;$A84&amp;", "&amp;$B84&amp;", "&amp;$C84&amp;"; ","")</f>
        <v/>
      </c>
      <c r="Q84" s="108" t="str">
        <f>IF(AND($E$8=1,ABS('6a_Health_full_time'!E77)&lt;&gt;INT(ABS('6a_Health_full_time'!E77))),Q$18&amp;", "&amp;Q$19&amp;", "&amp;$A84&amp;", "&amp;$B84&amp;", "&amp;$C84&amp;"; ","")</f>
        <v/>
      </c>
      <c r="R84" s="108" t="str">
        <f>IF(AND($E$8=1,ABS('6a_Health_full_time'!F77)&lt;&gt;INT(ABS('6a_Health_full_time'!F77))),R$18&amp;", "&amp;R$19&amp;", "&amp;$A84&amp;", "&amp;$B84&amp;", "&amp;$C84&amp;"; ","")</f>
        <v/>
      </c>
      <c r="S84" s="333" t="str">
        <f>IF(AND($E$8=1,ABS('6a_Health_full_time'!G77)&lt;&gt;INT(ABS('6a_Health_full_time'!G77))),S$18&amp;", "&amp;S$19&amp;", "&amp;$A84&amp;", "&amp;$B84&amp;", "&amp;$C84&amp;"; ","")</f>
        <v/>
      </c>
      <c r="T84" s="108" t="str">
        <f>IF(AND($E$8=1,ABS('6a_Health_full_time'!H77)&lt;&gt;INT(ABS('6a_Health_full_time'!H77))),T$18&amp;", "&amp;T$19&amp;", "&amp;$A84&amp;", "&amp;$B84&amp;", "&amp;$C84&amp;"; ","")</f>
        <v/>
      </c>
      <c r="U84" s="210" t="str">
        <f>IF(AND($E$8=1,ABS('6a_Health_full_time'!I77)&lt;&gt;INT(ABS('6a_Health_full_time'!I77))),U$18&amp;", "&amp;U$19&amp;", "&amp;$A84&amp;", "&amp;$B84&amp;", "&amp;$C84&amp;"; ","")</f>
        <v/>
      </c>
      <c r="W84" s="118"/>
      <c r="Y84" s="113"/>
      <c r="Z84" s="481"/>
      <c r="AA84" s="481"/>
      <c r="AB84" s="483"/>
      <c r="AC84" s="121"/>
      <c r="AD84" s="121"/>
      <c r="AF84" s="118"/>
      <c r="AG84" s="1375" t="s">
        <v>27846</v>
      </c>
      <c r="AJ84" t="s">
        <v>225</v>
      </c>
      <c r="AK84" s="1896" t="str">
        <f>AK58</f>
        <v/>
      </c>
      <c r="AL84" s="1892" t="str">
        <f>AL58</f>
        <v/>
      </c>
      <c r="AM84" s="1884"/>
      <c r="AN84" s="1896" t="str">
        <f>AN58</f>
        <v/>
      </c>
      <c r="AO84" s="1892" t="str">
        <f>AO58</f>
        <v/>
      </c>
      <c r="AP84" s="1884"/>
      <c r="AR84" s="118"/>
      <c r="AU84" s="562" t="str">
        <f>IF(AND($I$8=1,ABS(SUM('6a_Health_full_time'!D77:E77))&lt;ABS('6a_Health_full_time'!F77)),AU$18&amp;", "&amp;$A84&amp;", "&amp;$B84&amp;", "&amp;$C84&amp;"; ","")</f>
        <v/>
      </c>
      <c r="AX84" s="484" t="str">
        <f>IF(AND($I$8=1,ABS(SUM('6a_Health_full_time'!G77:H77))&lt;ABS('6a_Health_full_time'!I77)),AX$18&amp;", "&amp;$A84&amp;", "&amp;$B84&amp;", "&amp;$C84&amp;"; ","")</f>
        <v/>
      </c>
      <c r="AY84" s="17"/>
      <c r="BH84" s="130"/>
      <c r="BI84" s="333" t="str">
        <f>IF(AND($P$8=1,$B84="Long length",'6a_Health_full_time'!D77&lt;&gt;0),BI$18&amp;", "&amp;BI$19&amp;", "&amp;$A84&amp;", "&amp;$B84&amp;", "&amp;$C84&amp;"; ","")</f>
        <v/>
      </c>
      <c r="BJ84" s="108" t="str">
        <f>IF(AND($P$8=1,$B84="Long length",'6a_Health_full_time'!E77&lt;&gt;0),BJ$18&amp;", "&amp;BJ$19&amp;", "&amp;$A84&amp;", "&amp;$B84&amp;", "&amp;$C84&amp;"; ","")</f>
        <v/>
      </c>
      <c r="BK84" s="108" t="str">
        <f>IF(AND($P$8=1,$B84="Long length",'6a_Health_full_time'!F77&lt;&gt;0),BK$18&amp;", "&amp;BK$19&amp;", "&amp;$A84&amp;", "&amp;$B84&amp;", "&amp;$C84&amp;"; ","")</f>
        <v/>
      </c>
      <c r="BL84" s="333" t="str">
        <f>IF(AND($P$8=1,$B84="Long length",'6a_Health_full_time'!G77&lt;&gt;0),BL$18&amp;", "&amp;BL$19&amp;", "&amp;$A84&amp;", "&amp;$B84&amp;", "&amp;$C84&amp;"; ","")</f>
        <v/>
      </c>
      <c r="BM84" s="108" t="str">
        <f>IF(AND($P$8=1,$B84="Long length",'6a_Health_full_time'!H77&lt;&gt;0),BM$18&amp;", "&amp;BM$19&amp;", "&amp;$A84&amp;", "&amp;$B84&amp;", "&amp;$C84&amp;"; ","")</f>
        <v/>
      </c>
      <c r="BN84" s="108" t="str">
        <f>IF(AND($P$8=1,$B84="Long length",'6a_Health_full_time'!I77&lt;&gt;0),BN$18&amp;", "&amp;BN$19&amp;", "&amp;$A84&amp;", "&amp;$B84&amp;", "&amp;$C84&amp;"; ","")</f>
        <v/>
      </c>
      <c r="BO84" s="131"/>
    </row>
    <row r="85" spans="1:67" x14ac:dyDescent="0.35">
      <c r="A85" t="s">
        <v>27911</v>
      </c>
      <c r="B85" t="s">
        <v>27892</v>
      </c>
      <c r="C85" t="s">
        <v>27891</v>
      </c>
      <c r="E85" s="118"/>
      <c r="G85" s="334" t="str">
        <f>IF(AND($D$8=1,'6a_Health_full_time'!D78&lt;0),G$18&amp;", "&amp;G$19&amp;", "&amp;$A85&amp;", "&amp;$B85&amp;", "&amp;$C85&amp;"; ","")</f>
        <v/>
      </c>
      <c r="H85" s="125" t="str">
        <f>IF(AND($D$8=1,'6a_Health_full_time'!E78&lt;0),H$18&amp;", "&amp;H$19&amp;", "&amp;$A85&amp;", "&amp;$B85&amp;", "&amp;$C85&amp;"; ","")</f>
        <v/>
      </c>
      <c r="I85" s="125" t="str">
        <f>IF(AND($D$8=1,'6a_Health_full_time'!F78&lt;0),I$18&amp;", "&amp;I$19&amp;", "&amp;$A85&amp;", "&amp;$B85&amp;", "&amp;$C85&amp;"; ","")</f>
        <v/>
      </c>
      <c r="J85" s="334" t="str">
        <f>IF(AND($D$8=1,'6a_Health_full_time'!G78&lt;0),J$18&amp;", "&amp;J$19&amp;", "&amp;$A85&amp;", "&amp;$B85&amp;", "&amp;$C85&amp;"; ","")</f>
        <v/>
      </c>
      <c r="K85" s="125" t="str">
        <f>IF(AND($D$8=1,'6a_Health_full_time'!H78&lt;0),K$18&amp;", "&amp;K$19&amp;", "&amp;$A85&amp;", "&amp;$B85&amp;", "&amp;$C85&amp;"; ","")</f>
        <v/>
      </c>
      <c r="L85" s="1386" t="str">
        <f>IF(AND($D$8=1,'6a_Health_full_time'!I78&lt;0),L$18&amp;", "&amp;L$19&amp;", "&amp;$A85&amp;", "&amp;$B85&amp;", "&amp;$C85&amp;"; ","")</f>
        <v/>
      </c>
      <c r="N85" s="118"/>
      <c r="P85" s="333" t="str">
        <f>IF(AND($E$8=1,ABS('6a_Health_full_time'!D78)&lt;&gt;INT(ABS('6a_Health_full_time'!D78))),P$18&amp;", "&amp;P$19&amp;", "&amp;$A85&amp;", "&amp;$B85&amp;", "&amp;$C85&amp;"; ","")</f>
        <v/>
      </c>
      <c r="Q85" s="108" t="str">
        <f>IF(AND($E$8=1,ABS('6a_Health_full_time'!E78)&lt;&gt;INT(ABS('6a_Health_full_time'!E78))),Q$18&amp;", "&amp;Q$19&amp;", "&amp;$A85&amp;", "&amp;$B85&amp;", "&amp;$C85&amp;"; ","")</f>
        <v/>
      </c>
      <c r="R85" s="108" t="str">
        <f>IF(AND($E$8=1,ABS('6a_Health_full_time'!F78)&lt;&gt;INT(ABS('6a_Health_full_time'!F78))),R$18&amp;", "&amp;R$19&amp;", "&amp;$A85&amp;", "&amp;$B85&amp;", "&amp;$C85&amp;"; ","")</f>
        <v/>
      </c>
      <c r="S85" s="333" t="str">
        <f>IF(AND($E$8=1,ABS('6a_Health_full_time'!G78)&lt;&gt;INT(ABS('6a_Health_full_time'!G78))),S$18&amp;", "&amp;S$19&amp;", "&amp;$A85&amp;", "&amp;$B85&amp;", "&amp;$C85&amp;"; ","")</f>
        <v/>
      </c>
      <c r="T85" s="108" t="str">
        <f>IF(AND($E$8=1,ABS('6a_Health_full_time'!H78)&lt;&gt;INT(ABS('6a_Health_full_time'!H78))),T$18&amp;", "&amp;T$19&amp;", "&amp;$A85&amp;", "&amp;$B85&amp;", "&amp;$C85&amp;"; ","")</f>
        <v/>
      </c>
      <c r="U85" s="210" t="str">
        <f>IF(AND($E$8=1,ABS('6a_Health_full_time'!I78)&lt;&gt;INT(ABS('6a_Health_full_time'!I78))),U$18&amp;", "&amp;U$19&amp;", "&amp;$A85&amp;", "&amp;$B85&amp;", "&amp;$C85&amp;"; ","")</f>
        <v/>
      </c>
      <c r="W85" s="118"/>
      <c r="Y85" s="113"/>
      <c r="Z85" s="481"/>
      <c r="AA85" s="481"/>
      <c r="AB85" s="483"/>
      <c r="AC85" s="121"/>
      <c r="AD85" s="121"/>
      <c r="AF85" s="118"/>
      <c r="AJ85" t="s">
        <v>225</v>
      </c>
      <c r="AK85" s="484" t="str">
        <f>AK61</f>
        <v/>
      </c>
      <c r="AL85" s="120" t="str">
        <f>AL61</f>
        <v/>
      </c>
      <c r="AM85" s="121"/>
      <c r="AN85" s="484" t="str">
        <f>AN61</f>
        <v/>
      </c>
      <c r="AO85" s="120" t="str">
        <f>AO61</f>
        <v/>
      </c>
      <c r="AP85" s="121"/>
      <c r="AR85" s="118"/>
      <c r="AU85" s="563" t="str">
        <f>IF(AND($I$8=1,ABS(SUM('6a_Health_full_time'!D78:E78))&lt;ABS('6a_Health_full_time'!F78)),AU$18&amp;", "&amp;$A85&amp;", "&amp;$B85&amp;", "&amp;$C85&amp;"; ","")</f>
        <v/>
      </c>
      <c r="AX85" s="569" t="str">
        <f>IF(AND($I$8=1,ABS(SUM('6a_Health_full_time'!G78:H78))&lt;ABS('6a_Health_full_time'!I78)),AX$18&amp;", "&amp;$A85&amp;", "&amp;$B85&amp;", "&amp;$C85&amp;"; ","")</f>
        <v/>
      </c>
      <c r="AY85" s="17"/>
      <c r="BH85" s="130"/>
      <c r="BI85" s="333" t="str">
        <f>IF(AND($P$8=1,$B85="Long length",'6a_Health_full_time'!D78&lt;&gt;0),BI$18&amp;", "&amp;BI$19&amp;", "&amp;$A85&amp;", "&amp;$B85&amp;", "&amp;$C85&amp;"; ","")</f>
        <v/>
      </c>
      <c r="BJ85" s="108" t="str">
        <f>IF(AND($P$8=1,$B85="Long length",'6a_Health_full_time'!E78&lt;&gt;0),BJ$18&amp;", "&amp;BJ$19&amp;", "&amp;$A85&amp;", "&amp;$B85&amp;", "&amp;$C85&amp;"; ","")</f>
        <v/>
      </c>
      <c r="BK85" s="108" t="str">
        <f>IF(AND($P$8=1,$B85="Long length",'6a_Health_full_time'!F78&lt;&gt;0),BK$18&amp;", "&amp;BK$19&amp;", "&amp;$A85&amp;", "&amp;$B85&amp;", "&amp;$C85&amp;"; ","")</f>
        <v/>
      </c>
      <c r="BL85" s="333" t="str">
        <f>IF(AND($P$8=1,$B85="Long length",'6a_Health_full_time'!G78&lt;&gt;0),BL$18&amp;", "&amp;BL$19&amp;", "&amp;$A85&amp;", "&amp;$B85&amp;", "&amp;$C85&amp;"; ","")</f>
        <v/>
      </c>
      <c r="BM85" s="108" t="str">
        <f>IF(AND($P$8=1,$B85="Long length",'6a_Health_full_time'!H78&lt;&gt;0),BM$18&amp;", "&amp;BM$19&amp;", "&amp;$A85&amp;", "&amp;$B85&amp;", "&amp;$C85&amp;"; ","")</f>
        <v/>
      </c>
      <c r="BN85" s="108" t="str">
        <f>IF(AND($P$8=1,$B85="Long length",'6a_Health_full_time'!I78&lt;&gt;0),BN$18&amp;", "&amp;BN$19&amp;", "&amp;$A85&amp;", "&amp;$B85&amp;", "&amp;$C85&amp;"; ","")</f>
        <v/>
      </c>
      <c r="BO85" s="131"/>
    </row>
    <row r="86" spans="1:67" ht="13.15" x14ac:dyDescent="0.35">
      <c r="A86" t="s">
        <v>27912</v>
      </c>
      <c r="B86" t="s">
        <v>27888</v>
      </c>
      <c r="C86" t="s">
        <v>27889</v>
      </c>
      <c r="E86" s="118"/>
      <c r="G86" s="1879" t="str">
        <f>IF(AND($D$8=1,'6a_Health_full_time'!D79&lt;0),G$18&amp;", "&amp;G$19&amp;", "&amp;$A86&amp;", "&amp;$B86&amp;", "&amp;$C86&amp;"; ","")</f>
        <v/>
      </c>
      <c r="H86" s="1653" t="str">
        <f>IF(AND($D$8=1,'6a_Health_full_time'!E79&lt;0),H$18&amp;", "&amp;H$19&amp;", "&amp;$A86&amp;", "&amp;$B86&amp;", "&amp;$C86&amp;"; ","")</f>
        <v/>
      </c>
      <c r="I86" s="1653" t="str">
        <f>IF(AND($D$8=1,'6a_Health_full_time'!F79&lt;0),I$18&amp;", "&amp;I$19&amp;", "&amp;$A86&amp;", "&amp;$B86&amp;", "&amp;$C86&amp;"; ","")</f>
        <v/>
      </c>
      <c r="J86" s="1879" t="str">
        <f>IF(AND($D$8=1,'6a_Health_full_time'!G79&lt;0),J$18&amp;", "&amp;J$19&amp;", "&amp;$A86&amp;", "&amp;$B86&amp;", "&amp;$C86&amp;"; ","")</f>
        <v/>
      </c>
      <c r="K86" s="1653" t="str">
        <f>IF(AND($D$8=1,'6a_Health_full_time'!H79&lt;0),K$18&amp;", "&amp;K$19&amp;", "&amp;$A86&amp;", "&amp;$B86&amp;", "&amp;$C86&amp;"; ","")</f>
        <v/>
      </c>
      <c r="L86" s="2191" t="str">
        <f>IF(AND($D$8=1,'6a_Health_full_time'!I79&lt;0),L$18&amp;", "&amp;L$19&amp;", "&amp;$A86&amp;", "&amp;$B86&amp;", "&amp;$C86&amp;"; ","")</f>
        <v/>
      </c>
      <c r="N86" s="118"/>
      <c r="P86" s="1879" t="str">
        <f>IF(AND($E$8=1,ABS('6a_Health_full_time'!D79)&lt;&gt;INT(ABS('6a_Health_full_time'!D79))),P$18&amp;", "&amp;P$19&amp;", "&amp;$A86&amp;", "&amp;$B86&amp;", "&amp;$C86&amp;"; ","")</f>
        <v/>
      </c>
      <c r="Q86" s="1653" t="str">
        <f>IF(AND($E$8=1,ABS('6a_Health_full_time'!E79)&lt;&gt;INT(ABS('6a_Health_full_time'!E79))),Q$18&amp;", "&amp;Q$19&amp;", "&amp;$A86&amp;", "&amp;$B86&amp;", "&amp;$C86&amp;"; ","")</f>
        <v/>
      </c>
      <c r="R86" s="1653" t="str">
        <f>IF(AND($E$8=1,ABS('6a_Health_full_time'!F79)&lt;&gt;INT(ABS('6a_Health_full_time'!F79))),R$18&amp;", "&amp;R$19&amp;", "&amp;$A86&amp;", "&amp;$B86&amp;", "&amp;$C86&amp;"; ","")</f>
        <v/>
      </c>
      <c r="S86" s="1879" t="str">
        <f>IF(AND($E$8=1,ABS('6a_Health_full_time'!G79)&lt;&gt;INT(ABS('6a_Health_full_time'!G79))),S$18&amp;", "&amp;S$19&amp;", "&amp;$A86&amp;", "&amp;$B86&amp;", "&amp;$C86&amp;"; ","")</f>
        <v/>
      </c>
      <c r="T86" s="1653" t="str">
        <f>IF(AND($E$8=1,ABS('6a_Health_full_time'!H79)&lt;&gt;INT(ABS('6a_Health_full_time'!H79))),T$18&amp;", "&amp;T$19&amp;", "&amp;$A86&amp;", "&amp;$B86&amp;", "&amp;$C86&amp;"; ","")</f>
        <v/>
      </c>
      <c r="U86" s="2191" t="str">
        <f>IF(AND($E$8=1,ABS('6a_Health_full_time'!I79)&lt;&gt;INT(ABS('6a_Health_full_time'!I79))),U$18&amp;", "&amp;U$19&amp;", "&amp;$A86&amp;", "&amp;$B86&amp;", "&amp;$C86&amp;"; ","")</f>
        <v/>
      </c>
      <c r="W86" s="118"/>
      <c r="Y86" s="1881"/>
      <c r="Z86" s="1882"/>
      <c r="AA86" s="1882"/>
      <c r="AB86" s="1883"/>
      <c r="AC86" s="1884"/>
      <c r="AD86" s="1884"/>
      <c r="AF86" s="118"/>
      <c r="AG86" s="1375" t="s">
        <v>27847</v>
      </c>
      <c r="AJ86" t="s">
        <v>225</v>
      </c>
      <c r="AK86" s="1896" t="str">
        <f>$AK$56</f>
        <v/>
      </c>
      <c r="AL86" s="1892" t="str">
        <f>$AL$56</f>
        <v/>
      </c>
      <c r="AM86" s="1897"/>
      <c r="AN86" s="1896" t="str">
        <f>$AN$56</f>
        <v/>
      </c>
      <c r="AO86" s="1892" t="str">
        <f>$AO$56</f>
        <v/>
      </c>
      <c r="AP86" s="1884"/>
      <c r="AR86" s="118"/>
      <c r="AU86" s="1886" t="str">
        <f>IF(AND($I$8=1,ABS(SUM('6a_Health_full_time'!D79:E79))&lt;ABS('6a_Health_full_time'!F79)),AU$18&amp;", "&amp;$A86&amp;", "&amp;$B86&amp;", "&amp;$C86&amp;"; ","")</f>
        <v/>
      </c>
      <c r="AX86" s="1896" t="str">
        <f>IF(AND($I$8=1,ABS(SUM('6a_Health_full_time'!G79:H79))&lt;ABS('6a_Health_full_time'!I79)),AX$18&amp;", "&amp;$A86&amp;", "&amp;$B86&amp;", "&amp;$C86&amp;"; ","")</f>
        <v/>
      </c>
      <c r="AY86" s="17"/>
      <c r="BH86" s="130"/>
      <c r="BI86" s="1879" t="str">
        <f>IF(AND($P$8=1,$B86="Long length",'6a_Health_full_time'!D79&lt;&gt;0),BI$18&amp;", "&amp;BI$19&amp;", "&amp;$A86&amp;", "&amp;$B86&amp;", "&amp;$C86&amp;"; ","")</f>
        <v/>
      </c>
      <c r="BJ86" s="1653" t="str">
        <f>IF(AND($P$8=1,$B86="Long length",'6a_Health_full_time'!E79&lt;&gt;0),BJ$18&amp;", "&amp;BJ$19&amp;", "&amp;$A86&amp;", "&amp;$B86&amp;", "&amp;$C86&amp;"; ","")</f>
        <v/>
      </c>
      <c r="BK86" s="1653" t="str">
        <f>IF(AND($P$8=1,$B86="Long length",'6a_Health_full_time'!F79&lt;&gt;0),BK$18&amp;", "&amp;BK$19&amp;", "&amp;$A86&amp;", "&amp;$B86&amp;", "&amp;$C86&amp;"; ","")</f>
        <v/>
      </c>
      <c r="BL86" s="1879" t="str">
        <f>IF(AND($P$8=1,$B86="Long length",'6a_Health_full_time'!G79&lt;&gt;0),BL$18&amp;", "&amp;BL$19&amp;", "&amp;$A86&amp;", "&amp;$B86&amp;", "&amp;$C86&amp;"; ","")</f>
        <v/>
      </c>
      <c r="BM86" s="1653" t="str">
        <f>IF(AND($P$8=1,$B86="Long length",'6a_Health_full_time'!H79&lt;&gt;0),BM$18&amp;", "&amp;BM$19&amp;", "&amp;$A86&amp;", "&amp;$B86&amp;", "&amp;$C86&amp;"; ","")</f>
        <v/>
      </c>
      <c r="BN86" s="1653" t="str">
        <f>IF(AND($P$8=1,$B86="Long length",'6a_Health_full_time'!I79&lt;&gt;0),BN$18&amp;", "&amp;BN$19&amp;", "&amp;$A86&amp;", "&amp;$B86&amp;", "&amp;$C86&amp;"; ","")</f>
        <v/>
      </c>
      <c r="BO86" s="131"/>
    </row>
    <row r="87" spans="1:67" ht="13.15" x14ac:dyDescent="0.35">
      <c r="A87" t="s">
        <v>27912</v>
      </c>
      <c r="B87" t="s">
        <v>27888</v>
      </c>
      <c r="C87" t="s">
        <v>27891</v>
      </c>
      <c r="E87" s="118"/>
      <c r="G87" s="333" t="str">
        <f>IF(AND($D$8=1,'6a_Health_full_time'!D80&lt;0),G$18&amp;", "&amp;G$19&amp;", "&amp;$A87&amp;", "&amp;$B87&amp;", "&amp;$C87&amp;"; ","")</f>
        <v/>
      </c>
      <c r="H87" s="108" t="str">
        <f>IF(AND($D$8=1,'6a_Health_full_time'!E80&lt;0),H$18&amp;", "&amp;H$19&amp;", "&amp;$A87&amp;", "&amp;$B87&amp;", "&amp;$C87&amp;"; ","")</f>
        <v/>
      </c>
      <c r="I87" s="108" t="str">
        <f>IF(AND($D$8=1,'6a_Health_full_time'!F80&lt;0),I$18&amp;", "&amp;I$19&amp;", "&amp;$A87&amp;", "&amp;$B87&amp;", "&amp;$C87&amp;"; ","")</f>
        <v/>
      </c>
      <c r="J87" s="333" t="str">
        <f>IF(AND($D$8=1,'6a_Health_full_time'!G80&lt;0),J$18&amp;", "&amp;J$19&amp;", "&amp;$A87&amp;", "&amp;$B87&amp;", "&amp;$C87&amp;"; ","")</f>
        <v/>
      </c>
      <c r="K87" s="108" t="str">
        <f>IF(AND($D$8=1,'6a_Health_full_time'!H80&lt;0),K$18&amp;", "&amp;K$19&amp;", "&amp;$A87&amp;", "&amp;$B87&amp;", "&amp;$C87&amp;"; ","")</f>
        <v/>
      </c>
      <c r="L87" s="210" t="str">
        <f>IF(AND($D$8=1,'6a_Health_full_time'!I80&lt;0),L$18&amp;", "&amp;L$19&amp;", "&amp;$A87&amp;", "&amp;$B87&amp;", "&amp;$C87&amp;"; ","")</f>
        <v/>
      </c>
      <c r="N87" s="118"/>
      <c r="P87" s="333" t="str">
        <f>IF(AND($E$8=1,ABS('6a_Health_full_time'!D80)&lt;&gt;INT(ABS('6a_Health_full_time'!D80))),P$18&amp;", "&amp;P$19&amp;", "&amp;$A87&amp;", "&amp;$B87&amp;", "&amp;$C87&amp;"; ","")</f>
        <v/>
      </c>
      <c r="Q87" s="335" t="str">
        <f>IF(AND($E$8=1,ABS('6a_Health_full_time'!E80)&lt;&gt;INT(ABS('6a_Health_full_time'!E80))),Q$18&amp;", "&amp;Q$19&amp;", "&amp;$A87&amp;", "&amp;$B87&amp;", "&amp;$C87&amp;"; ","")</f>
        <v/>
      </c>
      <c r="R87" s="335" t="str">
        <f>IF(AND($E$8=1,ABS('6a_Health_full_time'!F80)&lt;&gt;INT(ABS('6a_Health_full_time'!F80))),R$18&amp;", "&amp;R$19&amp;", "&amp;$A87&amp;", "&amp;$B87&amp;", "&amp;$C87&amp;"; ","")</f>
        <v/>
      </c>
      <c r="S87" s="333" t="str">
        <f>IF(AND($E$8=1,ABS('6a_Health_full_time'!G80)&lt;&gt;INT(ABS('6a_Health_full_time'!G80))),S$18&amp;", "&amp;S$19&amp;", "&amp;$A87&amp;", "&amp;$B87&amp;", "&amp;$C87&amp;"; ","")</f>
        <v/>
      </c>
      <c r="T87" s="108" t="str">
        <f>IF(AND($E$8=1,ABS('6a_Health_full_time'!H80)&lt;&gt;INT(ABS('6a_Health_full_time'!H80))),T$18&amp;", "&amp;T$19&amp;", "&amp;$A87&amp;", "&amp;$B87&amp;", "&amp;$C87&amp;"; ","")</f>
        <v/>
      </c>
      <c r="U87" s="210" t="str">
        <f>IF(AND($E$8=1,ABS('6a_Health_full_time'!I80)&lt;&gt;INT(ABS('6a_Health_full_time'!I80))),U$18&amp;", "&amp;U$19&amp;", "&amp;$A87&amp;", "&amp;$B87&amp;", "&amp;$C87&amp;"; ","")</f>
        <v/>
      </c>
      <c r="W87" s="118"/>
      <c r="Y87" s="113"/>
      <c r="Z87" s="481"/>
      <c r="AA87" s="481"/>
      <c r="AB87" s="483"/>
      <c r="AC87" s="121"/>
      <c r="AD87" s="121"/>
      <c r="AF87" s="118"/>
      <c r="AG87" s="519" t="s">
        <v>27847</v>
      </c>
      <c r="AJ87" t="s">
        <v>225</v>
      </c>
      <c r="AK87" s="484" t="str">
        <f>$AK$57</f>
        <v/>
      </c>
      <c r="AL87" s="120" t="str">
        <f>$AL$57</f>
        <v/>
      </c>
      <c r="AM87" s="121"/>
      <c r="AN87" s="484" t="str">
        <f>$AN$57</f>
        <v/>
      </c>
      <c r="AO87" s="120" t="str">
        <f>$AO$57</f>
        <v/>
      </c>
      <c r="AP87" s="121"/>
      <c r="AR87" s="118"/>
      <c r="AU87" s="562" t="str">
        <f>IF(AND($I$8=1,ABS(SUM('6a_Health_full_time'!D80:E80))&lt;ABS('6a_Health_full_time'!F80)),AU$18&amp;", "&amp;$A87&amp;", "&amp;$B87&amp;", "&amp;$C87&amp;"; ","")</f>
        <v/>
      </c>
      <c r="AX87" s="484" t="str">
        <f>IF(AND($I$8=1,ABS(SUM('6a_Health_full_time'!G80:H80))&lt;ABS('6a_Health_full_time'!I80)),AX$18&amp;", "&amp;$A87&amp;", "&amp;$B87&amp;", "&amp;$C87&amp;"; ","")</f>
        <v/>
      </c>
      <c r="AY87" s="17"/>
      <c r="BH87" s="130"/>
      <c r="BI87" s="333" t="str">
        <f>IF(AND($P$8=1,$B87="Long length",'6a_Health_full_time'!D80&lt;&gt;0),BI$18&amp;", "&amp;BI$19&amp;", "&amp;$A87&amp;", "&amp;$B87&amp;", "&amp;$C87&amp;"; ","")</f>
        <v/>
      </c>
      <c r="BJ87" s="335" t="str">
        <f>IF(AND($P$8=1,$B87="Long length",'6a_Health_full_time'!E80&lt;&gt;0),BJ$18&amp;", "&amp;BJ$19&amp;", "&amp;$A87&amp;", "&amp;$B87&amp;", "&amp;$C87&amp;"; ","")</f>
        <v/>
      </c>
      <c r="BK87" s="335" t="str">
        <f>IF(AND($P$8=1,$B87="Long length",'6a_Health_full_time'!F80&lt;&gt;0),BK$18&amp;", "&amp;BK$19&amp;", "&amp;$A87&amp;", "&amp;$B87&amp;", "&amp;$C87&amp;"; ","")</f>
        <v/>
      </c>
      <c r="BL87" s="333" t="str">
        <f>IF(AND($P$8=1,$B87="Long length",'6a_Health_full_time'!G80&lt;&gt;0),BL$18&amp;", "&amp;BL$19&amp;", "&amp;$A87&amp;", "&amp;$B87&amp;", "&amp;$C87&amp;"; ","")</f>
        <v/>
      </c>
      <c r="BM87" s="335" t="str">
        <f>IF(AND($P$8=1,$B87="Long length",'6a_Health_full_time'!H80&lt;&gt;0),BM$18&amp;", "&amp;BM$19&amp;", "&amp;$A87&amp;", "&amp;$B87&amp;", "&amp;$C87&amp;"; ","")</f>
        <v/>
      </c>
      <c r="BN87" s="335" t="str">
        <f>IF(AND($P$8=1,$B87="Long length",'6a_Health_full_time'!I80&lt;&gt;0),BN$18&amp;", "&amp;BN$19&amp;", "&amp;$A87&amp;", "&amp;$B87&amp;", "&amp;$C87&amp;"; ","")</f>
        <v/>
      </c>
      <c r="BO87" s="131"/>
    </row>
    <row r="88" spans="1:67" ht="13.15" x14ac:dyDescent="0.35">
      <c r="A88" t="s">
        <v>27912</v>
      </c>
      <c r="B88" t="s">
        <v>27892</v>
      </c>
      <c r="C88" t="s">
        <v>27889</v>
      </c>
      <c r="E88" s="118"/>
      <c r="G88" s="333" t="str">
        <f>IF(AND($D$8=1,'6a_Health_full_time'!D81&lt;0),G$18&amp;", "&amp;G$19&amp;", "&amp;$A88&amp;", "&amp;$B88&amp;", "&amp;$C88&amp;"; ","")</f>
        <v/>
      </c>
      <c r="H88" s="108" t="str">
        <f>IF(AND($D$8=1,'6a_Health_full_time'!E81&lt;0),H$18&amp;", "&amp;H$19&amp;", "&amp;$A88&amp;", "&amp;$B88&amp;", "&amp;$C88&amp;"; ","")</f>
        <v/>
      </c>
      <c r="I88" s="108" t="str">
        <f>IF(AND($D$8=1,'6a_Health_full_time'!F81&lt;0),I$18&amp;", "&amp;I$19&amp;", "&amp;$A88&amp;", "&amp;$B88&amp;", "&amp;$C88&amp;"; ","")</f>
        <v/>
      </c>
      <c r="J88" s="333" t="str">
        <f>IF(AND($D$8=1,'6a_Health_full_time'!G81&lt;0),J$18&amp;", "&amp;J$19&amp;", "&amp;$A88&amp;", "&amp;$B88&amp;", "&amp;$C88&amp;"; ","")</f>
        <v/>
      </c>
      <c r="K88" s="108" t="str">
        <f>IF(AND($D$8=1,'6a_Health_full_time'!H81&lt;0),K$18&amp;", "&amp;K$19&amp;", "&amp;$A88&amp;", "&amp;$B88&amp;", "&amp;$C88&amp;"; ","")</f>
        <v/>
      </c>
      <c r="L88" s="210" t="str">
        <f>IF(AND($D$8=1,'6a_Health_full_time'!I81&lt;0),L$18&amp;", "&amp;L$19&amp;", "&amp;$A88&amp;", "&amp;$B88&amp;", "&amp;$C88&amp;"; ","")</f>
        <v/>
      </c>
      <c r="N88" s="118"/>
      <c r="P88" s="333" t="str">
        <f>IF(AND($E$8=1,ABS('6a_Health_full_time'!D81)&lt;&gt;INT(ABS('6a_Health_full_time'!D81))),P$18&amp;", "&amp;P$19&amp;", "&amp;$A88&amp;", "&amp;$B88&amp;", "&amp;$C88&amp;"; ","")</f>
        <v/>
      </c>
      <c r="Q88" s="108" t="str">
        <f>IF(AND($E$8=1,ABS('6a_Health_full_time'!E81)&lt;&gt;INT(ABS('6a_Health_full_time'!E81))),Q$18&amp;", "&amp;Q$19&amp;", "&amp;$A88&amp;", "&amp;$B88&amp;", "&amp;$C88&amp;"; ","")</f>
        <v/>
      </c>
      <c r="R88" s="108" t="str">
        <f>IF(AND($E$8=1,ABS('6a_Health_full_time'!F81)&lt;&gt;INT(ABS('6a_Health_full_time'!F81))),R$18&amp;", "&amp;R$19&amp;", "&amp;$A88&amp;", "&amp;$B88&amp;", "&amp;$C88&amp;"; ","")</f>
        <v/>
      </c>
      <c r="S88" s="333" t="str">
        <f>IF(AND($E$8=1,ABS('6a_Health_full_time'!G81)&lt;&gt;INT(ABS('6a_Health_full_time'!G81))),S$18&amp;", "&amp;S$19&amp;", "&amp;$A88&amp;", "&amp;$B88&amp;", "&amp;$C88&amp;"; ","")</f>
        <v/>
      </c>
      <c r="T88" s="108" t="str">
        <f>IF(AND($E$8=1,ABS('6a_Health_full_time'!H81)&lt;&gt;INT(ABS('6a_Health_full_time'!H81))),T$18&amp;", "&amp;T$19&amp;", "&amp;$A88&amp;", "&amp;$B88&amp;", "&amp;$C88&amp;"; ","")</f>
        <v/>
      </c>
      <c r="U88" s="210" t="str">
        <f>IF(AND($E$8=1,ABS('6a_Health_full_time'!I81)&lt;&gt;INT(ABS('6a_Health_full_time'!I81))),U$18&amp;", "&amp;U$19&amp;", "&amp;$A88&amp;", "&amp;$B88&amp;", "&amp;$C88&amp;"; ","")</f>
        <v/>
      </c>
      <c r="W88" s="118"/>
      <c r="Y88" s="113"/>
      <c r="Z88" s="481"/>
      <c r="AA88" s="481"/>
      <c r="AB88" s="483"/>
      <c r="AC88" s="121"/>
      <c r="AD88" s="121"/>
      <c r="AF88" s="118"/>
      <c r="AG88" s="519" t="s">
        <v>27847</v>
      </c>
      <c r="AJ88" t="s">
        <v>225</v>
      </c>
      <c r="AK88" s="484" t="str">
        <f>$AK$59</f>
        <v/>
      </c>
      <c r="AL88" s="120" t="str">
        <f>$AL$59</f>
        <v/>
      </c>
      <c r="AM88" s="121"/>
      <c r="AN88" s="484" t="str">
        <f>$AN$59</f>
        <v/>
      </c>
      <c r="AO88" s="120" t="str">
        <f>$AO$59</f>
        <v/>
      </c>
      <c r="AP88" s="121"/>
      <c r="AR88" s="118"/>
      <c r="AU88" s="562" t="str">
        <f>IF(AND($I$8=1,ABS(SUM('6a_Health_full_time'!D81:E81))&lt;ABS('6a_Health_full_time'!F81)),AU$18&amp;", "&amp;$A88&amp;", "&amp;$B88&amp;", "&amp;$C88&amp;"; ","")</f>
        <v/>
      </c>
      <c r="AX88" s="484" t="str">
        <f>IF(AND($I$8=1,ABS(SUM('6a_Health_full_time'!G81:H81))&lt;ABS('6a_Health_full_time'!I81)),AX$18&amp;", "&amp;$A88&amp;", "&amp;$B88&amp;", "&amp;$C88&amp;"; ","")</f>
        <v/>
      </c>
      <c r="AY88" s="17"/>
      <c r="BH88" s="130"/>
      <c r="BI88" s="333" t="str">
        <f>IF(AND($P$8=1,$B88="Long length",'6a_Health_full_time'!D81&lt;&gt;0),BI$18&amp;", "&amp;BI$19&amp;", "&amp;$A88&amp;", "&amp;$B88&amp;", "&amp;$C88&amp;"; ","")</f>
        <v/>
      </c>
      <c r="BJ88" s="108" t="str">
        <f>IF(AND($P$8=1,$B88="Long length",'6a_Health_full_time'!E81&lt;&gt;0),BJ$18&amp;", "&amp;BJ$19&amp;", "&amp;$A88&amp;", "&amp;$B88&amp;", "&amp;$C88&amp;"; ","")</f>
        <v/>
      </c>
      <c r="BK88" s="108" t="str">
        <f>IF(AND($P$8=1,$B88="Long length",'6a_Health_full_time'!F81&lt;&gt;0),BK$18&amp;", "&amp;BK$19&amp;", "&amp;$A88&amp;", "&amp;$B88&amp;", "&amp;$C88&amp;"; ","")</f>
        <v/>
      </c>
      <c r="BL88" s="333" t="str">
        <f>IF(AND($P$8=1,$B88="Long length",'6a_Health_full_time'!G81&lt;&gt;0),BL$18&amp;", "&amp;BL$19&amp;", "&amp;$A88&amp;", "&amp;$B88&amp;", "&amp;$C88&amp;"; ","")</f>
        <v/>
      </c>
      <c r="BM88" s="108" t="str">
        <f>IF(AND($P$8=1,$B88="Long length",'6a_Health_full_time'!H81&lt;&gt;0),BM$18&amp;", "&amp;BM$19&amp;", "&amp;$A88&amp;", "&amp;$B88&amp;", "&amp;$C88&amp;"; ","")</f>
        <v/>
      </c>
      <c r="BN88" s="108" t="str">
        <f>IF(AND($P$8=1,$B88="Long length",'6a_Health_full_time'!I81&lt;&gt;0),BN$18&amp;", "&amp;BN$19&amp;", "&amp;$A88&amp;", "&amp;$B88&amp;", "&amp;$C88&amp;"; ","")</f>
        <v/>
      </c>
      <c r="BO88" s="131"/>
    </row>
    <row r="89" spans="1:67" ht="13.15" x14ac:dyDescent="0.35">
      <c r="A89" t="s">
        <v>27912</v>
      </c>
      <c r="B89" t="s">
        <v>27892</v>
      </c>
      <c r="C89" t="s">
        <v>27891</v>
      </c>
      <c r="E89" s="118"/>
      <c r="G89" s="333" t="str">
        <f>IF(AND($D$8=1,'6a_Health_full_time'!D82&lt;0),G$18&amp;", "&amp;G$19&amp;", "&amp;$A89&amp;", "&amp;$B89&amp;", "&amp;$C89&amp;"; ","")</f>
        <v/>
      </c>
      <c r="H89" s="108" t="str">
        <f>IF(AND($D$8=1,'6a_Health_full_time'!E82&lt;0),H$18&amp;", "&amp;H$19&amp;", "&amp;$A89&amp;", "&amp;$B89&amp;", "&amp;$C89&amp;"; ","")</f>
        <v/>
      </c>
      <c r="I89" s="108" t="str">
        <f>IF(AND($D$8=1,'6a_Health_full_time'!F82&lt;0),I$18&amp;", "&amp;I$19&amp;", "&amp;$A89&amp;", "&amp;$B89&amp;", "&amp;$C89&amp;"; ","")</f>
        <v/>
      </c>
      <c r="J89" s="333" t="str">
        <f>IF(AND($D$8=1,'6a_Health_full_time'!G82&lt;0),J$18&amp;", "&amp;J$19&amp;", "&amp;$A89&amp;", "&amp;$B89&amp;", "&amp;$C89&amp;"; ","")</f>
        <v/>
      </c>
      <c r="K89" s="108" t="str">
        <f>IF(AND($D$8=1,'6a_Health_full_time'!H82&lt;0),K$18&amp;", "&amp;K$19&amp;", "&amp;$A89&amp;", "&amp;$B89&amp;", "&amp;$C89&amp;"; ","")</f>
        <v/>
      </c>
      <c r="L89" s="210" t="str">
        <f>IF(AND($D$8=1,'6a_Health_full_time'!I82&lt;0),L$18&amp;", "&amp;L$19&amp;", "&amp;$A89&amp;", "&amp;$B89&amp;", "&amp;$C89&amp;"; ","")</f>
        <v/>
      </c>
      <c r="N89" s="118"/>
      <c r="P89" s="333" t="str">
        <f>IF(AND($E$8=1,ABS('6a_Health_full_time'!D82)&lt;&gt;INT(ABS('6a_Health_full_time'!D82))),P$18&amp;", "&amp;P$19&amp;", "&amp;$A89&amp;", "&amp;$B89&amp;", "&amp;$C89&amp;"; ","")</f>
        <v/>
      </c>
      <c r="Q89" s="108" t="str">
        <f>IF(AND($E$8=1,ABS('6a_Health_full_time'!E82)&lt;&gt;INT(ABS('6a_Health_full_time'!E82))),Q$18&amp;", "&amp;Q$19&amp;", "&amp;$A89&amp;", "&amp;$B89&amp;", "&amp;$C89&amp;"; ","")</f>
        <v/>
      </c>
      <c r="R89" s="108" t="str">
        <f>IF(AND($E$8=1,ABS('6a_Health_full_time'!F82)&lt;&gt;INT(ABS('6a_Health_full_time'!F82))),R$18&amp;", "&amp;R$19&amp;", "&amp;$A89&amp;", "&amp;$B89&amp;", "&amp;$C89&amp;"; ","")</f>
        <v/>
      </c>
      <c r="S89" s="333" t="str">
        <f>IF(AND($E$8=1,ABS('6a_Health_full_time'!G82)&lt;&gt;INT(ABS('6a_Health_full_time'!G82))),S$18&amp;", "&amp;S$19&amp;", "&amp;$A89&amp;", "&amp;$B89&amp;", "&amp;$C89&amp;"; ","")</f>
        <v/>
      </c>
      <c r="T89" s="108" t="str">
        <f>IF(AND($E$8=1,ABS('6a_Health_full_time'!H82)&lt;&gt;INT(ABS('6a_Health_full_time'!H82))),T$18&amp;", "&amp;T$19&amp;", "&amp;$A89&amp;", "&amp;$B89&amp;", "&amp;$C89&amp;"; ","")</f>
        <v/>
      </c>
      <c r="U89" s="210" t="str">
        <f>IF(AND($E$8=1,ABS('6a_Health_full_time'!I82)&lt;&gt;INT(ABS('6a_Health_full_time'!I82))),U$18&amp;", "&amp;U$19&amp;", "&amp;$A89&amp;", "&amp;$B89&amp;", "&amp;$C89&amp;"; ","")</f>
        <v/>
      </c>
      <c r="W89" s="118"/>
      <c r="Y89" s="113"/>
      <c r="Z89" s="481"/>
      <c r="AA89" s="481"/>
      <c r="AB89" s="483"/>
      <c r="AC89" s="121"/>
      <c r="AD89" s="121"/>
      <c r="AF89" s="118"/>
      <c r="AG89" s="519" t="s">
        <v>27847</v>
      </c>
      <c r="AJ89" t="s">
        <v>225</v>
      </c>
      <c r="AK89" s="484" t="str">
        <f>$AK$60</f>
        <v/>
      </c>
      <c r="AL89" s="120" t="str">
        <f>$AL$60</f>
        <v/>
      </c>
      <c r="AM89" s="121"/>
      <c r="AN89" s="484" t="str">
        <f>$AN$60</f>
        <v/>
      </c>
      <c r="AO89" s="120" t="str">
        <f>$AO$60</f>
        <v/>
      </c>
      <c r="AP89" s="121"/>
      <c r="AR89" s="118"/>
      <c r="AU89" s="562" t="str">
        <f>IF(AND($I$8=1,ABS(SUM('6a_Health_full_time'!D82:E82))&lt;ABS('6a_Health_full_time'!F82)),AU$18&amp;", "&amp;$A89&amp;", "&amp;$B89&amp;", "&amp;$C89&amp;"; ","")</f>
        <v/>
      </c>
      <c r="AX89" s="484" t="str">
        <f>IF(AND($I$8=1,ABS(SUM('6a_Health_full_time'!G82:H82))&lt;ABS('6a_Health_full_time'!I82)),AX$18&amp;", "&amp;$A89&amp;", "&amp;$B89&amp;", "&amp;$C89&amp;"; ","")</f>
        <v/>
      </c>
      <c r="AY89" s="17"/>
      <c r="BH89" s="130"/>
      <c r="BI89" s="333" t="str">
        <f>IF(AND($P$8=1,$B89="Long length",'6a_Health_full_time'!D82&lt;&gt;0),BI$18&amp;", "&amp;BI$19&amp;", "&amp;$A89&amp;", "&amp;$B89&amp;", "&amp;$C89&amp;"; ","")</f>
        <v/>
      </c>
      <c r="BJ89" s="108" t="str">
        <f>IF(AND($P$8=1,$B89="Long length",'6a_Health_full_time'!E82&lt;&gt;0),BJ$18&amp;", "&amp;BJ$19&amp;", "&amp;$A89&amp;", "&amp;$B89&amp;", "&amp;$C89&amp;"; ","")</f>
        <v/>
      </c>
      <c r="BK89" s="108" t="str">
        <f>IF(AND($P$8=1,$B89="Long length",'6a_Health_full_time'!F82&lt;&gt;0),BK$18&amp;", "&amp;BK$19&amp;", "&amp;$A89&amp;", "&amp;$B89&amp;", "&amp;$C89&amp;"; ","")</f>
        <v/>
      </c>
      <c r="BL89" s="333" t="str">
        <f>IF(AND($P$8=1,$B89="Long length",'6a_Health_full_time'!G82&lt;&gt;0),BL$18&amp;", "&amp;BL$19&amp;", "&amp;$A89&amp;", "&amp;$B89&amp;", "&amp;$C89&amp;"; ","")</f>
        <v/>
      </c>
      <c r="BM89" s="108" t="str">
        <f>IF(AND($P$8=1,$B89="Long length",'6a_Health_full_time'!H82&lt;&gt;0),BM$18&amp;", "&amp;BM$19&amp;", "&amp;$A89&amp;", "&amp;$B89&amp;", "&amp;$C89&amp;"; ","")</f>
        <v/>
      </c>
      <c r="BN89" s="108" t="str">
        <f>IF(AND($P$8=1,$B89="Long length",'6a_Health_full_time'!I82&lt;&gt;0),BN$18&amp;", "&amp;BN$19&amp;", "&amp;$A89&amp;", "&amp;$B89&amp;", "&amp;$C89&amp;"; ","")</f>
        <v/>
      </c>
      <c r="BO89" s="131"/>
    </row>
    <row r="90" spans="1:67" ht="13.15" x14ac:dyDescent="0.35">
      <c r="A90" t="s">
        <v>27913</v>
      </c>
      <c r="B90" t="s">
        <v>27888</v>
      </c>
      <c r="C90" t="s">
        <v>27889</v>
      </c>
      <c r="E90" s="118"/>
      <c r="G90" s="1879" t="str">
        <f>IF(AND($D$8=1,'6a_Health_full_time'!D83&lt;0),G$18&amp;", "&amp;G$19&amp;", "&amp;$A90&amp;", "&amp;$B90&amp;", "&amp;$C90&amp;"; ","")</f>
        <v/>
      </c>
      <c r="H90" s="1653" t="str">
        <f>IF(AND($D$8=1,'6a_Health_full_time'!E83&lt;0),H$18&amp;", "&amp;H$19&amp;", "&amp;$A90&amp;", "&amp;$B90&amp;", "&amp;$C90&amp;"; ","")</f>
        <v/>
      </c>
      <c r="I90" s="1653" t="str">
        <f>IF(AND($D$8=1,'6a_Health_full_time'!F83&lt;0),I$18&amp;", "&amp;I$19&amp;", "&amp;$A90&amp;", "&amp;$B90&amp;", "&amp;$C90&amp;"; ","")</f>
        <v/>
      </c>
      <c r="J90" s="1879" t="str">
        <f>IF(AND($D$8=1,'6a_Health_full_time'!G83&lt;0),J$18&amp;", "&amp;J$19&amp;", "&amp;$A90&amp;", "&amp;$B90&amp;", "&amp;$C90&amp;"; ","")</f>
        <v/>
      </c>
      <c r="K90" s="1653" t="str">
        <f>IF(AND($D$8=1,'6a_Health_full_time'!H83&lt;0),K$18&amp;", "&amp;K$19&amp;", "&amp;$A90&amp;", "&amp;$B90&amp;", "&amp;$C90&amp;"; ","")</f>
        <v/>
      </c>
      <c r="L90" s="2191" t="str">
        <f>IF(AND($D$8=1,'6a_Health_full_time'!I83&lt;0),L$18&amp;", "&amp;L$19&amp;", "&amp;$A90&amp;", "&amp;$B90&amp;", "&amp;$C90&amp;"; ","")</f>
        <v/>
      </c>
      <c r="N90" s="118"/>
      <c r="P90" s="1879" t="str">
        <f>IF(AND($E$8=1,ABS('6a_Health_full_time'!D83)&lt;&gt;INT(ABS('6a_Health_full_time'!D83))),P$18&amp;", "&amp;P$19&amp;", "&amp;$A90&amp;", "&amp;$B90&amp;", "&amp;$C90&amp;"; ","")</f>
        <v/>
      </c>
      <c r="Q90" s="1653" t="str">
        <f>IF(AND($E$8=1,ABS('6a_Health_full_time'!E83)&lt;&gt;INT(ABS('6a_Health_full_time'!E83))),Q$18&amp;", "&amp;Q$19&amp;", "&amp;$A90&amp;", "&amp;$B90&amp;", "&amp;$C90&amp;"; ","")</f>
        <v/>
      </c>
      <c r="R90" s="1653" t="str">
        <f>IF(AND($E$8=1,ABS('6a_Health_full_time'!F83)&lt;&gt;INT(ABS('6a_Health_full_time'!F83))),R$18&amp;", "&amp;R$19&amp;", "&amp;$A90&amp;", "&amp;$B90&amp;", "&amp;$C90&amp;"; ","")</f>
        <v/>
      </c>
      <c r="S90" s="1879" t="str">
        <f>IF(AND($E$8=1,ABS('6a_Health_full_time'!G83)&lt;&gt;INT(ABS('6a_Health_full_time'!G83))),S$18&amp;", "&amp;S$19&amp;", "&amp;$A90&amp;", "&amp;$B90&amp;", "&amp;$C90&amp;"; ","")</f>
        <v/>
      </c>
      <c r="T90" s="1653" t="str">
        <f>IF(AND($E$8=1,ABS('6a_Health_full_time'!H83)&lt;&gt;INT(ABS('6a_Health_full_time'!H83))),T$18&amp;", "&amp;T$19&amp;", "&amp;$A90&amp;", "&amp;$B90&amp;", "&amp;$C90&amp;"; ","")</f>
        <v/>
      </c>
      <c r="U90" s="2191" t="str">
        <f>IF(AND($E$8=1,ABS('6a_Health_full_time'!I83)&lt;&gt;INT(ABS('6a_Health_full_time'!I83))),U$18&amp;", "&amp;U$19&amp;", "&amp;$A90&amp;", "&amp;$B90&amp;", "&amp;$C90&amp;"; ","")</f>
        <v/>
      </c>
      <c r="W90" s="118"/>
      <c r="Y90" s="1881"/>
      <c r="Z90" s="1882"/>
      <c r="AA90" s="1882"/>
      <c r="AB90" s="1883"/>
      <c r="AC90" s="1884"/>
      <c r="AD90" s="1884"/>
      <c r="AF90" s="118"/>
      <c r="AG90" s="1375" t="s">
        <v>27849</v>
      </c>
      <c r="AJ90" t="s">
        <v>225</v>
      </c>
      <c r="AK90" s="1896" t="str">
        <f>$AK$56</f>
        <v/>
      </c>
      <c r="AL90" s="1892" t="str">
        <f>$AL$56</f>
        <v/>
      </c>
      <c r="AM90" s="1884"/>
      <c r="AN90" s="1896" t="str">
        <f>$AN$56</f>
        <v/>
      </c>
      <c r="AO90" s="1892" t="str">
        <f>$AO$56</f>
        <v/>
      </c>
      <c r="AP90" s="1884"/>
      <c r="AR90" s="118"/>
      <c r="AU90" s="1886" t="str">
        <f>IF(AND($I$8=1,ABS(SUM('6a_Health_full_time'!D83:E83))&lt;ABS('6a_Health_full_time'!F83)),AU$18&amp;", "&amp;$A90&amp;", "&amp;$B90&amp;", "&amp;$C90&amp;"; ","")</f>
        <v/>
      </c>
      <c r="AX90" s="1896" t="str">
        <f>IF(AND($I$8=1,ABS(SUM('6a_Health_full_time'!G83:H83))&lt;ABS('6a_Health_full_time'!I83)),AX$18&amp;", "&amp;$A90&amp;", "&amp;$B90&amp;", "&amp;$C90&amp;"; ","")</f>
        <v/>
      </c>
      <c r="AY90" s="17"/>
      <c r="BH90" s="130"/>
      <c r="BI90" s="1879" t="str">
        <f>IF(AND($P$8=1,$B90="Long length",'6a_Health_full_time'!D83&lt;&gt;0),BI$18&amp;", "&amp;BI$19&amp;", "&amp;$A90&amp;", "&amp;$B90&amp;", "&amp;$C90&amp;"; ","")</f>
        <v/>
      </c>
      <c r="BJ90" s="1653" t="str">
        <f>IF(AND($P$8=1,$B90="Long length",'6a_Health_full_time'!E83&lt;&gt;0),BJ$18&amp;", "&amp;BJ$19&amp;", "&amp;$A90&amp;", "&amp;$B90&amp;", "&amp;$C90&amp;"; ","")</f>
        <v/>
      </c>
      <c r="BK90" s="1653" t="str">
        <f>IF(AND($P$8=1,$B90="Long length",'6a_Health_full_time'!F83&lt;&gt;0),BK$18&amp;", "&amp;BK$19&amp;", "&amp;$A90&amp;", "&amp;$B90&amp;", "&amp;$C90&amp;"; ","")</f>
        <v/>
      </c>
      <c r="BL90" s="1879" t="str">
        <f>IF(AND($P$8=1,$B90="Long length",'6a_Health_full_time'!G83&lt;&gt;0),BL$18&amp;", "&amp;BL$19&amp;", "&amp;$A90&amp;", "&amp;$B90&amp;", "&amp;$C90&amp;"; ","")</f>
        <v/>
      </c>
      <c r="BM90" s="1653" t="str">
        <f>IF(AND($P$8=1,$B90="Long length",'6a_Health_full_time'!H83&lt;&gt;0),BM$18&amp;", "&amp;BM$19&amp;", "&amp;$A90&amp;", "&amp;$B90&amp;", "&amp;$C90&amp;"; ","")</f>
        <v/>
      </c>
      <c r="BN90" s="1653" t="str">
        <f>IF(AND($P$8=1,$B90="Long length",'6a_Health_full_time'!I83&lt;&gt;0),BN$18&amp;", "&amp;BN$19&amp;", "&amp;$A90&amp;", "&amp;$B90&amp;", "&amp;$C90&amp;"; ","")</f>
        <v/>
      </c>
      <c r="BO90" s="131"/>
    </row>
    <row r="91" spans="1:67" ht="13.15" x14ac:dyDescent="0.35">
      <c r="A91" t="s">
        <v>27913</v>
      </c>
      <c r="B91" t="s">
        <v>27888</v>
      </c>
      <c r="C91" t="s">
        <v>27891</v>
      </c>
      <c r="E91" s="118"/>
      <c r="G91" s="333" t="str">
        <f>IF(AND($D$8=1,'6a_Health_full_time'!D84&lt;0),G$18&amp;", "&amp;G$19&amp;", "&amp;$A91&amp;", "&amp;$B91&amp;", "&amp;$C91&amp;"; ","")</f>
        <v/>
      </c>
      <c r="H91" s="108" t="str">
        <f>IF(AND($D$8=1,'6a_Health_full_time'!E84&lt;0),H$18&amp;", "&amp;H$19&amp;", "&amp;$A91&amp;", "&amp;$B91&amp;", "&amp;$C91&amp;"; ","")</f>
        <v/>
      </c>
      <c r="I91" s="108" t="str">
        <f>IF(AND($D$8=1,'6a_Health_full_time'!F84&lt;0),I$18&amp;", "&amp;I$19&amp;", "&amp;$A91&amp;", "&amp;$B91&amp;", "&amp;$C91&amp;"; ","")</f>
        <v/>
      </c>
      <c r="J91" s="333" t="str">
        <f>IF(AND($D$8=1,'6a_Health_full_time'!G84&lt;0),J$18&amp;", "&amp;J$19&amp;", "&amp;$A91&amp;", "&amp;$B91&amp;", "&amp;$C91&amp;"; ","")</f>
        <v/>
      </c>
      <c r="K91" s="108" t="str">
        <f>IF(AND($D$8=1,'6a_Health_full_time'!H84&lt;0),K$18&amp;", "&amp;K$19&amp;", "&amp;$A91&amp;", "&amp;$B91&amp;", "&amp;$C91&amp;"; ","")</f>
        <v/>
      </c>
      <c r="L91" s="210" t="str">
        <f>IF(AND($D$8=1,'6a_Health_full_time'!I84&lt;0),L$18&amp;", "&amp;L$19&amp;", "&amp;$A91&amp;", "&amp;$B91&amp;", "&amp;$C91&amp;"; ","")</f>
        <v/>
      </c>
      <c r="N91" s="118"/>
      <c r="P91" s="333" t="str">
        <f>IF(AND($E$8=1,ABS('6a_Health_full_time'!D84)&lt;&gt;INT(ABS('6a_Health_full_time'!D84))),P$18&amp;", "&amp;P$19&amp;", "&amp;$A91&amp;", "&amp;$B91&amp;", "&amp;$C91&amp;"; ","")</f>
        <v/>
      </c>
      <c r="Q91" s="335" t="str">
        <f>IF(AND($E$8=1,ABS('6a_Health_full_time'!E84)&lt;&gt;INT(ABS('6a_Health_full_time'!E84))),Q$18&amp;", "&amp;Q$19&amp;", "&amp;$A91&amp;", "&amp;$B91&amp;", "&amp;$C91&amp;"; ","")</f>
        <v/>
      </c>
      <c r="R91" s="335" t="str">
        <f>IF(AND($E$8=1,ABS('6a_Health_full_time'!F84)&lt;&gt;INT(ABS('6a_Health_full_time'!F84))),R$18&amp;", "&amp;R$19&amp;", "&amp;$A91&amp;", "&amp;$B91&amp;", "&amp;$C91&amp;"; ","")</f>
        <v/>
      </c>
      <c r="S91" s="333" t="str">
        <f>IF(AND($E$8=1,ABS('6a_Health_full_time'!G84)&lt;&gt;INT(ABS('6a_Health_full_time'!G84))),S$18&amp;", "&amp;S$19&amp;", "&amp;$A91&amp;", "&amp;$B91&amp;", "&amp;$C91&amp;"; ","")</f>
        <v/>
      </c>
      <c r="T91" s="108" t="str">
        <f>IF(AND($E$8=1,ABS('6a_Health_full_time'!H84)&lt;&gt;INT(ABS('6a_Health_full_time'!H84))),T$18&amp;", "&amp;T$19&amp;", "&amp;$A91&amp;", "&amp;$B91&amp;", "&amp;$C91&amp;"; ","")</f>
        <v/>
      </c>
      <c r="U91" s="210" t="str">
        <f>IF(AND($E$8=1,ABS('6a_Health_full_time'!I84)&lt;&gt;INT(ABS('6a_Health_full_time'!I84))),U$18&amp;", "&amp;U$19&amp;", "&amp;$A91&amp;", "&amp;$B91&amp;", "&amp;$C91&amp;"; ","")</f>
        <v/>
      </c>
      <c r="W91" s="118"/>
      <c r="Y91" s="113"/>
      <c r="Z91" s="481"/>
      <c r="AA91" s="481"/>
      <c r="AB91" s="483"/>
      <c r="AC91" s="121"/>
      <c r="AD91" s="121"/>
      <c r="AF91" s="118"/>
      <c r="AG91" s="519" t="s">
        <v>27849</v>
      </c>
      <c r="AJ91" t="s">
        <v>225</v>
      </c>
      <c r="AK91" s="484" t="str">
        <f>$AK$57</f>
        <v/>
      </c>
      <c r="AL91" s="120" t="str">
        <f>$AL$57</f>
        <v/>
      </c>
      <c r="AM91" s="121"/>
      <c r="AN91" s="484" t="str">
        <f>$AN$57</f>
        <v/>
      </c>
      <c r="AO91" s="120" t="str">
        <f>$AO$57</f>
        <v/>
      </c>
      <c r="AP91" s="121"/>
      <c r="AR91" s="118"/>
      <c r="AU91" s="562" t="str">
        <f>IF(AND($I$8=1,ABS(SUM('6a_Health_full_time'!D84:E84))&lt;ABS('6a_Health_full_time'!F84)),AU$18&amp;", "&amp;$A91&amp;", "&amp;$B91&amp;", "&amp;$C91&amp;"; ","")</f>
        <v/>
      </c>
      <c r="AX91" s="484" t="str">
        <f>IF(AND($I$8=1,ABS(SUM('6a_Health_full_time'!G84:H84))&lt;ABS('6a_Health_full_time'!I84)),AX$18&amp;", "&amp;$A91&amp;", "&amp;$B91&amp;", "&amp;$C91&amp;"; ","")</f>
        <v/>
      </c>
      <c r="AY91" s="17"/>
      <c r="BH91" s="130"/>
      <c r="BI91" s="333" t="str">
        <f>IF(AND($P$8=1,$B91="Long length",'6a_Health_full_time'!D84&lt;&gt;0),BI$18&amp;", "&amp;BI$19&amp;", "&amp;$A91&amp;", "&amp;$B91&amp;", "&amp;$C91&amp;"; ","")</f>
        <v/>
      </c>
      <c r="BJ91" s="108" t="str">
        <f>IF(AND($P$8=1,$B91="Long length",'6a_Health_full_time'!E84&lt;&gt;0),BJ$18&amp;", "&amp;BJ$19&amp;", "&amp;$A91&amp;", "&amp;$B91&amp;", "&amp;$C91&amp;"; ","")</f>
        <v/>
      </c>
      <c r="BK91" s="108" t="str">
        <f>IF(AND($P$8=1,$B91="Long length",'6a_Health_full_time'!F84&lt;&gt;0),BK$18&amp;", "&amp;BK$19&amp;", "&amp;$A91&amp;", "&amp;$B91&amp;", "&amp;$C91&amp;"; ","")</f>
        <v/>
      </c>
      <c r="BL91" s="333" t="str">
        <f>IF(AND($P$8=1,$B91="Long length",'6a_Health_full_time'!G84&lt;&gt;0),BL$18&amp;", "&amp;BL$19&amp;", "&amp;$A91&amp;", "&amp;$B91&amp;", "&amp;$C91&amp;"; ","")</f>
        <v/>
      </c>
      <c r="BM91" s="108" t="str">
        <f>IF(AND($P$8=1,$B91="Long length",'6a_Health_full_time'!H84&lt;&gt;0),BM$18&amp;", "&amp;BM$19&amp;", "&amp;$A91&amp;", "&amp;$B91&amp;", "&amp;$C91&amp;"; ","")</f>
        <v/>
      </c>
      <c r="BN91" s="108" t="str">
        <f>IF(AND($P$8=1,$B91="Long length",'6a_Health_full_time'!I84&lt;&gt;0),BN$18&amp;", "&amp;BN$19&amp;", "&amp;$A91&amp;", "&amp;$B91&amp;", "&amp;$C91&amp;"; ","")</f>
        <v/>
      </c>
      <c r="BO91" s="131"/>
    </row>
    <row r="92" spans="1:67" ht="13.15" x14ac:dyDescent="0.35">
      <c r="A92" t="s">
        <v>27913</v>
      </c>
      <c r="B92" t="s">
        <v>27892</v>
      </c>
      <c r="C92" t="s">
        <v>27889</v>
      </c>
      <c r="E92" s="118"/>
      <c r="G92" s="333" t="str">
        <f>IF(AND($D$8=1,'6a_Health_full_time'!D85&lt;0),G$18&amp;", "&amp;G$19&amp;", "&amp;$A92&amp;", "&amp;$B92&amp;", "&amp;$C92&amp;"; ","")</f>
        <v/>
      </c>
      <c r="H92" s="108" t="str">
        <f>IF(AND($D$8=1,'6a_Health_full_time'!E85&lt;0),H$18&amp;", "&amp;H$19&amp;", "&amp;$A92&amp;", "&amp;$B92&amp;", "&amp;$C92&amp;"; ","")</f>
        <v/>
      </c>
      <c r="I92" s="108" t="str">
        <f>IF(AND($D$8=1,'6a_Health_full_time'!F85&lt;0),I$18&amp;", "&amp;I$19&amp;", "&amp;$A92&amp;", "&amp;$B92&amp;", "&amp;$C92&amp;"; ","")</f>
        <v/>
      </c>
      <c r="J92" s="333" t="str">
        <f>IF(AND($D$8=1,'6a_Health_full_time'!G85&lt;0),J$18&amp;", "&amp;J$19&amp;", "&amp;$A92&amp;", "&amp;$B92&amp;", "&amp;$C92&amp;"; ","")</f>
        <v/>
      </c>
      <c r="K92" s="108" t="str">
        <f>IF(AND($D$8=1,'6a_Health_full_time'!H85&lt;0),K$18&amp;", "&amp;K$19&amp;", "&amp;$A92&amp;", "&amp;$B92&amp;", "&amp;$C92&amp;"; ","")</f>
        <v/>
      </c>
      <c r="L92" s="210" t="str">
        <f>IF(AND($D$8=1,'6a_Health_full_time'!I85&lt;0),L$18&amp;", "&amp;L$19&amp;", "&amp;$A92&amp;", "&amp;$B92&amp;", "&amp;$C92&amp;"; ","")</f>
        <v/>
      </c>
      <c r="N92" s="118"/>
      <c r="P92" s="333" t="str">
        <f>IF(AND($E$8=1,ABS('6a_Health_full_time'!D85)&lt;&gt;INT(ABS('6a_Health_full_time'!D85))),P$18&amp;", "&amp;P$19&amp;", "&amp;$A92&amp;", "&amp;$B92&amp;", "&amp;$C92&amp;"; ","")</f>
        <v/>
      </c>
      <c r="Q92" s="108" t="str">
        <f>IF(AND($E$8=1,ABS('6a_Health_full_time'!E85)&lt;&gt;INT(ABS('6a_Health_full_time'!E85))),Q$18&amp;", "&amp;Q$19&amp;", "&amp;$A92&amp;", "&amp;$B92&amp;", "&amp;$C92&amp;"; ","")</f>
        <v/>
      </c>
      <c r="R92" s="108" t="str">
        <f>IF(AND($E$8=1,ABS('6a_Health_full_time'!F85)&lt;&gt;INT(ABS('6a_Health_full_time'!F85))),R$18&amp;", "&amp;R$19&amp;", "&amp;$A92&amp;", "&amp;$B92&amp;", "&amp;$C92&amp;"; ","")</f>
        <v/>
      </c>
      <c r="S92" s="333" t="str">
        <f>IF(AND($E$8=1,ABS('6a_Health_full_time'!G85)&lt;&gt;INT(ABS('6a_Health_full_time'!G85))),S$18&amp;", "&amp;S$19&amp;", "&amp;$A92&amp;", "&amp;$B92&amp;", "&amp;$C92&amp;"; ","")</f>
        <v/>
      </c>
      <c r="T92" s="108" t="str">
        <f>IF(AND($E$8=1,ABS('6a_Health_full_time'!H85)&lt;&gt;INT(ABS('6a_Health_full_time'!H85))),T$18&amp;", "&amp;T$19&amp;", "&amp;$A92&amp;", "&amp;$B92&amp;", "&amp;$C92&amp;"; ","")</f>
        <v/>
      </c>
      <c r="U92" s="210" t="str">
        <f>IF(AND($E$8=1,ABS('6a_Health_full_time'!I85)&lt;&gt;INT(ABS('6a_Health_full_time'!I85))),U$18&amp;", "&amp;U$19&amp;", "&amp;$A92&amp;", "&amp;$B92&amp;", "&amp;$C92&amp;"; ","")</f>
        <v/>
      </c>
      <c r="W92" s="118"/>
      <c r="Y92" s="113"/>
      <c r="Z92" s="481"/>
      <c r="AA92" s="481"/>
      <c r="AB92" s="483"/>
      <c r="AC92" s="121"/>
      <c r="AD92" s="121"/>
      <c r="AF92" s="118"/>
      <c r="AG92" s="519" t="s">
        <v>27849</v>
      </c>
      <c r="AJ92" t="s">
        <v>225</v>
      </c>
      <c r="AK92" s="484" t="str">
        <f>$AK$59</f>
        <v/>
      </c>
      <c r="AL92" s="120" t="str">
        <f>$AL$59</f>
        <v/>
      </c>
      <c r="AM92" s="121"/>
      <c r="AN92" s="484" t="str">
        <f>$AN$59</f>
        <v/>
      </c>
      <c r="AO92" s="120" t="str">
        <f>$AO$59</f>
        <v/>
      </c>
      <c r="AP92" s="121"/>
      <c r="AR92" s="118"/>
      <c r="AU92" s="562" t="str">
        <f>IF(AND($I$8=1,ABS(SUM('6a_Health_full_time'!D85:E85))&lt;ABS('6a_Health_full_time'!F85)),AU$18&amp;", "&amp;$A92&amp;", "&amp;$B92&amp;", "&amp;$C92&amp;"; ","")</f>
        <v/>
      </c>
      <c r="AX92" s="484" t="str">
        <f>IF(AND($I$8=1,ABS(SUM('6a_Health_full_time'!G85:H85))&lt;ABS('6a_Health_full_time'!I85)),AX$18&amp;", "&amp;$A92&amp;", "&amp;$B92&amp;", "&amp;$C92&amp;"; ","")</f>
        <v/>
      </c>
      <c r="AY92" s="17"/>
      <c r="BH92" s="130"/>
      <c r="BI92" s="333" t="str">
        <f>IF(AND($P$8=1,$B92="Long length",'6a_Health_full_time'!D85&lt;&gt;0),BI$18&amp;", "&amp;BI$19&amp;", "&amp;$A92&amp;", "&amp;$B92&amp;", "&amp;$C92&amp;"; ","")</f>
        <v/>
      </c>
      <c r="BJ92" s="108" t="str">
        <f>IF(AND($P$8=1,$B92="Long length",'6a_Health_full_time'!E85&lt;&gt;0),BJ$18&amp;", "&amp;BJ$19&amp;", "&amp;$A92&amp;", "&amp;$B92&amp;", "&amp;$C92&amp;"; ","")</f>
        <v/>
      </c>
      <c r="BK92" s="108" t="str">
        <f>IF(AND($P$8=1,$B92="Long length",'6a_Health_full_time'!F85&lt;&gt;0),BK$18&amp;", "&amp;BK$19&amp;", "&amp;$A92&amp;", "&amp;$B92&amp;", "&amp;$C92&amp;"; ","")</f>
        <v/>
      </c>
      <c r="BL92" s="333" t="str">
        <f>IF(AND($P$8=1,$B92="Long length",'6a_Health_full_time'!G85&lt;&gt;0),BL$18&amp;", "&amp;BL$19&amp;", "&amp;$A92&amp;", "&amp;$B92&amp;", "&amp;$C92&amp;"; ","")</f>
        <v/>
      </c>
      <c r="BM92" s="108" t="str">
        <f>IF(AND($P$8=1,$B92="Long length",'6a_Health_full_time'!H85&lt;&gt;0),BM$18&amp;", "&amp;BM$19&amp;", "&amp;$A92&amp;", "&amp;$B92&amp;", "&amp;$C92&amp;"; ","")</f>
        <v/>
      </c>
      <c r="BN92" s="108" t="str">
        <f>IF(AND($P$8=1,$B92="Long length",'6a_Health_full_time'!I85&lt;&gt;0),BN$18&amp;", "&amp;BN$19&amp;", "&amp;$A92&amp;", "&amp;$B92&amp;", "&amp;$C92&amp;"; ","")</f>
        <v/>
      </c>
      <c r="BO92" s="131"/>
    </row>
    <row r="93" spans="1:67" ht="13.15" x14ac:dyDescent="0.35">
      <c r="A93" t="s">
        <v>27913</v>
      </c>
      <c r="B93" t="s">
        <v>27892</v>
      </c>
      <c r="C93" t="s">
        <v>27891</v>
      </c>
      <c r="E93" s="118"/>
      <c r="G93" s="334" t="str">
        <f>IF(AND($D$8=1,'6a_Health_full_time'!D86&lt;0),G$18&amp;", "&amp;G$19&amp;", "&amp;$A93&amp;", "&amp;$B93&amp;", "&amp;$C93&amp;"; ","")</f>
        <v/>
      </c>
      <c r="H93" s="125" t="str">
        <f>IF(AND($D$8=1,'6a_Health_full_time'!E86&lt;0),H$18&amp;", "&amp;H$19&amp;", "&amp;$A93&amp;", "&amp;$B93&amp;", "&amp;$C93&amp;"; ","")</f>
        <v/>
      </c>
      <c r="I93" s="125" t="str">
        <f>IF(AND($D$8=1,'6a_Health_full_time'!F86&lt;0),I$18&amp;", "&amp;I$19&amp;", "&amp;$A93&amp;", "&amp;$B93&amp;", "&amp;$C93&amp;"; ","")</f>
        <v/>
      </c>
      <c r="J93" s="334" t="str">
        <f>IF(AND($D$8=1,'6a_Health_full_time'!G86&lt;0),J$18&amp;", "&amp;J$19&amp;", "&amp;$A93&amp;", "&amp;$B93&amp;", "&amp;$C93&amp;"; ","")</f>
        <v/>
      </c>
      <c r="K93" s="125" t="str">
        <f>IF(AND($D$8=1,'6a_Health_full_time'!H86&lt;0),K$18&amp;", "&amp;K$19&amp;", "&amp;$A93&amp;", "&amp;$B93&amp;", "&amp;$C93&amp;"; ","")</f>
        <v/>
      </c>
      <c r="L93" s="1386" t="str">
        <f>IF(AND($D$8=1,'6a_Health_full_time'!I86&lt;0),L$18&amp;", "&amp;L$19&amp;", "&amp;$A93&amp;", "&amp;$B93&amp;", "&amp;$C93&amp;"; ","")</f>
        <v/>
      </c>
      <c r="N93" s="118"/>
      <c r="P93" s="334" t="str">
        <f>IF(AND($E$8=1,ABS('6a_Health_full_time'!D86)&lt;&gt;INT(ABS('6a_Health_full_time'!D86))),P$18&amp;", "&amp;P$19&amp;", "&amp;$A93&amp;", "&amp;$B93&amp;", "&amp;$C93&amp;"; ","")</f>
        <v/>
      </c>
      <c r="Q93" s="125" t="str">
        <f>IF(AND($E$8=1,ABS('6a_Health_full_time'!E86)&lt;&gt;INT(ABS('6a_Health_full_time'!E86))),Q$18&amp;", "&amp;Q$19&amp;", "&amp;$A93&amp;", "&amp;$B93&amp;", "&amp;$C93&amp;"; ","")</f>
        <v/>
      </c>
      <c r="R93" s="125" t="str">
        <f>IF(AND($E$8=1,ABS('6a_Health_full_time'!F86)&lt;&gt;INT(ABS('6a_Health_full_time'!F86))),R$18&amp;", "&amp;R$19&amp;", "&amp;$A93&amp;", "&amp;$B93&amp;", "&amp;$C93&amp;"; ","")</f>
        <v/>
      </c>
      <c r="S93" s="334" t="str">
        <f>IF(AND($E$8=1,ABS('6a_Health_full_time'!G86)&lt;&gt;INT(ABS('6a_Health_full_time'!G86))),S$18&amp;", "&amp;S$19&amp;", "&amp;$A93&amp;", "&amp;$B93&amp;", "&amp;$C93&amp;"; ","")</f>
        <v/>
      </c>
      <c r="T93" s="125" t="str">
        <f>IF(AND($E$8=1,ABS('6a_Health_full_time'!H86)&lt;&gt;INT(ABS('6a_Health_full_time'!H86))),T$18&amp;", "&amp;T$19&amp;", "&amp;$A93&amp;", "&amp;$B93&amp;", "&amp;$C93&amp;"; ","")</f>
        <v/>
      </c>
      <c r="U93" s="1386" t="str">
        <f>IF(AND($E$8=1,ABS('6a_Health_full_time'!I86)&lt;&gt;INT(ABS('6a_Health_full_time'!I86))),U$18&amp;", "&amp;U$19&amp;", "&amp;$A93&amp;", "&amp;$B93&amp;", "&amp;$C93&amp;"; ","")</f>
        <v/>
      </c>
      <c r="W93" s="118"/>
      <c r="Y93" s="114"/>
      <c r="Z93" s="482"/>
      <c r="AA93" s="482"/>
      <c r="AB93" s="486"/>
      <c r="AC93" s="332"/>
      <c r="AD93" s="332"/>
      <c r="AF93" s="118"/>
      <c r="AG93" s="519" t="s">
        <v>27849</v>
      </c>
      <c r="AJ93" t="s">
        <v>225</v>
      </c>
      <c r="AK93" s="484" t="str">
        <f>$AK$60</f>
        <v/>
      </c>
      <c r="AL93" s="120" t="str">
        <f>$AL$60</f>
        <v/>
      </c>
      <c r="AM93" s="121"/>
      <c r="AN93" s="484" t="str">
        <f>$AN$60</f>
        <v/>
      </c>
      <c r="AO93" s="120" t="str">
        <f>$AO$60</f>
        <v/>
      </c>
      <c r="AP93" s="121"/>
      <c r="AR93" s="118"/>
      <c r="AU93" s="563" t="str">
        <f>IF(AND($I$8=1,ABS(SUM('6a_Health_full_time'!D86:E86))&lt;ABS('6a_Health_full_time'!F86)),AU$18&amp;", "&amp;$A93&amp;", "&amp;$B93&amp;", "&amp;$C93&amp;"; ","")</f>
        <v/>
      </c>
      <c r="AX93" s="569" t="str">
        <f>IF(AND($I$8=1,ABS(SUM('6a_Health_full_time'!G86:H86))&lt;ABS('6a_Health_full_time'!I86)),AX$18&amp;", "&amp;$A93&amp;", "&amp;$B93&amp;", "&amp;$C93&amp;"; ","")</f>
        <v/>
      </c>
      <c r="AY93" s="17"/>
      <c r="BH93" s="130"/>
      <c r="BI93" s="334" t="str">
        <f>IF(AND($P$8=1,$B93="Long length",'6a_Health_full_time'!D86&lt;&gt;0),BI$18&amp;", "&amp;BI$19&amp;", "&amp;$A93&amp;", "&amp;$B93&amp;", "&amp;$C93&amp;"; ","")</f>
        <v/>
      </c>
      <c r="BJ93" s="125" t="str">
        <f>IF(AND($P$8=1,$B93="Long length",'6a_Health_full_time'!E86&lt;&gt;0),BJ$18&amp;", "&amp;BJ$19&amp;", "&amp;$A93&amp;", "&amp;$B93&amp;", "&amp;$C93&amp;"; ","")</f>
        <v/>
      </c>
      <c r="BK93" s="125" t="str">
        <f>IF(AND($P$8=1,$B93="Long length",'6a_Health_full_time'!F86&lt;&gt;0),BK$18&amp;", "&amp;BK$19&amp;", "&amp;$A93&amp;", "&amp;$B93&amp;", "&amp;$C93&amp;"; ","")</f>
        <v/>
      </c>
      <c r="BL93" s="334" t="str">
        <f>IF(AND($P$8=1,$B93="Long length",'6a_Health_full_time'!G86&lt;&gt;0),BL$18&amp;", "&amp;BL$19&amp;", "&amp;$A93&amp;", "&amp;$B93&amp;", "&amp;$C93&amp;"; ","")</f>
        <v/>
      </c>
      <c r="BM93" s="125" t="str">
        <f>IF(AND($P$8=1,$B93="Long length",'6a_Health_full_time'!H86&lt;&gt;0),BM$18&amp;", "&amp;BM$19&amp;", "&amp;$A93&amp;", "&amp;$B93&amp;", "&amp;$C93&amp;"; ","")</f>
        <v/>
      </c>
      <c r="BN93" s="125" t="str">
        <f>IF(AND($P$8=1,$B93="Long length",'6a_Health_full_time'!I86&lt;&gt;0),BN$18&amp;", "&amp;BN$19&amp;", "&amp;$A93&amp;", "&amp;$B93&amp;", "&amp;$C93&amp;"; ","")</f>
        <v/>
      </c>
      <c r="BO93" s="131"/>
    </row>
    <row r="94" spans="1:67" ht="13.5" x14ac:dyDescent="0.35">
      <c r="A94" t="s">
        <v>27879</v>
      </c>
      <c r="B94" t="s">
        <v>27888</v>
      </c>
      <c r="C94" s="1378" t="s">
        <v>27914</v>
      </c>
      <c r="E94" s="118"/>
      <c r="N94" s="118"/>
      <c r="P94" s="1879" t="str">
        <f>IF(AND($E$8=1,ABS('6a_Health_full_time'!D87)&lt;&gt;INT(ABS('6a_Health_full_time'!D87))),P$18&amp;", "&amp;P$19&amp;", "&amp;$A94&amp;", "&amp;$B94&amp;", "&amp;$C94&amp;"; ","")</f>
        <v/>
      </c>
      <c r="Q94" s="1653" t="str">
        <f>IF(AND($E$8=1,ABS('6a_Health_full_time'!E87)&lt;&gt;INT(ABS('6a_Health_full_time'!E87))),Q$18&amp;", "&amp;Q$19&amp;", "&amp;$A94&amp;", "&amp;$B94&amp;", "&amp;$C94&amp;"; ","")</f>
        <v/>
      </c>
      <c r="R94" s="1653" t="str">
        <f>IF(AND($E$8=1,ABS('6a_Health_full_time'!F87)&lt;&gt;INT(ABS('6a_Health_full_time'!F87))),R$18&amp;", "&amp;R$19&amp;", "&amp;$A94&amp;", "&amp;$B94&amp;", "&amp;$C94&amp;"; ","")</f>
        <v/>
      </c>
      <c r="S94" s="1879" t="str">
        <f>IF(AND($E$8=1,ABS('6a_Health_full_time'!G87)&lt;&gt;INT(ABS('6a_Health_full_time'!G87))),S$18&amp;", "&amp;S$19&amp;", "&amp;$A94&amp;", "&amp;$B94&amp;", "&amp;$C94&amp;"; ","")</f>
        <v/>
      </c>
      <c r="T94" s="1653" t="str">
        <f>IF(AND($E$8=1,ABS('6a_Health_full_time'!H87)&lt;&gt;INT(ABS('6a_Health_full_time'!H87))),T$18&amp;", "&amp;T$19&amp;", "&amp;$A94&amp;", "&amp;$B94&amp;", "&amp;$C94&amp;"; ","")</f>
        <v/>
      </c>
      <c r="U94" s="2191" t="str">
        <f>IF(AND($E$8=1,ABS('6a_Health_full_time'!I87)&lt;&gt;INT(ABS('6a_Health_full_time'!I87))),U$18&amp;", "&amp;U$19&amp;", "&amp;$A94&amp;", "&amp;$B94&amp;", "&amp;$C94&amp;"; ","")</f>
        <v/>
      </c>
      <c r="W94" s="118"/>
      <c r="AF94" s="118"/>
      <c r="AG94" s="1375" t="s">
        <v>27851</v>
      </c>
      <c r="AJ94" s="11" t="s">
        <v>238</v>
      </c>
      <c r="AK94" s="1896" t="str">
        <f>$AK$62</f>
        <v/>
      </c>
      <c r="AL94" s="1892" t="str">
        <f>$AL$62</f>
        <v/>
      </c>
      <c r="AM94" s="1897"/>
      <c r="AN94" s="1896" t="str">
        <f>$AN$62</f>
        <v/>
      </c>
      <c r="AO94" s="1892" t="str">
        <f>$AO$62</f>
        <v/>
      </c>
      <c r="AP94" s="1884"/>
      <c r="AR94" s="118"/>
      <c r="AY94" s="17"/>
      <c r="BH94" s="130"/>
      <c r="BO94" s="131"/>
    </row>
    <row r="95" spans="1:67" ht="13.5" x14ac:dyDescent="0.35">
      <c r="A95" t="s">
        <v>27879</v>
      </c>
      <c r="B95" t="s">
        <v>27888</v>
      </c>
      <c r="C95" s="1378" t="s">
        <v>27915</v>
      </c>
      <c r="E95" s="118"/>
      <c r="G95" s="1835" t="str">
        <f>G20&amp;G22&amp;G24&amp;G26&amp;G28&amp;G29&amp;G30&amp;G31&amp;G32&amp;G33&amp;G34&amp;G35&amp;G36&amp;G37&amp;G38&amp;G39&amp;G40&amp;G41&amp;G42&amp;G43&amp;G44&amp;G45&amp;G46&amp;G47&amp;G48&amp;G49&amp;G50&amp;G51&amp;G52&amp;G53&amp;G54&amp;G55&amp;G56&amp;G57&amp;G58&amp;G59&amp;G60&amp;G61&amp;G62&amp;G63&amp;G64&amp;G65&amp;G66&amp;G67&amp;G68&amp;G69&amp;G70&amp;G71&amp;G72&amp;G73&amp;G74&amp;G75&amp;G76&amp;G77&amp;G78&amp;G79&amp;G80&amp;G81&amp;G82&amp;G83&amp;G84&amp;G85&amp;G86&amp;G87&amp;G88&amp;G89&amp;G90&amp;G91&amp;G92&amp;G93</f>
        <v/>
      </c>
      <c r="H95" s="1835" t="str">
        <f t="shared" ref="H95:L95" si="14">H20&amp;H22&amp;H24&amp;H26&amp;H28&amp;H29&amp;H30&amp;H31&amp;H32&amp;H33&amp;H34&amp;H35&amp;H36&amp;H37&amp;H38&amp;H39&amp;H40&amp;H41&amp;H42&amp;H43&amp;H44&amp;H45&amp;H46&amp;H47&amp;H48&amp;H49&amp;H50&amp;H51&amp;H52&amp;H53&amp;H54&amp;H55&amp;H56&amp;H57&amp;H58&amp;H59&amp;H60&amp;H61&amp;H62&amp;H63&amp;H64&amp;H65&amp;H66&amp;H67&amp;H68&amp;H69&amp;H70&amp;H71&amp;H72&amp;H73&amp;H74&amp;H75&amp;H76&amp;H77&amp;H78&amp;H79&amp;H80&amp;H81&amp;H82&amp;H83&amp;H84&amp;H85&amp;H86&amp;H87&amp;H88&amp;H89&amp;H90&amp;H91&amp;H92&amp;H93</f>
        <v/>
      </c>
      <c r="I95" s="1835" t="str">
        <f t="shared" si="14"/>
        <v/>
      </c>
      <c r="J95" s="1835" t="str">
        <f t="shared" si="14"/>
        <v/>
      </c>
      <c r="K95" s="1835" t="str">
        <f t="shared" si="14"/>
        <v/>
      </c>
      <c r="L95" s="1826" t="str">
        <f t="shared" si="14"/>
        <v/>
      </c>
      <c r="N95" s="118"/>
      <c r="P95" s="333" t="str">
        <f>IF(AND($E$8=1,ABS('6a_Health_full_time'!D88)&lt;&gt;INT(ABS('6a_Health_full_time'!D88))),P$18&amp;", "&amp;P$19&amp;", "&amp;$A95&amp;", "&amp;$B95&amp;", "&amp;$C95&amp;"; ","")</f>
        <v/>
      </c>
      <c r="Q95" s="335" t="str">
        <f>IF(AND($E$8=1,ABS('6a_Health_full_time'!E88)&lt;&gt;INT(ABS('6a_Health_full_time'!E88))),Q$18&amp;", "&amp;Q$19&amp;", "&amp;$A95&amp;", "&amp;$B95&amp;", "&amp;$C95&amp;"; ","")</f>
        <v/>
      </c>
      <c r="R95" s="335" t="str">
        <f>IF(AND($E$8=1,ABS('6a_Health_full_time'!F88)&lt;&gt;INT(ABS('6a_Health_full_time'!F88))),R$18&amp;", "&amp;R$19&amp;", "&amp;$A95&amp;", "&amp;$B95&amp;", "&amp;$C95&amp;"; ","")</f>
        <v/>
      </c>
      <c r="S95" s="333" t="str">
        <f>IF(AND($E$8=1,ABS('6a_Health_full_time'!G88)&lt;&gt;INT(ABS('6a_Health_full_time'!G88))),S$18&amp;", "&amp;S$19&amp;", "&amp;$A95&amp;", "&amp;$B95&amp;", "&amp;$C95&amp;"; ","")</f>
        <v/>
      </c>
      <c r="T95" s="108" t="str">
        <f>IF(AND($E$8=1,ABS('6a_Health_full_time'!H88)&lt;&gt;INT(ABS('6a_Health_full_time'!H88))),T$18&amp;", "&amp;T$19&amp;", "&amp;$A95&amp;", "&amp;$B95&amp;", "&amp;$C95&amp;"; ","")</f>
        <v/>
      </c>
      <c r="U95" s="210" t="str">
        <f>IF(AND($E$8=1,ABS('6a_Health_full_time'!I88)&lt;&gt;INT(ABS('6a_Health_full_time'!I88))),U$18&amp;", "&amp;U$19&amp;", "&amp;$A95&amp;", "&amp;$B95&amp;", "&amp;$C95&amp;"; ","")</f>
        <v/>
      </c>
      <c r="W95" s="118"/>
      <c r="Y95" s="1835" t="str">
        <f t="shared" ref="Y95:AD95" si="15">CONCATENATE(Y38,Y39,Y40,Y41,Y42,Y43,Y44,Y45,Y46,Y47,Y48,Y49,Y50,Y51,Y52,Y53)</f>
        <v/>
      </c>
      <c r="Z95" s="1835" t="str">
        <f t="shared" si="15"/>
        <v/>
      </c>
      <c r="AA95" s="1835" t="str">
        <f t="shared" si="15"/>
        <v/>
      </c>
      <c r="AB95" s="1835" t="str">
        <f t="shared" si="15"/>
        <v/>
      </c>
      <c r="AC95" s="1835" t="str">
        <f t="shared" si="15"/>
        <v/>
      </c>
      <c r="AD95" s="1835" t="str">
        <f t="shared" si="15"/>
        <v/>
      </c>
      <c r="AF95" s="118"/>
      <c r="AG95" s="519" t="s">
        <v>27851</v>
      </c>
      <c r="AJ95" s="11" t="s">
        <v>238</v>
      </c>
      <c r="AK95" s="484" t="str">
        <f>$AK$63</f>
        <v/>
      </c>
      <c r="AL95" s="120" t="str">
        <f>$AL$63</f>
        <v/>
      </c>
      <c r="AM95" s="121"/>
      <c r="AN95" s="484" t="str">
        <f>$AN$63</f>
        <v/>
      </c>
      <c r="AO95" s="120" t="str">
        <f>$AO$63</f>
        <v/>
      </c>
      <c r="AP95" s="121"/>
      <c r="AR95" s="118"/>
      <c r="AU95" s="1840" t="str">
        <f>CONCATENATE(AU20,AU22,AU24,AU26,AU28,AU29,AU30,AU31,AU32,AU33,AU34,AU35,AU36,AU37,AU38,AU39,AU40,AU41,AU42,AU43,AU44,AU45,AU46,AU47,AU48,AU49,AU50,AU51,AU52,AU53,AU54,AU55,AU56,AU57,AU58,AU59,AU60,AU61,AU62,AU63,AU64,AU65,AU66,AU67,AU68,AU69,AU70,AU71,AU72,AU73,AU74,AU75,AU76,AU77,AU78,AU79,AU80,AU81,AU82,AU83,AU84,AU85,AU86,AU87,AU88,AU89,AU90,AU91,AU92,AU93)</f>
        <v/>
      </c>
      <c r="AX95" s="1841" t="str">
        <f>CONCATENATE(AX20,AX22,AX24,AX26,AX28,AX29,AX30,AX31,AX32,AX33,AX34,AX35,AX36,AX37,AX38,AX39,AX40,AX41,AX42,AX43,AX44,AX45,AX46,AX47,AX48,AX49,AX50,AX51,AX52,AX53,AX54,AX55,AX56,AX57,AX58,AX59,AX60,AX61,AX62,AX63,AX64,AX65,AX66,AX67,AX68,AX69,AX70,AX71,AX72,AX73,AX74,AX75,AX76,AX77,AX78,AX79,AX80,AX81,AX82,AX83,AX84,AX85,AX86,AX87,AX88,AX89,AX90,AX91,AX92,AX93)</f>
        <v/>
      </c>
      <c r="AY95" s="17"/>
      <c r="BH95" s="130"/>
      <c r="BI95" s="1826" t="str">
        <f>BI20&amp;BI22&amp;BI24&amp;BI26&amp;BI28&amp;BI29&amp;BI30&amp;BI31&amp;BI32&amp;BI33&amp;BI34&amp;BI35&amp;BI36&amp;BI37&amp;BI38&amp;BI39&amp;BI40&amp;BI41&amp;BI42&amp;BI43&amp;BI44&amp;BI45&amp;BI46&amp;BI47&amp;BI48&amp;BI49&amp;BI50&amp;BI51&amp;BI52&amp;BI53&amp;BI54&amp;BI55&amp;BI56&amp;BI57&amp;BI58&amp;BI59&amp;BI60&amp;BI61&amp;BI62&amp;BI63&amp;BI64&amp;BI65&amp;BI66&amp;BI67&amp;BI68&amp;BI69&amp;BI70&amp;BI71&amp;BI72&amp;BI73&amp;BI74&amp;BI75&amp;BI76&amp;BI77&amp;BI78&amp;BI79&amp;BI80&amp;BI81&amp;BI82&amp;BI83&amp;BI84&amp;BI85&amp;BI86&amp;BI87&amp;BI88&amp;BI89&amp;BI90&amp;BI91&amp;BI92&amp;BI93</f>
        <v/>
      </c>
      <c r="BJ95" s="1826" t="str">
        <f t="shared" ref="BJ95:BN95" si="16">BJ20&amp;BJ22&amp;BJ24&amp;BJ26&amp;BJ28&amp;BJ29&amp;BJ30&amp;BJ31&amp;BJ32&amp;BJ33&amp;BJ34&amp;BJ35&amp;BJ36&amp;BJ37&amp;BJ38&amp;BJ39&amp;BJ40&amp;BJ41&amp;BJ42&amp;BJ43&amp;BJ44&amp;BJ45&amp;BJ46&amp;BJ47&amp;BJ48&amp;BJ49&amp;BJ50&amp;BJ51&amp;BJ52&amp;BJ53&amp;BJ54&amp;BJ55&amp;BJ56&amp;BJ57&amp;BJ58&amp;BJ59&amp;BJ60&amp;BJ61&amp;BJ62&amp;BJ63&amp;BJ64&amp;BJ65&amp;BJ66&amp;BJ67&amp;BJ68&amp;BJ69&amp;BJ70&amp;BJ71&amp;BJ72&amp;BJ73&amp;BJ74&amp;BJ75&amp;BJ76&amp;BJ77&amp;BJ78&amp;BJ79&amp;BJ80&amp;BJ81&amp;BJ82&amp;BJ83&amp;BJ84&amp;BJ85&amp;BJ86&amp;BJ87&amp;BJ88&amp;BJ89&amp;BJ90&amp;BJ91&amp;BJ92&amp;BJ93</f>
        <v/>
      </c>
      <c r="BK95" s="1826" t="str">
        <f t="shared" si="16"/>
        <v/>
      </c>
      <c r="BL95" s="1826" t="str">
        <f t="shared" si="16"/>
        <v/>
      </c>
      <c r="BM95" s="1826" t="str">
        <f t="shared" si="16"/>
        <v/>
      </c>
      <c r="BN95" s="1826" t="str">
        <f t="shared" si="16"/>
        <v/>
      </c>
      <c r="BO95" s="131"/>
    </row>
    <row r="96" spans="1:67" ht="13.5" x14ac:dyDescent="0.35">
      <c r="A96" t="s">
        <v>27879</v>
      </c>
      <c r="B96" t="s">
        <v>27892</v>
      </c>
      <c r="C96" s="1378" t="s">
        <v>27914</v>
      </c>
      <c r="E96" s="118"/>
      <c r="N96" s="118"/>
      <c r="P96" s="333" t="str">
        <f>IF(AND($E$8=1,ABS('6a_Health_full_time'!D89)&lt;&gt;INT(ABS('6a_Health_full_time'!D89))),P$18&amp;", "&amp;P$19&amp;", "&amp;$A96&amp;", "&amp;$B96&amp;", "&amp;$C96&amp;"; ","")</f>
        <v/>
      </c>
      <c r="Q96" s="108" t="str">
        <f>IF(AND($E$8=1,ABS('6a_Health_full_time'!E89)&lt;&gt;INT(ABS('6a_Health_full_time'!E89))),Q$18&amp;", "&amp;Q$19&amp;", "&amp;$A96&amp;", "&amp;$B96&amp;", "&amp;$C96&amp;"; ","")</f>
        <v/>
      </c>
      <c r="R96" s="108" t="str">
        <f>IF(AND($E$8=1,ABS('6a_Health_full_time'!F89)&lt;&gt;INT(ABS('6a_Health_full_time'!F89))),R$18&amp;", "&amp;R$19&amp;", "&amp;$A96&amp;", "&amp;$B96&amp;", "&amp;$C96&amp;"; ","")</f>
        <v/>
      </c>
      <c r="S96" s="333" t="str">
        <f>IF(AND($E$8=1,ABS('6a_Health_full_time'!G89)&lt;&gt;INT(ABS('6a_Health_full_time'!G89))),S$18&amp;", "&amp;S$19&amp;", "&amp;$A96&amp;", "&amp;$B96&amp;", "&amp;$C96&amp;"; ","")</f>
        <v/>
      </c>
      <c r="T96" s="108" t="str">
        <f>IF(AND($E$8=1,ABS('6a_Health_full_time'!H89)&lt;&gt;INT(ABS('6a_Health_full_time'!H89))),T$18&amp;", "&amp;T$19&amp;", "&amp;$A96&amp;", "&amp;$B96&amp;", "&amp;$C96&amp;"; ","")</f>
        <v/>
      </c>
      <c r="U96" s="210" t="str">
        <f>IF(AND($E$8=1,ABS('6a_Health_full_time'!I89)&lt;&gt;INT(ABS('6a_Health_full_time'!I89))),U$18&amp;", "&amp;U$19&amp;", "&amp;$A96&amp;", "&amp;$B96&amp;", "&amp;$C96&amp;"; ","")</f>
        <v/>
      </c>
      <c r="W96" s="118"/>
      <c r="AF96" s="118"/>
      <c r="AG96" s="519" t="s">
        <v>27851</v>
      </c>
      <c r="AJ96" s="11" t="s">
        <v>238</v>
      </c>
      <c r="AK96" s="484" t="str">
        <f>$AK$64</f>
        <v/>
      </c>
      <c r="AL96" s="120" t="str">
        <f>$AL$64</f>
        <v/>
      </c>
      <c r="AM96" s="121"/>
      <c r="AN96" s="484" t="str">
        <f>$AN$64</f>
        <v/>
      </c>
      <c r="AO96" s="120" t="str">
        <f>$AO$64</f>
        <v/>
      </c>
      <c r="AP96" s="121"/>
      <c r="AR96" s="118"/>
      <c r="AY96" s="17"/>
      <c r="BH96" s="130"/>
      <c r="BO96" s="131"/>
    </row>
    <row r="97" spans="1:67" ht="13.5" x14ac:dyDescent="0.35">
      <c r="A97" t="s">
        <v>27879</v>
      </c>
      <c r="B97" t="s">
        <v>27892</v>
      </c>
      <c r="C97" s="1378" t="s">
        <v>27915</v>
      </c>
      <c r="E97" s="118"/>
      <c r="G97" s="1840" t="str">
        <f>G95&amp;H95&amp;I95</f>
        <v/>
      </c>
      <c r="J97" s="1841" t="str">
        <f>J95&amp;K95&amp;L95</f>
        <v/>
      </c>
      <c r="N97" s="118"/>
      <c r="P97" s="334" t="str">
        <f>IF(AND($E$8=1,ABS('6a_Health_full_time'!D90)&lt;&gt;INT(ABS('6a_Health_full_time'!D90))),P$18&amp;", "&amp;P$19&amp;", "&amp;$A97&amp;", "&amp;$B97&amp;", "&amp;$C97&amp;"; ","")</f>
        <v/>
      </c>
      <c r="Q97" s="125" t="str">
        <f>IF(AND($E$8=1,ABS('6a_Health_full_time'!E90)&lt;&gt;INT(ABS('6a_Health_full_time'!E90))),Q$18&amp;", "&amp;Q$19&amp;", "&amp;$A97&amp;", "&amp;$B97&amp;", "&amp;$C97&amp;"; ","")</f>
        <v/>
      </c>
      <c r="R97" s="125" t="str">
        <f>IF(AND($E$8=1,ABS('6a_Health_full_time'!F90)&lt;&gt;INT(ABS('6a_Health_full_time'!F90))),R$18&amp;", "&amp;R$19&amp;", "&amp;$A97&amp;", "&amp;$B97&amp;", "&amp;$C97&amp;"; ","")</f>
        <v/>
      </c>
      <c r="S97" s="334" t="str">
        <f>IF(AND($E$8=1,ABS('6a_Health_full_time'!G90)&lt;&gt;INT(ABS('6a_Health_full_time'!G90))),S$18&amp;", "&amp;S$19&amp;", "&amp;$A97&amp;", "&amp;$B97&amp;", "&amp;$C97&amp;"; ","")</f>
        <v/>
      </c>
      <c r="T97" s="125" t="str">
        <f>IF(AND($E$8=1,ABS('6a_Health_full_time'!H90)&lt;&gt;INT(ABS('6a_Health_full_time'!H90))),T$18&amp;", "&amp;T$19&amp;", "&amp;$A97&amp;", "&amp;$B97&amp;", "&amp;$C97&amp;"; ","")</f>
        <v/>
      </c>
      <c r="U97" s="1386" t="str">
        <f>IF(AND($E$8=1,ABS('6a_Health_full_time'!I90)&lt;&gt;INT(ABS('6a_Health_full_time'!I90))),U$18&amp;", "&amp;U$19&amp;", "&amp;$A97&amp;", "&amp;$B97&amp;", "&amp;$C97&amp;"; ","")</f>
        <v/>
      </c>
      <c r="W97" s="118"/>
      <c r="Y97" s="1840" t="str">
        <f>Y95&amp;Z95&amp;AA95</f>
        <v/>
      </c>
      <c r="AB97" s="1841" t="str">
        <f>AB95&amp;AC95&amp;AD95</f>
        <v/>
      </c>
      <c r="AF97" s="118"/>
      <c r="AG97" s="519" t="s">
        <v>27851</v>
      </c>
      <c r="AJ97" s="11" t="s">
        <v>238</v>
      </c>
      <c r="AK97" s="484" t="str">
        <f>$AK$65</f>
        <v/>
      </c>
      <c r="AL97" s="120" t="str">
        <f>$AL$65</f>
        <v/>
      </c>
      <c r="AM97" s="121"/>
      <c r="AN97" s="484" t="str">
        <f>$AN$65</f>
        <v/>
      </c>
      <c r="AO97" s="120" t="str">
        <f>$AO$65</f>
        <v/>
      </c>
      <c r="AP97" s="121"/>
      <c r="AR97" s="118"/>
      <c r="AU97" s="1898" t="str">
        <f>CONCATENATE(AU95,AX95)</f>
        <v/>
      </c>
      <c r="AY97" s="17"/>
      <c r="BH97" s="130"/>
      <c r="BI97" s="1889" t="str">
        <f>BI95&amp;BJ95&amp;BK95</f>
        <v/>
      </c>
      <c r="BL97" s="2039" t="str">
        <f>BL95&amp;BM95&amp;BN95</f>
        <v/>
      </c>
      <c r="BO97" s="131"/>
    </row>
    <row r="98" spans="1:67" ht="13.15" x14ac:dyDescent="0.35">
      <c r="A98" t="s">
        <v>27879</v>
      </c>
      <c r="C98" t="s">
        <v>27696</v>
      </c>
      <c r="E98" s="118"/>
      <c r="N98" s="118"/>
      <c r="W98" s="118"/>
      <c r="AF98" s="118"/>
      <c r="AG98" s="1375" t="s">
        <v>27853</v>
      </c>
      <c r="AJ98" s="11" t="s">
        <v>238</v>
      </c>
      <c r="AK98" s="1896" t="str">
        <f>$AK$62</f>
        <v/>
      </c>
      <c r="AL98" s="1892" t="str">
        <f>$AL$62</f>
        <v/>
      </c>
      <c r="AM98" s="1884"/>
      <c r="AN98" s="1896" t="str">
        <f>$AN$62</f>
        <v/>
      </c>
      <c r="AO98" s="1892" t="str">
        <f>$AO$62</f>
        <v/>
      </c>
      <c r="AP98" s="1884"/>
      <c r="AR98" s="2193"/>
      <c r="AS98" s="15"/>
      <c r="AT98" s="15"/>
      <c r="AU98" s="15"/>
      <c r="AV98" s="15"/>
      <c r="AW98" s="15"/>
      <c r="AX98" s="15"/>
      <c r="AY98" s="25"/>
      <c r="BH98" s="130"/>
      <c r="BO98" s="131"/>
    </row>
    <row r="99" spans="1:67" ht="13.15" x14ac:dyDescent="0.35">
      <c r="E99" s="118"/>
      <c r="G99" s="1826" t="str">
        <f>G97&amp;J97</f>
        <v/>
      </c>
      <c r="N99" s="118"/>
      <c r="P99" s="1835" t="str">
        <f>P20&amp;P22&amp;P24&amp;P26&amp;P28&amp;P29&amp;P30&amp;P31&amp;P32&amp;P33&amp;P34&amp;P35&amp;P36&amp;P37&amp;P54&amp;P55&amp;P56&amp;P57&amp;P58&amp;P59&amp;P60&amp;P61&amp;P62&amp;P63&amp;P64&amp;P65&amp;P66&amp;P67&amp;P68&amp;P69&amp;P70&amp;P71&amp;P72&amp;P73&amp;P74&amp;P75&amp;P76&amp;P77&amp;P78&amp;P79&amp;P80&amp;P81&amp;P82&amp;P83&amp;P84&amp;P85&amp;P86&amp;P87&amp;P88&amp;P89&amp;P90&amp;P91&amp;P92&amp;P93&amp;P94&amp;P95&amp;P96&amp;P97</f>
        <v/>
      </c>
      <c r="Q99" s="1835" t="str">
        <f t="shared" ref="Q99:U99" si="17">Q20&amp;Q22&amp;Q24&amp;Q26&amp;Q28&amp;Q29&amp;Q30&amp;Q31&amp;Q32&amp;Q33&amp;Q34&amp;Q35&amp;Q36&amp;Q37&amp;Q54&amp;Q55&amp;Q56&amp;Q57&amp;Q58&amp;Q59&amp;Q60&amp;Q61&amp;Q62&amp;Q63&amp;Q64&amp;Q65&amp;Q66&amp;Q67&amp;Q68&amp;Q69&amp;Q70&amp;Q71&amp;Q72&amp;Q73&amp;Q74&amp;Q75&amp;Q76&amp;Q77&amp;Q78&amp;Q79&amp;Q80&amp;Q81&amp;Q82&amp;Q83&amp;Q84&amp;Q85&amp;Q86&amp;Q87&amp;Q88&amp;Q89&amp;Q90&amp;Q91&amp;Q92&amp;Q93&amp;Q94&amp;Q95&amp;Q96&amp;Q97</f>
        <v/>
      </c>
      <c r="R99" s="1835" t="str">
        <f t="shared" si="17"/>
        <v/>
      </c>
      <c r="S99" s="1835" t="str">
        <f t="shared" si="17"/>
        <v/>
      </c>
      <c r="T99" s="1835" t="str">
        <f t="shared" si="17"/>
        <v/>
      </c>
      <c r="U99" s="1826" t="str">
        <f t="shared" si="17"/>
        <v/>
      </c>
      <c r="W99" s="118"/>
      <c r="Y99" s="1826" t="str">
        <f>Y97&amp;AB97</f>
        <v/>
      </c>
      <c r="AF99" s="118"/>
      <c r="AG99" s="519" t="s">
        <v>27853</v>
      </c>
      <c r="AJ99" s="11" t="s">
        <v>238</v>
      </c>
      <c r="AK99" s="484" t="str">
        <f>$AK$63</f>
        <v/>
      </c>
      <c r="AL99" s="120" t="str">
        <f>$AL$63</f>
        <v/>
      </c>
      <c r="AM99" s="121"/>
      <c r="AN99" s="484" t="str">
        <f>$AN$63</f>
        <v/>
      </c>
      <c r="AO99" s="120" t="str">
        <f>$AO$63</f>
        <v/>
      </c>
      <c r="AP99" s="121"/>
      <c r="AR99" s="118"/>
      <c r="BH99" s="130"/>
      <c r="BI99" s="1826" t="str">
        <f>BI97&amp;BL97</f>
        <v/>
      </c>
      <c r="BO99" s="131"/>
    </row>
    <row r="100" spans="1:67" ht="13.15" x14ac:dyDescent="0.35">
      <c r="E100" s="119"/>
      <c r="F100" s="15"/>
      <c r="G100" s="15"/>
      <c r="H100" s="15"/>
      <c r="I100" s="15"/>
      <c r="J100" s="15"/>
      <c r="K100" s="15"/>
      <c r="L100" s="15"/>
      <c r="M100" s="15"/>
      <c r="N100" s="118"/>
      <c r="W100" s="119"/>
      <c r="X100" s="15"/>
      <c r="Y100" s="15"/>
      <c r="Z100" s="15"/>
      <c r="AA100" s="15"/>
      <c r="AB100" s="15"/>
      <c r="AC100" s="15"/>
      <c r="AD100" s="15"/>
      <c r="AE100" s="15"/>
      <c r="AF100" s="118"/>
      <c r="AG100" s="519" t="s">
        <v>27853</v>
      </c>
      <c r="AJ100" s="11" t="s">
        <v>238</v>
      </c>
      <c r="AK100" s="484" t="str">
        <f>$AK$64</f>
        <v/>
      </c>
      <c r="AL100" s="120" t="str">
        <f>$AL$64</f>
        <v/>
      </c>
      <c r="AM100" s="121"/>
      <c r="AN100" s="484" t="str">
        <f>$AN$64</f>
        <v/>
      </c>
      <c r="AO100" s="120" t="str">
        <f>$AO$64</f>
        <v/>
      </c>
      <c r="AP100" s="121"/>
      <c r="AR100" s="118"/>
      <c r="BH100" s="132"/>
      <c r="BI100" s="133"/>
      <c r="BJ100" s="133"/>
      <c r="BK100" s="133"/>
      <c r="BL100" s="133"/>
      <c r="BM100" s="133"/>
      <c r="BN100" s="133"/>
      <c r="BO100" s="134"/>
    </row>
    <row r="101" spans="1:67" ht="13.15" x14ac:dyDescent="0.35">
      <c r="N101" s="118"/>
      <c r="P101" s="1840" t="str">
        <f>P99&amp;Q99&amp;R99</f>
        <v/>
      </c>
      <c r="S101" s="1841" t="str">
        <f>S99&amp;T99&amp;U99</f>
        <v/>
      </c>
      <c r="AC101" s="23"/>
      <c r="AF101" s="118"/>
      <c r="AG101" s="519" t="s">
        <v>27853</v>
      </c>
      <c r="AJ101" s="11" t="s">
        <v>238</v>
      </c>
      <c r="AK101" s="484" t="str">
        <f>$AK$65</f>
        <v/>
      </c>
      <c r="AL101" s="120" t="str">
        <f>$AL$65</f>
        <v/>
      </c>
      <c r="AM101" s="121"/>
      <c r="AN101" s="484" t="str">
        <f>$AN$65</f>
        <v/>
      </c>
      <c r="AO101" s="120" t="str">
        <f>$AO$65</f>
        <v/>
      </c>
      <c r="AP101" s="121"/>
      <c r="AR101" s="118"/>
    </row>
    <row r="102" spans="1:67" ht="13.15" x14ac:dyDescent="0.35">
      <c r="N102" s="118"/>
      <c r="AC102" s="118"/>
      <c r="AF102" s="118"/>
      <c r="AG102" s="1375" t="s">
        <v>27855</v>
      </c>
      <c r="AJ102" s="11" t="s">
        <v>238</v>
      </c>
      <c r="AK102" s="1896" t="str">
        <f>$AK$62</f>
        <v/>
      </c>
      <c r="AL102" s="1892" t="str">
        <f>$AL$62</f>
        <v/>
      </c>
      <c r="AM102" s="1897"/>
      <c r="AN102" s="1896" t="str">
        <f>$AN$62</f>
        <v/>
      </c>
      <c r="AO102" s="1892" t="str">
        <f>$AO$62</f>
        <v/>
      </c>
      <c r="AP102" s="1884"/>
      <c r="AR102" s="118"/>
    </row>
    <row r="103" spans="1:67" ht="13.15" x14ac:dyDescent="0.4">
      <c r="E103" s="6" t="s">
        <v>27735</v>
      </c>
      <c r="N103" s="118"/>
      <c r="P103" s="1826" t="str">
        <f>P101&amp;S101</f>
        <v/>
      </c>
      <c r="AC103" s="118"/>
      <c r="AF103" s="118"/>
      <c r="AG103" s="519" t="s">
        <v>27855</v>
      </c>
      <c r="AJ103" s="11" t="s">
        <v>238</v>
      </c>
      <c r="AK103" s="484" t="str">
        <f>$AK$63</f>
        <v/>
      </c>
      <c r="AL103" s="120" t="str">
        <f>$AL$63</f>
        <v/>
      </c>
      <c r="AM103" s="121"/>
      <c r="AN103" s="484" t="str">
        <f>$AN$63</f>
        <v/>
      </c>
      <c r="AO103" s="120" t="str">
        <f>$AO$63</f>
        <v/>
      </c>
      <c r="AP103" s="121"/>
      <c r="AR103" s="118"/>
    </row>
    <row r="104" spans="1:67" ht="13.15" x14ac:dyDescent="0.35">
      <c r="N104" s="119"/>
      <c r="O104" s="15"/>
      <c r="P104" s="15"/>
      <c r="Q104" s="15"/>
      <c r="R104" s="15"/>
      <c r="S104" s="15"/>
      <c r="T104" s="15"/>
      <c r="U104" s="15"/>
      <c r="V104" s="15"/>
      <c r="AC104" s="118"/>
      <c r="AF104" s="118"/>
      <c r="AG104" s="519" t="s">
        <v>27855</v>
      </c>
      <c r="AJ104" s="11" t="s">
        <v>238</v>
      </c>
      <c r="AK104" s="484" t="str">
        <f>$AK$64</f>
        <v/>
      </c>
      <c r="AL104" s="120" t="str">
        <f>$AL$64</f>
        <v/>
      </c>
      <c r="AM104" s="121"/>
      <c r="AN104" s="484" t="str">
        <f>$AN$64</f>
        <v/>
      </c>
      <c r="AO104" s="120" t="str">
        <f>$AO$64</f>
        <v/>
      </c>
      <c r="AP104" s="121"/>
      <c r="AR104" s="118"/>
    </row>
    <row r="105" spans="1:67" ht="13.15" x14ac:dyDescent="0.35">
      <c r="E105" s="11" t="s">
        <v>28301</v>
      </c>
      <c r="F105" s="11" t="s">
        <v>28302</v>
      </c>
      <c r="G105" s="11" t="s">
        <v>28303</v>
      </c>
      <c r="H105" s="11" t="s">
        <v>28301</v>
      </c>
      <c r="I105" s="11" t="s">
        <v>28302</v>
      </c>
      <c r="J105" s="11" t="s">
        <v>28303</v>
      </c>
      <c r="K105" s="11" t="s">
        <v>28312</v>
      </c>
      <c r="AF105" s="118"/>
      <c r="AG105" s="519" t="s">
        <v>27855</v>
      </c>
      <c r="AJ105" s="11" t="s">
        <v>238</v>
      </c>
      <c r="AK105" s="484" t="str">
        <f>$AK$65</f>
        <v/>
      </c>
      <c r="AL105" s="120" t="str">
        <f>$AL$65</f>
        <v/>
      </c>
      <c r="AM105" s="121"/>
      <c r="AN105" s="484" t="str">
        <f>$AN$65</f>
        <v/>
      </c>
      <c r="AO105" s="120" t="str">
        <f>$AO$65</f>
        <v/>
      </c>
      <c r="AP105" s="121"/>
      <c r="AR105" s="118"/>
    </row>
    <row r="106" spans="1:67" ht="76.5" x14ac:dyDescent="0.35">
      <c r="E106" s="11" t="s">
        <v>27679</v>
      </c>
      <c r="G106" s="184" t="s">
        <v>27916</v>
      </c>
      <c r="H106" s="11" t="s">
        <v>27680</v>
      </c>
      <c r="J106" s="184" t="s">
        <v>27916</v>
      </c>
      <c r="K106" s="11" t="s">
        <v>28274</v>
      </c>
      <c r="M106" s="184" t="s">
        <v>27916</v>
      </c>
      <c r="AF106" s="118"/>
      <c r="AG106" s="1375" t="s">
        <v>27857</v>
      </c>
      <c r="AJ106" s="11" t="s">
        <v>238</v>
      </c>
      <c r="AK106" s="1896" t="str">
        <f>$AK$62</f>
        <v/>
      </c>
      <c r="AL106" s="1892" t="str">
        <f>$AL$62</f>
        <v/>
      </c>
      <c r="AM106" s="1884"/>
      <c r="AN106" s="1896" t="str">
        <f>$AN$62</f>
        <v/>
      </c>
      <c r="AO106" s="1892" t="str">
        <f>$AO$62</f>
        <v/>
      </c>
      <c r="AP106" s="1884"/>
      <c r="AR106" s="118"/>
    </row>
    <row r="107" spans="1:67" ht="13.15" x14ac:dyDescent="0.35">
      <c r="C107" t="s">
        <v>27887</v>
      </c>
      <c r="D107" s="528">
        <v>2</v>
      </c>
      <c r="E107" s="1899">
        <f>IF(OR(G20&lt;&gt;"",P20&lt;&gt;"",AK76&lt;&gt;""),1,0)</f>
        <v>0</v>
      </c>
      <c r="F107" s="1900">
        <f>IF(OR(H20&lt;&gt;"",Q20&lt;&gt;"",AL76&lt;&gt;""),1,0)</f>
        <v>0</v>
      </c>
      <c r="G107" s="1901">
        <f>IF(OR(I20&lt;&gt;"",R20&lt;&gt;"",AU20&lt;&gt;""),1,0)</f>
        <v>0</v>
      </c>
      <c r="H107" s="1899">
        <f>IF(OR(J20&lt;&gt;"",S20&lt;&gt;"",AN76&lt;&gt;""),1,0)</f>
        <v>0</v>
      </c>
      <c r="I107" s="1900">
        <f>IF(OR(K20&lt;&gt;"",T20&lt;&gt;"",AO76&lt;&gt;""),1,0)</f>
        <v>0</v>
      </c>
      <c r="J107" s="1903">
        <f>IF(OR(L20&lt;&gt;"",U20&lt;&gt;"",AX20&lt;&gt;""),1,0)</f>
        <v>0</v>
      </c>
      <c r="K107" s="1899">
        <f>IF(OR(E107=1,H107=1),1,0)</f>
        <v>0</v>
      </c>
      <c r="L107" s="1900">
        <f t="shared" ref="L107:M107" si="18">IF(OR(F107=1,I107=1),1,0)</f>
        <v>0</v>
      </c>
      <c r="M107" s="1903">
        <f t="shared" si="18"/>
        <v>0</v>
      </c>
      <c r="AF107" s="118"/>
      <c r="AG107" s="519" t="s">
        <v>27857</v>
      </c>
      <c r="AJ107" s="11" t="s">
        <v>238</v>
      </c>
      <c r="AK107" s="484" t="str">
        <f>$AK$63</f>
        <v/>
      </c>
      <c r="AL107" s="120" t="str">
        <f>$AL$63</f>
        <v/>
      </c>
      <c r="AM107" s="121"/>
      <c r="AN107" s="484" t="str">
        <f>$AN$63</f>
        <v/>
      </c>
      <c r="AO107" s="120" t="str">
        <f>$AO$63</f>
        <v/>
      </c>
      <c r="AP107" s="121"/>
      <c r="AR107" s="118"/>
    </row>
    <row r="108" spans="1:67" ht="13.15" x14ac:dyDescent="0.35">
      <c r="C108" t="s">
        <v>27887</v>
      </c>
      <c r="D108" s="528">
        <v>2</v>
      </c>
      <c r="E108" s="1658"/>
      <c r="F108" s="442"/>
      <c r="G108" s="443"/>
      <c r="H108" s="444"/>
      <c r="I108" s="442"/>
      <c r="J108" s="441"/>
      <c r="K108" s="1658"/>
      <c r="L108" s="442"/>
      <c r="M108" s="441"/>
      <c r="AF108" s="118"/>
      <c r="AG108" s="519" t="s">
        <v>27857</v>
      </c>
      <c r="AJ108" s="11" t="s">
        <v>238</v>
      </c>
      <c r="AK108" s="484" t="str">
        <f>$AK$64</f>
        <v/>
      </c>
      <c r="AL108" s="120" t="str">
        <f>$AL$64</f>
        <v/>
      </c>
      <c r="AM108" s="121"/>
      <c r="AN108" s="484" t="str">
        <f>$AN$64</f>
        <v/>
      </c>
      <c r="AO108" s="120" t="str">
        <f>$AO$64</f>
        <v/>
      </c>
      <c r="AP108" s="121"/>
      <c r="AR108" s="118"/>
    </row>
    <row r="109" spans="1:67" ht="13.15" x14ac:dyDescent="0.35">
      <c r="C109" t="s">
        <v>27887</v>
      </c>
      <c r="D109" s="528">
        <v>2</v>
      </c>
      <c r="E109" s="445">
        <f t="shared" ref="E109:F109" si="19">IF(OR(G22&lt;&gt;"",P22&lt;&gt;"",AK78&lt;&gt;""),1,0)</f>
        <v>0</v>
      </c>
      <c r="F109" s="446">
        <f t="shared" si="19"/>
        <v>0</v>
      </c>
      <c r="G109" s="447">
        <f t="shared" ref="G109:G124" si="20">IF(OR(I22&lt;&gt;"",R22&lt;&gt;"",AU22&lt;&gt;""),1,0)</f>
        <v>0</v>
      </c>
      <c r="H109" s="448">
        <f t="shared" ref="H109:I109" si="21">IF(OR(J22&lt;&gt;"",S22&lt;&gt;"",AN78&lt;&gt;""),1,0)</f>
        <v>0</v>
      </c>
      <c r="I109" s="449">
        <f t="shared" si="21"/>
        <v>0</v>
      </c>
      <c r="J109" s="450">
        <f t="shared" ref="J109:J124" si="22">IF(OR(L22&lt;&gt;"",U22&lt;&gt;"",AX22&lt;&gt;""),1,0)</f>
        <v>0</v>
      </c>
      <c r="K109" s="445">
        <f t="shared" ref="K109:K171" si="23">IF(OR(E109=1,H109=1),1,0)</f>
        <v>0</v>
      </c>
      <c r="L109" s="449">
        <f t="shared" ref="L109:L171" si="24">IF(OR(F109=1,I109=1),1,0)</f>
        <v>0</v>
      </c>
      <c r="M109" s="450">
        <f t="shared" ref="M109:M171" si="25">IF(OR(G109=1,J109=1),1,0)</f>
        <v>0</v>
      </c>
      <c r="AF109" s="118"/>
      <c r="AG109" s="519" t="s">
        <v>27857</v>
      </c>
      <c r="AJ109" s="11" t="s">
        <v>238</v>
      </c>
      <c r="AK109" s="484" t="str">
        <f>$AK$65</f>
        <v/>
      </c>
      <c r="AL109" s="120" t="str">
        <f>$AL$65</f>
        <v/>
      </c>
      <c r="AM109" s="121"/>
      <c r="AN109" s="484" t="str">
        <f>$AN$65</f>
        <v/>
      </c>
      <c r="AO109" s="120" t="str">
        <f>$AO$65</f>
        <v/>
      </c>
      <c r="AP109" s="332"/>
      <c r="AR109" s="118"/>
    </row>
    <row r="110" spans="1:67" ht="13.15" x14ac:dyDescent="0.35">
      <c r="C110" t="s">
        <v>27887</v>
      </c>
      <c r="D110" s="528">
        <v>2</v>
      </c>
      <c r="E110" s="454"/>
      <c r="F110" s="455"/>
      <c r="G110" s="456"/>
      <c r="H110" s="457"/>
      <c r="I110" s="455"/>
      <c r="J110" s="458"/>
      <c r="K110" s="454"/>
      <c r="L110" s="455"/>
      <c r="M110" s="458"/>
      <c r="AF110" s="118"/>
      <c r="AG110" s="1375" t="s">
        <v>27859</v>
      </c>
      <c r="AJ110" s="11" t="s">
        <v>238</v>
      </c>
      <c r="AK110" s="1896" t="str">
        <f>$AK$62</f>
        <v/>
      </c>
      <c r="AL110" s="1892" t="str">
        <f>$AL$62</f>
        <v/>
      </c>
      <c r="AM110" s="1897"/>
      <c r="AN110" s="1896" t="str">
        <f>$AN$62</f>
        <v/>
      </c>
      <c r="AO110" s="1892" t="str">
        <f>$AO$62</f>
        <v/>
      </c>
      <c r="AP110" s="1884"/>
      <c r="AR110" s="118"/>
    </row>
    <row r="111" spans="1:67" ht="13.15" x14ac:dyDescent="0.35">
      <c r="C111" t="s">
        <v>27893</v>
      </c>
      <c r="D111" s="528">
        <v>2</v>
      </c>
      <c r="E111" s="1899">
        <f t="shared" ref="E111:F111" si="26">IF(OR(G24&lt;&gt;"",P24&lt;&gt;"",AK80&lt;&gt;""),1,0)</f>
        <v>0</v>
      </c>
      <c r="F111" s="1900">
        <f t="shared" si="26"/>
        <v>0</v>
      </c>
      <c r="G111" s="1901">
        <f t="shared" si="20"/>
        <v>0</v>
      </c>
      <c r="H111" s="1902">
        <f t="shared" ref="H111:I111" si="27">IF(OR(J24&lt;&gt;"",S24&lt;&gt;"",AN80&lt;&gt;""),1,0)</f>
        <v>0</v>
      </c>
      <c r="I111" s="1904">
        <f t="shared" si="27"/>
        <v>0</v>
      </c>
      <c r="J111" s="1905">
        <f t="shared" si="22"/>
        <v>0</v>
      </c>
      <c r="K111" s="1899">
        <f t="shared" si="23"/>
        <v>0</v>
      </c>
      <c r="L111" s="1904">
        <f t="shared" si="24"/>
        <v>0</v>
      </c>
      <c r="M111" s="1905">
        <f t="shared" si="25"/>
        <v>0</v>
      </c>
      <c r="AF111" s="118"/>
      <c r="AG111" s="519" t="s">
        <v>27859</v>
      </c>
      <c r="AJ111" s="11" t="s">
        <v>238</v>
      </c>
      <c r="AK111" s="484" t="str">
        <f>$AK$63</f>
        <v/>
      </c>
      <c r="AL111" s="120" t="str">
        <f>$AL$63</f>
        <v/>
      </c>
      <c r="AM111" s="121"/>
      <c r="AN111" s="484" t="str">
        <f>$AN$63</f>
        <v/>
      </c>
      <c r="AO111" s="120" t="str">
        <f>$AO$63</f>
        <v/>
      </c>
      <c r="AP111" s="121"/>
      <c r="AR111" s="118"/>
    </row>
    <row r="112" spans="1:67" ht="13.15" x14ac:dyDescent="0.35">
      <c r="C112" t="s">
        <v>27893</v>
      </c>
      <c r="D112" s="528">
        <v>2</v>
      </c>
      <c r="E112" s="1658"/>
      <c r="F112" s="442"/>
      <c r="G112" s="443"/>
      <c r="H112" s="444"/>
      <c r="I112" s="442"/>
      <c r="J112" s="441"/>
      <c r="K112" s="1658"/>
      <c r="L112" s="442"/>
      <c r="M112" s="441"/>
      <c r="AF112" s="118"/>
      <c r="AG112" s="519" t="s">
        <v>27859</v>
      </c>
      <c r="AJ112" s="11" t="s">
        <v>238</v>
      </c>
      <c r="AK112" s="484" t="str">
        <f>$AK$64</f>
        <v/>
      </c>
      <c r="AL112" s="120" t="str">
        <f>$AL$64</f>
        <v/>
      </c>
      <c r="AM112" s="121"/>
      <c r="AN112" s="484" t="str">
        <f>$AN$64</f>
        <v/>
      </c>
      <c r="AO112" s="120" t="str">
        <f>$AO$64</f>
        <v/>
      </c>
      <c r="AP112" s="121"/>
      <c r="AR112" s="118"/>
    </row>
    <row r="113" spans="3:44" ht="13.15" x14ac:dyDescent="0.35">
      <c r="C113" t="s">
        <v>27893</v>
      </c>
      <c r="D113" s="528">
        <v>2</v>
      </c>
      <c r="E113" s="445">
        <f t="shared" ref="E113:F113" si="28">IF(OR(G26&lt;&gt;"",P26&lt;&gt;"",AK82&lt;&gt;""),1,0)</f>
        <v>0</v>
      </c>
      <c r="F113" s="446">
        <f t="shared" si="28"/>
        <v>0</v>
      </c>
      <c r="G113" s="447">
        <f t="shared" si="20"/>
        <v>0</v>
      </c>
      <c r="H113" s="448">
        <f t="shared" ref="H113:I113" si="29">IF(OR(J26&lt;&gt;"",S26&lt;&gt;"",AN82&lt;&gt;""),1,0)</f>
        <v>0</v>
      </c>
      <c r="I113" s="449">
        <f t="shared" si="29"/>
        <v>0</v>
      </c>
      <c r="J113" s="450">
        <f t="shared" si="22"/>
        <v>0</v>
      </c>
      <c r="K113" s="445">
        <f t="shared" si="23"/>
        <v>0</v>
      </c>
      <c r="L113" s="449">
        <f t="shared" si="24"/>
        <v>0</v>
      </c>
      <c r="M113" s="450">
        <f t="shared" si="25"/>
        <v>0</v>
      </c>
      <c r="AF113" s="118"/>
      <c r="AG113" s="519" t="s">
        <v>27859</v>
      </c>
      <c r="AJ113" s="11" t="s">
        <v>238</v>
      </c>
      <c r="AK113" s="484" t="str">
        <f>$AK$65</f>
        <v/>
      </c>
      <c r="AL113" s="120" t="str">
        <f>$AL$65</f>
        <v/>
      </c>
      <c r="AM113" s="121"/>
      <c r="AN113" s="484" t="str">
        <f>$AN$65</f>
        <v/>
      </c>
      <c r="AO113" s="120" t="str">
        <f>$AO$65</f>
        <v/>
      </c>
      <c r="AP113" s="121"/>
      <c r="AR113" s="118"/>
    </row>
    <row r="114" spans="3:44" ht="13.15" x14ac:dyDescent="0.35">
      <c r="C114" t="s">
        <v>27893</v>
      </c>
      <c r="D114" s="528">
        <v>2</v>
      </c>
      <c r="E114" s="454"/>
      <c r="F114" s="459"/>
      <c r="G114" s="456"/>
      <c r="H114" s="457"/>
      <c r="I114" s="459"/>
      <c r="J114" s="458"/>
      <c r="K114" s="454"/>
      <c r="L114" s="459"/>
      <c r="M114" s="458"/>
      <c r="AF114" s="118"/>
      <c r="AG114" s="1375" t="s">
        <v>27861</v>
      </c>
      <c r="AJ114" s="11" t="s">
        <v>225</v>
      </c>
      <c r="AK114" s="1896" t="str">
        <f>$AK$56</f>
        <v/>
      </c>
      <c r="AL114" s="1892" t="str">
        <f>$AL$56</f>
        <v/>
      </c>
      <c r="AM114" s="1884"/>
      <c r="AN114" s="1896" t="str">
        <f>$AN$56</f>
        <v/>
      </c>
      <c r="AO114" s="1892" t="str">
        <f>$AO$56</f>
        <v/>
      </c>
      <c r="AP114" s="1884"/>
      <c r="AR114" s="118"/>
    </row>
    <row r="115" spans="3:44" ht="13.15" x14ac:dyDescent="0.35">
      <c r="C115" t="s">
        <v>27893</v>
      </c>
      <c r="D115" s="528">
        <v>2</v>
      </c>
      <c r="E115" s="1899">
        <f t="shared" ref="E115:F115" si="30">IF(OR(G28&lt;&gt;"",P28&lt;&gt;"",AK84&lt;&gt;""),1,0)</f>
        <v>0</v>
      </c>
      <c r="F115" s="1906">
        <f t="shared" si="30"/>
        <v>0</v>
      </c>
      <c r="G115" s="1907">
        <f t="shared" si="20"/>
        <v>0</v>
      </c>
      <c r="H115" s="1908">
        <f t="shared" ref="H115:I115" si="31">IF(OR(J28&lt;&gt;"",S28&lt;&gt;"",AN84&lt;&gt;""),1,0)</f>
        <v>0</v>
      </c>
      <c r="I115" s="1900">
        <f t="shared" si="31"/>
        <v>0</v>
      </c>
      <c r="J115" s="1903">
        <f t="shared" si="22"/>
        <v>0</v>
      </c>
      <c r="K115" s="2194">
        <f t="shared" si="23"/>
        <v>0</v>
      </c>
      <c r="L115" s="1900">
        <f t="shared" si="24"/>
        <v>0</v>
      </c>
      <c r="M115" s="1903">
        <f t="shared" si="25"/>
        <v>0</v>
      </c>
      <c r="AF115" s="118"/>
      <c r="AG115" s="519" t="s">
        <v>27861</v>
      </c>
      <c r="AJ115" s="11" t="s">
        <v>225</v>
      </c>
      <c r="AK115" s="484" t="str">
        <f>$AK$57</f>
        <v/>
      </c>
      <c r="AL115" s="120" t="str">
        <f>$AL$57</f>
        <v/>
      </c>
      <c r="AM115" s="121"/>
      <c r="AN115" s="484" t="str">
        <f>$AN$57</f>
        <v/>
      </c>
      <c r="AO115" s="120" t="str">
        <f>$AO$57</f>
        <v/>
      </c>
      <c r="AP115" s="121"/>
      <c r="AR115" s="118"/>
    </row>
    <row r="116" spans="3:44" ht="13.15" x14ac:dyDescent="0.35">
      <c r="C116" t="s">
        <v>27893</v>
      </c>
      <c r="D116" s="528">
        <v>2</v>
      </c>
      <c r="E116" s="1659">
        <f t="shared" ref="E116:F116" si="32">IF(OR(G29&lt;&gt;"",P29&lt;&gt;"",AK85&lt;&gt;""),1,0)</f>
        <v>0</v>
      </c>
      <c r="F116" s="460">
        <f t="shared" si="32"/>
        <v>0</v>
      </c>
      <c r="G116" s="461">
        <f t="shared" si="20"/>
        <v>0</v>
      </c>
      <c r="H116" s="462">
        <f t="shared" ref="H116:I116" si="33">IF(OR(J29&lt;&gt;"",S29&lt;&gt;"",AN85&lt;&gt;""),1,0)</f>
        <v>0</v>
      </c>
      <c r="I116" s="460">
        <f t="shared" si="33"/>
        <v>0</v>
      </c>
      <c r="J116" s="463">
        <f t="shared" si="22"/>
        <v>0</v>
      </c>
      <c r="K116" s="1659">
        <f t="shared" si="23"/>
        <v>0</v>
      </c>
      <c r="L116" s="460">
        <f t="shared" si="24"/>
        <v>0</v>
      </c>
      <c r="M116" s="463">
        <f t="shared" si="25"/>
        <v>0</v>
      </c>
      <c r="AF116" s="118"/>
      <c r="AG116" s="519" t="s">
        <v>27861</v>
      </c>
      <c r="AJ116" s="11" t="s">
        <v>225</v>
      </c>
      <c r="AK116" s="484" t="str">
        <f>$AK$59</f>
        <v/>
      </c>
      <c r="AL116" s="120" t="str">
        <f>$AL$59</f>
        <v/>
      </c>
      <c r="AM116" s="121"/>
      <c r="AN116" s="484" t="str">
        <f>$AN$59</f>
        <v/>
      </c>
      <c r="AO116" s="120" t="str">
        <f>$AO$59</f>
        <v/>
      </c>
      <c r="AP116" s="121"/>
      <c r="AR116" s="118"/>
    </row>
    <row r="117" spans="3:44" ht="13.15" x14ac:dyDescent="0.35">
      <c r="C117" t="s">
        <v>27895</v>
      </c>
      <c r="D117" s="528">
        <v>2</v>
      </c>
      <c r="E117" s="1899">
        <f t="shared" ref="E117:F117" si="34">IF(OR(G30&lt;&gt;"",P30&lt;&gt;"",AK86&lt;&gt;""),1,0)</f>
        <v>0</v>
      </c>
      <c r="F117" s="1906">
        <f t="shared" si="34"/>
        <v>0</v>
      </c>
      <c r="G117" s="1907">
        <f t="shared" si="20"/>
        <v>0</v>
      </c>
      <c r="H117" s="1908">
        <f t="shared" ref="H117:I117" si="35">IF(OR(J30&lt;&gt;"",S30&lt;&gt;"",AN86&lt;&gt;""),1,0)</f>
        <v>0</v>
      </c>
      <c r="I117" s="1900">
        <f t="shared" si="35"/>
        <v>0</v>
      </c>
      <c r="J117" s="1903">
        <f t="shared" si="22"/>
        <v>0</v>
      </c>
      <c r="K117" s="2194">
        <f t="shared" si="23"/>
        <v>0</v>
      </c>
      <c r="L117" s="1900">
        <f t="shared" si="24"/>
        <v>0</v>
      </c>
      <c r="M117" s="1903">
        <f t="shared" si="25"/>
        <v>0</v>
      </c>
      <c r="AF117" s="118"/>
      <c r="AG117" s="519" t="s">
        <v>27861</v>
      </c>
      <c r="AJ117" s="11" t="s">
        <v>225</v>
      </c>
      <c r="AK117" s="484" t="str">
        <f>$AK$60</f>
        <v/>
      </c>
      <c r="AL117" s="120" t="str">
        <f>$AL$60</f>
        <v/>
      </c>
      <c r="AM117" s="121"/>
      <c r="AN117" s="484" t="str">
        <f>$AN$60</f>
        <v/>
      </c>
      <c r="AO117" s="120" t="str">
        <f>$AO$60</f>
        <v/>
      </c>
      <c r="AP117" s="121"/>
      <c r="AR117" s="118"/>
    </row>
    <row r="118" spans="3:44" ht="13.15" x14ac:dyDescent="0.35">
      <c r="C118" t="s">
        <v>27895</v>
      </c>
      <c r="D118" s="528">
        <v>2</v>
      </c>
      <c r="E118" s="1659">
        <f t="shared" ref="E118:F118" si="36">IF(OR(G31&lt;&gt;"",P31&lt;&gt;"",AK87&lt;&gt;""),1,0)</f>
        <v>0</v>
      </c>
      <c r="F118" s="460">
        <f t="shared" si="36"/>
        <v>0</v>
      </c>
      <c r="G118" s="461">
        <f t="shared" si="20"/>
        <v>0</v>
      </c>
      <c r="H118" s="462">
        <f t="shared" ref="H118:I118" si="37">IF(OR(J31&lt;&gt;"",S31&lt;&gt;"",AN87&lt;&gt;""),1,0)</f>
        <v>0</v>
      </c>
      <c r="I118" s="460">
        <f t="shared" si="37"/>
        <v>0</v>
      </c>
      <c r="J118" s="463">
        <f t="shared" si="22"/>
        <v>0</v>
      </c>
      <c r="K118" s="1659">
        <f t="shared" si="23"/>
        <v>0</v>
      </c>
      <c r="L118" s="460">
        <f t="shared" si="24"/>
        <v>0</v>
      </c>
      <c r="M118" s="463">
        <f t="shared" si="25"/>
        <v>0</v>
      </c>
      <c r="AF118" s="118"/>
      <c r="AG118" s="1375" t="s">
        <v>27863</v>
      </c>
      <c r="AJ118" s="11" t="s">
        <v>225</v>
      </c>
      <c r="AK118" s="1896" t="str">
        <f>$AK$56</f>
        <v/>
      </c>
      <c r="AL118" s="1892" t="str">
        <f>$AL$56</f>
        <v/>
      </c>
      <c r="AM118" s="1897"/>
      <c r="AN118" s="1896" t="str">
        <f>$AN$56</f>
        <v/>
      </c>
      <c r="AO118" s="1892" t="str">
        <f>$AO$56</f>
        <v/>
      </c>
      <c r="AP118" s="1884"/>
      <c r="AR118" s="118"/>
    </row>
    <row r="119" spans="3:44" ht="13.15" x14ac:dyDescent="0.35">
      <c r="C119" t="s">
        <v>27895</v>
      </c>
      <c r="D119" s="528">
        <v>2</v>
      </c>
      <c r="E119" s="445">
        <f t="shared" ref="E119:F119" si="38">IF(OR(G32&lt;&gt;"",P32&lt;&gt;"",AK88&lt;&gt;""),1,0)</f>
        <v>0</v>
      </c>
      <c r="F119" s="446">
        <f t="shared" si="38"/>
        <v>0</v>
      </c>
      <c r="G119" s="447">
        <f t="shared" si="20"/>
        <v>0</v>
      </c>
      <c r="H119" s="448">
        <f t="shared" ref="H119:I119" si="39">IF(OR(J32&lt;&gt;"",S32&lt;&gt;"",AN88&lt;&gt;""),1,0)</f>
        <v>0</v>
      </c>
      <c r="I119" s="446">
        <f t="shared" si="39"/>
        <v>0</v>
      </c>
      <c r="J119" s="466">
        <f t="shared" si="22"/>
        <v>0</v>
      </c>
      <c r="K119" s="445">
        <f t="shared" si="23"/>
        <v>0</v>
      </c>
      <c r="L119" s="446">
        <f t="shared" si="24"/>
        <v>0</v>
      </c>
      <c r="M119" s="466">
        <f t="shared" si="25"/>
        <v>0</v>
      </c>
      <c r="AF119" s="118"/>
      <c r="AG119" s="519" t="s">
        <v>27863</v>
      </c>
      <c r="AJ119" s="11" t="s">
        <v>225</v>
      </c>
      <c r="AK119" s="484" t="str">
        <f>$AK$57</f>
        <v/>
      </c>
      <c r="AL119" s="120" t="str">
        <f>$AL$57</f>
        <v/>
      </c>
      <c r="AM119" s="121"/>
      <c r="AN119" s="484" t="str">
        <f>$AN$57</f>
        <v/>
      </c>
      <c r="AO119" s="120" t="str">
        <f>$AO$57</f>
        <v/>
      </c>
      <c r="AP119" s="121"/>
      <c r="AR119" s="118"/>
    </row>
    <row r="120" spans="3:44" ht="13.15" x14ac:dyDescent="0.35">
      <c r="C120" t="s">
        <v>27895</v>
      </c>
      <c r="D120" s="528">
        <v>2</v>
      </c>
      <c r="E120" s="467">
        <f t="shared" ref="E120:F120" si="40">IF(OR(G33&lt;&gt;"",P33&lt;&gt;"",AK89&lt;&gt;""),1,0)</f>
        <v>0</v>
      </c>
      <c r="F120" s="468">
        <f t="shared" si="40"/>
        <v>0</v>
      </c>
      <c r="G120" s="469">
        <f t="shared" si="20"/>
        <v>0</v>
      </c>
      <c r="H120" s="470">
        <f t="shared" ref="H120:I120" si="41">IF(OR(J33&lt;&gt;"",S33&lt;&gt;"",AN89&lt;&gt;""),1,0)</f>
        <v>0</v>
      </c>
      <c r="I120" s="468">
        <f t="shared" si="41"/>
        <v>0</v>
      </c>
      <c r="J120" s="471">
        <f t="shared" si="22"/>
        <v>0</v>
      </c>
      <c r="K120" s="467">
        <f t="shared" si="23"/>
        <v>0</v>
      </c>
      <c r="L120" s="468">
        <f t="shared" si="24"/>
        <v>0</v>
      </c>
      <c r="M120" s="471">
        <f t="shared" si="25"/>
        <v>0</v>
      </c>
      <c r="AF120" s="118"/>
      <c r="AG120" s="519" t="s">
        <v>27863</v>
      </c>
      <c r="AJ120" s="11" t="s">
        <v>225</v>
      </c>
      <c r="AK120" s="484" t="str">
        <f>$AK$59</f>
        <v/>
      </c>
      <c r="AL120" s="120" t="str">
        <f>$AL$59</f>
        <v/>
      </c>
      <c r="AM120" s="121"/>
      <c r="AN120" s="484" t="str">
        <f>$AN$59</f>
        <v/>
      </c>
      <c r="AO120" s="120" t="str">
        <f>$AO$59</f>
        <v/>
      </c>
      <c r="AP120" s="121"/>
      <c r="AR120" s="118"/>
    </row>
    <row r="121" spans="3:44" ht="13.15" x14ac:dyDescent="0.35">
      <c r="C121" t="s">
        <v>27896</v>
      </c>
      <c r="D121" s="528">
        <v>2</v>
      </c>
      <c r="E121" s="1899">
        <f t="shared" ref="E121:F121" si="42">IF(OR(G34&lt;&gt;"",P34&lt;&gt;"",AK90&lt;&gt;""),1,0)</f>
        <v>0</v>
      </c>
      <c r="F121" s="1900">
        <f t="shared" si="42"/>
        <v>0</v>
      </c>
      <c r="G121" s="1901">
        <f t="shared" si="20"/>
        <v>0</v>
      </c>
      <c r="H121" s="1902">
        <f t="shared" ref="H121:I121" si="43">IF(OR(J34&lt;&gt;"",S34&lt;&gt;"",AN90&lt;&gt;""),1,0)</f>
        <v>0</v>
      </c>
      <c r="I121" s="1900">
        <f t="shared" si="43"/>
        <v>0</v>
      </c>
      <c r="J121" s="1903">
        <f t="shared" si="22"/>
        <v>0</v>
      </c>
      <c r="K121" s="1899">
        <f t="shared" si="23"/>
        <v>0</v>
      </c>
      <c r="L121" s="1900">
        <f t="shared" si="24"/>
        <v>0</v>
      </c>
      <c r="M121" s="1903">
        <f t="shared" si="25"/>
        <v>0</v>
      </c>
      <c r="AF121" s="118"/>
      <c r="AG121" s="519" t="s">
        <v>27863</v>
      </c>
      <c r="AJ121" s="11" t="s">
        <v>225</v>
      </c>
      <c r="AK121" s="484" t="str">
        <f>$AK$60</f>
        <v/>
      </c>
      <c r="AL121" s="120" t="str">
        <f>$AL$60</f>
        <v/>
      </c>
      <c r="AM121" s="121"/>
      <c r="AN121" s="484" t="str">
        <f>$AN$60</f>
        <v/>
      </c>
      <c r="AO121" s="120" t="str">
        <f>$AO$60</f>
        <v/>
      </c>
      <c r="AP121" s="121"/>
      <c r="AR121" s="118"/>
    </row>
    <row r="122" spans="3:44" ht="13.15" x14ac:dyDescent="0.35">
      <c r="C122" t="s">
        <v>27896</v>
      </c>
      <c r="D122" s="528">
        <v>2</v>
      </c>
      <c r="E122" s="1659">
        <f t="shared" ref="E122:F122" si="44">IF(OR(G35&lt;&gt;"",P35&lt;&gt;"",AK91&lt;&gt;""),1,0)</f>
        <v>0</v>
      </c>
      <c r="F122" s="460">
        <f t="shared" si="44"/>
        <v>0</v>
      </c>
      <c r="G122" s="461">
        <f t="shared" si="20"/>
        <v>0</v>
      </c>
      <c r="H122" s="462">
        <f t="shared" ref="H122:I122" si="45">IF(OR(J35&lt;&gt;"",S35&lt;&gt;"",AN91&lt;&gt;""),1,0)</f>
        <v>0</v>
      </c>
      <c r="I122" s="460">
        <f t="shared" si="45"/>
        <v>0</v>
      </c>
      <c r="J122" s="463">
        <f t="shared" si="22"/>
        <v>0</v>
      </c>
      <c r="K122" s="1659">
        <f t="shared" si="23"/>
        <v>0</v>
      </c>
      <c r="L122" s="460">
        <f t="shared" si="24"/>
        <v>0</v>
      </c>
      <c r="M122" s="463">
        <f t="shared" si="25"/>
        <v>0</v>
      </c>
      <c r="AF122" s="118"/>
      <c r="AG122" s="1375" t="s">
        <v>27865</v>
      </c>
      <c r="AJ122" s="11" t="s">
        <v>225</v>
      </c>
      <c r="AK122" s="1896" t="str">
        <f>$AK$56</f>
        <v/>
      </c>
      <c r="AL122" s="1892" t="str">
        <f>$AL$56</f>
        <v/>
      </c>
      <c r="AM122" s="1884"/>
      <c r="AN122" s="1896" t="str">
        <f>$AN$56</f>
        <v/>
      </c>
      <c r="AO122" s="1892" t="str">
        <f>$AO$56</f>
        <v/>
      </c>
      <c r="AP122" s="1884"/>
      <c r="AR122" s="118"/>
    </row>
    <row r="123" spans="3:44" ht="13.15" x14ac:dyDescent="0.35">
      <c r="C123" t="s">
        <v>27896</v>
      </c>
      <c r="D123" s="528">
        <v>2</v>
      </c>
      <c r="E123" s="445">
        <f t="shared" ref="E123:F123" si="46">IF(OR(G36&lt;&gt;"",P36&lt;&gt;"",AK92&lt;&gt;""),1,0)</f>
        <v>0</v>
      </c>
      <c r="F123" s="446">
        <f t="shared" si="46"/>
        <v>0</v>
      </c>
      <c r="G123" s="447">
        <f t="shared" si="20"/>
        <v>0</v>
      </c>
      <c r="H123" s="448">
        <f t="shared" ref="H123:I123" si="47">IF(OR(J36&lt;&gt;"",S36&lt;&gt;"",AN92&lt;&gt;""),1,0)</f>
        <v>0</v>
      </c>
      <c r="I123" s="446">
        <f t="shared" si="47"/>
        <v>0</v>
      </c>
      <c r="J123" s="466">
        <f t="shared" si="22"/>
        <v>0</v>
      </c>
      <c r="K123" s="445">
        <f t="shared" si="23"/>
        <v>0</v>
      </c>
      <c r="L123" s="446">
        <f t="shared" si="24"/>
        <v>0</v>
      </c>
      <c r="M123" s="466">
        <f t="shared" si="25"/>
        <v>0</v>
      </c>
      <c r="AF123" s="118"/>
      <c r="AG123" s="519" t="s">
        <v>27865</v>
      </c>
      <c r="AJ123" s="11" t="s">
        <v>225</v>
      </c>
      <c r="AK123" s="484" t="str">
        <f>$AK$57</f>
        <v/>
      </c>
      <c r="AL123" s="120" t="str">
        <f>$AL$57</f>
        <v/>
      </c>
      <c r="AM123" s="121"/>
      <c r="AN123" s="484" t="str">
        <f>$AN$57</f>
        <v/>
      </c>
      <c r="AO123" s="120" t="str">
        <f>$AO$57</f>
        <v/>
      </c>
      <c r="AP123" s="121"/>
      <c r="AR123" s="118"/>
    </row>
    <row r="124" spans="3:44" ht="13.15" x14ac:dyDescent="0.35">
      <c r="C124" t="s">
        <v>27896</v>
      </c>
      <c r="D124" s="528">
        <v>2</v>
      </c>
      <c r="E124" s="467">
        <f t="shared" ref="E124:F124" si="48">IF(OR(G37&lt;&gt;"",P37&lt;&gt;"",AK93&lt;&gt;""),1,0)</f>
        <v>0</v>
      </c>
      <c r="F124" s="468">
        <f t="shared" si="48"/>
        <v>0</v>
      </c>
      <c r="G124" s="469">
        <f t="shared" si="20"/>
        <v>0</v>
      </c>
      <c r="H124" s="470">
        <f t="shared" ref="H124:I124" si="49">IF(OR(J37&lt;&gt;"",S37&lt;&gt;"",AN93&lt;&gt;""),1,0)</f>
        <v>0</v>
      </c>
      <c r="I124" s="468">
        <f t="shared" si="49"/>
        <v>0</v>
      </c>
      <c r="J124" s="471">
        <f t="shared" si="22"/>
        <v>0</v>
      </c>
      <c r="K124" s="467">
        <f t="shared" si="23"/>
        <v>0</v>
      </c>
      <c r="L124" s="468">
        <f t="shared" si="24"/>
        <v>0</v>
      </c>
      <c r="M124" s="471">
        <f t="shared" si="25"/>
        <v>0</v>
      </c>
      <c r="AF124" s="118"/>
      <c r="AG124" s="519" t="s">
        <v>27865</v>
      </c>
      <c r="AJ124" s="11" t="s">
        <v>225</v>
      </c>
      <c r="AK124" s="484" t="str">
        <f>$AK$59</f>
        <v/>
      </c>
      <c r="AL124" s="120" t="str">
        <f>$AL$59</f>
        <v/>
      </c>
      <c r="AM124" s="121"/>
      <c r="AN124" s="484" t="str">
        <f>$AN$59</f>
        <v/>
      </c>
      <c r="AO124" s="120" t="str">
        <f>$AO$59</f>
        <v/>
      </c>
      <c r="AP124" s="121"/>
      <c r="AR124" s="118"/>
    </row>
    <row r="125" spans="3:44" ht="13.15" x14ac:dyDescent="0.35">
      <c r="C125" t="s">
        <v>27897</v>
      </c>
      <c r="D125" s="528">
        <v>3</v>
      </c>
      <c r="E125" s="1899">
        <f>IF(OR(G38&lt;&gt;"",Y38&lt;&gt;"",AK94&lt;&gt;""),1,0)</f>
        <v>0</v>
      </c>
      <c r="F125" s="1900">
        <f>IF(OR(H38&lt;&gt;"",Z38&lt;&gt;"",AL94&lt;&gt;""),1,0)</f>
        <v>0</v>
      </c>
      <c r="G125" s="1901">
        <f>IF(OR(I38&lt;&gt;"",AA38&lt;&gt;"",AU38&lt;&gt;""),1,0)</f>
        <v>0</v>
      </c>
      <c r="H125" s="1902">
        <f>IF(OR(J38&lt;&gt;"",AB38&lt;&gt;"",AN94&lt;&gt;""),1,0)</f>
        <v>0</v>
      </c>
      <c r="I125" s="1900">
        <f>IF(OR(K38&lt;&gt;"",AC38&lt;&gt;"",AO94&lt;&gt;""),1,0)</f>
        <v>0</v>
      </c>
      <c r="J125" s="1903">
        <f>IF(OR(L38&lt;&gt;"",AD38&lt;&gt;"",AX38&lt;&gt;""),1,0)</f>
        <v>0</v>
      </c>
      <c r="K125" s="1899">
        <f t="shared" si="23"/>
        <v>0</v>
      </c>
      <c r="L125" s="1900">
        <f t="shared" si="24"/>
        <v>0</v>
      </c>
      <c r="M125" s="1903">
        <f t="shared" si="25"/>
        <v>0</v>
      </c>
      <c r="N125" t="s">
        <v>29199</v>
      </c>
      <c r="Q125" s="11"/>
      <c r="AF125" s="118"/>
      <c r="AG125" s="519" t="s">
        <v>27865</v>
      </c>
      <c r="AJ125" s="11" t="s">
        <v>225</v>
      </c>
      <c r="AK125" s="484" t="str">
        <f>$AK$60</f>
        <v/>
      </c>
      <c r="AL125" s="120" t="str">
        <f>$AL$60</f>
        <v/>
      </c>
      <c r="AM125" s="121"/>
      <c r="AN125" s="484" t="str">
        <f>$AN$60</f>
        <v/>
      </c>
      <c r="AO125" s="120" t="str">
        <f>$AO$60</f>
        <v/>
      </c>
      <c r="AP125" s="121"/>
      <c r="AR125" s="118"/>
    </row>
    <row r="126" spans="3:44" ht="13.15" x14ac:dyDescent="0.35">
      <c r="C126" t="s">
        <v>27897</v>
      </c>
      <c r="D126" s="528">
        <v>3</v>
      </c>
      <c r="E126" s="1659">
        <f t="shared" ref="E126:F126" si="50">IF(OR(G39&lt;&gt;"",Y39&lt;&gt;"",AK95&lt;&gt;""),1,0)</f>
        <v>0</v>
      </c>
      <c r="F126" s="460">
        <f t="shared" si="50"/>
        <v>0</v>
      </c>
      <c r="G126" s="461">
        <f t="shared" ref="G126:G140" si="51">IF(OR(I39&lt;&gt;"",AA39&lt;&gt;"",AU39&lt;&gt;""),1,0)</f>
        <v>0</v>
      </c>
      <c r="H126" s="462">
        <f t="shared" ref="H126:I126" si="52">IF(OR(J39&lt;&gt;"",AB39&lt;&gt;"",AN95&lt;&gt;""),1,0)</f>
        <v>0</v>
      </c>
      <c r="I126" s="460">
        <f t="shared" si="52"/>
        <v>0</v>
      </c>
      <c r="J126" s="463">
        <f t="shared" ref="J126:J140" si="53">IF(OR(L39&lt;&gt;"",AD39&lt;&gt;"",AX39&lt;&gt;""),1,0)</f>
        <v>0</v>
      </c>
      <c r="K126" s="1659">
        <f t="shared" si="23"/>
        <v>0</v>
      </c>
      <c r="L126" s="460">
        <f t="shared" si="24"/>
        <v>0</v>
      </c>
      <c r="M126" s="463">
        <f t="shared" si="25"/>
        <v>0</v>
      </c>
      <c r="N126" t="s">
        <v>29199</v>
      </c>
      <c r="AF126" s="118"/>
      <c r="AG126" s="1375" t="s">
        <v>27867</v>
      </c>
      <c r="AJ126" s="11" t="s">
        <v>225</v>
      </c>
      <c r="AK126" s="1896" t="str">
        <f>$AK$56</f>
        <v/>
      </c>
      <c r="AL126" s="1892" t="str">
        <f>$AL$56</f>
        <v/>
      </c>
      <c r="AM126" s="1897"/>
      <c r="AN126" s="1896" t="str">
        <f>$AN$56</f>
        <v/>
      </c>
      <c r="AO126" s="1892" t="str">
        <f>$AO$56</f>
        <v/>
      </c>
      <c r="AP126" s="1884"/>
      <c r="AR126" s="118"/>
    </row>
    <row r="127" spans="3:44" ht="13.15" x14ac:dyDescent="0.35">
      <c r="C127" t="s">
        <v>27897</v>
      </c>
      <c r="D127" s="528">
        <v>3</v>
      </c>
      <c r="E127" s="445">
        <f t="shared" ref="E127:F127" si="54">IF(OR(G40&lt;&gt;"",Y40&lt;&gt;"",AK96&lt;&gt;""),1,0)</f>
        <v>0</v>
      </c>
      <c r="F127" s="446">
        <f t="shared" si="54"/>
        <v>0</v>
      </c>
      <c r="G127" s="447">
        <f t="shared" si="51"/>
        <v>0</v>
      </c>
      <c r="H127" s="448">
        <f t="shared" ref="H127:I127" si="55">IF(OR(J40&lt;&gt;"",AB40&lt;&gt;"",AN96&lt;&gt;""),1,0)</f>
        <v>0</v>
      </c>
      <c r="I127" s="446">
        <f t="shared" si="55"/>
        <v>0</v>
      </c>
      <c r="J127" s="466">
        <f t="shared" si="53"/>
        <v>0</v>
      </c>
      <c r="K127" s="445">
        <f t="shared" si="23"/>
        <v>0</v>
      </c>
      <c r="L127" s="446">
        <f t="shared" si="24"/>
        <v>0</v>
      </c>
      <c r="M127" s="466">
        <f t="shared" si="25"/>
        <v>0</v>
      </c>
      <c r="N127" t="s">
        <v>29199</v>
      </c>
      <c r="AF127" s="118"/>
      <c r="AG127" s="519" t="s">
        <v>27867</v>
      </c>
      <c r="AJ127" s="11" t="s">
        <v>225</v>
      </c>
      <c r="AK127" s="484" t="str">
        <f>$AK$57</f>
        <v/>
      </c>
      <c r="AL127" s="120" t="str">
        <f>$AL$57</f>
        <v/>
      </c>
      <c r="AM127" s="121"/>
      <c r="AN127" s="484" t="str">
        <f>$AN$57</f>
        <v/>
      </c>
      <c r="AO127" s="120" t="str">
        <f>$AO$57</f>
        <v/>
      </c>
      <c r="AP127" s="121"/>
      <c r="AR127" s="118"/>
    </row>
    <row r="128" spans="3:44" ht="13.15" x14ac:dyDescent="0.35">
      <c r="C128" t="s">
        <v>27897</v>
      </c>
      <c r="D128" s="528">
        <v>3</v>
      </c>
      <c r="E128" s="467">
        <f t="shared" ref="E128:F128" si="56">IF(OR(G41&lt;&gt;"",Y41&lt;&gt;"",AK97&lt;&gt;""),1,0)</f>
        <v>0</v>
      </c>
      <c r="F128" s="468">
        <f t="shared" si="56"/>
        <v>0</v>
      </c>
      <c r="G128" s="469">
        <f t="shared" si="51"/>
        <v>0</v>
      </c>
      <c r="H128" s="470">
        <f t="shared" ref="H128:I128" si="57">IF(OR(J41&lt;&gt;"",AB41&lt;&gt;"",AN97&lt;&gt;""),1,0)</f>
        <v>0</v>
      </c>
      <c r="I128" s="468">
        <f t="shared" si="57"/>
        <v>0</v>
      </c>
      <c r="J128" s="471">
        <f t="shared" si="53"/>
        <v>0</v>
      </c>
      <c r="K128" s="467">
        <f t="shared" si="23"/>
        <v>0</v>
      </c>
      <c r="L128" s="468">
        <f t="shared" si="24"/>
        <v>0</v>
      </c>
      <c r="M128" s="471">
        <f t="shared" si="25"/>
        <v>0</v>
      </c>
      <c r="N128" t="s">
        <v>29199</v>
      </c>
      <c r="AF128" s="118"/>
      <c r="AG128" s="519" t="s">
        <v>27867</v>
      </c>
      <c r="AJ128" s="11" t="s">
        <v>225</v>
      </c>
      <c r="AK128" s="484" t="str">
        <f>$AK$59</f>
        <v/>
      </c>
      <c r="AL128" s="120" t="str">
        <f>$AL$59</f>
        <v/>
      </c>
      <c r="AM128" s="121"/>
      <c r="AN128" s="484" t="str">
        <f>$AN$59</f>
        <v/>
      </c>
      <c r="AO128" s="120" t="str">
        <f>$AO$59</f>
        <v/>
      </c>
      <c r="AP128" s="121"/>
      <c r="AR128" s="118"/>
    </row>
    <row r="129" spans="3:44" ht="13.15" x14ac:dyDescent="0.35">
      <c r="C129" t="s">
        <v>27898</v>
      </c>
      <c r="D129" s="528">
        <v>3</v>
      </c>
      <c r="E129" s="1899">
        <f t="shared" ref="E129:F129" si="58">IF(OR(G42&lt;&gt;"",Y42&lt;&gt;"",AK98&lt;&gt;""),1,0)</f>
        <v>0</v>
      </c>
      <c r="F129" s="1900">
        <f t="shared" si="58"/>
        <v>0</v>
      </c>
      <c r="G129" s="1901">
        <f t="shared" si="51"/>
        <v>0</v>
      </c>
      <c r="H129" s="1902">
        <f t="shared" ref="H129:I129" si="59">IF(OR(J42&lt;&gt;"",AB42&lt;&gt;"",AN98&lt;&gt;""),1,0)</f>
        <v>0</v>
      </c>
      <c r="I129" s="1900">
        <f t="shared" si="59"/>
        <v>0</v>
      </c>
      <c r="J129" s="1903">
        <f t="shared" si="53"/>
        <v>0</v>
      </c>
      <c r="K129" s="1899">
        <f t="shared" si="23"/>
        <v>0</v>
      </c>
      <c r="L129" s="1900">
        <f t="shared" si="24"/>
        <v>0</v>
      </c>
      <c r="M129" s="1903">
        <f t="shared" si="25"/>
        <v>0</v>
      </c>
      <c r="N129" t="s">
        <v>29199</v>
      </c>
      <c r="AF129" s="118"/>
      <c r="AG129" s="519" t="s">
        <v>27867</v>
      </c>
      <c r="AJ129" s="11" t="s">
        <v>225</v>
      </c>
      <c r="AK129" s="484" t="str">
        <f>$AK$60</f>
        <v/>
      </c>
      <c r="AL129" s="120" t="str">
        <f>$AL$60</f>
        <v/>
      </c>
      <c r="AM129" s="121"/>
      <c r="AN129" s="484" t="str">
        <f>$AN$60</f>
        <v/>
      </c>
      <c r="AO129" s="120" t="str">
        <f>$AO$60</f>
        <v/>
      </c>
      <c r="AP129" s="121"/>
      <c r="AR129" s="118"/>
    </row>
    <row r="130" spans="3:44" ht="13.15" x14ac:dyDescent="0.35">
      <c r="C130" t="s">
        <v>27898</v>
      </c>
      <c r="D130" s="528">
        <v>3</v>
      </c>
      <c r="E130" s="1659">
        <f t="shared" ref="E130:F130" si="60">IF(OR(G43&lt;&gt;"",Y43&lt;&gt;"",AK99&lt;&gt;""),1,0)</f>
        <v>0</v>
      </c>
      <c r="F130" s="460">
        <f t="shared" si="60"/>
        <v>0</v>
      </c>
      <c r="G130" s="461">
        <f t="shared" si="51"/>
        <v>0</v>
      </c>
      <c r="H130" s="462">
        <f t="shared" ref="H130:I130" si="61">IF(OR(J43&lt;&gt;"",AB43&lt;&gt;"",AN99&lt;&gt;""),1,0)</f>
        <v>0</v>
      </c>
      <c r="I130" s="460">
        <f t="shared" si="61"/>
        <v>0</v>
      </c>
      <c r="J130" s="463">
        <f t="shared" si="53"/>
        <v>0</v>
      </c>
      <c r="K130" s="1659">
        <f t="shared" si="23"/>
        <v>0</v>
      </c>
      <c r="L130" s="460">
        <f t="shared" si="24"/>
        <v>0</v>
      </c>
      <c r="M130" s="463">
        <f t="shared" si="25"/>
        <v>0</v>
      </c>
      <c r="N130" t="s">
        <v>29199</v>
      </c>
      <c r="AF130" s="118"/>
      <c r="AG130" s="1375" t="s">
        <v>27869</v>
      </c>
      <c r="AJ130" s="11" t="s">
        <v>225</v>
      </c>
      <c r="AK130" s="1896" t="str">
        <f>$AK$56</f>
        <v/>
      </c>
      <c r="AL130" s="1892" t="str">
        <f>$AL$56</f>
        <v/>
      </c>
      <c r="AM130" s="1884"/>
      <c r="AN130" s="1896" t="str">
        <f>$AN$56</f>
        <v/>
      </c>
      <c r="AO130" s="1892" t="str">
        <f>$AO$56</f>
        <v/>
      </c>
      <c r="AP130" s="1884"/>
      <c r="AR130" s="118"/>
    </row>
    <row r="131" spans="3:44" ht="13.15" x14ac:dyDescent="0.35">
      <c r="C131" t="s">
        <v>27898</v>
      </c>
      <c r="D131" s="528">
        <v>3</v>
      </c>
      <c r="E131" s="445">
        <f t="shared" ref="E131:F131" si="62">IF(OR(G44&lt;&gt;"",Y44&lt;&gt;"",AK100&lt;&gt;""),1,0)</f>
        <v>0</v>
      </c>
      <c r="F131" s="446">
        <f t="shared" si="62"/>
        <v>0</v>
      </c>
      <c r="G131" s="447">
        <f t="shared" si="51"/>
        <v>0</v>
      </c>
      <c r="H131" s="448">
        <f t="shared" ref="H131:I131" si="63">IF(OR(J44&lt;&gt;"",AB44&lt;&gt;"",AN100&lt;&gt;""),1,0)</f>
        <v>0</v>
      </c>
      <c r="I131" s="446">
        <f t="shared" si="63"/>
        <v>0</v>
      </c>
      <c r="J131" s="466">
        <f t="shared" si="53"/>
        <v>0</v>
      </c>
      <c r="K131" s="445">
        <f t="shared" si="23"/>
        <v>0</v>
      </c>
      <c r="L131" s="446">
        <f t="shared" si="24"/>
        <v>0</v>
      </c>
      <c r="M131" s="466">
        <f t="shared" si="25"/>
        <v>0</v>
      </c>
      <c r="N131" t="s">
        <v>29199</v>
      </c>
      <c r="AF131" s="118"/>
      <c r="AG131" s="519" t="s">
        <v>27869</v>
      </c>
      <c r="AJ131" s="11" t="s">
        <v>225</v>
      </c>
      <c r="AK131" s="484" t="str">
        <f>$AK$57</f>
        <v/>
      </c>
      <c r="AL131" s="120" t="str">
        <f>$AL$57</f>
        <v/>
      </c>
      <c r="AM131" s="121"/>
      <c r="AN131" s="484" t="str">
        <f>$AN$57</f>
        <v/>
      </c>
      <c r="AO131" s="120" t="str">
        <f>$AO$57</f>
        <v/>
      </c>
      <c r="AP131" s="121"/>
      <c r="AR131" s="118"/>
    </row>
    <row r="132" spans="3:44" ht="13.15" x14ac:dyDescent="0.35">
      <c r="C132" t="s">
        <v>27898</v>
      </c>
      <c r="D132" s="528">
        <v>3</v>
      </c>
      <c r="E132" s="467">
        <f t="shared" ref="E132:F132" si="64">IF(OR(G45&lt;&gt;"",Y45&lt;&gt;"",AK101&lt;&gt;""),1,0)</f>
        <v>0</v>
      </c>
      <c r="F132" s="468">
        <f t="shared" si="64"/>
        <v>0</v>
      </c>
      <c r="G132" s="469">
        <f t="shared" si="51"/>
        <v>0</v>
      </c>
      <c r="H132" s="470">
        <f t="shared" ref="H132:I132" si="65">IF(OR(J45&lt;&gt;"",AB45&lt;&gt;"",AN101&lt;&gt;""),1,0)</f>
        <v>0</v>
      </c>
      <c r="I132" s="468">
        <f t="shared" si="65"/>
        <v>0</v>
      </c>
      <c r="J132" s="471">
        <f t="shared" si="53"/>
        <v>0</v>
      </c>
      <c r="K132" s="467">
        <f t="shared" si="23"/>
        <v>0</v>
      </c>
      <c r="L132" s="468">
        <f t="shared" si="24"/>
        <v>0</v>
      </c>
      <c r="M132" s="471">
        <f t="shared" si="25"/>
        <v>0</v>
      </c>
      <c r="N132" t="s">
        <v>29199</v>
      </c>
      <c r="AF132" s="118"/>
      <c r="AG132" s="519" t="s">
        <v>27869</v>
      </c>
      <c r="AJ132" s="11" t="s">
        <v>225</v>
      </c>
      <c r="AK132" s="484" t="str">
        <f>$AK$59</f>
        <v/>
      </c>
      <c r="AL132" s="120" t="str">
        <f>$AL$59</f>
        <v/>
      </c>
      <c r="AM132" s="121"/>
      <c r="AN132" s="484" t="str">
        <f>$AN$59</f>
        <v/>
      </c>
      <c r="AO132" s="120" t="str">
        <f>$AO$59</f>
        <v/>
      </c>
      <c r="AP132" s="121"/>
      <c r="AR132" s="118"/>
    </row>
    <row r="133" spans="3:44" ht="13.15" x14ac:dyDescent="0.35">
      <c r="C133" t="s">
        <v>27899</v>
      </c>
      <c r="D133" s="528">
        <v>3</v>
      </c>
      <c r="E133" s="1899">
        <f t="shared" ref="E133:F133" si="66">IF(OR(G46&lt;&gt;"",Y46&lt;&gt;"",AK102&lt;&gt;""),1,0)</f>
        <v>0</v>
      </c>
      <c r="F133" s="1900">
        <f t="shared" si="66"/>
        <v>0</v>
      </c>
      <c r="G133" s="1901">
        <f t="shared" si="51"/>
        <v>0</v>
      </c>
      <c r="H133" s="1902">
        <f t="shared" ref="H133:I133" si="67">IF(OR(J46&lt;&gt;"",AB46&lt;&gt;"",AN102&lt;&gt;""),1,0)</f>
        <v>0</v>
      </c>
      <c r="I133" s="1900">
        <f t="shared" si="67"/>
        <v>0</v>
      </c>
      <c r="J133" s="1903">
        <f t="shared" si="53"/>
        <v>0</v>
      </c>
      <c r="K133" s="1899">
        <f t="shared" si="23"/>
        <v>0</v>
      </c>
      <c r="L133" s="1900">
        <f t="shared" si="24"/>
        <v>0</v>
      </c>
      <c r="M133" s="1903">
        <f t="shared" si="25"/>
        <v>0</v>
      </c>
      <c r="N133" t="s">
        <v>29199</v>
      </c>
      <c r="AF133" s="118"/>
      <c r="AG133" s="519" t="s">
        <v>27869</v>
      </c>
      <c r="AJ133" s="11" t="s">
        <v>225</v>
      </c>
      <c r="AK133" s="484" t="str">
        <f>$AK$60</f>
        <v/>
      </c>
      <c r="AL133" s="120" t="str">
        <f>$AL$60</f>
        <v/>
      </c>
      <c r="AM133" s="121"/>
      <c r="AN133" s="484" t="str">
        <f>$AN$60</f>
        <v/>
      </c>
      <c r="AO133" s="120" t="str">
        <f>$AO$60</f>
        <v/>
      </c>
      <c r="AP133" s="121"/>
      <c r="AR133" s="118"/>
    </row>
    <row r="134" spans="3:44" ht="13.15" x14ac:dyDescent="0.35">
      <c r="C134" t="s">
        <v>27899</v>
      </c>
      <c r="D134" s="528">
        <v>3</v>
      </c>
      <c r="E134" s="1659">
        <f t="shared" ref="E134:F134" si="68">IF(OR(G47&lt;&gt;"",Y47&lt;&gt;"",AK103&lt;&gt;""),1,0)</f>
        <v>0</v>
      </c>
      <c r="F134" s="460">
        <f t="shared" si="68"/>
        <v>0</v>
      </c>
      <c r="G134" s="461">
        <f t="shared" si="51"/>
        <v>0</v>
      </c>
      <c r="H134" s="462">
        <f t="shared" ref="H134:I134" si="69">IF(OR(J47&lt;&gt;"",AB47&lt;&gt;"",AN103&lt;&gt;""),1,0)</f>
        <v>0</v>
      </c>
      <c r="I134" s="460">
        <f t="shared" si="69"/>
        <v>0</v>
      </c>
      <c r="J134" s="463">
        <f t="shared" si="53"/>
        <v>0</v>
      </c>
      <c r="K134" s="1659">
        <f t="shared" si="23"/>
        <v>0</v>
      </c>
      <c r="L134" s="460">
        <f t="shared" si="24"/>
        <v>0</v>
      </c>
      <c r="M134" s="463">
        <f t="shared" si="25"/>
        <v>0</v>
      </c>
      <c r="N134" t="s">
        <v>29199</v>
      </c>
      <c r="AF134" s="118"/>
      <c r="AG134" s="1375" t="s">
        <v>27871</v>
      </c>
      <c r="AJ134" s="11" t="s">
        <v>225</v>
      </c>
      <c r="AK134" s="1896" t="str">
        <f>$AK$56</f>
        <v/>
      </c>
      <c r="AL134" s="1892" t="str">
        <f>$AL$56</f>
        <v/>
      </c>
      <c r="AM134" s="1897"/>
      <c r="AN134" s="1896" t="str">
        <f>$AN$56</f>
        <v/>
      </c>
      <c r="AO134" s="1892" t="str">
        <f>$AO$56</f>
        <v/>
      </c>
      <c r="AP134" s="1884"/>
      <c r="AR134" s="118"/>
    </row>
    <row r="135" spans="3:44" ht="13.15" x14ac:dyDescent="0.35">
      <c r="C135" t="s">
        <v>27899</v>
      </c>
      <c r="D135" s="528">
        <v>3</v>
      </c>
      <c r="E135" s="445">
        <f t="shared" ref="E135:F135" si="70">IF(OR(G48&lt;&gt;"",Y48&lt;&gt;"",AK104&lt;&gt;""),1,0)</f>
        <v>0</v>
      </c>
      <c r="F135" s="446">
        <f t="shared" si="70"/>
        <v>0</v>
      </c>
      <c r="G135" s="447">
        <f t="shared" si="51"/>
        <v>0</v>
      </c>
      <c r="H135" s="448">
        <f t="shared" ref="H135:I135" si="71">IF(OR(J48&lt;&gt;"",AB48&lt;&gt;"",AN104&lt;&gt;""),1,0)</f>
        <v>0</v>
      </c>
      <c r="I135" s="446">
        <f t="shared" si="71"/>
        <v>0</v>
      </c>
      <c r="J135" s="466">
        <f t="shared" si="53"/>
        <v>0</v>
      </c>
      <c r="K135" s="445">
        <f t="shared" si="23"/>
        <v>0</v>
      </c>
      <c r="L135" s="446">
        <f t="shared" si="24"/>
        <v>0</v>
      </c>
      <c r="M135" s="466">
        <f t="shared" si="25"/>
        <v>0</v>
      </c>
      <c r="N135" t="s">
        <v>29199</v>
      </c>
      <c r="AF135" s="118"/>
      <c r="AG135" s="519" t="s">
        <v>27871</v>
      </c>
      <c r="AJ135" s="11" t="s">
        <v>225</v>
      </c>
      <c r="AK135" s="484" t="str">
        <f>$AK$57</f>
        <v/>
      </c>
      <c r="AL135" s="120" t="str">
        <f>$AL$57</f>
        <v/>
      </c>
      <c r="AM135" s="121"/>
      <c r="AN135" s="484" t="str">
        <f>$AN$57</f>
        <v/>
      </c>
      <c r="AO135" s="120" t="str">
        <f>$AO$57</f>
        <v/>
      </c>
      <c r="AP135" s="121"/>
      <c r="AR135" s="118"/>
    </row>
    <row r="136" spans="3:44" ht="13.15" x14ac:dyDescent="0.35">
      <c r="C136" t="s">
        <v>27899</v>
      </c>
      <c r="D136" s="528">
        <v>3</v>
      </c>
      <c r="E136" s="467">
        <f t="shared" ref="E136:F136" si="72">IF(OR(G49&lt;&gt;"",Y49&lt;&gt;"",AK105&lt;&gt;""),1,0)</f>
        <v>0</v>
      </c>
      <c r="F136" s="468">
        <f t="shared" si="72"/>
        <v>0</v>
      </c>
      <c r="G136" s="469">
        <f t="shared" si="51"/>
        <v>0</v>
      </c>
      <c r="H136" s="470">
        <f t="shared" ref="H136:I136" si="73">IF(OR(J49&lt;&gt;"",AB49&lt;&gt;"",AN105&lt;&gt;""),1,0)</f>
        <v>0</v>
      </c>
      <c r="I136" s="468">
        <f t="shared" si="73"/>
        <v>0</v>
      </c>
      <c r="J136" s="471">
        <f t="shared" si="53"/>
        <v>0</v>
      </c>
      <c r="K136" s="467">
        <f t="shared" si="23"/>
        <v>0</v>
      </c>
      <c r="L136" s="468">
        <f t="shared" si="24"/>
        <v>0</v>
      </c>
      <c r="M136" s="471">
        <f t="shared" si="25"/>
        <v>0</v>
      </c>
      <c r="N136" t="s">
        <v>29199</v>
      </c>
      <c r="AF136" s="118"/>
      <c r="AG136" s="519" t="s">
        <v>27871</v>
      </c>
      <c r="AJ136" s="11" t="s">
        <v>225</v>
      </c>
      <c r="AK136" s="484" t="str">
        <f>$AK$59</f>
        <v/>
      </c>
      <c r="AL136" s="120" t="str">
        <f>$AL$59</f>
        <v/>
      </c>
      <c r="AM136" s="121"/>
      <c r="AN136" s="484" t="str">
        <f>$AN$59</f>
        <v/>
      </c>
      <c r="AO136" s="120" t="str">
        <f>$AO$59</f>
        <v/>
      </c>
      <c r="AP136" s="121"/>
      <c r="AR136" s="118"/>
    </row>
    <row r="137" spans="3:44" ht="13.15" x14ac:dyDescent="0.35">
      <c r="C137" t="s">
        <v>27900</v>
      </c>
      <c r="D137" s="528">
        <v>3</v>
      </c>
      <c r="E137" s="1899">
        <f t="shared" ref="E137:F137" si="74">IF(OR(G50&lt;&gt;"",Y50&lt;&gt;"",AK106&lt;&gt;""),1,0)</f>
        <v>0</v>
      </c>
      <c r="F137" s="1900">
        <f t="shared" si="74"/>
        <v>0</v>
      </c>
      <c r="G137" s="1901">
        <f t="shared" si="51"/>
        <v>0</v>
      </c>
      <c r="H137" s="1902">
        <f t="shared" ref="H137:I137" si="75">IF(OR(J50&lt;&gt;"",AB50&lt;&gt;"",AN106&lt;&gt;""),1,0)</f>
        <v>0</v>
      </c>
      <c r="I137" s="1900">
        <f t="shared" si="75"/>
        <v>0</v>
      </c>
      <c r="J137" s="1903">
        <f t="shared" si="53"/>
        <v>0</v>
      </c>
      <c r="K137" s="1899">
        <f t="shared" si="23"/>
        <v>0</v>
      </c>
      <c r="L137" s="1900">
        <f t="shared" si="24"/>
        <v>0</v>
      </c>
      <c r="M137" s="1903">
        <f t="shared" si="25"/>
        <v>0</v>
      </c>
      <c r="N137" t="s">
        <v>29199</v>
      </c>
      <c r="AF137" s="118"/>
      <c r="AG137" s="519" t="s">
        <v>27871</v>
      </c>
      <c r="AJ137" s="11" t="s">
        <v>225</v>
      </c>
      <c r="AK137" s="484" t="str">
        <f>$AK$60</f>
        <v/>
      </c>
      <c r="AL137" s="120" t="str">
        <f>$AL$60</f>
        <v/>
      </c>
      <c r="AM137" s="121"/>
      <c r="AN137" s="484" t="str">
        <f>$AN$60</f>
        <v/>
      </c>
      <c r="AO137" s="120" t="str">
        <f>$AO$60</f>
        <v/>
      </c>
      <c r="AP137" s="121"/>
      <c r="AR137" s="118"/>
    </row>
    <row r="138" spans="3:44" ht="13.15" x14ac:dyDescent="0.35">
      <c r="C138" t="s">
        <v>27900</v>
      </c>
      <c r="D138" s="528">
        <v>3</v>
      </c>
      <c r="E138" s="1659">
        <f t="shared" ref="E138:F138" si="76">IF(OR(G51&lt;&gt;"",Y51&lt;&gt;"",AK107&lt;&gt;""),1,0)</f>
        <v>0</v>
      </c>
      <c r="F138" s="460">
        <f t="shared" si="76"/>
        <v>0</v>
      </c>
      <c r="G138" s="461">
        <f t="shared" si="51"/>
        <v>0</v>
      </c>
      <c r="H138" s="462">
        <f t="shared" ref="H138:I138" si="77">IF(OR(J51&lt;&gt;"",AB51&lt;&gt;"",AN107&lt;&gt;""),1,0)</f>
        <v>0</v>
      </c>
      <c r="I138" s="460">
        <f t="shared" si="77"/>
        <v>0</v>
      </c>
      <c r="J138" s="463">
        <f t="shared" si="53"/>
        <v>0</v>
      </c>
      <c r="K138" s="1659">
        <f t="shared" si="23"/>
        <v>0</v>
      </c>
      <c r="L138" s="460">
        <f t="shared" si="24"/>
        <v>0</v>
      </c>
      <c r="M138" s="463">
        <f t="shared" si="25"/>
        <v>0</v>
      </c>
      <c r="N138" t="s">
        <v>29199</v>
      </c>
      <c r="AF138" s="118"/>
      <c r="AG138" s="1375" t="s">
        <v>27873</v>
      </c>
      <c r="AJ138" s="11" t="s">
        <v>225</v>
      </c>
      <c r="AK138" s="1896" t="str">
        <f>$AK$56</f>
        <v/>
      </c>
      <c r="AL138" s="1892" t="str">
        <f>$AL$56</f>
        <v/>
      </c>
      <c r="AM138" s="1884"/>
      <c r="AN138" s="1896" t="str">
        <f>$AN$56</f>
        <v/>
      </c>
      <c r="AO138" s="1892" t="str">
        <f>$AO$56</f>
        <v/>
      </c>
      <c r="AP138" s="1884"/>
      <c r="AR138" s="118"/>
    </row>
    <row r="139" spans="3:44" ht="13.15" x14ac:dyDescent="0.35">
      <c r="C139" t="s">
        <v>27900</v>
      </c>
      <c r="D139" s="528">
        <v>3</v>
      </c>
      <c r="E139" s="445">
        <f t="shared" ref="E139:F139" si="78">IF(OR(G52&lt;&gt;"",Y52&lt;&gt;"",AK108&lt;&gt;""),1,0)</f>
        <v>0</v>
      </c>
      <c r="F139" s="446">
        <f t="shared" si="78"/>
        <v>0</v>
      </c>
      <c r="G139" s="447">
        <f t="shared" si="51"/>
        <v>0</v>
      </c>
      <c r="H139" s="448">
        <f t="shared" ref="H139:I139" si="79">IF(OR(J52&lt;&gt;"",AB52&lt;&gt;"",AN108&lt;&gt;""),1,0)</f>
        <v>0</v>
      </c>
      <c r="I139" s="446">
        <f t="shared" si="79"/>
        <v>0</v>
      </c>
      <c r="J139" s="466">
        <f t="shared" si="53"/>
        <v>0</v>
      </c>
      <c r="K139" s="445">
        <f t="shared" si="23"/>
        <v>0</v>
      </c>
      <c r="L139" s="446">
        <f t="shared" si="24"/>
        <v>0</v>
      </c>
      <c r="M139" s="466">
        <f t="shared" si="25"/>
        <v>0</v>
      </c>
      <c r="N139" t="s">
        <v>29199</v>
      </c>
      <c r="AF139" s="118"/>
      <c r="AG139" s="519" t="s">
        <v>27873</v>
      </c>
      <c r="AJ139" s="11" t="s">
        <v>225</v>
      </c>
      <c r="AK139" s="484" t="str">
        <f>$AK$57</f>
        <v/>
      </c>
      <c r="AL139" s="120" t="str">
        <f>$AL$57</f>
        <v/>
      </c>
      <c r="AM139" s="121"/>
      <c r="AN139" s="484" t="str">
        <f>$AN$57</f>
        <v/>
      </c>
      <c r="AO139" s="120" t="str">
        <f>$AO$57</f>
        <v/>
      </c>
      <c r="AP139" s="121"/>
      <c r="AR139" s="118"/>
    </row>
    <row r="140" spans="3:44" ht="13.15" x14ac:dyDescent="0.35">
      <c r="C140" t="s">
        <v>27900</v>
      </c>
      <c r="D140" s="528">
        <v>3</v>
      </c>
      <c r="E140" s="467">
        <f t="shared" ref="E140:F140" si="80">IF(OR(G53&lt;&gt;"",Y53&lt;&gt;"",AK109&lt;&gt;""),1,0)</f>
        <v>0</v>
      </c>
      <c r="F140" s="468">
        <f t="shared" si="80"/>
        <v>0</v>
      </c>
      <c r="G140" s="469">
        <f t="shared" si="51"/>
        <v>0</v>
      </c>
      <c r="H140" s="470">
        <f t="shared" ref="H140:I140" si="81">IF(OR(J53&lt;&gt;"",AB53&lt;&gt;"",AN109&lt;&gt;""),1,0)</f>
        <v>0</v>
      </c>
      <c r="I140" s="468">
        <f t="shared" si="81"/>
        <v>0</v>
      </c>
      <c r="J140" s="471">
        <f t="shared" si="53"/>
        <v>0</v>
      </c>
      <c r="K140" s="467">
        <f t="shared" si="23"/>
        <v>0</v>
      </c>
      <c r="L140" s="468">
        <f t="shared" si="24"/>
        <v>0</v>
      </c>
      <c r="M140" s="471">
        <f t="shared" si="25"/>
        <v>0</v>
      </c>
      <c r="N140" t="s">
        <v>29199</v>
      </c>
      <c r="AF140" s="118"/>
      <c r="AG140" s="519" t="s">
        <v>27873</v>
      </c>
      <c r="AJ140" s="11" t="s">
        <v>225</v>
      </c>
      <c r="AK140" s="484" t="str">
        <f>$AK$59</f>
        <v/>
      </c>
      <c r="AL140" s="120" t="str">
        <f>$AL$59</f>
        <v/>
      </c>
      <c r="AM140" s="121"/>
      <c r="AN140" s="484" t="str">
        <f>$AN$59</f>
        <v/>
      </c>
      <c r="AO140" s="120" t="str">
        <f>$AO$59</f>
        <v/>
      </c>
      <c r="AP140" s="121"/>
      <c r="AR140" s="118"/>
    </row>
    <row r="141" spans="3:44" ht="13.15" x14ac:dyDescent="0.35">
      <c r="C141" t="s">
        <v>27902</v>
      </c>
      <c r="D141" s="528">
        <v>3</v>
      </c>
      <c r="E141" s="1899">
        <f>IF(OR(G54&lt;&gt;"",P54&lt;&gt;"",AK110&lt;&gt;""),1,0)</f>
        <v>0</v>
      </c>
      <c r="F141" s="1900">
        <f>IF(OR(H54&lt;&gt;"",Q54&lt;&gt;"",AL110&lt;&gt;""),1,0)</f>
        <v>0</v>
      </c>
      <c r="G141" s="1901">
        <f>IF(OR(I54&lt;&gt;"",R54&lt;&gt;"",AU54&lt;&gt;""),1,0)</f>
        <v>0</v>
      </c>
      <c r="H141" s="1902">
        <f>IF(OR(J54&lt;&gt;"",S54&lt;&gt;"",AN110&lt;&gt;""),1,0)</f>
        <v>0</v>
      </c>
      <c r="I141" s="1902">
        <f t="shared" ref="I141" si="82">IF(OR(K54&lt;&gt;"",AC54&lt;&gt;"",AO110&lt;&gt;""),1,0)</f>
        <v>0</v>
      </c>
      <c r="J141" s="1903">
        <f>IF(OR(L54&lt;&gt;"",U54&lt;&gt;"",AX54&lt;&gt;""),1,0)</f>
        <v>0</v>
      </c>
      <c r="K141" s="1899">
        <f t="shared" si="23"/>
        <v>0</v>
      </c>
      <c r="L141" s="1900">
        <f t="shared" si="24"/>
        <v>0</v>
      </c>
      <c r="M141" s="1903">
        <f t="shared" si="25"/>
        <v>0</v>
      </c>
      <c r="AF141" s="118"/>
      <c r="AG141" s="519" t="s">
        <v>27873</v>
      </c>
      <c r="AJ141" s="11" t="s">
        <v>225</v>
      </c>
      <c r="AK141" s="484" t="str">
        <f>$AK$60</f>
        <v/>
      </c>
      <c r="AL141" s="120" t="str">
        <f>$AL$60</f>
        <v/>
      </c>
      <c r="AM141" s="121"/>
      <c r="AN141" s="484" t="str">
        <f>$AN$60</f>
        <v/>
      </c>
      <c r="AO141" s="120" t="str">
        <f>$AO$60</f>
        <v/>
      </c>
      <c r="AP141" s="121"/>
      <c r="AR141" s="118"/>
    </row>
    <row r="142" spans="3:44" ht="13.15" x14ac:dyDescent="0.35">
      <c r="C142" t="s">
        <v>27902</v>
      </c>
      <c r="D142" s="528">
        <v>3</v>
      </c>
      <c r="E142" s="1659">
        <f t="shared" ref="E142:F142" si="83">IF(OR(G55&lt;&gt;"",P55&lt;&gt;"",AK111&lt;&gt;""),1,0)</f>
        <v>0</v>
      </c>
      <c r="F142" s="460">
        <f t="shared" si="83"/>
        <v>0</v>
      </c>
      <c r="G142" s="461">
        <f t="shared" ref="G142:G144" si="84">IF(OR(I55&lt;&gt;"",R55&lt;&gt;"",AU55&lt;&gt;""),1,0)</f>
        <v>0</v>
      </c>
      <c r="H142" s="462">
        <f t="shared" ref="H142:H144" si="85">IF(OR(J55&lt;&gt;"",S55&lt;&gt;"",AN111&lt;&gt;""),1,0)</f>
        <v>0</v>
      </c>
      <c r="I142" s="460">
        <f t="shared" ref="I142:I144" si="86">IF(OR(K55&lt;&gt;"",AC55&lt;&gt;"",AO111&lt;&gt;""),1,0)</f>
        <v>0</v>
      </c>
      <c r="J142" s="463">
        <f t="shared" ref="J142:J144" si="87">IF(OR(L55&lt;&gt;"",U55&lt;&gt;"",AX55&lt;&gt;""),1,0)</f>
        <v>0</v>
      </c>
      <c r="K142" s="1659">
        <f t="shared" si="23"/>
        <v>0</v>
      </c>
      <c r="L142" s="460">
        <f t="shared" si="24"/>
        <v>0</v>
      </c>
      <c r="M142" s="463">
        <f t="shared" si="25"/>
        <v>0</v>
      </c>
      <c r="AF142" s="118"/>
      <c r="AG142" s="1375" t="s">
        <v>27875</v>
      </c>
      <c r="AJ142" s="11" t="s">
        <v>225</v>
      </c>
      <c r="AK142" s="1896" t="str">
        <f>$AK$56</f>
        <v/>
      </c>
      <c r="AL142" s="1892" t="str">
        <f>$AL$56</f>
        <v/>
      </c>
      <c r="AM142" s="1897"/>
      <c r="AN142" s="1896" t="str">
        <f>$AN$56</f>
        <v/>
      </c>
      <c r="AO142" s="1892" t="str">
        <f>$AO$56</f>
        <v/>
      </c>
      <c r="AP142" s="1884"/>
      <c r="AR142" s="118"/>
    </row>
    <row r="143" spans="3:44" ht="13.15" x14ac:dyDescent="0.35">
      <c r="C143" t="s">
        <v>27902</v>
      </c>
      <c r="D143" s="528">
        <v>3</v>
      </c>
      <c r="E143" s="445">
        <f t="shared" ref="E143:F143" si="88">IF(OR(G56&lt;&gt;"",P56&lt;&gt;"",AK112&lt;&gt;""),1,0)</f>
        <v>0</v>
      </c>
      <c r="F143" s="446">
        <f t="shared" si="88"/>
        <v>0</v>
      </c>
      <c r="G143" s="447">
        <f t="shared" si="84"/>
        <v>0</v>
      </c>
      <c r="H143" s="448">
        <f t="shared" si="85"/>
        <v>0</v>
      </c>
      <c r="I143" s="446">
        <f t="shared" si="86"/>
        <v>0</v>
      </c>
      <c r="J143" s="466">
        <f t="shared" si="87"/>
        <v>0</v>
      </c>
      <c r="K143" s="445">
        <f t="shared" si="23"/>
        <v>0</v>
      </c>
      <c r="L143" s="446">
        <f t="shared" si="24"/>
        <v>0</v>
      </c>
      <c r="M143" s="466">
        <f t="shared" si="25"/>
        <v>0</v>
      </c>
      <c r="AF143" s="118"/>
      <c r="AG143" s="519" t="s">
        <v>27875</v>
      </c>
      <c r="AJ143" s="11" t="s">
        <v>225</v>
      </c>
      <c r="AK143" s="484" t="str">
        <f>$AK$57</f>
        <v/>
      </c>
      <c r="AL143" s="120" t="str">
        <f>$AL$57</f>
        <v/>
      </c>
      <c r="AM143" s="121"/>
      <c r="AN143" s="484" t="str">
        <f>$AN$57</f>
        <v/>
      </c>
      <c r="AO143" s="120" t="str">
        <f>$AO$57</f>
        <v/>
      </c>
      <c r="AP143" s="121"/>
      <c r="AR143" s="118"/>
    </row>
    <row r="144" spans="3:44" ht="13.15" x14ac:dyDescent="0.35">
      <c r="C144" t="s">
        <v>27902</v>
      </c>
      <c r="D144" s="528">
        <v>3</v>
      </c>
      <c r="E144" s="467">
        <f t="shared" ref="E144:F144" si="89">IF(OR(G57&lt;&gt;"",P57&lt;&gt;"",AK113&lt;&gt;""),1,0)</f>
        <v>0</v>
      </c>
      <c r="F144" s="468">
        <f t="shared" si="89"/>
        <v>0</v>
      </c>
      <c r="G144" s="469">
        <f t="shared" si="84"/>
        <v>0</v>
      </c>
      <c r="H144" s="470">
        <f t="shared" si="85"/>
        <v>0</v>
      </c>
      <c r="I144" s="468">
        <f t="shared" si="86"/>
        <v>0</v>
      </c>
      <c r="J144" s="471">
        <f t="shared" si="87"/>
        <v>0</v>
      </c>
      <c r="K144" s="467">
        <f t="shared" si="23"/>
        <v>0</v>
      </c>
      <c r="L144" s="468">
        <f t="shared" si="24"/>
        <v>0</v>
      </c>
      <c r="M144" s="471">
        <f t="shared" si="25"/>
        <v>0</v>
      </c>
      <c r="AF144" s="118"/>
      <c r="AG144" s="519" t="s">
        <v>27875</v>
      </c>
      <c r="AJ144" s="11" t="s">
        <v>225</v>
      </c>
      <c r="AK144" s="484" t="str">
        <f>$AK$59</f>
        <v/>
      </c>
      <c r="AL144" s="120" t="str">
        <f>$AL$59</f>
        <v/>
      </c>
      <c r="AM144" s="121"/>
      <c r="AN144" s="484" t="str">
        <f>$AN$59</f>
        <v/>
      </c>
      <c r="AO144" s="120" t="str">
        <f>$AO$59</f>
        <v/>
      </c>
      <c r="AP144" s="121"/>
      <c r="AR144" s="118"/>
    </row>
    <row r="145" spans="3:44" ht="13.15" x14ac:dyDescent="0.35">
      <c r="C145" t="s">
        <v>27903</v>
      </c>
      <c r="D145" s="528">
        <v>2</v>
      </c>
      <c r="E145" s="1899">
        <f>IF(OR(G58&lt;&gt;"",P58&lt;&gt;"",AK114&lt;&gt;""),1,0)</f>
        <v>0</v>
      </c>
      <c r="F145" s="1900">
        <f>IF(OR(H58&lt;&gt;"",Q58&lt;&gt;"",AL114&lt;&gt;""),1,0)</f>
        <v>0</v>
      </c>
      <c r="G145" s="1901">
        <f>IF(OR(I58&lt;&gt;"",R58&lt;&gt;"",AU58&lt;&gt;""),1,0)</f>
        <v>0</v>
      </c>
      <c r="H145" s="1902">
        <f>IF(OR(J58&lt;&gt;"",S58&lt;&gt;"",AN114&lt;&gt;""),1,0)</f>
        <v>0</v>
      </c>
      <c r="I145" s="1900">
        <f>IF(OR(K58&lt;&gt;"",T58&lt;&gt;"",AO114&lt;&gt;""),1,0)</f>
        <v>0</v>
      </c>
      <c r="J145" s="1903">
        <f>IF(OR(L58&lt;&gt;"",U58&lt;&gt;"",AX58&lt;&gt;""),1,0)</f>
        <v>0</v>
      </c>
      <c r="K145" s="1899">
        <f t="shared" si="23"/>
        <v>0</v>
      </c>
      <c r="L145" s="1900">
        <f t="shared" si="24"/>
        <v>0</v>
      </c>
      <c r="M145" s="1903">
        <f t="shared" si="25"/>
        <v>0</v>
      </c>
      <c r="AF145" s="118"/>
      <c r="AG145" s="519" t="s">
        <v>27875</v>
      </c>
      <c r="AJ145" s="11" t="s">
        <v>225</v>
      </c>
      <c r="AK145" s="484" t="str">
        <f>$AK$60</f>
        <v/>
      </c>
      <c r="AL145" s="120" t="str">
        <f>$AL$60</f>
        <v/>
      </c>
      <c r="AM145" s="121"/>
      <c r="AN145" s="484" t="str">
        <f>$AN$60</f>
        <v/>
      </c>
      <c r="AO145" s="120" t="str">
        <f>$AO$60</f>
        <v/>
      </c>
      <c r="AP145" s="121"/>
      <c r="AR145" s="118"/>
    </row>
    <row r="146" spans="3:44" ht="13.15" x14ac:dyDescent="0.35">
      <c r="C146" t="s">
        <v>27903</v>
      </c>
      <c r="D146" s="528">
        <v>2</v>
      </c>
      <c r="E146" s="1659">
        <f t="shared" ref="E146:F146" si="90">IF(OR(G59&lt;&gt;"",P59&lt;&gt;"",AK115&lt;&gt;""),1,0)</f>
        <v>0</v>
      </c>
      <c r="F146" s="460">
        <f t="shared" si="90"/>
        <v>0</v>
      </c>
      <c r="G146" s="461">
        <f t="shared" ref="G146:G180" si="91">IF(OR(I59&lt;&gt;"",R59&lt;&gt;"",AU59&lt;&gt;""),1,0)</f>
        <v>0</v>
      </c>
      <c r="H146" s="462">
        <f t="shared" ref="H146:I146" si="92">IF(OR(J59&lt;&gt;"",S59&lt;&gt;"",AN115&lt;&gt;""),1,0)</f>
        <v>0</v>
      </c>
      <c r="I146" s="460">
        <f t="shared" si="92"/>
        <v>0</v>
      </c>
      <c r="J146" s="463">
        <f t="shared" ref="J146:J180" si="93">IF(OR(L59&lt;&gt;"",U59&lt;&gt;"",AX59&lt;&gt;""),1,0)</f>
        <v>0</v>
      </c>
      <c r="K146" s="1659">
        <f t="shared" si="23"/>
        <v>0</v>
      </c>
      <c r="L146" s="460">
        <f t="shared" si="24"/>
        <v>0</v>
      </c>
      <c r="M146" s="463">
        <f t="shared" si="25"/>
        <v>0</v>
      </c>
      <c r="AF146" s="118"/>
      <c r="AG146" s="1375" t="s">
        <v>27877</v>
      </c>
      <c r="AJ146" s="11" t="s">
        <v>225</v>
      </c>
      <c r="AK146" s="1896" t="str">
        <f>$AK$56</f>
        <v/>
      </c>
      <c r="AL146" s="1892" t="str">
        <f>$AL$56</f>
        <v/>
      </c>
      <c r="AM146" s="1884"/>
      <c r="AN146" s="1896" t="str">
        <f>$AN$56</f>
        <v/>
      </c>
      <c r="AO146" s="1892" t="str">
        <f>$AO$56</f>
        <v/>
      </c>
      <c r="AP146" s="1884"/>
      <c r="AR146" s="118"/>
    </row>
    <row r="147" spans="3:44" ht="13.15" x14ac:dyDescent="0.35">
      <c r="C147" t="s">
        <v>27903</v>
      </c>
      <c r="D147" s="528">
        <v>2</v>
      </c>
      <c r="E147" s="445">
        <f t="shared" ref="E147:F147" si="94">IF(OR(G60&lt;&gt;"",P60&lt;&gt;"",AK116&lt;&gt;""),1,0)</f>
        <v>0</v>
      </c>
      <c r="F147" s="446">
        <f t="shared" si="94"/>
        <v>0</v>
      </c>
      <c r="G147" s="447">
        <f t="shared" si="91"/>
        <v>0</v>
      </c>
      <c r="H147" s="448">
        <f t="shared" ref="H147:I147" si="95">IF(OR(J60&lt;&gt;"",S60&lt;&gt;"",AN116&lt;&gt;""),1,0)</f>
        <v>0</v>
      </c>
      <c r="I147" s="446">
        <f t="shared" si="95"/>
        <v>0</v>
      </c>
      <c r="J147" s="466">
        <f t="shared" si="93"/>
        <v>0</v>
      </c>
      <c r="K147" s="445">
        <f t="shared" si="23"/>
        <v>0</v>
      </c>
      <c r="L147" s="446">
        <f t="shared" si="24"/>
        <v>0</v>
      </c>
      <c r="M147" s="466">
        <f t="shared" si="25"/>
        <v>0</v>
      </c>
      <c r="AF147" s="118"/>
      <c r="AG147" s="519" t="s">
        <v>27877</v>
      </c>
      <c r="AJ147" s="11" t="s">
        <v>225</v>
      </c>
      <c r="AK147" s="484" t="str">
        <f>$AK$57</f>
        <v/>
      </c>
      <c r="AL147" s="120" t="str">
        <f>$AL$57</f>
        <v/>
      </c>
      <c r="AM147" s="121"/>
      <c r="AN147" s="484" t="str">
        <f>$AN$57</f>
        <v/>
      </c>
      <c r="AO147" s="120" t="str">
        <f>$AO$57</f>
        <v/>
      </c>
      <c r="AP147" s="121"/>
      <c r="AR147" s="118"/>
    </row>
    <row r="148" spans="3:44" ht="13.15" x14ac:dyDescent="0.35">
      <c r="C148" t="s">
        <v>27903</v>
      </c>
      <c r="D148" s="528">
        <v>2</v>
      </c>
      <c r="E148" s="467">
        <f t="shared" ref="E148:F148" si="96">IF(OR(G61&lt;&gt;"",P61&lt;&gt;"",AK117&lt;&gt;""),1,0)</f>
        <v>0</v>
      </c>
      <c r="F148" s="468">
        <f t="shared" si="96"/>
        <v>0</v>
      </c>
      <c r="G148" s="469">
        <f t="shared" si="91"/>
        <v>0</v>
      </c>
      <c r="H148" s="470">
        <f t="shared" ref="H148:I148" si="97">IF(OR(J61&lt;&gt;"",S61&lt;&gt;"",AN117&lt;&gt;""),1,0)</f>
        <v>0</v>
      </c>
      <c r="I148" s="468">
        <f t="shared" si="97"/>
        <v>0</v>
      </c>
      <c r="J148" s="471">
        <f t="shared" si="93"/>
        <v>0</v>
      </c>
      <c r="K148" s="467">
        <f t="shared" si="23"/>
        <v>0</v>
      </c>
      <c r="L148" s="468">
        <f t="shared" si="24"/>
        <v>0</v>
      </c>
      <c r="M148" s="471">
        <f t="shared" si="25"/>
        <v>0</v>
      </c>
      <c r="AF148" s="118"/>
      <c r="AG148" s="519" t="s">
        <v>27877</v>
      </c>
      <c r="AJ148" s="11" t="s">
        <v>225</v>
      </c>
      <c r="AK148" s="484" t="str">
        <f>$AK$59</f>
        <v/>
      </c>
      <c r="AL148" s="120" t="str">
        <f>$AL$59</f>
        <v/>
      </c>
      <c r="AM148" s="121"/>
      <c r="AN148" s="484" t="str">
        <f>$AN$59</f>
        <v/>
      </c>
      <c r="AO148" s="120" t="str">
        <f>$AO$59</f>
        <v/>
      </c>
      <c r="AP148" s="121"/>
      <c r="AR148" s="118"/>
    </row>
    <row r="149" spans="3:44" ht="13.15" x14ac:dyDescent="0.35">
      <c r="C149" t="s">
        <v>27904</v>
      </c>
      <c r="D149" s="528">
        <v>2</v>
      </c>
      <c r="E149" s="1899">
        <f t="shared" ref="E149:F149" si="98">IF(OR(G62&lt;&gt;"",P62&lt;&gt;"",AK118&lt;&gt;""),1,0)</f>
        <v>0</v>
      </c>
      <c r="F149" s="1900">
        <f t="shared" si="98"/>
        <v>0</v>
      </c>
      <c r="G149" s="1901">
        <f t="shared" si="91"/>
        <v>0</v>
      </c>
      <c r="H149" s="1902">
        <f t="shared" ref="H149:I149" si="99">IF(OR(J62&lt;&gt;"",S62&lt;&gt;"",AN118&lt;&gt;""),1,0)</f>
        <v>0</v>
      </c>
      <c r="I149" s="1900">
        <f t="shared" si="99"/>
        <v>0</v>
      </c>
      <c r="J149" s="1903">
        <f t="shared" si="93"/>
        <v>0</v>
      </c>
      <c r="K149" s="1899">
        <f t="shared" si="23"/>
        <v>0</v>
      </c>
      <c r="L149" s="1900">
        <f t="shared" si="24"/>
        <v>0</v>
      </c>
      <c r="M149" s="1903">
        <f t="shared" si="25"/>
        <v>0</v>
      </c>
      <c r="AF149" s="118"/>
      <c r="AG149" s="519" t="s">
        <v>27877</v>
      </c>
      <c r="AJ149" s="11" t="s">
        <v>225</v>
      </c>
      <c r="AK149" s="569" t="str">
        <f>$AK$60</f>
        <v/>
      </c>
      <c r="AL149" s="126" t="str">
        <f>$AL$60</f>
        <v/>
      </c>
      <c r="AM149" s="123"/>
      <c r="AN149" s="569" t="str">
        <f>$AN$60</f>
        <v/>
      </c>
      <c r="AO149" s="126" t="str">
        <f>$AO$60</f>
        <v/>
      </c>
      <c r="AP149" s="123"/>
      <c r="AR149" s="118"/>
    </row>
    <row r="150" spans="3:44" ht="13.15" x14ac:dyDescent="0.35">
      <c r="C150" t="s">
        <v>27904</v>
      </c>
      <c r="D150" s="528">
        <v>2</v>
      </c>
      <c r="E150" s="1659">
        <f t="shared" ref="E150:F150" si="100">IF(OR(G63&lt;&gt;"",P63&lt;&gt;"",AK119&lt;&gt;""),1,0)</f>
        <v>0</v>
      </c>
      <c r="F150" s="460">
        <f t="shared" si="100"/>
        <v>0</v>
      </c>
      <c r="G150" s="461">
        <f t="shared" si="91"/>
        <v>0</v>
      </c>
      <c r="H150" s="462">
        <f t="shared" ref="H150:I150" si="101">IF(OR(J63&lt;&gt;"",S63&lt;&gt;"",AN119&lt;&gt;""),1,0)</f>
        <v>0</v>
      </c>
      <c r="I150" s="460">
        <f t="shared" si="101"/>
        <v>0</v>
      </c>
      <c r="J150" s="463">
        <f t="shared" si="93"/>
        <v>0</v>
      </c>
      <c r="K150" s="1659">
        <f t="shared" si="23"/>
        <v>0</v>
      </c>
      <c r="L150" s="460">
        <f t="shared" si="24"/>
        <v>0</v>
      </c>
      <c r="M150" s="463">
        <f t="shared" si="25"/>
        <v>0</v>
      </c>
      <c r="AF150" s="119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18"/>
    </row>
    <row r="151" spans="3:44" ht="13.15" x14ac:dyDescent="0.35">
      <c r="C151" t="s">
        <v>27904</v>
      </c>
      <c r="D151" s="528">
        <v>2</v>
      </c>
      <c r="E151" s="445">
        <f t="shared" ref="E151:F151" si="102">IF(OR(G64&lt;&gt;"",P64&lt;&gt;"",AK120&lt;&gt;""),1,0)</f>
        <v>0</v>
      </c>
      <c r="F151" s="446">
        <f t="shared" si="102"/>
        <v>0</v>
      </c>
      <c r="G151" s="447">
        <f t="shared" si="91"/>
        <v>0</v>
      </c>
      <c r="H151" s="448">
        <f t="shared" ref="H151:I151" si="103">IF(OR(J64&lt;&gt;"",S64&lt;&gt;"",AN120&lt;&gt;""),1,0)</f>
        <v>0</v>
      </c>
      <c r="I151" s="446">
        <f t="shared" si="103"/>
        <v>0</v>
      </c>
      <c r="J151" s="466">
        <f t="shared" si="93"/>
        <v>0</v>
      </c>
      <c r="K151" s="445">
        <f t="shared" si="23"/>
        <v>0</v>
      </c>
      <c r="L151" s="446">
        <f t="shared" si="24"/>
        <v>0</v>
      </c>
      <c r="M151" s="466">
        <f t="shared" si="25"/>
        <v>0</v>
      </c>
    </row>
    <row r="152" spans="3:44" ht="13.15" x14ac:dyDescent="0.35">
      <c r="C152" t="s">
        <v>27904</v>
      </c>
      <c r="D152" s="528">
        <v>2</v>
      </c>
      <c r="E152" s="467">
        <f t="shared" ref="E152:F152" si="104">IF(OR(G65&lt;&gt;"",P65&lt;&gt;"",AK121&lt;&gt;""),1,0)</f>
        <v>0</v>
      </c>
      <c r="F152" s="468">
        <f t="shared" si="104"/>
        <v>0</v>
      </c>
      <c r="G152" s="469">
        <f t="shared" si="91"/>
        <v>0</v>
      </c>
      <c r="H152" s="470">
        <f t="shared" ref="H152:I152" si="105">IF(OR(J65&lt;&gt;"",S65&lt;&gt;"",AN121&lt;&gt;""),1,0)</f>
        <v>0</v>
      </c>
      <c r="I152" s="468">
        <f t="shared" si="105"/>
        <v>0</v>
      </c>
      <c r="J152" s="471">
        <f t="shared" si="93"/>
        <v>0</v>
      </c>
      <c r="K152" s="467">
        <f t="shared" si="23"/>
        <v>0</v>
      </c>
      <c r="L152" s="468">
        <f t="shared" si="24"/>
        <v>0</v>
      </c>
      <c r="M152" s="471">
        <f t="shared" si="25"/>
        <v>0</v>
      </c>
    </row>
    <row r="153" spans="3:44" ht="13.15" x14ac:dyDescent="0.35">
      <c r="C153" t="s">
        <v>27905</v>
      </c>
      <c r="D153" s="528">
        <v>2</v>
      </c>
      <c r="E153" s="1899">
        <f t="shared" ref="E153:F153" si="106">IF(OR(G66&lt;&gt;"",P66&lt;&gt;"",AK122&lt;&gt;""),1,0)</f>
        <v>0</v>
      </c>
      <c r="F153" s="1900">
        <f t="shared" si="106"/>
        <v>0</v>
      </c>
      <c r="G153" s="1901">
        <f t="shared" si="91"/>
        <v>0</v>
      </c>
      <c r="H153" s="1902">
        <f t="shared" ref="H153:I153" si="107">IF(OR(J66&lt;&gt;"",S66&lt;&gt;"",AN122&lt;&gt;""),1,0)</f>
        <v>0</v>
      </c>
      <c r="I153" s="1900">
        <f t="shared" si="107"/>
        <v>0</v>
      </c>
      <c r="J153" s="1903">
        <f t="shared" si="93"/>
        <v>0</v>
      </c>
      <c r="K153" s="1899">
        <f t="shared" si="23"/>
        <v>0</v>
      </c>
      <c r="L153" s="1900">
        <f t="shared" si="24"/>
        <v>0</v>
      </c>
      <c r="M153" s="1903">
        <f t="shared" si="25"/>
        <v>0</v>
      </c>
    </row>
    <row r="154" spans="3:44" ht="13.15" x14ac:dyDescent="0.35">
      <c r="C154" t="s">
        <v>27905</v>
      </c>
      <c r="D154" s="528">
        <v>2</v>
      </c>
      <c r="E154" s="1659">
        <f t="shared" ref="E154:F154" si="108">IF(OR(G67&lt;&gt;"",P67&lt;&gt;"",AK123&lt;&gt;""),1,0)</f>
        <v>0</v>
      </c>
      <c r="F154" s="460">
        <f t="shared" si="108"/>
        <v>0</v>
      </c>
      <c r="G154" s="461">
        <f t="shared" si="91"/>
        <v>0</v>
      </c>
      <c r="H154" s="462">
        <f t="shared" ref="H154:I154" si="109">IF(OR(J67&lt;&gt;"",S67&lt;&gt;"",AN123&lt;&gt;""),1,0)</f>
        <v>0</v>
      </c>
      <c r="I154" s="460">
        <f t="shared" si="109"/>
        <v>0</v>
      </c>
      <c r="J154" s="463">
        <f t="shared" si="93"/>
        <v>0</v>
      </c>
      <c r="K154" s="1659">
        <f t="shared" si="23"/>
        <v>0</v>
      </c>
      <c r="L154" s="460">
        <f t="shared" si="24"/>
        <v>0</v>
      </c>
      <c r="M154" s="463">
        <f t="shared" si="25"/>
        <v>0</v>
      </c>
    </row>
    <row r="155" spans="3:44" ht="13.15" x14ac:dyDescent="0.35">
      <c r="C155" t="s">
        <v>27905</v>
      </c>
      <c r="D155" s="528">
        <v>2</v>
      </c>
      <c r="E155" s="445">
        <f t="shared" ref="E155:F155" si="110">IF(OR(G68&lt;&gt;"",P68&lt;&gt;"",AK124&lt;&gt;""),1,0)</f>
        <v>0</v>
      </c>
      <c r="F155" s="446">
        <f t="shared" si="110"/>
        <v>0</v>
      </c>
      <c r="G155" s="447">
        <f t="shared" si="91"/>
        <v>0</v>
      </c>
      <c r="H155" s="448">
        <f t="shared" ref="H155:I155" si="111">IF(OR(J68&lt;&gt;"",S68&lt;&gt;"",AN124&lt;&gt;""),1,0)</f>
        <v>0</v>
      </c>
      <c r="I155" s="446">
        <f t="shared" si="111"/>
        <v>0</v>
      </c>
      <c r="J155" s="466">
        <f t="shared" si="93"/>
        <v>0</v>
      </c>
      <c r="K155" s="445">
        <f t="shared" si="23"/>
        <v>0</v>
      </c>
      <c r="L155" s="446">
        <f t="shared" si="24"/>
        <v>0</v>
      </c>
      <c r="M155" s="466">
        <f t="shared" si="25"/>
        <v>0</v>
      </c>
    </row>
    <row r="156" spans="3:44" ht="13.15" x14ac:dyDescent="0.35">
      <c r="C156" t="s">
        <v>27905</v>
      </c>
      <c r="D156" s="528">
        <v>2</v>
      </c>
      <c r="E156" s="467">
        <f t="shared" ref="E156:F156" si="112">IF(OR(G69&lt;&gt;"",P69&lt;&gt;"",AK125&lt;&gt;""),1,0)</f>
        <v>0</v>
      </c>
      <c r="F156" s="468">
        <f t="shared" si="112"/>
        <v>0</v>
      </c>
      <c r="G156" s="469">
        <f t="shared" si="91"/>
        <v>0</v>
      </c>
      <c r="H156" s="470">
        <f t="shared" ref="H156:I156" si="113">IF(OR(J69&lt;&gt;"",S69&lt;&gt;"",AN125&lt;&gt;""),1,0)</f>
        <v>0</v>
      </c>
      <c r="I156" s="468">
        <f t="shared" si="113"/>
        <v>0</v>
      </c>
      <c r="J156" s="471">
        <f t="shared" si="93"/>
        <v>0</v>
      </c>
      <c r="K156" s="467">
        <f t="shared" si="23"/>
        <v>0</v>
      </c>
      <c r="L156" s="468">
        <f t="shared" si="24"/>
        <v>0</v>
      </c>
      <c r="M156" s="471">
        <f t="shared" si="25"/>
        <v>0</v>
      </c>
    </row>
    <row r="157" spans="3:44" ht="13.15" x14ac:dyDescent="0.35">
      <c r="C157" t="s">
        <v>27906</v>
      </c>
      <c r="D157" s="528">
        <v>2</v>
      </c>
      <c r="E157" s="1899">
        <f t="shared" ref="E157:F157" si="114">IF(OR(G70&lt;&gt;"",P70&lt;&gt;"",AK126&lt;&gt;""),1,0)</f>
        <v>0</v>
      </c>
      <c r="F157" s="1900">
        <f t="shared" si="114"/>
        <v>0</v>
      </c>
      <c r="G157" s="1901">
        <f t="shared" si="91"/>
        <v>0</v>
      </c>
      <c r="H157" s="1902">
        <f t="shared" ref="H157:I157" si="115">IF(OR(J70&lt;&gt;"",S70&lt;&gt;"",AN126&lt;&gt;""),1,0)</f>
        <v>0</v>
      </c>
      <c r="I157" s="1900">
        <f t="shared" si="115"/>
        <v>0</v>
      </c>
      <c r="J157" s="1903">
        <f t="shared" si="93"/>
        <v>0</v>
      </c>
      <c r="K157" s="1899">
        <f t="shared" si="23"/>
        <v>0</v>
      </c>
      <c r="L157" s="1900">
        <f t="shared" si="24"/>
        <v>0</v>
      </c>
      <c r="M157" s="1903">
        <f t="shared" si="25"/>
        <v>0</v>
      </c>
    </row>
    <row r="158" spans="3:44" ht="13.15" x14ac:dyDescent="0.35">
      <c r="C158" t="s">
        <v>27906</v>
      </c>
      <c r="D158" s="528">
        <v>2</v>
      </c>
      <c r="E158" s="1659">
        <f t="shared" ref="E158:F158" si="116">IF(OR(G71&lt;&gt;"",P71&lt;&gt;"",AK127&lt;&gt;""),1,0)</f>
        <v>0</v>
      </c>
      <c r="F158" s="460">
        <f t="shared" si="116"/>
        <v>0</v>
      </c>
      <c r="G158" s="461">
        <f t="shared" si="91"/>
        <v>0</v>
      </c>
      <c r="H158" s="462">
        <f t="shared" ref="H158:I158" si="117">IF(OR(J71&lt;&gt;"",S71&lt;&gt;"",AN127&lt;&gt;""),1,0)</f>
        <v>0</v>
      </c>
      <c r="I158" s="460">
        <f t="shared" si="117"/>
        <v>0</v>
      </c>
      <c r="J158" s="463">
        <f t="shared" si="93"/>
        <v>0</v>
      </c>
      <c r="K158" s="1659">
        <f t="shared" si="23"/>
        <v>0</v>
      </c>
      <c r="L158" s="460">
        <f t="shared" si="24"/>
        <v>0</v>
      </c>
      <c r="M158" s="463">
        <f t="shared" si="25"/>
        <v>0</v>
      </c>
    </row>
    <row r="159" spans="3:44" ht="13.15" x14ac:dyDescent="0.35">
      <c r="C159" t="s">
        <v>27906</v>
      </c>
      <c r="D159" s="528">
        <v>2</v>
      </c>
      <c r="E159" s="445">
        <f t="shared" ref="E159:F159" si="118">IF(OR(G72&lt;&gt;"",P72&lt;&gt;"",AK128&lt;&gt;""),1,0)</f>
        <v>0</v>
      </c>
      <c r="F159" s="446">
        <f t="shared" si="118"/>
        <v>0</v>
      </c>
      <c r="G159" s="447">
        <f t="shared" si="91"/>
        <v>0</v>
      </c>
      <c r="H159" s="448">
        <f t="shared" ref="H159:I159" si="119">IF(OR(J72&lt;&gt;"",S72&lt;&gt;"",AN128&lt;&gt;""),1,0)</f>
        <v>0</v>
      </c>
      <c r="I159" s="446">
        <f t="shared" si="119"/>
        <v>0</v>
      </c>
      <c r="J159" s="466">
        <f t="shared" si="93"/>
        <v>0</v>
      </c>
      <c r="K159" s="445">
        <f t="shared" si="23"/>
        <v>0</v>
      </c>
      <c r="L159" s="446">
        <f t="shared" si="24"/>
        <v>0</v>
      </c>
      <c r="M159" s="466">
        <f t="shared" si="25"/>
        <v>0</v>
      </c>
    </row>
    <row r="160" spans="3:44" ht="13.15" x14ac:dyDescent="0.35">
      <c r="C160" t="s">
        <v>27906</v>
      </c>
      <c r="D160" s="528">
        <v>2</v>
      </c>
      <c r="E160" s="473">
        <f t="shared" ref="E160:F160" si="120">IF(OR(G73&lt;&gt;"",P73&lt;&gt;"",AK129&lt;&gt;""),1,0)</f>
        <v>0</v>
      </c>
      <c r="F160" s="474">
        <f t="shared" si="120"/>
        <v>0</v>
      </c>
      <c r="G160" s="475">
        <f t="shared" si="91"/>
        <v>0</v>
      </c>
      <c r="H160" s="476">
        <f t="shared" ref="H160:I160" si="121">IF(OR(J73&lt;&gt;"",S73&lt;&gt;"",AN129&lt;&gt;""),1,0)</f>
        <v>0</v>
      </c>
      <c r="I160" s="474">
        <f t="shared" si="121"/>
        <v>0</v>
      </c>
      <c r="J160" s="477">
        <f t="shared" si="93"/>
        <v>0</v>
      </c>
      <c r="K160" s="473">
        <f t="shared" si="23"/>
        <v>0</v>
      </c>
      <c r="L160" s="474">
        <f t="shared" si="24"/>
        <v>0</v>
      </c>
      <c r="M160" s="477">
        <f t="shared" si="25"/>
        <v>0</v>
      </c>
    </row>
    <row r="161" spans="3:13" ht="13.15" x14ac:dyDescent="0.35">
      <c r="C161" t="s">
        <v>27909</v>
      </c>
      <c r="D161" s="528">
        <v>2</v>
      </c>
      <c r="E161" s="1899">
        <f t="shared" ref="E161:F161" si="122">IF(OR(G74&lt;&gt;"",P74&lt;&gt;"",AK130&lt;&gt;""),1,0)</f>
        <v>0</v>
      </c>
      <c r="F161" s="1900">
        <f t="shared" si="122"/>
        <v>0</v>
      </c>
      <c r="G161" s="1901">
        <f t="shared" si="91"/>
        <v>0</v>
      </c>
      <c r="H161" s="1902">
        <f t="shared" ref="H161:I161" si="123">IF(OR(J74&lt;&gt;"",S74&lt;&gt;"",AN130&lt;&gt;""),1,0)</f>
        <v>0</v>
      </c>
      <c r="I161" s="1900">
        <f t="shared" si="123"/>
        <v>0</v>
      </c>
      <c r="J161" s="1903">
        <f t="shared" si="93"/>
        <v>0</v>
      </c>
      <c r="K161" s="1899">
        <f t="shared" si="23"/>
        <v>0</v>
      </c>
      <c r="L161" s="1900">
        <f t="shared" si="24"/>
        <v>0</v>
      </c>
      <c r="M161" s="1903">
        <f t="shared" si="25"/>
        <v>0</v>
      </c>
    </row>
    <row r="162" spans="3:13" ht="13.15" x14ac:dyDescent="0.35">
      <c r="C162" t="s">
        <v>27909</v>
      </c>
      <c r="D162" s="528">
        <v>2</v>
      </c>
      <c r="E162" s="1659">
        <f t="shared" ref="E162:F162" si="124">IF(OR(G75&lt;&gt;"",P75&lt;&gt;"",AK131&lt;&gt;""),1,0)</f>
        <v>0</v>
      </c>
      <c r="F162" s="460">
        <f t="shared" si="124"/>
        <v>0</v>
      </c>
      <c r="G162" s="461">
        <f t="shared" si="91"/>
        <v>0</v>
      </c>
      <c r="H162" s="462">
        <f t="shared" ref="H162:I162" si="125">IF(OR(J75&lt;&gt;"",S75&lt;&gt;"",AN131&lt;&gt;""),1,0)</f>
        <v>0</v>
      </c>
      <c r="I162" s="460">
        <f t="shared" si="125"/>
        <v>0</v>
      </c>
      <c r="J162" s="463">
        <f t="shared" si="93"/>
        <v>0</v>
      </c>
      <c r="K162" s="1659">
        <f t="shared" si="23"/>
        <v>0</v>
      </c>
      <c r="L162" s="460">
        <f t="shared" si="24"/>
        <v>0</v>
      </c>
      <c r="M162" s="463">
        <f t="shared" si="25"/>
        <v>0</v>
      </c>
    </row>
    <row r="163" spans="3:13" ht="13.15" x14ac:dyDescent="0.35">
      <c r="C163" t="s">
        <v>27909</v>
      </c>
      <c r="D163" s="528">
        <v>2</v>
      </c>
      <c r="E163" s="445">
        <f t="shared" ref="E163:F163" si="126">IF(OR(G76&lt;&gt;"",P76&lt;&gt;"",AK132&lt;&gt;""),1,0)</f>
        <v>0</v>
      </c>
      <c r="F163" s="446">
        <f t="shared" si="126"/>
        <v>0</v>
      </c>
      <c r="G163" s="447">
        <f t="shared" si="91"/>
        <v>0</v>
      </c>
      <c r="H163" s="448">
        <f t="shared" ref="H163:I163" si="127">IF(OR(J76&lt;&gt;"",S76&lt;&gt;"",AN132&lt;&gt;""),1,0)</f>
        <v>0</v>
      </c>
      <c r="I163" s="446">
        <f t="shared" si="127"/>
        <v>0</v>
      </c>
      <c r="J163" s="466">
        <f t="shared" si="93"/>
        <v>0</v>
      </c>
      <c r="K163" s="445">
        <f t="shared" si="23"/>
        <v>0</v>
      </c>
      <c r="L163" s="446">
        <f t="shared" si="24"/>
        <v>0</v>
      </c>
      <c r="M163" s="466">
        <f t="shared" si="25"/>
        <v>0</v>
      </c>
    </row>
    <row r="164" spans="3:13" ht="13.15" x14ac:dyDescent="0.35">
      <c r="C164" t="s">
        <v>27909</v>
      </c>
      <c r="D164" s="528">
        <v>2</v>
      </c>
      <c r="E164" s="467">
        <f t="shared" ref="E164:F164" si="128">IF(OR(G77&lt;&gt;"",P77&lt;&gt;"",AK133&lt;&gt;""),1,0)</f>
        <v>0</v>
      </c>
      <c r="F164" s="468">
        <f t="shared" si="128"/>
        <v>0</v>
      </c>
      <c r="G164" s="469">
        <f t="shared" si="91"/>
        <v>0</v>
      </c>
      <c r="H164" s="470">
        <f t="shared" ref="H164:I164" si="129">IF(OR(J77&lt;&gt;"",S77&lt;&gt;"",AN133&lt;&gt;""),1,0)</f>
        <v>0</v>
      </c>
      <c r="I164" s="468">
        <f t="shared" si="129"/>
        <v>0</v>
      </c>
      <c r="J164" s="471">
        <f t="shared" si="93"/>
        <v>0</v>
      </c>
      <c r="K164" s="467">
        <f t="shared" si="23"/>
        <v>0</v>
      </c>
      <c r="L164" s="468">
        <f t="shared" si="24"/>
        <v>0</v>
      </c>
      <c r="M164" s="471">
        <f t="shared" si="25"/>
        <v>0</v>
      </c>
    </row>
    <row r="165" spans="3:13" ht="13.15" x14ac:dyDescent="0.35">
      <c r="C165" t="s">
        <v>27910</v>
      </c>
      <c r="D165" s="528">
        <v>2</v>
      </c>
      <c r="E165" s="1899">
        <f t="shared" ref="E165:F165" si="130">IF(OR(G78&lt;&gt;"",P78&lt;&gt;"",AK134&lt;&gt;""),1,0)</f>
        <v>0</v>
      </c>
      <c r="F165" s="1900">
        <f t="shared" si="130"/>
        <v>0</v>
      </c>
      <c r="G165" s="1901">
        <f t="shared" si="91"/>
        <v>0</v>
      </c>
      <c r="H165" s="1902">
        <f t="shared" ref="H165:I165" si="131">IF(OR(J78&lt;&gt;"",S78&lt;&gt;"",AN134&lt;&gt;""),1,0)</f>
        <v>0</v>
      </c>
      <c r="I165" s="1900">
        <f t="shared" si="131"/>
        <v>0</v>
      </c>
      <c r="J165" s="1903">
        <f t="shared" si="93"/>
        <v>0</v>
      </c>
      <c r="K165" s="1899">
        <f t="shared" si="23"/>
        <v>0</v>
      </c>
      <c r="L165" s="1900">
        <f t="shared" si="24"/>
        <v>0</v>
      </c>
      <c r="M165" s="1903">
        <f t="shared" si="25"/>
        <v>0</v>
      </c>
    </row>
    <row r="166" spans="3:13" ht="13.15" x14ac:dyDescent="0.35">
      <c r="C166" t="s">
        <v>27910</v>
      </c>
      <c r="D166" s="528">
        <v>2</v>
      </c>
      <c r="E166" s="1659">
        <f t="shared" ref="E166:F166" si="132">IF(OR(G79&lt;&gt;"",P79&lt;&gt;"",AK135&lt;&gt;""),1,0)</f>
        <v>0</v>
      </c>
      <c r="F166" s="460">
        <f t="shared" si="132"/>
        <v>0</v>
      </c>
      <c r="G166" s="461">
        <f t="shared" si="91"/>
        <v>0</v>
      </c>
      <c r="H166" s="462">
        <f t="shared" ref="H166:I166" si="133">IF(OR(J79&lt;&gt;"",S79&lt;&gt;"",AN135&lt;&gt;""),1,0)</f>
        <v>0</v>
      </c>
      <c r="I166" s="460">
        <f t="shared" si="133"/>
        <v>0</v>
      </c>
      <c r="J166" s="463">
        <f t="shared" si="93"/>
        <v>0</v>
      </c>
      <c r="K166" s="1659">
        <f t="shared" si="23"/>
        <v>0</v>
      </c>
      <c r="L166" s="460">
        <f t="shared" si="24"/>
        <v>0</v>
      </c>
      <c r="M166" s="463">
        <f t="shared" si="25"/>
        <v>0</v>
      </c>
    </row>
    <row r="167" spans="3:13" ht="13.15" x14ac:dyDescent="0.35">
      <c r="C167" t="s">
        <v>27910</v>
      </c>
      <c r="D167" s="528">
        <v>2</v>
      </c>
      <c r="E167" s="445">
        <f t="shared" ref="E167:F167" si="134">IF(OR(G80&lt;&gt;"",P80&lt;&gt;"",AK136&lt;&gt;""),1,0)</f>
        <v>0</v>
      </c>
      <c r="F167" s="446">
        <f t="shared" si="134"/>
        <v>0</v>
      </c>
      <c r="G167" s="447">
        <f t="shared" si="91"/>
        <v>0</v>
      </c>
      <c r="H167" s="448">
        <f t="shared" ref="H167:I167" si="135">IF(OR(J80&lt;&gt;"",S80&lt;&gt;"",AN136&lt;&gt;""),1,0)</f>
        <v>0</v>
      </c>
      <c r="I167" s="446">
        <f t="shared" si="135"/>
        <v>0</v>
      </c>
      <c r="J167" s="466">
        <f t="shared" si="93"/>
        <v>0</v>
      </c>
      <c r="K167" s="445">
        <f t="shared" si="23"/>
        <v>0</v>
      </c>
      <c r="L167" s="446">
        <f t="shared" si="24"/>
        <v>0</v>
      </c>
      <c r="M167" s="466">
        <f t="shared" si="25"/>
        <v>0</v>
      </c>
    </row>
    <row r="168" spans="3:13" ht="13.15" x14ac:dyDescent="0.35">
      <c r="C168" t="s">
        <v>27910</v>
      </c>
      <c r="D168" s="528">
        <v>2</v>
      </c>
      <c r="E168" s="467">
        <f t="shared" ref="E168:F168" si="136">IF(OR(G81&lt;&gt;"",P81&lt;&gt;"",AK137&lt;&gt;""),1,0)</f>
        <v>0</v>
      </c>
      <c r="F168" s="468">
        <f t="shared" si="136"/>
        <v>0</v>
      </c>
      <c r="G168" s="469">
        <f t="shared" si="91"/>
        <v>0</v>
      </c>
      <c r="H168" s="470">
        <f t="shared" ref="H168:I168" si="137">IF(OR(J81&lt;&gt;"",S81&lt;&gt;"",AN137&lt;&gt;""),1,0)</f>
        <v>0</v>
      </c>
      <c r="I168" s="468">
        <f t="shared" si="137"/>
        <v>0</v>
      </c>
      <c r="J168" s="471">
        <f t="shared" si="93"/>
        <v>0</v>
      </c>
      <c r="K168" s="467">
        <f t="shared" si="23"/>
        <v>0</v>
      </c>
      <c r="L168" s="468">
        <f t="shared" si="24"/>
        <v>0</v>
      </c>
      <c r="M168" s="471">
        <f t="shared" si="25"/>
        <v>0</v>
      </c>
    </row>
    <row r="169" spans="3:13" ht="13.15" x14ac:dyDescent="0.35">
      <c r="C169" t="s">
        <v>27911</v>
      </c>
      <c r="D169" s="528">
        <v>2</v>
      </c>
      <c r="E169" s="1899">
        <f t="shared" ref="E169:F169" si="138">IF(OR(G82&lt;&gt;"",P82&lt;&gt;"",AK138&lt;&gt;""),1,0)</f>
        <v>0</v>
      </c>
      <c r="F169" s="1900">
        <f t="shared" si="138"/>
        <v>0</v>
      </c>
      <c r="G169" s="1901">
        <f t="shared" si="91"/>
        <v>0</v>
      </c>
      <c r="H169" s="1902">
        <f t="shared" ref="H169:I169" si="139">IF(OR(J82&lt;&gt;"",S82&lt;&gt;"",AN138&lt;&gt;""),1,0)</f>
        <v>0</v>
      </c>
      <c r="I169" s="1900">
        <f t="shared" si="139"/>
        <v>0</v>
      </c>
      <c r="J169" s="1903">
        <f t="shared" si="93"/>
        <v>0</v>
      </c>
      <c r="K169" s="1899">
        <f t="shared" si="23"/>
        <v>0</v>
      </c>
      <c r="L169" s="1900">
        <f t="shared" si="24"/>
        <v>0</v>
      </c>
      <c r="M169" s="1903">
        <f t="shared" si="25"/>
        <v>0</v>
      </c>
    </row>
    <row r="170" spans="3:13" ht="13.15" x14ac:dyDescent="0.35">
      <c r="C170" t="s">
        <v>27911</v>
      </c>
      <c r="D170" s="528">
        <v>2</v>
      </c>
      <c r="E170" s="1659">
        <f t="shared" ref="E170:F170" si="140">IF(OR(G83&lt;&gt;"",P83&lt;&gt;"",AK139&lt;&gt;""),1,0)</f>
        <v>0</v>
      </c>
      <c r="F170" s="460">
        <f t="shared" si="140"/>
        <v>0</v>
      </c>
      <c r="G170" s="461">
        <f t="shared" si="91"/>
        <v>0</v>
      </c>
      <c r="H170" s="462">
        <f t="shared" ref="H170:I170" si="141">IF(OR(J83&lt;&gt;"",S83&lt;&gt;"",AN139&lt;&gt;""),1,0)</f>
        <v>0</v>
      </c>
      <c r="I170" s="460">
        <f t="shared" si="141"/>
        <v>0</v>
      </c>
      <c r="J170" s="463">
        <f t="shared" si="93"/>
        <v>0</v>
      </c>
      <c r="K170" s="1659">
        <f t="shared" si="23"/>
        <v>0</v>
      </c>
      <c r="L170" s="460">
        <f t="shared" si="24"/>
        <v>0</v>
      </c>
      <c r="M170" s="463">
        <f t="shared" si="25"/>
        <v>0</v>
      </c>
    </row>
    <row r="171" spans="3:13" ht="13.15" x14ac:dyDescent="0.35">
      <c r="C171" t="s">
        <v>27911</v>
      </c>
      <c r="D171" s="528">
        <v>2</v>
      </c>
      <c r="E171" s="445">
        <f t="shared" ref="E171:F171" si="142">IF(OR(G84&lt;&gt;"",P84&lt;&gt;"",AK140&lt;&gt;""),1,0)</f>
        <v>0</v>
      </c>
      <c r="F171" s="446">
        <f t="shared" si="142"/>
        <v>0</v>
      </c>
      <c r="G171" s="447">
        <f t="shared" si="91"/>
        <v>0</v>
      </c>
      <c r="H171" s="448">
        <f t="shared" ref="H171:I171" si="143">IF(OR(J84&lt;&gt;"",S84&lt;&gt;"",AN140&lt;&gt;""),1,0)</f>
        <v>0</v>
      </c>
      <c r="I171" s="446">
        <f t="shared" si="143"/>
        <v>0</v>
      </c>
      <c r="J171" s="466">
        <f t="shared" si="93"/>
        <v>0</v>
      </c>
      <c r="K171" s="445">
        <f t="shared" si="23"/>
        <v>0</v>
      </c>
      <c r="L171" s="446">
        <f t="shared" si="24"/>
        <v>0</v>
      </c>
      <c r="M171" s="466">
        <f t="shared" si="25"/>
        <v>0</v>
      </c>
    </row>
    <row r="172" spans="3:13" ht="13.15" x14ac:dyDescent="0.35">
      <c r="C172" t="s">
        <v>27911</v>
      </c>
      <c r="D172" s="528">
        <v>2</v>
      </c>
      <c r="E172" s="467">
        <f t="shared" ref="E172:F172" si="144">IF(OR(G85&lt;&gt;"",P85&lt;&gt;"",AK141&lt;&gt;""),1,0)</f>
        <v>0</v>
      </c>
      <c r="F172" s="468">
        <f t="shared" si="144"/>
        <v>0</v>
      </c>
      <c r="G172" s="469">
        <f t="shared" si="91"/>
        <v>0</v>
      </c>
      <c r="H172" s="470">
        <f t="shared" ref="H172:I172" si="145">IF(OR(J85&lt;&gt;"",S85&lt;&gt;"",AN141&lt;&gt;""),1,0)</f>
        <v>0</v>
      </c>
      <c r="I172" s="468">
        <f t="shared" si="145"/>
        <v>0</v>
      </c>
      <c r="J172" s="471">
        <f t="shared" si="93"/>
        <v>0</v>
      </c>
      <c r="K172" s="467">
        <f t="shared" ref="K172:K184" si="146">IF(OR(E172=1,H172=1),1,0)</f>
        <v>0</v>
      </c>
      <c r="L172" s="468">
        <f t="shared" ref="L172:L184" si="147">IF(OR(F172=1,I172=1),1,0)</f>
        <v>0</v>
      </c>
      <c r="M172" s="471">
        <f t="shared" ref="M172:M184" si="148">IF(OR(G172=1,J172=1),1,0)</f>
        <v>0</v>
      </c>
    </row>
    <row r="173" spans="3:13" ht="13.15" x14ac:dyDescent="0.35">
      <c r="C173" t="s">
        <v>27912</v>
      </c>
      <c r="D173" s="528">
        <v>2</v>
      </c>
      <c r="E173" s="1899">
        <f t="shared" ref="E173:F173" si="149">IF(OR(G86&lt;&gt;"",P86&lt;&gt;"",AK142&lt;&gt;""),1,0)</f>
        <v>0</v>
      </c>
      <c r="F173" s="1900">
        <f t="shared" si="149"/>
        <v>0</v>
      </c>
      <c r="G173" s="1901">
        <f t="shared" si="91"/>
        <v>0</v>
      </c>
      <c r="H173" s="1902">
        <f t="shared" ref="H173:I173" si="150">IF(OR(J86&lt;&gt;"",S86&lt;&gt;"",AN142&lt;&gt;""),1,0)</f>
        <v>0</v>
      </c>
      <c r="I173" s="1900">
        <f t="shared" si="150"/>
        <v>0</v>
      </c>
      <c r="J173" s="1903">
        <f t="shared" si="93"/>
        <v>0</v>
      </c>
      <c r="K173" s="1899">
        <f t="shared" si="146"/>
        <v>0</v>
      </c>
      <c r="L173" s="1900">
        <f t="shared" si="147"/>
        <v>0</v>
      </c>
      <c r="M173" s="1903">
        <f t="shared" si="148"/>
        <v>0</v>
      </c>
    </row>
    <row r="174" spans="3:13" ht="13.15" x14ac:dyDescent="0.35">
      <c r="C174" t="s">
        <v>27912</v>
      </c>
      <c r="D174" s="528">
        <v>2</v>
      </c>
      <c r="E174" s="1659">
        <f t="shared" ref="E174:F174" si="151">IF(OR(G87&lt;&gt;"",P87&lt;&gt;"",AK143&lt;&gt;""),1,0)</f>
        <v>0</v>
      </c>
      <c r="F174" s="460">
        <f t="shared" si="151"/>
        <v>0</v>
      </c>
      <c r="G174" s="461">
        <f t="shared" si="91"/>
        <v>0</v>
      </c>
      <c r="H174" s="462">
        <f t="shared" ref="H174:I174" si="152">IF(OR(J87&lt;&gt;"",S87&lt;&gt;"",AN143&lt;&gt;""),1,0)</f>
        <v>0</v>
      </c>
      <c r="I174" s="460">
        <f t="shared" si="152"/>
        <v>0</v>
      </c>
      <c r="J174" s="463">
        <f t="shared" si="93"/>
        <v>0</v>
      </c>
      <c r="K174" s="1659">
        <f t="shared" si="146"/>
        <v>0</v>
      </c>
      <c r="L174" s="460">
        <f t="shared" si="147"/>
        <v>0</v>
      </c>
      <c r="M174" s="463">
        <f t="shared" si="148"/>
        <v>0</v>
      </c>
    </row>
    <row r="175" spans="3:13" ht="13.15" x14ac:dyDescent="0.35">
      <c r="C175" t="s">
        <v>27912</v>
      </c>
      <c r="D175" s="528">
        <v>2</v>
      </c>
      <c r="E175" s="445">
        <f t="shared" ref="E175:F175" si="153">IF(OR(G88&lt;&gt;"",P88&lt;&gt;"",AK144&lt;&gt;""),1,0)</f>
        <v>0</v>
      </c>
      <c r="F175" s="446">
        <f t="shared" si="153"/>
        <v>0</v>
      </c>
      <c r="G175" s="447">
        <f t="shared" si="91"/>
        <v>0</v>
      </c>
      <c r="H175" s="448">
        <f t="shared" ref="H175:I175" si="154">IF(OR(J88&lt;&gt;"",S88&lt;&gt;"",AN144&lt;&gt;""),1,0)</f>
        <v>0</v>
      </c>
      <c r="I175" s="446">
        <f t="shared" si="154"/>
        <v>0</v>
      </c>
      <c r="J175" s="466">
        <f t="shared" si="93"/>
        <v>0</v>
      </c>
      <c r="K175" s="445">
        <f t="shared" si="146"/>
        <v>0</v>
      </c>
      <c r="L175" s="446">
        <f t="shared" si="147"/>
        <v>0</v>
      </c>
      <c r="M175" s="466">
        <f t="shared" si="148"/>
        <v>0</v>
      </c>
    </row>
    <row r="176" spans="3:13" ht="13.15" x14ac:dyDescent="0.35">
      <c r="C176" t="s">
        <v>27912</v>
      </c>
      <c r="D176" s="528">
        <v>2</v>
      </c>
      <c r="E176" s="467">
        <f t="shared" ref="E176:F176" si="155">IF(OR(G89&lt;&gt;"",P89&lt;&gt;"",AK145&lt;&gt;""),1,0)</f>
        <v>0</v>
      </c>
      <c r="F176" s="468">
        <f t="shared" si="155"/>
        <v>0</v>
      </c>
      <c r="G176" s="469">
        <f t="shared" si="91"/>
        <v>0</v>
      </c>
      <c r="H176" s="470">
        <f t="shared" ref="H176:I176" si="156">IF(OR(J89&lt;&gt;"",S89&lt;&gt;"",AN145&lt;&gt;""),1,0)</f>
        <v>0</v>
      </c>
      <c r="I176" s="468">
        <f t="shared" si="156"/>
        <v>0</v>
      </c>
      <c r="J176" s="471">
        <f t="shared" si="93"/>
        <v>0</v>
      </c>
      <c r="K176" s="467">
        <f t="shared" si="146"/>
        <v>0</v>
      </c>
      <c r="L176" s="468">
        <f t="shared" si="147"/>
        <v>0</v>
      </c>
      <c r="M176" s="471">
        <f t="shared" si="148"/>
        <v>0</v>
      </c>
    </row>
    <row r="177" spans="3:14" ht="13.15" x14ac:dyDescent="0.35">
      <c r="C177" t="s">
        <v>27913</v>
      </c>
      <c r="D177" s="528">
        <v>2</v>
      </c>
      <c r="E177" s="1899">
        <f t="shared" ref="E177:F177" si="157">IF(OR(G90&lt;&gt;"",P90&lt;&gt;"",AK146&lt;&gt;""),1,0)</f>
        <v>0</v>
      </c>
      <c r="F177" s="1900">
        <f t="shared" si="157"/>
        <v>0</v>
      </c>
      <c r="G177" s="1901">
        <f t="shared" si="91"/>
        <v>0</v>
      </c>
      <c r="H177" s="1902">
        <f t="shared" ref="H177:I177" si="158">IF(OR(J90&lt;&gt;"",S90&lt;&gt;"",AN146&lt;&gt;""),1,0)</f>
        <v>0</v>
      </c>
      <c r="I177" s="1900">
        <f t="shared" si="158"/>
        <v>0</v>
      </c>
      <c r="J177" s="1903">
        <f t="shared" si="93"/>
        <v>0</v>
      </c>
      <c r="K177" s="1899">
        <f t="shared" si="146"/>
        <v>0</v>
      </c>
      <c r="L177" s="1900">
        <f t="shared" si="147"/>
        <v>0</v>
      </c>
      <c r="M177" s="1903">
        <f t="shared" si="148"/>
        <v>0</v>
      </c>
    </row>
    <row r="178" spans="3:14" ht="13.15" x14ac:dyDescent="0.35">
      <c r="C178" t="s">
        <v>27913</v>
      </c>
      <c r="D178" s="528">
        <v>2</v>
      </c>
      <c r="E178" s="1659">
        <f t="shared" ref="E178:F178" si="159">IF(OR(G91&lt;&gt;"",P91&lt;&gt;"",AK147&lt;&gt;""),1,0)</f>
        <v>0</v>
      </c>
      <c r="F178" s="460">
        <f t="shared" si="159"/>
        <v>0</v>
      </c>
      <c r="G178" s="461">
        <f t="shared" si="91"/>
        <v>0</v>
      </c>
      <c r="H178" s="462">
        <f t="shared" ref="H178:I178" si="160">IF(OR(J91&lt;&gt;"",S91&lt;&gt;"",AN147&lt;&gt;""),1,0)</f>
        <v>0</v>
      </c>
      <c r="I178" s="460">
        <f t="shared" si="160"/>
        <v>0</v>
      </c>
      <c r="J178" s="463">
        <f t="shared" si="93"/>
        <v>0</v>
      </c>
      <c r="K178" s="1659">
        <f t="shared" si="146"/>
        <v>0</v>
      </c>
      <c r="L178" s="460">
        <f t="shared" si="147"/>
        <v>0</v>
      </c>
      <c r="M178" s="463">
        <f t="shared" si="148"/>
        <v>0</v>
      </c>
    </row>
    <row r="179" spans="3:14" ht="13.15" x14ac:dyDescent="0.35">
      <c r="C179" t="s">
        <v>27913</v>
      </c>
      <c r="D179" s="528">
        <v>2</v>
      </c>
      <c r="E179" s="445">
        <f t="shared" ref="E179:F179" si="161">IF(OR(G92&lt;&gt;"",P92&lt;&gt;"",AK148&lt;&gt;""),1,0)</f>
        <v>0</v>
      </c>
      <c r="F179" s="446">
        <f t="shared" si="161"/>
        <v>0</v>
      </c>
      <c r="G179" s="447">
        <f t="shared" si="91"/>
        <v>0</v>
      </c>
      <c r="H179" s="448">
        <f t="shared" ref="H179:I179" si="162">IF(OR(J92&lt;&gt;"",S92&lt;&gt;"",AN148&lt;&gt;""),1,0)</f>
        <v>0</v>
      </c>
      <c r="I179" s="446">
        <f t="shared" si="162"/>
        <v>0</v>
      </c>
      <c r="J179" s="466">
        <f t="shared" si="93"/>
        <v>0</v>
      </c>
      <c r="K179" s="445">
        <f t="shared" si="146"/>
        <v>0</v>
      </c>
      <c r="L179" s="446">
        <f t="shared" si="147"/>
        <v>0</v>
      </c>
      <c r="M179" s="466">
        <f t="shared" si="148"/>
        <v>0</v>
      </c>
    </row>
    <row r="180" spans="3:14" ht="13.5" thickBot="1" x14ac:dyDescent="0.4">
      <c r="C180" t="s">
        <v>27913</v>
      </c>
      <c r="D180" s="528">
        <v>2</v>
      </c>
      <c r="E180" s="467">
        <f t="shared" ref="E180:F180" si="163">IF(OR(G93&lt;&gt;"",P93&lt;&gt;"",AK149&lt;&gt;""),1,0)</f>
        <v>0</v>
      </c>
      <c r="F180" s="468">
        <f t="shared" si="163"/>
        <v>0</v>
      </c>
      <c r="G180" s="469">
        <f t="shared" si="91"/>
        <v>0</v>
      </c>
      <c r="H180" s="470">
        <f t="shared" ref="H180:I180" si="164">IF(OR(J93&lt;&gt;"",S93&lt;&gt;"",AN149&lt;&gt;""),1,0)</f>
        <v>0</v>
      </c>
      <c r="I180" s="468">
        <f t="shared" si="164"/>
        <v>0</v>
      </c>
      <c r="J180" s="471">
        <f t="shared" si="93"/>
        <v>0</v>
      </c>
      <c r="K180" s="467">
        <f t="shared" si="146"/>
        <v>0</v>
      </c>
      <c r="L180" s="468">
        <f t="shared" si="147"/>
        <v>0</v>
      </c>
      <c r="M180" s="471">
        <f t="shared" si="148"/>
        <v>0</v>
      </c>
    </row>
    <row r="181" spans="3:14" ht="13.5" thickTop="1" x14ac:dyDescent="0.35">
      <c r="C181" t="s">
        <v>27879</v>
      </c>
      <c r="E181" s="487">
        <f t="shared" ref="E181:J181" si="165">IF(P94&lt;&gt;"",1,0)</f>
        <v>0</v>
      </c>
      <c r="F181" s="488">
        <f t="shared" si="165"/>
        <v>0</v>
      </c>
      <c r="G181" s="489">
        <f t="shared" si="165"/>
        <v>0</v>
      </c>
      <c r="H181" s="490">
        <f t="shared" si="165"/>
        <v>0</v>
      </c>
      <c r="I181" s="488">
        <f t="shared" si="165"/>
        <v>0</v>
      </c>
      <c r="J181" s="491">
        <f t="shared" si="165"/>
        <v>0</v>
      </c>
      <c r="K181" s="487">
        <f t="shared" si="146"/>
        <v>0</v>
      </c>
      <c r="L181" s="488">
        <f t="shared" si="147"/>
        <v>0</v>
      </c>
      <c r="M181" s="491">
        <f t="shared" si="148"/>
        <v>0</v>
      </c>
      <c r="N181" t="s">
        <v>28304</v>
      </c>
    </row>
    <row r="182" spans="3:14" ht="13.15" x14ac:dyDescent="0.35">
      <c r="C182" t="s">
        <v>27879</v>
      </c>
      <c r="E182" s="1660">
        <f t="shared" ref="E182:H184" si="166">IF(P95&lt;&gt;"",1,0)</f>
        <v>0</v>
      </c>
      <c r="F182" s="464">
        <f t="shared" si="166"/>
        <v>0</v>
      </c>
      <c r="G182" s="492">
        <f t="shared" si="166"/>
        <v>0</v>
      </c>
      <c r="H182" s="493">
        <f t="shared" si="166"/>
        <v>0</v>
      </c>
      <c r="I182" s="464">
        <f t="shared" ref="I182:J182" si="167">IF(T95&lt;&gt;"",1,0)</f>
        <v>0</v>
      </c>
      <c r="J182" s="465">
        <f t="shared" si="167"/>
        <v>0</v>
      </c>
      <c r="K182" s="1660">
        <f t="shared" si="146"/>
        <v>0</v>
      </c>
      <c r="L182" s="464">
        <f t="shared" si="147"/>
        <v>0</v>
      </c>
      <c r="M182" s="465">
        <f t="shared" si="148"/>
        <v>0</v>
      </c>
      <c r="N182" t="s">
        <v>28304</v>
      </c>
    </row>
    <row r="183" spans="3:14" ht="13.15" x14ac:dyDescent="0.35">
      <c r="C183" t="s">
        <v>27879</v>
      </c>
      <c r="E183" s="451">
        <f t="shared" si="166"/>
        <v>0</v>
      </c>
      <c r="F183" s="452">
        <f t="shared" si="166"/>
        <v>0</v>
      </c>
      <c r="G183" s="494">
        <f t="shared" si="166"/>
        <v>0</v>
      </c>
      <c r="H183" s="495">
        <f t="shared" si="166"/>
        <v>0</v>
      </c>
      <c r="I183" s="452">
        <f t="shared" ref="I183:J183" si="168">IF(T96&lt;&gt;"",1,0)</f>
        <v>0</v>
      </c>
      <c r="J183" s="453">
        <f t="shared" si="168"/>
        <v>0</v>
      </c>
      <c r="K183" s="451">
        <f t="shared" si="146"/>
        <v>0</v>
      </c>
      <c r="L183" s="452">
        <f t="shared" si="147"/>
        <v>0</v>
      </c>
      <c r="M183" s="453">
        <f t="shared" si="148"/>
        <v>0</v>
      </c>
      <c r="N183" t="s">
        <v>28304</v>
      </c>
    </row>
    <row r="184" spans="3:14" ht="13.15" x14ac:dyDescent="0.35">
      <c r="C184" t="s">
        <v>27879</v>
      </c>
      <c r="E184" s="478">
        <f t="shared" si="166"/>
        <v>0</v>
      </c>
      <c r="F184" s="479">
        <f t="shared" si="166"/>
        <v>0</v>
      </c>
      <c r="G184" s="496">
        <f t="shared" si="166"/>
        <v>0</v>
      </c>
      <c r="H184" s="497">
        <f t="shared" si="166"/>
        <v>0</v>
      </c>
      <c r="I184" s="479">
        <f t="shared" ref="I184:J184" si="169">IF(T97&lt;&gt;"",1,0)</f>
        <v>0</v>
      </c>
      <c r="J184" s="480">
        <f t="shared" si="169"/>
        <v>0</v>
      </c>
      <c r="K184" s="478">
        <f t="shared" si="146"/>
        <v>0</v>
      </c>
      <c r="L184" s="479">
        <f t="shared" si="147"/>
        <v>0</v>
      </c>
      <c r="M184" s="480">
        <f t="shared" si="148"/>
        <v>0</v>
      </c>
      <c r="N184" t="s">
        <v>28304</v>
      </c>
    </row>
    <row r="185" spans="3:14" ht="13.5" thickBot="1" x14ac:dyDescent="0.4">
      <c r="C185" t="s">
        <v>27879</v>
      </c>
      <c r="E185" s="350"/>
      <c r="F185" s="351"/>
      <c r="G185" s="352"/>
      <c r="H185" s="353"/>
      <c r="I185" s="351"/>
      <c r="J185" s="1524"/>
      <c r="K185" s="350"/>
      <c r="L185" s="351"/>
      <c r="M185" s="1524"/>
    </row>
  </sheetData>
  <sheetProtection algorithmName="SHA-512" hashValue="TGfNZHZRoZqSTqyMixkiAtTqu0FiugpdCF50YWC20y9KV0Df4LOn9SS57p6FPDb4ggZH9JxOk5H4dzNLYaVs4w==" saltValue="x4a7EN3dr9W1CMKUeAUc/g==" spinCount="100000" sheet="1" objects="1" scenarios="1"/>
  <phoneticPr fontId="101" type="noConversion"/>
  <conditionalFormatting sqref="E107:M185">
    <cfRule type="cellIs" dxfId="15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rgb="FF92D050"/>
    <pageSetUpPr fitToPage="1"/>
  </sheetPr>
  <dimension ref="A1:P114"/>
  <sheetViews>
    <sheetView showGridLines="0" workbookViewId="0"/>
  </sheetViews>
  <sheetFormatPr defaultColWidth="9" defaultRowHeight="13.5" x14ac:dyDescent="0.35"/>
  <cols>
    <col min="1" max="1" width="33.265625" style="631" customWidth="1"/>
    <col min="2" max="2" width="9.1328125" style="346" bestFit="1" customWidth="1"/>
    <col min="3" max="3" width="20" style="172" customWidth="1"/>
    <col min="4" max="4" width="11" style="346" customWidth="1"/>
    <col min="5" max="5" width="10.1328125" style="346" customWidth="1"/>
    <col min="6" max="6" width="14" style="346" customWidth="1"/>
    <col min="7" max="7" width="11.3984375" style="346" customWidth="1"/>
    <col min="8" max="8" width="11" style="346" customWidth="1"/>
    <col min="9" max="9" width="14" style="346" customWidth="1"/>
    <col min="10" max="11" width="11" style="346" customWidth="1"/>
    <col min="12" max="12" width="14" style="346" customWidth="1"/>
    <col min="13" max="13" width="11" style="346" customWidth="1"/>
    <col min="14" max="14" width="13.86328125" style="346" hidden="1" customWidth="1"/>
    <col min="15" max="15" width="9.265625" style="346" hidden="1" customWidth="1"/>
    <col min="16" max="16" width="10.73046875" style="346" hidden="1" customWidth="1"/>
    <col min="17" max="17" width="11.1328125" style="346" customWidth="1"/>
    <col min="18" max="16384" width="9" style="346"/>
  </cols>
  <sheetData>
    <row r="1" spans="1:16" customFormat="1" ht="25.15" x14ac:dyDescent="0.5">
      <c r="A1" s="636" t="s">
        <v>29791</v>
      </c>
      <c r="B1" s="1"/>
      <c r="C1" s="107"/>
      <c r="D1" s="7"/>
      <c r="E1" s="7"/>
      <c r="F1" s="7"/>
    </row>
    <row r="2" spans="1:16" s="1275" customFormat="1" ht="25.5" customHeight="1" x14ac:dyDescent="0.35">
      <c r="A2" s="1385" t="str">
        <f>IF(PROVIDER="","Provider name",PROVIDER&amp;" ("&amp;UKPRN&amp;")")</f>
        <v>Provider name</v>
      </c>
      <c r="B2" s="968"/>
      <c r="C2" s="938"/>
      <c r="D2" s="968"/>
      <c r="E2" s="968"/>
      <c r="F2" s="968"/>
    </row>
    <row r="3" spans="1:16" ht="14.45" customHeight="1" x14ac:dyDescent="0.35">
      <c r="A3" s="1501" t="s">
        <v>27970</v>
      </c>
      <c r="B3" s="74"/>
      <c r="C3" s="744"/>
      <c r="D3" s="74"/>
      <c r="E3" s="74"/>
      <c r="F3" s="74"/>
    </row>
    <row r="4" spans="1:16" ht="16.5" customHeight="1" x14ac:dyDescent="0.35">
      <c r="A4" s="1501" t="s">
        <v>27678</v>
      </c>
      <c r="B4" s="74"/>
      <c r="C4" s="744"/>
      <c r="D4" s="74"/>
      <c r="E4" s="74"/>
      <c r="F4" s="74"/>
    </row>
    <row r="5" spans="1:16" ht="27" customHeight="1" x14ac:dyDescent="0.35">
      <c r="A5" s="739"/>
      <c r="B5" s="74"/>
      <c r="C5" s="744"/>
      <c r="D5" s="3404" t="str">
        <f>'Table 6c Valid'!F3</f>
        <v>Validation: OK</v>
      </c>
      <c r="E5" s="3404"/>
      <c r="F5" s="3404"/>
      <c r="G5" s="3404" t="str">
        <f>'Table 6c Valid'!H3</f>
        <v>Validation: OK</v>
      </c>
      <c r="H5" s="3404"/>
      <c r="I5" s="3404"/>
      <c r="J5" s="3404" t="str">
        <f>'Table 6c Valid'!J3</f>
        <v>Validation: OK</v>
      </c>
      <c r="K5" s="3404"/>
      <c r="L5" s="3404"/>
      <c r="M5" s="919"/>
    </row>
    <row r="6" spans="1:16" ht="27" customHeight="1" thickBot="1" x14ac:dyDescent="0.4">
      <c r="A6" s="739"/>
      <c r="B6" s="74"/>
      <c r="C6" s="744"/>
      <c r="D6" s="3405" t="str">
        <f>'Table 6c Valid'!F4</f>
        <v>Credibility: OK</v>
      </c>
      <c r="E6" s="3405"/>
      <c r="F6" s="3405"/>
      <c r="G6" s="3405" t="str">
        <f>'Table 6c Valid'!H4</f>
        <v>Credibility: OK</v>
      </c>
      <c r="H6" s="3405"/>
      <c r="I6" s="3405"/>
      <c r="J6" s="3405" t="str">
        <f>'Table 6c Valid'!J4</f>
        <v>Credibility: OK</v>
      </c>
      <c r="K6" s="3405"/>
      <c r="L6" s="3405"/>
      <c r="M6" s="919"/>
    </row>
    <row r="7" spans="1:16" ht="13.9" x14ac:dyDescent="0.4">
      <c r="A7" s="3452"/>
      <c r="B7" s="3452"/>
      <c r="C7" s="980"/>
      <c r="D7" s="3435" t="s">
        <v>27679</v>
      </c>
      <c r="E7" s="3436"/>
      <c r="F7" s="3437"/>
      <c r="G7" s="3436" t="s">
        <v>27680</v>
      </c>
      <c r="H7" s="3436"/>
      <c r="I7" s="3437"/>
      <c r="J7" s="3435" t="s">
        <v>28274</v>
      </c>
      <c r="K7" s="3436"/>
      <c r="L7" s="3436"/>
    </row>
    <row r="8" spans="1:16" ht="13.9" x14ac:dyDescent="0.4">
      <c r="A8" s="3453"/>
      <c r="B8" s="3453"/>
      <c r="C8" s="744"/>
      <c r="D8" s="1628"/>
      <c r="E8" s="920"/>
      <c r="F8" s="921"/>
      <c r="G8" s="920"/>
      <c r="H8" s="920"/>
      <c r="I8" s="921"/>
      <c r="J8" s="1598" t="s">
        <v>27681</v>
      </c>
      <c r="K8" s="920"/>
      <c r="L8" s="920"/>
    </row>
    <row r="9" spans="1:16" ht="40.5" customHeight="1" x14ac:dyDescent="0.35">
      <c r="A9" s="3453"/>
      <c r="B9" s="3453"/>
      <c r="C9" s="744"/>
      <c r="D9" s="3378" t="str">
        <f>"Years countable between 1 August 20"&amp;YEAR&amp;" and census date inclusive"</f>
        <v>Years countable between 1 August 2024 and census date inclusive</v>
      </c>
      <c r="E9" s="3402"/>
      <c r="F9" s="3403"/>
      <c r="G9" s="3378" t="str">
        <f>"Forecast of years countable after census date and before 1 August 20"&amp;(YEAR+1)</f>
        <v>Forecast of years countable after census date and before 1 August 2025</v>
      </c>
      <c r="H9" s="3402"/>
      <c r="I9" s="3403"/>
      <c r="J9" s="3378" t="str">
        <f>"Years countable in academic year 
20"&amp;ACYEAR&amp;" (Columns 1 + 2)"</f>
        <v>Years countable in academic year 
2024-25 (Columns 1 + 2)</v>
      </c>
      <c r="K9" s="3402"/>
      <c r="L9" s="3402"/>
    </row>
    <row r="10" spans="1:16" ht="16.5" customHeight="1" x14ac:dyDescent="0.35">
      <c r="A10" s="739"/>
      <c r="B10" s="988"/>
      <c r="C10" s="744"/>
      <c r="D10" s="3440" t="s">
        <v>27838</v>
      </c>
      <c r="E10" s="3449" t="s">
        <v>27839</v>
      </c>
      <c r="F10" s="3446" t="str">
        <f>"Starters in 20"&amp;ACYEAR&amp;" included in (a) and (b)"</f>
        <v>Starters in 2024-25 included in (a) and (b)</v>
      </c>
      <c r="G10" s="3440" t="s">
        <v>27838</v>
      </c>
      <c r="H10" s="3449" t="s">
        <v>27839</v>
      </c>
      <c r="I10" s="3446" t="str">
        <f>"Starters in 20"&amp;ACYEAR&amp;" included in (a) and (b)"</f>
        <v>Starters in 2024-25 included in (a) and (b)</v>
      </c>
      <c r="J10" s="3440" t="s">
        <v>27838</v>
      </c>
      <c r="K10" s="3449" t="s">
        <v>27839</v>
      </c>
      <c r="L10" s="3443" t="str">
        <f>"Starters in 20"&amp;ACYEAR&amp;" included in (a) and (b)"</f>
        <v>Starters in 2024-25 included in (a) and (b)</v>
      </c>
    </row>
    <row r="11" spans="1:16" ht="25.5" customHeight="1" x14ac:dyDescent="0.35">
      <c r="A11" s="739"/>
      <c r="B11" s="988"/>
      <c r="C11" s="744"/>
      <c r="D11" s="3441"/>
      <c r="E11" s="3450"/>
      <c r="F11" s="3447"/>
      <c r="G11" s="3441"/>
      <c r="H11" s="3450"/>
      <c r="I11" s="3447"/>
      <c r="J11" s="3441"/>
      <c r="K11" s="3450"/>
      <c r="L11" s="3444"/>
    </row>
    <row r="12" spans="1:16" ht="14.45" customHeight="1" x14ac:dyDescent="0.35">
      <c r="A12" s="1454" t="s">
        <v>27840</v>
      </c>
      <c r="B12" s="745" t="s">
        <v>56</v>
      </c>
      <c r="C12" s="1454" t="s">
        <v>57</v>
      </c>
      <c r="D12" s="3442"/>
      <c r="E12" s="3451"/>
      <c r="F12" s="3448"/>
      <c r="G12" s="3442"/>
      <c r="H12" s="3451"/>
      <c r="I12" s="3448"/>
      <c r="J12" s="3442"/>
      <c r="K12" s="3451"/>
      <c r="L12" s="3445"/>
      <c r="N12" s="987" t="s">
        <v>27841</v>
      </c>
      <c r="O12" s="987" t="s">
        <v>65</v>
      </c>
      <c r="P12" s="987" t="s">
        <v>66</v>
      </c>
    </row>
    <row r="13" spans="1:16" ht="14.45" customHeight="1" x14ac:dyDescent="0.35">
      <c r="A13" s="1455" t="s">
        <v>27842</v>
      </c>
      <c r="B13" s="1456" t="s">
        <v>204</v>
      </c>
      <c r="C13" s="1455" t="s">
        <v>27769</v>
      </c>
      <c r="D13" s="1870">
        <v>0</v>
      </c>
      <c r="E13" s="1871">
        <v>0</v>
      </c>
      <c r="F13" s="1872">
        <v>0</v>
      </c>
      <c r="G13" s="1909">
        <v>0</v>
      </c>
      <c r="H13" s="1871">
        <v>0</v>
      </c>
      <c r="I13" s="1873">
        <v>0</v>
      </c>
      <c r="J13" s="1874">
        <f>SUM(D13,G13)</f>
        <v>0</v>
      </c>
      <c r="K13" s="1875">
        <f t="shared" ref="K13:L13" si="0">SUM(E13,H13)</f>
        <v>0</v>
      </c>
      <c r="L13" s="1910">
        <f t="shared" si="0"/>
        <v>0</v>
      </c>
      <c r="N13" s="748" t="s">
        <v>27843</v>
      </c>
      <c r="O13" s="748" t="s">
        <v>27685</v>
      </c>
      <c r="P13" s="923" t="s">
        <v>27826</v>
      </c>
    </row>
    <row r="14" spans="1:16" ht="14.45" customHeight="1" x14ac:dyDescent="0.35">
      <c r="A14" s="924" t="s">
        <v>27842</v>
      </c>
      <c r="B14" s="925" t="s">
        <v>204</v>
      </c>
      <c r="C14" s="1546" t="s">
        <v>210</v>
      </c>
      <c r="D14" s="1650"/>
      <c r="E14" s="926"/>
      <c r="F14" s="927"/>
      <c r="G14" s="989"/>
      <c r="H14" s="926"/>
      <c r="I14" s="928"/>
      <c r="J14" s="1650"/>
      <c r="K14" s="926"/>
      <c r="L14" s="928"/>
      <c r="N14" s="748" t="s">
        <v>27843</v>
      </c>
      <c r="O14" s="748" t="s">
        <v>27685</v>
      </c>
      <c r="P14" s="923" t="s">
        <v>27688</v>
      </c>
    </row>
    <row r="15" spans="1:16" ht="14.45" customHeight="1" x14ac:dyDescent="0.35">
      <c r="A15" s="924" t="s">
        <v>27842</v>
      </c>
      <c r="B15" s="929" t="s">
        <v>218</v>
      </c>
      <c r="C15" s="1547" t="s">
        <v>27769</v>
      </c>
      <c r="D15" s="930">
        <v>0</v>
      </c>
      <c r="E15" s="931">
        <v>0</v>
      </c>
      <c r="F15" s="932">
        <v>0</v>
      </c>
      <c r="G15" s="990">
        <v>0</v>
      </c>
      <c r="H15" s="933">
        <v>0</v>
      </c>
      <c r="I15" s="934">
        <v>0</v>
      </c>
      <c r="J15" s="935">
        <f t="shared" ref="J15:J77" si="1">SUM(D15,G15)</f>
        <v>0</v>
      </c>
      <c r="K15" s="936">
        <f t="shared" ref="K15:K77" si="2">SUM(E15,H15)</f>
        <v>0</v>
      </c>
      <c r="L15" s="975">
        <f t="shared" ref="L15:L77" si="3">SUM(F15,I15)</f>
        <v>0</v>
      </c>
      <c r="N15" s="748" t="s">
        <v>27843</v>
      </c>
      <c r="O15" s="748" t="s">
        <v>27691</v>
      </c>
      <c r="P15" s="923" t="s">
        <v>27826</v>
      </c>
    </row>
    <row r="16" spans="1:16" ht="14.45" customHeight="1" x14ac:dyDescent="0.35">
      <c r="A16" s="924" t="s">
        <v>27842</v>
      </c>
      <c r="B16" s="925" t="s">
        <v>218</v>
      </c>
      <c r="C16" s="1378" t="s">
        <v>210</v>
      </c>
      <c r="D16" s="939"/>
      <c r="E16" s="940"/>
      <c r="F16" s="941"/>
      <c r="G16" s="991"/>
      <c r="H16" s="940"/>
      <c r="I16" s="942"/>
      <c r="J16" s="943"/>
      <c r="K16" s="944"/>
      <c r="L16" s="942"/>
      <c r="N16" s="748" t="s">
        <v>27843</v>
      </c>
      <c r="O16" s="748" t="s">
        <v>27691</v>
      </c>
      <c r="P16" s="923" t="s">
        <v>27688</v>
      </c>
    </row>
    <row r="17" spans="1:16" ht="14.45" customHeight="1" x14ac:dyDescent="0.35">
      <c r="A17" s="1455" t="s">
        <v>27844</v>
      </c>
      <c r="B17" s="1456" t="s">
        <v>204</v>
      </c>
      <c r="C17" s="1455" t="s">
        <v>27769</v>
      </c>
      <c r="D17" s="1870">
        <v>0</v>
      </c>
      <c r="E17" s="1871">
        <v>0</v>
      </c>
      <c r="F17" s="1872">
        <v>0</v>
      </c>
      <c r="G17" s="1909">
        <v>0</v>
      </c>
      <c r="H17" s="1876">
        <v>0</v>
      </c>
      <c r="I17" s="1877">
        <v>0</v>
      </c>
      <c r="J17" s="1874">
        <f t="shared" si="1"/>
        <v>0</v>
      </c>
      <c r="K17" s="1875">
        <f t="shared" si="2"/>
        <v>0</v>
      </c>
      <c r="L17" s="1910">
        <f t="shared" si="3"/>
        <v>0</v>
      </c>
      <c r="N17" s="748" t="s">
        <v>27845</v>
      </c>
      <c r="O17" s="748" t="s">
        <v>27685</v>
      </c>
      <c r="P17" s="923" t="s">
        <v>27826</v>
      </c>
    </row>
    <row r="18" spans="1:16" ht="14.45" customHeight="1" x14ac:dyDescent="0.35">
      <c r="A18" s="924" t="s">
        <v>27844</v>
      </c>
      <c r="B18" s="925" t="s">
        <v>204</v>
      </c>
      <c r="C18" s="1546" t="s">
        <v>210</v>
      </c>
      <c r="D18" s="1650"/>
      <c r="E18" s="926"/>
      <c r="F18" s="927"/>
      <c r="G18" s="989"/>
      <c r="H18" s="926"/>
      <c r="I18" s="928"/>
      <c r="J18" s="1650"/>
      <c r="K18" s="926"/>
      <c r="L18" s="928"/>
      <c r="N18" s="748" t="s">
        <v>27845</v>
      </c>
      <c r="O18" s="748" t="s">
        <v>27685</v>
      </c>
      <c r="P18" s="923" t="s">
        <v>27688</v>
      </c>
    </row>
    <row r="19" spans="1:16" ht="14.45" customHeight="1" x14ac:dyDescent="0.35">
      <c r="A19" s="924" t="s">
        <v>27844</v>
      </c>
      <c r="B19" s="929" t="s">
        <v>218</v>
      </c>
      <c r="C19" s="1547" t="s">
        <v>27769</v>
      </c>
      <c r="D19" s="930">
        <v>0</v>
      </c>
      <c r="E19" s="931">
        <v>0</v>
      </c>
      <c r="F19" s="932">
        <v>0</v>
      </c>
      <c r="G19" s="990">
        <v>0</v>
      </c>
      <c r="H19" s="933">
        <v>0</v>
      </c>
      <c r="I19" s="934">
        <v>0</v>
      </c>
      <c r="J19" s="935">
        <f t="shared" si="1"/>
        <v>0</v>
      </c>
      <c r="K19" s="936">
        <f t="shared" si="2"/>
        <v>0</v>
      </c>
      <c r="L19" s="975">
        <f t="shared" si="3"/>
        <v>0</v>
      </c>
      <c r="N19" s="748" t="s">
        <v>27845</v>
      </c>
      <c r="O19" s="748" t="s">
        <v>27691</v>
      </c>
      <c r="P19" s="923" t="s">
        <v>27826</v>
      </c>
    </row>
    <row r="20" spans="1:16" ht="14.45" customHeight="1" x14ac:dyDescent="0.35">
      <c r="A20" s="924" t="s">
        <v>27844</v>
      </c>
      <c r="B20" s="925" t="s">
        <v>218</v>
      </c>
      <c r="C20" s="1378" t="s">
        <v>210</v>
      </c>
      <c r="D20" s="943"/>
      <c r="E20" s="944"/>
      <c r="F20" s="941"/>
      <c r="G20" s="943"/>
      <c r="H20" s="944"/>
      <c r="I20" s="942"/>
      <c r="J20" s="939"/>
      <c r="K20" s="940"/>
      <c r="L20" s="942"/>
      <c r="N20" s="748" t="s">
        <v>27845</v>
      </c>
      <c r="O20" s="748" t="s">
        <v>27691</v>
      </c>
      <c r="P20" s="923" t="s">
        <v>27688</v>
      </c>
    </row>
    <row r="21" spans="1:16" ht="14.45" customHeight="1" x14ac:dyDescent="0.35">
      <c r="A21" s="1455" t="s">
        <v>27846</v>
      </c>
      <c r="B21" s="1316" t="s">
        <v>204</v>
      </c>
      <c r="C21" s="1548" t="s">
        <v>212</v>
      </c>
      <c r="D21" s="1317">
        <v>0</v>
      </c>
      <c r="E21" s="1318">
        <v>0</v>
      </c>
      <c r="F21" s="1319">
        <v>0</v>
      </c>
      <c r="G21" s="1317">
        <v>0</v>
      </c>
      <c r="H21" s="1318">
        <v>0</v>
      </c>
      <c r="I21" s="1320">
        <v>0</v>
      </c>
      <c r="J21" s="1321">
        <f t="shared" si="1"/>
        <v>0</v>
      </c>
      <c r="K21" s="1322">
        <f t="shared" si="2"/>
        <v>0</v>
      </c>
      <c r="L21" s="2186">
        <f t="shared" si="3"/>
        <v>0</v>
      </c>
      <c r="N21" s="748" t="s">
        <v>27845</v>
      </c>
      <c r="O21" s="748" t="s">
        <v>27685</v>
      </c>
      <c r="P21" s="923" t="s">
        <v>27689</v>
      </c>
    </row>
    <row r="22" spans="1:16" ht="14.45" customHeight="1" x14ac:dyDescent="0.35">
      <c r="A22" s="924" t="s">
        <v>27846</v>
      </c>
      <c r="B22" s="968" t="s">
        <v>218</v>
      </c>
      <c r="C22" s="1549" t="s">
        <v>212</v>
      </c>
      <c r="D22" s="1651">
        <v>0</v>
      </c>
      <c r="E22" s="945">
        <v>0</v>
      </c>
      <c r="F22" s="946">
        <v>0</v>
      </c>
      <c r="G22" s="1651">
        <v>0</v>
      </c>
      <c r="H22" s="945">
        <v>0</v>
      </c>
      <c r="I22" s="947">
        <v>0</v>
      </c>
      <c r="J22" s="1652">
        <f t="shared" si="1"/>
        <v>0</v>
      </c>
      <c r="K22" s="948">
        <f t="shared" si="2"/>
        <v>0</v>
      </c>
      <c r="L22" s="973">
        <f t="shared" si="3"/>
        <v>0</v>
      </c>
      <c r="N22" s="748" t="s">
        <v>27845</v>
      </c>
      <c r="O22" s="748" t="s">
        <v>27691</v>
      </c>
      <c r="P22" s="923" t="s">
        <v>27689</v>
      </c>
    </row>
    <row r="23" spans="1:16" ht="14.45" customHeight="1" x14ac:dyDescent="0.35">
      <c r="A23" s="1455" t="s">
        <v>27847</v>
      </c>
      <c r="B23" s="1456" t="s">
        <v>204</v>
      </c>
      <c r="C23" s="1455" t="s">
        <v>27769</v>
      </c>
      <c r="D23" s="1870">
        <v>0</v>
      </c>
      <c r="E23" s="1871">
        <v>0</v>
      </c>
      <c r="F23" s="1872">
        <v>0</v>
      </c>
      <c r="G23" s="1909">
        <v>0</v>
      </c>
      <c r="H23" s="1871">
        <v>0</v>
      </c>
      <c r="I23" s="1873">
        <v>0</v>
      </c>
      <c r="J23" s="1874">
        <f t="shared" si="1"/>
        <v>0</v>
      </c>
      <c r="K23" s="1875">
        <f t="shared" si="2"/>
        <v>0</v>
      </c>
      <c r="L23" s="1910">
        <f t="shared" si="3"/>
        <v>0</v>
      </c>
      <c r="N23" s="748" t="s">
        <v>27848</v>
      </c>
      <c r="O23" s="748" t="s">
        <v>27685</v>
      </c>
      <c r="P23" s="923" t="s">
        <v>27826</v>
      </c>
    </row>
    <row r="24" spans="1:16" ht="14.45" customHeight="1" x14ac:dyDescent="0.35">
      <c r="A24" s="924" t="s">
        <v>27847</v>
      </c>
      <c r="B24" s="925" t="s">
        <v>204</v>
      </c>
      <c r="C24" s="1546" t="s">
        <v>210</v>
      </c>
      <c r="D24" s="1651">
        <v>0</v>
      </c>
      <c r="E24" s="945">
        <v>0</v>
      </c>
      <c r="F24" s="946">
        <v>0</v>
      </c>
      <c r="G24" s="992">
        <v>0</v>
      </c>
      <c r="H24" s="945">
        <v>0</v>
      </c>
      <c r="I24" s="947">
        <v>0</v>
      </c>
      <c r="J24" s="1652">
        <f t="shared" si="1"/>
        <v>0</v>
      </c>
      <c r="K24" s="948">
        <f t="shared" si="2"/>
        <v>0</v>
      </c>
      <c r="L24" s="973">
        <f t="shared" si="3"/>
        <v>0</v>
      </c>
      <c r="N24" s="748" t="s">
        <v>27848</v>
      </c>
      <c r="O24" s="748" t="s">
        <v>27685</v>
      </c>
      <c r="P24" s="923" t="s">
        <v>27688</v>
      </c>
    </row>
    <row r="25" spans="1:16" ht="14.45" customHeight="1" x14ac:dyDescent="0.35">
      <c r="A25" s="924" t="s">
        <v>27847</v>
      </c>
      <c r="B25" s="929" t="s">
        <v>218</v>
      </c>
      <c r="C25" s="1547" t="s">
        <v>27769</v>
      </c>
      <c r="D25" s="930">
        <v>0</v>
      </c>
      <c r="E25" s="931">
        <v>0</v>
      </c>
      <c r="F25" s="932">
        <v>0</v>
      </c>
      <c r="G25" s="990">
        <v>0</v>
      </c>
      <c r="H25" s="931">
        <v>0</v>
      </c>
      <c r="I25" s="950">
        <v>0</v>
      </c>
      <c r="J25" s="935">
        <f t="shared" si="1"/>
        <v>0</v>
      </c>
      <c r="K25" s="936">
        <f t="shared" si="2"/>
        <v>0</v>
      </c>
      <c r="L25" s="975">
        <f t="shared" si="3"/>
        <v>0</v>
      </c>
      <c r="N25" s="748" t="s">
        <v>27848</v>
      </c>
      <c r="O25" s="748" t="s">
        <v>27691</v>
      </c>
      <c r="P25" s="923" t="s">
        <v>27826</v>
      </c>
    </row>
    <row r="26" spans="1:16" ht="14.45" customHeight="1" x14ac:dyDescent="0.35">
      <c r="A26" s="924" t="s">
        <v>27847</v>
      </c>
      <c r="B26" s="925" t="s">
        <v>218</v>
      </c>
      <c r="C26" s="1378" t="s">
        <v>210</v>
      </c>
      <c r="D26" s="954">
        <v>0</v>
      </c>
      <c r="E26" s="952">
        <v>0</v>
      </c>
      <c r="F26" s="953">
        <v>0</v>
      </c>
      <c r="G26" s="993">
        <v>0</v>
      </c>
      <c r="H26" s="952">
        <v>0</v>
      </c>
      <c r="I26" s="955">
        <v>0</v>
      </c>
      <c r="J26" s="956">
        <f t="shared" si="1"/>
        <v>0</v>
      </c>
      <c r="K26" s="957">
        <f t="shared" si="2"/>
        <v>0</v>
      </c>
      <c r="L26" s="994">
        <f t="shared" si="3"/>
        <v>0</v>
      </c>
      <c r="N26" s="748" t="s">
        <v>27848</v>
      </c>
      <c r="O26" s="748" t="s">
        <v>27691</v>
      </c>
      <c r="P26" s="923" t="s">
        <v>27688</v>
      </c>
    </row>
    <row r="27" spans="1:16" ht="14.45" customHeight="1" x14ac:dyDescent="0.35">
      <c r="A27" s="1455" t="s">
        <v>27849</v>
      </c>
      <c r="B27" s="1456" t="s">
        <v>204</v>
      </c>
      <c r="C27" s="1455" t="s">
        <v>27769</v>
      </c>
      <c r="D27" s="1870">
        <v>0</v>
      </c>
      <c r="E27" s="1871">
        <v>0</v>
      </c>
      <c r="F27" s="1872">
        <v>0</v>
      </c>
      <c r="G27" s="1909">
        <v>0</v>
      </c>
      <c r="H27" s="1871">
        <v>0</v>
      </c>
      <c r="I27" s="1873">
        <v>0</v>
      </c>
      <c r="J27" s="1874">
        <f t="shared" si="1"/>
        <v>0</v>
      </c>
      <c r="K27" s="1875">
        <f t="shared" si="2"/>
        <v>0</v>
      </c>
      <c r="L27" s="1910">
        <f t="shared" si="3"/>
        <v>0</v>
      </c>
      <c r="N27" s="748" t="s">
        <v>27850</v>
      </c>
      <c r="O27" s="748" t="s">
        <v>27685</v>
      </c>
      <c r="P27" s="923" t="s">
        <v>27826</v>
      </c>
    </row>
    <row r="28" spans="1:16" ht="14.45" customHeight="1" x14ac:dyDescent="0.35">
      <c r="A28" s="924" t="s">
        <v>27849</v>
      </c>
      <c r="B28" s="925" t="s">
        <v>204</v>
      </c>
      <c r="C28" s="1546" t="s">
        <v>210</v>
      </c>
      <c r="D28" s="1651">
        <v>0</v>
      </c>
      <c r="E28" s="945">
        <v>0</v>
      </c>
      <c r="F28" s="946">
        <v>0</v>
      </c>
      <c r="G28" s="992">
        <v>0</v>
      </c>
      <c r="H28" s="945">
        <v>0</v>
      </c>
      <c r="I28" s="947">
        <v>0</v>
      </c>
      <c r="J28" s="1652">
        <f t="shared" si="1"/>
        <v>0</v>
      </c>
      <c r="K28" s="948">
        <f t="shared" si="2"/>
        <v>0</v>
      </c>
      <c r="L28" s="973">
        <f t="shared" si="3"/>
        <v>0</v>
      </c>
      <c r="N28" s="748" t="s">
        <v>27850</v>
      </c>
      <c r="O28" s="748" t="s">
        <v>27685</v>
      </c>
      <c r="P28" s="923" t="s">
        <v>27688</v>
      </c>
    </row>
    <row r="29" spans="1:16" ht="14.45" customHeight="1" x14ac:dyDescent="0.35">
      <c r="A29" s="924" t="s">
        <v>27849</v>
      </c>
      <c r="B29" s="929" t="s">
        <v>218</v>
      </c>
      <c r="C29" s="1547" t="s">
        <v>27769</v>
      </c>
      <c r="D29" s="930">
        <v>0</v>
      </c>
      <c r="E29" s="931">
        <v>0</v>
      </c>
      <c r="F29" s="932">
        <v>0</v>
      </c>
      <c r="G29" s="990">
        <v>0</v>
      </c>
      <c r="H29" s="931">
        <v>0</v>
      </c>
      <c r="I29" s="950">
        <v>0</v>
      </c>
      <c r="J29" s="935">
        <f t="shared" si="1"/>
        <v>0</v>
      </c>
      <c r="K29" s="936">
        <f t="shared" si="2"/>
        <v>0</v>
      </c>
      <c r="L29" s="975">
        <f t="shared" si="3"/>
        <v>0</v>
      </c>
      <c r="N29" s="748" t="s">
        <v>27850</v>
      </c>
      <c r="O29" s="748" t="s">
        <v>27691</v>
      </c>
      <c r="P29" s="923" t="s">
        <v>27826</v>
      </c>
    </row>
    <row r="30" spans="1:16" ht="14.45" customHeight="1" x14ac:dyDescent="0.35">
      <c r="A30" s="924" t="s">
        <v>27849</v>
      </c>
      <c r="B30" s="925" t="s">
        <v>218</v>
      </c>
      <c r="C30" s="1378" t="s">
        <v>210</v>
      </c>
      <c r="D30" s="954">
        <v>0</v>
      </c>
      <c r="E30" s="952">
        <v>0</v>
      </c>
      <c r="F30" s="953">
        <v>0</v>
      </c>
      <c r="G30" s="993">
        <v>0</v>
      </c>
      <c r="H30" s="952">
        <v>0</v>
      </c>
      <c r="I30" s="955">
        <v>0</v>
      </c>
      <c r="J30" s="956">
        <f t="shared" si="1"/>
        <v>0</v>
      </c>
      <c r="K30" s="957">
        <f t="shared" si="2"/>
        <v>0</v>
      </c>
      <c r="L30" s="994">
        <f t="shared" si="3"/>
        <v>0</v>
      </c>
      <c r="N30" s="748" t="s">
        <v>27850</v>
      </c>
      <c r="O30" s="748" t="s">
        <v>27691</v>
      </c>
      <c r="P30" s="923" t="s">
        <v>27688</v>
      </c>
    </row>
    <row r="31" spans="1:16" ht="14.45" customHeight="1" x14ac:dyDescent="0.35">
      <c r="A31" s="1397" t="s">
        <v>27851</v>
      </c>
      <c r="B31" s="1456" t="s">
        <v>204</v>
      </c>
      <c r="C31" s="1455" t="s">
        <v>27769</v>
      </c>
      <c r="D31" s="1870">
        <v>0</v>
      </c>
      <c r="E31" s="1871">
        <v>0</v>
      </c>
      <c r="F31" s="1872">
        <v>0</v>
      </c>
      <c r="G31" s="1909">
        <v>0</v>
      </c>
      <c r="H31" s="1871">
        <v>0</v>
      </c>
      <c r="I31" s="1873">
        <v>0</v>
      </c>
      <c r="J31" s="1874">
        <f t="shared" si="1"/>
        <v>0</v>
      </c>
      <c r="K31" s="1875">
        <f t="shared" si="2"/>
        <v>0</v>
      </c>
      <c r="L31" s="1910">
        <f t="shared" si="3"/>
        <v>0</v>
      </c>
      <c r="N31" s="748" t="s">
        <v>27852</v>
      </c>
      <c r="O31" s="748" t="s">
        <v>27685</v>
      </c>
      <c r="P31" s="923" t="s">
        <v>27826</v>
      </c>
    </row>
    <row r="32" spans="1:16" ht="14.45" customHeight="1" x14ac:dyDescent="0.35">
      <c r="A32" s="959" t="s">
        <v>27851</v>
      </c>
      <c r="B32" s="925" t="s">
        <v>204</v>
      </c>
      <c r="C32" s="1546" t="s">
        <v>210</v>
      </c>
      <c r="D32" s="1651">
        <v>0</v>
      </c>
      <c r="E32" s="945">
        <v>0</v>
      </c>
      <c r="F32" s="946">
        <v>0</v>
      </c>
      <c r="G32" s="992">
        <v>0</v>
      </c>
      <c r="H32" s="945">
        <v>0</v>
      </c>
      <c r="I32" s="947">
        <v>0</v>
      </c>
      <c r="J32" s="1652">
        <f t="shared" si="1"/>
        <v>0</v>
      </c>
      <c r="K32" s="948">
        <f t="shared" si="2"/>
        <v>0</v>
      </c>
      <c r="L32" s="973">
        <f t="shared" si="3"/>
        <v>0</v>
      </c>
      <c r="N32" s="748" t="s">
        <v>27852</v>
      </c>
      <c r="O32" s="748" t="s">
        <v>27685</v>
      </c>
      <c r="P32" s="923" t="s">
        <v>27688</v>
      </c>
    </row>
    <row r="33" spans="1:16" ht="14.45" customHeight="1" x14ac:dyDescent="0.35">
      <c r="A33" s="924" t="s">
        <v>27851</v>
      </c>
      <c r="B33" s="929" t="s">
        <v>218</v>
      </c>
      <c r="C33" s="1547" t="s">
        <v>27769</v>
      </c>
      <c r="D33" s="930">
        <v>0</v>
      </c>
      <c r="E33" s="931">
        <v>0</v>
      </c>
      <c r="F33" s="932">
        <v>0</v>
      </c>
      <c r="G33" s="990">
        <v>0</v>
      </c>
      <c r="H33" s="931">
        <v>0</v>
      </c>
      <c r="I33" s="950">
        <v>0</v>
      </c>
      <c r="J33" s="935">
        <f t="shared" si="1"/>
        <v>0</v>
      </c>
      <c r="K33" s="936">
        <f t="shared" si="2"/>
        <v>0</v>
      </c>
      <c r="L33" s="975">
        <f t="shared" si="3"/>
        <v>0</v>
      </c>
      <c r="N33" s="748" t="s">
        <v>27852</v>
      </c>
      <c r="O33" s="748" t="s">
        <v>27691</v>
      </c>
      <c r="P33" s="923" t="s">
        <v>27826</v>
      </c>
    </row>
    <row r="34" spans="1:16" ht="14.45" customHeight="1" x14ac:dyDescent="0.35">
      <c r="A34" s="924" t="s">
        <v>27851</v>
      </c>
      <c r="B34" s="925" t="s">
        <v>218</v>
      </c>
      <c r="C34" s="1378" t="s">
        <v>210</v>
      </c>
      <c r="D34" s="954">
        <v>0</v>
      </c>
      <c r="E34" s="952">
        <v>0</v>
      </c>
      <c r="F34" s="953">
        <v>0</v>
      </c>
      <c r="G34" s="993">
        <v>0</v>
      </c>
      <c r="H34" s="952">
        <v>0</v>
      </c>
      <c r="I34" s="955">
        <v>0</v>
      </c>
      <c r="J34" s="956">
        <f t="shared" si="1"/>
        <v>0</v>
      </c>
      <c r="K34" s="957">
        <f t="shared" si="2"/>
        <v>0</v>
      </c>
      <c r="L34" s="994">
        <f t="shared" si="3"/>
        <v>0</v>
      </c>
      <c r="N34" s="748" t="s">
        <v>27852</v>
      </c>
      <c r="O34" s="748" t="s">
        <v>27691</v>
      </c>
      <c r="P34" s="923" t="s">
        <v>27688</v>
      </c>
    </row>
    <row r="35" spans="1:16" ht="14.45" customHeight="1" x14ac:dyDescent="0.35">
      <c r="A35" s="1397" t="s">
        <v>27853</v>
      </c>
      <c r="B35" s="1456" t="s">
        <v>204</v>
      </c>
      <c r="C35" s="1455" t="s">
        <v>27769</v>
      </c>
      <c r="D35" s="1870">
        <v>0</v>
      </c>
      <c r="E35" s="1871">
        <v>0</v>
      </c>
      <c r="F35" s="1872">
        <v>0</v>
      </c>
      <c r="G35" s="1909">
        <v>0</v>
      </c>
      <c r="H35" s="1871">
        <v>0</v>
      </c>
      <c r="I35" s="1873">
        <v>0</v>
      </c>
      <c r="J35" s="1874">
        <f t="shared" si="1"/>
        <v>0</v>
      </c>
      <c r="K35" s="1875">
        <f t="shared" si="2"/>
        <v>0</v>
      </c>
      <c r="L35" s="1910">
        <f t="shared" si="3"/>
        <v>0</v>
      </c>
      <c r="N35" s="748" t="s">
        <v>27854</v>
      </c>
      <c r="O35" s="748" t="s">
        <v>27685</v>
      </c>
      <c r="P35" s="923" t="s">
        <v>27826</v>
      </c>
    </row>
    <row r="36" spans="1:16" ht="14.45" customHeight="1" x14ac:dyDescent="0.35">
      <c r="A36" s="959" t="s">
        <v>27853</v>
      </c>
      <c r="B36" s="925" t="s">
        <v>204</v>
      </c>
      <c r="C36" s="1546" t="s">
        <v>210</v>
      </c>
      <c r="D36" s="1651">
        <v>0</v>
      </c>
      <c r="E36" s="945">
        <v>0</v>
      </c>
      <c r="F36" s="946">
        <v>0</v>
      </c>
      <c r="G36" s="992">
        <v>0</v>
      </c>
      <c r="H36" s="945">
        <v>0</v>
      </c>
      <c r="I36" s="947">
        <v>0</v>
      </c>
      <c r="J36" s="1652">
        <f t="shared" si="1"/>
        <v>0</v>
      </c>
      <c r="K36" s="948">
        <f t="shared" si="2"/>
        <v>0</v>
      </c>
      <c r="L36" s="973">
        <f t="shared" si="3"/>
        <v>0</v>
      </c>
      <c r="N36" s="748" t="s">
        <v>27854</v>
      </c>
      <c r="O36" s="748" t="s">
        <v>27685</v>
      </c>
      <c r="P36" s="923" t="s">
        <v>27688</v>
      </c>
    </row>
    <row r="37" spans="1:16" ht="14.45" customHeight="1" x14ac:dyDescent="0.35">
      <c r="A37" s="924" t="s">
        <v>27853</v>
      </c>
      <c r="B37" s="929" t="s">
        <v>218</v>
      </c>
      <c r="C37" s="1547" t="s">
        <v>27769</v>
      </c>
      <c r="D37" s="930">
        <v>0</v>
      </c>
      <c r="E37" s="931">
        <v>0</v>
      </c>
      <c r="F37" s="932">
        <v>0</v>
      </c>
      <c r="G37" s="990">
        <v>0</v>
      </c>
      <c r="H37" s="931">
        <v>0</v>
      </c>
      <c r="I37" s="950">
        <v>0</v>
      </c>
      <c r="J37" s="935">
        <f t="shared" si="1"/>
        <v>0</v>
      </c>
      <c r="K37" s="936">
        <f t="shared" si="2"/>
        <v>0</v>
      </c>
      <c r="L37" s="975">
        <f t="shared" si="3"/>
        <v>0</v>
      </c>
      <c r="N37" s="748" t="s">
        <v>27854</v>
      </c>
      <c r="O37" s="748" t="s">
        <v>27691</v>
      </c>
      <c r="P37" s="923" t="s">
        <v>27826</v>
      </c>
    </row>
    <row r="38" spans="1:16" ht="14.45" customHeight="1" x14ac:dyDescent="0.35">
      <c r="A38" s="924" t="s">
        <v>27853</v>
      </c>
      <c r="B38" s="925" t="s">
        <v>218</v>
      </c>
      <c r="C38" s="1378" t="s">
        <v>210</v>
      </c>
      <c r="D38" s="954">
        <v>0</v>
      </c>
      <c r="E38" s="952">
        <v>0</v>
      </c>
      <c r="F38" s="953">
        <v>0</v>
      </c>
      <c r="G38" s="993">
        <v>0</v>
      </c>
      <c r="H38" s="952">
        <v>0</v>
      </c>
      <c r="I38" s="955">
        <v>0</v>
      </c>
      <c r="J38" s="956">
        <f t="shared" si="1"/>
        <v>0</v>
      </c>
      <c r="K38" s="957">
        <f t="shared" si="2"/>
        <v>0</v>
      </c>
      <c r="L38" s="994">
        <f t="shared" si="3"/>
        <v>0</v>
      </c>
      <c r="N38" s="748" t="s">
        <v>27854</v>
      </c>
      <c r="O38" s="748" t="s">
        <v>27691</v>
      </c>
      <c r="P38" s="923" t="s">
        <v>27688</v>
      </c>
    </row>
    <row r="39" spans="1:16" ht="14.45" customHeight="1" x14ac:dyDescent="0.35">
      <c r="A39" s="1397" t="s">
        <v>27855</v>
      </c>
      <c r="B39" s="1456" t="s">
        <v>204</v>
      </c>
      <c r="C39" s="1455" t="s">
        <v>27769</v>
      </c>
      <c r="D39" s="1870">
        <v>0</v>
      </c>
      <c r="E39" s="1871">
        <v>0</v>
      </c>
      <c r="F39" s="1872">
        <v>0</v>
      </c>
      <c r="G39" s="1909">
        <v>0</v>
      </c>
      <c r="H39" s="1871">
        <v>0</v>
      </c>
      <c r="I39" s="1873">
        <v>0</v>
      </c>
      <c r="J39" s="1874">
        <f t="shared" si="1"/>
        <v>0</v>
      </c>
      <c r="K39" s="1875">
        <f t="shared" si="2"/>
        <v>0</v>
      </c>
      <c r="L39" s="1910">
        <f t="shared" si="3"/>
        <v>0</v>
      </c>
      <c r="N39" s="748" t="s">
        <v>27856</v>
      </c>
      <c r="O39" s="748" t="s">
        <v>27685</v>
      </c>
      <c r="P39" s="923" t="s">
        <v>27826</v>
      </c>
    </row>
    <row r="40" spans="1:16" ht="14.45" customHeight="1" x14ac:dyDescent="0.35">
      <c r="A40" s="959" t="s">
        <v>27855</v>
      </c>
      <c r="B40" s="925" t="s">
        <v>204</v>
      </c>
      <c r="C40" s="1546" t="s">
        <v>210</v>
      </c>
      <c r="D40" s="1651">
        <v>0</v>
      </c>
      <c r="E40" s="945">
        <v>0</v>
      </c>
      <c r="F40" s="946">
        <v>0</v>
      </c>
      <c r="G40" s="992">
        <v>0</v>
      </c>
      <c r="H40" s="945">
        <v>0</v>
      </c>
      <c r="I40" s="947">
        <v>0</v>
      </c>
      <c r="J40" s="1652">
        <f t="shared" si="1"/>
        <v>0</v>
      </c>
      <c r="K40" s="948">
        <f t="shared" si="2"/>
        <v>0</v>
      </c>
      <c r="L40" s="973">
        <f t="shared" si="3"/>
        <v>0</v>
      </c>
      <c r="N40" s="748" t="s">
        <v>27856</v>
      </c>
      <c r="O40" s="748" t="s">
        <v>27685</v>
      </c>
      <c r="P40" s="923" t="s">
        <v>27688</v>
      </c>
    </row>
    <row r="41" spans="1:16" ht="14.45" customHeight="1" x14ac:dyDescent="0.35">
      <c r="A41" s="924" t="s">
        <v>27855</v>
      </c>
      <c r="B41" s="929" t="s">
        <v>218</v>
      </c>
      <c r="C41" s="1547" t="s">
        <v>27769</v>
      </c>
      <c r="D41" s="930">
        <v>0</v>
      </c>
      <c r="E41" s="931">
        <v>0</v>
      </c>
      <c r="F41" s="932">
        <v>0</v>
      </c>
      <c r="G41" s="990">
        <v>0</v>
      </c>
      <c r="H41" s="931">
        <v>0</v>
      </c>
      <c r="I41" s="950">
        <v>0</v>
      </c>
      <c r="J41" s="935">
        <f t="shared" si="1"/>
        <v>0</v>
      </c>
      <c r="K41" s="936">
        <f t="shared" si="2"/>
        <v>0</v>
      </c>
      <c r="L41" s="975">
        <f t="shared" si="3"/>
        <v>0</v>
      </c>
      <c r="N41" s="748" t="s">
        <v>27856</v>
      </c>
      <c r="O41" s="748" t="s">
        <v>27691</v>
      </c>
      <c r="P41" s="923" t="s">
        <v>27826</v>
      </c>
    </row>
    <row r="42" spans="1:16" ht="14.45" customHeight="1" x14ac:dyDescent="0.35">
      <c r="A42" s="924" t="s">
        <v>27855</v>
      </c>
      <c r="B42" s="925" t="s">
        <v>218</v>
      </c>
      <c r="C42" s="1378" t="s">
        <v>210</v>
      </c>
      <c r="D42" s="954">
        <v>0</v>
      </c>
      <c r="E42" s="952">
        <v>0</v>
      </c>
      <c r="F42" s="953">
        <v>0</v>
      </c>
      <c r="G42" s="993">
        <v>0</v>
      </c>
      <c r="H42" s="952">
        <v>0</v>
      </c>
      <c r="I42" s="955">
        <v>0</v>
      </c>
      <c r="J42" s="956">
        <f t="shared" si="1"/>
        <v>0</v>
      </c>
      <c r="K42" s="957">
        <f t="shared" si="2"/>
        <v>0</v>
      </c>
      <c r="L42" s="994">
        <f t="shared" si="3"/>
        <v>0</v>
      </c>
      <c r="N42" s="748" t="s">
        <v>27856</v>
      </c>
      <c r="O42" s="748" t="s">
        <v>27691</v>
      </c>
      <c r="P42" s="923" t="s">
        <v>27688</v>
      </c>
    </row>
    <row r="43" spans="1:16" ht="14.45" customHeight="1" x14ac:dyDescent="0.35">
      <c r="A43" s="1397" t="s">
        <v>27857</v>
      </c>
      <c r="B43" s="1456" t="s">
        <v>204</v>
      </c>
      <c r="C43" s="1455" t="s">
        <v>27769</v>
      </c>
      <c r="D43" s="1870">
        <v>0</v>
      </c>
      <c r="E43" s="1871">
        <v>0</v>
      </c>
      <c r="F43" s="1872">
        <v>0</v>
      </c>
      <c r="G43" s="1909">
        <v>0</v>
      </c>
      <c r="H43" s="1871">
        <v>0</v>
      </c>
      <c r="I43" s="1873">
        <v>0</v>
      </c>
      <c r="J43" s="1874">
        <f t="shared" si="1"/>
        <v>0</v>
      </c>
      <c r="K43" s="1875">
        <f t="shared" si="2"/>
        <v>0</v>
      </c>
      <c r="L43" s="1910">
        <f t="shared" si="3"/>
        <v>0</v>
      </c>
      <c r="N43" s="748" t="s">
        <v>27858</v>
      </c>
      <c r="O43" s="748" t="s">
        <v>27685</v>
      </c>
      <c r="P43" s="923" t="s">
        <v>27826</v>
      </c>
    </row>
    <row r="44" spans="1:16" ht="14.45" customHeight="1" x14ac:dyDescent="0.35">
      <c r="A44" s="959" t="s">
        <v>27857</v>
      </c>
      <c r="B44" s="925" t="s">
        <v>204</v>
      </c>
      <c r="C44" s="1546" t="s">
        <v>210</v>
      </c>
      <c r="D44" s="1651">
        <v>0</v>
      </c>
      <c r="E44" s="945">
        <v>0</v>
      </c>
      <c r="F44" s="946">
        <v>0</v>
      </c>
      <c r="G44" s="992">
        <v>0</v>
      </c>
      <c r="H44" s="945">
        <v>0</v>
      </c>
      <c r="I44" s="947">
        <v>0</v>
      </c>
      <c r="J44" s="1652">
        <f t="shared" si="1"/>
        <v>0</v>
      </c>
      <c r="K44" s="948">
        <f t="shared" si="2"/>
        <v>0</v>
      </c>
      <c r="L44" s="973">
        <f t="shared" si="3"/>
        <v>0</v>
      </c>
      <c r="N44" s="748" t="s">
        <v>27858</v>
      </c>
      <c r="O44" s="748" t="s">
        <v>27685</v>
      </c>
      <c r="P44" s="923" t="s">
        <v>27688</v>
      </c>
    </row>
    <row r="45" spans="1:16" ht="14.45" customHeight="1" x14ac:dyDescent="0.35">
      <c r="A45" s="924" t="s">
        <v>27857</v>
      </c>
      <c r="B45" s="929" t="s">
        <v>218</v>
      </c>
      <c r="C45" s="1547" t="s">
        <v>27769</v>
      </c>
      <c r="D45" s="930">
        <v>0</v>
      </c>
      <c r="E45" s="931">
        <v>0</v>
      </c>
      <c r="F45" s="932">
        <v>0</v>
      </c>
      <c r="G45" s="990">
        <v>0</v>
      </c>
      <c r="H45" s="931">
        <v>0</v>
      </c>
      <c r="I45" s="950">
        <v>0</v>
      </c>
      <c r="J45" s="935">
        <f t="shared" si="1"/>
        <v>0</v>
      </c>
      <c r="K45" s="936">
        <f t="shared" si="2"/>
        <v>0</v>
      </c>
      <c r="L45" s="975">
        <f t="shared" si="3"/>
        <v>0</v>
      </c>
      <c r="N45" s="748" t="s">
        <v>27858</v>
      </c>
      <c r="O45" s="748" t="s">
        <v>27691</v>
      </c>
      <c r="P45" s="923" t="s">
        <v>27826</v>
      </c>
    </row>
    <row r="46" spans="1:16" ht="14.45" customHeight="1" x14ac:dyDescent="0.35">
      <c r="A46" s="924" t="s">
        <v>27857</v>
      </c>
      <c r="B46" s="925" t="s">
        <v>218</v>
      </c>
      <c r="C46" s="1378" t="s">
        <v>210</v>
      </c>
      <c r="D46" s="954">
        <v>0</v>
      </c>
      <c r="E46" s="952">
        <v>0</v>
      </c>
      <c r="F46" s="953">
        <v>0</v>
      </c>
      <c r="G46" s="993">
        <v>0</v>
      </c>
      <c r="H46" s="952">
        <v>0</v>
      </c>
      <c r="I46" s="955">
        <v>0</v>
      </c>
      <c r="J46" s="956">
        <f t="shared" si="1"/>
        <v>0</v>
      </c>
      <c r="K46" s="957">
        <f t="shared" si="2"/>
        <v>0</v>
      </c>
      <c r="L46" s="994">
        <f t="shared" si="3"/>
        <v>0</v>
      </c>
      <c r="N46" s="748" t="s">
        <v>27858</v>
      </c>
      <c r="O46" s="748" t="s">
        <v>27691</v>
      </c>
      <c r="P46" s="923" t="s">
        <v>27688</v>
      </c>
    </row>
    <row r="47" spans="1:16" ht="14.45" customHeight="1" x14ac:dyDescent="0.35">
      <c r="A47" s="1397" t="s">
        <v>27859</v>
      </c>
      <c r="B47" s="1456" t="s">
        <v>204</v>
      </c>
      <c r="C47" s="1455" t="s">
        <v>27769</v>
      </c>
      <c r="D47" s="1870">
        <v>0</v>
      </c>
      <c r="E47" s="1871">
        <v>0</v>
      </c>
      <c r="F47" s="1872">
        <v>0</v>
      </c>
      <c r="G47" s="1909">
        <v>0</v>
      </c>
      <c r="H47" s="1871">
        <v>0</v>
      </c>
      <c r="I47" s="1873">
        <v>0</v>
      </c>
      <c r="J47" s="1874">
        <f t="shared" si="1"/>
        <v>0</v>
      </c>
      <c r="K47" s="1875">
        <f t="shared" si="2"/>
        <v>0</v>
      </c>
      <c r="L47" s="1910">
        <f t="shared" si="3"/>
        <v>0</v>
      </c>
      <c r="N47" s="748" t="s">
        <v>27860</v>
      </c>
      <c r="O47" s="748" t="s">
        <v>27685</v>
      </c>
      <c r="P47" s="923" t="s">
        <v>27826</v>
      </c>
    </row>
    <row r="48" spans="1:16" ht="14.45" customHeight="1" x14ac:dyDescent="0.35">
      <c r="A48" s="959" t="s">
        <v>27859</v>
      </c>
      <c r="B48" s="925" t="s">
        <v>204</v>
      </c>
      <c r="C48" s="1546" t="s">
        <v>210</v>
      </c>
      <c r="D48" s="1651">
        <v>0</v>
      </c>
      <c r="E48" s="945">
        <v>0</v>
      </c>
      <c r="F48" s="946">
        <v>0</v>
      </c>
      <c r="G48" s="992">
        <v>0</v>
      </c>
      <c r="H48" s="945">
        <v>0</v>
      </c>
      <c r="I48" s="947">
        <v>0</v>
      </c>
      <c r="J48" s="1652">
        <f t="shared" si="1"/>
        <v>0</v>
      </c>
      <c r="K48" s="948">
        <f t="shared" si="2"/>
        <v>0</v>
      </c>
      <c r="L48" s="973">
        <f t="shared" si="3"/>
        <v>0</v>
      </c>
      <c r="N48" s="748" t="s">
        <v>27860</v>
      </c>
      <c r="O48" s="748" t="s">
        <v>27685</v>
      </c>
      <c r="P48" s="923" t="s">
        <v>27688</v>
      </c>
    </row>
    <row r="49" spans="1:16" ht="14.45" customHeight="1" x14ac:dyDescent="0.35">
      <c r="A49" s="924" t="s">
        <v>27859</v>
      </c>
      <c r="B49" s="929" t="s">
        <v>218</v>
      </c>
      <c r="C49" s="1547" t="s">
        <v>27769</v>
      </c>
      <c r="D49" s="930">
        <v>0</v>
      </c>
      <c r="E49" s="931">
        <v>0</v>
      </c>
      <c r="F49" s="932">
        <v>0</v>
      </c>
      <c r="G49" s="990">
        <v>0</v>
      </c>
      <c r="H49" s="931">
        <v>0</v>
      </c>
      <c r="I49" s="950">
        <v>0</v>
      </c>
      <c r="J49" s="935">
        <f t="shared" si="1"/>
        <v>0</v>
      </c>
      <c r="K49" s="936">
        <f t="shared" si="2"/>
        <v>0</v>
      </c>
      <c r="L49" s="975">
        <f t="shared" si="3"/>
        <v>0</v>
      </c>
      <c r="N49" s="748" t="s">
        <v>27860</v>
      </c>
      <c r="O49" s="748" t="s">
        <v>27691</v>
      </c>
      <c r="P49" s="923" t="s">
        <v>27826</v>
      </c>
    </row>
    <row r="50" spans="1:16" ht="14.45" customHeight="1" x14ac:dyDescent="0.35">
      <c r="A50" s="924" t="s">
        <v>27859</v>
      </c>
      <c r="B50" s="925" t="s">
        <v>218</v>
      </c>
      <c r="C50" s="1378" t="s">
        <v>210</v>
      </c>
      <c r="D50" s="954">
        <v>0</v>
      </c>
      <c r="E50" s="952">
        <v>0</v>
      </c>
      <c r="F50" s="953">
        <v>0</v>
      </c>
      <c r="G50" s="993">
        <v>0</v>
      </c>
      <c r="H50" s="952">
        <v>0</v>
      </c>
      <c r="I50" s="955">
        <v>0</v>
      </c>
      <c r="J50" s="956">
        <f t="shared" si="1"/>
        <v>0</v>
      </c>
      <c r="K50" s="957">
        <f t="shared" si="2"/>
        <v>0</v>
      </c>
      <c r="L50" s="994">
        <f t="shared" si="3"/>
        <v>0</v>
      </c>
      <c r="N50" s="748" t="s">
        <v>27860</v>
      </c>
      <c r="O50" s="748" t="s">
        <v>27691</v>
      </c>
      <c r="P50" s="923" t="s">
        <v>27688</v>
      </c>
    </row>
    <row r="51" spans="1:16" ht="14.45" customHeight="1" x14ac:dyDescent="0.35">
      <c r="A51" s="1397" t="s">
        <v>27861</v>
      </c>
      <c r="B51" s="1456" t="s">
        <v>204</v>
      </c>
      <c r="C51" s="1455" t="s">
        <v>27769</v>
      </c>
      <c r="D51" s="1870">
        <v>0</v>
      </c>
      <c r="E51" s="1871">
        <v>0</v>
      </c>
      <c r="F51" s="1872">
        <v>0</v>
      </c>
      <c r="G51" s="1909">
        <v>0</v>
      </c>
      <c r="H51" s="1871">
        <v>0</v>
      </c>
      <c r="I51" s="1873">
        <v>0</v>
      </c>
      <c r="J51" s="1874">
        <f t="shared" si="1"/>
        <v>0</v>
      </c>
      <c r="K51" s="1875">
        <f t="shared" si="2"/>
        <v>0</v>
      </c>
      <c r="L51" s="1910">
        <f t="shared" si="3"/>
        <v>0</v>
      </c>
      <c r="N51" s="748" t="s">
        <v>27862</v>
      </c>
      <c r="O51" s="748" t="s">
        <v>27685</v>
      </c>
      <c r="P51" s="923" t="s">
        <v>27826</v>
      </c>
    </row>
    <row r="52" spans="1:16" ht="14.45" customHeight="1" x14ac:dyDescent="0.35">
      <c r="A52" s="959" t="s">
        <v>27861</v>
      </c>
      <c r="B52" s="925" t="s">
        <v>204</v>
      </c>
      <c r="C52" s="1546" t="s">
        <v>210</v>
      </c>
      <c r="D52" s="1651">
        <v>0</v>
      </c>
      <c r="E52" s="945">
        <v>0</v>
      </c>
      <c r="F52" s="946">
        <v>0</v>
      </c>
      <c r="G52" s="992">
        <v>0</v>
      </c>
      <c r="H52" s="945">
        <v>0</v>
      </c>
      <c r="I52" s="947">
        <v>0</v>
      </c>
      <c r="J52" s="1652">
        <f t="shared" si="1"/>
        <v>0</v>
      </c>
      <c r="K52" s="948">
        <f t="shared" si="2"/>
        <v>0</v>
      </c>
      <c r="L52" s="973">
        <f t="shared" si="3"/>
        <v>0</v>
      </c>
      <c r="N52" s="748" t="s">
        <v>27862</v>
      </c>
      <c r="O52" s="748" t="s">
        <v>27685</v>
      </c>
      <c r="P52" s="923" t="s">
        <v>27688</v>
      </c>
    </row>
    <row r="53" spans="1:16" ht="14.45" customHeight="1" x14ac:dyDescent="0.35">
      <c r="A53" s="924" t="s">
        <v>27861</v>
      </c>
      <c r="B53" s="929" t="s">
        <v>218</v>
      </c>
      <c r="C53" s="1547" t="s">
        <v>27769</v>
      </c>
      <c r="D53" s="930">
        <v>0</v>
      </c>
      <c r="E53" s="931">
        <v>0</v>
      </c>
      <c r="F53" s="932">
        <v>0</v>
      </c>
      <c r="G53" s="990">
        <v>0</v>
      </c>
      <c r="H53" s="931">
        <v>0</v>
      </c>
      <c r="I53" s="950">
        <v>0</v>
      </c>
      <c r="J53" s="935">
        <f t="shared" si="1"/>
        <v>0</v>
      </c>
      <c r="K53" s="936">
        <f t="shared" si="2"/>
        <v>0</v>
      </c>
      <c r="L53" s="975">
        <f t="shared" si="3"/>
        <v>0</v>
      </c>
      <c r="N53" s="748" t="s">
        <v>27862</v>
      </c>
      <c r="O53" s="748" t="s">
        <v>27691</v>
      </c>
      <c r="P53" s="923" t="s">
        <v>27826</v>
      </c>
    </row>
    <row r="54" spans="1:16" ht="14.45" customHeight="1" x14ac:dyDescent="0.35">
      <c r="A54" s="924" t="s">
        <v>27861</v>
      </c>
      <c r="B54" s="925" t="s">
        <v>218</v>
      </c>
      <c r="C54" s="1378" t="s">
        <v>210</v>
      </c>
      <c r="D54" s="954">
        <v>0</v>
      </c>
      <c r="E54" s="952">
        <v>0</v>
      </c>
      <c r="F54" s="953">
        <v>0</v>
      </c>
      <c r="G54" s="993">
        <v>0</v>
      </c>
      <c r="H54" s="952">
        <v>0</v>
      </c>
      <c r="I54" s="955">
        <v>0</v>
      </c>
      <c r="J54" s="956">
        <f t="shared" si="1"/>
        <v>0</v>
      </c>
      <c r="K54" s="957">
        <f t="shared" si="2"/>
        <v>0</v>
      </c>
      <c r="L54" s="994">
        <f t="shared" si="3"/>
        <v>0</v>
      </c>
      <c r="N54" s="748" t="s">
        <v>27862</v>
      </c>
      <c r="O54" s="748" t="s">
        <v>27691</v>
      </c>
      <c r="P54" s="923" t="s">
        <v>27688</v>
      </c>
    </row>
    <row r="55" spans="1:16" ht="14.45" customHeight="1" x14ac:dyDescent="0.35">
      <c r="A55" s="1397" t="s">
        <v>27863</v>
      </c>
      <c r="B55" s="1456" t="s">
        <v>204</v>
      </c>
      <c r="C55" s="1455" t="s">
        <v>27769</v>
      </c>
      <c r="D55" s="1870">
        <v>0</v>
      </c>
      <c r="E55" s="1871">
        <v>0</v>
      </c>
      <c r="F55" s="1872">
        <v>0</v>
      </c>
      <c r="G55" s="1909">
        <v>0</v>
      </c>
      <c r="H55" s="1871">
        <v>0</v>
      </c>
      <c r="I55" s="1873">
        <v>0</v>
      </c>
      <c r="J55" s="1874">
        <f t="shared" si="1"/>
        <v>0</v>
      </c>
      <c r="K55" s="1875">
        <f t="shared" si="2"/>
        <v>0</v>
      </c>
      <c r="L55" s="1910">
        <f t="shared" si="3"/>
        <v>0</v>
      </c>
      <c r="N55" s="748" t="s">
        <v>27864</v>
      </c>
      <c r="O55" s="748" t="s">
        <v>27685</v>
      </c>
      <c r="P55" s="923" t="s">
        <v>27826</v>
      </c>
    </row>
    <row r="56" spans="1:16" ht="14.45" customHeight="1" x14ac:dyDescent="0.35">
      <c r="A56" s="959" t="s">
        <v>27863</v>
      </c>
      <c r="B56" s="925" t="s">
        <v>204</v>
      </c>
      <c r="C56" s="1546" t="s">
        <v>210</v>
      </c>
      <c r="D56" s="1651">
        <v>0</v>
      </c>
      <c r="E56" s="945">
        <v>0</v>
      </c>
      <c r="F56" s="946">
        <v>0</v>
      </c>
      <c r="G56" s="992">
        <v>0</v>
      </c>
      <c r="H56" s="945">
        <v>0</v>
      </c>
      <c r="I56" s="947">
        <v>0</v>
      </c>
      <c r="J56" s="1652">
        <f t="shared" si="1"/>
        <v>0</v>
      </c>
      <c r="K56" s="948">
        <f t="shared" si="2"/>
        <v>0</v>
      </c>
      <c r="L56" s="973">
        <f t="shared" si="3"/>
        <v>0</v>
      </c>
      <c r="N56" s="748" t="s">
        <v>27864</v>
      </c>
      <c r="O56" s="748" t="s">
        <v>27685</v>
      </c>
      <c r="P56" s="923" t="s">
        <v>27688</v>
      </c>
    </row>
    <row r="57" spans="1:16" ht="14.45" customHeight="1" x14ac:dyDescent="0.35">
      <c r="A57" s="924" t="s">
        <v>27863</v>
      </c>
      <c r="B57" s="929" t="s">
        <v>218</v>
      </c>
      <c r="C57" s="1547" t="s">
        <v>27769</v>
      </c>
      <c r="D57" s="930">
        <v>0</v>
      </c>
      <c r="E57" s="931">
        <v>0</v>
      </c>
      <c r="F57" s="932">
        <v>0</v>
      </c>
      <c r="G57" s="990">
        <v>0</v>
      </c>
      <c r="H57" s="931">
        <v>0</v>
      </c>
      <c r="I57" s="950">
        <v>0</v>
      </c>
      <c r="J57" s="935">
        <f t="shared" si="1"/>
        <v>0</v>
      </c>
      <c r="K57" s="936">
        <f t="shared" si="2"/>
        <v>0</v>
      </c>
      <c r="L57" s="975">
        <f t="shared" si="3"/>
        <v>0</v>
      </c>
      <c r="N57" s="748" t="s">
        <v>27864</v>
      </c>
      <c r="O57" s="748" t="s">
        <v>27691</v>
      </c>
      <c r="P57" s="923" t="s">
        <v>27826</v>
      </c>
    </row>
    <row r="58" spans="1:16" ht="14.45" customHeight="1" x14ac:dyDescent="0.35">
      <c r="A58" s="924" t="s">
        <v>27863</v>
      </c>
      <c r="B58" s="925" t="s">
        <v>218</v>
      </c>
      <c r="C58" s="1378" t="s">
        <v>210</v>
      </c>
      <c r="D58" s="954">
        <v>0</v>
      </c>
      <c r="E58" s="952">
        <v>0</v>
      </c>
      <c r="F58" s="953">
        <v>0</v>
      </c>
      <c r="G58" s="993">
        <v>0</v>
      </c>
      <c r="H58" s="952">
        <v>0</v>
      </c>
      <c r="I58" s="955">
        <v>0</v>
      </c>
      <c r="J58" s="956">
        <f t="shared" si="1"/>
        <v>0</v>
      </c>
      <c r="K58" s="957">
        <f t="shared" si="2"/>
        <v>0</v>
      </c>
      <c r="L58" s="994">
        <f t="shared" si="3"/>
        <v>0</v>
      </c>
      <c r="N58" s="748" t="s">
        <v>27864</v>
      </c>
      <c r="O58" s="748" t="s">
        <v>27691</v>
      </c>
      <c r="P58" s="923" t="s">
        <v>27688</v>
      </c>
    </row>
    <row r="59" spans="1:16" ht="14.45" customHeight="1" x14ac:dyDescent="0.35">
      <c r="A59" s="1455" t="s">
        <v>27865</v>
      </c>
      <c r="B59" s="1456" t="s">
        <v>204</v>
      </c>
      <c r="C59" s="1455" t="s">
        <v>27769</v>
      </c>
      <c r="D59" s="1870">
        <v>0</v>
      </c>
      <c r="E59" s="1871">
        <v>0</v>
      </c>
      <c r="F59" s="1872">
        <v>0</v>
      </c>
      <c r="G59" s="1909">
        <v>0</v>
      </c>
      <c r="H59" s="1871">
        <v>0</v>
      </c>
      <c r="I59" s="1873">
        <v>0</v>
      </c>
      <c r="J59" s="1874">
        <f t="shared" si="1"/>
        <v>0</v>
      </c>
      <c r="K59" s="1875">
        <f t="shared" si="2"/>
        <v>0</v>
      </c>
      <c r="L59" s="1910">
        <f t="shared" si="3"/>
        <v>0</v>
      </c>
      <c r="N59" s="748" t="s">
        <v>27866</v>
      </c>
      <c r="O59" s="748" t="s">
        <v>27685</v>
      </c>
      <c r="P59" s="923" t="s">
        <v>27826</v>
      </c>
    </row>
    <row r="60" spans="1:16" ht="14.45" customHeight="1" x14ac:dyDescent="0.35">
      <c r="A60" s="924" t="s">
        <v>27865</v>
      </c>
      <c r="B60" s="925" t="s">
        <v>204</v>
      </c>
      <c r="C60" s="1546" t="s">
        <v>210</v>
      </c>
      <c r="D60" s="1651">
        <v>0</v>
      </c>
      <c r="E60" s="945">
        <v>0</v>
      </c>
      <c r="F60" s="946">
        <v>0</v>
      </c>
      <c r="G60" s="992">
        <v>0</v>
      </c>
      <c r="H60" s="945">
        <v>0</v>
      </c>
      <c r="I60" s="947">
        <v>0</v>
      </c>
      <c r="J60" s="1652">
        <f t="shared" si="1"/>
        <v>0</v>
      </c>
      <c r="K60" s="948">
        <f t="shared" si="2"/>
        <v>0</v>
      </c>
      <c r="L60" s="973">
        <f t="shared" si="3"/>
        <v>0</v>
      </c>
      <c r="N60" s="748" t="s">
        <v>27866</v>
      </c>
      <c r="O60" s="748" t="s">
        <v>27685</v>
      </c>
      <c r="P60" s="923" t="s">
        <v>27688</v>
      </c>
    </row>
    <row r="61" spans="1:16" ht="14.45" customHeight="1" x14ac:dyDescent="0.35">
      <c r="A61" s="924" t="s">
        <v>27865</v>
      </c>
      <c r="B61" s="929" t="s">
        <v>218</v>
      </c>
      <c r="C61" s="1547" t="s">
        <v>27769</v>
      </c>
      <c r="D61" s="930">
        <v>0</v>
      </c>
      <c r="E61" s="931">
        <v>0</v>
      </c>
      <c r="F61" s="932">
        <v>0</v>
      </c>
      <c r="G61" s="990">
        <v>0</v>
      </c>
      <c r="H61" s="931">
        <v>0</v>
      </c>
      <c r="I61" s="950">
        <v>0</v>
      </c>
      <c r="J61" s="935">
        <f t="shared" si="1"/>
        <v>0</v>
      </c>
      <c r="K61" s="936">
        <f t="shared" si="2"/>
        <v>0</v>
      </c>
      <c r="L61" s="975">
        <f t="shared" si="3"/>
        <v>0</v>
      </c>
      <c r="N61" s="748" t="s">
        <v>27866</v>
      </c>
      <c r="O61" s="748" t="s">
        <v>27691</v>
      </c>
      <c r="P61" s="923" t="s">
        <v>27826</v>
      </c>
    </row>
    <row r="62" spans="1:16" ht="14.45" customHeight="1" x14ac:dyDescent="0.35">
      <c r="A62" s="924" t="s">
        <v>27865</v>
      </c>
      <c r="B62" s="925" t="s">
        <v>218</v>
      </c>
      <c r="C62" s="1378" t="s">
        <v>210</v>
      </c>
      <c r="D62" s="954">
        <v>0</v>
      </c>
      <c r="E62" s="952">
        <v>0</v>
      </c>
      <c r="F62" s="953">
        <v>0</v>
      </c>
      <c r="G62" s="993">
        <v>0</v>
      </c>
      <c r="H62" s="952">
        <v>0</v>
      </c>
      <c r="I62" s="955">
        <v>0</v>
      </c>
      <c r="J62" s="956">
        <f t="shared" si="1"/>
        <v>0</v>
      </c>
      <c r="K62" s="957">
        <f t="shared" si="2"/>
        <v>0</v>
      </c>
      <c r="L62" s="994">
        <f t="shared" si="3"/>
        <v>0</v>
      </c>
      <c r="N62" s="748" t="s">
        <v>27866</v>
      </c>
      <c r="O62" s="748" t="s">
        <v>27691</v>
      </c>
      <c r="P62" s="923" t="s">
        <v>27688</v>
      </c>
    </row>
    <row r="63" spans="1:16" ht="14.45" customHeight="1" x14ac:dyDescent="0.35">
      <c r="A63" s="1397" t="s">
        <v>27867</v>
      </c>
      <c r="B63" s="1456" t="s">
        <v>204</v>
      </c>
      <c r="C63" s="1455" t="s">
        <v>27769</v>
      </c>
      <c r="D63" s="1870">
        <v>0</v>
      </c>
      <c r="E63" s="1871">
        <v>0</v>
      </c>
      <c r="F63" s="1872">
        <v>0</v>
      </c>
      <c r="G63" s="1909">
        <v>0</v>
      </c>
      <c r="H63" s="1871">
        <v>0</v>
      </c>
      <c r="I63" s="1873">
        <v>0</v>
      </c>
      <c r="J63" s="1874">
        <f t="shared" si="1"/>
        <v>0</v>
      </c>
      <c r="K63" s="1875">
        <f t="shared" si="2"/>
        <v>0</v>
      </c>
      <c r="L63" s="1910">
        <f t="shared" si="3"/>
        <v>0</v>
      </c>
      <c r="N63" s="748" t="s">
        <v>27868</v>
      </c>
      <c r="O63" s="748" t="s">
        <v>27685</v>
      </c>
      <c r="P63" s="923" t="s">
        <v>27826</v>
      </c>
    </row>
    <row r="64" spans="1:16" ht="14.45" customHeight="1" x14ac:dyDescent="0.35">
      <c r="A64" s="959" t="s">
        <v>27867</v>
      </c>
      <c r="B64" s="925" t="s">
        <v>204</v>
      </c>
      <c r="C64" s="1546" t="s">
        <v>210</v>
      </c>
      <c r="D64" s="1651">
        <v>0</v>
      </c>
      <c r="E64" s="945">
        <v>0</v>
      </c>
      <c r="F64" s="946">
        <v>0</v>
      </c>
      <c r="G64" s="992">
        <v>0</v>
      </c>
      <c r="H64" s="945">
        <v>0</v>
      </c>
      <c r="I64" s="947">
        <v>0</v>
      </c>
      <c r="J64" s="1652">
        <f t="shared" si="1"/>
        <v>0</v>
      </c>
      <c r="K64" s="948">
        <f t="shared" si="2"/>
        <v>0</v>
      </c>
      <c r="L64" s="973">
        <f t="shared" si="3"/>
        <v>0</v>
      </c>
      <c r="N64" s="748" t="s">
        <v>27868</v>
      </c>
      <c r="O64" s="748" t="s">
        <v>27685</v>
      </c>
      <c r="P64" s="923" t="s">
        <v>27688</v>
      </c>
    </row>
    <row r="65" spans="1:16" ht="14.45" customHeight="1" x14ac:dyDescent="0.35">
      <c r="A65" s="924" t="s">
        <v>27867</v>
      </c>
      <c r="B65" s="929" t="s">
        <v>218</v>
      </c>
      <c r="C65" s="1547" t="s">
        <v>27769</v>
      </c>
      <c r="D65" s="930">
        <v>0</v>
      </c>
      <c r="E65" s="931">
        <v>0</v>
      </c>
      <c r="F65" s="932">
        <v>0</v>
      </c>
      <c r="G65" s="990">
        <v>0</v>
      </c>
      <c r="H65" s="931">
        <v>0</v>
      </c>
      <c r="I65" s="950">
        <v>0</v>
      </c>
      <c r="J65" s="935">
        <f t="shared" si="1"/>
        <v>0</v>
      </c>
      <c r="K65" s="936">
        <f t="shared" si="2"/>
        <v>0</v>
      </c>
      <c r="L65" s="975">
        <f t="shared" si="3"/>
        <v>0</v>
      </c>
      <c r="N65" s="748" t="s">
        <v>27868</v>
      </c>
      <c r="O65" s="748" t="s">
        <v>27691</v>
      </c>
      <c r="P65" s="923" t="s">
        <v>27826</v>
      </c>
    </row>
    <row r="66" spans="1:16" ht="14.45" customHeight="1" x14ac:dyDescent="0.35">
      <c r="A66" s="924" t="s">
        <v>27867</v>
      </c>
      <c r="B66" s="925" t="s">
        <v>218</v>
      </c>
      <c r="C66" s="1378" t="s">
        <v>210</v>
      </c>
      <c r="D66" s="960">
        <v>0</v>
      </c>
      <c r="E66" s="961">
        <v>0</v>
      </c>
      <c r="F66" s="962">
        <v>0</v>
      </c>
      <c r="G66" s="995">
        <v>0</v>
      </c>
      <c r="H66" s="961">
        <v>0</v>
      </c>
      <c r="I66" s="1457">
        <v>0</v>
      </c>
      <c r="J66" s="963">
        <f t="shared" si="1"/>
        <v>0</v>
      </c>
      <c r="K66" s="964">
        <f t="shared" si="2"/>
        <v>0</v>
      </c>
      <c r="L66" s="1458">
        <f t="shared" si="3"/>
        <v>0</v>
      </c>
      <c r="N66" s="748" t="s">
        <v>27868</v>
      </c>
      <c r="O66" s="748" t="s">
        <v>27691</v>
      </c>
      <c r="P66" s="923" t="s">
        <v>27688</v>
      </c>
    </row>
    <row r="67" spans="1:16" ht="14.45" customHeight="1" x14ac:dyDescent="0.35">
      <c r="A67" s="1455" t="s">
        <v>27869</v>
      </c>
      <c r="B67" s="1456" t="s">
        <v>204</v>
      </c>
      <c r="C67" s="1455" t="s">
        <v>27769</v>
      </c>
      <c r="D67" s="1870">
        <v>0</v>
      </c>
      <c r="E67" s="1871">
        <v>0</v>
      </c>
      <c r="F67" s="1872">
        <v>0</v>
      </c>
      <c r="G67" s="1909">
        <v>0</v>
      </c>
      <c r="H67" s="1871">
        <v>0</v>
      </c>
      <c r="I67" s="1873">
        <v>0</v>
      </c>
      <c r="J67" s="1874">
        <f t="shared" si="1"/>
        <v>0</v>
      </c>
      <c r="K67" s="1875">
        <f t="shared" si="2"/>
        <v>0</v>
      </c>
      <c r="L67" s="1910">
        <f t="shared" si="3"/>
        <v>0</v>
      </c>
      <c r="N67" s="748" t="s">
        <v>27870</v>
      </c>
      <c r="O67" s="748" t="s">
        <v>27685</v>
      </c>
      <c r="P67" s="923" t="s">
        <v>27826</v>
      </c>
    </row>
    <row r="68" spans="1:16" ht="14.45" customHeight="1" x14ac:dyDescent="0.35">
      <c r="A68" s="924" t="s">
        <v>27869</v>
      </c>
      <c r="B68" s="925" t="s">
        <v>204</v>
      </c>
      <c r="C68" s="1546" t="s">
        <v>210</v>
      </c>
      <c r="D68" s="1651">
        <v>0</v>
      </c>
      <c r="E68" s="945">
        <v>0</v>
      </c>
      <c r="F68" s="946">
        <v>0</v>
      </c>
      <c r="G68" s="992">
        <v>0</v>
      </c>
      <c r="H68" s="945">
        <v>0</v>
      </c>
      <c r="I68" s="947">
        <v>0</v>
      </c>
      <c r="J68" s="1652">
        <f t="shared" si="1"/>
        <v>0</v>
      </c>
      <c r="K68" s="948">
        <f t="shared" si="2"/>
        <v>0</v>
      </c>
      <c r="L68" s="973">
        <f t="shared" si="3"/>
        <v>0</v>
      </c>
      <c r="N68" s="748" t="s">
        <v>27870</v>
      </c>
      <c r="O68" s="748" t="s">
        <v>27685</v>
      </c>
      <c r="P68" s="923" t="s">
        <v>27688</v>
      </c>
    </row>
    <row r="69" spans="1:16" ht="14.45" customHeight="1" x14ac:dyDescent="0.35">
      <c r="A69" s="924" t="s">
        <v>27869</v>
      </c>
      <c r="B69" s="929" t="s">
        <v>218</v>
      </c>
      <c r="C69" s="1547" t="s">
        <v>27769</v>
      </c>
      <c r="D69" s="930">
        <v>0</v>
      </c>
      <c r="E69" s="931">
        <v>0</v>
      </c>
      <c r="F69" s="932">
        <v>0</v>
      </c>
      <c r="G69" s="990">
        <v>0</v>
      </c>
      <c r="H69" s="931">
        <v>0</v>
      </c>
      <c r="I69" s="950">
        <v>0</v>
      </c>
      <c r="J69" s="935">
        <f t="shared" si="1"/>
        <v>0</v>
      </c>
      <c r="K69" s="936">
        <f t="shared" si="2"/>
        <v>0</v>
      </c>
      <c r="L69" s="975">
        <f t="shared" si="3"/>
        <v>0</v>
      </c>
      <c r="N69" s="748" t="s">
        <v>27870</v>
      </c>
      <c r="O69" s="748" t="s">
        <v>27691</v>
      </c>
      <c r="P69" s="923" t="s">
        <v>27826</v>
      </c>
    </row>
    <row r="70" spans="1:16" ht="14.45" customHeight="1" x14ac:dyDescent="0.35">
      <c r="A70" s="924" t="s">
        <v>27869</v>
      </c>
      <c r="B70" s="925" t="s">
        <v>218</v>
      </c>
      <c r="C70" s="1378" t="s">
        <v>210</v>
      </c>
      <c r="D70" s="954">
        <v>0</v>
      </c>
      <c r="E70" s="952">
        <v>0</v>
      </c>
      <c r="F70" s="953">
        <v>0</v>
      </c>
      <c r="G70" s="993">
        <v>0</v>
      </c>
      <c r="H70" s="952">
        <v>0</v>
      </c>
      <c r="I70" s="955">
        <v>0</v>
      </c>
      <c r="J70" s="956">
        <f t="shared" si="1"/>
        <v>0</v>
      </c>
      <c r="K70" s="957">
        <f t="shared" si="2"/>
        <v>0</v>
      </c>
      <c r="L70" s="994">
        <f t="shared" si="3"/>
        <v>0</v>
      </c>
      <c r="N70" s="748" t="s">
        <v>27870</v>
      </c>
      <c r="O70" s="748" t="s">
        <v>27691</v>
      </c>
      <c r="P70" s="923" t="s">
        <v>27688</v>
      </c>
    </row>
    <row r="71" spans="1:16" ht="14.45" customHeight="1" x14ac:dyDescent="0.35">
      <c r="A71" s="1397" t="s">
        <v>27871</v>
      </c>
      <c r="B71" s="1456" t="s">
        <v>204</v>
      </c>
      <c r="C71" s="1455" t="s">
        <v>27769</v>
      </c>
      <c r="D71" s="1870">
        <v>0</v>
      </c>
      <c r="E71" s="1871">
        <v>0</v>
      </c>
      <c r="F71" s="1872">
        <v>0</v>
      </c>
      <c r="G71" s="1909">
        <v>0</v>
      </c>
      <c r="H71" s="1871">
        <v>0</v>
      </c>
      <c r="I71" s="1873">
        <v>0</v>
      </c>
      <c r="J71" s="1874">
        <f t="shared" si="1"/>
        <v>0</v>
      </c>
      <c r="K71" s="1875">
        <f t="shared" si="2"/>
        <v>0</v>
      </c>
      <c r="L71" s="1910">
        <f t="shared" si="3"/>
        <v>0</v>
      </c>
      <c r="N71" s="748" t="s">
        <v>27872</v>
      </c>
      <c r="O71" s="748" t="s">
        <v>27685</v>
      </c>
      <c r="P71" s="923" t="s">
        <v>27826</v>
      </c>
    </row>
    <row r="72" spans="1:16" ht="14.45" customHeight="1" x14ac:dyDescent="0.35">
      <c r="A72" s="959" t="s">
        <v>27871</v>
      </c>
      <c r="B72" s="925" t="s">
        <v>204</v>
      </c>
      <c r="C72" s="1546" t="s">
        <v>210</v>
      </c>
      <c r="D72" s="1651">
        <v>0</v>
      </c>
      <c r="E72" s="945">
        <v>0</v>
      </c>
      <c r="F72" s="946">
        <v>0</v>
      </c>
      <c r="G72" s="992">
        <v>0</v>
      </c>
      <c r="H72" s="945">
        <v>0</v>
      </c>
      <c r="I72" s="947">
        <v>0</v>
      </c>
      <c r="J72" s="1652">
        <f t="shared" si="1"/>
        <v>0</v>
      </c>
      <c r="K72" s="948">
        <f t="shared" si="2"/>
        <v>0</v>
      </c>
      <c r="L72" s="973">
        <f t="shared" si="3"/>
        <v>0</v>
      </c>
      <c r="N72" s="748" t="s">
        <v>27872</v>
      </c>
      <c r="O72" s="748" t="s">
        <v>27685</v>
      </c>
      <c r="P72" s="923" t="s">
        <v>27688</v>
      </c>
    </row>
    <row r="73" spans="1:16" ht="14.45" customHeight="1" x14ac:dyDescent="0.35">
      <c r="A73" s="924" t="s">
        <v>27871</v>
      </c>
      <c r="B73" s="929" t="s">
        <v>218</v>
      </c>
      <c r="C73" s="1547" t="s">
        <v>27769</v>
      </c>
      <c r="D73" s="930">
        <v>0</v>
      </c>
      <c r="E73" s="931">
        <v>0</v>
      </c>
      <c r="F73" s="932">
        <v>0</v>
      </c>
      <c r="G73" s="990">
        <v>0</v>
      </c>
      <c r="H73" s="931">
        <v>0</v>
      </c>
      <c r="I73" s="950">
        <v>0</v>
      </c>
      <c r="J73" s="935">
        <f t="shared" si="1"/>
        <v>0</v>
      </c>
      <c r="K73" s="936">
        <f t="shared" si="2"/>
        <v>0</v>
      </c>
      <c r="L73" s="975">
        <f t="shared" si="3"/>
        <v>0</v>
      </c>
      <c r="N73" s="748" t="s">
        <v>27872</v>
      </c>
      <c r="O73" s="748" t="s">
        <v>27691</v>
      </c>
      <c r="P73" s="923" t="s">
        <v>27826</v>
      </c>
    </row>
    <row r="74" spans="1:16" ht="14.45" customHeight="1" x14ac:dyDescent="0.35">
      <c r="A74" s="924" t="s">
        <v>27871</v>
      </c>
      <c r="B74" s="925" t="s">
        <v>218</v>
      </c>
      <c r="C74" s="1378" t="s">
        <v>210</v>
      </c>
      <c r="D74" s="954">
        <v>0</v>
      </c>
      <c r="E74" s="952">
        <v>0</v>
      </c>
      <c r="F74" s="953">
        <v>0</v>
      </c>
      <c r="G74" s="993">
        <v>0</v>
      </c>
      <c r="H74" s="952">
        <v>0</v>
      </c>
      <c r="I74" s="955">
        <v>0</v>
      </c>
      <c r="J74" s="956">
        <f t="shared" si="1"/>
        <v>0</v>
      </c>
      <c r="K74" s="957">
        <f t="shared" si="2"/>
        <v>0</v>
      </c>
      <c r="L74" s="994">
        <f t="shared" si="3"/>
        <v>0</v>
      </c>
      <c r="N74" s="748" t="s">
        <v>27872</v>
      </c>
      <c r="O74" s="748" t="s">
        <v>27691</v>
      </c>
      <c r="P74" s="923" t="s">
        <v>27688</v>
      </c>
    </row>
    <row r="75" spans="1:16" ht="14.45" customHeight="1" x14ac:dyDescent="0.35">
      <c r="A75" s="1397" t="s">
        <v>27873</v>
      </c>
      <c r="B75" s="1456" t="s">
        <v>204</v>
      </c>
      <c r="C75" s="1455" t="s">
        <v>27769</v>
      </c>
      <c r="D75" s="1870">
        <v>0</v>
      </c>
      <c r="E75" s="1871">
        <v>0</v>
      </c>
      <c r="F75" s="1872">
        <v>0</v>
      </c>
      <c r="G75" s="1909">
        <v>0</v>
      </c>
      <c r="H75" s="1871">
        <v>0</v>
      </c>
      <c r="I75" s="1873">
        <v>0</v>
      </c>
      <c r="J75" s="1874">
        <f t="shared" si="1"/>
        <v>0</v>
      </c>
      <c r="K75" s="1875">
        <f t="shared" si="2"/>
        <v>0</v>
      </c>
      <c r="L75" s="1910">
        <f t="shared" si="3"/>
        <v>0</v>
      </c>
      <c r="N75" s="748" t="s">
        <v>27874</v>
      </c>
      <c r="O75" s="748" t="s">
        <v>27685</v>
      </c>
      <c r="P75" s="923" t="s">
        <v>27826</v>
      </c>
    </row>
    <row r="76" spans="1:16" ht="14.45" customHeight="1" x14ac:dyDescent="0.35">
      <c r="A76" s="959" t="s">
        <v>27873</v>
      </c>
      <c r="B76" s="925" t="s">
        <v>204</v>
      </c>
      <c r="C76" s="1546" t="s">
        <v>210</v>
      </c>
      <c r="D76" s="1651">
        <v>0</v>
      </c>
      <c r="E76" s="945">
        <v>0</v>
      </c>
      <c r="F76" s="946">
        <v>0</v>
      </c>
      <c r="G76" s="992">
        <v>0</v>
      </c>
      <c r="H76" s="945">
        <v>0</v>
      </c>
      <c r="I76" s="947">
        <v>0</v>
      </c>
      <c r="J76" s="1652">
        <f t="shared" si="1"/>
        <v>0</v>
      </c>
      <c r="K76" s="948">
        <f t="shared" si="2"/>
        <v>0</v>
      </c>
      <c r="L76" s="973">
        <f t="shared" si="3"/>
        <v>0</v>
      </c>
      <c r="N76" s="748" t="s">
        <v>27874</v>
      </c>
      <c r="O76" s="748" t="s">
        <v>27685</v>
      </c>
      <c r="P76" s="923" t="s">
        <v>27688</v>
      </c>
    </row>
    <row r="77" spans="1:16" ht="14.45" customHeight="1" x14ac:dyDescent="0.35">
      <c r="A77" s="924" t="s">
        <v>27873</v>
      </c>
      <c r="B77" s="929" t="s">
        <v>218</v>
      </c>
      <c r="C77" s="1547" t="s">
        <v>27769</v>
      </c>
      <c r="D77" s="930">
        <v>0</v>
      </c>
      <c r="E77" s="931">
        <v>0</v>
      </c>
      <c r="F77" s="932">
        <v>0</v>
      </c>
      <c r="G77" s="990">
        <v>0</v>
      </c>
      <c r="H77" s="931">
        <v>0</v>
      </c>
      <c r="I77" s="950">
        <v>0</v>
      </c>
      <c r="J77" s="935">
        <f t="shared" si="1"/>
        <v>0</v>
      </c>
      <c r="K77" s="936">
        <f t="shared" si="2"/>
        <v>0</v>
      </c>
      <c r="L77" s="975">
        <f t="shared" si="3"/>
        <v>0</v>
      </c>
      <c r="N77" s="748" t="s">
        <v>27874</v>
      </c>
      <c r="O77" s="748" t="s">
        <v>27691</v>
      </c>
      <c r="P77" s="923" t="s">
        <v>27826</v>
      </c>
    </row>
    <row r="78" spans="1:16" ht="14.45" customHeight="1" x14ac:dyDescent="0.35">
      <c r="A78" s="924" t="s">
        <v>27873</v>
      </c>
      <c r="B78" s="925" t="s">
        <v>218</v>
      </c>
      <c r="C78" s="1378" t="s">
        <v>210</v>
      </c>
      <c r="D78" s="954">
        <v>0</v>
      </c>
      <c r="E78" s="952">
        <v>0</v>
      </c>
      <c r="F78" s="953">
        <v>0</v>
      </c>
      <c r="G78" s="993">
        <v>0</v>
      </c>
      <c r="H78" s="952">
        <v>0</v>
      </c>
      <c r="I78" s="955">
        <v>0</v>
      </c>
      <c r="J78" s="956">
        <f t="shared" ref="J78:J86" si="4">SUM(D78,G78)</f>
        <v>0</v>
      </c>
      <c r="K78" s="957">
        <f t="shared" ref="K78:K86" si="5">SUM(E78,H78)</f>
        <v>0</v>
      </c>
      <c r="L78" s="994">
        <f t="shared" ref="L78:L86" si="6">SUM(F78,I78)</f>
        <v>0</v>
      </c>
      <c r="N78" s="748" t="s">
        <v>27874</v>
      </c>
      <c r="O78" s="748" t="s">
        <v>27691</v>
      </c>
      <c r="P78" s="923" t="s">
        <v>27688</v>
      </c>
    </row>
    <row r="79" spans="1:16" ht="14.45" customHeight="1" x14ac:dyDescent="0.35">
      <c r="A79" s="1397" t="s">
        <v>27875</v>
      </c>
      <c r="B79" s="1456" t="s">
        <v>204</v>
      </c>
      <c r="C79" s="1455" t="s">
        <v>27769</v>
      </c>
      <c r="D79" s="1870">
        <v>0</v>
      </c>
      <c r="E79" s="1871">
        <v>0</v>
      </c>
      <c r="F79" s="1872">
        <v>0</v>
      </c>
      <c r="G79" s="1909">
        <v>0</v>
      </c>
      <c r="H79" s="1871">
        <v>0</v>
      </c>
      <c r="I79" s="1873">
        <v>0</v>
      </c>
      <c r="J79" s="1874">
        <f t="shared" si="4"/>
        <v>0</v>
      </c>
      <c r="K79" s="1875">
        <f t="shared" si="5"/>
        <v>0</v>
      </c>
      <c r="L79" s="1910">
        <f t="shared" si="6"/>
        <v>0</v>
      </c>
      <c r="N79" s="748" t="s">
        <v>27876</v>
      </c>
      <c r="O79" s="748" t="s">
        <v>27685</v>
      </c>
      <c r="P79" s="923" t="s">
        <v>27826</v>
      </c>
    </row>
    <row r="80" spans="1:16" ht="14.45" customHeight="1" x14ac:dyDescent="0.35">
      <c r="A80" s="959" t="s">
        <v>27875</v>
      </c>
      <c r="B80" s="925" t="s">
        <v>204</v>
      </c>
      <c r="C80" s="1546" t="s">
        <v>210</v>
      </c>
      <c r="D80" s="1651">
        <v>0</v>
      </c>
      <c r="E80" s="945">
        <v>0</v>
      </c>
      <c r="F80" s="946">
        <v>0</v>
      </c>
      <c r="G80" s="992">
        <v>0</v>
      </c>
      <c r="H80" s="945">
        <v>0</v>
      </c>
      <c r="I80" s="947">
        <v>0</v>
      </c>
      <c r="J80" s="1652">
        <f t="shared" si="4"/>
        <v>0</v>
      </c>
      <c r="K80" s="948">
        <f t="shared" si="5"/>
        <v>0</v>
      </c>
      <c r="L80" s="973">
        <f t="shared" si="6"/>
        <v>0</v>
      </c>
      <c r="N80" s="748" t="s">
        <v>27876</v>
      </c>
      <c r="O80" s="748" t="s">
        <v>27685</v>
      </c>
      <c r="P80" s="923" t="s">
        <v>27688</v>
      </c>
    </row>
    <row r="81" spans="1:16" ht="14.45" customHeight="1" x14ac:dyDescent="0.35">
      <c r="A81" s="924" t="s">
        <v>27875</v>
      </c>
      <c r="B81" s="929" t="s">
        <v>218</v>
      </c>
      <c r="C81" s="1547" t="s">
        <v>27769</v>
      </c>
      <c r="D81" s="930">
        <v>0</v>
      </c>
      <c r="E81" s="931">
        <v>0</v>
      </c>
      <c r="F81" s="932">
        <v>0</v>
      </c>
      <c r="G81" s="990">
        <v>0</v>
      </c>
      <c r="H81" s="931">
        <v>0</v>
      </c>
      <c r="I81" s="950">
        <v>0</v>
      </c>
      <c r="J81" s="935">
        <f t="shared" si="4"/>
        <v>0</v>
      </c>
      <c r="K81" s="936">
        <f t="shared" si="5"/>
        <v>0</v>
      </c>
      <c r="L81" s="975">
        <f t="shared" si="6"/>
        <v>0</v>
      </c>
      <c r="N81" s="748" t="s">
        <v>27876</v>
      </c>
      <c r="O81" s="748" t="s">
        <v>27691</v>
      </c>
      <c r="P81" s="923" t="s">
        <v>27826</v>
      </c>
    </row>
    <row r="82" spans="1:16" ht="14.45" customHeight="1" x14ac:dyDescent="0.35">
      <c r="A82" s="924" t="s">
        <v>27875</v>
      </c>
      <c r="B82" s="925" t="s">
        <v>218</v>
      </c>
      <c r="C82" s="1378" t="s">
        <v>210</v>
      </c>
      <c r="D82" s="954">
        <v>0</v>
      </c>
      <c r="E82" s="952">
        <v>0</v>
      </c>
      <c r="F82" s="953">
        <v>0</v>
      </c>
      <c r="G82" s="993">
        <v>0</v>
      </c>
      <c r="H82" s="952">
        <v>0</v>
      </c>
      <c r="I82" s="955">
        <v>0</v>
      </c>
      <c r="J82" s="956">
        <f t="shared" si="4"/>
        <v>0</v>
      </c>
      <c r="K82" s="957">
        <f t="shared" si="5"/>
        <v>0</v>
      </c>
      <c r="L82" s="994">
        <f t="shared" si="6"/>
        <v>0</v>
      </c>
      <c r="N82" s="748" t="s">
        <v>27876</v>
      </c>
      <c r="O82" s="748" t="s">
        <v>27691</v>
      </c>
      <c r="P82" s="923" t="s">
        <v>27688</v>
      </c>
    </row>
    <row r="83" spans="1:16" ht="14.45" customHeight="1" x14ac:dyDescent="0.35">
      <c r="A83" s="1397" t="s">
        <v>27877</v>
      </c>
      <c r="B83" s="1456" t="s">
        <v>204</v>
      </c>
      <c r="C83" s="1455" t="s">
        <v>27769</v>
      </c>
      <c r="D83" s="1870">
        <v>0</v>
      </c>
      <c r="E83" s="1871">
        <v>0</v>
      </c>
      <c r="F83" s="1872">
        <v>0</v>
      </c>
      <c r="G83" s="1909">
        <v>0</v>
      </c>
      <c r="H83" s="1871">
        <v>0</v>
      </c>
      <c r="I83" s="1873">
        <v>0</v>
      </c>
      <c r="J83" s="1874">
        <f t="shared" si="4"/>
        <v>0</v>
      </c>
      <c r="K83" s="1875">
        <f t="shared" si="5"/>
        <v>0</v>
      </c>
      <c r="L83" s="1910">
        <f t="shared" si="6"/>
        <v>0</v>
      </c>
      <c r="N83" s="748" t="s">
        <v>27878</v>
      </c>
      <c r="O83" s="748" t="s">
        <v>27685</v>
      </c>
      <c r="P83" s="923" t="s">
        <v>27826</v>
      </c>
    </row>
    <row r="84" spans="1:16" ht="14.45" customHeight="1" x14ac:dyDescent="0.35">
      <c r="A84" s="959" t="s">
        <v>27877</v>
      </c>
      <c r="B84" s="925" t="s">
        <v>204</v>
      </c>
      <c r="C84" s="1546" t="s">
        <v>210</v>
      </c>
      <c r="D84" s="1651">
        <v>0</v>
      </c>
      <c r="E84" s="945">
        <v>0</v>
      </c>
      <c r="F84" s="946">
        <v>0</v>
      </c>
      <c r="G84" s="992">
        <v>0</v>
      </c>
      <c r="H84" s="945">
        <v>0</v>
      </c>
      <c r="I84" s="947">
        <v>0</v>
      </c>
      <c r="J84" s="1652">
        <f t="shared" si="4"/>
        <v>0</v>
      </c>
      <c r="K84" s="948">
        <f t="shared" si="5"/>
        <v>0</v>
      </c>
      <c r="L84" s="973">
        <f t="shared" si="6"/>
        <v>0</v>
      </c>
      <c r="N84" s="748" t="s">
        <v>27878</v>
      </c>
      <c r="O84" s="748" t="s">
        <v>27685</v>
      </c>
      <c r="P84" s="923" t="s">
        <v>27688</v>
      </c>
    </row>
    <row r="85" spans="1:16" ht="14.45" customHeight="1" x14ac:dyDescent="0.35">
      <c r="A85" s="924" t="s">
        <v>27877</v>
      </c>
      <c r="B85" s="929" t="s">
        <v>218</v>
      </c>
      <c r="C85" s="1547" t="s">
        <v>27769</v>
      </c>
      <c r="D85" s="930">
        <v>0</v>
      </c>
      <c r="E85" s="931">
        <v>0</v>
      </c>
      <c r="F85" s="932">
        <v>0</v>
      </c>
      <c r="G85" s="990">
        <v>0</v>
      </c>
      <c r="H85" s="931">
        <v>0</v>
      </c>
      <c r="I85" s="950">
        <v>0</v>
      </c>
      <c r="J85" s="935">
        <f t="shared" si="4"/>
        <v>0</v>
      </c>
      <c r="K85" s="936">
        <f t="shared" si="5"/>
        <v>0</v>
      </c>
      <c r="L85" s="975">
        <f t="shared" si="6"/>
        <v>0</v>
      </c>
      <c r="N85" s="748" t="s">
        <v>27878</v>
      </c>
      <c r="O85" s="748" t="s">
        <v>27691</v>
      </c>
      <c r="P85" s="923" t="s">
        <v>27826</v>
      </c>
    </row>
    <row r="86" spans="1:16" ht="14.45" customHeight="1" thickBot="1" x14ac:dyDescent="0.4">
      <c r="A86" s="924" t="s">
        <v>27877</v>
      </c>
      <c r="B86" s="966" t="s">
        <v>218</v>
      </c>
      <c r="C86" s="1378" t="s">
        <v>210</v>
      </c>
      <c r="D86" s="954">
        <v>0</v>
      </c>
      <c r="E86" s="952">
        <v>0</v>
      </c>
      <c r="F86" s="953">
        <v>0</v>
      </c>
      <c r="G86" s="993">
        <v>0</v>
      </c>
      <c r="H86" s="952">
        <v>0</v>
      </c>
      <c r="I86" s="955">
        <v>0</v>
      </c>
      <c r="J86" s="956">
        <f t="shared" si="4"/>
        <v>0</v>
      </c>
      <c r="K86" s="957">
        <f t="shared" si="5"/>
        <v>0</v>
      </c>
      <c r="L86" s="994">
        <f t="shared" si="6"/>
        <v>0</v>
      </c>
      <c r="N86" s="748" t="s">
        <v>27878</v>
      </c>
      <c r="O86" s="748" t="s">
        <v>27691</v>
      </c>
      <c r="P86" s="923" t="s">
        <v>27688</v>
      </c>
    </row>
    <row r="87" spans="1:16" ht="14.45" customHeight="1" thickTop="1" x14ac:dyDescent="0.35">
      <c r="A87" s="967" t="s">
        <v>27879</v>
      </c>
      <c r="B87" s="968" t="s">
        <v>204</v>
      </c>
      <c r="C87" s="1550" t="s">
        <v>27769</v>
      </c>
      <c r="D87" s="969">
        <f>SUM(D13,D17,D23,D27,D31,D35,D39,D43,D47,D51,D55,D59,D63,D67,D71,D75,D79,D83)</f>
        <v>0</v>
      </c>
      <c r="E87" s="970">
        <f t="shared" ref="E87:K87" si="7">SUM(E13,E17,E23,E27,E31,E35,E39,E43,E47,E51,E55,E59,E63,E67,E71,E75,E79,E83)</f>
        <v>0</v>
      </c>
      <c r="F87" s="971">
        <f>SUM(F13,F17,F23,F27,F31,F35,F39,F43,F47,F51,F55,F59,F63,F67,F71,F75,F79,F83)</f>
        <v>0</v>
      </c>
      <c r="G87" s="996">
        <f t="shared" si="7"/>
        <v>0</v>
      </c>
      <c r="H87" s="970">
        <f t="shared" si="7"/>
        <v>0</v>
      </c>
      <c r="I87" s="972">
        <f>SUM(I13,I17,I23,I27,I31,I35,I39,I43,I47,I51,I55,I59,I63,I67,I71,I75,I79,I83)</f>
        <v>0</v>
      </c>
      <c r="J87" s="969">
        <f t="shared" si="7"/>
        <v>0</v>
      </c>
      <c r="K87" s="970">
        <f t="shared" si="7"/>
        <v>0</v>
      </c>
      <c r="L87" s="972">
        <f>SUM(L13,L17,L23,L27,L31,L35,L39,L43,L47,L51,L55,L59,L63,L67,L71,L75,L79,L83)</f>
        <v>0</v>
      </c>
      <c r="N87" s="748" t="s">
        <v>28321</v>
      </c>
      <c r="O87" s="748" t="s">
        <v>27685</v>
      </c>
      <c r="P87" s="923" t="s">
        <v>27826</v>
      </c>
    </row>
    <row r="88" spans="1:16" ht="14.45" customHeight="1" x14ac:dyDescent="0.35">
      <c r="A88" s="959" t="s">
        <v>27879</v>
      </c>
      <c r="B88" s="925" t="s">
        <v>204</v>
      </c>
      <c r="C88" s="1546" t="s">
        <v>27880</v>
      </c>
      <c r="D88" s="1652">
        <f>SUM(D21,D24,D28,D32,D36,D40,D44,D48,D52,D56,D60,D64,D68,D72,D76,D80,D84)</f>
        <v>0</v>
      </c>
      <c r="E88" s="948">
        <f t="shared" ref="E88:L88" si="8">SUM(E21,E24,E28,E32,E36,E40,E44,E48,E52,E56,E60,E64,E68,E72,E76,E80,E84)</f>
        <v>0</v>
      </c>
      <c r="F88" s="949">
        <f t="shared" si="8"/>
        <v>0</v>
      </c>
      <c r="G88" s="997">
        <f t="shared" si="8"/>
        <v>0</v>
      </c>
      <c r="H88" s="948">
        <f t="shared" si="8"/>
        <v>0</v>
      </c>
      <c r="I88" s="973">
        <f t="shared" si="8"/>
        <v>0</v>
      </c>
      <c r="J88" s="1652">
        <f t="shared" si="8"/>
        <v>0</v>
      </c>
      <c r="K88" s="948">
        <f t="shared" si="8"/>
        <v>0</v>
      </c>
      <c r="L88" s="973">
        <f t="shared" si="8"/>
        <v>0</v>
      </c>
      <c r="N88" s="748" t="s">
        <v>28321</v>
      </c>
      <c r="O88" s="748" t="s">
        <v>27685</v>
      </c>
      <c r="P88" s="923" t="s">
        <v>27688</v>
      </c>
    </row>
    <row r="89" spans="1:16" ht="14.45" customHeight="1" x14ac:dyDescent="0.35">
      <c r="A89" s="974" t="s">
        <v>27879</v>
      </c>
      <c r="B89" s="929" t="s">
        <v>218</v>
      </c>
      <c r="C89" s="1547" t="s">
        <v>27769</v>
      </c>
      <c r="D89" s="935">
        <f t="shared" ref="D89:K89" si="9">SUM(D15,D19,D25,D29,D33,D37,D41,D45,D49,D53,D57,D61,D65,D69,D73,D77,D81,D85)</f>
        <v>0</v>
      </c>
      <c r="E89" s="936">
        <f t="shared" si="9"/>
        <v>0</v>
      </c>
      <c r="F89" s="937">
        <f>SUM(F15,F19,F25,F29,F33,F37,F41,F45,F49,F53,F57,F61,F65,F69,F73,F77,F81,F85)</f>
        <v>0</v>
      </c>
      <c r="G89" s="998">
        <f t="shared" si="9"/>
        <v>0</v>
      </c>
      <c r="H89" s="936">
        <f t="shared" si="9"/>
        <v>0</v>
      </c>
      <c r="I89" s="975">
        <f>SUM(I15,I19,I25,I29,I33,I37,I41,I45,I49,I53,I57,I61,I65,I69,I73,I77,I81,I85)</f>
        <v>0</v>
      </c>
      <c r="J89" s="935">
        <f t="shared" si="9"/>
        <v>0</v>
      </c>
      <c r="K89" s="936">
        <f t="shared" si="9"/>
        <v>0</v>
      </c>
      <c r="L89" s="975">
        <f>SUM(L15,L19,L25,L29,L33,L37,L41,L45,L49,L53,L57,L61,L65,L69,L73,L77,L81,L85)</f>
        <v>0</v>
      </c>
      <c r="N89" s="748" t="s">
        <v>28321</v>
      </c>
      <c r="O89" s="748" t="s">
        <v>27691</v>
      </c>
      <c r="P89" s="923" t="s">
        <v>27826</v>
      </c>
    </row>
    <row r="90" spans="1:16" ht="14.45" customHeight="1" x14ac:dyDescent="0.35">
      <c r="A90" s="974" t="s">
        <v>27879</v>
      </c>
      <c r="B90" s="1345" t="s">
        <v>218</v>
      </c>
      <c r="C90" s="1549" t="s">
        <v>27880</v>
      </c>
      <c r="D90" s="963">
        <f>SUM(D22,D26,D30,D34,D38,D42,D46,D50,D54,D58,D62,D66,D70,D74,D78,D82,D86)</f>
        <v>0</v>
      </c>
      <c r="E90" s="964">
        <f t="shared" ref="E90:L90" si="10">SUM(E22,E26,E30,E34,E38,E42,E46,E50,E54,E58,E62,E66,E70,E74,E78,E82,E86)</f>
        <v>0</v>
      </c>
      <c r="F90" s="965">
        <f t="shared" si="10"/>
        <v>0</v>
      </c>
      <c r="G90" s="999">
        <f t="shared" si="10"/>
        <v>0</v>
      </c>
      <c r="H90" s="964">
        <f t="shared" si="10"/>
        <v>0</v>
      </c>
      <c r="I90" s="1458">
        <f t="shared" si="10"/>
        <v>0</v>
      </c>
      <c r="J90" s="963">
        <f t="shared" si="10"/>
        <v>0</v>
      </c>
      <c r="K90" s="964">
        <f t="shared" si="10"/>
        <v>0</v>
      </c>
      <c r="L90" s="1458">
        <f t="shared" si="10"/>
        <v>0</v>
      </c>
      <c r="N90" s="748" t="s">
        <v>28321</v>
      </c>
      <c r="O90" s="748" t="s">
        <v>27691</v>
      </c>
      <c r="P90" s="923" t="s">
        <v>27688</v>
      </c>
    </row>
    <row r="91" spans="1:16" ht="14.45" customHeight="1" thickBot="1" x14ac:dyDescent="0.4">
      <c r="A91" s="1521" t="s">
        <v>27879</v>
      </c>
      <c r="B91" s="1520"/>
      <c r="C91" s="1553" t="s">
        <v>27696</v>
      </c>
      <c r="D91" s="976">
        <f t="shared" ref="D91:L91" si="11">SUM(D87:D90)</f>
        <v>0</v>
      </c>
      <c r="E91" s="977">
        <f t="shared" si="11"/>
        <v>0</v>
      </c>
      <c r="F91" s="978">
        <f t="shared" si="11"/>
        <v>0</v>
      </c>
      <c r="G91" s="1000">
        <f t="shared" si="11"/>
        <v>0</v>
      </c>
      <c r="H91" s="977">
        <f t="shared" si="11"/>
        <v>0</v>
      </c>
      <c r="I91" s="1523">
        <f t="shared" si="11"/>
        <v>0</v>
      </c>
      <c r="J91" s="976">
        <f t="shared" si="11"/>
        <v>0</v>
      </c>
      <c r="K91" s="977">
        <f t="shared" si="11"/>
        <v>0</v>
      </c>
      <c r="L91" s="1523">
        <f t="shared" si="11"/>
        <v>0</v>
      </c>
      <c r="N91" s="748" t="s">
        <v>28321</v>
      </c>
      <c r="O91" s="748" t="s">
        <v>203</v>
      </c>
      <c r="P91" s="923" t="s">
        <v>28321</v>
      </c>
    </row>
    <row r="92" spans="1:16" ht="12.75" hidden="1" customHeight="1" x14ac:dyDescent="0.35">
      <c r="A92" s="979"/>
      <c r="B92" s="677"/>
      <c r="C92" s="980"/>
      <c r="D92" s="981"/>
      <c r="E92" s="981"/>
      <c r="F92" s="981"/>
      <c r="G92" s="981"/>
      <c r="H92" s="981"/>
      <c r="I92" s="981"/>
      <c r="J92" s="981"/>
      <c r="K92" s="981"/>
      <c r="L92" s="981"/>
      <c r="M92" s="982"/>
    </row>
    <row r="93" spans="1:16" ht="12.75" hidden="1" customHeight="1" x14ac:dyDescent="0.35">
      <c r="A93" s="974"/>
      <c r="B93" s="74"/>
      <c r="C93" s="922" t="s">
        <v>67</v>
      </c>
      <c r="D93" s="775">
        <v>1</v>
      </c>
      <c r="E93" s="775">
        <v>1</v>
      </c>
      <c r="F93" s="775">
        <v>1</v>
      </c>
      <c r="G93" s="775">
        <v>2</v>
      </c>
      <c r="H93" s="775">
        <v>2</v>
      </c>
      <c r="I93" s="775">
        <v>2</v>
      </c>
      <c r="J93" s="775">
        <v>12</v>
      </c>
      <c r="K93" s="775">
        <v>12</v>
      </c>
      <c r="L93" s="775">
        <v>12</v>
      </c>
      <c r="M93" s="982"/>
    </row>
    <row r="94" spans="1:16" ht="12.75" hidden="1" customHeight="1" x14ac:dyDescent="0.35">
      <c r="A94" s="974"/>
      <c r="B94" s="74"/>
      <c r="C94" s="922" t="s">
        <v>27699</v>
      </c>
      <c r="D94" s="775" t="s">
        <v>27714</v>
      </c>
      <c r="E94" s="775" t="s">
        <v>27715</v>
      </c>
      <c r="F94" s="775" t="s">
        <v>29705</v>
      </c>
      <c r="G94" s="775" t="s">
        <v>27714</v>
      </c>
      <c r="H94" s="775" t="s">
        <v>27715</v>
      </c>
      <c r="I94" s="775" t="s">
        <v>29705</v>
      </c>
      <c r="J94" s="775" t="s">
        <v>27714</v>
      </c>
      <c r="K94" s="775" t="s">
        <v>27715</v>
      </c>
      <c r="L94" s="775" t="s">
        <v>29705</v>
      </c>
      <c r="M94" s="982"/>
    </row>
    <row r="95" spans="1:16" x14ac:dyDescent="0.35">
      <c r="D95" s="74"/>
      <c r="E95" s="74"/>
      <c r="F95" s="74"/>
    </row>
    <row r="96" spans="1:16" s="657" customFormat="1" ht="19.899999999999999" customHeight="1" x14ac:dyDescent="0.35">
      <c r="A96" s="657" t="s">
        <v>27917</v>
      </c>
    </row>
    <row r="97" spans="1:6" x14ac:dyDescent="0.35">
      <c r="A97" s="739" t="s">
        <v>28344</v>
      </c>
      <c r="B97" s="74"/>
      <c r="C97" s="744"/>
      <c r="D97" s="74"/>
      <c r="E97" s="74"/>
      <c r="F97" s="74"/>
    </row>
    <row r="98" spans="1:6" x14ac:dyDescent="0.35">
      <c r="A98" s="984" t="str">
        <f>'Table 6c Valid'!E98</f>
        <v/>
      </c>
      <c r="B98" s="985"/>
      <c r="C98" s="983"/>
      <c r="D98" s="744"/>
      <c r="E98" s="744"/>
      <c r="F98" s="744"/>
    </row>
    <row r="99" spans="1:6" x14ac:dyDescent="0.35">
      <c r="A99" s="1274" t="s">
        <v>29194</v>
      </c>
      <c r="B99" s="985"/>
      <c r="C99" s="983"/>
      <c r="D99" s="744"/>
      <c r="E99" s="744"/>
      <c r="F99" s="744"/>
    </row>
    <row r="100" spans="1:6" x14ac:dyDescent="0.35">
      <c r="A100" s="984" t="str">
        <f>'Table 6c Valid'!N102</f>
        <v/>
      </c>
      <c r="B100" s="985"/>
      <c r="C100" s="983"/>
      <c r="D100" s="744"/>
      <c r="E100" s="744"/>
      <c r="F100" s="744"/>
    </row>
    <row r="101" spans="1:6" x14ac:dyDescent="0.35">
      <c r="A101" s="1274" t="s">
        <v>29195</v>
      </c>
      <c r="B101" s="985"/>
      <c r="C101" s="983"/>
      <c r="D101" s="744"/>
      <c r="E101" s="744"/>
      <c r="F101" s="744"/>
    </row>
    <row r="102" spans="1:6" x14ac:dyDescent="0.35">
      <c r="A102" s="984" t="str">
        <f>'Table 6c Valid'!W102</f>
        <v/>
      </c>
      <c r="B102" s="985"/>
      <c r="C102" s="983"/>
      <c r="D102" s="744"/>
      <c r="E102" s="744"/>
      <c r="F102" s="744"/>
    </row>
    <row r="103" spans="1:6" x14ac:dyDescent="0.35">
      <c r="A103" s="631" t="s">
        <v>29381</v>
      </c>
      <c r="B103" s="985"/>
      <c r="C103" s="983"/>
      <c r="D103" s="744"/>
      <c r="E103" s="744"/>
      <c r="F103" s="744"/>
    </row>
    <row r="104" spans="1:6" x14ac:dyDescent="0.35">
      <c r="A104" s="984" t="str">
        <f>'Table 6c Valid'!AJ70</f>
        <v/>
      </c>
      <c r="B104" s="985"/>
      <c r="C104" s="983"/>
      <c r="D104" s="744"/>
      <c r="E104" s="744"/>
      <c r="F104" s="744"/>
    </row>
    <row r="105" spans="1:6" x14ac:dyDescent="0.35">
      <c r="A105" s="1274" t="s">
        <v>29382</v>
      </c>
      <c r="B105" s="985"/>
      <c r="C105" s="983"/>
      <c r="D105" s="744"/>
      <c r="E105" s="744"/>
      <c r="F105" s="744"/>
    </row>
    <row r="106" spans="1:6" x14ac:dyDescent="0.35">
      <c r="A106" s="984" t="str">
        <f>'Table 6c Valid'!AK70</f>
        <v/>
      </c>
      <c r="B106" s="985"/>
      <c r="C106" s="983"/>
      <c r="D106" s="744"/>
      <c r="E106" s="744"/>
      <c r="F106" s="744"/>
    </row>
    <row r="107" spans="1:6" x14ac:dyDescent="0.35">
      <c r="A107" s="1275" t="s">
        <v>29683</v>
      </c>
      <c r="B107" s="985"/>
      <c r="C107" s="983"/>
      <c r="D107" s="744"/>
      <c r="E107" s="744"/>
      <c r="F107" s="744"/>
    </row>
    <row r="108" spans="1:6" x14ac:dyDescent="0.35">
      <c r="A108" s="984" t="str">
        <f>'Table 6c Valid'!AT96</f>
        <v/>
      </c>
      <c r="B108" s="985"/>
      <c r="C108" s="983"/>
      <c r="D108" s="744"/>
      <c r="E108" s="744"/>
      <c r="F108" s="744"/>
    </row>
    <row r="109" spans="1:6" x14ac:dyDescent="0.35">
      <c r="A109" s="984"/>
      <c r="B109" s="985"/>
      <c r="C109" s="983"/>
      <c r="D109" s="744"/>
      <c r="E109" s="744"/>
      <c r="F109" s="744"/>
    </row>
    <row r="110" spans="1:6" s="657" customFormat="1" ht="19.899999999999999" customHeight="1" x14ac:dyDescent="0.35">
      <c r="A110" s="657" t="s">
        <v>27918</v>
      </c>
    </row>
    <row r="111" spans="1:6" x14ac:dyDescent="0.35">
      <c r="A111" s="631" t="s">
        <v>29200</v>
      </c>
    </row>
    <row r="112" spans="1:6" x14ac:dyDescent="0.35">
      <c r="A112" s="918" t="str">
        <f>'Table 6c Valid'!AZ28</f>
        <v/>
      </c>
    </row>
    <row r="113" spans="1:1" ht="12.75" customHeight="1" x14ac:dyDescent="0.35">
      <c r="A113" s="631" t="s">
        <v>28311</v>
      </c>
    </row>
    <row r="114" spans="1:1" x14ac:dyDescent="0.35">
      <c r="A114" s="918" t="str">
        <f>'Table 6c Valid'!BH98</f>
        <v/>
      </c>
    </row>
  </sheetData>
  <sheetProtection algorithmName="SHA-512" hashValue="AB3PTBGCaYWAKIVZZbybI2BvwOUDRmNiARfK77sz6Gy187Q/zRdx8iz4mPz/EcSdpdwEvYb4sSzC/dvMupkCUQ==" saltValue="Otq0evSnqvLHSrdsPr6dDg==" spinCount="100000" sheet="1" objects="1" scenarios="1"/>
  <autoFilter ref="A12:A91" xr:uid="{00000000-0009-0000-0000-000015000000}"/>
  <mergeCells count="22">
    <mergeCell ref="L10:L12"/>
    <mergeCell ref="J5:L5"/>
    <mergeCell ref="J6:L6"/>
    <mergeCell ref="J9:L9"/>
    <mergeCell ref="J7:L7"/>
    <mergeCell ref="K10:K12"/>
    <mergeCell ref="J10:J12"/>
    <mergeCell ref="G5:I5"/>
    <mergeCell ref="D5:F5"/>
    <mergeCell ref="G6:I6"/>
    <mergeCell ref="D6:F6"/>
    <mergeCell ref="A7:B9"/>
    <mergeCell ref="I10:I12"/>
    <mergeCell ref="G7:I7"/>
    <mergeCell ref="G9:I9"/>
    <mergeCell ref="D7:F7"/>
    <mergeCell ref="D9:F9"/>
    <mergeCell ref="D10:D12"/>
    <mergeCell ref="E10:E12"/>
    <mergeCell ref="H10:H12"/>
    <mergeCell ref="G10:G12"/>
    <mergeCell ref="F10:F12"/>
  </mergeCells>
  <conditionalFormatting sqref="D5:L5">
    <cfRule type="cellIs" dxfId="158" priority="40" operator="notEqual">
      <formula>"Validation: OK"</formula>
    </cfRule>
  </conditionalFormatting>
  <conditionalFormatting sqref="D6:L6">
    <cfRule type="cellIs" dxfId="157" priority="390940" operator="notEqual">
      <formula>"Credibility: OK"</formula>
    </cfRule>
  </conditionalFormatting>
  <conditionalFormatting sqref="D13:L91">
    <cfRule type="cellIs" dxfId="155" priority="39" operator="equal">
      <formula>0</formula>
    </cfRule>
  </conditionalFormatting>
  <dataValidations count="4">
    <dataValidation type="custom" allowBlank="1" showInputMessage="1" showErrorMessage="1" errorTitle="Validation check" error="Table 6c, Column 1, Nursing - unclassified and non-nursing rows can only contain positive integers or zero." sqref="D13:F13 D19:F19 D17:F17 D15:F15 D21:F30 E47:F86 D48:D86" xr:uid="{A00039B6-38E9-41F8-A55C-77330A154E5B}">
      <formula1>AND(D13&gt;=0,ROUND(D13,0)=D13)</formula1>
    </dataValidation>
    <dataValidation type="custom" allowBlank="1" showInputMessage="1" showErrorMessage="1" errorTitle="Validation check" error="Table 6c, Column 2, Nursing - unclassified and non-nursing rows can only contain positive integers or zero." sqref="G13:I13 G19:I19 G17:I17 G15:I15 G21:I30 G47:I86" xr:uid="{55A0DF39-6A9D-4799-817D-882D44C75ECF}">
      <formula1>AND(G13&gt;=0,ROUND(G13,0)=G13)</formula1>
    </dataValidation>
    <dataValidation type="custom" allowBlank="1" showInputMessage="1" showErrorMessage="1" errorTitle="Validation check" error="Table 6c, Column 1, nursing rows excluding Nursing - unclassified can only contain positive values divisible by 0.5 or zero." sqref="D31:F46 D47" xr:uid="{91B14761-6789-41E2-8B7F-30D19510B89F}">
      <formula1>AND(D31&gt;=0,ROUND((D31/0.5),0)=(D31/0.5))</formula1>
    </dataValidation>
    <dataValidation type="custom" allowBlank="1" showInputMessage="1" showErrorMessage="1" errorTitle="Validation check" error="Table 6c, Column 2, nursing rows excluding Nursing - unclassified can only contain positive values divisible by 0.5 or zero." sqref="G31:I46" xr:uid="{1EB610DA-CA92-42A3-B53C-492FAE114FE9}">
      <formula1>AND(G31&gt;=0,ROUND((G31/0.5),0)=(G31/0.5))</formula1>
    </dataValidation>
  </dataValidations>
  <pageMargins left="0.70866141732283472" right="0.70866141732283472" top="0.74803149606299213" bottom="0.74803149606299213" header="0.31496062992125984" footer="0.31496062992125984"/>
  <pageSetup paperSize="8" scale="80" fitToHeight="0" orientation="landscape" r:id="rId1"/>
  <rowBreaks count="2" manualBreakCount="2">
    <brk id="42" max="36" man="1"/>
    <brk id="74" max="36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" id="{A33E6CA2-990E-4694-A40A-AD9191D864C0}">
            <xm:f>IF('Table 6c Valid'!E106=1,1,0)</xm:f>
            <x14:dxf>
              <font>
                <b/>
                <i val="0"/>
                <color rgb="FFFF0000"/>
              </font>
            </x14:dxf>
          </x14:cfRule>
          <xm:sqref>D13:L91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BO184"/>
  <sheetViews>
    <sheetView workbookViewId="0"/>
  </sheetViews>
  <sheetFormatPr defaultColWidth="9" defaultRowHeight="12.75" x14ac:dyDescent="0.35"/>
  <cols>
    <col min="1" max="1" width="27.86328125" customWidth="1"/>
    <col min="2" max="2" width="19" customWidth="1"/>
    <col min="3" max="3" width="22.265625" customWidth="1"/>
    <col min="10" max="10" width="9" customWidth="1"/>
    <col min="43" max="43" width="11.265625" customWidth="1"/>
    <col min="44" max="48" width="9" customWidth="1"/>
    <col min="51" max="51" width="12.265625" customWidth="1"/>
    <col min="54" max="57" width="9" customWidth="1"/>
    <col min="59" max="59" width="13.3984375" customWidth="1"/>
  </cols>
  <sheetData>
    <row r="1" spans="1:66" ht="15" x14ac:dyDescent="0.4">
      <c r="A1" s="102" t="s">
        <v>27919</v>
      </c>
    </row>
    <row r="2" spans="1:66" ht="13.15" x14ac:dyDescent="0.4">
      <c r="F2" s="6" t="s">
        <v>27679</v>
      </c>
      <c r="G2" s="6"/>
      <c r="H2" s="6" t="s">
        <v>27680</v>
      </c>
      <c r="J2" s="6" t="s">
        <v>28274</v>
      </c>
      <c r="L2" s="6"/>
      <c r="M2" s="6"/>
      <c r="N2" s="6"/>
      <c r="X2" s="6"/>
      <c r="Z2" s="6"/>
      <c r="AA2" s="6"/>
    </row>
    <row r="3" spans="1:66" ht="13.15" x14ac:dyDescent="0.4">
      <c r="B3" s="14" t="s">
        <v>343</v>
      </c>
      <c r="D3" s="7">
        <f>IF(AND(F3="Validation: OK",H3="Validation: OK"),0,1)</f>
        <v>0</v>
      </c>
      <c r="F3" s="575" t="str">
        <f>IF(AND(E96="",N100="",W100="",AJ66="",AK66="",AT94=""),"Validation: OK","Validation: Failure (see below table)")</f>
        <v>Validation: OK</v>
      </c>
      <c r="G3" s="11"/>
      <c r="H3" s="576" t="str">
        <f>IF(AND(H96="",Q100="",Z100="",AM66="",AN66="",AW94=""),"Validation: OK","Validation: Failure (see below table)")</f>
        <v>Validation: OK</v>
      </c>
      <c r="J3" s="587" t="str">
        <f>IF(AND(F3="Validation: OK",H3="Validation: OK"),"Validation: OK","Validation: Failure (see below table)")</f>
        <v>Validation: OK</v>
      </c>
      <c r="L3" s="11"/>
      <c r="M3" s="11"/>
      <c r="N3" s="11"/>
      <c r="X3" s="11"/>
      <c r="Z3" s="11"/>
      <c r="AA3" s="11"/>
    </row>
    <row r="4" spans="1:66" ht="13.15" x14ac:dyDescent="0.4">
      <c r="B4" s="14" t="s">
        <v>344</v>
      </c>
      <c r="D4" s="7">
        <f>IF(AND(F4="Credibility: OK",H4="Credibility: OK"),0,1)</f>
        <v>0</v>
      </c>
      <c r="F4" s="582" t="str">
        <f>IF(AND(AZ26="",BH96=""),"Credibility: OK","Credibility: Warnings (see below table)")</f>
        <v>Credibility: OK</v>
      </c>
      <c r="G4" s="11"/>
      <c r="H4" s="2038" t="str">
        <f>IF(AND(BC26="",BK96=""),"Credibility: OK","Credibility: Warnings (see below table)")</f>
        <v>Credibility: OK</v>
      </c>
      <c r="J4" s="2152" t="str">
        <f>IF(AND(F4="Credibility: OK",H4="Credibility: OK"),"Credibility: OK","Credibility: Warnings (see below table)")</f>
        <v>Credibility: OK</v>
      </c>
      <c r="L4" s="11"/>
      <c r="M4" s="11"/>
      <c r="N4" s="11"/>
      <c r="X4" s="11"/>
      <c r="Z4" s="11"/>
      <c r="AA4" s="11"/>
    </row>
    <row r="5" spans="1:66" x14ac:dyDescent="0.35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1:66" x14ac:dyDescent="0.35">
      <c r="I6" s="189"/>
      <c r="J6" s="189"/>
    </row>
    <row r="7" spans="1:66" ht="133.9" x14ac:dyDescent="0.4">
      <c r="B7" s="1829" t="s">
        <v>346</v>
      </c>
      <c r="C7" s="331"/>
      <c r="D7" s="320" t="s">
        <v>28288</v>
      </c>
      <c r="E7" s="320" t="s">
        <v>28289</v>
      </c>
      <c r="F7" s="320" t="s">
        <v>28290</v>
      </c>
      <c r="G7" s="320" t="s">
        <v>28317</v>
      </c>
      <c r="H7" s="343" t="s">
        <v>28318</v>
      </c>
      <c r="I7" s="343" t="s">
        <v>28319</v>
      </c>
      <c r="J7" s="1807"/>
      <c r="M7" s="1829" t="s">
        <v>360</v>
      </c>
      <c r="N7" s="320"/>
      <c r="O7" s="320" t="s">
        <v>28309</v>
      </c>
      <c r="P7" s="320" t="s">
        <v>28310</v>
      </c>
      <c r="Q7" s="1830"/>
    </row>
    <row r="8" spans="1:66" x14ac:dyDescent="0.35">
      <c r="B8" s="1609" t="s">
        <v>363</v>
      </c>
      <c r="C8" s="11"/>
      <c r="D8" s="7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54"/>
      <c r="M8" s="1609" t="s">
        <v>363</v>
      </c>
      <c r="N8" s="7"/>
      <c r="O8" s="40">
        <v>1</v>
      </c>
      <c r="P8" s="7">
        <v>1</v>
      </c>
      <c r="Q8" s="183"/>
    </row>
    <row r="9" spans="1:66" ht="13.15" x14ac:dyDescent="0.4">
      <c r="B9" s="55"/>
      <c r="C9" s="42"/>
      <c r="D9" s="42"/>
      <c r="E9" s="42"/>
      <c r="F9" s="42"/>
      <c r="G9" s="189"/>
      <c r="H9" s="189"/>
      <c r="I9" s="189"/>
      <c r="J9" s="56"/>
      <c r="M9" s="57"/>
      <c r="N9" s="42"/>
      <c r="O9" s="189"/>
      <c r="P9" s="189"/>
      <c r="Q9" s="56"/>
    </row>
    <row r="12" spans="1:66" ht="13.15" x14ac:dyDescent="0.4">
      <c r="E12" s="6" t="s">
        <v>27810</v>
      </c>
      <c r="U12" s="11"/>
    </row>
    <row r="14" spans="1:66" x14ac:dyDescent="0.35">
      <c r="B14" s="11"/>
      <c r="E14" s="286" t="s">
        <v>27679</v>
      </c>
      <c r="F14" s="286" t="s">
        <v>27679</v>
      </c>
      <c r="G14" s="286" t="s">
        <v>27679</v>
      </c>
      <c r="H14" s="336" t="s">
        <v>27680</v>
      </c>
      <c r="I14" s="336" t="s">
        <v>27680</v>
      </c>
      <c r="J14" s="336" t="s">
        <v>27680</v>
      </c>
    </row>
    <row r="15" spans="1:66" s="182" customFormat="1" ht="38.65" x14ac:dyDescent="0.4">
      <c r="A15" s="538" t="s">
        <v>27809</v>
      </c>
      <c r="E15" s="565" t="s">
        <v>192</v>
      </c>
      <c r="F15" s="565" t="s">
        <v>193</v>
      </c>
      <c r="G15" s="566" t="s">
        <v>28299</v>
      </c>
      <c r="H15" s="567" t="s">
        <v>192</v>
      </c>
      <c r="I15" s="567" t="s">
        <v>193</v>
      </c>
      <c r="J15" s="568" t="s">
        <v>28299</v>
      </c>
      <c r="K15"/>
      <c r="L15"/>
      <c r="M15"/>
      <c r="N15"/>
      <c r="O15"/>
      <c r="P15"/>
      <c r="Q15"/>
      <c r="R15"/>
      <c r="S15"/>
      <c r="T15"/>
      <c r="AD15" s="184"/>
      <c r="AE15" s="184"/>
      <c r="AF15" s="184"/>
      <c r="AG15" s="184"/>
      <c r="BH15" s="184"/>
    </row>
    <row r="16" spans="1:66" x14ac:dyDescent="0.35">
      <c r="D16" s="15"/>
      <c r="E16" s="15"/>
      <c r="F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AB16" s="15"/>
      <c r="AQ16" s="15"/>
      <c r="AR16" s="15"/>
      <c r="AS16" s="15"/>
      <c r="AT16" s="15"/>
      <c r="AU16" s="15"/>
      <c r="AV16" s="15"/>
      <c r="AW16" s="15"/>
      <c r="AX16" s="15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</row>
    <row r="17" spans="1:67" ht="38.25" customHeight="1" x14ac:dyDescent="0.35">
      <c r="D17" s="1365" t="s">
        <v>28294</v>
      </c>
      <c r="E17" s="16"/>
      <c r="F17" s="16"/>
      <c r="G17" s="16"/>
      <c r="H17" s="16"/>
      <c r="I17" s="16"/>
      <c r="J17" s="16"/>
      <c r="L17" s="1384" t="s">
        <v>28295</v>
      </c>
      <c r="U17" s="1384" t="s">
        <v>28296</v>
      </c>
      <c r="V17" s="16"/>
      <c r="W17" s="16"/>
      <c r="X17" s="16"/>
      <c r="Y17" s="16"/>
      <c r="Z17" s="16"/>
      <c r="AA17" s="16"/>
      <c r="AB17" s="16"/>
      <c r="AC17" s="16"/>
      <c r="AD17" s="3454" t="s">
        <v>28315</v>
      </c>
      <c r="AE17" s="3455"/>
      <c r="AF17" s="16"/>
      <c r="AG17" s="16"/>
      <c r="AH17" s="16"/>
      <c r="AI17" s="16"/>
      <c r="AJ17" s="16" t="s">
        <v>27679</v>
      </c>
      <c r="AK17" s="16" t="s">
        <v>27679</v>
      </c>
      <c r="AL17" s="16"/>
      <c r="AM17" s="16" t="s">
        <v>27680</v>
      </c>
      <c r="AN17" s="16" t="s">
        <v>27680</v>
      </c>
      <c r="AO17" s="16"/>
      <c r="AP17" s="16"/>
      <c r="AQ17" s="2198" t="s">
        <v>28316</v>
      </c>
      <c r="AR17" s="16" t="s">
        <v>27679</v>
      </c>
      <c r="AS17" t="s">
        <v>27679</v>
      </c>
      <c r="AT17" t="s">
        <v>27679</v>
      </c>
      <c r="AU17" t="s">
        <v>27680</v>
      </c>
      <c r="AV17" t="s">
        <v>27680</v>
      </c>
      <c r="AW17" t="s">
        <v>27680</v>
      </c>
      <c r="AY17" s="3456" t="s">
        <v>28308</v>
      </c>
      <c r="AZ17" s="286" t="s">
        <v>27679</v>
      </c>
      <c r="BA17" s="286" t="s">
        <v>27679</v>
      </c>
      <c r="BB17" s="286" t="s">
        <v>27679</v>
      </c>
      <c r="BC17" s="336" t="s">
        <v>27680</v>
      </c>
      <c r="BD17" s="336" t="s">
        <v>27680</v>
      </c>
      <c r="BE17" s="336" t="s">
        <v>27680</v>
      </c>
      <c r="BG17" s="2200" t="s">
        <v>28320</v>
      </c>
      <c r="BH17" s="286" t="s">
        <v>27679</v>
      </c>
      <c r="BI17" s="286" t="s">
        <v>27679</v>
      </c>
      <c r="BJ17" s="286" t="s">
        <v>27679</v>
      </c>
      <c r="BK17" s="336" t="s">
        <v>27680</v>
      </c>
      <c r="BL17" s="336" t="s">
        <v>27680</v>
      </c>
      <c r="BM17" s="336" t="s">
        <v>27680</v>
      </c>
      <c r="BO17" s="130"/>
    </row>
    <row r="18" spans="1:67" ht="38.65" x14ac:dyDescent="0.4">
      <c r="D18" s="118"/>
      <c r="E18" t="s">
        <v>27920</v>
      </c>
      <c r="H18" t="s">
        <v>27921</v>
      </c>
      <c r="L18" s="118"/>
      <c r="N18" t="s">
        <v>27920</v>
      </c>
      <c r="Q18" t="s">
        <v>27921</v>
      </c>
      <c r="U18" s="118"/>
      <c r="W18" t="s">
        <v>27920</v>
      </c>
      <c r="Z18" t="s">
        <v>27921</v>
      </c>
      <c r="AD18" s="3456"/>
      <c r="AE18" s="3457"/>
      <c r="AG18" s="6" t="s">
        <v>42</v>
      </c>
      <c r="AJ18" t="s">
        <v>192</v>
      </c>
      <c r="AK18" t="s">
        <v>193</v>
      </c>
      <c r="AM18" t="s">
        <v>192</v>
      </c>
      <c r="AN18" t="s">
        <v>193</v>
      </c>
      <c r="AQ18" s="118"/>
      <c r="AR18" t="s">
        <v>192</v>
      </c>
      <c r="AS18" t="s">
        <v>193</v>
      </c>
      <c r="AT18" s="182" t="s">
        <v>28299</v>
      </c>
      <c r="AU18" t="s">
        <v>192</v>
      </c>
      <c r="AV18" t="s">
        <v>193</v>
      </c>
      <c r="AW18" s="182" t="s">
        <v>28299</v>
      </c>
      <c r="AY18" s="3456"/>
      <c r="AZ18" s="565" t="s">
        <v>192</v>
      </c>
      <c r="BA18" s="565" t="s">
        <v>193</v>
      </c>
      <c r="BB18" s="566" t="s">
        <v>28299</v>
      </c>
      <c r="BC18" s="567" t="s">
        <v>192</v>
      </c>
      <c r="BD18" s="567" t="s">
        <v>193</v>
      </c>
      <c r="BE18" s="568" t="s">
        <v>28299</v>
      </c>
      <c r="BG18" s="130"/>
      <c r="BH18" s="565" t="s">
        <v>192</v>
      </c>
      <c r="BI18" s="565" t="s">
        <v>193</v>
      </c>
      <c r="BJ18" s="566" t="s">
        <v>28299</v>
      </c>
      <c r="BK18" s="567" t="s">
        <v>192</v>
      </c>
      <c r="BL18" s="567" t="s">
        <v>193</v>
      </c>
      <c r="BM18" s="568" t="s">
        <v>28299</v>
      </c>
      <c r="BO18" s="130"/>
    </row>
    <row r="19" spans="1:67" ht="12.75" customHeight="1" x14ac:dyDescent="0.35">
      <c r="A19" t="s">
        <v>27887</v>
      </c>
      <c r="B19" t="s">
        <v>27888</v>
      </c>
      <c r="C19" t="s">
        <v>27889</v>
      </c>
      <c r="D19" s="1383"/>
      <c r="E19" s="1885" t="str">
        <f>IF(AND($D$8=1,'6c_Health_part_time'!D13&lt;0),E$14&amp;", "&amp;E$15&amp;", "&amp;$A19&amp;", "&amp;$B19&amp;", "&amp;$C19&amp;"; ","")</f>
        <v/>
      </c>
      <c r="F19" s="1653" t="str">
        <f>IF(AND($D$8=1,'6c_Health_part_time'!E13&lt;0),F$14&amp;", "&amp;F$15&amp;", "&amp;$A19&amp;", "&amp;$B19&amp;", "&amp;$C19&amp;"; ","")</f>
        <v/>
      </c>
      <c r="G19" s="1653" t="str">
        <f>IF(AND($D$8=1,'6c_Health_part_time'!F13&lt;0),G$14&amp;", "&amp;G$15&amp;", "&amp;$A19&amp;", "&amp;$B19&amp;", "&amp;$C19&amp;"; ","")</f>
        <v/>
      </c>
      <c r="H19" s="1885" t="str">
        <f>IF(AND($D$8=1,'6c_Health_part_time'!G13&lt;0),H$14&amp;", "&amp;H$15&amp;", "&amp;$A19&amp;", "&amp;$B19&amp;", "&amp;$C19&amp;"; ","")</f>
        <v/>
      </c>
      <c r="I19" s="1653" t="str">
        <f>IF(AND($D$8=1,'6c_Health_part_time'!H13&lt;0),I$14&amp;", "&amp;I$15&amp;", "&amp;$A19&amp;", "&amp;$B19&amp;", "&amp;$C19&amp;"; ","")</f>
        <v/>
      </c>
      <c r="J19" s="1653" t="str">
        <f>IF(AND($D$8=1,'6c_Health_part_time'!I13&lt;0),J$14&amp;", "&amp;J$15&amp;", "&amp;$A19&amp;", "&amp;$B19&amp;", "&amp;$C19&amp;"; ","")</f>
        <v/>
      </c>
      <c r="L19" s="118"/>
      <c r="M19" s="1367"/>
      <c r="N19" s="1885" t="str">
        <f>IF(AND($E$8=1,ABS('6c_Health_part_time'!D13)&lt;&gt;INT(ABS('6c_Health_part_time'!D13))),E$14&amp;", "&amp;E$15&amp;", "&amp;$A19&amp;", "&amp;$B19&amp;", "&amp;$C19&amp;"; ","")</f>
        <v/>
      </c>
      <c r="O19" s="1653" t="str">
        <f>IF(AND($E$8=1,ABS('6c_Health_part_time'!E13)&lt;&gt;INT(ABS('6c_Health_part_time'!E13))),F$14&amp;", "&amp;F$15&amp;", "&amp;$A19&amp;", "&amp;$B19&amp;", "&amp;$C19&amp;"; ","")</f>
        <v/>
      </c>
      <c r="P19" s="1653" t="str">
        <f>IF(AND($E$8=1,ABS('6c_Health_part_time'!F13)&lt;&gt;INT(ABS('6c_Health_part_time'!F13))),G$14&amp;", "&amp;G$15&amp;", "&amp;$A19&amp;", "&amp;$B19&amp;", "&amp;$C19&amp;"; ","")</f>
        <v/>
      </c>
      <c r="Q19" s="1885" t="str">
        <f>IF(AND($E$8=1,ABS('6c_Health_part_time'!G13)&lt;&gt;INT(ABS('6c_Health_part_time'!G13))),H$14&amp;", "&amp;H$15&amp;", "&amp;$A19&amp;", "&amp;$B19&amp;", "&amp;$C19&amp;"; ","")</f>
        <v/>
      </c>
      <c r="R19" s="1653" t="str">
        <f>IF(AND($E$8=1,ABS('6c_Health_part_time'!H13)&lt;&gt;INT(ABS('6c_Health_part_time'!H13))),I$14&amp;", "&amp;I$15&amp;", "&amp;$A19&amp;", "&amp;$B19&amp;", "&amp;$C19&amp;"; ","")</f>
        <v/>
      </c>
      <c r="S19" s="1653" t="str">
        <f>IF(AND($E$8=1,ABS('6c_Health_part_time'!I13)&lt;&gt;INT(ABS('6c_Health_part_time'!I13))),J$14&amp;", "&amp;J$15&amp;", "&amp;$A19&amp;", "&amp;$B19&amp;", "&amp;$C19&amp;"; ","")</f>
        <v/>
      </c>
      <c r="U19" s="118"/>
      <c r="V19" s="1366"/>
      <c r="W19" s="1911"/>
      <c r="X19" s="1654"/>
      <c r="Y19" s="1654"/>
      <c r="Z19" s="1911"/>
      <c r="AA19" s="1654"/>
      <c r="AB19" s="1882"/>
      <c r="AD19" s="118"/>
      <c r="AG19" t="s">
        <v>203</v>
      </c>
      <c r="AH19" t="s">
        <v>27888</v>
      </c>
      <c r="AI19" t="s">
        <v>27889</v>
      </c>
      <c r="AJ19" s="1885">
        <f>SUM('6c_Health_part_time'!D13,'6c_Health_part_time'!D17)</f>
        <v>0</v>
      </c>
      <c r="AK19" s="2195">
        <f>SUM('6c_Health_part_time'!E13:E13,'6c_Health_part_time'!E17)</f>
        <v>0</v>
      </c>
      <c r="AL19" s="1884"/>
      <c r="AM19" s="1885">
        <f>SUM('6c_Health_part_time'!G13,'6c_Health_part_time'!G17)</f>
        <v>0</v>
      </c>
      <c r="AN19" s="2195">
        <f>SUM('6c_Health_part_time'!H13:H13,'6c_Health_part_time'!H17)</f>
        <v>0</v>
      </c>
      <c r="AO19" s="1884"/>
      <c r="AQ19" s="118"/>
      <c r="AT19" s="1886" t="str">
        <f>IF(AND($I$8=1,ABS(SUM('6c_Health_part_time'!D13:E13))&lt;ABS('6c_Health_part_time'!F13)),E$14&amp;", "&amp;$A19&amp;", "&amp;$B19&amp;", "&amp;$C19&amp;"; ","")</f>
        <v/>
      </c>
      <c r="AW19" s="1886" t="str">
        <f>IF(AND($I$8=1,ABS(SUM('6c_Health_part_time'!G13:H13))&lt;ABS('6c_Health_part_time'!I13)),H$14&amp;", "&amp;$A19&amp;", "&amp;$B19&amp;", "&amp;$C19&amp;"; ","")</f>
        <v/>
      </c>
      <c r="AX19" s="118"/>
      <c r="AY19" s="118"/>
      <c r="AZ19" s="1885" t="str">
        <f>IF(AND($O$8=1,'6c_Health_part_time'!D47&lt;&gt;0),E$15&amp;", "&amp;$B53&amp;", "&amp;$C53&amp;"; ","")</f>
        <v/>
      </c>
      <c r="BA19" s="1653" t="str">
        <f>IF(AND($O$8=1,'6c_Health_part_time'!E47&lt;&gt;0),F$15&amp;", "&amp;$B53&amp;", "&amp;$C53&amp;"; ","")</f>
        <v/>
      </c>
      <c r="BB19" s="1653" t="str">
        <f>IF(AND($O$8=1,'6c_Health_part_time'!F47&lt;&gt;0),G$15&amp;", "&amp;$B53&amp;", "&amp;$C53&amp;"; ","")</f>
        <v/>
      </c>
      <c r="BC19" s="1885" t="str">
        <f>IF(AND($O$8=1,'6c_Health_part_time'!G47&lt;&gt;0),H$15&amp;", "&amp;$B53&amp;", "&amp;$C53&amp;"; ","")</f>
        <v/>
      </c>
      <c r="BD19" s="1653" t="str">
        <f>IF(AND($O$8=1,'6c_Health_part_time'!H47&lt;&gt;0),I$15&amp;", "&amp;$B53&amp;", "&amp;$C53&amp;"; ","")</f>
        <v/>
      </c>
      <c r="BE19" s="1653" t="str">
        <f>IF(AND($O$8=1,'6c_Health_part_time'!I47&lt;&gt;0),J$15&amp;", "&amp;$B53&amp;", "&amp;$C53&amp;"; ","")</f>
        <v/>
      </c>
      <c r="BG19" s="2199"/>
      <c r="BH19" s="1879" t="str">
        <f>IF(AND($P$8=1,$B19="Long length",'6c_Health_part_time'!D13&lt;&gt;0),E$15&amp;", "&amp;$A19&amp;", "&amp;$B19&amp;", "&amp;$C19&amp;"; ","")</f>
        <v/>
      </c>
      <c r="BI19" s="1653" t="str">
        <f>IF(AND($P$8=1,$B19="Long length",'6c_Health_part_time'!E13&lt;&gt;0),F$15&amp;", "&amp;$A19&amp;", "&amp;$B19&amp;", "&amp;$C19&amp;"; ","")</f>
        <v/>
      </c>
      <c r="BJ19" s="1653" t="str">
        <f>IF(AND($P$8=1,$B19="Long length",'6c_Health_part_time'!F13&lt;&gt;0),G$15&amp;", "&amp;$A19&amp;", "&amp;$B19&amp;", "&amp;$C19&amp;"; ","")</f>
        <v/>
      </c>
      <c r="BK19" s="1879" t="str">
        <f>IF(AND($P$8=1,$B19="Long length",'6c_Health_part_time'!G13&lt;&gt;0),H$15&amp;", "&amp;$A19&amp;", "&amp;$B19&amp;", "&amp;$C19&amp;"; ","")</f>
        <v/>
      </c>
      <c r="BL19" s="1653" t="str">
        <f>IF(AND($P$8=1,$B19="Long length",'6c_Health_part_time'!H13&lt;&gt;0),I$15&amp;", "&amp;$A19&amp;", "&amp;$B19&amp;", "&amp;$C19&amp;"; ","")</f>
        <v/>
      </c>
      <c r="BM19" s="1653" t="str">
        <f>IF(AND($P$8=1,$B19="Long length",'6c_Health_part_time'!I13&lt;&gt;0),J$15&amp;", "&amp;$A19&amp;", "&amp;$B19&amp;", "&amp;$C19&amp;"; ","")</f>
        <v/>
      </c>
      <c r="BO19" s="130"/>
    </row>
    <row r="20" spans="1:67" ht="12.75" customHeight="1" x14ac:dyDescent="0.35">
      <c r="A20" t="s">
        <v>27887</v>
      </c>
      <c r="B20" t="s">
        <v>27888</v>
      </c>
      <c r="C20" t="s">
        <v>27891</v>
      </c>
      <c r="D20" s="1365"/>
      <c r="E20" s="113"/>
      <c r="F20" s="112"/>
      <c r="G20" s="112"/>
      <c r="H20" s="113"/>
      <c r="I20" s="112"/>
      <c r="J20" s="112"/>
      <c r="L20" s="1365"/>
      <c r="M20" s="1367"/>
      <c r="N20" s="113"/>
      <c r="O20" s="112"/>
      <c r="P20" s="112"/>
      <c r="Q20" s="113"/>
      <c r="R20" s="112"/>
      <c r="S20" s="112"/>
      <c r="U20" s="1365"/>
      <c r="V20" s="1366"/>
      <c r="W20" s="113"/>
      <c r="X20" s="112"/>
      <c r="Y20" s="112"/>
      <c r="Z20" s="113"/>
      <c r="AA20" s="112"/>
      <c r="AB20" s="481"/>
      <c r="AD20" s="118"/>
      <c r="AG20" t="s">
        <v>203</v>
      </c>
      <c r="AH20" t="s">
        <v>27888</v>
      </c>
      <c r="AI20" t="s">
        <v>27891</v>
      </c>
      <c r="AJ20" s="113"/>
      <c r="AK20" s="112"/>
      <c r="AL20" s="121"/>
      <c r="AM20" s="113"/>
      <c r="AN20" s="112"/>
      <c r="AO20" s="121"/>
      <c r="AQ20" s="118"/>
      <c r="AT20" s="1373"/>
      <c r="AW20" s="1373"/>
      <c r="AX20" s="118"/>
      <c r="AY20" s="118"/>
      <c r="AZ20" s="109" t="str">
        <f>IF(AND($O$8=1,'6c_Health_part_time'!D48&lt;&gt;0),E$15&amp;", "&amp;$B54&amp;", "&amp;$C54&amp;"; ","")</f>
        <v/>
      </c>
      <c r="BA20" s="108" t="str">
        <f>IF(AND($O$8=1,'6c_Health_part_time'!E48&lt;&gt;0),F$15&amp;", "&amp;$B54&amp;", "&amp;$C54&amp;"; ","")</f>
        <v/>
      </c>
      <c r="BB20" s="108" t="str">
        <f>IF(AND($O$8=1,'6c_Health_part_time'!F48&lt;&gt;0),G$15&amp;", "&amp;$B54&amp;", "&amp;$C54&amp;"; ","")</f>
        <v/>
      </c>
      <c r="BC20" s="109" t="str">
        <f>IF(AND($O$8=1,'6c_Health_part_time'!G48&lt;&gt;0),H$15&amp;", "&amp;$B54&amp;", "&amp;$C54&amp;"; ","")</f>
        <v/>
      </c>
      <c r="BD20" s="108" t="str">
        <f>IF(AND($O$8=1,'6c_Health_part_time'!H48&lt;&gt;0),I$15&amp;", "&amp;$B54&amp;", "&amp;$C54&amp;"; ","")</f>
        <v/>
      </c>
      <c r="BE20" s="108" t="str">
        <f>IF(AND($O$8=1,'6c_Health_part_time'!I48&lt;&gt;0),J$15&amp;", "&amp;$B54&amp;", "&amp;$C54&amp;"; ","")</f>
        <v/>
      </c>
      <c r="BG20" s="2117"/>
      <c r="BH20" s="338" t="str">
        <f>IF(AND($P$8=1,$B20="Long length",'6c_Health_part_time'!D14&lt;&gt;0),E$15&amp;", "&amp;$A20&amp;", "&amp;$B20&amp;", "&amp;$C20&amp;"; ","")</f>
        <v/>
      </c>
      <c r="BI20" s="499" t="str">
        <f>IF(AND($P$8=1,$B20="Long length",'6c_Health_part_time'!E14&lt;&gt;0),F$15&amp;", "&amp;$A20&amp;", "&amp;$B20&amp;", "&amp;$C20&amp;"; ","")</f>
        <v/>
      </c>
      <c r="BJ20" s="499" t="str">
        <f>IF(AND($P$8=1,$B20="Long length",'6c_Health_part_time'!F14&lt;&gt;0),G$15&amp;", "&amp;$A20&amp;", "&amp;$B20&amp;", "&amp;$C20&amp;"; ","")</f>
        <v/>
      </c>
      <c r="BK20" s="338" t="str">
        <f>IF(AND($P$8=1,$B20="Long length",'6c_Health_part_time'!G14&lt;&gt;0),H$15&amp;", "&amp;$A20&amp;", "&amp;$B20&amp;", "&amp;$C20&amp;"; ","")</f>
        <v/>
      </c>
      <c r="BL20" s="499" t="str">
        <f>IF(AND($P$8=1,$B20="Long length",'6c_Health_part_time'!H14&lt;&gt;0),I$15&amp;", "&amp;$A20&amp;", "&amp;$B20&amp;", "&amp;$C20&amp;"; ","")</f>
        <v/>
      </c>
      <c r="BM20" s="499" t="str">
        <f>IF(AND($P$8=1,$B20="Long length",'6c_Health_part_time'!I14&lt;&gt;0),J$15&amp;", "&amp;$A20&amp;", "&amp;$B20&amp;", "&amp;$C20&amp;"; ","")</f>
        <v/>
      </c>
      <c r="BO20" s="130"/>
    </row>
    <row r="21" spans="1:67" x14ac:dyDescent="0.35">
      <c r="A21" t="s">
        <v>27887</v>
      </c>
      <c r="B21" t="s">
        <v>27892</v>
      </c>
      <c r="C21" t="s">
        <v>27889</v>
      </c>
      <c r="D21" s="118"/>
      <c r="E21" s="109" t="str">
        <f>IF(AND($D$8=1,'6c_Health_part_time'!D15&lt;0),E$14&amp;", "&amp;E$15&amp;", "&amp;$A21&amp;", "&amp;$B21&amp;", "&amp;$C21&amp;"; ","")</f>
        <v/>
      </c>
      <c r="F21" s="108" t="str">
        <f>IF(AND($D$8=1,'6c_Health_part_time'!E15&lt;0),F$14&amp;", "&amp;F$15&amp;", "&amp;$A21&amp;", "&amp;$B21&amp;", "&amp;$C21&amp;"; ","")</f>
        <v/>
      </c>
      <c r="G21" s="108" t="str">
        <f>IF(AND($D$8=1,'6c_Health_part_time'!F15&lt;0),G$14&amp;", "&amp;G$15&amp;", "&amp;$A21&amp;", "&amp;$B21&amp;", "&amp;$C21&amp;"; ","")</f>
        <v/>
      </c>
      <c r="H21" s="109" t="str">
        <f>IF(AND($D$8=1,'6c_Health_part_time'!G15&lt;0),H$14&amp;", "&amp;H$15&amp;", "&amp;$A21&amp;", "&amp;$B21&amp;", "&amp;$C21&amp;"; ","")</f>
        <v/>
      </c>
      <c r="I21" s="108" t="str">
        <f>IF(AND($D$8=1,'6c_Health_part_time'!H15&lt;0),I$14&amp;", "&amp;I$15&amp;", "&amp;$A21&amp;", "&amp;$B21&amp;", "&amp;$C21&amp;"; ","")</f>
        <v/>
      </c>
      <c r="J21" s="108" t="str">
        <f>IF(AND($D$8=1,'6c_Health_part_time'!I15&lt;0),J$14&amp;", "&amp;J$15&amp;", "&amp;$A21&amp;", "&amp;$B21&amp;", "&amp;$C21&amp;"; ","")</f>
        <v/>
      </c>
      <c r="L21" s="118"/>
      <c r="N21" s="109" t="str">
        <f>IF(AND($E$8=1,ABS('6c_Health_part_time'!D15)&lt;&gt;INT(ABS('6c_Health_part_time'!D15))),E$14&amp;", "&amp;E$15&amp;", "&amp;$A21&amp;", "&amp;$B21&amp;", "&amp;$C21&amp;"; ","")</f>
        <v/>
      </c>
      <c r="O21" s="108" t="str">
        <f>IF(AND($E$8=1,ABS('6c_Health_part_time'!E15)&lt;&gt;INT(ABS('6c_Health_part_time'!E15))),F$14&amp;", "&amp;F$15&amp;", "&amp;$A21&amp;", "&amp;$B21&amp;", "&amp;$C21&amp;"; ","")</f>
        <v/>
      </c>
      <c r="P21" s="108" t="str">
        <f>IF(AND($E$8=1,ABS('6c_Health_part_time'!F15)&lt;&gt;INT(ABS('6c_Health_part_time'!F15))),G$14&amp;", "&amp;G$15&amp;", "&amp;$A21&amp;", "&amp;$B21&amp;", "&amp;$C21&amp;"; ","")</f>
        <v/>
      </c>
      <c r="Q21" s="109" t="str">
        <f>IF(AND($E$8=1,ABS('6c_Health_part_time'!G15)&lt;&gt;INT(ABS('6c_Health_part_time'!G15))),H$14&amp;", "&amp;H$15&amp;", "&amp;$A21&amp;", "&amp;$B21&amp;", "&amp;$C21&amp;"; ","")</f>
        <v/>
      </c>
      <c r="R21" s="108" t="str">
        <f>IF(AND($E$8=1,ABS('6c_Health_part_time'!H15)&lt;&gt;INT(ABS('6c_Health_part_time'!H15))),I$14&amp;", "&amp;I$15&amp;", "&amp;$A21&amp;", "&amp;$B21&amp;", "&amp;$C21&amp;"; ","")</f>
        <v/>
      </c>
      <c r="S21" s="108" t="str">
        <f>IF(AND($E$8=1,ABS('6c_Health_part_time'!I15)&lt;&gt;INT(ABS('6c_Health_part_time'!I15))),J$14&amp;", "&amp;J$15&amp;", "&amp;$A21&amp;", "&amp;$B21&amp;", "&amp;$C21&amp;"; ","")</f>
        <v/>
      </c>
      <c r="U21" s="118"/>
      <c r="W21" s="113"/>
      <c r="X21" s="112"/>
      <c r="Y21" s="112"/>
      <c r="Z21" s="113"/>
      <c r="AA21" s="112"/>
      <c r="AB21" s="481"/>
      <c r="AD21" s="193"/>
      <c r="AG21" t="s">
        <v>203</v>
      </c>
      <c r="AH21" t="s">
        <v>27892</v>
      </c>
      <c r="AI21" t="s">
        <v>27889</v>
      </c>
      <c r="AJ21" s="109">
        <f>SUM('6c_Health_part_time'!D15,'6c_Health_part_time'!D19)</f>
        <v>0</v>
      </c>
      <c r="AK21" s="108">
        <f>SUM('6c_Health_part_time'!E15:E15,'6c_Health_part_time'!E19)</f>
        <v>0</v>
      </c>
      <c r="AL21" s="121"/>
      <c r="AM21" s="109">
        <f>SUM('6c_Health_part_time'!G15,'6c_Health_part_time'!G19)</f>
        <v>0</v>
      </c>
      <c r="AN21" s="108">
        <f>SUM('6c_Health_part_time'!H15:H15,'6c_Health_part_time'!H19)</f>
        <v>0</v>
      </c>
      <c r="AO21" s="121"/>
      <c r="AQ21" s="118"/>
      <c r="AT21" s="562" t="str">
        <f>IF(AND($I$8=1,ABS(SUM('6c_Health_part_time'!D15:E15))&lt;ABS('6c_Health_part_time'!F15)),E$14&amp;", "&amp;$A21&amp;", "&amp;$B21&amp;", "&amp;$C21&amp;"; ","")</f>
        <v/>
      </c>
      <c r="AW21" s="562" t="str">
        <f>IF(AND($I$8=1,ABS(SUM('6c_Health_part_time'!G15:H15))&lt;ABS('6c_Health_part_time'!I15)),H$14&amp;", "&amp;$A21&amp;", "&amp;$B21&amp;", "&amp;$C21&amp;"; ","")</f>
        <v/>
      </c>
      <c r="AX21" s="118"/>
      <c r="AY21" s="193"/>
      <c r="AZ21" s="109" t="str">
        <f>IF(AND($O$8=1,'6c_Health_part_time'!D49&lt;&gt;0),E$15&amp;", "&amp;$B55&amp;", "&amp;$C55&amp;"; ","")</f>
        <v/>
      </c>
      <c r="BA21" s="108" t="str">
        <f>IF(AND($O$8=1,'6c_Health_part_time'!E49&lt;&gt;0),F$15&amp;", "&amp;$B55&amp;", "&amp;$C55&amp;"; ","")</f>
        <v/>
      </c>
      <c r="BB21" s="108" t="str">
        <f>IF(AND($O$8=1,'6c_Health_part_time'!F49&lt;&gt;0),G$15&amp;", "&amp;$B55&amp;", "&amp;$C55&amp;"; ","")</f>
        <v/>
      </c>
      <c r="BC21" s="109" t="str">
        <f>IF(AND($O$8=1,'6c_Health_part_time'!G49&lt;&gt;0),H$15&amp;", "&amp;$B55&amp;", "&amp;$C55&amp;"; ","")</f>
        <v/>
      </c>
      <c r="BD21" s="108" t="str">
        <f>IF(AND($O$8=1,'6c_Health_part_time'!H49&lt;&gt;0),I$15&amp;", "&amp;$B55&amp;", "&amp;$C55&amp;"; ","")</f>
        <v/>
      </c>
      <c r="BE21" s="108" t="str">
        <f>IF(AND($O$8=1,'6c_Health_part_time'!I49&lt;&gt;0),J$15&amp;", "&amp;$B55&amp;", "&amp;$C55&amp;"; ","")</f>
        <v/>
      </c>
      <c r="BG21" s="130"/>
      <c r="BH21" s="333" t="str">
        <f>IF(AND($P$8=1,$B21="Long length",'6c_Health_part_time'!D15&lt;&gt;0),E$15&amp;", "&amp;$A21&amp;", "&amp;$B21&amp;", "&amp;$C21&amp;"; ","")</f>
        <v/>
      </c>
      <c r="BI21" s="108" t="str">
        <f>IF(AND($P$8=1,$B21="Long length",'6c_Health_part_time'!E15&lt;&gt;0),F$15&amp;", "&amp;$A21&amp;", "&amp;$B21&amp;", "&amp;$C21&amp;"; ","")</f>
        <v/>
      </c>
      <c r="BJ21" s="108" t="str">
        <f>IF(AND($P$8=1,$B21="Long length",'6c_Health_part_time'!F15&lt;&gt;0),G$15&amp;", "&amp;$A21&amp;", "&amp;$B21&amp;", "&amp;$C21&amp;"; ","")</f>
        <v/>
      </c>
      <c r="BK21" s="333" t="str">
        <f>IF(AND($P$8=1,$B21="Long length",'6c_Health_part_time'!G15&lt;&gt;0),H$15&amp;", "&amp;$A21&amp;", "&amp;$B21&amp;", "&amp;$C21&amp;"; ","")</f>
        <v/>
      </c>
      <c r="BL21" s="108" t="str">
        <f>IF(AND($P$8=1,$B21="Long length",'6c_Health_part_time'!H15&lt;&gt;0),I$15&amp;", "&amp;$A21&amp;", "&amp;$B21&amp;", "&amp;$C21&amp;"; ","")</f>
        <v/>
      </c>
      <c r="BM21" s="108" t="str">
        <f>IF(AND($P$8=1,$B21="Long length",'6c_Health_part_time'!I15&lt;&gt;0),J$15&amp;", "&amp;$A21&amp;", "&amp;$B21&amp;", "&amp;$C21&amp;"; ","")</f>
        <v/>
      </c>
      <c r="BO21" s="130"/>
    </row>
    <row r="22" spans="1:67" x14ac:dyDescent="0.35">
      <c r="A22" t="s">
        <v>27887</v>
      </c>
      <c r="B22" t="s">
        <v>27892</v>
      </c>
      <c r="C22" t="s">
        <v>27891</v>
      </c>
      <c r="D22" s="118"/>
      <c r="E22" s="113"/>
      <c r="F22" s="112"/>
      <c r="G22" s="112"/>
      <c r="H22" s="113"/>
      <c r="I22" s="112"/>
      <c r="J22" s="112"/>
      <c r="L22" s="118"/>
      <c r="N22" s="113"/>
      <c r="O22" s="112"/>
      <c r="P22" s="112"/>
      <c r="Q22" s="113"/>
      <c r="R22" s="112"/>
      <c r="S22" s="112"/>
      <c r="U22" s="118"/>
      <c r="W22" s="113"/>
      <c r="X22" s="112"/>
      <c r="Y22" s="112"/>
      <c r="Z22" s="113"/>
      <c r="AA22" s="112"/>
      <c r="AB22" s="481"/>
      <c r="AD22" s="118"/>
      <c r="AG22" t="s">
        <v>203</v>
      </c>
      <c r="AH22" t="s">
        <v>27892</v>
      </c>
      <c r="AI22" t="s">
        <v>27891</v>
      </c>
      <c r="AJ22" s="113"/>
      <c r="AK22" s="112"/>
      <c r="AL22" s="121"/>
      <c r="AM22" s="113"/>
      <c r="AN22" s="112"/>
      <c r="AO22" s="121"/>
      <c r="AQ22" s="118"/>
      <c r="AT22" s="1373"/>
      <c r="AW22" s="1373"/>
      <c r="AX22" s="118"/>
      <c r="AY22" s="118"/>
      <c r="AZ22" s="110" t="str">
        <f>IF(AND($O$8=1,'6c_Health_part_time'!D50&lt;&gt;0),E$15&amp;", "&amp;$B56&amp;", "&amp;$C56&amp;"; ","")</f>
        <v/>
      </c>
      <c r="BA22" s="111" t="str">
        <f>IF(AND($O$8=1,'6c_Health_part_time'!E50&lt;&gt;0),F$15&amp;", "&amp;$B56&amp;", "&amp;$C56&amp;"; ","")</f>
        <v/>
      </c>
      <c r="BB22" s="111" t="str">
        <f>IF(AND($O$8=1,'6c_Health_part_time'!F50&lt;&gt;0),G$15&amp;", "&amp;$B56&amp;", "&amp;$C56&amp;"; ","")</f>
        <v/>
      </c>
      <c r="BC22" s="110" t="str">
        <f>IF(AND($O$8=1,'6c_Health_part_time'!G50&lt;&gt;0),H$15&amp;", "&amp;$B56&amp;", "&amp;$C56&amp;"; ","")</f>
        <v/>
      </c>
      <c r="BD22" s="111" t="str">
        <f>IF(AND($O$8=1,'6c_Health_part_time'!H50&lt;&gt;0),I$15&amp;", "&amp;$B56&amp;", "&amp;$C56&amp;"; ","")</f>
        <v/>
      </c>
      <c r="BE22" s="111" t="str">
        <f>IF(AND($O$8=1,'6c_Health_part_time'!I50&lt;&gt;0),J$15&amp;", "&amp;$B56&amp;", "&amp;$C56&amp;"; ","")</f>
        <v/>
      </c>
      <c r="BG22" s="130"/>
      <c r="BH22" s="338" t="str">
        <f>IF(AND($P$8=1,$B22="Long length",'6c_Health_part_time'!D16&lt;&gt;0),E$15&amp;", "&amp;$A22&amp;", "&amp;$B22&amp;", "&amp;$C22&amp;"; ","")</f>
        <v/>
      </c>
      <c r="BI22" s="112" t="str">
        <f>IF(AND($P$8=1,$B22="Long length",'6c_Health_part_time'!E16&lt;&gt;0),F$15&amp;", "&amp;$A22&amp;", "&amp;$B22&amp;", "&amp;$C22&amp;"; ","")</f>
        <v/>
      </c>
      <c r="BJ22" s="112" t="str">
        <f>IF(AND($P$8=1,$B22="Long length",'6c_Health_part_time'!F16&lt;&gt;0),G$15&amp;", "&amp;$A22&amp;", "&amp;$B22&amp;", "&amp;$C22&amp;"; ","")</f>
        <v/>
      </c>
      <c r="BK22" s="338" t="str">
        <f>IF(AND($P$8=1,$B22="Long length",'6c_Health_part_time'!G16&lt;&gt;0),H$15&amp;", "&amp;$A22&amp;", "&amp;$B22&amp;", "&amp;$C22&amp;"; ","")</f>
        <v/>
      </c>
      <c r="BL22" s="112" t="str">
        <f>IF(AND($P$8=1,$B22="Long length",'6c_Health_part_time'!H16&lt;&gt;0),I$15&amp;", "&amp;$A22&amp;", "&amp;$B22&amp;", "&amp;$C22&amp;"; ","")</f>
        <v/>
      </c>
      <c r="BM22" s="112" t="str">
        <f>IF(AND($P$8=1,$B22="Long length",'6c_Health_part_time'!I16&lt;&gt;0),J$15&amp;", "&amp;$A22&amp;", "&amp;$B22&amp;", "&amp;$C22&amp;"; ","")</f>
        <v/>
      </c>
      <c r="BO22" s="130"/>
    </row>
    <row r="23" spans="1:67" x14ac:dyDescent="0.35">
      <c r="A23" t="s">
        <v>27893</v>
      </c>
      <c r="B23" t="s">
        <v>27888</v>
      </c>
      <c r="C23" t="s">
        <v>27889</v>
      </c>
      <c r="D23" s="118"/>
      <c r="E23" s="1885" t="str">
        <f>IF(AND($D$8=1,'6c_Health_part_time'!D17&lt;0),E$14&amp;", "&amp;E$15&amp;", "&amp;$A23&amp;", "&amp;$B23&amp;", "&amp;$C23&amp;"; ","")</f>
        <v/>
      </c>
      <c r="F23" s="1653" t="str">
        <f>IF(AND($D$8=1,'6c_Health_part_time'!E17&lt;0),F$14&amp;", "&amp;F$15&amp;", "&amp;$A23&amp;", "&amp;$B23&amp;", "&amp;$C23&amp;"; ","")</f>
        <v/>
      </c>
      <c r="G23" s="1653" t="str">
        <f>IF(AND($D$8=1,'6c_Health_part_time'!F17&lt;0),G$14&amp;", "&amp;G$15&amp;", "&amp;$A23&amp;", "&amp;$B23&amp;", "&amp;$C23&amp;"; ","")</f>
        <v/>
      </c>
      <c r="H23" s="1885" t="str">
        <f>IF(AND($D$8=1,'6c_Health_part_time'!G17&lt;0),H$14&amp;", "&amp;H$15&amp;", "&amp;$A23&amp;", "&amp;$B23&amp;", "&amp;$C23&amp;"; ","")</f>
        <v/>
      </c>
      <c r="I23" s="1653" t="str">
        <f>IF(AND($D$8=1,'6c_Health_part_time'!H17&lt;0),I$14&amp;", "&amp;I$15&amp;", "&amp;$A23&amp;", "&amp;$B23&amp;", "&amp;$C23&amp;"; ","")</f>
        <v/>
      </c>
      <c r="J23" s="1653" t="str">
        <f>IF(AND($D$8=1,'6c_Health_part_time'!I17&lt;0),J$14&amp;", "&amp;J$15&amp;", "&amp;$A23&amp;", "&amp;$B23&amp;", "&amp;$C23&amp;"; ","")</f>
        <v/>
      </c>
      <c r="L23" s="118"/>
      <c r="N23" s="1885" t="str">
        <f>IF(AND($E$8=1,ABS('6c_Health_part_time'!D17)&lt;&gt;INT(ABS('6c_Health_part_time'!D17))),E$14&amp;", "&amp;E$15&amp;", "&amp;$A23&amp;", "&amp;$B23&amp;", "&amp;$C23&amp;"; ","")</f>
        <v/>
      </c>
      <c r="O23" s="1653" t="str">
        <f>IF(AND($E$8=1,ABS('6c_Health_part_time'!E17)&lt;&gt;INT(ABS('6c_Health_part_time'!E17))),F$14&amp;", "&amp;F$15&amp;", "&amp;$A23&amp;", "&amp;$B23&amp;", "&amp;$C23&amp;"; ","")</f>
        <v/>
      </c>
      <c r="P23" s="1653" t="str">
        <f>IF(AND($E$8=1,ABS('6c_Health_part_time'!F17)&lt;&gt;INT(ABS('6c_Health_part_time'!F17))),G$14&amp;", "&amp;G$15&amp;", "&amp;$A23&amp;", "&amp;$B23&amp;", "&amp;$C23&amp;"; ","")</f>
        <v/>
      </c>
      <c r="Q23" s="1885" t="str">
        <f>IF(AND($E$8=1,ABS('6c_Health_part_time'!G17)&lt;&gt;INT(ABS('6c_Health_part_time'!G17))),H$14&amp;", "&amp;H$15&amp;", "&amp;$A23&amp;", "&amp;$B23&amp;", "&amp;$C23&amp;"; ","")</f>
        <v/>
      </c>
      <c r="R23" s="1653" t="str">
        <f>IF(AND($E$8=1,ABS('6c_Health_part_time'!H17)&lt;&gt;INT(ABS('6c_Health_part_time'!H17))),I$14&amp;", "&amp;I$15&amp;", "&amp;$A23&amp;", "&amp;$B23&amp;", "&amp;$C23&amp;"; ","")</f>
        <v/>
      </c>
      <c r="S23" s="1653" t="str">
        <f>IF(AND($E$8=1,ABS('6c_Health_part_time'!I17)&lt;&gt;INT(ABS('6c_Health_part_time'!I17))),J$14&amp;", "&amp;J$15&amp;", "&amp;$A23&amp;", "&amp;$B23&amp;", "&amp;$C23&amp;"; ","")</f>
        <v/>
      </c>
      <c r="U23" s="118"/>
      <c r="W23" s="1911"/>
      <c r="X23" s="1654"/>
      <c r="Y23" s="1654"/>
      <c r="Z23" s="1911"/>
      <c r="AA23" s="1654"/>
      <c r="AB23" s="1882"/>
      <c r="AD23" s="118"/>
      <c r="AG23" t="s">
        <v>225</v>
      </c>
      <c r="AH23" t="s">
        <v>27888</v>
      </c>
      <c r="AI23" t="s">
        <v>27889</v>
      </c>
      <c r="AJ23" s="1885">
        <f>SUM('6c_Health_part_time'!D23,'6c_Health_part_time'!D27,'6c_Health_part_time'!D51,'6c_Health_part_time'!D55,'6c_Health_part_time'!D59,'6c_Health_part_time'!D63,'6c_Health_part_time'!D67,'6c_Health_part_time'!D71,'6c_Health_part_time'!D75,'6c_Health_part_time'!D79,'6c_Health_part_time'!D83)</f>
        <v>0</v>
      </c>
      <c r="AK23" s="2195">
        <f>SUM('6c_Health_part_time'!E23,'6c_Health_part_time'!E27,'6c_Health_part_time'!E51,'6c_Health_part_time'!E55,'6c_Health_part_time'!E59,'6c_Health_part_time'!E63,'6c_Health_part_time'!E67,'6c_Health_part_time'!E71,'6c_Health_part_time'!E75,'6c_Health_part_time'!E79,'6c_Health_part_time'!E83)</f>
        <v>0</v>
      </c>
      <c r="AL23" s="1884"/>
      <c r="AM23" s="1885">
        <f>SUM('6c_Health_part_time'!G23,'6c_Health_part_time'!G27,'6c_Health_part_time'!G51,'6c_Health_part_time'!G55,'6c_Health_part_time'!G59,'6c_Health_part_time'!G63,'6c_Health_part_time'!G67,'6c_Health_part_time'!G71,'6c_Health_part_time'!G75,'6c_Health_part_time'!G79,'6c_Health_part_time'!G83)</f>
        <v>0</v>
      </c>
      <c r="AN23" s="2195">
        <f>SUM('6c_Health_part_time'!H23,'6c_Health_part_time'!H27,'6c_Health_part_time'!H51,'6c_Health_part_time'!H55,'6c_Health_part_time'!H59,'6c_Health_part_time'!H63,'6c_Health_part_time'!H67,'6c_Health_part_time'!H71,'6c_Health_part_time'!H75,'6c_Health_part_time'!H79,'6c_Health_part_time'!H83)</f>
        <v>0</v>
      </c>
      <c r="AO23" s="1884"/>
      <c r="AQ23" s="118"/>
      <c r="AT23" s="1886" t="str">
        <f>IF(AND($I$8=1,ABS(SUM('6c_Health_part_time'!D17:E17))&lt;ABS('6c_Health_part_time'!F17)),E$14&amp;", "&amp;$A23&amp;", "&amp;$B23&amp;", "&amp;$C23&amp;"; ","")</f>
        <v/>
      </c>
      <c r="AW23" s="1886" t="str">
        <f>IF(AND($I$8=1,ABS(SUM('6c_Health_part_time'!G17:H17))&lt;ABS('6c_Health_part_time'!I17)),H$14&amp;", "&amp;$A23&amp;", "&amp;$B23&amp;", "&amp;$C23&amp;"; ","")</f>
        <v/>
      </c>
      <c r="AX23" s="118"/>
      <c r="AY23" s="118"/>
      <c r="BG23" s="130"/>
      <c r="BH23" s="1879" t="str">
        <f>IF(AND($P$8=1,$B23="Long length",'6c_Health_part_time'!D17&lt;&gt;0),E$15&amp;", "&amp;$A23&amp;", "&amp;$B23&amp;", "&amp;$C23&amp;"; ","")</f>
        <v/>
      </c>
      <c r="BI23" s="1653" t="str">
        <f>IF(AND($P$8=1,$B23="Long length",'6c_Health_part_time'!E17&lt;&gt;0),F$15&amp;", "&amp;$A23&amp;", "&amp;$B23&amp;", "&amp;$C23&amp;"; ","")</f>
        <v/>
      </c>
      <c r="BJ23" s="1653" t="str">
        <f>IF(AND($P$8=1,$B23="Long length",'6c_Health_part_time'!F17&lt;&gt;0),G$15&amp;", "&amp;$A23&amp;", "&amp;$B23&amp;", "&amp;$C23&amp;"; ","")</f>
        <v/>
      </c>
      <c r="BK23" s="1879" t="str">
        <f>IF(AND($P$8=1,$B23="Long length",'6c_Health_part_time'!G17&lt;&gt;0),H$15&amp;", "&amp;$A23&amp;", "&amp;$B23&amp;", "&amp;$C23&amp;"; ","")</f>
        <v/>
      </c>
      <c r="BL23" s="1653" t="str">
        <f>IF(AND($P$8=1,$B23="Long length",'6c_Health_part_time'!H17&lt;&gt;0),I$15&amp;", "&amp;$A23&amp;", "&amp;$B23&amp;", "&amp;$C23&amp;"; ","")</f>
        <v/>
      </c>
      <c r="BM23" s="1653" t="str">
        <f>IF(AND($P$8=1,$B23="Long length",'6c_Health_part_time'!I17&lt;&gt;0),J$15&amp;", "&amp;$A23&amp;", "&amp;$B23&amp;", "&amp;$C23&amp;"; ","")</f>
        <v/>
      </c>
      <c r="BO23" s="130"/>
    </row>
    <row r="24" spans="1:67" x14ac:dyDescent="0.35">
      <c r="A24" t="s">
        <v>27893</v>
      </c>
      <c r="B24" t="s">
        <v>27888</v>
      </c>
      <c r="C24" t="s">
        <v>27891</v>
      </c>
      <c r="D24" s="118"/>
      <c r="E24" s="113"/>
      <c r="F24" s="112"/>
      <c r="G24" s="112"/>
      <c r="H24" s="113"/>
      <c r="I24" s="112"/>
      <c r="J24" s="112"/>
      <c r="L24" s="118"/>
      <c r="N24" s="113"/>
      <c r="O24" s="112"/>
      <c r="P24" s="112"/>
      <c r="Q24" s="113"/>
      <c r="R24" s="112"/>
      <c r="S24" s="112"/>
      <c r="U24" s="118"/>
      <c r="W24" s="113"/>
      <c r="X24" s="112"/>
      <c r="Y24" s="112"/>
      <c r="Z24" s="113"/>
      <c r="AA24" s="112"/>
      <c r="AB24" s="481"/>
      <c r="AD24" s="118"/>
      <c r="AG24" t="s">
        <v>225</v>
      </c>
      <c r="AH24" t="s">
        <v>27888</v>
      </c>
      <c r="AI24" t="s">
        <v>27891</v>
      </c>
      <c r="AJ24" s="109">
        <f>SUM('6c_Health_part_time'!D24,'6c_Health_part_time'!D28,'6c_Health_part_time'!D52,'6c_Health_part_time'!D56,'6c_Health_part_time'!D60,'6c_Health_part_time'!D64,'6c_Health_part_time'!D68,'6c_Health_part_time'!D72,'6c_Health_part_time'!D76,'6c_Health_part_time'!D80,'6c_Health_part_time'!D84)</f>
        <v>0</v>
      </c>
      <c r="AK24" s="108">
        <f>SUM('6c_Health_part_time'!E24,'6c_Health_part_time'!E28,'6c_Health_part_time'!E52,'6c_Health_part_time'!E56,'6c_Health_part_time'!E60,'6c_Health_part_time'!E64,'6c_Health_part_time'!E68,'6c_Health_part_time'!E72,'6c_Health_part_time'!E76,'6c_Health_part_time'!E80,'6c_Health_part_time'!E84)</f>
        <v>0</v>
      </c>
      <c r="AL24" s="121"/>
      <c r="AM24" s="109">
        <f>SUM('6c_Health_part_time'!G24,'6c_Health_part_time'!G28,'6c_Health_part_time'!G52,'6c_Health_part_time'!G56,'6c_Health_part_time'!G60,'6c_Health_part_time'!G64,'6c_Health_part_time'!G68,'6c_Health_part_time'!G72,'6c_Health_part_time'!G76,'6c_Health_part_time'!G80,'6c_Health_part_time'!G84)</f>
        <v>0</v>
      </c>
      <c r="AN24" s="108">
        <f>SUM('6c_Health_part_time'!H24,'6c_Health_part_time'!H28,'6c_Health_part_time'!H52,'6c_Health_part_time'!H56,'6c_Health_part_time'!H60,'6c_Health_part_time'!H64,'6c_Health_part_time'!H68,'6c_Health_part_time'!H72,'6c_Health_part_time'!H76,'6c_Health_part_time'!H80,'6c_Health_part_time'!H84)</f>
        <v>0</v>
      </c>
      <c r="AO24" s="121"/>
      <c r="AQ24" s="118"/>
      <c r="AT24" s="1373"/>
      <c r="AW24" s="1373"/>
      <c r="AX24" s="118"/>
      <c r="AY24" s="118"/>
      <c r="AZ24" s="1835" t="str">
        <f>AZ19&amp;AZ20&amp;AZ21&amp;AZ22</f>
        <v/>
      </c>
      <c r="BA24" s="1835" t="str">
        <f t="shared" ref="BA24:BE24" si="0">BA19&amp;BA20&amp;BA21&amp;BA22</f>
        <v/>
      </c>
      <c r="BB24" s="1835" t="str">
        <f t="shared" si="0"/>
        <v/>
      </c>
      <c r="BC24" s="1835" t="str">
        <f t="shared" si="0"/>
        <v/>
      </c>
      <c r="BD24" s="1835" t="str">
        <f t="shared" si="0"/>
        <v/>
      </c>
      <c r="BE24" s="1835" t="str">
        <f t="shared" si="0"/>
        <v/>
      </c>
      <c r="BF24" s="1620"/>
      <c r="BG24" s="130"/>
      <c r="BH24" s="338" t="str">
        <f>IF(AND($P$8=1,$B24="Long length",'6c_Health_part_time'!D18&lt;&gt;0),E$15&amp;", "&amp;$A24&amp;", "&amp;$B24&amp;", "&amp;$C24&amp;"; ","")</f>
        <v/>
      </c>
      <c r="BI24" s="112" t="str">
        <f>IF(AND($P$8=1,$B24="Long length",'6c_Health_part_time'!E18&lt;&gt;0),F$15&amp;", "&amp;$A24&amp;", "&amp;$B24&amp;", "&amp;$C24&amp;"; ","")</f>
        <v/>
      </c>
      <c r="BJ24" s="112" t="str">
        <f>IF(AND($P$8=1,$B24="Long length",'6c_Health_part_time'!F18&lt;&gt;0),G$15&amp;", "&amp;$A24&amp;", "&amp;$B24&amp;", "&amp;$C24&amp;"; ","")</f>
        <v/>
      </c>
      <c r="BK24" s="338" t="str">
        <f>IF(AND($P$8=1,$B24="Long length",'6c_Health_part_time'!G18&lt;&gt;0),H$15&amp;", "&amp;$A24&amp;", "&amp;$B24&amp;", "&amp;$C24&amp;"; ","")</f>
        <v/>
      </c>
      <c r="BL24" s="112" t="str">
        <f>IF(AND($P$8=1,$B24="Long length",'6c_Health_part_time'!H18&lt;&gt;0),I$15&amp;", "&amp;$A24&amp;", "&amp;$B24&amp;", "&amp;$C24&amp;"; ","")</f>
        <v/>
      </c>
      <c r="BM24" s="112" t="str">
        <f>IF(AND($P$8=1,$B24="Long length",'6c_Health_part_time'!I18&lt;&gt;0),J$15&amp;", "&amp;$A24&amp;", "&amp;$B24&amp;", "&amp;$C24&amp;"; ","")</f>
        <v/>
      </c>
      <c r="BO24" s="130"/>
    </row>
    <row r="25" spans="1:67" x14ac:dyDescent="0.35">
      <c r="A25" t="s">
        <v>27893</v>
      </c>
      <c r="B25" t="s">
        <v>27892</v>
      </c>
      <c r="C25" t="s">
        <v>27889</v>
      </c>
      <c r="D25" s="118"/>
      <c r="E25" s="109" t="str">
        <f>IF(AND($D$8=1,'6c_Health_part_time'!D19&lt;0),E$14&amp;", "&amp;E$15&amp;", "&amp;$A25&amp;", "&amp;$B25&amp;", "&amp;$C25&amp;"; ","")</f>
        <v/>
      </c>
      <c r="F25" s="108" t="str">
        <f>IF(AND($D$8=1,'6c_Health_part_time'!E19&lt;0),F$14&amp;", "&amp;F$15&amp;", "&amp;$A25&amp;", "&amp;$B25&amp;", "&amp;$C25&amp;"; ","")</f>
        <v/>
      </c>
      <c r="G25" s="108" t="str">
        <f>IF(AND($D$8=1,'6c_Health_part_time'!F19&lt;0),G$14&amp;", "&amp;G$15&amp;", "&amp;$A25&amp;", "&amp;$B25&amp;", "&amp;$C25&amp;"; ","")</f>
        <v/>
      </c>
      <c r="H25" s="109" t="str">
        <f>IF(AND($D$8=1,'6c_Health_part_time'!G19&lt;0),H$14&amp;", "&amp;H$15&amp;", "&amp;$A25&amp;", "&amp;$B25&amp;", "&amp;$C25&amp;"; ","")</f>
        <v/>
      </c>
      <c r="I25" s="108" t="str">
        <f>IF(AND($D$8=1,'6c_Health_part_time'!H19&lt;0),I$14&amp;", "&amp;I$15&amp;", "&amp;$A25&amp;", "&amp;$B25&amp;", "&amp;$C25&amp;"; ","")</f>
        <v/>
      </c>
      <c r="J25" s="108" t="str">
        <f>IF(AND($D$8=1,'6c_Health_part_time'!I19&lt;0),J$14&amp;", "&amp;J$15&amp;", "&amp;$A25&amp;", "&amp;$B25&amp;", "&amp;$C25&amp;"; ","")</f>
        <v/>
      </c>
      <c r="L25" s="118"/>
      <c r="N25" s="109" t="str">
        <f>IF(AND($E$8=1,ABS('6c_Health_part_time'!D19)&lt;&gt;INT(ABS('6c_Health_part_time'!D19))),E$14&amp;", "&amp;E$15&amp;", "&amp;$A25&amp;", "&amp;$B25&amp;", "&amp;$C25&amp;"; ","")</f>
        <v/>
      </c>
      <c r="O25" s="108" t="str">
        <f>IF(AND($E$8=1,ABS('6c_Health_part_time'!E19)&lt;&gt;INT(ABS('6c_Health_part_time'!E19))),F$14&amp;", "&amp;F$15&amp;", "&amp;$A25&amp;", "&amp;$B25&amp;", "&amp;$C25&amp;"; ","")</f>
        <v/>
      </c>
      <c r="P25" s="108" t="str">
        <f>IF(AND($E$8=1,ABS('6c_Health_part_time'!F19)&lt;&gt;INT(ABS('6c_Health_part_time'!F19))),G$14&amp;", "&amp;G$15&amp;", "&amp;$A25&amp;", "&amp;$B25&amp;", "&amp;$C25&amp;"; ","")</f>
        <v/>
      </c>
      <c r="Q25" s="109" t="str">
        <f>IF(AND($E$8=1,ABS('6c_Health_part_time'!G19)&lt;&gt;INT(ABS('6c_Health_part_time'!G19))),H$14&amp;", "&amp;H$15&amp;", "&amp;$A25&amp;", "&amp;$B25&amp;", "&amp;$C25&amp;"; ","")</f>
        <v/>
      </c>
      <c r="R25" s="108" t="str">
        <f>IF(AND($E$8=1,ABS('6c_Health_part_time'!H19)&lt;&gt;INT(ABS('6c_Health_part_time'!H19))),I$14&amp;", "&amp;I$15&amp;", "&amp;$A25&amp;", "&amp;$B25&amp;", "&amp;$C25&amp;"; ","")</f>
        <v/>
      </c>
      <c r="S25" s="108" t="str">
        <f>IF(AND($E$8=1,ABS('6c_Health_part_time'!I19)&lt;&gt;INT(ABS('6c_Health_part_time'!I19))),J$14&amp;", "&amp;J$15&amp;", "&amp;$A25&amp;", "&amp;$B25&amp;", "&amp;$C25&amp;"; ","")</f>
        <v/>
      </c>
      <c r="U25" s="118"/>
      <c r="W25" s="113"/>
      <c r="X25" s="112"/>
      <c r="Y25" s="112"/>
      <c r="Z25" s="113"/>
      <c r="AA25" s="112"/>
      <c r="AB25" s="481"/>
      <c r="AD25" s="118"/>
      <c r="AF25" s="592"/>
      <c r="AG25" t="s">
        <v>225</v>
      </c>
      <c r="AH25" t="s">
        <v>27892</v>
      </c>
      <c r="AI25" t="s">
        <v>27889</v>
      </c>
      <c r="AJ25" s="109">
        <f>SUM('6c_Health_part_time'!D25,'6c_Health_part_time'!D29,'6c_Health_part_time'!D53,'6c_Health_part_time'!D57,'6c_Health_part_time'!D61,'6c_Health_part_time'!D65,'6c_Health_part_time'!D69,'6c_Health_part_time'!D73,'6c_Health_part_time'!D77,'6c_Health_part_time'!D81,'6c_Health_part_time'!D85)</f>
        <v>0</v>
      </c>
      <c r="AK25" s="108">
        <f>SUM('6c_Health_part_time'!E25,'6c_Health_part_time'!E29,'6c_Health_part_time'!E53,'6c_Health_part_time'!E57,'6c_Health_part_time'!E61,'6c_Health_part_time'!E65,'6c_Health_part_time'!E69,'6c_Health_part_time'!E73,'6c_Health_part_time'!E77,'6c_Health_part_time'!E81,'6c_Health_part_time'!E85)</f>
        <v>0</v>
      </c>
      <c r="AL25" s="121"/>
      <c r="AM25" s="109">
        <f>SUM('6c_Health_part_time'!G25,'6c_Health_part_time'!G29,'6c_Health_part_time'!G53,'6c_Health_part_time'!G57,'6c_Health_part_time'!G61,'6c_Health_part_time'!G65,'6c_Health_part_time'!G69,'6c_Health_part_time'!G73,'6c_Health_part_time'!G77,'6c_Health_part_time'!G81,'6c_Health_part_time'!G85)</f>
        <v>0</v>
      </c>
      <c r="AN25" s="108">
        <f>SUM('6c_Health_part_time'!H25,'6c_Health_part_time'!H29,'6c_Health_part_time'!H53,'6c_Health_part_time'!H57,'6c_Health_part_time'!H61,'6c_Health_part_time'!H65,'6c_Health_part_time'!H69,'6c_Health_part_time'!H73,'6c_Health_part_time'!H77,'6c_Health_part_time'!H81,'6c_Health_part_time'!H85)</f>
        <v>0</v>
      </c>
      <c r="AO25" s="121"/>
      <c r="AQ25" s="118"/>
      <c r="AT25" s="562" t="str">
        <f>IF(AND($I$8=1,ABS(SUM('6c_Health_part_time'!D19:E19))&lt;ABS('6c_Health_part_time'!F19)),E$14&amp;", "&amp;$A25&amp;", "&amp;$B25&amp;", "&amp;$C25&amp;"; ","")</f>
        <v/>
      </c>
      <c r="AW25" s="562" t="str">
        <f>IF(AND($I$8=1,ABS(SUM('6c_Health_part_time'!G19:H19))&lt;ABS('6c_Health_part_time'!I19)),H$14&amp;", "&amp;$A25&amp;", "&amp;$B25&amp;", "&amp;$C25&amp;"; ","")</f>
        <v/>
      </c>
      <c r="AX25" s="118"/>
      <c r="AY25" s="118"/>
      <c r="BG25" s="130"/>
      <c r="BH25" s="333" t="str">
        <f>IF(AND($P$8=1,$B25="Long length",'6c_Health_part_time'!D19&lt;&gt;0),E$15&amp;", "&amp;$A25&amp;", "&amp;$B25&amp;", "&amp;$C25&amp;"; ","")</f>
        <v/>
      </c>
      <c r="BI25" s="108" t="str">
        <f>IF(AND($P$8=1,$B25="Long length",'6c_Health_part_time'!E19&lt;&gt;0),F$15&amp;", "&amp;$A25&amp;", "&amp;$B25&amp;", "&amp;$C25&amp;"; ","")</f>
        <v/>
      </c>
      <c r="BJ25" s="108" t="str">
        <f>IF(AND($P$8=1,$B25="Long length",'6c_Health_part_time'!F19&lt;&gt;0),G$15&amp;", "&amp;$A25&amp;", "&amp;$B25&amp;", "&amp;$C25&amp;"; ","")</f>
        <v/>
      </c>
      <c r="BK25" s="333" t="str">
        <f>IF(AND($P$8=1,$B25="Long length",'6c_Health_part_time'!G19&lt;&gt;0),H$15&amp;", "&amp;$A25&amp;", "&amp;$B25&amp;", "&amp;$C25&amp;"; ","")</f>
        <v/>
      </c>
      <c r="BL25" s="108" t="str">
        <f>IF(AND($P$8=1,$B25="Long length",'6c_Health_part_time'!H19&lt;&gt;0),I$15&amp;", "&amp;$A25&amp;", "&amp;$B25&amp;", "&amp;$C25&amp;"; ","")</f>
        <v/>
      </c>
      <c r="BM25" s="108" t="str">
        <f>IF(AND($P$8=1,$B25="Long length",'6c_Health_part_time'!I19&lt;&gt;0),J$15&amp;", "&amp;$A25&amp;", "&amp;$B25&amp;", "&amp;$C25&amp;"; ","")</f>
        <v/>
      </c>
      <c r="BO25" s="130"/>
    </row>
    <row r="26" spans="1:67" x14ac:dyDescent="0.35">
      <c r="A26" t="s">
        <v>27893</v>
      </c>
      <c r="B26" t="s">
        <v>27892</v>
      </c>
      <c r="C26" t="s">
        <v>27891</v>
      </c>
      <c r="D26" s="118"/>
      <c r="E26" s="1380"/>
      <c r="F26" s="212"/>
      <c r="G26" s="212"/>
      <c r="H26" s="1380"/>
      <c r="I26" s="212"/>
      <c r="J26" s="212"/>
      <c r="L26" s="118"/>
      <c r="N26" s="1380"/>
      <c r="O26" s="212"/>
      <c r="P26" s="212"/>
      <c r="Q26" s="1380"/>
      <c r="R26" s="212"/>
      <c r="S26" s="212"/>
      <c r="U26" s="118"/>
      <c r="W26" s="1380"/>
      <c r="X26" s="212"/>
      <c r="Y26" s="212"/>
      <c r="Z26" s="1380"/>
      <c r="AA26" s="212"/>
      <c r="AB26" s="1381"/>
      <c r="AD26" s="118"/>
      <c r="AE26" s="592"/>
      <c r="AF26" s="592"/>
      <c r="AG26" t="s">
        <v>225</v>
      </c>
      <c r="AH26" t="s">
        <v>27892</v>
      </c>
      <c r="AI26" t="s">
        <v>27891</v>
      </c>
      <c r="AJ26" s="109">
        <f>SUM('6c_Health_part_time'!D26,'6c_Health_part_time'!D30,'6c_Health_part_time'!D54,'6c_Health_part_time'!D58,'6c_Health_part_time'!D62,'6c_Health_part_time'!D66,'6c_Health_part_time'!D70,'6c_Health_part_time'!D74,'6c_Health_part_time'!D78,'6c_Health_part_time'!D82,'6c_Health_part_time'!D86)</f>
        <v>0</v>
      </c>
      <c r="AK26" s="108">
        <f>SUM('6c_Health_part_time'!E26,'6c_Health_part_time'!E30,'6c_Health_part_time'!E54,'6c_Health_part_time'!E58,'6c_Health_part_time'!E62,'6c_Health_part_time'!E66,'6c_Health_part_time'!E70,'6c_Health_part_time'!E74,'6c_Health_part_time'!E78,'6c_Health_part_time'!E82,'6c_Health_part_time'!E86)</f>
        <v>0</v>
      </c>
      <c r="AL26" s="2196"/>
      <c r="AM26" s="109">
        <f>SUM('6c_Health_part_time'!G26,'6c_Health_part_time'!G30,'6c_Health_part_time'!G54,'6c_Health_part_time'!G58,'6c_Health_part_time'!G62,'6c_Health_part_time'!G66,'6c_Health_part_time'!G70,'6c_Health_part_time'!G74,'6c_Health_part_time'!G78,'6c_Health_part_time'!G82,'6c_Health_part_time'!G86)</f>
        <v>0</v>
      </c>
      <c r="AN26" s="108">
        <f>SUM('6c_Health_part_time'!H26,'6c_Health_part_time'!H30,'6c_Health_part_time'!H54,'6c_Health_part_time'!H58,'6c_Health_part_time'!H62,'6c_Health_part_time'!H66,'6c_Health_part_time'!H70,'6c_Health_part_time'!H74,'6c_Health_part_time'!H78,'6c_Health_part_time'!H82,'6c_Health_part_time'!H86)</f>
        <v>0</v>
      </c>
      <c r="AO26" s="2196"/>
      <c r="AQ26" s="118"/>
      <c r="AT26" s="1374"/>
      <c r="AW26" s="1374"/>
      <c r="AX26" s="118"/>
      <c r="AY26" s="118"/>
      <c r="AZ26" s="1827" t="str">
        <f>AZ24&amp;BA24&amp;BB24</f>
        <v/>
      </c>
      <c r="BC26" s="2039" t="str">
        <f>BC24&amp;BD24&amp;BE24</f>
        <v/>
      </c>
      <c r="BG26" s="130"/>
      <c r="BH26" s="1370" t="str">
        <f>IF(AND($P$8=1,$B26="Long length",'6c_Health_part_time'!D20&lt;&gt;0),E$15&amp;", "&amp;$A26&amp;", "&amp;$B26&amp;", "&amp;$C26&amp;"; ","")</f>
        <v/>
      </c>
      <c r="BI26" s="212" t="str">
        <f>IF(AND($P$8=1,$B26="Long length",'6c_Health_part_time'!E20&lt;&gt;0),F$15&amp;", "&amp;$A26&amp;", "&amp;$B26&amp;", "&amp;$C26&amp;"; ","")</f>
        <v/>
      </c>
      <c r="BJ26" s="212" t="str">
        <f>IF(AND($P$8=1,$B26="Long length",'6c_Health_part_time'!F20&lt;&gt;0),G$15&amp;", "&amp;$A26&amp;", "&amp;$B26&amp;", "&amp;$C26&amp;"; ","")</f>
        <v/>
      </c>
      <c r="BK26" s="1370" t="str">
        <f>IF(AND($P$8=1,$B26="Long length",'6c_Health_part_time'!G20&lt;&gt;0),H$15&amp;", "&amp;$A26&amp;", "&amp;$B26&amp;", "&amp;$C26&amp;"; ","")</f>
        <v/>
      </c>
      <c r="BL26" s="212" t="str">
        <f>IF(AND($P$8=1,$B26="Long length",'6c_Health_part_time'!H20&lt;&gt;0),I$15&amp;", "&amp;$A26&amp;", "&amp;$B26&amp;", "&amp;$C26&amp;"; ","")</f>
        <v/>
      </c>
      <c r="BM26" s="212" t="str">
        <f>IF(AND($P$8=1,$B26="Long length",'6c_Health_part_time'!I20&lt;&gt;0),J$15&amp;", "&amp;$A26&amp;", "&amp;$B26&amp;", "&amp;$C26&amp;"; ","")</f>
        <v/>
      </c>
      <c r="BO26" s="130"/>
    </row>
    <row r="27" spans="1:67" x14ac:dyDescent="0.35">
      <c r="A27" t="s">
        <v>27893</v>
      </c>
      <c r="B27" t="s">
        <v>27888</v>
      </c>
      <c r="C27" t="s">
        <v>27894</v>
      </c>
      <c r="D27" s="118"/>
      <c r="E27" s="109" t="str">
        <f>IF(AND($D$8=1,'6c_Health_part_time'!D21&lt;0),E$14&amp;", "&amp;E$15&amp;", "&amp;$A27&amp;", "&amp;$B27&amp;", "&amp;$C27&amp;"; ","")</f>
        <v/>
      </c>
      <c r="F27" s="108" t="str">
        <f>IF(AND($D$8=1,'6c_Health_part_time'!E21&lt;0),F$14&amp;", "&amp;F$15&amp;", "&amp;$A27&amp;", "&amp;$B27&amp;", "&amp;$C27&amp;"; ","")</f>
        <v/>
      </c>
      <c r="G27" s="108" t="str">
        <f>IF(AND($D$8=1,'6c_Health_part_time'!F21&lt;0),G$14&amp;", "&amp;G$15&amp;", "&amp;$A27&amp;", "&amp;$B27&amp;", "&amp;$C27&amp;"; ","")</f>
        <v/>
      </c>
      <c r="H27" s="109" t="str">
        <f>IF(AND($D$8=1,'6c_Health_part_time'!G21&lt;0),H$14&amp;", "&amp;H$15&amp;", "&amp;$A27&amp;", "&amp;$B27&amp;", "&amp;$C27&amp;"; ","")</f>
        <v/>
      </c>
      <c r="I27" s="108" t="str">
        <f>IF(AND($D$8=1,'6c_Health_part_time'!H21&lt;0),I$14&amp;", "&amp;I$15&amp;", "&amp;$A27&amp;", "&amp;$B27&amp;", "&amp;$C27&amp;"; ","")</f>
        <v/>
      </c>
      <c r="J27" s="108" t="str">
        <f>IF(AND($D$8=1,'6c_Health_part_time'!I21&lt;0),J$14&amp;", "&amp;J$15&amp;", "&amp;$A27&amp;", "&amp;$B27&amp;", "&amp;$C27&amp;"; ","")</f>
        <v/>
      </c>
      <c r="L27" s="118"/>
      <c r="N27" s="109" t="str">
        <f>IF(AND($E$8=1,ABS('6c_Health_part_time'!D21)&lt;&gt;INT(ABS('6c_Health_part_time'!D21))),E$14&amp;", "&amp;E$15&amp;", "&amp;$A27&amp;", "&amp;$B27&amp;", "&amp;$C27&amp;"; ","")</f>
        <v/>
      </c>
      <c r="O27" s="108" t="str">
        <f>IF(AND($E$8=1,ABS('6c_Health_part_time'!E21)&lt;&gt;INT(ABS('6c_Health_part_time'!E21))),F$14&amp;", "&amp;F$15&amp;", "&amp;$A27&amp;", "&amp;$B27&amp;", "&amp;$C27&amp;"; ","")</f>
        <v/>
      </c>
      <c r="P27" s="108" t="str">
        <f>IF(AND($E$8=1,ABS('6c_Health_part_time'!F21)&lt;&gt;INT(ABS('6c_Health_part_time'!F21))),G$14&amp;", "&amp;G$15&amp;", "&amp;$A27&amp;", "&amp;$B27&amp;", "&amp;$C27&amp;"; ","")</f>
        <v/>
      </c>
      <c r="Q27" s="109" t="str">
        <f>IF(AND($E$8=1,ABS('6c_Health_part_time'!G21)&lt;&gt;INT(ABS('6c_Health_part_time'!G21))),H$14&amp;", "&amp;H$15&amp;", "&amp;$A27&amp;", "&amp;$B27&amp;", "&amp;$C27&amp;"; ","")</f>
        <v/>
      </c>
      <c r="R27" s="108" t="str">
        <f>IF(AND($E$8=1,ABS('6c_Health_part_time'!H21)&lt;&gt;INT(ABS('6c_Health_part_time'!H21))),I$14&amp;", "&amp;I$15&amp;", "&amp;$A27&amp;", "&amp;$B27&amp;", "&amp;$C27&amp;"; ","")</f>
        <v/>
      </c>
      <c r="S27" s="108" t="str">
        <f>IF(AND($E$8=1,ABS('6c_Health_part_time'!I21)&lt;&gt;INT(ABS('6c_Health_part_time'!I21))),J$14&amp;", "&amp;J$15&amp;", "&amp;$A27&amp;", "&amp;$B27&amp;", "&amp;$C27&amp;"; ","")</f>
        <v/>
      </c>
      <c r="U27" s="118"/>
      <c r="W27" s="113"/>
      <c r="X27" s="112"/>
      <c r="Y27" s="112"/>
      <c r="Z27" s="113"/>
      <c r="AA27" s="112"/>
      <c r="AB27" s="481"/>
      <c r="AD27" s="118"/>
      <c r="AG27" t="s">
        <v>225</v>
      </c>
      <c r="AH27" t="s">
        <v>27888</v>
      </c>
      <c r="AI27" t="s">
        <v>27894</v>
      </c>
      <c r="AJ27" s="109">
        <f>'6c_Health_part_time'!D21</f>
        <v>0</v>
      </c>
      <c r="AK27" s="108">
        <f>'6c_Health_part_time'!E21</f>
        <v>0</v>
      </c>
      <c r="AL27" s="121"/>
      <c r="AM27" s="109">
        <f>'6c_Health_part_time'!G21</f>
        <v>0</v>
      </c>
      <c r="AN27" s="108">
        <f>'6c_Health_part_time'!H21</f>
        <v>0</v>
      </c>
      <c r="AO27" s="121"/>
      <c r="AQ27" s="118"/>
      <c r="AT27" s="562" t="str">
        <f>IF(AND($I$8=1,ABS(SUM('6c_Health_part_time'!D21:E21))&lt;ABS('6c_Health_part_time'!F21)),E$14&amp;", "&amp;$A27&amp;", "&amp;$B27&amp;", "&amp;$C27&amp;"; ","")</f>
        <v/>
      </c>
      <c r="AW27" s="562" t="str">
        <f>IF(AND($I$8=1,ABS(SUM('6c_Health_part_time'!G21:H21))&lt;ABS('6c_Health_part_time'!I21)),H$14&amp;", "&amp;$A27&amp;", "&amp;$B27&amp;", "&amp;$C27&amp;"; ","")</f>
        <v/>
      </c>
      <c r="AX27" s="118"/>
      <c r="AY27" s="118"/>
      <c r="AZ27" s="185"/>
      <c r="BG27" s="130"/>
      <c r="BH27" s="333" t="str">
        <f>IF(AND($P$8=1,$B27="Long length",'6c_Health_part_time'!D21&lt;&gt;0),E$15&amp;", "&amp;$A27&amp;", "&amp;$B27&amp;", "&amp;$C27&amp;"; ","")</f>
        <v/>
      </c>
      <c r="BI27" s="108" t="str">
        <f>IF(AND($P$8=1,$B27="Long length",'6c_Health_part_time'!E21&lt;&gt;0),F$15&amp;", "&amp;$A27&amp;", "&amp;$B27&amp;", "&amp;$C27&amp;"; ","")</f>
        <v/>
      </c>
      <c r="BJ27" s="108" t="str">
        <f>IF(AND($P$8=1,$B27="Long length",'6c_Health_part_time'!F21&lt;&gt;0),G$15&amp;", "&amp;$A27&amp;", "&amp;$B27&amp;", "&amp;$C27&amp;"; ","")</f>
        <v/>
      </c>
      <c r="BK27" s="333" t="str">
        <f>IF(AND($P$8=1,$B27="Long length",'6c_Health_part_time'!G21&lt;&gt;0),H$15&amp;", "&amp;$A27&amp;", "&amp;$B27&amp;", "&amp;$C27&amp;"; ","")</f>
        <v/>
      </c>
      <c r="BL27" s="108" t="str">
        <f>IF(AND($P$8=1,$B27="Long length",'6c_Health_part_time'!H21&lt;&gt;0),I$15&amp;", "&amp;$A27&amp;", "&amp;$B27&amp;", "&amp;$C27&amp;"; ","")</f>
        <v/>
      </c>
      <c r="BM27" s="108" t="str">
        <f>IF(AND($P$8=1,$B27="Long length",'6c_Health_part_time'!I21&lt;&gt;0),J$15&amp;", "&amp;$A27&amp;", "&amp;$B27&amp;", "&amp;$C27&amp;"; ","")</f>
        <v/>
      </c>
      <c r="BO27" s="130"/>
    </row>
    <row r="28" spans="1:67" x14ac:dyDescent="0.35">
      <c r="A28" t="s">
        <v>27893</v>
      </c>
      <c r="B28" t="s">
        <v>27892</v>
      </c>
      <c r="C28" t="s">
        <v>27894</v>
      </c>
      <c r="D28" s="118"/>
      <c r="E28" s="109" t="str">
        <f>IF(AND($D$8=1,'6c_Health_part_time'!D22&lt;0),E$14&amp;", "&amp;E$15&amp;", "&amp;$A28&amp;", "&amp;$B28&amp;", "&amp;$C28&amp;"; ","")</f>
        <v/>
      </c>
      <c r="F28" s="108" t="str">
        <f>IF(AND($D$8=1,'6c_Health_part_time'!E22&lt;0),F$14&amp;", "&amp;F$15&amp;", "&amp;$A28&amp;", "&amp;$B28&amp;", "&amp;$C28&amp;"; ","")</f>
        <v/>
      </c>
      <c r="G28" s="108" t="str">
        <f>IF(AND($D$8=1,'6c_Health_part_time'!F22&lt;0),G$14&amp;", "&amp;G$15&amp;", "&amp;$A28&amp;", "&amp;$B28&amp;", "&amp;$C28&amp;"; ","")</f>
        <v/>
      </c>
      <c r="H28" s="109" t="str">
        <f>IF(AND($D$8=1,'6c_Health_part_time'!G22&lt;0),H$14&amp;", "&amp;H$15&amp;", "&amp;$A28&amp;", "&amp;$B28&amp;", "&amp;$C28&amp;"; ","")</f>
        <v/>
      </c>
      <c r="I28" s="108" t="str">
        <f>IF(AND($D$8=1,'6c_Health_part_time'!H22&lt;0),I$14&amp;", "&amp;I$15&amp;", "&amp;$A28&amp;", "&amp;$B28&amp;", "&amp;$C28&amp;"; ","")</f>
        <v/>
      </c>
      <c r="J28" s="108" t="str">
        <f>IF(AND($D$8=1,'6c_Health_part_time'!I22&lt;0),J$14&amp;", "&amp;J$15&amp;", "&amp;$A28&amp;", "&amp;$B28&amp;", "&amp;$C28&amp;"; ","")</f>
        <v/>
      </c>
      <c r="L28" s="118"/>
      <c r="N28" s="109" t="str">
        <f>IF(AND($E$8=1,ABS('6c_Health_part_time'!D22)&lt;&gt;INT(ABS('6c_Health_part_time'!D22))),E$14&amp;", "&amp;E$15&amp;", "&amp;$A28&amp;", "&amp;$B28&amp;", "&amp;$C28&amp;"; ","")</f>
        <v/>
      </c>
      <c r="O28" s="108" t="str">
        <f>IF(AND($E$8=1,ABS('6c_Health_part_time'!E22)&lt;&gt;INT(ABS('6c_Health_part_time'!E22))),F$14&amp;", "&amp;F$15&amp;", "&amp;$A28&amp;", "&amp;$B28&amp;", "&amp;$C28&amp;"; ","")</f>
        <v/>
      </c>
      <c r="P28" s="108" t="str">
        <f>IF(AND($E$8=1,ABS('6c_Health_part_time'!F22)&lt;&gt;INT(ABS('6c_Health_part_time'!F22))),G$14&amp;", "&amp;G$15&amp;", "&amp;$A28&amp;", "&amp;$B28&amp;", "&amp;$C28&amp;"; ","")</f>
        <v/>
      </c>
      <c r="Q28" s="109" t="str">
        <f>IF(AND($E$8=1,ABS('6c_Health_part_time'!G22)&lt;&gt;INT(ABS('6c_Health_part_time'!G22))),H$14&amp;", "&amp;H$15&amp;", "&amp;$A28&amp;", "&amp;$B28&amp;", "&amp;$C28&amp;"; ","")</f>
        <v/>
      </c>
      <c r="R28" s="108" t="str">
        <f>IF(AND($E$8=1,ABS('6c_Health_part_time'!H22)&lt;&gt;INT(ABS('6c_Health_part_time'!H22))),I$14&amp;", "&amp;I$15&amp;", "&amp;$A28&amp;", "&amp;$B28&amp;", "&amp;$C28&amp;"; ","")</f>
        <v/>
      </c>
      <c r="S28" s="108" t="str">
        <f>IF(AND($E$8=1,ABS('6c_Health_part_time'!I22)&lt;&gt;INT(ABS('6c_Health_part_time'!I22))),J$14&amp;", "&amp;J$15&amp;", "&amp;$A28&amp;", "&amp;$B28&amp;", "&amp;$C28&amp;"; ","")</f>
        <v/>
      </c>
      <c r="U28" s="118"/>
      <c r="W28" s="113"/>
      <c r="X28" s="112"/>
      <c r="Y28" s="112"/>
      <c r="Z28" s="113"/>
      <c r="AA28" s="112"/>
      <c r="AB28" s="481"/>
      <c r="AD28" s="118"/>
      <c r="AG28" t="s">
        <v>225</v>
      </c>
      <c r="AH28" t="s">
        <v>27892</v>
      </c>
      <c r="AI28" t="s">
        <v>27894</v>
      </c>
      <c r="AJ28" s="124">
        <f>'6c_Health_part_time'!D22</f>
        <v>0</v>
      </c>
      <c r="AK28" s="125">
        <f>'6c_Health_part_time'!E22</f>
        <v>0</v>
      </c>
      <c r="AL28" s="123"/>
      <c r="AM28" s="124">
        <f>'6c_Health_part_time'!G22</f>
        <v>0</v>
      </c>
      <c r="AN28" s="125">
        <f>'6c_Health_part_time'!H22</f>
        <v>0</v>
      </c>
      <c r="AO28" s="123"/>
      <c r="AQ28" s="118"/>
      <c r="AT28" s="562" t="str">
        <f>IF(AND($I$8=1,ABS(SUM('6c_Health_part_time'!D22:E22))&lt;ABS('6c_Health_part_time'!F22)),E$14&amp;", "&amp;$A28&amp;", "&amp;$B28&amp;", "&amp;$C28&amp;"; ","")</f>
        <v/>
      </c>
      <c r="AW28" s="562" t="str">
        <f>IF(AND($I$8=1,ABS(SUM('6c_Health_part_time'!G22:H22))&lt;ABS('6c_Health_part_time'!I22)),H$14&amp;", "&amp;$A28&amp;", "&amp;$B28&amp;", "&amp;$C28&amp;"; ","")</f>
        <v/>
      </c>
      <c r="AX28" s="118"/>
      <c r="AY28" s="118"/>
      <c r="AZ28" s="1826" t="str">
        <f>AZ26&amp;BC26</f>
        <v/>
      </c>
      <c r="BG28" s="130"/>
      <c r="BH28" s="333" t="str">
        <f>IF(AND($P$8=1,$B28="Long length",'6c_Health_part_time'!D22&lt;&gt;0),E$15&amp;", "&amp;$A28&amp;", "&amp;$B28&amp;", "&amp;$C28&amp;"; ","")</f>
        <v/>
      </c>
      <c r="BI28" s="108" t="str">
        <f>IF(AND($P$8=1,$B28="Long length",'6c_Health_part_time'!E22&lt;&gt;0),F$15&amp;", "&amp;$A28&amp;", "&amp;$B28&amp;", "&amp;$C28&amp;"; ","")</f>
        <v/>
      </c>
      <c r="BJ28" s="108" t="str">
        <f>IF(AND($P$8=1,$B28="Long length",'6c_Health_part_time'!F22&lt;&gt;0),G$15&amp;", "&amp;$A28&amp;", "&amp;$B28&amp;", "&amp;$C28&amp;"; ","")</f>
        <v/>
      </c>
      <c r="BK28" s="333" t="str">
        <f>IF(AND($P$8=1,$B28="Long length",'6c_Health_part_time'!G22&lt;&gt;0),H$15&amp;", "&amp;$A28&amp;", "&amp;$B28&amp;", "&amp;$C28&amp;"; ","")</f>
        <v/>
      </c>
      <c r="BL28" s="108" t="str">
        <f>IF(AND($P$8=1,$B28="Long length",'6c_Health_part_time'!H22&lt;&gt;0),I$15&amp;", "&amp;$A28&amp;", "&amp;$B28&amp;", "&amp;$C28&amp;"; ","")</f>
        <v/>
      </c>
      <c r="BM28" s="108" t="str">
        <f>IF(AND($P$8=1,$B28="Long length",'6c_Health_part_time'!I22&lt;&gt;0),J$15&amp;", "&amp;$A28&amp;", "&amp;$B28&amp;", "&amp;$C28&amp;"; ","")</f>
        <v/>
      </c>
      <c r="BO28" s="130"/>
    </row>
    <row r="29" spans="1:67" ht="12.75" customHeight="1" x14ac:dyDescent="0.35">
      <c r="A29" t="s">
        <v>27895</v>
      </c>
      <c r="B29" t="s">
        <v>27888</v>
      </c>
      <c r="C29" t="s">
        <v>27889</v>
      </c>
      <c r="D29" s="118"/>
      <c r="E29" s="1885" t="str">
        <f>IF(AND($D$8=1,'6c_Health_part_time'!D23&lt;0),E$14&amp;", "&amp;E$15&amp;", "&amp;$A29&amp;", "&amp;$B29&amp;", "&amp;$C29&amp;"; ","")</f>
        <v/>
      </c>
      <c r="F29" s="1653" t="str">
        <f>IF(AND($D$8=1,'6c_Health_part_time'!E23&lt;0),F$14&amp;", "&amp;F$15&amp;", "&amp;$A29&amp;", "&amp;$B29&amp;", "&amp;$C29&amp;"; ","")</f>
        <v/>
      </c>
      <c r="G29" s="1653" t="str">
        <f>IF(AND($D$8=1,'6c_Health_part_time'!F23&lt;0),G$14&amp;", "&amp;G$15&amp;", "&amp;$A29&amp;", "&amp;$B29&amp;", "&amp;$C29&amp;"; ","")</f>
        <v/>
      </c>
      <c r="H29" s="1885" t="str">
        <f>IF(AND($D$8=1,'6c_Health_part_time'!G23&lt;0),H$14&amp;", "&amp;H$15&amp;", "&amp;$A29&amp;", "&amp;$B29&amp;", "&amp;$C29&amp;"; ","")</f>
        <v/>
      </c>
      <c r="I29" s="1653" t="str">
        <f>IF(AND($D$8=1,'6c_Health_part_time'!H23&lt;0),I$14&amp;", "&amp;I$15&amp;", "&amp;$A29&amp;", "&amp;$B29&amp;", "&amp;$C29&amp;"; ","")</f>
        <v/>
      </c>
      <c r="J29" s="1653" t="str">
        <f>IF(AND($D$8=1,'6c_Health_part_time'!I23&lt;0),J$14&amp;", "&amp;J$15&amp;", "&amp;$A29&amp;", "&amp;$B29&amp;", "&amp;$C29&amp;"; ","")</f>
        <v/>
      </c>
      <c r="L29" s="118"/>
      <c r="M29" s="328"/>
      <c r="N29" s="1885" t="str">
        <f>IF(AND($E$8=1,ABS('6c_Health_part_time'!D23)&lt;&gt;INT(ABS('6c_Health_part_time'!D23))),E$14&amp;", "&amp;E$15&amp;", "&amp;$A29&amp;", "&amp;$B29&amp;", "&amp;$C29&amp;"; ","")</f>
        <v/>
      </c>
      <c r="O29" s="1653" t="str">
        <f>IF(AND($E$8=1,ABS('6c_Health_part_time'!E23)&lt;&gt;INT(ABS('6c_Health_part_time'!E23))),F$14&amp;", "&amp;F$15&amp;", "&amp;$A29&amp;", "&amp;$B29&amp;", "&amp;$C29&amp;"; ","")</f>
        <v/>
      </c>
      <c r="P29" s="1653" t="str">
        <f>IF(AND($E$8=1,ABS('6c_Health_part_time'!F23)&lt;&gt;INT(ABS('6c_Health_part_time'!F23))),G$14&amp;", "&amp;G$15&amp;", "&amp;$A29&amp;", "&amp;$B29&amp;", "&amp;$C29&amp;"; ","")</f>
        <v/>
      </c>
      <c r="Q29" s="1885" t="str">
        <f>IF(AND($E$8=1,ABS('6c_Health_part_time'!G23)&lt;&gt;INT(ABS('6c_Health_part_time'!G23))),H$14&amp;", "&amp;H$15&amp;", "&amp;$A29&amp;", "&amp;$B29&amp;", "&amp;$C29&amp;"; ","")</f>
        <v/>
      </c>
      <c r="R29" s="1653" t="str">
        <f>IF(AND($E$8=1,ABS('6c_Health_part_time'!H23)&lt;&gt;INT(ABS('6c_Health_part_time'!H23))),I$14&amp;", "&amp;I$15&amp;", "&amp;$A29&amp;", "&amp;$B29&amp;", "&amp;$C29&amp;"; ","")</f>
        <v/>
      </c>
      <c r="S29" s="1653" t="str">
        <f>IF(AND($E$8=1,ABS('6c_Health_part_time'!I23)&lt;&gt;INT(ABS('6c_Health_part_time'!I23))),J$14&amp;", "&amp;J$15&amp;", "&amp;$A29&amp;", "&amp;$B29&amp;", "&amp;$C29&amp;"; ","")</f>
        <v/>
      </c>
      <c r="U29" s="118"/>
      <c r="V29" s="328"/>
      <c r="W29" s="1911"/>
      <c r="X29" s="1654"/>
      <c r="Y29" s="1654"/>
      <c r="Z29" s="1911"/>
      <c r="AA29" s="1654"/>
      <c r="AB29" s="1882"/>
      <c r="AD29" s="118"/>
      <c r="AG29" t="s">
        <v>238</v>
      </c>
      <c r="AH29" t="s">
        <v>27888</v>
      </c>
      <c r="AI29" t="s">
        <v>27889</v>
      </c>
      <c r="AJ29" s="1885">
        <f>SUM('6c_Health_part_time'!D31,'6c_Health_part_time'!D35,'6c_Health_part_time'!D39,'6c_Health_part_time'!D43,'6c_Health_part_time'!D47)</f>
        <v>0</v>
      </c>
      <c r="AK29" s="2195">
        <f>SUM('6c_Health_part_time'!E31,'6c_Health_part_time'!E35,'6c_Health_part_time'!E39,'6c_Health_part_time'!E43,'6c_Health_part_time'!E47)</f>
        <v>0</v>
      </c>
      <c r="AL29" s="1884"/>
      <c r="AM29" s="1885">
        <f>SUM('6c_Health_part_time'!G31,'6c_Health_part_time'!G35,'6c_Health_part_time'!G39,'6c_Health_part_time'!G43,'6c_Health_part_time'!G47)</f>
        <v>0</v>
      </c>
      <c r="AN29" s="2195">
        <f>SUM('6c_Health_part_time'!H31,'6c_Health_part_time'!H35,'6c_Health_part_time'!H39,'6c_Health_part_time'!H43,'6c_Health_part_time'!H47)</f>
        <v>0</v>
      </c>
      <c r="AO29" s="1884"/>
      <c r="AQ29" s="118"/>
      <c r="AT29" s="1886" t="str">
        <f>IF(AND($I$8=1,ABS(SUM('6c_Health_part_time'!D23:E23))&lt;ABS('6c_Health_part_time'!F23)),E$14&amp;", "&amp;$A29&amp;", "&amp;$B29&amp;", "&amp;$C29&amp;"; ","")</f>
        <v/>
      </c>
      <c r="AW29" s="1886" t="str">
        <f>IF(AND($I$8=1,ABS(SUM('6c_Health_part_time'!G23:H23))&lt;ABS('6c_Health_part_time'!I23)),H$14&amp;", "&amp;$A29&amp;", "&amp;$B29&amp;", "&amp;$C29&amp;"; ","")</f>
        <v/>
      </c>
      <c r="AX29" s="118"/>
      <c r="AY29" s="1372"/>
      <c r="AZ29" s="1912"/>
      <c r="BA29" s="133"/>
      <c r="BB29" s="133"/>
      <c r="BC29" s="133"/>
      <c r="BD29" s="133"/>
      <c r="BE29" s="133"/>
      <c r="BF29" s="133"/>
      <c r="BG29" s="130"/>
      <c r="BH29" s="1879" t="str">
        <f>IF(AND($P$8=1,$B29="Long length",'6c_Health_part_time'!D23&lt;&gt;0),E$15&amp;", "&amp;$A29&amp;", "&amp;$B29&amp;", "&amp;$C29&amp;"; ","")</f>
        <v/>
      </c>
      <c r="BI29" s="1653" t="str">
        <f>IF(AND($P$8=1,$B29="Long length",'6c_Health_part_time'!E23&lt;&gt;0),F$15&amp;", "&amp;$A29&amp;", "&amp;$B29&amp;", "&amp;$C29&amp;"; ","")</f>
        <v/>
      </c>
      <c r="BJ29" s="1653" t="str">
        <f>IF(AND($P$8=1,$B29="Long length",'6c_Health_part_time'!F23&lt;&gt;0),G$15&amp;", "&amp;$A29&amp;", "&amp;$B29&amp;", "&amp;$C29&amp;"; ","")</f>
        <v/>
      </c>
      <c r="BK29" s="1879" t="str">
        <f>IF(AND($P$8=1,$B29="Long length",'6c_Health_part_time'!G23&lt;&gt;0),H$15&amp;", "&amp;$A29&amp;", "&amp;$B29&amp;", "&amp;$C29&amp;"; ","")</f>
        <v/>
      </c>
      <c r="BL29" s="1653" t="str">
        <f>IF(AND($P$8=1,$B29="Long length",'6c_Health_part_time'!H23&lt;&gt;0),I$15&amp;", "&amp;$A29&amp;", "&amp;$B29&amp;", "&amp;$C29&amp;"; ","")</f>
        <v/>
      </c>
      <c r="BM29" s="1653" t="str">
        <f>IF(AND($P$8=1,$B29="Long length",'6c_Health_part_time'!I23&lt;&gt;0),J$15&amp;", "&amp;$A29&amp;", "&amp;$B29&amp;", "&amp;$C29&amp;"; ","")</f>
        <v/>
      </c>
      <c r="BO29" s="130"/>
    </row>
    <row r="30" spans="1:67" x14ac:dyDescent="0.35">
      <c r="A30" t="s">
        <v>27895</v>
      </c>
      <c r="B30" t="s">
        <v>27888</v>
      </c>
      <c r="C30" t="s">
        <v>27891</v>
      </c>
      <c r="D30" s="193"/>
      <c r="E30" s="109" t="str">
        <f>IF(AND($D$8=1,'6c_Health_part_time'!D24&lt;0),E$14&amp;", "&amp;E$15&amp;", "&amp;$A30&amp;", "&amp;$B30&amp;", "&amp;$C30&amp;"; ","")</f>
        <v/>
      </c>
      <c r="F30" s="108" t="str">
        <f>IF(AND($D$8=1,'6c_Health_part_time'!E24&lt;0),F$14&amp;", "&amp;F$15&amp;", "&amp;$A30&amp;", "&amp;$B30&amp;", "&amp;$C30&amp;"; ","")</f>
        <v/>
      </c>
      <c r="G30" s="108" t="str">
        <f>IF(AND($D$8=1,'6c_Health_part_time'!F24&lt;0),G$14&amp;", "&amp;G$15&amp;", "&amp;$A30&amp;", "&amp;$B30&amp;", "&amp;$C30&amp;"; ","")</f>
        <v/>
      </c>
      <c r="H30" s="109" t="str">
        <f>IF(AND($D$8=1,'6c_Health_part_time'!G24&lt;0),H$14&amp;", "&amp;H$15&amp;", "&amp;$A30&amp;", "&amp;$B30&amp;", "&amp;$C30&amp;"; ","")</f>
        <v/>
      </c>
      <c r="I30" s="108" t="str">
        <f>IF(AND($D$8=1,'6c_Health_part_time'!H24&lt;0),I$14&amp;", "&amp;I$15&amp;", "&amp;$A30&amp;", "&amp;$B30&amp;", "&amp;$C30&amp;"; ","")</f>
        <v/>
      </c>
      <c r="J30" s="108" t="str">
        <f>IF(AND($D$8=1,'6c_Health_part_time'!I24&lt;0),J$14&amp;", "&amp;J$15&amp;", "&amp;$A30&amp;", "&amp;$B30&amp;", "&amp;$C30&amp;"; ","")</f>
        <v/>
      </c>
      <c r="L30" s="193"/>
      <c r="M30" s="328"/>
      <c r="N30" s="109" t="str">
        <f>IF(AND($E$8=1,ABS('6c_Health_part_time'!D24)&lt;&gt;INT(ABS('6c_Health_part_time'!D24))),E$14&amp;", "&amp;E$15&amp;", "&amp;$A30&amp;", "&amp;$B30&amp;", "&amp;$C30&amp;"; ","")</f>
        <v/>
      </c>
      <c r="O30" s="108" t="str">
        <f>IF(AND($E$8=1,ABS('6c_Health_part_time'!E24)&lt;&gt;INT(ABS('6c_Health_part_time'!E24))),F$14&amp;", "&amp;F$15&amp;", "&amp;$A30&amp;", "&amp;$B30&amp;", "&amp;$C30&amp;"; ","")</f>
        <v/>
      </c>
      <c r="P30" s="108" t="str">
        <f>IF(AND($E$8=1,ABS('6c_Health_part_time'!F24)&lt;&gt;INT(ABS('6c_Health_part_time'!F24))),G$14&amp;", "&amp;G$15&amp;", "&amp;$A30&amp;", "&amp;$B30&amp;", "&amp;$C30&amp;"; ","")</f>
        <v/>
      </c>
      <c r="Q30" s="109" t="str">
        <f>IF(AND($E$8=1,ABS('6c_Health_part_time'!G24)&lt;&gt;INT(ABS('6c_Health_part_time'!G24))),H$14&amp;", "&amp;H$15&amp;", "&amp;$A30&amp;", "&amp;$B30&amp;", "&amp;$C30&amp;"; ","")</f>
        <v/>
      </c>
      <c r="R30" s="108" t="str">
        <f>IF(AND($E$8=1,ABS('6c_Health_part_time'!H24)&lt;&gt;INT(ABS('6c_Health_part_time'!H24))),I$14&amp;", "&amp;I$15&amp;", "&amp;$A30&amp;", "&amp;$B30&amp;", "&amp;$C30&amp;"; ","")</f>
        <v/>
      </c>
      <c r="S30" s="108" t="str">
        <f>IF(AND($E$8=1,ABS('6c_Health_part_time'!I24)&lt;&gt;INT(ABS('6c_Health_part_time'!I24))),J$14&amp;", "&amp;J$15&amp;", "&amp;$A30&amp;", "&amp;$B30&amp;", "&amp;$C30&amp;"; ","")</f>
        <v/>
      </c>
      <c r="U30" s="193"/>
      <c r="V30" s="328"/>
      <c r="W30" s="113"/>
      <c r="X30" s="112"/>
      <c r="Y30" s="112"/>
      <c r="Z30" s="113"/>
      <c r="AA30" s="112"/>
      <c r="AB30" s="481"/>
      <c r="AD30" s="118"/>
      <c r="AG30" t="s">
        <v>238</v>
      </c>
      <c r="AH30" t="s">
        <v>27888</v>
      </c>
      <c r="AI30" t="s">
        <v>27891</v>
      </c>
      <c r="AJ30" s="109">
        <f>SUM('6c_Health_part_time'!D32,'6c_Health_part_time'!D36,'6c_Health_part_time'!D40,'6c_Health_part_time'!D44,'6c_Health_part_time'!D48)</f>
        <v>0</v>
      </c>
      <c r="AK30" s="108">
        <f>SUM('6c_Health_part_time'!E32,'6c_Health_part_time'!E36,'6c_Health_part_time'!E40,'6c_Health_part_time'!E44,'6c_Health_part_time'!E48)</f>
        <v>0</v>
      </c>
      <c r="AL30" s="121"/>
      <c r="AM30" s="109">
        <f>SUM('6c_Health_part_time'!G32,'6c_Health_part_time'!G36,'6c_Health_part_time'!G40,'6c_Health_part_time'!G44,'6c_Health_part_time'!G48)</f>
        <v>0</v>
      </c>
      <c r="AN30" s="108">
        <f>SUM('6c_Health_part_time'!H32,'6c_Health_part_time'!H36,'6c_Health_part_time'!H40,'6c_Health_part_time'!H44,'6c_Health_part_time'!H48)</f>
        <v>0</v>
      </c>
      <c r="AO30" s="121"/>
      <c r="AQ30" s="118"/>
      <c r="AT30" s="562" t="str">
        <f>IF(AND($I$8=1,ABS(SUM('6c_Health_part_time'!D24:E24))&lt;ABS('6c_Health_part_time'!F24)),E$14&amp;", "&amp;$A30&amp;", "&amp;$B30&amp;", "&amp;$C30&amp;"; ","")</f>
        <v/>
      </c>
      <c r="AW30" s="562" t="str">
        <f>IF(AND($I$8=1,ABS(SUM('6c_Health_part_time'!G24:H24))&lt;ABS('6c_Health_part_time'!I24)),H$14&amp;", "&amp;$A30&amp;", "&amp;$B30&amp;", "&amp;$C30&amp;"; ","")</f>
        <v/>
      </c>
      <c r="AY30" s="118"/>
      <c r="BG30" s="342"/>
      <c r="BH30" s="333" t="str">
        <f>IF(AND($P$8=1,$B30="Long length",'6c_Health_part_time'!D24&lt;&gt;0),E$15&amp;", "&amp;$A30&amp;", "&amp;$B30&amp;", "&amp;$C30&amp;"; ","")</f>
        <v/>
      </c>
      <c r="BI30" s="335" t="str">
        <f>IF(AND($P$8=1,$B30="Long length",'6c_Health_part_time'!E24&lt;&gt;0),F$15&amp;", "&amp;$A30&amp;", "&amp;$B30&amp;", "&amp;$C30&amp;"; ","")</f>
        <v/>
      </c>
      <c r="BJ30" s="335" t="str">
        <f>IF(AND($P$8=1,$B30="Long length",'6c_Health_part_time'!F24&lt;&gt;0),G$15&amp;", "&amp;$A30&amp;", "&amp;$B30&amp;", "&amp;$C30&amp;"; ","")</f>
        <v/>
      </c>
      <c r="BK30" s="333" t="str">
        <f>IF(AND($P$8=1,$B30="Long length",'6c_Health_part_time'!G24&lt;&gt;0),H$15&amp;", "&amp;$A30&amp;", "&amp;$B30&amp;", "&amp;$C30&amp;"; ","")</f>
        <v/>
      </c>
      <c r="BL30" s="335" t="str">
        <f>IF(AND($P$8=1,$B30="Long length",'6c_Health_part_time'!H24&lt;&gt;0),I$15&amp;", "&amp;$A30&amp;", "&amp;$B30&amp;", "&amp;$C30&amp;"; ","")</f>
        <v/>
      </c>
      <c r="BM30" s="335" t="str">
        <f>IF(AND($P$8=1,$B30="Long length",'6c_Health_part_time'!I24&lt;&gt;0),J$15&amp;", "&amp;$A30&amp;", "&amp;$B30&amp;", "&amp;$C30&amp;"; ","")</f>
        <v/>
      </c>
      <c r="BO30" s="130"/>
    </row>
    <row r="31" spans="1:67" x14ac:dyDescent="0.35">
      <c r="A31" t="s">
        <v>27895</v>
      </c>
      <c r="B31" t="s">
        <v>27892</v>
      </c>
      <c r="C31" t="s">
        <v>27889</v>
      </c>
      <c r="D31" s="118"/>
      <c r="E31" s="109" t="str">
        <f>IF(AND($D$8=1,'6c_Health_part_time'!D25&lt;0),E$14&amp;", "&amp;E$15&amp;", "&amp;$A31&amp;", "&amp;$B31&amp;", "&amp;$C31&amp;"; ","")</f>
        <v/>
      </c>
      <c r="F31" s="108" t="str">
        <f>IF(AND($D$8=1,'6c_Health_part_time'!E25&lt;0),F$14&amp;", "&amp;F$15&amp;", "&amp;$A31&amp;", "&amp;$B31&amp;", "&amp;$C31&amp;"; ","")</f>
        <v/>
      </c>
      <c r="G31" s="108" t="str">
        <f>IF(AND($D$8=1,'6c_Health_part_time'!F25&lt;0),G$14&amp;", "&amp;G$15&amp;", "&amp;$A31&amp;", "&amp;$B31&amp;", "&amp;$C31&amp;"; ","")</f>
        <v/>
      </c>
      <c r="H31" s="109" t="str">
        <f>IF(AND($D$8=1,'6c_Health_part_time'!G25&lt;0),H$14&amp;", "&amp;H$15&amp;", "&amp;$A31&amp;", "&amp;$B31&amp;", "&amp;$C31&amp;"; ","")</f>
        <v/>
      </c>
      <c r="I31" s="108" t="str">
        <f>IF(AND($D$8=1,'6c_Health_part_time'!H25&lt;0),I$14&amp;", "&amp;I$15&amp;", "&amp;$A31&amp;", "&amp;$B31&amp;", "&amp;$C31&amp;"; ","")</f>
        <v/>
      </c>
      <c r="J31" s="108" t="str">
        <f>IF(AND($D$8=1,'6c_Health_part_time'!I25&lt;0),J$14&amp;", "&amp;J$15&amp;", "&amp;$A31&amp;", "&amp;$B31&amp;", "&amp;$C31&amp;"; ","")</f>
        <v/>
      </c>
      <c r="L31" s="118"/>
      <c r="N31" s="109" t="str">
        <f>IF(AND($E$8=1,ABS('6c_Health_part_time'!D25)&lt;&gt;INT(ABS('6c_Health_part_time'!D25))),E$14&amp;", "&amp;E$15&amp;", "&amp;$A31&amp;", "&amp;$B31&amp;", "&amp;$C31&amp;"; ","")</f>
        <v/>
      </c>
      <c r="O31" s="108" t="str">
        <f>IF(AND($E$8=1,ABS('6c_Health_part_time'!E25)&lt;&gt;INT(ABS('6c_Health_part_time'!E25))),F$14&amp;", "&amp;F$15&amp;", "&amp;$A31&amp;", "&amp;$B31&amp;", "&amp;$C31&amp;"; ","")</f>
        <v/>
      </c>
      <c r="P31" s="108" t="str">
        <f>IF(AND($E$8=1,ABS('6c_Health_part_time'!F25)&lt;&gt;INT(ABS('6c_Health_part_time'!F25))),G$14&amp;", "&amp;G$15&amp;", "&amp;$A31&amp;", "&amp;$B31&amp;", "&amp;$C31&amp;"; ","")</f>
        <v/>
      </c>
      <c r="Q31" s="109" t="str">
        <f>IF(AND($E$8=1,ABS('6c_Health_part_time'!G25)&lt;&gt;INT(ABS('6c_Health_part_time'!G25))),H$14&amp;", "&amp;H$15&amp;", "&amp;$A31&amp;", "&amp;$B31&amp;", "&amp;$C31&amp;"; ","")</f>
        <v/>
      </c>
      <c r="R31" s="108" t="str">
        <f>IF(AND($E$8=1,ABS('6c_Health_part_time'!H25)&lt;&gt;INT(ABS('6c_Health_part_time'!H25))),I$14&amp;", "&amp;I$15&amp;", "&amp;$A31&amp;", "&amp;$B31&amp;", "&amp;$C31&amp;"; ","")</f>
        <v/>
      </c>
      <c r="S31" s="108" t="str">
        <f>IF(AND($E$8=1,ABS('6c_Health_part_time'!I25)&lt;&gt;INT(ABS('6c_Health_part_time'!I25))),J$14&amp;", "&amp;J$15&amp;", "&amp;$A31&amp;", "&amp;$B31&amp;", "&amp;$C31&amp;"; ","")</f>
        <v/>
      </c>
      <c r="U31" s="118"/>
      <c r="W31" s="113"/>
      <c r="X31" s="112"/>
      <c r="Y31" s="112"/>
      <c r="Z31" s="113"/>
      <c r="AA31" s="112"/>
      <c r="AB31" s="481"/>
      <c r="AD31" s="118"/>
      <c r="AG31" t="s">
        <v>238</v>
      </c>
      <c r="AH31" t="s">
        <v>27892</v>
      </c>
      <c r="AI31" t="s">
        <v>27889</v>
      </c>
      <c r="AJ31" s="109">
        <f>SUM('6c_Health_part_time'!D33,'6c_Health_part_time'!D37,'6c_Health_part_time'!D41,'6c_Health_part_time'!D45,'6c_Health_part_time'!D49)</f>
        <v>0</v>
      </c>
      <c r="AK31" s="108">
        <f>SUM('6c_Health_part_time'!E33,'6c_Health_part_time'!E37,'6c_Health_part_time'!E41,'6c_Health_part_time'!E45,'6c_Health_part_time'!E49)</f>
        <v>0</v>
      </c>
      <c r="AL31" s="121"/>
      <c r="AM31" s="109">
        <f>SUM('6c_Health_part_time'!G33,'6c_Health_part_time'!G37,'6c_Health_part_time'!G41,'6c_Health_part_time'!G45,'6c_Health_part_time'!G49)</f>
        <v>0</v>
      </c>
      <c r="AN31" s="108">
        <f>SUM('6c_Health_part_time'!H33,'6c_Health_part_time'!H37,'6c_Health_part_time'!H41,'6c_Health_part_time'!H45,'6c_Health_part_time'!H49)</f>
        <v>0</v>
      </c>
      <c r="AO31" s="121"/>
      <c r="AQ31" s="118"/>
      <c r="AT31" s="562" t="str">
        <f>IF(AND($I$8=1,ABS(SUM('6c_Health_part_time'!D25:E25))&lt;ABS('6c_Health_part_time'!F25)),E$14&amp;", "&amp;$A31&amp;", "&amp;$B31&amp;", "&amp;$C31&amp;"; ","")</f>
        <v/>
      </c>
      <c r="AW31" s="562" t="str">
        <f>IF(AND($I$8=1,ABS(SUM('6c_Health_part_time'!G25:H25))&lt;ABS('6c_Health_part_time'!I25)),H$14&amp;", "&amp;$A31&amp;", "&amp;$B31&amp;", "&amp;$C31&amp;"; ","")</f>
        <v/>
      </c>
      <c r="AY31" s="118"/>
      <c r="BG31" s="130"/>
      <c r="BH31" s="333" t="str">
        <f>IF(AND($P$8=1,$B31="Long length",'6c_Health_part_time'!D25&lt;&gt;0),E$15&amp;", "&amp;$A31&amp;", "&amp;$B31&amp;", "&amp;$C31&amp;"; ","")</f>
        <v/>
      </c>
      <c r="BI31" s="108" t="str">
        <f>IF(AND($P$8=1,$B31="Long length",'6c_Health_part_time'!E25&lt;&gt;0),F$15&amp;", "&amp;$A31&amp;", "&amp;$B31&amp;", "&amp;$C31&amp;"; ","")</f>
        <v/>
      </c>
      <c r="BJ31" s="108" t="str">
        <f>IF(AND($P$8=1,$B31="Long length",'6c_Health_part_time'!F25&lt;&gt;0),G$15&amp;", "&amp;$A31&amp;", "&amp;$B31&amp;", "&amp;$C31&amp;"; ","")</f>
        <v/>
      </c>
      <c r="BK31" s="333" t="str">
        <f>IF(AND($P$8=1,$B31="Long length",'6c_Health_part_time'!G25&lt;&gt;0),H$15&amp;", "&amp;$A31&amp;", "&amp;$B31&amp;", "&amp;$C31&amp;"; ","")</f>
        <v/>
      </c>
      <c r="BL31" s="108" t="str">
        <f>IF(AND($P$8=1,$B31="Long length",'6c_Health_part_time'!H25&lt;&gt;0),I$15&amp;", "&amp;$A31&amp;", "&amp;$B31&amp;", "&amp;$C31&amp;"; ","")</f>
        <v/>
      </c>
      <c r="BM31" s="108" t="str">
        <f>IF(AND($P$8=1,$B31="Long length",'6c_Health_part_time'!I25&lt;&gt;0),J$15&amp;", "&amp;$A31&amp;", "&amp;$B31&amp;", "&amp;$C31&amp;"; ","")</f>
        <v/>
      </c>
      <c r="BO31" s="130"/>
    </row>
    <row r="32" spans="1:67" x14ac:dyDescent="0.35">
      <c r="A32" t="s">
        <v>27895</v>
      </c>
      <c r="B32" t="s">
        <v>27892</v>
      </c>
      <c r="C32" t="s">
        <v>27891</v>
      </c>
      <c r="D32" s="118"/>
      <c r="E32" s="109" t="str">
        <f>IF(AND($D$8=1,'6c_Health_part_time'!D26&lt;0),E$14&amp;", "&amp;E$15&amp;", "&amp;$A32&amp;", "&amp;$B32&amp;", "&amp;$C32&amp;"; ","")</f>
        <v/>
      </c>
      <c r="F32" s="108" t="str">
        <f>IF(AND($D$8=1,'6c_Health_part_time'!E26&lt;0),F$14&amp;", "&amp;F$15&amp;", "&amp;$A32&amp;", "&amp;$B32&amp;", "&amp;$C32&amp;"; ","")</f>
        <v/>
      </c>
      <c r="G32" s="108" t="str">
        <f>IF(AND($D$8=1,'6c_Health_part_time'!F26&lt;0),G$14&amp;", "&amp;G$15&amp;", "&amp;$A32&amp;", "&amp;$B32&amp;", "&amp;$C32&amp;"; ","")</f>
        <v/>
      </c>
      <c r="H32" s="109" t="str">
        <f>IF(AND($D$8=1,'6c_Health_part_time'!G26&lt;0),H$14&amp;", "&amp;H$15&amp;", "&amp;$A32&amp;", "&amp;$B32&amp;", "&amp;$C32&amp;"; ","")</f>
        <v/>
      </c>
      <c r="I32" s="108" t="str">
        <f>IF(AND($D$8=1,'6c_Health_part_time'!H26&lt;0),I$14&amp;", "&amp;I$15&amp;", "&amp;$A32&amp;", "&amp;$B32&amp;", "&amp;$C32&amp;"; ","")</f>
        <v/>
      </c>
      <c r="J32" s="108" t="str">
        <f>IF(AND($D$8=1,'6c_Health_part_time'!I26&lt;0),J$14&amp;", "&amp;J$15&amp;", "&amp;$A32&amp;", "&amp;$B32&amp;", "&amp;$C32&amp;"; ","")</f>
        <v/>
      </c>
      <c r="L32" s="118"/>
      <c r="N32" s="109" t="str">
        <f>IF(AND($E$8=1,ABS('6c_Health_part_time'!D26)&lt;&gt;INT(ABS('6c_Health_part_time'!D26))),E$14&amp;", "&amp;E$15&amp;", "&amp;$A32&amp;", "&amp;$B32&amp;", "&amp;$C32&amp;"; ","")</f>
        <v/>
      </c>
      <c r="O32" s="108" t="str">
        <f>IF(AND($E$8=1,ABS('6c_Health_part_time'!E26)&lt;&gt;INT(ABS('6c_Health_part_time'!E26))),F$14&amp;", "&amp;F$15&amp;", "&amp;$A32&amp;", "&amp;$B32&amp;", "&amp;$C32&amp;"; ","")</f>
        <v/>
      </c>
      <c r="P32" s="108" t="str">
        <f>IF(AND($E$8=1,ABS('6c_Health_part_time'!F26)&lt;&gt;INT(ABS('6c_Health_part_time'!F26))),G$14&amp;", "&amp;G$15&amp;", "&amp;$A32&amp;", "&amp;$B32&amp;", "&amp;$C32&amp;"; ","")</f>
        <v/>
      </c>
      <c r="Q32" s="109" t="str">
        <f>IF(AND($E$8=1,ABS('6c_Health_part_time'!G26)&lt;&gt;INT(ABS('6c_Health_part_time'!G26))),H$14&amp;", "&amp;H$15&amp;", "&amp;$A32&amp;", "&amp;$B32&amp;", "&amp;$C32&amp;"; ","")</f>
        <v/>
      </c>
      <c r="R32" s="108" t="str">
        <f>IF(AND($E$8=1,ABS('6c_Health_part_time'!H26)&lt;&gt;INT(ABS('6c_Health_part_time'!H26))),I$14&amp;", "&amp;I$15&amp;", "&amp;$A32&amp;", "&amp;$B32&amp;", "&amp;$C32&amp;"; ","")</f>
        <v/>
      </c>
      <c r="S32" s="108" t="str">
        <f>IF(AND($E$8=1,ABS('6c_Health_part_time'!I26)&lt;&gt;INT(ABS('6c_Health_part_time'!I26))),J$14&amp;", "&amp;J$15&amp;", "&amp;$A32&amp;", "&amp;$B32&amp;", "&amp;$C32&amp;"; ","")</f>
        <v/>
      </c>
      <c r="U32" s="118"/>
      <c r="W32" s="113"/>
      <c r="X32" s="112"/>
      <c r="Y32" s="112"/>
      <c r="Z32" s="113"/>
      <c r="AA32" s="112"/>
      <c r="AB32" s="481"/>
      <c r="AD32" s="118"/>
      <c r="AG32" t="s">
        <v>238</v>
      </c>
      <c r="AH32" t="s">
        <v>27892</v>
      </c>
      <c r="AI32" t="s">
        <v>27891</v>
      </c>
      <c r="AJ32" s="124">
        <f>SUM('6c_Health_part_time'!D34,'6c_Health_part_time'!D38,'6c_Health_part_time'!D42,'6c_Health_part_time'!D46,'6c_Health_part_time'!D50)</f>
        <v>0</v>
      </c>
      <c r="AK32" s="125">
        <f>SUM('6c_Health_part_time'!E34,'6c_Health_part_time'!E38,'6c_Health_part_time'!E42,'6c_Health_part_time'!E46,'6c_Health_part_time'!E50)</f>
        <v>0</v>
      </c>
      <c r="AL32" s="123"/>
      <c r="AM32" s="124">
        <f>SUM('6c_Health_part_time'!G34,'6c_Health_part_time'!G38,'6c_Health_part_time'!G42,'6c_Health_part_time'!G46,'6c_Health_part_time'!G50)</f>
        <v>0</v>
      </c>
      <c r="AN32" s="125">
        <f>SUM('6c_Health_part_time'!H34,'6c_Health_part_time'!H38,'6c_Health_part_time'!H42,'6c_Health_part_time'!H46,'6c_Health_part_time'!H50)</f>
        <v>0</v>
      </c>
      <c r="AO32" s="123"/>
      <c r="AQ32" s="118"/>
      <c r="AT32" s="562" t="str">
        <f>IF(AND($I$8=1,ABS(SUM('6c_Health_part_time'!D26:E26))&lt;ABS('6c_Health_part_time'!F26)),E$14&amp;", "&amp;$A32&amp;", "&amp;$B32&amp;", "&amp;$C32&amp;"; ","")</f>
        <v/>
      </c>
      <c r="AW32" s="562" t="str">
        <f>IF(AND($I$8=1,ABS(SUM('6c_Health_part_time'!G26:H26))&lt;ABS('6c_Health_part_time'!I26)),H$14&amp;", "&amp;$A32&amp;", "&amp;$B32&amp;", "&amp;$C32&amp;"; ","")</f>
        <v/>
      </c>
      <c r="AY32" s="118"/>
      <c r="BG32" s="130"/>
      <c r="BH32" s="333" t="str">
        <f>IF(AND($P$8=1,$B32="Long length",'6c_Health_part_time'!D26&lt;&gt;0),E$15&amp;", "&amp;$A32&amp;", "&amp;$B32&amp;", "&amp;$C32&amp;"; ","")</f>
        <v/>
      </c>
      <c r="BI32" s="108" t="str">
        <f>IF(AND($P$8=1,$B32="Long length",'6c_Health_part_time'!E26&lt;&gt;0),F$15&amp;", "&amp;$A32&amp;", "&amp;$B32&amp;", "&amp;$C32&amp;"; ","")</f>
        <v/>
      </c>
      <c r="BJ32" s="108" t="str">
        <f>IF(AND($P$8=1,$B32="Long length",'6c_Health_part_time'!F26&lt;&gt;0),G$15&amp;", "&amp;$A32&amp;", "&amp;$B32&amp;", "&amp;$C32&amp;"; ","")</f>
        <v/>
      </c>
      <c r="BK32" s="333" t="str">
        <f>IF(AND($P$8=1,$B32="Long length",'6c_Health_part_time'!G26&lt;&gt;0),H$15&amp;", "&amp;$A32&amp;", "&amp;$B32&amp;", "&amp;$C32&amp;"; ","")</f>
        <v/>
      </c>
      <c r="BL32" s="108" t="str">
        <f>IF(AND($P$8=1,$B32="Long length",'6c_Health_part_time'!H26&lt;&gt;0),I$15&amp;", "&amp;$A32&amp;", "&amp;$B32&amp;", "&amp;$C32&amp;"; ","")</f>
        <v/>
      </c>
      <c r="BM32" s="108" t="str">
        <f>IF(AND($P$8=1,$B32="Long length",'6c_Health_part_time'!I26&lt;&gt;0),J$15&amp;", "&amp;$A32&amp;", "&amp;$B32&amp;", "&amp;$C32&amp;"; ","")</f>
        <v/>
      </c>
      <c r="BO32" s="130"/>
    </row>
    <row r="33" spans="1:67" x14ac:dyDescent="0.35">
      <c r="A33" t="s">
        <v>27896</v>
      </c>
      <c r="B33" t="s">
        <v>27888</v>
      </c>
      <c r="C33" t="s">
        <v>27889</v>
      </c>
      <c r="D33" s="118"/>
      <c r="E33" s="1885" t="str">
        <f>IF(AND($D$8=1,'6c_Health_part_time'!D27&lt;0),E$14&amp;", "&amp;E$15&amp;", "&amp;$A33&amp;", "&amp;$B33&amp;", "&amp;$C33&amp;"; ","")</f>
        <v/>
      </c>
      <c r="F33" s="1653" t="str">
        <f>IF(AND($D$8=1,'6c_Health_part_time'!E27&lt;0),F$14&amp;", "&amp;F$15&amp;", "&amp;$A33&amp;", "&amp;$B33&amp;", "&amp;$C33&amp;"; ","")</f>
        <v/>
      </c>
      <c r="G33" s="1653" t="str">
        <f>IF(AND($D$8=1,'6c_Health_part_time'!F27&lt;0),G$14&amp;", "&amp;G$15&amp;", "&amp;$A33&amp;", "&amp;$B33&amp;", "&amp;$C33&amp;"; ","")</f>
        <v/>
      </c>
      <c r="H33" s="1885" t="str">
        <f>IF(AND($D$8=1,'6c_Health_part_time'!G27&lt;0),H$14&amp;", "&amp;H$15&amp;", "&amp;$A33&amp;", "&amp;$B33&amp;", "&amp;$C33&amp;"; ","")</f>
        <v/>
      </c>
      <c r="I33" s="1653" t="str">
        <f>IF(AND($D$8=1,'6c_Health_part_time'!H27&lt;0),I$14&amp;", "&amp;I$15&amp;", "&amp;$A33&amp;", "&amp;$B33&amp;", "&amp;$C33&amp;"; ","")</f>
        <v/>
      </c>
      <c r="J33" s="1653" t="str">
        <f>IF(AND($D$8=1,'6c_Health_part_time'!I27&lt;0),J$14&amp;", "&amp;J$15&amp;", "&amp;$A33&amp;", "&amp;$B33&amp;", "&amp;$C33&amp;"; ","")</f>
        <v/>
      </c>
      <c r="L33" s="118"/>
      <c r="N33" s="1885" t="str">
        <f>IF(AND($E$8=1,ABS('6c_Health_part_time'!D27)&lt;&gt;INT(ABS('6c_Health_part_time'!D27))),E$14&amp;", "&amp;E$15&amp;", "&amp;$A33&amp;", "&amp;$B33&amp;", "&amp;$C33&amp;"; ","")</f>
        <v/>
      </c>
      <c r="O33" s="1653" t="str">
        <f>IF(AND($E$8=1,ABS('6c_Health_part_time'!E27)&lt;&gt;INT(ABS('6c_Health_part_time'!E27))),F$14&amp;", "&amp;F$15&amp;", "&amp;$A33&amp;", "&amp;$B33&amp;", "&amp;$C33&amp;"; ","")</f>
        <v/>
      </c>
      <c r="P33" s="1653" t="str">
        <f>IF(AND($E$8=1,ABS('6c_Health_part_time'!F27)&lt;&gt;INT(ABS('6c_Health_part_time'!F27))),G$14&amp;", "&amp;G$15&amp;", "&amp;$A33&amp;", "&amp;$B33&amp;", "&amp;$C33&amp;"; ","")</f>
        <v/>
      </c>
      <c r="Q33" s="1885" t="str">
        <f>IF(AND($E$8=1,ABS('6c_Health_part_time'!G27)&lt;&gt;INT(ABS('6c_Health_part_time'!G27))),H$14&amp;", "&amp;H$15&amp;", "&amp;$A33&amp;", "&amp;$B33&amp;", "&amp;$C33&amp;"; ","")</f>
        <v/>
      </c>
      <c r="R33" s="1653" t="str">
        <f>IF(AND($E$8=1,ABS('6c_Health_part_time'!H27)&lt;&gt;INT(ABS('6c_Health_part_time'!H27))),I$14&amp;", "&amp;I$15&amp;", "&amp;$A33&amp;", "&amp;$B33&amp;", "&amp;$C33&amp;"; ","")</f>
        <v/>
      </c>
      <c r="S33" s="1653" t="str">
        <f>IF(AND($E$8=1,ABS('6c_Health_part_time'!I27)&lt;&gt;INT(ABS('6c_Health_part_time'!I27))),J$14&amp;", "&amp;J$15&amp;", "&amp;$A33&amp;", "&amp;$B33&amp;", "&amp;$C33&amp;"; ","")</f>
        <v/>
      </c>
      <c r="U33" s="118"/>
      <c r="W33" s="1911"/>
      <c r="X33" s="1654"/>
      <c r="Y33" s="1654"/>
      <c r="Z33" s="1911"/>
      <c r="AA33" s="1654"/>
      <c r="AB33" s="1882"/>
      <c r="AD33" s="118"/>
      <c r="AQ33" s="118"/>
      <c r="AT33" s="1886" t="str">
        <f>IF(AND($I$8=1,ABS(SUM('6c_Health_part_time'!D27:E27))&lt;ABS('6c_Health_part_time'!F27)),E$14&amp;", "&amp;$A33&amp;", "&amp;$B33&amp;", "&amp;$C33&amp;"; ","")</f>
        <v/>
      </c>
      <c r="AW33" s="1886" t="str">
        <f>IF(AND($I$8=1,ABS(SUM('6c_Health_part_time'!G27:H27))&lt;ABS('6c_Health_part_time'!I27)),H$14&amp;", "&amp;$A33&amp;", "&amp;$B33&amp;", "&amp;$C33&amp;"; ","")</f>
        <v/>
      </c>
      <c r="AY33" s="118"/>
      <c r="BG33" s="130"/>
      <c r="BH33" s="1879" t="str">
        <f>IF(AND($P$8=1,$B33="Long length",'6c_Health_part_time'!D27&lt;&gt;0),E$15&amp;", "&amp;$A33&amp;", "&amp;$B33&amp;", "&amp;$C33&amp;"; ","")</f>
        <v/>
      </c>
      <c r="BI33" s="1653" t="str">
        <f>IF(AND($P$8=1,$B33="Long length",'6c_Health_part_time'!E27&lt;&gt;0),F$15&amp;", "&amp;$A33&amp;", "&amp;$B33&amp;", "&amp;$C33&amp;"; ","")</f>
        <v/>
      </c>
      <c r="BJ33" s="1653" t="str">
        <f>IF(AND($P$8=1,$B33="Long length",'6c_Health_part_time'!F27&lt;&gt;0),G$15&amp;", "&amp;$A33&amp;", "&amp;$B33&amp;", "&amp;$C33&amp;"; ","")</f>
        <v/>
      </c>
      <c r="BK33" s="1879" t="str">
        <f>IF(AND($P$8=1,$B33="Long length",'6c_Health_part_time'!G27&lt;&gt;0),H$15&amp;", "&amp;$A33&amp;", "&amp;$B33&amp;", "&amp;$C33&amp;"; ","")</f>
        <v/>
      </c>
      <c r="BL33" s="1653" t="str">
        <f>IF(AND($P$8=1,$B33="Long length",'6c_Health_part_time'!H27&lt;&gt;0),I$15&amp;", "&amp;$A33&amp;", "&amp;$B33&amp;", "&amp;$C33&amp;"; ","")</f>
        <v/>
      </c>
      <c r="BM33" s="1653" t="str">
        <f>IF(AND($P$8=1,$B33="Long length",'6c_Health_part_time'!I27&lt;&gt;0),J$15&amp;", "&amp;$A33&amp;", "&amp;$B33&amp;", "&amp;$C33&amp;"; ","")</f>
        <v/>
      </c>
      <c r="BO33" s="130"/>
    </row>
    <row r="34" spans="1:67" ht="13.15" x14ac:dyDescent="0.4">
      <c r="A34" t="s">
        <v>27896</v>
      </c>
      <c r="B34" t="s">
        <v>27888</v>
      </c>
      <c r="C34" t="s">
        <v>27891</v>
      </c>
      <c r="D34" s="118"/>
      <c r="E34" s="109" t="str">
        <f>IF(AND($D$8=1,'6c_Health_part_time'!D28&lt;0),E$14&amp;", "&amp;E$15&amp;", "&amp;$A34&amp;", "&amp;$B34&amp;", "&amp;$C34&amp;"; ","")</f>
        <v/>
      </c>
      <c r="F34" s="108" t="str">
        <f>IF(AND($D$8=1,'6c_Health_part_time'!E28&lt;0),F$14&amp;", "&amp;F$15&amp;", "&amp;$A34&amp;", "&amp;$B34&amp;", "&amp;$C34&amp;"; ","")</f>
        <v/>
      </c>
      <c r="G34" s="108" t="str">
        <f>IF(AND($D$8=1,'6c_Health_part_time'!F28&lt;0),G$14&amp;", "&amp;G$15&amp;", "&amp;$A34&amp;", "&amp;$B34&amp;", "&amp;$C34&amp;"; ","")</f>
        <v/>
      </c>
      <c r="H34" s="109" t="str">
        <f>IF(AND($D$8=1,'6c_Health_part_time'!G28&lt;0),H$14&amp;", "&amp;H$15&amp;", "&amp;$A34&amp;", "&amp;$B34&amp;", "&amp;$C34&amp;"; ","")</f>
        <v/>
      </c>
      <c r="I34" s="108" t="str">
        <f>IF(AND($D$8=1,'6c_Health_part_time'!H28&lt;0),I$14&amp;", "&amp;I$15&amp;", "&amp;$A34&amp;", "&amp;$B34&amp;", "&amp;$C34&amp;"; ","")</f>
        <v/>
      </c>
      <c r="J34" s="108" t="str">
        <f>IF(AND($D$8=1,'6c_Health_part_time'!I28&lt;0),J$14&amp;", "&amp;J$15&amp;", "&amp;$A34&amp;", "&amp;$B34&amp;", "&amp;$C34&amp;"; ","")</f>
        <v/>
      </c>
      <c r="L34" s="118"/>
      <c r="N34" s="109" t="str">
        <f>IF(AND($E$8=1,ABS('6c_Health_part_time'!D28)&lt;&gt;INT(ABS('6c_Health_part_time'!D28))),E$14&amp;", "&amp;E$15&amp;", "&amp;$A34&amp;", "&amp;$B34&amp;", "&amp;$C34&amp;"; ","")</f>
        <v/>
      </c>
      <c r="O34" s="108" t="str">
        <f>IF(AND($E$8=1,ABS('6c_Health_part_time'!E28)&lt;&gt;INT(ABS('6c_Health_part_time'!E28))),F$14&amp;", "&amp;F$15&amp;", "&amp;$A34&amp;", "&amp;$B34&amp;", "&amp;$C34&amp;"; ","")</f>
        <v/>
      </c>
      <c r="P34" s="108" t="str">
        <f>IF(AND($E$8=1,ABS('6c_Health_part_time'!F28)&lt;&gt;INT(ABS('6c_Health_part_time'!F28))),G$14&amp;", "&amp;G$15&amp;", "&amp;$A34&amp;", "&amp;$B34&amp;", "&amp;$C34&amp;"; ","")</f>
        <v/>
      </c>
      <c r="Q34" s="109" t="str">
        <f>IF(AND($E$8=1,ABS('6c_Health_part_time'!G28)&lt;&gt;INT(ABS('6c_Health_part_time'!G28))),H$14&amp;", "&amp;H$15&amp;", "&amp;$A34&amp;", "&amp;$B34&amp;", "&amp;$C34&amp;"; ","")</f>
        <v/>
      </c>
      <c r="R34" s="108" t="str">
        <f>IF(AND($E$8=1,ABS('6c_Health_part_time'!H28)&lt;&gt;INT(ABS('6c_Health_part_time'!H28))),I$14&amp;", "&amp;I$15&amp;", "&amp;$A34&amp;", "&amp;$B34&amp;", "&amp;$C34&amp;"; ","")</f>
        <v/>
      </c>
      <c r="S34" s="108" t="str">
        <f>IF(AND($E$8=1,ABS('6c_Health_part_time'!I28)&lt;&gt;INT(ABS('6c_Health_part_time'!I28))),J$14&amp;", "&amp;J$15&amp;", "&amp;$A34&amp;", "&amp;$B34&amp;", "&amp;$C34&amp;"; ","")</f>
        <v/>
      </c>
      <c r="U34" s="118"/>
      <c r="W34" s="113"/>
      <c r="X34" s="112"/>
      <c r="Y34" s="112"/>
      <c r="Z34" s="113"/>
      <c r="AA34" s="112"/>
      <c r="AB34" s="481"/>
      <c r="AD34" s="118"/>
      <c r="AG34" s="6" t="s">
        <v>34</v>
      </c>
      <c r="AJ34" t="s">
        <v>27920</v>
      </c>
      <c r="AM34" t="s">
        <v>27921</v>
      </c>
      <c r="AQ34" s="118"/>
      <c r="AT34" s="562" t="str">
        <f>IF(AND($I$8=1,ABS(SUM('6c_Health_part_time'!D28:E28))&lt;ABS('6c_Health_part_time'!F28)),E$14&amp;", "&amp;$A34&amp;", "&amp;$B34&amp;", "&amp;$C34&amp;"; ","")</f>
        <v/>
      </c>
      <c r="AW34" s="562" t="str">
        <f>IF(AND($I$8=1,ABS(SUM('6c_Health_part_time'!G28:H28))&lt;ABS('6c_Health_part_time'!I28)),H$14&amp;", "&amp;$A34&amp;", "&amp;$B34&amp;", "&amp;$C34&amp;"; ","")</f>
        <v/>
      </c>
      <c r="AY34" s="118"/>
      <c r="BG34" s="130"/>
      <c r="BH34" s="333" t="str">
        <f>IF(AND($P$8=1,$B34="Long length",'6c_Health_part_time'!D28&lt;&gt;0),E$15&amp;", "&amp;$A34&amp;", "&amp;$B34&amp;", "&amp;$C34&amp;"; ","")</f>
        <v/>
      </c>
      <c r="BI34" s="108" t="str">
        <f>IF(AND($P$8=1,$B34="Long length",'6c_Health_part_time'!E28&lt;&gt;0),F$15&amp;", "&amp;$A34&amp;", "&amp;$B34&amp;", "&amp;$C34&amp;"; ","")</f>
        <v/>
      </c>
      <c r="BJ34" s="108" t="str">
        <f>IF(AND($P$8=1,$B34="Long length",'6c_Health_part_time'!F28&lt;&gt;0),G$15&amp;", "&amp;$A34&amp;", "&amp;$B34&amp;", "&amp;$C34&amp;"; ","")</f>
        <v/>
      </c>
      <c r="BK34" s="333" t="str">
        <f>IF(AND($P$8=1,$B34="Long length",'6c_Health_part_time'!G28&lt;&gt;0),H$15&amp;", "&amp;$A34&amp;", "&amp;$B34&amp;", "&amp;$C34&amp;"; ","")</f>
        <v/>
      </c>
      <c r="BL34" s="108" t="str">
        <f>IF(AND($P$8=1,$B34="Long length",'6c_Health_part_time'!H28&lt;&gt;0),I$15&amp;", "&amp;$A34&amp;", "&amp;$B34&amp;", "&amp;$C34&amp;"; ","")</f>
        <v/>
      </c>
      <c r="BM34" s="108" t="str">
        <f>IF(AND($P$8=1,$B34="Long length",'6c_Health_part_time'!I28&lt;&gt;0),J$15&amp;", "&amp;$A34&amp;", "&amp;$B34&amp;", "&amp;$C34&amp;"; ","")</f>
        <v/>
      </c>
      <c r="BO34" s="130"/>
    </row>
    <row r="35" spans="1:67" x14ac:dyDescent="0.35">
      <c r="A35" t="s">
        <v>27896</v>
      </c>
      <c r="B35" t="s">
        <v>27892</v>
      </c>
      <c r="C35" t="s">
        <v>27889</v>
      </c>
      <c r="D35" s="118"/>
      <c r="E35" s="109" t="str">
        <f>IF(AND($D$8=1,'6c_Health_part_time'!D29&lt;0),E$14&amp;", "&amp;E$15&amp;", "&amp;$A35&amp;", "&amp;$B35&amp;", "&amp;$C35&amp;"; ","")</f>
        <v/>
      </c>
      <c r="F35" s="108" t="str">
        <f>IF(AND($D$8=1,'6c_Health_part_time'!E29&lt;0),F$14&amp;", "&amp;F$15&amp;", "&amp;$A35&amp;", "&amp;$B35&amp;", "&amp;$C35&amp;"; ","")</f>
        <v/>
      </c>
      <c r="G35" s="108" t="str">
        <f>IF(AND($D$8=1,'6c_Health_part_time'!F29&lt;0),G$14&amp;", "&amp;G$15&amp;", "&amp;$A35&amp;", "&amp;$B35&amp;", "&amp;$C35&amp;"; ","")</f>
        <v/>
      </c>
      <c r="H35" s="109" t="str">
        <f>IF(AND($D$8=1,'6c_Health_part_time'!G29&lt;0),H$14&amp;", "&amp;H$15&amp;", "&amp;$A35&amp;", "&amp;$B35&amp;", "&amp;$C35&amp;"; ","")</f>
        <v/>
      </c>
      <c r="I35" s="108" t="str">
        <f>IF(AND($D$8=1,'6c_Health_part_time'!H29&lt;0),I$14&amp;", "&amp;I$15&amp;", "&amp;$A35&amp;", "&amp;$B35&amp;", "&amp;$C35&amp;"; ","")</f>
        <v/>
      </c>
      <c r="J35" s="108" t="str">
        <f>IF(AND($D$8=1,'6c_Health_part_time'!I29&lt;0),J$14&amp;", "&amp;J$15&amp;", "&amp;$A35&amp;", "&amp;$B35&amp;", "&amp;$C35&amp;"; ","")</f>
        <v/>
      </c>
      <c r="L35" s="118"/>
      <c r="N35" s="109" t="str">
        <f>IF(AND($E$8=1,ABS('6c_Health_part_time'!D29)&lt;&gt;INT(ABS('6c_Health_part_time'!D29))),E$14&amp;", "&amp;E$15&amp;", "&amp;$A35&amp;", "&amp;$B35&amp;", "&amp;$C35&amp;"; ","")</f>
        <v/>
      </c>
      <c r="O35" s="108" t="str">
        <f>IF(AND($E$8=1,ABS('6c_Health_part_time'!E29)&lt;&gt;INT(ABS('6c_Health_part_time'!E29))),F$14&amp;", "&amp;F$15&amp;", "&amp;$A35&amp;", "&amp;$B35&amp;", "&amp;$C35&amp;"; ","")</f>
        <v/>
      </c>
      <c r="P35" s="108" t="str">
        <f>IF(AND($E$8=1,ABS('6c_Health_part_time'!F29)&lt;&gt;INT(ABS('6c_Health_part_time'!F29))),G$14&amp;", "&amp;G$15&amp;", "&amp;$A35&amp;", "&amp;$B35&amp;", "&amp;$C35&amp;"; ","")</f>
        <v/>
      </c>
      <c r="Q35" s="109" t="str">
        <f>IF(AND($E$8=1,ABS('6c_Health_part_time'!G29)&lt;&gt;INT(ABS('6c_Health_part_time'!G29))),H$14&amp;", "&amp;H$15&amp;", "&amp;$A35&amp;", "&amp;$B35&amp;", "&amp;$C35&amp;"; ","")</f>
        <v/>
      </c>
      <c r="R35" s="108" t="str">
        <f>IF(AND($E$8=1,ABS('6c_Health_part_time'!H29)&lt;&gt;INT(ABS('6c_Health_part_time'!H29))),I$14&amp;", "&amp;I$15&amp;", "&amp;$A35&amp;", "&amp;$B35&amp;", "&amp;$C35&amp;"; ","")</f>
        <v/>
      </c>
      <c r="S35" s="108" t="str">
        <f>IF(AND($E$8=1,ABS('6c_Health_part_time'!I29)&lt;&gt;INT(ABS('6c_Health_part_time'!I29))),J$14&amp;", "&amp;J$15&amp;", "&amp;$A35&amp;", "&amp;$B35&amp;", "&amp;$C35&amp;"; ","")</f>
        <v/>
      </c>
      <c r="U35" s="118"/>
      <c r="W35" s="113"/>
      <c r="X35" s="112"/>
      <c r="Y35" s="112"/>
      <c r="Z35" s="113"/>
      <c r="AA35" s="112"/>
      <c r="AB35" s="481"/>
      <c r="AD35" s="118"/>
      <c r="AG35" t="s">
        <v>203</v>
      </c>
      <c r="AH35" t="s">
        <v>27888</v>
      </c>
      <c r="AI35" t="s">
        <v>27889</v>
      </c>
      <c r="AJ35" s="1885">
        <f>SUM('3_Part_time'!G12:G13)</f>
        <v>0</v>
      </c>
      <c r="AK35" s="2195">
        <f>SUM('3_Part_time'!H12:H13)</f>
        <v>0</v>
      </c>
      <c r="AL35" s="1884"/>
      <c r="AM35" s="1885">
        <f>SUM('3_Part_time'!J12:J13)</f>
        <v>0</v>
      </c>
      <c r="AN35" s="2195">
        <f>SUM('3_Part_time'!K12:K13)</f>
        <v>0</v>
      </c>
      <c r="AO35" s="1884"/>
      <c r="AQ35" s="118"/>
      <c r="AT35" s="562" t="str">
        <f>IF(AND($I$8=1,ABS(SUM('6c_Health_part_time'!D29:E29))&lt;ABS('6c_Health_part_time'!F29)),E$14&amp;", "&amp;$A35&amp;", "&amp;$B35&amp;", "&amp;$C35&amp;"; ","")</f>
        <v/>
      </c>
      <c r="AW35" s="562" t="str">
        <f>IF(AND($I$8=1,ABS(SUM('6c_Health_part_time'!G29:H29))&lt;ABS('6c_Health_part_time'!I29)),H$14&amp;", "&amp;$A35&amp;", "&amp;$B35&amp;", "&amp;$C35&amp;"; ","")</f>
        <v/>
      </c>
      <c r="AY35" s="118"/>
      <c r="BG35" s="130"/>
      <c r="BH35" s="333" t="str">
        <f>IF(AND($P$8=1,$B35="Long length",'6c_Health_part_time'!D29&lt;&gt;0),E$15&amp;", "&amp;$A35&amp;", "&amp;$B35&amp;", "&amp;$C35&amp;"; ","")</f>
        <v/>
      </c>
      <c r="BI35" s="108" t="str">
        <f>IF(AND($P$8=1,$B35="Long length",'6c_Health_part_time'!E29&lt;&gt;0),F$15&amp;", "&amp;$A35&amp;", "&amp;$B35&amp;", "&amp;$C35&amp;"; ","")</f>
        <v/>
      </c>
      <c r="BJ35" s="108" t="str">
        <f>IF(AND($P$8=1,$B35="Long length",'6c_Health_part_time'!F29&lt;&gt;0),G$15&amp;", "&amp;$A35&amp;", "&amp;$B35&amp;", "&amp;$C35&amp;"; ","")</f>
        <v/>
      </c>
      <c r="BK35" s="333" t="str">
        <f>IF(AND($P$8=1,$B35="Long length",'6c_Health_part_time'!G29&lt;&gt;0),H$15&amp;", "&amp;$A35&amp;", "&amp;$B35&amp;", "&amp;$C35&amp;"; ","")</f>
        <v/>
      </c>
      <c r="BL35" s="108" t="str">
        <f>IF(AND($P$8=1,$B35="Long length",'6c_Health_part_time'!H29&lt;&gt;0),I$15&amp;", "&amp;$A35&amp;", "&amp;$B35&amp;", "&amp;$C35&amp;"; ","")</f>
        <v/>
      </c>
      <c r="BM35" s="108" t="str">
        <f>IF(AND($P$8=1,$B35="Long length",'6c_Health_part_time'!I29&lt;&gt;0),J$15&amp;", "&amp;$A35&amp;", "&amp;$B35&amp;", "&amp;$C35&amp;"; ","")</f>
        <v/>
      </c>
      <c r="BO35" s="130"/>
    </row>
    <row r="36" spans="1:67" x14ac:dyDescent="0.35">
      <c r="A36" t="s">
        <v>27896</v>
      </c>
      <c r="B36" t="s">
        <v>27892</v>
      </c>
      <c r="C36" t="s">
        <v>27891</v>
      </c>
      <c r="D36" s="118"/>
      <c r="E36" s="109" t="str">
        <f>IF(AND($D$8=1,'6c_Health_part_time'!D30&lt;0),E$14&amp;", "&amp;E$15&amp;", "&amp;$A36&amp;", "&amp;$B36&amp;", "&amp;$C36&amp;"; ","")</f>
        <v/>
      </c>
      <c r="F36" s="108" t="str">
        <f>IF(AND($D$8=1,'6c_Health_part_time'!E30&lt;0),F$14&amp;", "&amp;F$15&amp;", "&amp;$A36&amp;", "&amp;$B36&amp;", "&amp;$C36&amp;"; ","")</f>
        <v/>
      </c>
      <c r="G36" s="108" t="str">
        <f>IF(AND($D$8=1,'6c_Health_part_time'!F30&lt;0),G$14&amp;", "&amp;G$15&amp;", "&amp;$A36&amp;", "&amp;$B36&amp;", "&amp;$C36&amp;"; ","")</f>
        <v/>
      </c>
      <c r="H36" s="109" t="str">
        <f>IF(AND($D$8=1,'6c_Health_part_time'!G30&lt;0),H$14&amp;", "&amp;H$15&amp;", "&amp;$A36&amp;", "&amp;$B36&amp;", "&amp;$C36&amp;"; ","")</f>
        <v/>
      </c>
      <c r="I36" s="108" t="str">
        <f>IF(AND($D$8=1,'6c_Health_part_time'!H30&lt;0),I$14&amp;", "&amp;I$15&amp;", "&amp;$A36&amp;", "&amp;$B36&amp;", "&amp;$C36&amp;"; ","")</f>
        <v/>
      </c>
      <c r="J36" s="108" t="str">
        <f>IF(AND($D$8=1,'6c_Health_part_time'!I30&lt;0),J$14&amp;", "&amp;J$15&amp;", "&amp;$A36&amp;", "&amp;$B36&amp;", "&amp;$C36&amp;"; ","")</f>
        <v/>
      </c>
      <c r="L36" s="118"/>
      <c r="N36" s="109" t="str">
        <f>IF(AND($E$8=1,ABS('6c_Health_part_time'!D30)&lt;&gt;INT(ABS('6c_Health_part_time'!D30))),E$14&amp;", "&amp;E$15&amp;", "&amp;$A36&amp;", "&amp;$B36&amp;", "&amp;$C36&amp;"; ","")</f>
        <v/>
      </c>
      <c r="O36" s="108" t="str">
        <f>IF(AND($E$8=1,ABS('6c_Health_part_time'!E30)&lt;&gt;INT(ABS('6c_Health_part_time'!E30))),F$14&amp;", "&amp;F$15&amp;", "&amp;$A36&amp;", "&amp;$B36&amp;", "&amp;$C36&amp;"; ","")</f>
        <v/>
      </c>
      <c r="P36" s="108" t="str">
        <f>IF(AND($E$8=1,ABS('6c_Health_part_time'!F30)&lt;&gt;INT(ABS('6c_Health_part_time'!F30))),G$14&amp;", "&amp;G$15&amp;", "&amp;$A36&amp;", "&amp;$B36&amp;", "&amp;$C36&amp;"; ","")</f>
        <v/>
      </c>
      <c r="Q36" s="109" t="str">
        <f>IF(AND($E$8=1,ABS('6c_Health_part_time'!G30)&lt;&gt;INT(ABS('6c_Health_part_time'!G30))),H$14&amp;", "&amp;H$15&amp;", "&amp;$A36&amp;", "&amp;$B36&amp;", "&amp;$C36&amp;"; ","")</f>
        <v/>
      </c>
      <c r="R36" s="108" t="str">
        <f>IF(AND($E$8=1,ABS('6c_Health_part_time'!H30)&lt;&gt;INT(ABS('6c_Health_part_time'!H30))),I$14&amp;", "&amp;I$15&amp;", "&amp;$A36&amp;", "&amp;$B36&amp;", "&amp;$C36&amp;"; ","")</f>
        <v/>
      </c>
      <c r="S36" s="108" t="str">
        <f>IF(AND($E$8=1,ABS('6c_Health_part_time'!I30)&lt;&gt;INT(ABS('6c_Health_part_time'!I30))),J$14&amp;", "&amp;J$15&amp;", "&amp;$A36&amp;", "&amp;$B36&amp;", "&amp;$C36&amp;"; ","")</f>
        <v/>
      </c>
      <c r="U36" s="118"/>
      <c r="W36" s="113"/>
      <c r="X36" s="112"/>
      <c r="Y36" s="112"/>
      <c r="Z36" s="113"/>
      <c r="AA36" s="112"/>
      <c r="AB36" s="481"/>
      <c r="AD36" s="118"/>
      <c r="AG36" t="s">
        <v>203</v>
      </c>
      <c r="AH36" t="s">
        <v>27888</v>
      </c>
      <c r="AI36" t="s">
        <v>27891</v>
      </c>
      <c r="AJ36" s="113"/>
      <c r="AK36" s="112"/>
      <c r="AL36" s="121"/>
      <c r="AM36" s="113"/>
      <c r="AN36" s="112"/>
      <c r="AO36" s="2189"/>
      <c r="AQ36" s="118"/>
      <c r="AT36" s="562" t="str">
        <f>IF(AND($I$8=1,ABS(SUM('6c_Health_part_time'!D30:E30))&lt;ABS('6c_Health_part_time'!F30)),E$14&amp;", "&amp;$A36&amp;", "&amp;$B36&amp;", "&amp;$C36&amp;"; ","")</f>
        <v/>
      </c>
      <c r="AW36" s="562" t="str">
        <f>IF(AND($I$8=1,ABS(SUM('6c_Health_part_time'!G30:H30))&lt;ABS('6c_Health_part_time'!I30)),H$14&amp;", "&amp;$A36&amp;", "&amp;$B36&amp;", "&amp;$C36&amp;"; ","")</f>
        <v/>
      </c>
      <c r="AY36" s="118"/>
      <c r="BG36" s="130"/>
      <c r="BH36" s="333" t="str">
        <f>IF(AND($P$8=1,$B36="Long length",'6c_Health_part_time'!D30&lt;&gt;0),E$15&amp;", "&amp;$A36&amp;", "&amp;$B36&amp;", "&amp;$C36&amp;"; ","")</f>
        <v/>
      </c>
      <c r="BI36" s="108" t="str">
        <f>IF(AND($P$8=1,$B36="Long length",'6c_Health_part_time'!E30&lt;&gt;0),F$15&amp;", "&amp;$A36&amp;", "&amp;$B36&amp;", "&amp;$C36&amp;"; ","")</f>
        <v/>
      </c>
      <c r="BJ36" s="108" t="str">
        <f>IF(AND($P$8=1,$B36="Long length",'6c_Health_part_time'!F30&lt;&gt;0),G$15&amp;", "&amp;$A36&amp;", "&amp;$B36&amp;", "&amp;$C36&amp;"; ","")</f>
        <v/>
      </c>
      <c r="BK36" s="333" t="str">
        <f>IF(AND($P$8=1,$B36="Long length",'6c_Health_part_time'!G30&lt;&gt;0),H$15&amp;", "&amp;$A36&amp;", "&amp;$B36&amp;", "&amp;$C36&amp;"; ","")</f>
        <v/>
      </c>
      <c r="BL36" s="108" t="str">
        <f>IF(AND($P$8=1,$B36="Long length",'6c_Health_part_time'!H30&lt;&gt;0),I$15&amp;", "&amp;$A36&amp;", "&amp;$B36&amp;", "&amp;$C36&amp;"; ","")</f>
        <v/>
      </c>
      <c r="BM36" s="108" t="str">
        <f>IF(AND($P$8=1,$B36="Long length",'6c_Health_part_time'!I30&lt;&gt;0),J$15&amp;", "&amp;$A36&amp;", "&amp;$B36&amp;", "&amp;$C36&amp;"; ","")</f>
        <v/>
      </c>
      <c r="BO36" s="130"/>
    </row>
    <row r="37" spans="1:67" x14ac:dyDescent="0.35">
      <c r="A37" t="s">
        <v>27897</v>
      </c>
      <c r="B37" t="s">
        <v>27888</v>
      </c>
      <c r="C37" t="s">
        <v>27889</v>
      </c>
      <c r="D37" s="118"/>
      <c r="E37" s="1885" t="str">
        <f>IF(AND($D$8=1,'6c_Health_part_time'!D31&lt;0),E$14&amp;", "&amp;E$15&amp;", "&amp;$A37&amp;", "&amp;$B37&amp;", "&amp;$C37&amp;"; ","")</f>
        <v/>
      </c>
      <c r="F37" s="1653" t="str">
        <f>IF(AND($D$8=1,'6c_Health_part_time'!E31&lt;0),F$14&amp;", "&amp;F$15&amp;", "&amp;$A37&amp;", "&amp;$B37&amp;", "&amp;$C37&amp;"; ","")</f>
        <v/>
      </c>
      <c r="G37" s="1653" t="str">
        <f>IF(AND($D$8=1,'6c_Health_part_time'!F31&lt;0),G$14&amp;", "&amp;G$15&amp;", "&amp;$A37&amp;", "&amp;$B37&amp;", "&amp;$C37&amp;"; ","")</f>
        <v/>
      </c>
      <c r="H37" s="1885" t="str">
        <f>IF(AND($D$8=1,'6c_Health_part_time'!G31&lt;0),H$14&amp;", "&amp;H$15&amp;", "&amp;$A37&amp;", "&amp;$B37&amp;", "&amp;$C37&amp;"; ","")</f>
        <v/>
      </c>
      <c r="I37" s="1653" t="str">
        <f>IF(AND($D$8=1,'6c_Health_part_time'!H31&lt;0),I$14&amp;", "&amp;I$15&amp;", "&amp;$A37&amp;", "&amp;$B37&amp;", "&amp;$C37&amp;"; ","")</f>
        <v/>
      </c>
      <c r="J37" s="1653" t="str">
        <f>IF(AND($D$8=1,'6c_Health_part_time'!I31&lt;0),J$14&amp;", "&amp;J$15&amp;", "&amp;$A37&amp;", "&amp;$B37&amp;", "&amp;$C37&amp;"; ","")</f>
        <v/>
      </c>
      <c r="L37" s="118"/>
      <c r="N37" s="1911"/>
      <c r="O37" s="1654"/>
      <c r="P37" s="1654"/>
      <c r="Q37" s="1911"/>
      <c r="R37" s="1654"/>
      <c r="S37" s="1654"/>
      <c r="U37" s="118"/>
      <c r="W37" s="1885" t="str">
        <f>IF(AND($F$8=1,'6c_Health_part_time'!D31&lt;&gt;"",ABS('6c_Health_part_time'!D31)-INT(ABS('6c_Health_part_time'!D31))&lt;&gt;0,ABS('6c_Health_part_time'!D31)-INT(ABS('6c_Health_part_time'!D31))&lt;&gt;0.5),E$14&amp;", "&amp;E$15&amp;", "&amp;$A37&amp;", "&amp;$B37&amp;", "&amp;$C37&amp;"; ","")</f>
        <v/>
      </c>
      <c r="X37" s="1653" t="str">
        <f>IF(AND($F$8=1,'6c_Health_part_time'!E31&lt;&gt;"",ABS('6c_Health_part_time'!E31)-INT(ABS('6c_Health_part_time'!E31))&lt;&gt;0,ABS('6c_Health_part_time'!E31)-INT(ABS('6c_Health_part_time'!E31))&lt;&gt;0.5),F$14&amp;", "&amp;F$15&amp;", "&amp;$A37&amp;", "&amp;$B37&amp;", "&amp;$C37&amp;"; ","")</f>
        <v/>
      </c>
      <c r="Y37" s="1653" t="str">
        <f>IF(AND($F$8=1,'6c_Health_part_time'!F31&lt;&gt;"",ABS('6c_Health_part_time'!F31)-INT(ABS('6c_Health_part_time'!F31))&lt;&gt;0,ABS('6c_Health_part_time'!F31)-INT(ABS('6c_Health_part_time'!F31))&lt;&gt;0.5),G$14&amp;", "&amp;G$15&amp;", "&amp;$A37&amp;", "&amp;$B37&amp;", "&amp;$C37&amp;"; ","")</f>
        <v/>
      </c>
      <c r="Z37" s="1885" t="str">
        <f>IF(AND($F$8=1,'6c_Health_part_time'!G31&lt;&gt;"",ABS('6c_Health_part_time'!G31)-INT(ABS('6c_Health_part_time'!G31))&lt;&gt;0,ABS('6c_Health_part_time'!G31)-INT(ABS('6c_Health_part_time'!G31))&lt;&gt;0.5),H$14&amp;", "&amp;H$15&amp;", "&amp;$A37&amp;", "&amp;$B37&amp;", "&amp;$C37&amp;"; ","")</f>
        <v/>
      </c>
      <c r="AA37" s="1653" t="str">
        <f>IF(AND($F$8=1,'6c_Health_part_time'!H31&lt;&gt;"",ABS('6c_Health_part_time'!H31)-INT(ABS('6c_Health_part_time'!H31))&lt;&gt;0,ABS('6c_Health_part_time'!H31)-INT(ABS('6c_Health_part_time'!H31))&lt;&gt;0.5),I$14&amp;", "&amp;I$15&amp;", "&amp;$A37&amp;", "&amp;$B37&amp;", "&amp;$C37&amp;"; ","")</f>
        <v/>
      </c>
      <c r="AB37" s="1890" t="str">
        <f>IF(AND($F$8=1,'6c_Health_part_time'!I31&lt;&gt;"",ABS('6c_Health_part_time'!I31)-INT(ABS('6c_Health_part_time'!I31))&lt;&gt;0,ABS('6c_Health_part_time'!I31)-INT(ABS('6c_Health_part_time'!I31))&lt;&gt;0.5),J$14&amp;", "&amp;J$15&amp;", "&amp;$A37&amp;", "&amp;$B37&amp;", "&amp;$C37&amp;"; ","")</f>
        <v/>
      </c>
      <c r="AC37" s="17"/>
      <c r="AD37" s="118"/>
      <c r="AG37" t="s">
        <v>203</v>
      </c>
      <c r="AH37" t="s">
        <v>27892</v>
      </c>
      <c r="AI37" t="s">
        <v>27889</v>
      </c>
      <c r="AJ37" s="109">
        <f>SUM('3_Part_time'!G18:G19)</f>
        <v>0</v>
      </c>
      <c r="AK37" s="108">
        <f>SUM('3_Part_time'!H18:H19)</f>
        <v>0</v>
      </c>
      <c r="AL37" s="121"/>
      <c r="AM37" s="109">
        <f>SUM('3_Part_time'!J18:J19)</f>
        <v>0</v>
      </c>
      <c r="AN37" s="108">
        <f>SUM('3_Part_time'!K18:K19)</f>
        <v>0</v>
      </c>
      <c r="AO37" s="116"/>
      <c r="AQ37" s="118"/>
      <c r="AT37" s="1886" t="str">
        <f>IF(AND($I$8=1,ABS(SUM('6c_Health_part_time'!D31:E31))&lt;ABS('6c_Health_part_time'!F31)),E$14&amp;", "&amp;$A37&amp;", "&amp;$B37&amp;", "&amp;$C37&amp;"; ","")</f>
        <v/>
      </c>
      <c r="AW37" s="1886" t="str">
        <f>IF(AND($I$8=1,ABS(SUM('6c_Health_part_time'!G31:H31))&lt;ABS('6c_Health_part_time'!I31)),H$14&amp;", "&amp;$A37&amp;", "&amp;$B37&amp;", "&amp;$C37&amp;"; ","")</f>
        <v/>
      </c>
      <c r="AY37" s="118"/>
      <c r="BG37" s="130"/>
      <c r="BH37" s="1879" t="str">
        <f>IF(AND($P$8=1,$B37="Long length",'6c_Health_part_time'!D31&lt;&gt;0),E$15&amp;", "&amp;$A37&amp;", "&amp;$B37&amp;", "&amp;$C37&amp;"; ","")</f>
        <v/>
      </c>
      <c r="BI37" s="1653" t="str">
        <f>IF(AND($P$8=1,$B37="Long length",'6c_Health_part_time'!E31&lt;&gt;0),F$15&amp;", "&amp;$A37&amp;", "&amp;$B37&amp;", "&amp;$C37&amp;"; ","")</f>
        <v/>
      </c>
      <c r="BJ37" s="1653" t="str">
        <f>IF(AND($P$8=1,$B37="Long length",'6c_Health_part_time'!F31&lt;&gt;0),G$15&amp;", "&amp;$A37&amp;", "&amp;$B37&amp;", "&amp;$C37&amp;"; ","")</f>
        <v/>
      </c>
      <c r="BK37" s="1879" t="str">
        <f>IF(AND($P$8=1,$B37="Long length",'6c_Health_part_time'!G31&lt;&gt;0),H$15&amp;", "&amp;$A37&amp;", "&amp;$B37&amp;", "&amp;$C37&amp;"; ","")</f>
        <v/>
      </c>
      <c r="BL37" s="1653" t="str">
        <f>IF(AND($P$8=1,$B37="Long length",'6c_Health_part_time'!H31&lt;&gt;0),I$15&amp;", "&amp;$A37&amp;", "&amp;$B37&amp;", "&amp;$C37&amp;"; ","")</f>
        <v/>
      </c>
      <c r="BM37" s="1653" t="str">
        <f>IF(AND($P$8=1,$B37="Long length",'6c_Health_part_time'!I31&lt;&gt;0),J$15&amp;", "&amp;$A37&amp;", "&amp;$B37&amp;", "&amp;$C37&amp;"; ","")</f>
        <v/>
      </c>
      <c r="BO37" s="130"/>
    </row>
    <row r="38" spans="1:67" x14ac:dyDescent="0.35">
      <c r="A38" t="s">
        <v>27897</v>
      </c>
      <c r="B38" t="s">
        <v>27888</v>
      </c>
      <c r="C38" t="s">
        <v>27891</v>
      </c>
      <c r="D38" s="118"/>
      <c r="E38" s="109" t="str">
        <f>IF(AND($D$8=1,'6c_Health_part_time'!D32&lt;0),E$14&amp;", "&amp;E$15&amp;", "&amp;$A38&amp;", "&amp;$B38&amp;", "&amp;$C38&amp;"; ","")</f>
        <v/>
      </c>
      <c r="F38" s="108" t="str">
        <f>IF(AND($D$8=1,'6c_Health_part_time'!E32&lt;0),F$14&amp;", "&amp;F$15&amp;", "&amp;$A38&amp;", "&amp;$B38&amp;", "&amp;$C38&amp;"; ","")</f>
        <v/>
      </c>
      <c r="G38" s="108" t="str">
        <f>IF(AND($D$8=1,'6c_Health_part_time'!F32&lt;0),G$14&amp;", "&amp;G$15&amp;", "&amp;$A38&amp;", "&amp;$B38&amp;", "&amp;$C38&amp;"; ","")</f>
        <v/>
      </c>
      <c r="H38" s="109" t="str">
        <f>IF(AND($D$8=1,'6c_Health_part_time'!G32&lt;0),H$14&amp;", "&amp;H$15&amp;", "&amp;$A38&amp;", "&amp;$B38&amp;", "&amp;$C38&amp;"; ","")</f>
        <v/>
      </c>
      <c r="I38" s="108" t="str">
        <f>IF(AND($D$8=1,'6c_Health_part_time'!H32&lt;0),I$14&amp;", "&amp;I$15&amp;", "&amp;$A38&amp;", "&amp;$B38&amp;", "&amp;$C38&amp;"; ","")</f>
        <v/>
      </c>
      <c r="J38" s="108" t="str">
        <f>IF(AND($D$8=1,'6c_Health_part_time'!I32&lt;0),J$14&amp;", "&amp;J$15&amp;", "&amp;$A38&amp;", "&amp;$B38&amp;", "&amp;$C38&amp;"; ","")</f>
        <v/>
      </c>
      <c r="L38" s="118"/>
      <c r="N38" s="113"/>
      <c r="O38" s="112"/>
      <c r="P38" s="112"/>
      <c r="Q38" s="113"/>
      <c r="R38" s="112"/>
      <c r="S38" s="112"/>
      <c r="U38" s="118"/>
      <c r="W38" s="109" t="str">
        <f>IF(AND($F$8=1,'6c_Health_part_time'!D32&lt;&gt;"",ABS('6c_Health_part_time'!D32)-INT(ABS('6c_Health_part_time'!D32))&lt;&gt;0,ABS('6c_Health_part_time'!D32)-INT(ABS('6c_Health_part_time'!D32))&lt;&gt;0.5),E$14&amp;", "&amp;E$15&amp;", "&amp;$A38&amp;", "&amp;$B38&amp;", "&amp;$C38&amp;"; ","")</f>
        <v/>
      </c>
      <c r="X38" s="108" t="str">
        <f>IF(AND($F$8=1,'6c_Health_part_time'!E32&lt;&gt;"",ABS('6c_Health_part_time'!E32)-INT(ABS('6c_Health_part_time'!E32))&lt;&gt;0,ABS('6c_Health_part_time'!E32)-INT(ABS('6c_Health_part_time'!E32))&lt;&gt;0.5),F$14&amp;", "&amp;F$15&amp;", "&amp;$A38&amp;", "&amp;$B38&amp;", "&amp;$C38&amp;"; ","")</f>
        <v/>
      </c>
      <c r="Y38" s="108" t="str">
        <f>IF(AND($F$8=1,'6c_Health_part_time'!F32&lt;&gt;"",ABS('6c_Health_part_time'!F32)-INT(ABS('6c_Health_part_time'!F32))&lt;&gt;0,ABS('6c_Health_part_time'!F32)-INT(ABS('6c_Health_part_time'!F32))&lt;&gt;0.5),G$14&amp;", "&amp;G$15&amp;", "&amp;$A38&amp;", "&amp;$B38&amp;", "&amp;$C38&amp;"; ","")</f>
        <v/>
      </c>
      <c r="Z38" s="109" t="str">
        <f>IF(AND($F$8=1,'6c_Health_part_time'!G32&lt;&gt;"",ABS('6c_Health_part_time'!G32)-INT(ABS('6c_Health_part_time'!G32))&lt;&gt;0,ABS('6c_Health_part_time'!G32)-INT(ABS('6c_Health_part_time'!G32))&lt;&gt;0.5),H$14&amp;", "&amp;H$15&amp;", "&amp;$A38&amp;", "&amp;$B38&amp;", "&amp;$C38&amp;"; ","")</f>
        <v/>
      </c>
      <c r="AA38" s="108" t="str">
        <f>IF(AND($F$8=1,'6c_Health_part_time'!H32&lt;&gt;"",ABS('6c_Health_part_time'!H32)-INT(ABS('6c_Health_part_time'!H32))&lt;&gt;0,ABS('6c_Health_part_time'!H32)-INT(ABS('6c_Health_part_time'!H32))&lt;&gt;0.5),I$14&amp;", "&amp;I$15&amp;", "&amp;$A38&amp;", "&amp;$B38&amp;", "&amp;$C38&amp;"; ","")</f>
        <v/>
      </c>
      <c r="AB38" s="210" t="str">
        <f>IF(AND($F$8=1,'6c_Health_part_time'!I32&lt;&gt;"",ABS('6c_Health_part_time'!I32)-INT(ABS('6c_Health_part_time'!I32))&lt;&gt;0,ABS('6c_Health_part_time'!I32)-INT(ABS('6c_Health_part_time'!I32))&lt;&gt;0.5),J$14&amp;", "&amp;J$15&amp;", "&amp;$A38&amp;", "&amp;$B38&amp;", "&amp;$C38&amp;"; ","")</f>
        <v/>
      </c>
      <c r="AC38" s="17"/>
      <c r="AD38" s="118"/>
      <c r="AG38" t="s">
        <v>203</v>
      </c>
      <c r="AH38" t="s">
        <v>27892</v>
      </c>
      <c r="AI38" t="s">
        <v>27891</v>
      </c>
      <c r="AJ38" s="113"/>
      <c r="AK38" s="112"/>
      <c r="AL38" s="121"/>
      <c r="AM38" s="113"/>
      <c r="AN38" s="112"/>
      <c r="AO38" s="116"/>
      <c r="AQ38" s="118"/>
      <c r="AT38" s="562" t="str">
        <f>IF(AND($I$8=1,ABS(SUM('6c_Health_part_time'!D32:E32))&lt;ABS('6c_Health_part_time'!F32)),E$14&amp;", "&amp;$A38&amp;", "&amp;$B38&amp;", "&amp;$C38&amp;"; ","")</f>
        <v/>
      </c>
      <c r="AW38" s="562" t="str">
        <f>IF(AND($I$8=1,ABS(SUM('6c_Health_part_time'!G32:H32))&lt;ABS('6c_Health_part_time'!I32)),H$14&amp;", "&amp;$A38&amp;", "&amp;$B38&amp;", "&amp;$C38&amp;"; ","")</f>
        <v/>
      </c>
      <c r="AY38" s="118"/>
      <c r="BG38" s="130"/>
      <c r="BH38" s="333" t="str">
        <f>IF(AND($P$8=1,$B38="Long length",'6c_Health_part_time'!D32&lt;&gt;0),E$15&amp;", "&amp;$A38&amp;", "&amp;$B38&amp;", "&amp;$C38&amp;"; ","")</f>
        <v/>
      </c>
      <c r="BI38" s="335" t="str">
        <f>IF(AND($P$8=1,$B38="Long length",'6c_Health_part_time'!E32&lt;&gt;0),F$15&amp;", "&amp;$A38&amp;", "&amp;$B38&amp;", "&amp;$C38&amp;"; ","")</f>
        <v/>
      </c>
      <c r="BJ38" s="335" t="str">
        <f>IF(AND($P$8=1,$B38="Long length",'6c_Health_part_time'!F32&lt;&gt;0),G$15&amp;", "&amp;$A38&amp;", "&amp;$B38&amp;", "&amp;$C38&amp;"; ","")</f>
        <v/>
      </c>
      <c r="BK38" s="333" t="str">
        <f>IF(AND($P$8=1,$B38="Long length",'6c_Health_part_time'!G32&lt;&gt;0),H$15&amp;", "&amp;$A38&amp;", "&amp;$B38&amp;", "&amp;$C38&amp;"; ","")</f>
        <v/>
      </c>
      <c r="BL38" s="335" t="str">
        <f>IF(AND($P$8=1,$B38="Long length",'6c_Health_part_time'!H32&lt;&gt;0),I$15&amp;", "&amp;$A38&amp;", "&amp;$B38&amp;", "&amp;$C38&amp;"; ","")</f>
        <v/>
      </c>
      <c r="BM38" s="335" t="str">
        <f>IF(AND($P$8=1,$B38="Long length",'6c_Health_part_time'!I32&lt;&gt;0),J$15&amp;", "&amp;$A38&amp;", "&amp;$B38&amp;", "&amp;$C38&amp;"; ","")</f>
        <v/>
      </c>
      <c r="BO38" s="130"/>
    </row>
    <row r="39" spans="1:67" x14ac:dyDescent="0.35">
      <c r="A39" t="s">
        <v>27897</v>
      </c>
      <c r="B39" t="s">
        <v>27892</v>
      </c>
      <c r="C39" t="s">
        <v>27889</v>
      </c>
      <c r="D39" s="118"/>
      <c r="E39" s="109" t="str">
        <f>IF(AND($D$8=1,'6c_Health_part_time'!D33&lt;0),E$14&amp;", "&amp;E$15&amp;", "&amp;$A39&amp;", "&amp;$B39&amp;", "&amp;$C39&amp;"; ","")</f>
        <v/>
      </c>
      <c r="F39" s="108" t="str">
        <f>IF(AND($D$8=1,'6c_Health_part_time'!E33&lt;0),F$14&amp;", "&amp;F$15&amp;", "&amp;$A39&amp;", "&amp;$B39&amp;", "&amp;$C39&amp;"; ","")</f>
        <v/>
      </c>
      <c r="G39" s="108" t="str">
        <f>IF(AND($D$8=1,'6c_Health_part_time'!F33&lt;0),G$14&amp;", "&amp;G$15&amp;", "&amp;$A39&amp;", "&amp;$B39&amp;", "&amp;$C39&amp;"; ","")</f>
        <v/>
      </c>
      <c r="H39" s="109" t="str">
        <f>IF(AND($D$8=1,'6c_Health_part_time'!G33&lt;0),H$14&amp;", "&amp;H$15&amp;", "&amp;$A39&amp;", "&amp;$B39&amp;", "&amp;$C39&amp;"; ","")</f>
        <v/>
      </c>
      <c r="I39" s="108" t="str">
        <f>IF(AND($D$8=1,'6c_Health_part_time'!H33&lt;0),I$14&amp;", "&amp;I$15&amp;", "&amp;$A39&amp;", "&amp;$B39&amp;", "&amp;$C39&amp;"; ","")</f>
        <v/>
      </c>
      <c r="J39" s="108" t="str">
        <f>IF(AND($D$8=1,'6c_Health_part_time'!I33&lt;0),J$14&amp;", "&amp;J$15&amp;", "&amp;$A39&amp;", "&amp;$B39&amp;", "&amp;$C39&amp;"; ","")</f>
        <v/>
      </c>
      <c r="L39" s="118"/>
      <c r="N39" s="113"/>
      <c r="O39" s="112"/>
      <c r="P39" s="112"/>
      <c r="Q39" s="113"/>
      <c r="R39" s="112"/>
      <c r="S39" s="112"/>
      <c r="U39" s="118"/>
      <c r="W39" s="109" t="str">
        <f>IF(AND($F$8=1,'6c_Health_part_time'!D33&lt;&gt;"",ABS('6c_Health_part_time'!D33)-INT(ABS('6c_Health_part_time'!D33))&lt;&gt;0,ABS('6c_Health_part_time'!D33)-INT(ABS('6c_Health_part_time'!D33))&lt;&gt;0.5),E$14&amp;", "&amp;E$15&amp;", "&amp;$A39&amp;", "&amp;$B39&amp;", "&amp;$C39&amp;"; ","")</f>
        <v/>
      </c>
      <c r="X39" s="108" t="str">
        <f>IF(AND($F$8=1,'6c_Health_part_time'!E33&lt;&gt;"",ABS('6c_Health_part_time'!E33)-INT(ABS('6c_Health_part_time'!E33))&lt;&gt;0,ABS('6c_Health_part_time'!E33)-INT(ABS('6c_Health_part_time'!E33))&lt;&gt;0.5),F$14&amp;", "&amp;F$15&amp;", "&amp;$A39&amp;", "&amp;$B39&amp;", "&amp;$C39&amp;"; ","")</f>
        <v/>
      </c>
      <c r="Y39" s="108" t="str">
        <f>IF(AND($F$8=1,'6c_Health_part_time'!F33&lt;&gt;"",ABS('6c_Health_part_time'!F33)-INT(ABS('6c_Health_part_time'!F33))&lt;&gt;0,ABS('6c_Health_part_time'!F33)-INT(ABS('6c_Health_part_time'!F33))&lt;&gt;0.5),G$14&amp;", "&amp;G$15&amp;", "&amp;$A39&amp;", "&amp;$B39&amp;", "&amp;$C39&amp;"; ","")</f>
        <v/>
      </c>
      <c r="Z39" s="109" t="str">
        <f>IF(AND($F$8=1,'6c_Health_part_time'!G33&lt;&gt;"",ABS('6c_Health_part_time'!G33)-INT(ABS('6c_Health_part_time'!G33))&lt;&gt;0,ABS('6c_Health_part_time'!G33)-INT(ABS('6c_Health_part_time'!G33))&lt;&gt;0.5),H$14&amp;", "&amp;H$15&amp;", "&amp;$A39&amp;", "&amp;$B39&amp;", "&amp;$C39&amp;"; ","")</f>
        <v/>
      </c>
      <c r="AA39" s="108" t="str">
        <f>IF(AND($F$8=1,'6c_Health_part_time'!H33&lt;&gt;"",ABS('6c_Health_part_time'!H33)-INT(ABS('6c_Health_part_time'!H33))&lt;&gt;0,ABS('6c_Health_part_time'!H33)-INT(ABS('6c_Health_part_time'!H33))&lt;&gt;0.5),I$14&amp;", "&amp;I$15&amp;", "&amp;$A39&amp;", "&amp;$B39&amp;", "&amp;$C39&amp;"; ","")</f>
        <v/>
      </c>
      <c r="AB39" s="210" t="str">
        <f>IF(AND($F$8=1,'6c_Health_part_time'!I33&lt;&gt;"",ABS('6c_Health_part_time'!I33)-INT(ABS('6c_Health_part_time'!I33))&lt;&gt;0,ABS('6c_Health_part_time'!I33)-INT(ABS('6c_Health_part_time'!I33))&lt;&gt;0.5),J$14&amp;", "&amp;J$15&amp;", "&amp;$A39&amp;", "&amp;$B39&amp;", "&amp;$C39&amp;"; ","")</f>
        <v/>
      </c>
      <c r="AC39" s="17"/>
      <c r="AD39" s="118"/>
      <c r="AG39" t="s">
        <v>225</v>
      </c>
      <c r="AH39" t="s">
        <v>27888</v>
      </c>
      <c r="AI39" t="s">
        <v>27889</v>
      </c>
      <c r="AJ39" s="1885">
        <f>SUM('3_Part_time'!G24:G25)</f>
        <v>0</v>
      </c>
      <c r="AK39" s="2195">
        <f>SUM('3_Part_time'!H24:H25)</f>
        <v>0</v>
      </c>
      <c r="AL39" s="1884"/>
      <c r="AM39" s="1885">
        <f>SUM('3_Part_time'!J24:J25)</f>
        <v>0</v>
      </c>
      <c r="AN39" s="2195">
        <f>SUM('3_Part_time'!K24:K25)</f>
        <v>0</v>
      </c>
      <c r="AO39" s="2190"/>
      <c r="AQ39" s="118"/>
      <c r="AT39" s="562" t="str">
        <f>IF(AND($I$8=1,ABS(SUM('6c_Health_part_time'!D33:E33))&lt;ABS('6c_Health_part_time'!F33)),E$14&amp;", "&amp;$A39&amp;", "&amp;$B39&amp;", "&amp;$C39&amp;"; ","")</f>
        <v/>
      </c>
      <c r="AW39" s="562" t="str">
        <f>IF(AND($I$8=1,ABS(SUM('6c_Health_part_time'!G33:H33))&lt;ABS('6c_Health_part_time'!I33)),H$14&amp;", "&amp;$A39&amp;", "&amp;$B39&amp;", "&amp;$C39&amp;"; ","")</f>
        <v/>
      </c>
      <c r="AY39" s="118"/>
      <c r="BG39" s="130"/>
      <c r="BH39" s="333" t="str">
        <f>IF(AND($P$8=1,$B39="Long length",'6c_Health_part_time'!D33&lt;&gt;0),E$15&amp;", "&amp;$A39&amp;", "&amp;$B39&amp;", "&amp;$C39&amp;"; ","")</f>
        <v/>
      </c>
      <c r="BI39" s="108" t="str">
        <f>IF(AND($P$8=1,$B39="Long length",'6c_Health_part_time'!E33&lt;&gt;0),F$15&amp;", "&amp;$A39&amp;", "&amp;$B39&amp;", "&amp;$C39&amp;"; ","")</f>
        <v/>
      </c>
      <c r="BJ39" s="108" t="str">
        <f>IF(AND($P$8=1,$B39="Long length",'6c_Health_part_time'!F33&lt;&gt;0),G$15&amp;", "&amp;$A39&amp;", "&amp;$B39&amp;", "&amp;$C39&amp;"; ","")</f>
        <v/>
      </c>
      <c r="BK39" s="333" t="str">
        <f>IF(AND($P$8=1,$B39="Long length",'6c_Health_part_time'!G33&lt;&gt;0),H$15&amp;", "&amp;$A39&amp;", "&amp;$B39&amp;", "&amp;$C39&amp;"; ","")</f>
        <v/>
      </c>
      <c r="BL39" s="108" t="str">
        <f>IF(AND($P$8=1,$B39="Long length",'6c_Health_part_time'!H33&lt;&gt;0),I$15&amp;", "&amp;$A39&amp;", "&amp;$B39&amp;", "&amp;$C39&amp;"; ","")</f>
        <v/>
      </c>
      <c r="BM39" s="108" t="str">
        <f>IF(AND($P$8=1,$B39="Long length",'6c_Health_part_time'!I33&lt;&gt;0),J$15&amp;", "&amp;$A39&amp;", "&amp;$B39&amp;", "&amp;$C39&amp;"; ","")</f>
        <v/>
      </c>
      <c r="BO39" s="130"/>
    </row>
    <row r="40" spans="1:67" x14ac:dyDescent="0.35">
      <c r="A40" t="s">
        <v>27897</v>
      </c>
      <c r="B40" t="s">
        <v>27892</v>
      </c>
      <c r="C40" t="s">
        <v>27891</v>
      </c>
      <c r="D40" s="118"/>
      <c r="E40" s="109" t="str">
        <f>IF(AND($D$8=1,'6c_Health_part_time'!D34&lt;0),E$14&amp;", "&amp;E$15&amp;", "&amp;$A40&amp;", "&amp;$B40&amp;", "&amp;$C40&amp;"; ","")</f>
        <v/>
      </c>
      <c r="F40" s="108" t="str">
        <f>IF(AND($D$8=1,'6c_Health_part_time'!E34&lt;0),F$14&amp;", "&amp;F$15&amp;", "&amp;$A40&amp;", "&amp;$B40&amp;", "&amp;$C40&amp;"; ","")</f>
        <v/>
      </c>
      <c r="G40" s="108" t="str">
        <f>IF(AND($D$8=1,'6c_Health_part_time'!F34&lt;0),G$14&amp;", "&amp;G$15&amp;", "&amp;$A40&amp;", "&amp;$B40&amp;", "&amp;$C40&amp;"; ","")</f>
        <v/>
      </c>
      <c r="H40" s="109" t="str">
        <f>IF(AND($D$8=1,'6c_Health_part_time'!G34&lt;0),H$14&amp;", "&amp;H$15&amp;", "&amp;$A40&amp;", "&amp;$B40&amp;", "&amp;$C40&amp;"; ","")</f>
        <v/>
      </c>
      <c r="I40" s="108" t="str">
        <f>IF(AND($D$8=1,'6c_Health_part_time'!H34&lt;0),I$14&amp;", "&amp;I$15&amp;", "&amp;$A40&amp;", "&amp;$B40&amp;", "&amp;$C40&amp;"; ","")</f>
        <v/>
      </c>
      <c r="J40" s="108" t="str">
        <f>IF(AND($D$8=1,'6c_Health_part_time'!I34&lt;0),J$14&amp;", "&amp;J$15&amp;", "&amp;$A40&amp;", "&amp;$B40&amp;", "&amp;$C40&amp;"; ","")</f>
        <v/>
      </c>
      <c r="L40" s="118"/>
      <c r="N40" s="113"/>
      <c r="O40" s="112"/>
      <c r="P40" s="112"/>
      <c r="Q40" s="113"/>
      <c r="R40" s="112"/>
      <c r="S40" s="112"/>
      <c r="U40" s="118"/>
      <c r="W40" s="109" t="str">
        <f>IF(AND($F$8=1,'6c_Health_part_time'!D34&lt;&gt;"",ABS('6c_Health_part_time'!D34)-INT(ABS('6c_Health_part_time'!D34))&lt;&gt;0,ABS('6c_Health_part_time'!D34)-INT(ABS('6c_Health_part_time'!D34))&lt;&gt;0.5),E$14&amp;", "&amp;E$15&amp;", "&amp;$A40&amp;", "&amp;$B40&amp;", "&amp;$C40&amp;"; ","")</f>
        <v/>
      </c>
      <c r="X40" s="108" t="str">
        <f>IF(AND($F$8=1,'6c_Health_part_time'!E34&lt;&gt;"",ABS('6c_Health_part_time'!E34)-INT(ABS('6c_Health_part_time'!E34))&lt;&gt;0,ABS('6c_Health_part_time'!E34)-INT(ABS('6c_Health_part_time'!E34))&lt;&gt;0.5),F$14&amp;", "&amp;F$15&amp;", "&amp;$A40&amp;", "&amp;$B40&amp;", "&amp;$C40&amp;"; ","")</f>
        <v/>
      </c>
      <c r="Y40" s="108" t="str">
        <f>IF(AND($F$8=1,'6c_Health_part_time'!F34&lt;&gt;"",ABS('6c_Health_part_time'!F34)-INT(ABS('6c_Health_part_time'!F34))&lt;&gt;0,ABS('6c_Health_part_time'!F34)-INT(ABS('6c_Health_part_time'!F34))&lt;&gt;0.5),G$14&amp;", "&amp;G$15&amp;", "&amp;$A40&amp;", "&amp;$B40&amp;", "&amp;$C40&amp;"; ","")</f>
        <v/>
      </c>
      <c r="Z40" s="109" t="str">
        <f>IF(AND($F$8=1,'6c_Health_part_time'!G34&lt;&gt;"",ABS('6c_Health_part_time'!G34)-INT(ABS('6c_Health_part_time'!G34))&lt;&gt;0,ABS('6c_Health_part_time'!G34)-INT(ABS('6c_Health_part_time'!G34))&lt;&gt;0.5),H$14&amp;", "&amp;H$15&amp;", "&amp;$A40&amp;", "&amp;$B40&amp;", "&amp;$C40&amp;"; ","")</f>
        <v/>
      </c>
      <c r="AA40" s="108" t="str">
        <f>IF(AND($F$8=1,'6c_Health_part_time'!H34&lt;&gt;"",ABS('6c_Health_part_time'!H34)-INT(ABS('6c_Health_part_time'!H34))&lt;&gt;0,ABS('6c_Health_part_time'!H34)-INT(ABS('6c_Health_part_time'!H34))&lt;&gt;0.5),I$14&amp;", "&amp;I$15&amp;", "&amp;$A40&amp;", "&amp;$B40&amp;", "&amp;$C40&amp;"; ","")</f>
        <v/>
      </c>
      <c r="AB40" s="210" t="str">
        <f>IF(AND($F$8=1,'6c_Health_part_time'!I34&lt;&gt;"",ABS('6c_Health_part_time'!I34)-INT(ABS('6c_Health_part_time'!I34))&lt;&gt;0,ABS('6c_Health_part_time'!I34)-INT(ABS('6c_Health_part_time'!I34))&lt;&gt;0.5),J$14&amp;", "&amp;J$15&amp;", "&amp;$A40&amp;", "&amp;$B40&amp;", "&amp;$C40&amp;"; ","")</f>
        <v/>
      </c>
      <c r="AC40" s="17"/>
      <c r="AD40" s="118"/>
      <c r="AG40" t="s">
        <v>225</v>
      </c>
      <c r="AH40" t="s">
        <v>27888</v>
      </c>
      <c r="AI40" t="s">
        <v>27891</v>
      </c>
      <c r="AJ40" s="109">
        <f>'3_Part_time'!G26</f>
        <v>0</v>
      </c>
      <c r="AK40" s="108">
        <f>'3_Part_time'!H26</f>
        <v>0</v>
      </c>
      <c r="AL40" s="121"/>
      <c r="AM40" s="109">
        <f>'3_Part_time'!J26</f>
        <v>0</v>
      </c>
      <c r="AN40" s="108">
        <f>'3_Part_time'!K26</f>
        <v>0</v>
      </c>
      <c r="AO40" s="116"/>
      <c r="AQ40" s="118"/>
      <c r="AT40" s="562" t="str">
        <f>IF(AND($I$8=1,ABS(SUM('6c_Health_part_time'!D34:E34))&lt;ABS('6c_Health_part_time'!F34)),E$14&amp;", "&amp;$A40&amp;", "&amp;$B40&amp;", "&amp;$C40&amp;"; ","")</f>
        <v/>
      </c>
      <c r="AW40" s="562" t="str">
        <f>IF(AND($I$8=1,ABS(SUM('6c_Health_part_time'!G34:H34))&lt;ABS('6c_Health_part_time'!I34)),H$14&amp;", "&amp;$A40&amp;", "&amp;$B40&amp;", "&amp;$C40&amp;"; ","")</f>
        <v/>
      </c>
      <c r="AY40" s="118"/>
      <c r="BG40" s="130"/>
      <c r="BH40" s="333" t="str">
        <f>IF(AND($P$8=1,$B40="Long length",'6c_Health_part_time'!D34&lt;&gt;0),E$15&amp;", "&amp;$A40&amp;", "&amp;$B40&amp;", "&amp;$C40&amp;"; ","")</f>
        <v/>
      </c>
      <c r="BI40" s="108" t="str">
        <f>IF(AND($P$8=1,$B40="Long length",'6c_Health_part_time'!E34&lt;&gt;0),F$15&amp;", "&amp;$A40&amp;", "&amp;$B40&amp;", "&amp;$C40&amp;"; ","")</f>
        <v/>
      </c>
      <c r="BJ40" s="108" t="str">
        <f>IF(AND($P$8=1,$B40="Long length",'6c_Health_part_time'!F34&lt;&gt;0),G$15&amp;", "&amp;$A40&amp;", "&amp;$B40&amp;", "&amp;$C40&amp;"; ","")</f>
        <v/>
      </c>
      <c r="BK40" s="333" t="str">
        <f>IF(AND($P$8=1,$B40="Long length",'6c_Health_part_time'!G34&lt;&gt;0),H$15&amp;", "&amp;$A40&amp;", "&amp;$B40&amp;", "&amp;$C40&amp;"; ","")</f>
        <v/>
      </c>
      <c r="BL40" s="108" t="str">
        <f>IF(AND($P$8=1,$B40="Long length",'6c_Health_part_time'!H34&lt;&gt;0),I$15&amp;", "&amp;$A40&amp;", "&amp;$B40&amp;", "&amp;$C40&amp;"; ","")</f>
        <v/>
      </c>
      <c r="BM40" s="108" t="str">
        <f>IF(AND($P$8=1,$B40="Long length",'6c_Health_part_time'!I34&lt;&gt;0),J$15&amp;", "&amp;$A40&amp;", "&amp;$B40&amp;", "&amp;$C40&amp;"; ","")</f>
        <v/>
      </c>
      <c r="BO40" s="130"/>
    </row>
    <row r="41" spans="1:67" x14ac:dyDescent="0.35">
      <c r="A41" t="s">
        <v>27898</v>
      </c>
      <c r="B41" t="s">
        <v>27888</v>
      </c>
      <c r="C41" t="s">
        <v>27889</v>
      </c>
      <c r="D41" s="118"/>
      <c r="E41" s="1885" t="str">
        <f>IF(AND($D$8=1,'6c_Health_part_time'!D35&lt;0),E$14&amp;", "&amp;E$15&amp;", "&amp;$A41&amp;", "&amp;$B41&amp;", "&amp;$C41&amp;"; ","")</f>
        <v/>
      </c>
      <c r="F41" s="1653" t="str">
        <f>IF(AND($D$8=1,'6c_Health_part_time'!E35&lt;0),F$14&amp;", "&amp;F$15&amp;", "&amp;$A41&amp;", "&amp;$B41&amp;", "&amp;$C41&amp;"; ","")</f>
        <v/>
      </c>
      <c r="G41" s="1653" t="str">
        <f>IF(AND($D$8=1,'6c_Health_part_time'!F35&lt;0),G$14&amp;", "&amp;G$15&amp;", "&amp;$A41&amp;", "&amp;$B41&amp;", "&amp;$C41&amp;"; ","")</f>
        <v/>
      </c>
      <c r="H41" s="1885" t="str">
        <f>IF(AND($D$8=1,'6c_Health_part_time'!G35&lt;0),H$14&amp;", "&amp;H$15&amp;", "&amp;$A41&amp;", "&amp;$B41&amp;", "&amp;$C41&amp;"; ","")</f>
        <v/>
      </c>
      <c r="I41" s="1653" t="str">
        <f>IF(AND($D$8=1,'6c_Health_part_time'!H35&lt;0),I$14&amp;", "&amp;I$15&amp;", "&amp;$A41&amp;", "&amp;$B41&amp;", "&amp;$C41&amp;"; ","")</f>
        <v/>
      </c>
      <c r="J41" s="1653" t="str">
        <f>IF(AND($D$8=1,'6c_Health_part_time'!I35&lt;0),J$14&amp;", "&amp;J$15&amp;", "&amp;$A41&amp;", "&amp;$B41&amp;", "&amp;$C41&amp;"; ","")</f>
        <v/>
      </c>
      <c r="L41" s="118"/>
      <c r="N41" s="1911"/>
      <c r="O41" s="1654"/>
      <c r="P41" s="1654"/>
      <c r="Q41" s="1911"/>
      <c r="R41" s="1654"/>
      <c r="S41" s="1654"/>
      <c r="U41" s="118"/>
      <c r="W41" s="1885" t="str">
        <f>IF(AND($F$8=1,'6c_Health_part_time'!D35&lt;&gt;"",ABS('6c_Health_part_time'!D35)-INT(ABS('6c_Health_part_time'!D35))&lt;&gt;0,ABS('6c_Health_part_time'!D35)-INT(ABS('6c_Health_part_time'!D35))&lt;&gt;0.5),E$14&amp;", "&amp;E$15&amp;", "&amp;$A41&amp;", "&amp;$B41&amp;", "&amp;$C41&amp;"; ","")</f>
        <v/>
      </c>
      <c r="X41" s="1653" t="str">
        <f>IF(AND($F$8=1,'6c_Health_part_time'!E35&lt;&gt;"",ABS('6c_Health_part_time'!E35)-INT(ABS('6c_Health_part_time'!E35))&lt;&gt;0,ABS('6c_Health_part_time'!E35)-INT(ABS('6c_Health_part_time'!E35))&lt;&gt;0.5),F$14&amp;", "&amp;F$15&amp;", "&amp;$A41&amp;", "&amp;$B41&amp;", "&amp;$C41&amp;"; ","")</f>
        <v/>
      </c>
      <c r="Y41" s="1653" t="str">
        <f>IF(AND($F$8=1,'6c_Health_part_time'!F35&lt;&gt;"",ABS('6c_Health_part_time'!F35)-INT(ABS('6c_Health_part_time'!F35))&lt;&gt;0,ABS('6c_Health_part_time'!F35)-INT(ABS('6c_Health_part_time'!F35))&lt;&gt;0.5),G$14&amp;", "&amp;G$15&amp;", "&amp;$A41&amp;", "&amp;$B41&amp;", "&amp;$C41&amp;"; ","")</f>
        <v/>
      </c>
      <c r="Z41" s="1885" t="str">
        <f>IF(AND($F$8=1,'6c_Health_part_time'!G35&lt;&gt;"",ABS('6c_Health_part_time'!G35)-INT(ABS('6c_Health_part_time'!G35))&lt;&gt;0,ABS('6c_Health_part_time'!G35)-INT(ABS('6c_Health_part_time'!G35))&lt;&gt;0.5),H$14&amp;", "&amp;H$15&amp;", "&amp;$A41&amp;", "&amp;$B41&amp;", "&amp;$C41&amp;"; ","")</f>
        <v/>
      </c>
      <c r="AA41" s="1653" t="str">
        <f>IF(AND($F$8=1,'6c_Health_part_time'!H35&lt;&gt;"",ABS('6c_Health_part_time'!H35)-INT(ABS('6c_Health_part_time'!H35))&lt;&gt;0,ABS('6c_Health_part_time'!H35)-INT(ABS('6c_Health_part_time'!H35))&lt;&gt;0.5),I$14&amp;", "&amp;I$15&amp;", "&amp;$A41&amp;", "&amp;$B41&amp;", "&amp;$C41&amp;"; ","")</f>
        <v/>
      </c>
      <c r="AB41" s="1890" t="str">
        <f>IF(AND($F$8=1,'6c_Health_part_time'!I35&lt;&gt;"",ABS('6c_Health_part_time'!I35)-INT(ABS('6c_Health_part_time'!I35))&lt;&gt;0,ABS('6c_Health_part_time'!I35)-INT(ABS('6c_Health_part_time'!I35))&lt;&gt;0.5),J$14&amp;", "&amp;J$15&amp;", "&amp;$A41&amp;", "&amp;$B41&amp;", "&amp;$C41&amp;"; ","")</f>
        <v/>
      </c>
      <c r="AC41" s="17"/>
      <c r="AD41" s="118"/>
      <c r="AG41" t="s">
        <v>225</v>
      </c>
      <c r="AH41" t="s">
        <v>27892</v>
      </c>
      <c r="AI41" t="s">
        <v>27889</v>
      </c>
      <c r="AJ41" s="109">
        <f>SUM('3_Part_time'!G30:G31)</f>
        <v>0</v>
      </c>
      <c r="AK41" s="108">
        <f>SUM('3_Part_time'!H30:H31)</f>
        <v>0</v>
      </c>
      <c r="AL41" s="121"/>
      <c r="AM41" s="109">
        <f>SUM('3_Part_time'!J30:J31)</f>
        <v>0</v>
      </c>
      <c r="AN41" s="108">
        <f>SUM('3_Part_time'!K30:K31)</f>
        <v>0</v>
      </c>
      <c r="AO41" s="116"/>
      <c r="AQ41" s="118"/>
      <c r="AT41" s="1886" t="str">
        <f>IF(AND($I$8=1,ABS(SUM('6c_Health_part_time'!D35:E35))&lt;ABS('6c_Health_part_time'!F35)),E$14&amp;", "&amp;$A41&amp;", "&amp;$B41&amp;", "&amp;$C41&amp;"; ","")</f>
        <v/>
      </c>
      <c r="AW41" s="1886" t="str">
        <f>IF(AND($I$8=1,ABS(SUM('6c_Health_part_time'!G35:H35))&lt;ABS('6c_Health_part_time'!I35)),H$14&amp;", "&amp;$A41&amp;", "&amp;$B41&amp;", "&amp;$C41&amp;"; ","")</f>
        <v/>
      </c>
      <c r="AY41" s="118"/>
      <c r="BG41" s="130"/>
      <c r="BH41" s="1879" t="str">
        <f>IF(AND($P$8=1,$B41="Long length",'6c_Health_part_time'!D35&lt;&gt;0),E$15&amp;", "&amp;$A41&amp;", "&amp;$B41&amp;", "&amp;$C41&amp;"; ","")</f>
        <v/>
      </c>
      <c r="BI41" s="1653" t="str">
        <f>IF(AND($P$8=1,$B41="Long length",'6c_Health_part_time'!E35&lt;&gt;0),F$15&amp;", "&amp;$A41&amp;", "&amp;$B41&amp;", "&amp;$C41&amp;"; ","")</f>
        <v/>
      </c>
      <c r="BJ41" s="1653" t="str">
        <f>IF(AND($P$8=1,$B41="Long length",'6c_Health_part_time'!F35&lt;&gt;0),G$15&amp;", "&amp;$A41&amp;", "&amp;$B41&amp;", "&amp;$C41&amp;"; ","")</f>
        <v/>
      </c>
      <c r="BK41" s="1879" t="str">
        <f>IF(AND($P$8=1,$B41="Long length",'6c_Health_part_time'!G35&lt;&gt;0),H$15&amp;", "&amp;$A41&amp;", "&amp;$B41&amp;", "&amp;$C41&amp;"; ","")</f>
        <v/>
      </c>
      <c r="BL41" s="1653" t="str">
        <f>IF(AND($P$8=1,$B41="Long length",'6c_Health_part_time'!H35&lt;&gt;0),I$15&amp;", "&amp;$A41&amp;", "&amp;$B41&amp;", "&amp;$C41&amp;"; ","")</f>
        <v/>
      </c>
      <c r="BM41" s="1653" t="str">
        <f>IF(AND($P$8=1,$B41="Long length",'6c_Health_part_time'!I35&lt;&gt;0),J$15&amp;", "&amp;$A41&amp;", "&amp;$B41&amp;", "&amp;$C41&amp;"; ","")</f>
        <v/>
      </c>
      <c r="BO41" s="130"/>
    </row>
    <row r="42" spans="1:67" x14ac:dyDescent="0.35">
      <c r="A42" t="s">
        <v>27898</v>
      </c>
      <c r="B42" t="s">
        <v>27888</v>
      </c>
      <c r="C42" t="s">
        <v>27891</v>
      </c>
      <c r="D42" s="118"/>
      <c r="E42" s="109" t="str">
        <f>IF(AND($D$8=1,'6c_Health_part_time'!D36&lt;0),E$14&amp;", "&amp;E$15&amp;", "&amp;$A42&amp;", "&amp;$B42&amp;", "&amp;$C42&amp;"; ","")</f>
        <v/>
      </c>
      <c r="F42" s="108" t="str">
        <f>IF(AND($D$8=1,'6c_Health_part_time'!E36&lt;0),F$14&amp;", "&amp;F$15&amp;", "&amp;$A42&amp;", "&amp;$B42&amp;", "&amp;$C42&amp;"; ","")</f>
        <v/>
      </c>
      <c r="G42" s="108" t="str">
        <f>IF(AND($D$8=1,'6c_Health_part_time'!F36&lt;0),G$14&amp;", "&amp;G$15&amp;", "&amp;$A42&amp;", "&amp;$B42&amp;", "&amp;$C42&amp;"; ","")</f>
        <v/>
      </c>
      <c r="H42" s="109" t="str">
        <f>IF(AND($D$8=1,'6c_Health_part_time'!G36&lt;0),H$14&amp;", "&amp;H$15&amp;", "&amp;$A42&amp;", "&amp;$B42&amp;", "&amp;$C42&amp;"; ","")</f>
        <v/>
      </c>
      <c r="I42" s="108" t="str">
        <f>IF(AND($D$8=1,'6c_Health_part_time'!H36&lt;0),I$14&amp;", "&amp;I$15&amp;", "&amp;$A42&amp;", "&amp;$B42&amp;", "&amp;$C42&amp;"; ","")</f>
        <v/>
      </c>
      <c r="J42" s="108" t="str">
        <f>IF(AND($D$8=1,'6c_Health_part_time'!I36&lt;0),J$14&amp;", "&amp;J$15&amp;", "&amp;$A42&amp;", "&amp;$B42&amp;", "&amp;$C42&amp;"; ","")</f>
        <v/>
      </c>
      <c r="L42" s="118"/>
      <c r="N42" s="113"/>
      <c r="O42" s="112"/>
      <c r="P42" s="112"/>
      <c r="Q42" s="113"/>
      <c r="R42" s="112"/>
      <c r="S42" s="112"/>
      <c r="U42" s="118"/>
      <c r="W42" s="109" t="str">
        <f>IF(AND($F$8=1,'6c_Health_part_time'!D36&lt;&gt;"",ABS('6c_Health_part_time'!D36)-INT(ABS('6c_Health_part_time'!D36))&lt;&gt;0,ABS('6c_Health_part_time'!D36)-INT(ABS('6c_Health_part_time'!D36))&lt;&gt;0.5),E$14&amp;", "&amp;E$15&amp;", "&amp;$A42&amp;", "&amp;$B42&amp;", "&amp;$C42&amp;"; ","")</f>
        <v/>
      </c>
      <c r="X42" s="108" t="str">
        <f>IF(AND($F$8=1,'6c_Health_part_time'!E36&lt;&gt;"",ABS('6c_Health_part_time'!E36)-INT(ABS('6c_Health_part_time'!E36))&lt;&gt;0,ABS('6c_Health_part_time'!E36)-INT(ABS('6c_Health_part_time'!E36))&lt;&gt;0.5),F$14&amp;", "&amp;F$15&amp;", "&amp;$A42&amp;", "&amp;$B42&amp;", "&amp;$C42&amp;"; ","")</f>
        <v/>
      </c>
      <c r="Y42" s="108" t="str">
        <f>IF(AND($F$8=1,'6c_Health_part_time'!F36&lt;&gt;"",ABS('6c_Health_part_time'!F36)-INT(ABS('6c_Health_part_time'!F36))&lt;&gt;0,ABS('6c_Health_part_time'!F36)-INT(ABS('6c_Health_part_time'!F36))&lt;&gt;0.5),G$14&amp;", "&amp;G$15&amp;", "&amp;$A42&amp;", "&amp;$B42&amp;", "&amp;$C42&amp;"; ","")</f>
        <v/>
      </c>
      <c r="Z42" s="109" t="str">
        <f>IF(AND($F$8=1,'6c_Health_part_time'!G36&lt;&gt;"",ABS('6c_Health_part_time'!G36)-INT(ABS('6c_Health_part_time'!G36))&lt;&gt;0,ABS('6c_Health_part_time'!G36)-INT(ABS('6c_Health_part_time'!G36))&lt;&gt;0.5),H$14&amp;", "&amp;H$15&amp;", "&amp;$A42&amp;", "&amp;$B42&amp;", "&amp;$C42&amp;"; ","")</f>
        <v/>
      </c>
      <c r="AA42" s="108" t="str">
        <f>IF(AND($F$8=1,'6c_Health_part_time'!H36&lt;&gt;"",ABS('6c_Health_part_time'!H36)-INT(ABS('6c_Health_part_time'!H36))&lt;&gt;0,ABS('6c_Health_part_time'!H36)-INT(ABS('6c_Health_part_time'!H36))&lt;&gt;0.5),I$14&amp;", "&amp;I$15&amp;", "&amp;$A42&amp;", "&amp;$B42&amp;", "&amp;$C42&amp;"; ","")</f>
        <v/>
      </c>
      <c r="AB42" s="210" t="str">
        <f>IF(AND($F$8=1,'6c_Health_part_time'!I36&lt;&gt;"",ABS('6c_Health_part_time'!I36)-INT(ABS('6c_Health_part_time'!I36))&lt;&gt;0,ABS('6c_Health_part_time'!I36)-INT(ABS('6c_Health_part_time'!I36))&lt;&gt;0.5),J$14&amp;", "&amp;J$15&amp;", "&amp;$A42&amp;", "&amp;$B42&amp;", "&amp;$C42&amp;"; ","")</f>
        <v/>
      </c>
      <c r="AC42" s="17"/>
      <c r="AD42" s="118"/>
      <c r="AG42" t="s">
        <v>225</v>
      </c>
      <c r="AH42" t="s">
        <v>27892</v>
      </c>
      <c r="AI42" t="s">
        <v>27891</v>
      </c>
      <c r="AJ42" s="109">
        <f>'3_Part_time'!G32</f>
        <v>0</v>
      </c>
      <c r="AK42" s="108">
        <f>'3_Part_time'!H32</f>
        <v>0</v>
      </c>
      <c r="AL42" s="121"/>
      <c r="AM42" s="109">
        <f>'3_Part_time'!J32</f>
        <v>0</v>
      </c>
      <c r="AN42" s="108">
        <f>'3_Part_time'!K32</f>
        <v>0</v>
      </c>
      <c r="AO42" s="116"/>
      <c r="AQ42" s="118"/>
      <c r="AT42" s="562" t="str">
        <f>IF(AND($I$8=1,ABS(SUM('6c_Health_part_time'!D36:E36))&lt;ABS('6c_Health_part_time'!F36)),E$14&amp;", "&amp;$A42&amp;", "&amp;$B42&amp;", "&amp;$C42&amp;"; ","")</f>
        <v/>
      </c>
      <c r="AW42" s="562" t="str">
        <f>IF(AND($I$8=1,ABS(SUM('6c_Health_part_time'!G36:H36))&lt;ABS('6c_Health_part_time'!I36)),H$14&amp;", "&amp;$A42&amp;", "&amp;$B42&amp;", "&amp;$C42&amp;"; ","")</f>
        <v/>
      </c>
      <c r="AY42" s="118"/>
      <c r="BG42" s="130"/>
      <c r="BH42" s="333" t="str">
        <f>IF(AND($P$8=1,$B42="Long length",'6c_Health_part_time'!D36&lt;&gt;0),E$15&amp;", "&amp;$A42&amp;", "&amp;$B42&amp;", "&amp;$C42&amp;"; ","")</f>
        <v/>
      </c>
      <c r="BI42" s="108" t="str">
        <f>IF(AND($P$8=1,$B42="Long length",'6c_Health_part_time'!E36&lt;&gt;0),F$15&amp;", "&amp;$A42&amp;", "&amp;$B42&amp;", "&amp;$C42&amp;"; ","")</f>
        <v/>
      </c>
      <c r="BJ42" s="108" t="str">
        <f>IF(AND($P$8=1,$B42="Long length",'6c_Health_part_time'!F36&lt;&gt;0),G$15&amp;", "&amp;$A42&amp;", "&amp;$B42&amp;", "&amp;$C42&amp;"; ","")</f>
        <v/>
      </c>
      <c r="BK42" s="333" t="str">
        <f>IF(AND($P$8=1,$B42="Long length",'6c_Health_part_time'!G36&lt;&gt;0),H$15&amp;", "&amp;$A42&amp;", "&amp;$B42&amp;", "&amp;$C42&amp;"; ","")</f>
        <v/>
      </c>
      <c r="BL42" s="108" t="str">
        <f>IF(AND($P$8=1,$B42="Long length",'6c_Health_part_time'!H36&lt;&gt;0),I$15&amp;", "&amp;$A42&amp;", "&amp;$B42&amp;", "&amp;$C42&amp;"; ","")</f>
        <v/>
      </c>
      <c r="BM42" s="108" t="str">
        <f>IF(AND($P$8=1,$B42="Long length",'6c_Health_part_time'!I36&lt;&gt;0),J$15&amp;", "&amp;$A42&amp;", "&amp;$B42&amp;", "&amp;$C42&amp;"; ","")</f>
        <v/>
      </c>
      <c r="BO42" s="130"/>
    </row>
    <row r="43" spans="1:67" x14ac:dyDescent="0.35">
      <c r="A43" t="s">
        <v>27898</v>
      </c>
      <c r="B43" t="s">
        <v>27892</v>
      </c>
      <c r="C43" t="s">
        <v>27889</v>
      </c>
      <c r="D43" s="118"/>
      <c r="E43" s="109" t="str">
        <f>IF(AND($D$8=1,'6c_Health_part_time'!D37&lt;0),E$14&amp;", "&amp;E$15&amp;", "&amp;$A43&amp;", "&amp;$B43&amp;", "&amp;$C43&amp;"; ","")</f>
        <v/>
      </c>
      <c r="F43" s="108" t="str">
        <f>IF(AND($D$8=1,'6c_Health_part_time'!E37&lt;0),F$14&amp;", "&amp;F$15&amp;", "&amp;$A43&amp;", "&amp;$B43&amp;", "&amp;$C43&amp;"; ","")</f>
        <v/>
      </c>
      <c r="G43" s="108" t="str">
        <f>IF(AND($D$8=1,'6c_Health_part_time'!F37&lt;0),G$14&amp;", "&amp;G$15&amp;", "&amp;$A43&amp;", "&amp;$B43&amp;", "&amp;$C43&amp;"; ","")</f>
        <v/>
      </c>
      <c r="H43" s="109" t="str">
        <f>IF(AND($D$8=1,'6c_Health_part_time'!G37&lt;0),H$14&amp;", "&amp;H$15&amp;", "&amp;$A43&amp;", "&amp;$B43&amp;", "&amp;$C43&amp;"; ","")</f>
        <v/>
      </c>
      <c r="I43" s="108" t="str">
        <f>IF(AND($D$8=1,'6c_Health_part_time'!H37&lt;0),I$14&amp;", "&amp;I$15&amp;", "&amp;$A43&amp;", "&amp;$B43&amp;", "&amp;$C43&amp;"; ","")</f>
        <v/>
      </c>
      <c r="J43" s="108" t="str">
        <f>IF(AND($D$8=1,'6c_Health_part_time'!I37&lt;0),J$14&amp;", "&amp;J$15&amp;", "&amp;$A43&amp;", "&amp;$B43&amp;", "&amp;$C43&amp;"; ","")</f>
        <v/>
      </c>
      <c r="L43" s="118"/>
      <c r="N43" s="113"/>
      <c r="O43" s="112"/>
      <c r="P43" s="112"/>
      <c r="Q43" s="113"/>
      <c r="R43" s="112"/>
      <c r="S43" s="112"/>
      <c r="U43" s="118"/>
      <c r="W43" s="109" t="str">
        <f>IF(AND($F$8=1,'6c_Health_part_time'!D37&lt;&gt;"",ABS('6c_Health_part_time'!D37)-INT(ABS('6c_Health_part_time'!D37))&lt;&gt;0,ABS('6c_Health_part_time'!D37)-INT(ABS('6c_Health_part_time'!D37))&lt;&gt;0.5),E$14&amp;", "&amp;E$15&amp;", "&amp;$A43&amp;", "&amp;$B43&amp;", "&amp;$C43&amp;"; ","")</f>
        <v/>
      </c>
      <c r="X43" s="108" t="str">
        <f>IF(AND($F$8=1,'6c_Health_part_time'!E37&lt;&gt;"",ABS('6c_Health_part_time'!E37)-INT(ABS('6c_Health_part_time'!E37))&lt;&gt;0,ABS('6c_Health_part_time'!E37)-INT(ABS('6c_Health_part_time'!E37))&lt;&gt;0.5),F$14&amp;", "&amp;F$15&amp;", "&amp;$A43&amp;", "&amp;$B43&amp;", "&amp;$C43&amp;"; ","")</f>
        <v/>
      </c>
      <c r="Y43" s="108" t="str">
        <f>IF(AND($F$8=1,'6c_Health_part_time'!F37&lt;&gt;"",ABS('6c_Health_part_time'!F37)-INT(ABS('6c_Health_part_time'!F37))&lt;&gt;0,ABS('6c_Health_part_time'!F37)-INT(ABS('6c_Health_part_time'!F37))&lt;&gt;0.5),G$14&amp;", "&amp;G$15&amp;", "&amp;$A43&amp;", "&amp;$B43&amp;", "&amp;$C43&amp;"; ","")</f>
        <v/>
      </c>
      <c r="Z43" s="109" t="str">
        <f>IF(AND($F$8=1,'6c_Health_part_time'!G37&lt;&gt;"",ABS('6c_Health_part_time'!G37)-INT(ABS('6c_Health_part_time'!G37))&lt;&gt;0,ABS('6c_Health_part_time'!G37)-INT(ABS('6c_Health_part_time'!G37))&lt;&gt;0.5),H$14&amp;", "&amp;H$15&amp;", "&amp;$A43&amp;", "&amp;$B43&amp;", "&amp;$C43&amp;"; ","")</f>
        <v/>
      </c>
      <c r="AA43" s="108" t="str">
        <f>IF(AND($F$8=1,'6c_Health_part_time'!H37&lt;&gt;"",ABS('6c_Health_part_time'!H37)-INT(ABS('6c_Health_part_time'!H37))&lt;&gt;0,ABS('6c_Health_part_time'!H37)-INT(ABS('6c_Health_part_time'!H37))&lt;&gt;0.5),I$14&amp;", "&amp;I$15&amp;", "&amp;$A43&amp;", "&amp;$B43&amp;", "&amp;$C43&amp;"; ","")</f>
        <v/>
      </c>
      <c r="AB43" s="210" t="str">
        <f>IF(AND($F$8=1,'6c_Health_part_time'!I37&lt;&gt;"",ABS('6c_Health_part_time'!I37)-INT(ABS('6c_Health_part_time'!I37))&lt;&gt;0,ABS('6c_Health_part_time'!I37)-INT(ABS('6c_Health_part_time'!I37))&lt;&gt;0.5),J$14&amp;", "&amp;J$15&amp;", "&amp;$A43&amp;", "&amp;$B43&amp;", "&amp;$C43&amp;"; ","")</f>
        <v/>
      </c>
      <c r="AC43" s="17"/>
      <c r="AD43" s="118"/>
      <c r="AG43" t="s">
        <v>225</v>
      </c>
      <c r="AH43" t="s">
        <v>27888</v>
      </c>
      <c r="AI43" t="s">
        <v>27894</v>
      </c>
      <c r="AJ43" s="109">
        <f>'3_Part_time'!G27</f>
        <v>0</v>
      </c>
      <c r="AK43" s="108">
        <f>'3_Part_time'!H27</f>
        <v>0</v>
      </c>
      <c r="AL43" s="121"/>
      <c r="AM43" s="109">
        <f>'3_Part_time'!J27</f>
        <v>0</v>
      </c>
      <c r="AN43" s="108">
        <f>'3_Part_time'!K27</f>
        <v>0</v>
      </c>
      <c r="AO43" s="121"/>
      <c r="AQ43" s="118"/>
      <c r="AT43" s="562" t="str">
        <f>IF(AND($I$8=1,ABS(SUM('6c_Health_part_time'!D37:E37))&lt;ABS('6c_Health_part_time'!F37)),E$14&amp;", "&amp;$A43&amp;", "&amp;$B43&amp;", "&amp;$C43&amp;"; ","")</f>
        <v/>
      </c>
      <c r="AW43" s="562" t="str">
        <f>IF(AND($I$8=1,ABS(SUM('6c_Health_part_time'!G37:H37))&lt;ABS('6c_Health_part_time'!I37)),H$14&amp;", "&amp;$A43&amp;", "&amp;$B43&amp;", "&amp;$C43&amp;"; ","")</f>
        <v/>
      </c>
      <c r="AY43" s="118"/>
      <c r="BG43" s="130"/>
      <c r="BH43" s="333" t="str">
        <f>IF(AND($P$8=1,$B43="Long length",'6c_Health_part_time'!D37&lt;&gt;0),E$15&amp;", "&amp;$A43&amp;", "&amp;$B43&amp;", "&amp;$C43&amp;"; ","")</f>
        <v/>
      </c>
      <c r="BI43" s="108" t="str">
        <f>IF(AND($P$8=1,$B43="Long length",'6c_Health_part_time'!E37&lt;&gt;0),F$15&amp;", "&amp;$A43&amp;", "&amp;$B43&amp;", "&amp;$C43&amp;"; ","")</f>
        <v/>
      </c>
      <c r="BJ43" s="108" t="str">
        <f>IF(AND($P$8=1,$B43="Long length",'6c_Health_part_time'!F37&lt;&gt;0),G$15&amp;", "&amp;$A43&amp;", "&amp;$B43&amp;", "&amp;$C43&amp;"; ","")</f>
        <v/>
      </c>
      <c r="BK43" s="333" t="str">
        <f>IF(AND($P$8=1,$B43="Long length",'6c_Health_part_time'!G37&lt;&gt;0),H$15&amp;", "&amp;$A43&amp;", "&amp;$B43&amp;", "&amp;$C43&amp;"; ","")</f>
        <v/>
      </c>
      <c r="BL43" s="108" t="str">
        <f>IF(AND($P$8=1,$B43="Long length",'6c_Health_part_time'!H37&lt;&gt;0),I$15&amp;", "&amp;$A43&amp;", "&amp;$B43&amp;", "&amp;$C43&amp;"; ","")</f>
        <v/>
      </c>
      <c r="BM43" s="108" t="str">
        <f>IF(AND($P$8=1,$B43="Long length",'6c_Health_part_time'!I37&lt;&gt;0),J$15&amp;", "&amp;$A43&amp;", "&amp;$B43&amp;", "&amp;$C43&amp;"; ","")</f>
        <v/>
      </c>
      <c r="BO43" s="130"/>
    </row>
    <row r="44" spans="1:67" x14ac:dyDescent="0.35">
      <c r="A44" t="s">
        <v>27898</v>
      </c>
      <c r="B44" t="s">
        <v>27892</v>
      </c>
      <c r="C44" t="s">
        <v>27891</v>
      </c>
      <c r="D44" s="118"/>
      <c r="E44" s="109" t="str">
        <f>IF(AND($D$8=1,'6c_Health_part_time'!D38&lt;0),E$14&amp;", "&amp;E$15&amp;", "&amp;$A44&amp;", "&amp;$B44&amp;", "&amp;$C44&amp;"; ","")</f>
        <v/>
      </c>
      <c r="F44" s="108" t="str">
        <f>IF(AND($D$8=1,'6c_Health_part_time'!E38&lt;0),F$14&amp;", "&amp;F$15&amp;", "&amp;$A44&amp;", "&amp;$B44&amp;", "&amp;$C44&amp;"; ","")</f>
        <v/>
      </c>
      <c r="G44" s="108" t="str">
        <f>IF(AND($D$8=1,'6c_Health_part_time'!F38&lt;0),G$14&amp;", "&amp;G$15&amp;", "&amp;$A44&amp;", "&amp;$B44&amp;", "&amp;$C44&amp;"; ","")</f>
        <v/>
      </c>
      <c r="H44" s="109" t="str">
        <f>IF(AND($D$8=1,'6c_Health_part_time'!G38&lt;0),H$14&amp;", "&amp;H$15&amp;", "&amp;$A44&amp;", "&amp;$B44&amp;", "&amp;$C44&amp;"; ","")</f>
        <v/>
      </c>
      <c r="I44" s="108" t="str">
        <f>IF(AND($D$8=1,'6c_Health_part_time'!H38&lt;0),I$14&amp;", "&amp;I$15&amp;", "&amp;$A44&amp;", "&amp;$B44&amp;", "&amp;$C44&amp;"; ","")</f>
        <v/>
      </c>
      <c r="J44" s="108" t="str">
        <f>IF(AND($D$8=1,'6c_Health_part_time'!I38&lt;0),J$14&amp;", "&amp;J$15&amp;", "&amp;$A44&amp;", "&amp;$B44&amp;", "&amp;$C44&amp;"; ","")</f>
        <v/>
      </c>
      <c r="L44" s="118"/>
      <c r="N44" s="113"/>
      <c r="O44" s="112"/>
      <c r="P44" s="112"/>
      <c r="Q44" s="113"/>
      <c r="R44" s="112"/>
      <c r="S44" s="112"/>
      <c r="U44" s="118"/>
      <c r="W44" s="109" t="str">
        <f>IF(AND($F$8=1,'6c_Health_part_time'!D38&lt;&gt;"",ABS('6c_Health_part_time'!D38)-INT(ABS('6c_Health_part_time'!D38))&lt;&gt;0,ABS('6c_Health_part_time'!D38)-INT(ABS('6c_Health_part_time'!D38))&lt;&gt;0.5),E$14&amp;", "&amp;E$15&amp;", "&amp;$A44&amp;", "&amp;$B44&amp;", "&amp;$C44&amp;"; ","")</f>
        <v/>
      </c>
      <c r="X44" s="108" t="str">
        <f>IF(AND($F$8=1,'6c_Health_part_time'!E38&lt;&gt;"",ABS('6c_Health_part_time'!E38)-INT(ABS('6c_Health_part_time'!E38))&lt;&gt;0,ABS('6c_Health_part_time'!E38)-INT(ABS('6c_Health_part_time'!E38))&lt;&gt;0.5),F$14&amp;", "&amp;F$15&amp;", "&amp;$A44&amp;", "&amp;$B44&amp;", "&amp;$C44&amp;"; ","")</f>
        <v/>
      </c>
      <c r="Y44" s="108" t="str">
        <f>IF(AND($F$8=1,'6c_Health_part_time'!F38&lt;&gt;"",ABS('6c_Health_part_time'!F38)-INT(ABS('6c_Health_part_time'!F38))&lt;&gt;0,ABS('6c_Health_part_time'!F38)-INT(ABS('6c_Health_part_time'!F38))&lt;&gt;0.5),G$14&amp;", "&amp;G$15&amp;", "&amp;$A44&amp;", "&amp;$B44&amp;", "&amp;$C44&amp;"; ","")</f>
        <v/>
      </c>
      <c r="Z44" s="109" t="str">
        <f>IF(AND($F$8=1,'6c_Health_part_time'!G38&lt;&gt;"",ABS('6c_Health_part_time'!G38)-INT(ABS('6c_Health_part_time'!G38))&lt;&gt;0,ABS('6c_Health_part_time'!G38)-INT(ABS('6c_Health_part_time'!G38))&lt;&gt;0.5),H$14&amp;", "&amp;H$15&amp;", "&amp;$A44&amp;", "&amp;$B44&amp;", "&amp;$C44&amp;"; ","")</f>
        <v/>
      </c>
      <c r="AA44" s="108" t="str">
        <f>IF(AND($F$8=1,'6c_Health_part_time'!H38&lt;&gt;"",ABS('6c_Health_part_time'!H38)-INT(ABS('6c_Health_part_time'!H38))&lt;&gt;0,ABS('6c_Health_part_time'!H38)-INT(ABS('6c_Health_part_time'!H38))&lt;&gt;0.5),I$14&amp;", "&amp;I$15&amp;", "&amp;$A44&amp;", "&amp;$B44&amp;", "&amp;$C44&amp;"; ","")</f>
        <v/>
      </c>
      <c r="AB44" s="210" t="str">
        <f>IF(AND($F$8=1,'6c_Health_part_time'!I38&lt;&gt;"",ABS('6c_Health_part_time'!I38)-INT(ABS('6c_Health_part_time'!I38))&lt;&gt;0,ABS('6c_Health_part_time'!I38)-INT(ABS('6c_Health_part_time'!I38))&lt;&gt;0.5),J$14&amp;", "&amp;J$15&amp;", "&amp;$A44&amp;", "&amp;$B44&amp;", "&amp;$C44&amp;"; ","")</f>
        <v/>
      </c>
      <c r="AC44" s="17"/>
      <c r="AD44" s="118"/>
      <c r="AG44" t="s">
        <v>225</v>
      </c>
      <c r="AH44" t="s">
        <v>27892</v>
      </c>
      <c r="AI44" t="s">
        <v>27894</v>
      </c>
      <c r="AJ44" s="124">
        <f>'3_Part_time'!G33</f>
        <v>0</v>
      </c>
      <c r="AK44" s="125">
        <f>'3_Part_time'!H33</f>
        <v>0</v>
      </c>
      <c r="AL44" s="123"/>
      <c r="AM44" s="124">
        <f>'3_Part_time'!J33</f>
        <v>0</v>
      </c>
      <c r="AN44" s="125">
        <f>'3_Part_time'!K33</f>
        <v>0</v>
      </c>
      <c r="AO44" s="123"/>
      <c r="AQ44" s="118"/>
      <c r="AT44" s="562" t="str">
        <f>IF(AND($I$8=1,ABS(SUM('6c_Health_part_time'!D38:E38))&lt;ABS('6c_Health_part_time'!F38)),E$14&amp;", "&amp;$A44&amp;", "&amp;$B44&amp;", "&amp;$C44&amp;"; ","")</f>
        <v/>
      </c>
      <c r="AW44" s="562" t="str">
        <f>IF(AND($I$8=1,ABS(SUM('6c_Health_part_time'!G38:H38))&lt;ABS('6c_Health_part_time'!I38)),H$14&amp;", "&amp;$A44&amp;", "&amp;$B44&amp;", "&amp;$C44&amp;"; ","")</f>
        <v/>
      </c>
      <c r="AY44" s="118"/>
      <c r="BG44" s="130"/>
      <c r="BH44" s="333" t="str">
        <f>IF(AND($P$8=1,$B44="Long length",'6c_Health_part_time'!D38&lt;&gt;0),E$15&amp;", "&amp;$A44&amp;", "&amp;$B44&amp;", "&amp;$C44&amp;"; ","")</f>
        <v/>
      </c>
      <c r="BI44" s="108" t="str">
        <f>IF(AND($P$8=1,$B44="Long length",'6c_Health_part_time'!E38&lt;&gt;0),F$15&amp;", "&amp;$A44&amp;", "&amp;$B44&amp;", "&amp;$C44&amp;"; ","")</f>
        <v/>
      </c>
      <c r="BJ44" s="108" t="str">
        <f>IF(AND($P$8=1,$B44="Long length",'6c_Health_part_time'!F38&lt;&gt;0),G$15&amp;", "&amp;$A44&amp;", "&amp;$B44&amp;", "&amp;$C44&amp;"; ","")</f>
        <v/>
      </c>
      <c r="BK44" s="333" t="str">
        <f>IF(AND($P$8=1,$B44="Long length",'6c_Health_part_time'!G38&lt;&gt;0),H$15&amp;", "&amp;$A44&amp;", "&amp;$B44&amp;", "&amp;$C44&amp;"; ","")</f>
        <v/>
      </c>
      <c r="BL44" s="108" t="str">
        <f>IF(AND($P$8=1,$B44="Long length",'6c_Health_part_time'!H38&lt;&gt;0),I$15&amp;", "&amp;$A44&amp;", "&amp;$B44&amp;", "&amp;$C44&amp;"; ","")</f>
        <v/>
      </c>
      <c r="BM44" s="108" t="str">
        <f>IF(AND($P$8=1,$B44="Long length",'6c_Health_part_time'!I38&lt;&gt;0),J$15&amp;", "&amp;$A44&amp;", "&amp;$B44&amp;", "&amp;$C44&amp;"; ","")</f>
        <v/>
      </c>
      <c r="BO44" s="130"/>
    </row>
    <row r="45" spans="1:67" x14ac:dyDescent="0.35">
      <c r="A45" t="s">
        <v>27899</v>
      </c>
      <c r="B45" t="s">
        <v>27888</v>
      </c>
      <c r="C45" t="s">
        <v>27889</v>
      </c>
      <c r="D45" s="118"/>
      <c r="E45" s="1885" t="str">
        <f>IF(AND($D$8=1,'6c_Health_part_time'!D39&lt;0),E$14&amp;", "&amp;E$15&amp;", "&amp;$A45&amp;", "&amp;$B45&amp;", "&amp;$C45&amp;"; ","")</f>
        <v/>
      </c>
      <c r="F45" s="1653" t="str">
        <f>IF(AND($D$8=1,'6c_Health_part_time'!E39&lt;0),F$14&amp;", "&amp;F$15&amp;", "&amp;$A45&amp;", "&amp;$B45&amp;", "&amp;$C45&amp;"; ","")</f>
        <v/>
      </c>
      <c r="G45" s="1653" t="str">
        <f>IF(AND($D$8=1,'6c_Health_part_time'!F39&lt;0),G$14&amp;", "&amp;G$15&amp;", "&amp;$A45&amp;", "&amp;$B45&amp;", "&amp;$C45&amp;"; ","")</f>
        <v/>
      </c>
      <c r="H45" s="1885" t="str">
        <f>IF(AND($D$8=1,'6c_Health_part_time'!G39&lt;0),H$14&amp;", "&amp;H$15&amp;", "&amp;$A45&amp;", "&amp;$B45&amp;", "&amp;$C45&amp;"; ","")</f>
        <v/>
      </c>
      <c r="I45" s="1653" t="str">
        <f>IF(AND($D$8=1,'6c_Health_part_time'!H39&lt;0),I$14&amp;", "&amp;I$15&amp;", "&amp;$A45&amp;", "&amp;$B45&amp;", "&amp;$C45&amp;"; ","")</f>
        <v/>
      </c>
      <c r="J45" s="1653" t="str">
        <f>IF(AND($D$8=1,'6c_Health_part_time'!I39&lt;0),J$14&amp;", "&amp;J$15&amp;", "&amp;$A45&amp;", "&amp;$B45&amp;", "&amp;$C45&amp;"; ","")</f>
        <v/>
      </c>
      <c r="L45" s="118"/>
      <c r="N45" s="1911"/>
      <c r="O45" s="1654"/>
      <c r="P45" s="1654"/>
      <c r="Q45" s="1911"/>
      <c r="R45" s="1654"/>
      <c r="S45" s="1654"/>
      <c r="U45" s="118"/>
      <c r="W45" s="1885" t="str">
        <f>IF(AND($F$8=1,'6c_Health_part_time'!D39&lt;&gt;"",ABS('6c_Health_part_time'!D39)-INT(ABS('6c_Health_part_time'!D39))&lt;&gt;0,ABS('6c_Health_part_time'!D39)-INT(ABS('6c_Health_part_time'!D39))&lt;&gt;0.5),E$14&amp;", "&amp;E$15&amp;", "&amp;$A45&amp;", "&amp;$B45&amp;", "&amp;$C45&amp;"; ","")</f>
        <v/>
      </c>
      <c r="X45" s="1653" t="str">
        <f>IF(AND($F$8=1,'6c_Health_part_time'!E39&lt;&gt;"",ABS('6c_Health_part_time'!E39)-INT(ABS('6c_Health_part_time'!E39))&lt;&gt;0,ABS('6c_Health_part_time'!E39)-INT(ABS('6c_Health_part_time'!E39))&lt;&gt;0.5),F$14&amp;", "&amp;F$15&amp;", "&amp;$A45&amp;", "&amp;$B45&amp;", "&amp;$C45&amp;"; ","")</f>
        <v/>
      </c>
      <c r="Y45" s="1653" t="str">
        <f>IF(AND($F$8=1,'6c_Health_part_time'!F39&lt;&gt;"",ABS('6c_Health_part_time'!F39)-INT(ABS('6c_Health_part_time'!F39))&lt;&gt;0,ABS('6c_Health_part_time'!F39)-INT(ABS('6c_Health_part_time'!F39))&lt;&gt;0.5),G$14&amp;", "&amp;G$15&amp;", "&amp;$A45&amp;", "&amp;$B45&amp;", "&amp;$C45&amp;"; ","")</f>
        <v/>
      </c>
      <c r="Z45" s="1885" t="str">
        <f>IF(AND($F$8=1,'6c_Health_part_time'!G39&lt;&gt;"",ABS('6c_Health_part_time'!G39)-INT(ABS('6c_Health_part_time'!G39))&lt;&gt;0,ABS('6c_Health_part_time'!G39)-INT(ABS('6c_Health_part_time'!G39))&lt;&gt;0.5),H$14&amp;", "&amp;H$15&amp;", "&amp;$A45&amp;", "&amp;$B45&amp;", "&amp;$C45&amp;"; ","")</f>
        <v/>
      </c>
      <c r="AA45" s="1653" t="str">
        <f>IF(AND($F$8=1,'6c_Health_part_time'!H39&lt;&gt;"",ABS('6c_Health_part_time'!H39)-INT(ABS('6c_Health_part_time'!H39))&lt;&gt;0,ABS('6c_Health_part_time'!H39)-INT(ABS('6c_Health_part_time'!H39))&lt;&gt;0.5),I$14&amp;", "&amp;I$15&amp;", "&amp;$A45&amp;", "&amp;$B45&amp;", "&amp;$C45&amp;"; ","")</f>
        <v/>
      </c>
      <c r="AB45" s="1890" t="str">
        <f>IF(AND($F$8=1,'6c_Health_part_time'!I39&lt;&gt;"",ABS('6c_Health_part_time'!I39)-INT(ABS('6c_Health_part_time'!I39))&lt;&gt;0,ABS('6c_Health_part_time'!I39)-INT(ABS('6c_Health_part_time'!I39))&lt;&gt;0.5),J$14&amp;", "&amp;J$15&amp;", "&amp;$A45&amp;", "&amp;$B45&amp;", "&amp;$C45&amp;"; ","")</f>
        <v/>
      </c>
      <c r="AC45" s="17"/>
      <c r="AD45" s="118"/>
      <c r="AG45" t="s">
        <v>238</v>
      </c>
      <c r="AH45" t="s">
        <v>27888</v>
      </c>
      <c r="AI45" t="s">
        <v>27889</v>
      </c>
      <c r="AJ45" s="1885">
        <f>SUM('3_Part_time'!G36:G37)</f>
        <v>0</v>
      </c>
      <c r="AK45" s="2197">
        <f>SUM('3_Part_time'!H36:H37)</f>
        <v>0</v>
      </c>
      <c r="AL45" s="1884"/>
      <c r="AM45" s="1885">
        <f>SUM('3_Part_time'!J36:J37)</f>
        <v>0</v>
      </c>
      <c r="AN45" s="2195">
        <f>SUM('3_Part_time'!K36:K37)</f>
        <v>0</v>
      </c>
      <c r="AO45" s="2190"/>
      <c r="AQ45" s="118"/>
      <c r="AT45" s="1886" t="str">
        <f>IF(AND($I$8=1,ABS(SUM('6c_Health_part_time'!D39:E39))&lt;ABS('6c_Health_part_time'!F39)),E$14&amp;", "&amp;$A45&amp;", "&amp;$B45&amp;", "&amp;$C45&amp;"; ","")</f>
        <v/>
      </c>
      <c r="AW45" s="1886" t="str">
        <f>IF(AND($I$8=1,ABS(SUM('6c_Health_part_time'!G39:H39))&lt;ABS('6c_Health_part_time'!I39)),H$14&amp;", "&amp;$A45&amp;", "&amp;$B45&amp;", "&amp;$C45&amp;"; ","")</f>
        <v/>
      </c>
      <c r="AY45" s="118"/>
      <c r="BG45" s="130"/>
      <c r="BH45" s="1879" t="str">
        <f>IF(AND($P$8=1,$B45="Long length",'6c_Health_part_time'!D39&lt;&gt;0),E$15&amp;", "&amp;$A45&amp;", "&amp;$B45&amp;", "&amp;$C45&amp;"; ","")</f>
        <v/>
      </c>
      <c r="BI45" s="1653" t="str">
        <f>IF(AND($P$8=1,$B45="Long length",'6c_Health_part_time'!E39&lt;&gt;0),F$15&amp;", "&amp;$A45&amp;", "&amp;$B45&amp;", "&amp;$C45&amp;"; ","")</f>
        <v/>
      </c>
      <c r="BJ45" s="1653" t="str">
        <f>IF(AND($P$8=1,$B45="Long length",'6c_Health_part_time'!F39&lt;&gt;0),G$15&amp;", "&amp;$A45&amp;", "&amp;$B45&amp;", "&amp;$C45&amp;"; ","")</f>
        <v/>
      </c>
      <c r="BK45" s="1879" t="str">
        <f>IF(AND($P$8=1,$B45="Long length",'6c_Health_part_time'!G39&lt;&gt;0),H$15&amp;", "&amp;$A45&amp;", "&amp;$B45&amp;", "&amp;$C45&amp;"; ","")</f>
        <v/>
      </c>
      <c r="BL45" s="1653" t="str">
        <f>IF(AND($P$8=1,$B45="Long length",'6c_Health_part_time'!H39&lt;&gt;0),I$15&amp;", "&amp;$A45&amp;", "&amp;$B45&amp;", "&amp;$C45&amp;"; ","")</f>
        <v/>
      </c>
      <c r="BM45" s="1653" t="str">
        <f>IF(AND($P$8=1,$B45="Long length",'6c_Health_part_time'!I39&lt;&gt;0),J$15&amp;", "&amp;$A45&amp;", "&amp;$B45&amp;", "&amp;$C45&amp;"; ","")</f>
        <v/>
      </c>
      <c r="BO45" s="130"/>
    </row>
    <row r="46" spans="1:67" x14ac:dyDescent="0.35">
      <c r="A46" t="s">
        <v>27899</v>
      </c>
      <c r="B46" t="s">
        <v>27888</v>
      </c>
      <c r="C46" t="s">
        <v>27891</v>
      </c>
      <c r="D46" s="118"/>
      <c r="E46" s="109" t="str">
        <f>IF(AND($D$8=1,'6c_Health_part_time'!D40&lt;0),E$14&amp;", "&amp;E$15&amp;", "&amp;$A46&amp;", "&amp;$B46&amp;", "&amp;$C46&amp;"; ","")</f>
        <v/>
      </c>
      <c r="F46" s="108" t="str">
        <f>IF(AND($D$8=1,'6c_Health_part_time'!E40&lt;0),F$14&amp;", "&amp;F$15&amp;", "&amp;$A46&amp;", "&amp;$B46&amp;", "&amp;$C46&amp;"; ","")</f>
        <v/>
      </c>
      <c r="G46" s="108" t="str">
        <f>IF(AND($D$8=1,'6c_Health_part_time'!F40&lt;0),G$14&amp;", "&amp;G$15&amp;", "&amp;$A46&amp;", "&amp;$B46&amp;", "&amp;$C46&amp;"; ","")</f>
        <v/>
      </c>
      <c r="H46" s="109" t="str">
        <f>IF(AND($D$8=1,'6c_Health_part_time'!G40&lt;0),H$14&amp;", "&amp;H$15&amp;", "&amp;$A46&amp;", "&amp;$B46&amp;", "&amp;$C46&amp;"; ","")</f>
        <v/>
      </c>
      <c r="I46" s="108" t="str">
        <f>IF(AND($D$8=1,'6c_Health_part_time'!H40&lt;0),I$14&amp;", "&amp;I$15&amp;", "&amp;$A46&amp;", "&amp;$B46&amp;", "&amp;$C46&amp;"; ","")</f>
        <v/>
      </c>
      <c r="J46" s="108" t="str">
        <f>IF(AND($D$8=1,'6c_Health_part_time'!I40&lt;0),J$14&amp;", "&amp;J$15&amp;", "&amp;$A46&amp;", "&amp;$B46&amp;", "&amp;$C46&amp;"; ","")</f>
        <v/>
      </c>
      <c r="L46" s="118"/>
      <c r="N46" s="113"/>
      <c r="O46" s="112"/>
      <c r="P46" s="112"/>
      <c r="Q46" s="113"/>
      <c r="R46" s="112"/>
      <c r="S46" s="112"/>
      <c r="U46" s="118"/>
      <c r="W46" s="109" t="str">
        <f>IF(AND($F$8=1,'6c_Health_part_time'!D40&lt;&gt;"",ABS('6c_Health_part_time'!D40)-INT(ABS('6c_Health_part_time'!D40))&lt;&gt;0,ABS('6c_Health_part_time'!D40)-INT(ABS('6c_Health_part_time'!D40))&lt;&gt;0.5),E$14&amp;", "&amp;E$15&amp;", "&amp;$A46&amp;", "&amp;$B46&amp;", "&amp;$C46&amp;"; ","")</f>
        <v/>
      </c>
      <c r="X46" s="108" t="str">
        <f>IF(AND($F$8=1,'6c_Health_part_time'!E40&lt;&gt;"",ABS('6c_Health_part_time'!E40)-INT(ABS('6c_Health_part_time'!E40))&lt;&gt;0,ABS('6c_Health_part_time'!E40)-INT(ABS('6c_Health_part_time'!E40))&lt;&gt;0.5),F$14&amp;", "&amp;F$15&amp;", "&amp;$A46&amp;", "&amp;$B46&amp;", "&amp;$C46&amp;"; ","")</f>
        <v/>
      </c>
      <c r="Y46" s="108" t="str">
        <f>IF(AND($F$8=1,'6c_Health_part_time'!F40&lt;&gt;"",ABS('6c_Health_part_time'!F40)-INT(ABS('6c_Health_part_time'!F40))&lt;&gt;0,ABS('6c_Health_part_time'!F40)-INT(ABS('6c_Health_part_time'!F40))&lt;&gt;0.5),G$14&amp;", "&amp;G$15&amp;", "&amp;$A46&amp;", "&amp;$B46&amp;", "&amp;$C46&amp;"; ","")</f>
        <v/>
      </c>
      <c r="Z46" s="109" t="str">
        <f>IF(AND($F$8=1,'6c_Health_part_time'!G40&lt;&gt;"",ABS('6c_Health_part_time'!G40)-INT(ABS('6c_Health_part_time'!G40))&lt;&gt;0,ABS('6c_Health_part_time'!G40)-INT(ABS('6c_Health_part_time'!G40))&lt;&gt;0.5),H$14&amp;", "&amp;H$15&amp;", "&amp;$A46&amp;", "&amp;$B46&amp;", "&amp;$C46&amp;"; ","")</f>
        <v/>
      </c>
      <c r="AA46" s="108" t="str">
        <f>IF(AND($F$8=1,'6c_Health_part_time'!H40&lt;&gt;"",ABS('6c_Health_part_time'!H40)-INT(ABS('6c_Health_part_time'!H40))&lt;&gt;0,ABS('6c_Health_part_time'!H40)-INT(ABS('6c_Health_part_time'!H40))&lt;&gt;0.5),I$14&amp;", "&amp;I$15&amp;", "&amp;$A46&amp;", "&amp;$B46&amp;", "&amp;$C46&amp;"; ","")</f>
        <v/>
      </c>
      <c r="AB46" s="210" t="str">
        <f>IF(AND($F$8=1,'6c_Health_part_time'!I40&lt;&gt;"",ABS('6c_Health_part_time'!I40)-INT(ABS('6c_Health_part_time'!I40))&lt;&gt;0,ABS('6c_Health_part_time'!I40)-INT(ABS('6c_Health_part_time'!I40))&lt;&gt;0.5),J$14&amp;", "&amp;J$15&amp;", "&amp;$A46&amp;", "&amp;$B46&amp;", "&amp;$C46&amp;"; ","")</f>
        <v/>
      </c>
      <c r="AC46" s="17"/>
      <c r="AD46" s="118"/>
      <c r="AG46" t="s">
        <v>238</v>
      </c>
      <c r="AH46" t="s">
        <v>27888</v>
      </c>
      <c r="AI46" t="s">
        <v>27891</v>
      </c>
      <c r="AJ46" s="109">
        <f>'3_Part_time'!G38</f>
        <v>0</v>
      </c>
      <c r="AK46" s="630">
        <f>'3_Part_time'!H38</f>
        <v>0</v>
      </c>
      <c r="AL46" s="121"/>
      <c r="AM46" s="109">
        <f>'3_Part_time'!J38</f>
        <v>0</v>
      </c>
      <c r="AN46" s="108">
        <f>'3_Part_time'!K38</f>
        <v>0</v>
      </c>
      <c r="AO46" s="116"/>
      <c r="AQ46" s="118"/>
      <c r="AT46" s="562" t="str">
        <f>IF(AND($I$8=1,ABS(SUM('6c_Health_part_time'!D40:E40))&lt;ABS('6c_Health_part_time'!F40)),E$14&amp;", "&amp;$A46&amp;", "&amp;$B46&amp;", "&amp;$C46&amp;"; ","")</f>
        <v/>
      </c>
      <c r="AW46" s="562" t="str">
        <f>IF(AND($I$8=1,ABS(SUM('6c_Health_part_time'!G40:H40))&lt;ABS('6c_Health_part_time'!I40)),H$14&amp;", "&amp;$A46&amp;", "&amp;$B46&amp;", "&amp;$C46&amp;"; ","")</f>
        <v/>
      </c>
      <c r="AY46" s="118"/>
      <c r="BG46" s="130"/>
      <c r="BH46" s="333" t="str">
        <f>IF(AND($P$8=1,$B46="Long length",'6c_Health_part_time'!D40&lt;&gt;0),E$15&amp;", "&amp;$A46&amp;", "&amp;$B46&amp;", "&amp;$C46&amp;"; ","")</f>
        <v/>
      </c>
      <c r="BI46" s="335" t="str">
        <f>IF(AND($P$8=1,$B46="Long length",'6c_Health_part_time'!E40&lt;&gt;0),F$15&amp;", "&amp;$A46&amp;", "&amp;$B46&amp;", "&amp;$C46&amp;"; ","")</f>
        <v/>
      </c>
      <c r="BJ46" s="335" t="str">
        <f>IF(AND($P$8=1,$B46="Long length",'6c_Health_part_time'!F40&lt;&gt;0),G$15&amp;", "&amp;$A46&amp;", "&amp;$B46&amp;", "&amp;$C46&amp;"; ","")</f>
        <v/>
      </c>
      <c r="BK46" s="333" t="str">
        <f>IF(AND($P$8=1,$B46="Long length",'6c_Health_part_time'!G40&lt;&gt;0),H$15&amp;", "&amp;$A46&amp;", "&amp;$B46&amp;", "&amp;$C46&amp;"; ","")</f>
        <v/>
      </c>
      <c r="BL46" s="335" t="str">
        <f>IF(AND($P$8=1,$B46="Long length",'6c_Health_part_time'!H40&lt;&gt;0),I$15&amp;", "&amp;$A46&amp;", "&amp;$B46&amp;", "&amp;$C46&amp;"; ","")</f>
        <v/>
      </c>
      <c r="BM46" s="335" t="str">
        <f>IF(AND($P$8=1,$B46="Long length",'6c_Health_part_time'!I40&lt;&gt;0),J$15&amp;", "&amp;$A46&amp;", "&amp;$B46&amp;", "&amp;$C46&amp;"; ","")</f>
        <v/>
      </c>
      <c r="BO46" s="130"/>
    </row>
    <row r="47" spans="1:67" x14ac:dyDescent="0.35">
      <c r="A47" t="s">
        <v>27899</v>
      </c>
      <c r="B47" t="s">
        <v>27892</v>
      </c>
      <c r="C47" t="s">
        <v>27889</v>
      </c>
      <c r="D47" s="118"/>
      <c r="E47" s="109" t="str">
        <f>IF(AND($D$8=1,'6c_Health_part_time'!D41&lt;0),E$14&amp;", "&amp;E$15&amp;", "&amp;$A47&amp;", "&amp;$B47&amp;", "&amp;$C47&amp;"; ","")</f>
        <v/>
      </c>
      <c r="F47" s="108" t="str">
        <f>IF(AND($D$8=1,'6c_Health_part_time'!E41&lt;0),F$14&amp;", "&amp;F$15&amp;", "&amp;$A47&amp;", "&amp;$B47&amp;", "&amp;$C47&amp;"; ","")</f>
        <v/>
      </c>
      <c r="G47" s="108" t="str">
        <f>IF(AND($D$8=1,'6c_Health_part_time'!F41&lt;0),G$14&amp;", "&amp;G$15&amp;", "&amp;$A47&amp;", "&amp;$B47&amp;", "&amp;$C47&amp;"; ","")</f>
        <v/>
      </c>
      <c r="H47" s="109" t="str">
        <f>IF(AND($D$8=1,'6c_Health_part_time'!G41&lt;0),H$14&amp;", "&amp;H$15&amp;", "&amp;$A47&amp;", "&amp;$B47&amp;", "&amp;$C47&amp;"; ","")</f>
        <v/>
      </c>
      <c r="I47" s="108" t="str">
        <f>IF(AND($D$8=1,'6c_Health_part_time'!H41&lt;0),I$14&amp;", "&amp;I$15&amp;", "&amp;$A47&amp;", "&amp;$B47&amp;", "&amp;$C47&amp;"; ","")</f>
        <v/>
      </c>
      <c r="J47" s="108" t="str">
        <f>IF(AND($D$8=1,'6c_Health_part_time'!I41&lt;0),J$14&amp;", "&amp;J$15&amp;", "&amp;$A47&amp;", "&amp;$B47&amp;", "&amp;$C47&amp;"; ","")</f>
        <v/>
      </c>
      <c r="L47" s="118"/>
      <c r="N47" s="113"/>
      <c r="O47" s="112"/>
      <c r="P47" s="112"/>
      <c r="Q47" s="113"/>
      <c r="R47" s="112"/>
      <c r="S47" s="112"/>
      <c r="U47" s="118"/>
      <c r="W47" s="109" t="str">
        <f>IF(AND($F$8=1,'6c_Health_part_time'!D41&lt;&gt;"",ABS('6c_Health_part_time'!D41)-INT(ABS('6c_Health_part_time'!D41))&lt;&gt;0,ABS('6c_Health_part_time'!D41)-INT(ABS('6c_Health_part_time'!D41))&lt;&gt;0.5),E$14&amp;", "&amp;E$15&amp;", "&amp;$A47&amp;", "&amp;$B47&amp;", "&amp;$C47&amp;"; ","")</f>
        <v/>
      </c>
      <c r="X47" s="108" t="str">
        <f>IF(AND($F$8=1,'6c_Health_part_time'!E41&lt;&gt;"",ABS('6c_Health_part_time'!E41)-INT(ABS('6c_Health_part_time'!E41))&lt;&gt;0,ABS('6c_Health_part_time'!E41)-INT(ABS('6c_Health_part_time'!E41))&lt;&gt;0.5),F$14&amp;", "&amp;F$15&amp;", "&amp;$A47&amp;", "&amp;$B47&amp;", "&amp;$C47&amp;"; ","")</f>
        <v/>
      </c>
      <c r="Y47" s="108" t="str">
        <f>IF(AND($F$8=1,'6c_Health_part_time'!F41&lt;&gt;"",ABS('6c_Health_part_time'!F41)-INT(ABS('6c_Health_part_time'!F41))&lt;&gt;0,ABS('6c_Health_part_time'!F41)-INT(ABS('6c_Health_part_time'!F41))&lt;&gt;0.5),G$14&amp;", "&amp;G$15&amp;", "&amp;$A47&amp;", "&amp;$B47&amp;", "&amp;$C47&amp;"; ","")</f>
        <v/>
      </c>
      <c r="Z47" s="109" t="str">
        <f>IF(AND($F$8=1,'6c_Health_part_time'!G41&lt;&gt;"",ABS('6c_Health_part_time'!G41)-INT(ABS('6c_Health_part_time'!G41))&lt;&gt;0,ABS('6c_Health_part_time'!G41)-INT(ABS('6c_Health_part_time'!G41))&lt;&gt;0.5),H$14&amp;", "&amp;H$15&amp;", "&amp;$A47&amp;", "&amp;$B47&amp;", "&amp;$C47&amp;"; ","")</f>
        <v/>
      </c>
      <c r="AA47" s="108" t="str">
        <f>IF(AND($F$8=1,'6c_Health_part_time'!H41&lt;&gt;"",ABS('6c_Health_part_time'!H41)-INT(ABS('6c_Health_part_time'!H41))&lt;&gt;0,ABS('6c_Health_part_time'!H41)-INT(ABS('6c_Health_part_time'!H41))&lt;&gt;0.5),I$14&amp;", "&amp;I$15&amp;", "&amp;$A47&amp;", "&amp;$B47&amp;", "&amp;$C47&amp;"; ","")</f>
        <v/>
      </c>
      <c r="AB47" s="210" t="str">
        <f>IF(AND($F$8=1,'6c_Health_part_time'!I41&lt;&gt;"",ABS('6c_Health_part_time'!I41)-INT(ABS('6c_Health_part_time'!I41))&lt;&gt;0,ABS('6c_Health_part_time'!I41)-INT(ABS('6c_Health_part_time'!I41))&lt;&gt;0.5),J$14&amp;", "&amp;J$15&amp;", "&amp;$A47&amp;", "&amp;$B47&amp;", "&amp;$C47&amp;"; ","")</f>
        <v/>
      </c>
      <c r="AC47" s="17"/>
      <c r="AD47" s="118"/>
      <c r="AG47" t="s">
        <v>238</v>
      </c>
      <c r="AH47" t="s">
        <v>27892</v>
      </c>
      <c r="AI47" t="s">
        <v>27889</v>
      </c>
      <c r="AJ47" s="109">
        <f>SUM('3_Part_time'!G42:G43)</f>
        <v>0</v>
      </c>
      <c r="AK47" s="630">
        <f>SUM('3_Part_time'!H42:H43)</f>
        <v>0</v>
      </c>
      <c r="AL47" s="121"/>
      <c r="AM47" s="109">
        <f>SUM('3_Part_time'!J42:J43)</f>
        <v>0</v>
      </c>
      <c r="AN47" s="108">
        <f>SUM('3_Part_time'!K42:K43)</f>
        <v>0</v>
      </c>
      <c r="AO47" s="116"/>
      <c r="AQ47" s="118"/>
      <c r="AT47" s="562" t="str">
        <f>IF(AND($I$8=1,ABS(SUM('6c_Health_part_time'!D41:E41))&lt;ABS('6c_Health_part_time'!F41)),E$14&amp;", "&amp;$A47&amp;", "&amp;$B47&amp;", "&amp;$C47&amp;"; ","")</f>
        <v/>
      </c>
      <c r="AW47" s="562" t="str">
        <f>IF(AND($I$8=1,ABS(SUM('6c_Health_part_time'!G41:H41))&lt;ABS('6c_Health_part_time'!I41)),H$14&amp;", "&amp;$A47&amp;", "&amp;$B47&amp;", "&amp;$C47&amp;"; ","")</f>
        <v/>
      </c>
      <c r="AY47" s="118"/>
      <c r="BG47" s="130"/>
      <c r="BH47" s="333" t="str">
        <f>IF(AND($P$8=1,$B47="Long length",'6c_Health_part_time'!D41&lt;&gt;0),E$15&amp;", "&amp;$A47&amp;", "&amp;$B47&amp;", "&amp;$C47&amp;"; ","")</f>
        <v/>
      </c>
      <c r="BI47" s="108" t="str">
        <f>IF(AND($P$8=1,$B47="Long length",'6c_Health_part_time'!E41&lt;&gt;0),F$15&amp;", "&amp;$A47&amp;", "&amp;$B47&amp;", "&amp;$C47&amp;"; ","")</f>
        <v/>
      </c>
      <c r="BJ47" s="108" t="str">
        <f>IF(AND($P$8=1,$B47="Long length",'6c_Health_part_time'!F41&lt;&gt;0),G$15&amp;", "&amp;$A47&amp;", "&amp;$B47&amp;", "&amp;$C47&amp;"; ","")</f>
        <v/>
      </c>
      <c r="BK47" s="333" t="str">
        <f>IF(AND($P$8=1,$B47="Long length",'6c_Health_part_time'!G41&lt;&gt;0),H$15&amp;", "&amp;$A47&amp;", "&amp;$B47&amp;", "&amp;$C47&amp;"; ","")</f>
        <v/>
      </c>
      <c r="BL47" s="108" t="str">
        <f>IF(AND($P$8=1,$B47="Long length",'6c_Health_part_time'!H41&lt;&gt;0),I$15&amp;", "&amp;$A47&amp;", "&amp;$B47&amp;", "&amp;$C47&amp;"; ","")</f>
        <v/>
      </c>
      <c r="BM47" s="108" t="str">
        <f>IF(AND($P$8=1,$B47="Long length",'6c_Health_part_time'!I41&lt;&gt;0),J$15&amp;", "&amp;$A47&amp;", "&amp;$B47&amp;", "&amp;$C47&amp;"; ","")</f>
        <v/>
      </c>
      <c r="BO47" s="130"/>
    </row>
    <row r="48" spans="1:67" x14ac:dyDescent="0.35">
      <c r="A48" t="s">
        <v>27899</v>
      </c>
      <c r="B48" t="s">
        <v>27892</v>
      </c>
      <c r="C48" t="s">
        <v>27891</v>
      </c>
      <c r="D48" s="118"/>
      <c r="E48" s="109" t="str">
        <f>IF(AND($D$8=1,'6c_Health_part_time'!D42&lt;0),E$14&amp;", "&amp;E$15&amp;", "&amp;$A48&amp;", "&amp;$B48&amp;", "&amp;$C48&amp;"; ","")</f>
        <v/>
      </c>
      <c r="F48" s="108" t="str">
        <f>IF(AND($D$8=1,'6c_Health_part_time'!E42&lt;0),F$14&amp;", "&amp;F$15&amp;", "&amp;$A48&amp;", "&amp;$B48&amp;", "&amp;$C48&amp;"; ","")</f>
        <v/>
      </c>
      <c r="G48" s="108" t="str">
        <f>IF(AND($D$8=1,'6c_Health_part_time'!F42&lt;0),G$14&amp;", "&amp;G$15&amp;", "&amp;$A48&amp;", "&amp;$B48&amp;", "&amp;$C48&amp;"; ","")</f>
        <v/>
      </c>
      <c r="H48" s="109" t="str">
        <f>IF(AND($D$8=1,'6c_Health_part_time'!G42&lt;0),H$14&amp;", "&amp;H$15&amp;", "&amp;$A48&amp;", "&amp;$B48&amp;", "&amp;$C48&amp;"; ","")</f>
        <v/>
      </c>
      <c r="I48" s="108" t="str">
        <f>IF(AND($D$8=1,'6c_Health_part_time'!H42&lt;0),I$14&amp;", "&amp;I$15&amp;", "&amp;$A48&amp;", "&amp;$B48&amp;", "&amp;$C48&amp;"; ","")</f>
        <v/>
      </c>
      <c r="J48" s="108" t="str">
        <f>IF(AND($D$8=1,'6c_Health_part_time'!I42&lt;0),J$14&amp;", "&amp;J$15&amp;", "&amp;$A48&amp;", "&amp;$B48&amp;", "&amp;$C48&amp;"; ","")</f>
        <v/>
      </c>
      <c r="L48" s="118"/>
      <c r="N48" s="113"/>
      <c r="O48" s="112"/>
      <c r="P48" s="112"/>
      <c r="Q48" s="113"/>
      <c r="R48" s="112"/>
      <c r="S48" s="112"/>
      <c r="U48" s="118"/>
      <c r="W48" s="109" t="str">
        <f>IF(AND($F$8=1,'6c_Health_part_time'!D42&lt;&gt;"",ABS('6c_Health_part_time'!D42)-INT(ABS('6c_Health_part_time'!D42))&lt;&gt;0,ABS('6c_Health_part_time'!D42)-INT(ABS('6c_Health_part_time'!D42))&lt;&gt;0.5),E$14&amp;", "&amp;E$15&amp;", "&amp;$A48&amp;", "&amp;$B48&amp;", "&amp;$C48&amp;"; ","")</f>
        <v/>
      </c>
      <c r="X48" s="108" t="str">
        <f>IF(AND($F$8=1,'6c_Health_part_time'!E42&lt;&gt;"",ABS('6c_Health_part_time'!E42)-INT(ABS('6c_Health_part_time'!E42))&lt;&gt;0,ABS('6c_Health_part_time'!E42)-INT(ABS('6c_Health_part_time'!E42))&lt;&gt;0.5),F$14&amp;", "&amp;F$15&amp;", "&amp;$A48&amp;", "&amp;$B48&amp;", "&amp;$C48&amp;"; ","")</f>
        <v/>
      </c>
      <c r="Y48" s="108" t="str">
        <f>IF(AND($F$8=1,'6c_Health_part_time'!F42&lt;&gt;"",ABS('6c_Health_part_time'!F42)-INT(ABS('6c_Health_part_time'!F42))&lt;&gt;0,ABS('6c_Health_part_time'!F42)-INT(ABS('6c_Health_part_time'!F42))&lt;&gt;0.5),G$14&amp;", "&amp;G$15&amp;", "&amp;$A48&amp;", "&amp;$B48&amp;", "&amp;$C48&amp;"; ","")</f>
        <v/>
      </c>
      <c r="Z48" s="109" t="str">
        <f>IF(AND($F$8=1,'6c_Health_part_time'!G42&lt;&gt;"",ABS('6c_Health_part_time'!G42)-INT(ABS('6c_Health_part_time'!G42))&lt;&gt;0,ABS('6c_Health_part_time'!G42)-INT(ABS('6c_Health_part_time'!G42))&lt;&gt;0.5),H$14&amp;", "&amp;H$15&amp;", "&amp;$A48&amp;", "&amp;$B48&amp;", "&amp;$C48&amp;"; ","")</f>
        <v/>
      </c>
      <c r="AA48" s="108" t="str">
        <f>IF(AND($F$8=1,'6c_Health_part_time'!H42&lt;&gt;"",ABS('6c_Health_part_time'!H42)-INT(ABS('6c_Health_part_time'!H42))&lt;&gt;0,ABS('6c_Health_part_time'!H42)-INT(ABS('6c_Health_part_time'!H42))&lt;&gt;0.5),I$14&amp;", "&amp;I$15&amp;", "&amp;$A48&amp;", "&amp;$B48&amp;", "&amp;$C48&amp;"; ","")</f>
        <v/>
      </c>
      <c r="AB48" s="210" t="str">
        <f>IF(AND($F$8=1,'6c_Health_part_time'!I42&lt;&gt;"",ABS('6c_Health_part_time'!I42)-INT(ABS('6c_Health_part_time'!I42))&lt;&gt;0,ABS('6c_Health_part_time'!I42)-INT(ABS('6c_Health_part_time'!I42))&lt;&gt;0.5),J$14&amp;", "&amp;J$15&amp;", "&amp;$A48&amp;", "&amp;$B48&amp;", "&amp;$C48&amp;"; ","")</f>
        <v/>
      </c>
      <c r="AC48" s="17"/>
      <c r="AD48" s="118"/>
      <c r="AG48" t="s">
        <v>238</v>
      </c>
      <c r="AH48" t="s">
        <v>27892</v>
      </c>
      <c r="AI48" t="s">
        <v>27891</v>
      </c>
      <c r="AJ48" s="124">
        <f>'3_Part_time'!G44</f>
        <v>0</v>
      </c>
      <c r="AK48" s="629">
        <f>'3_Part_time'!H44</f>
        <v>0</v>
      </c>
      <c r="AL48" s="123"/>
      <c r="AM48" s="124">
        <f>'3_Part_time'!J44</f>
        <v>0</v>
      </c>
      <c r="AN48" s="125">
        <f>'3_Part_time'!K44</f>
        <v>0</v>
      </c>
      <c r="AO48" s="122"/>
      <c r="AQ48" s="118"/>
      <c r="AT48" s="562" t="str">
        <f>IF(AND($I$8=1,ABS(SUM('6c_Health_part_time'!D42:E42))&lt;ABS('6c_Health_part_time'!F42)),E$14&amp;", "&amp;$A48&amp;", "&amp;$B48&amp;", "&amp;$C48&amp;"; ","")</f>
        <v/>
      </c>
      <c r="AW48" s="562" t="str">
        <f>IF(AND($I$8=1,ABS(SUM('6c_Health_part_time'!G42:H42))&lt;ABS('6c_Health_part_time'!I42)),H$14&amp;", "&amp;$A48&amp;", "&amp;$B48&amp;", "&amp;$C48&amp;"; ","")</f>
        <v/>
      </c>
      <c r="AY48" s="118"/>
      <c r="BG48" s="130"/>
      <c r="BH48" s="333" t="str">
        <f>IF(AND($P$8=1,$B48="Long length",'6c_Health_part_time'!D42&lt;&gt;0),E$15&amp;", "&amp;$A48&amp;", "&amp;$B48&amp;", "&amp;$C48&amp;"; ","")</f>
        <v/>
      </c>
      <c r="BI48" s="108" t="str">
        <f>IF(AND($P$8=1,$B48="Long length",'6c_Health_part_time'!E42&lt;&gt;0),F$15&amp;", "&amp;$A48&amp;", "&amp;$B48&amp;", "&amp;$C48&amp;"; ","")</f>
        <v/>
      </c>
      <c r="BJ48" s="108" t="str">
        <f>IF(AND($P$8=1,$B48="Long length",'6c_Health_part_time'!F42&lt;&gt;0),G$15&amp;", "&amp;$A48&amp;", "&amp;$B48&amp;", "&amp;$C48&amp;"; ","")</f>
        <v/>
      </c>
      <c r="BK48" s="333" t="str">
        <f>IF(AND($P$8=1,$B48="Long length",'6c_Health_part_time'!G42&lt;&gt;0),H$15&amp;", "&amp;$A48&amp;", "&amp;$B48&amp;", "&amp;$C48&amp;"; ","")</f>
        <v/>
      </c>
      <c r="BL48" s="108" t="str">
        <f>IF(AND($P$8=1,$B48="Long length",'6c_Health_part_time'!H42&lt;&gt;0),I$15&amp;", "&amp;$A48&amp;", "&amp;$B48&amp;", "&amp;$C48&amp;"; ","")</f>
        <v/>
      </c>
      <c r="BM48" s="108" t="str">
        <f>IF(AND($P$8=1,$B48="Long length",'6c_Health_part_time'!I42&lt;&gt;0),J$15&amp;", "&amp;$A48&amp;", "&amp;$B48&amp;", "&amp;$C48&amp;"; ","")</f>
        <v/>
      </c>
      <c r="BO48" s="130"/>
    </row>
    <row r="49" spans="1:67" x14ac:dyDescent="0.35">
      <c r="A49" t="s">
        <v>27900</v>
      </c>
      <c r="B49" t="s">
        <v>27888</v>
      </c>
      <c r="C49" t="s">
        <v>27889</v>
      </c>
      <c r="D49" s="118"/>
      <c r="E49" s="1885" t="str">
        <f>IF(AND($D$8=1,'6c_Health_part_time'!D43&lt;0),E$14&amp;", "&amp;E$15&amp;", "&amp;$A49&amp;", "&amp;$B49&amp;", "&amp;$C49&amp;"; ","")</f>
        <v/>
      </c>
      <c r="F49" s="1653" t="str">
        <f>IF(AND($D$8=1,'6c_Health_part_time'!E43&lt;0),F$14&amp;", "&amp;F$15&amp;", "&amp;$A49&amp;", "&amp;$B49&amp;", "&amp;$C49&amp;"; ","")</f>
        <v/>
      </c>
      <c r="G49" s="1653" t="str">
        <f>IF(AND($D$8=1,'6c_Health_part_time'!F43&lt;0),G$14&amp;", "&amp;G$15&amp;", "&amp;$A49&amp;", "&amp;$B49&amp;", "&amp;$C49&amp;"; ","")</f>
        <v/>
      </c>
      <c r="H49" s="1885" t="str">
        <f>IF(AND($D$8=1,'6c_Health_part_time'!G43&lt;0),H$14&amp;", "&amp;H$15&amp;", "&amp;$A49&amp;", "&amp;$B49&amp;", "&amp;$C49&amp;"; ","")</f>
        <v/>
      </c>
      <c r="I49" s="1653" t="str">
        <f>IF(AND($D$8=1,'6c_Health_part_time'!H43&lt;0),I$14&amp;", "&amp;I$15&amp;", "&amp;$A49&amp;", "&amp;$B49&amp;", "&amp;$C49&amp;"; ","")</f>
        <v/>
      </c>
      <c r="J49" s="1653" t="str">
        <f>IF(AND($D$8=1,'6c_Health_part_time'!I43&lt;0),J$14&amp;", "&amp;J$15&amp;", "&amp;$A49&amp;", "&amp;$B49&amp;", "&amp;$C49&amp;"; ","")</f>
        <v/>
      </c>
      <c r="L49" s="118"/>
      <c r="N49" s="1911"/>
      <c r="O49" s="1654"/>
      <c r="P49" s="1654"/>
      <c r="Q49" s="1911"/>
      <c r="R49" s="1654"/>
      <c r="S49" s="1654"/>
      <c r="U49" s="118"/>
      <c r="W49" s="1885" t="str">
        <f>IF(AND($F$8=1,'6c_Health_part_time'!D43&lt;&gt;"",ABS('6c_Health_part_time'!D43)-INT(ABS('6c_Health_part_time'!D43))&lt;&gt;0,ABS('6c_Health_part_time'!D43)-INT(ABS('6c_Health_part_time'!D43))&lt;&gt;0.5),E$14&amp;", "&amp;E$15&amp;", "&amp;$A49&amp;", "&amp;$B49&amp;", "&amp;$C49&amp;"; ","")</f>
        <v/>
      </c>
      <c r="X49" s="1653" t="str">
        <f>IF(AND($F$8=1,'6c_Health_part_time'!E43&lt;&gt;"",ABS('6c_Health_part_time'!E43)-INT(ABS('6c_Health_part_time'!E43))&lt;&gt;0,ABS('6c_Health_part_time'!E43)-INT(ABS('6c_Health_part_time'!E43))&lt;&gt;0.5),F$14&amp;", "&amp;F$15&amp;", "&amp;$A49&amp;", "&amp;$B49&amp;", "&amp;$C49&amp;"; ","")</f>
        <v/>
      </c>
      <c r="Y49" s="1653" t="str">
        <f>IF(AND($F$8=1,'6c_Health_part_time'!F43&lt;&gt;"",ABS('6c_Health_part_time'!F43)-INT(ABS('6c_Health_part_time'!F43))&lt;&gt;0,ABS('6c_Health_part_time'!F43)-INT(ABS('6c_Health_part_time'!F43))&lt;&gt;0.5),G$14&amp;", "&amp;G$15&amp;", "&amp;$A49&amp;", "&amp;$B49&amp;", "&amp;$C49&amp;"; ","")</f>
        <v/>
      </c>
      <c r="Z49" s="1885" t="str">
        <f>IF(AND($F$8=1,'6c_Health_part_time'!G43&lt;&gt;"",ABS('6c_Health_part_time'!G43)-INT(ABS('6c_Health_part_time'!G43))&lt;&gt;0,ABS('6c_Health_part_time'!G43)-INT(ABS('6c_Health_part_time'!G43))&lt;&gt;0.5),H$14&amp;", "&amp;H$15&amp;", "&amp;$A49&amp;", "&amp;$B49&amp;", "&amp;$C49&amp;"; ","")</f>
        <v/>
      </c>
      <c r="AA49" s="1653" t="str">
        <f>IF(AND($F$8=1,'6c_Health_part_time'!H43&lt;&gt;"",ABS('6c_Health_part_time'!H43)-INT(ABS('6c_Health_part_time'!H43))&lt;&gt;0,ABS('6c_Health_part_time'!H43)-INT(ABS('6c_Health_part_time'!H43))&lt;&gt;0.5),I$14&amp;", "&amp;I$15&amp;", "&amp;$A49&amp;", "&amp;$B49&amp;", "&amp;$C49&amp;"; ","")</f>
        <v/>
      </c>
      <c r="AB49" s="1890" t="str">
        <f>IF(AND($F$8=1,'6c_Health_part_time'!I43&lt;&gt;"",ABS('6c_Health_part_time'!I43)-INT(ABS('6c_Health_part_time'!I43))&lt;&gt;0,ABS('6c_Health_part_time'!I43)-INT(ABS('6c_Health_part_time'!I43))&lt;&gt;0.5),J$14&amp;", "&amp;J$15&amp;", "&amp;$A49&amp;", "&amp;$B49&amp;", "&amp;$C49&amp;"; ","")</f>
        <v/>
      </c>
      <c r="AC49" s="17"/>
      <c r="AD49" s="118"/>
      <c r="AJ49" t="s">
        <v>27977</v>
      </c>
      <c r="AK49" t="s">
        <v>27978</v>
      </c>
      <c r="AQ49" s="118"/>
      <c r="AT49" s="1886" t="str">
        <f>IF(AND($I$8=1,ABS(SUM('6c_Health_part_time'!D43:E43))&lt;ABS('6c_Health_part_time'!F43)),E$14&amp;", "&amp;$A49&amp;", "&amp;$B49&amp;", "&amp;$C49&amp;"; ","")</f>
        <v/>
      </c>
      <c r="AW49" s="1886" t="str">
        <f>IF(AND($I$8=1,ABS(SUM('6c_Health_part_time'!G43:H43))&lt;ABS('6c_Health_part_time'!I43)),H$14&amp;", "&amp;$A49&amp;", "&amp;$B49&amp;", "&amp;$C49&amp;"; ","")</f>
        <v/>
      </c>
      <c r="AY49" s="118"/>
      <c r="BG49" s="130"/>
      <c r="BH49" s="1879" t="str">
        <f>IF(AND($P$8=1,$B49="Long length",'6c_Health_part_time'!D43&lt;&gt;0),E$15&amp;", "&amp;$A49&amp;", "&amp;$B49&amp;", "&amp;$C49&amp;"; ","")</f>
        <v/>
      </c>
      <c r="BI49" s="1653" t="str">
        <f>IF(AND($P$8=1,$B49="Long length",'6c_Health_part_time'!E43&lt;&gt;0),F$15&amp;", "&amp;$A49&amp;", "&amp;$B49&amp;", "&amp;$C49&amp;"; ","")</f>
        <v/>
      </c>
      <c r="BJ49" s="1653" t="str">
        <f>IF(AND($P$8=1,$B49="Long length",'6c_Health_part_time'!F43&lt;&gt;0),G$15&amp;", "&amp;$A49&amp;", "&amp;$B49&amp;", "&amp;$C49&amp;"; ","")</f>
        <v/>
      </c>
      <c r="BK49" s="1879" t="str">
        <f>IF(AND($P$8=1,$B49="Long length",'6c_Health_part_time'!G43&lt;&gt;0),H$15&amp;", "&amp;$A49&amp;", "&amp;$B49&amp;", "&amp;$C49&amp;"; ","")</f>
        <v/>
      </c>
      <c r="BL49" s="1653" t="str">
        <f>IF(AND($P$8=1,$B49="Long length",'6c_Health_part_time'!H43&lt;&gt;0),I$15&amp;", "&amp;$A49&amp;", "&amp;$B49&amp;", "&amp;$C49&amp;"; ","")</f>
        <v/>
      </c>
      <c r="BM49" s="1653" t="str">
        <f>IF(AND($P$8=1,$B49="Long length",'6c_Health_part_time'!I43&lt;&gt;0),J$15&amp;", "&amp;$A49&amp;", "&amp;$B49&amp;", "&amp;$C49&amp;"; ","")</f>
        <v/>
      </c>
      <c r="BO49" s="130"/>
    </row>
    <row r="50" spans="1:67" ht="13.15" x14ac:dyDescent="0.4">
      <c r="A50" t="s">
        <v>27900</v>
      </c>
      <c r="B50" t="s">
        <v>27888</v>
      </c>
      <c r="C50" t="s">
        <v>27891</v>
      </c>
      <c r="D50" s="118"/>
      <c r="E50" s="109" t="str">
        <f>IF(AND($D$8=1,'6c_Health_part_time'!D44&lt;0),E$14&amp;", "&amp;E$15&amp;", "&amp;$A50&amp;", "&amp;$B50&amp;", "&amp;$C50&amp;"; ","")</f>
        <v/>
      </c>
      <c r="F50" s="108" t="str">
        <f>IF(AND($D$8=1,'6c_Health_part_time'!E44&lt;0),F$14&amp;", "&amp;F$15&amp;", "&amp;$A50&amp;", "&amp;$B50&amp;", "&amp;$C50&amp;"; ","")</f>
        <v/>
      </c>
      <c r="G50" s="108" t="str">
        <f>IF(AND($D$8=1,'6c_Health_part_time'!F44&lt;0),G$14&amp;", "&amp;G$15&amp;", "&amp;$A50&amp;", "&amp;$B50&amp;", "&amp;$C50&amp;"; ","")</f>
        <v/>
      </c>
      <c r="H50" s="109" t="str">
        <f>IF(AND($D$8=1,'6c_Health_part_time'!G44&lt;0),H$14&amp;", "&amp;H$15&amp;", "&amp;$A50&amp;", "&amp;$B50&amp;", "&amp;$C50&amp;"; ","")</f>
        <v/>
      </c>
      <c r="I50" s="108" t="str">
        <f>IF(AND($D$8=1,'6c_Health_part_time'!H44&lt;0),I$14&amp;", "&amp;I$15&amp;", "&amp;$A50&amp;", "&amp;$B50&amp;", "&amp;$C50&amp;"; ","")</f>
        <v/>
      </c>
      <c r="J50" s="108" t="str">
        <f>IF(AND($D$8=1,'6c_Health_part_time'!I44&lt;0),J$14&amp;", "&amp;J$15&amp;", "&amp;$A50&amp;", "&amp;$B50&amp;", "&amp;$C50&amp;"; ","")</f>
        <v/>
      </c>
      <c r="L50" s="118"/>
      <c r="N50" s="113"/>
      <c r="O50" s="112"/>
      <c r="P50" s="112"/>
      <c r="Q50" s="113"/>
      <c r="R50" s="112"/>
      <c r="S50" s="112"/>
      <c r="U50" s="118"/>
      <c r="W50" s="109" t="str">
        <f>IF(AND($F$8=1,'6c_Health_part_time'!D44&lt;&gt;"",ABS('6c_Health_part_time'!D44)-INT(ABS('6c_Health_part_time'!D44))&lt;&gt;0,ABS('6c_Health_part_time'!D44)-INT(ABS('6c_Health_part_time'!D44))&lt;&gt;0.5),E$14&amp;", "&amp;E$15&amp;", "&amp;$A50&amp;", "&amp;$B50&amp;", "&amp;$C50&amp;"; ","")</f>
        <v/>
      </c>
      <c r="X50" s="108" t="str">
        <f>IF(AND($F$8=1,'6c_Health_part_time'!E44&lt;&gt;"",ABS('6c_Health_part_time'!E44)-INT(ABS('6c_Health_part_time'!E44))&lt;&gt;0,ABS('6c_Health_part_time'!E44)-INT(ABS('6c_Health_part_time'!E44))&lt;&gt;0.5),F$14&amp;", "&amp;F$15&amp;", "&amp;$A50&amp;", "&amp;$B50&amp;", "&amp;$C50&amp;"; ","")</f>
        <v/>
      </c>
      <c r="Y50" s="108" t="str">
        <f>IF(AND($F$8=1,'6c_Health_part_time'!F44&lt;&gt;"",ABS('6c_Health_part_time'!F44)-INT(ABS('6c_Health_part_time'!F44))&lt;&gt;0,ABS('6c_Health_part_time'!F44)-INT(ABS('6c_Health_part_time'!F44))&lt;&gt;0.5),G$14&amp;", "&amp;G$15&amp;", "&amp;$A50&amp;", "&amp;$B50&amp;", "&amp;$C50&amp;"; ","")</f>
        <v/>
      </c>
      <c r="Z50" s="109" t="str">
        <f>IF(AND($F$8=1,'6c_Health_part_time'!G44&lt;&gt;"",ABS('6c_Health_part_time'!G44)-INT(ABS('6c_Health_part_time'!G44))&lt;&gt;0,ABS('6c_Health_part_time'!G44)-INT(ABS('6c_Health_part_time'!G44))&lt;&gt;0.5),H$14&amp;", "&amp;H$15&amp;", "&amp;$A50&amp;", "&amp;$B50&amp;", "&amp;$C50&amp;"; ","")</f>
        <v/>
      </c>
      <c r="AA50" s="108" t="str">
        <f>IF(AND($F$8=1,'6c_Health_part_time'!H44&lt;&gt;"",ABS('6c_Health_part_time'!H44)-INT(ABS('6c_Health_part_time'!H44))&lt;&gt;0,ABS('6c_Health_part_time'!H44)-INT(ABS('6c_Health_part_time'!H44))&lt;&gt;0.5),I$14&amp;", "&amp;I$15&amp;", "&amp;$A50&amp;", "&amp;$B50&amp;", "&amp;$C50&amp;"; ","")</f>
        <v/>
      </c>
      <c r="AB50" s="210" t="str">
        <f>IF(AND($F$8=1,'6c_Health_part_time'!I44&lt;&gt;"",ABS('6c_Health_part_time'!I44)-INT(ABS('6c_Health_part_time'!I44))&lt;&gt;0,ABS('6c_Health_part_time'!I44)-INT(ABS('6c_Health_part_time'!I44))&lt;&gt;0.5),J$14&amp;", "&amp;J$15&amp;", "&amp;$A50&amp;", "&amp;$B50&amp;", "&amp;$C50&amp;"; ","")</f>
        <v/>
      </c>
      <c r="AC50" s="17"/>
      <c r="AD50" s="118"/>
      <c r="AG50" s="6" t="s">
        <v>27901</v>
      </c>
      <c r="AJ50" t="s">
        <v>27920</v>
      </c>
      <c r="AM50" t="s">
        <v>27921</v>
      </c>
      <c r="AQ50" s="118"/>
      <c r="AT50" s="562" t="str">
        <f>IF(AND($I$8=1,ABS(SUM('6c_Health_part_time'!D44:E44))&lt;ABS('6c_Health_part_time'!F44)),E$14&amp;", "&amp;$A50&amp;", "&amp;$B50&amp;", "&amp;$C50&amp;"; ","")</f>
        <v/>
      </c>
      <c r="AW50" s="562" t="str">
        <f>IF(AND($I$8=1,ABS(SUM('6c_Health_part_time'!G44:H44))&lt;ABS('6c_Health_part_time'!I44)),H$14&amp;", "&amp;$A50&amp;", "&amp;$B50&amp;", "&amp;$C50&amp;"; ","")</f>
        <v/>
      </c>
      <c r="AY50" s="118"/>
      <c r="BG50" s="130"/>
      <c r="BH50" s="333" t="str">
        <f>IF(AND($P$8=1,$B50="Long length",'6c_Health_part_time'!D44&lt;&gt;0),E$15&amp;", "&amp;$A50&amp;", "&amp;$B50&amp;", "&amp;$C50&amp;"; ","")</f>
        <v/>
      </c>
      <c r="BI50" s="108" t="str">
        <f>IF(AND($P$8=1,$B50="Long length",'6c_Health_part_time'!E44&lt;&gt;0),F$15&amp;", "&amp;$A50&amp;", "&amp;$B50&amp;", "&amp;$C50&amp;"; ","")</f>
        <v/>
      </c>
      <c r="BJ50" s="108" t="str">
        <f>IF(AND($P$8=1,$B50="Long length",'6c_Health_part_time'!F44&lt;&gt;0),G$15&amp;", "&amp;$A50&amp;", "&amp;$B50&amp;", "&amp;$C50&amp;"; ","")</f>
        <v/>
      </c>
      <c r="BK50" s="333" t="str">
        <f>IF(AND($P$8=1,$B50="Long length",'6c_Health_part_time'!G44&lt;&gt;0),H$15&amp;", "&amp;$A50&amp;", "&amp;$B50&amp;", "&amp;$C50&amp;"; ","")</f>
        <v/>
      </c>
      <c r="BL50" s="108" t="str">
        <f>IF(AND($P$8=1,$B50="Long length",'6c_Health_part_time'!H44&lt;&gt;0),I$15&amp;", "&amp;$A50&amp;", "&amp;$B50&amp;", "&amp;$C50&amp;"; ","")</f>
        <v/>
      </c>
      <c r="BM50" s="108" t="str">
        <f>IF(AND($P$8=1,$B50="Long length",'6c_Health_part_time'!I44&lt;&gt;0),J$15&amp;", "&amp;$A50&amp;", "&amp;$B50&amp;", "&amp;$C50&amp;"; ","")</f>
        <v/>
      </c>
      <c r="BO50" s="130"/>
    </row>
    <row r="51" spans="1:67" x14ac:dyDescent="0.35">
      <c r="A51" t="s">
        <v>27900</v>
      </c>
      <c r="B51" t="s">
        <v>27892</v>
      </c>
      <c r="C51" t="s">
        <v>27889</v>
      </c>
      <c r="D51" s="118"/>
      <c r="E51" s="109" t="str">
        <f>IF(AND($D$8=1,'6c_Health_part_time'!D45&lt;0),E$14&amp;", "&amp;E$15&amp;", "&amp;$A51&amp;", "&amp;$B51&amp;", "&amp;$C51&amp;"; ","")</f>
        <v/>
      </c>
      <c r="F51" s="108" t="str">
        <f>IF(AND($D$8=1,'6c_Health_part_time'!E45&lt;0),F$14&amp;", "&amp;F$15&amp;", "&amp;$A51&amp;", "&amp;$B51&amp;", "&amp;$C51&amp;"; ","")</f>
        <v/>
      </c>
      <c r="G51" s="108" t="str">
        <f>IF(AND($D$8=1,'6c_Health_part_time'!F45&lt;0),G$14&amp;", "&amp;G$15&amp;", "&amp;$A51&amp;", "&amp;$B51&amp;", "&amp;$C51&amp;"; ","")</f>
        <v/>
      </c>
      <c r="H51" s="109" t="str">
        <f>IF(AND($D$8=1,'6c_Health_part_time'!G45&lt;0),H$14&amp;", "&amp;H$15&amp;", "&amp;$A51&amp;", "&amp;$B51&amp;", "&amp;$C51&amp;"; ","")</f>
        <v/>
      </c>
      <c r="I51" s="108" t="str">
        <f>IF(AND($D$8=1,'6c_Health_part_time'!H45&lt;0),I$14&amp;", "&amp;I$15&amp;", "&amp;$A51&amp;", "&amp;$B51&amp;", "&amp;$C51&amp;"; ","")</f>
        <v/>
      </c>
      <c r="J51" s="108" t="str">
        <f>IF(AND($D$8=1,'6c_Health_part_time'!I45&lt;0),J$14&amp;", "&amp;J$15&amp;", "&amp;$A51&amp;", "&amp;$B51&amp;", "&amp;$C51&amp;"; ","")</f>
        <v/>
      </c>
      <c r="L51" s="118"/>
      <c r="N51" s="113"/>
      <c r="O51" s="112"/>
      <c r="P51" s="112"/>
      <c r="Q51" s="113"/>
      <c r="R51" s="112"/>
      <c r="S51" s="112"/>
      <c r="U51" s="118"/>
      <c r="W51" s="109" t="str">
        <f>IF(AND($F$8=1,'6c_Health_part_time'!D45&lt;&gt;"",ABS('6c_Health_part_time'!D45)-INT(ABS('6c_Health_part_time'!D45))&lt;&gt;0,ABS('6c_Health_part_time'!D45)-INT(ABS('6c_Health_part_time'!D45))&lt;&gt;0.5),E$14&amp;", "&amp;E$15&amp;", "&amp;$A51&amp;", "&amp;$B51&amp;", "&amp;$C51&amp;"; ","")</f>
        <v/>
      </c>
      <c r="X51" s="108" t="str">
        <f>IF(AND($F$8=1,'6c_Health_part_time'!E45&lt;&gt;"",ABS('6c_Health_part_time'!E45)-INT(ABS('6c_Health_part_time'!E45))&lt;&gt;0,ABS('6c_Health_part_time'!E45)-INT(ABS('6c_Health_part_time'!E45))&lt;&gt;0.5),F$14&amp;", "&amp;F$15&amp;", "&amp;$A51&amp;", "&amp;$B51&amp;", "&amp;$C51&amp;"; ","")</f>
        <v/>
      </c>
      <c r="Y51" s="108" t="str">
        <f>IF(AND($F$8=1,'6c_Health_part_time'!F45&lt;&gt;"",ABS('6c_Health_part_time'!F45)-INT(ABS('6c_Health_part_time'!F45))&lt;&gt;0,ABS('6c_Health_part_time'!F45)-INT(ABS('6c_Health_part_time'!F45))&lt;&gt;0.5),G$14&amp;", "&amp;G$15&amp;", "&amp;$A51&amp;", "&amp;$B51&amp;", "&amp;$C51&amp;"; ","")</f>
        <v/>
      </c>
      <c r="Z51" s="109" t="str">
        <f>IF(AND($F$8=1,'6c_Health_part_time'!G45&lt;&gt;"",ABS('6c_Health_part_time'!G45)-INT(ABS('6c_Health_part_time'!G45))&lt;&gt;0,ABS('6c_Health_part_time'!G45)-INT(ABS('6c_Health_part_time'!G45))&lt;&gt;0.5),H$14&amp;", "&amp;H$15&amp;", "&amp;$A51&amp;", "&amp;$B51&amp;", "&amp;$C51&amp;"; ","")</f>
        <v/>
      </c>
      <c r="AA51" s="108" t="str">
        <f>IF(AND($F$8=1,'6c_Health_part_time'!H45&lt;&gt;"",ABS('6c_Health_part_time'!H45)-INT(ABS('6c_Health_part_time'!H45))&lt;&gt;0,ABS('6c_Health_part_time'!H45)-INT(ABS('6c_Health_part_time'!H45))&lt;&gt;0.5),I$14&amp;", "&amp;I$15&amp;", "&amp;$A51&amp;", "&amp;$B51&amp;", "&amp;$C51&amp;"; ","")</f>
        <v/>
      </c>
      <c r="AB51" s="210" t="str">
        <f>IF(AND($F$8=1,'6c_Health_part_time'!I45&lt;&gt;"",ABS('6c_Health_part_time'!I45)-INT(ABS('6c_Health_part_time'!I45))&lt;&gt;0,ABS('6c_Health_part_time'!I45)-INT(ABS('6c_Health_part_time'!I45))&lt;&gt;0.5),J$14&amp;", "&amp;J$15&amp;", "&amp;$A51&amp;", "&amp;$B51&amp;", "&amp;$C51&amp;"; ","")</f>
        <v/>
      </c>
      <c r="AC51" s="17"/>
      <c r="AD51" s="118"/>
      <c r="AG51" t="s">
        <v>203</v>
      </c>
      <c r="AH51" t="s">
        <v>27888</v>
      </c>
      <c r="AI51" t="s">
        <v>27889</v>
      </c>
      <c r="AJ51" s="1885" t="str">
        <f>IF(AND($G$8=1,AJ19&gt;AJ35),AJ$17&amp;", Price group "&amp;$AG51&amp;" professions, "&amp;$AH51&amp;", "&amp;$AI51&amp;"; ","")</f>
        <v/>
      </c>
      <c r="AK51" s="2195" t="str">
        <f t="shared" ref="AK51:AN51" si="1">IF(AND($G$8=1,AK19&gt;AK35),AK$17&amp;", Price group "&amp;$AG51&amp;" professions, "&amp;$AH51&amp;", "&amp;$AI51&amp;"; ","")</f>
        <v/>
      </c>
      <c r="AL51" s="1884"/>
      <c r="AM51" s="1885" t="str">
        <f t="shared" si="1"/>
        <v/>
      </c>
      <c r="AN51" s="2195" t="str">
        <f t="shared" si="1"/>
        <v/>
      </c>
      <c r="AO51" s="2190"/>
      <c r="AQ51" s="118"/>
      <c r="AT51" s="562" t="str">
        <f>IF(AND($I$8=1,ABS(SUM('6c_Health_part_time'!D45:E45))&lt;ABS('6c_Health_part_time'!F45)),E$14&amp;", "&amp;$A51&amp;", "&amp;$B51&amp;", "&amp;$C51&amp;"; ","")</f>
        <v/>
      </c>
      <c r="AW51" s="562" t="str">
        <f>IF(AND($I$8=1,ABS(SUM('6c_Health_part_time'!G45:H45))&lt;ABS('6c_Health_part_time'!I45)),H$14&amp;", "&amp;$A51&amp;", "&amp;$B51&amp;", "&amp;$C51&amp;"; ","")</f>
        <v/>
      </c>
      <c r="AY51" s="118"/>
      <c r="BG51" s="130"/>
      <c r="BH51" s="333" t="str">
        <f>IF(AND($P$8=1,$B51="Long length",'6c_Health_part_time'!D45&lt;&gt;0),E$15&amp;", "&amp;$A51&amp;", "&amp;$B51&amp;", "&amp;$C51&amp;"; ","")</f>
        <v/>
      </c>
      <c r="BI51" s="108" t="str">
        <f>IF(AND($P$8=1,$B51="Long length",'6c_Health_part_time'!E45&lt;&gt;0),F$15&amp;", "&amp;$A51&amp;", "&amp;$B51&amp;", "&amp;$C51&amp;"; ","")</f>
        <v/>
      </c>
      <c r="BJ51" s="108" t="str">
        <f>IF(AND($P$8=1,$B51="Long length",'6c_Health_part_time'!F45&lt;&gt;0),G$15&amp;", "&amp;$A51&amp;", "&amp;$B51&amp;", "&amp;$C51&amp;"; ","")</f>
        <v/>
      </c>
      <c r="BK51" s="333" t="str">
        <f>IF(AND($P$8=1,$B51="Long length",'6c_Health_part_time'!G45&lt;&gt;0),H$15&amp;", "&amp;$A51&amp;", "&amp;$B51&amp;", "&amp;$C51&amp;"; ","")</f>
        <v/>
      </c>
      <c r="BL51" s="108" t="str">
        <f>IF(AND($P$8=1,$B51="Long length",'6c_Health_part_time'!H45&lt;&gt;0),I$15&amp;", "&amp;$A51&amp;", "&amp;$B51&amp;", "&amp;$C51&amp;"; ","")</f>
        <v/>
      </c>
      <c r="BM51" s="108" t="str">
        <f>IF(AND($P$8=1,$B51="Long length",'6c_Health_part_time'!I45&lt;&gt;0),J$15&amp;", "&amp;$A51&amp;", "&amp;$B51&amp;", "&amp;$C51&amp;"; ","")</f>
        <v/>
      </c>
      <c r="BO51" s="130"/>
    </row>
    <row r="52" spans="1:67" x14ac:dyDescent="0.35">
      <c r="A52" t="s">
        <v>27900</v>
      </c>
      <c r="B52" t="s">
        <v>27892</v>
      </c>
      <c r="C52" t="s">
        <v>27891</v>
      </c>
      <c r="D52" s="118"/>
      <c r="E52" s="109" t="str">
        <f>IF(AND($D$8=1,'6c_Health_part_time'!D46&lt;0),E$14&amp;", "&amp;E$15&amp;", "&amp;$A52&amp;", "&amp;$B52&amp;", "&amp;$C52&amp;"; ","")</f>
        <v/>
      </c>
      <c r="F52" s="108" t="str">
        <f>IF(AND($D$8=1,'6c_Health_part_time'!E46&lt;0),F$14&amp;", "&amp;F$15&amp;", "&amp;$A52&amp;", "&amp;$B52&amp;", "&amp;$C52&amp;"; ","")</f>
        <v/>
      </c>
      <c r="G52" s="108" t="str">
        <f>IF(AND($D$8=1,'6c_Health_part_time'!F46&lt;0),G$14&amp;", "&amp;G$15&amp;", "&amp;$A52&amp;", "&amp;$B52&amp;", "&amp;$C52&amp;"; ","")</f>
        <v/>
      </c>
      <c r="H52" s="109" t="str">
        <f>IF(AND($D$8=1,'6c_Health_part_time'!G46&lt;0),H$14&amp;", "&amp;H$15&amp;", "&amp;$A52&amp;", "&amp;$B52&amp;", "&amp;$C52&amp;"; ","")</f>
        <v/>
      </c>
      <c r="I52" s="108" t="str">
        <f>IF(AND($D$8=1,'6c_Health_part_time'!H46&lt;0),I$14&amp;", "&amp;I$15&amp;", "&amp;$A52&amp;", "&amp;$B52&amp;", "&amp;$C52&amp;"; ","")</f>
        <v/>
      </c>
      <c r="J52" s="108" t="str">
        <f>IF(AND($D$8=1,'6c_Health_part_time'!I46&lt;0),J$14&amp;", "&amp;J$15&amp;", "&amp;$A52&amp;", "&amp;$B52&amp;", "&amp;$C52&amp;"; ","")</f>
        <v/>
      </c>
      <c r="L52" s="118"/>
      <c r="N52" s="113"/>
      <c r="O52" s="112"/>
      <c r="P52" s="112"/>
      <c r="Q52" s="113"/>
      <c r="R52" s="112"/>
      <c r="S52" s="112"/>
      <c r="U52" s="118"/>
      <c r="W52" s="109" t="str">
        <f>IF(AND($F$8=1,'6c_Health_part_time'!D46&lt;&gt;"",ABS('6c_Health_part_time'!D46)-INT(ABS('6c_Health_part_time'!D46))&lt;&gt;0,ABS('6c_Health_part_time'!D46)-INT(ABS('6c_Health_part_time'!D46))&lt;&gt;0.5),E$14&amp;", "&amp;E$15&amp;", "&amp;$A52&amp;", "&amp;$B52&amp;", "&amp;$C52&amp;"; ","")</f>
        <v/>
      </c>
      <c r="X52" s="108" t="str">
        <f>IF(AND($F$8=1,'6c_Health_part_time'!E46&lt;&gt;"",ABS('6c_Health_part_time'!E46)-INT(ABS('6c_Health_part_time'!E46))&lt;&gt;0,ABS('6c_Health_part_time'!E46)-INT(ABS('6c_Health_part_time'!E46))&lt;&gt;0.5),F$14&amp;", "&amp;F$15&amp;", "&amp;$A52&amp;", "&amp;$B52&amp;", "&amp;$C52&amp;"; ","")</f>
        <v/>
      </c>
      <c r="Y52" s="108" t="str">
        <f>IF(AND($F$8=1,'6c_Health_part_time'!F46&lt;&gt;"",ABS('6c_Health_part_time'!F46)-INT(ABS('6c_Health_part_time'!F46))&lt;&gt;0,ABS('6c_Health_part_time'!F46)-INT(ABS('6c_Health_part_time'!F46))&lt;&gt;0.5),G$14&amp;", "&amp;G$15&amp;", "&amp;$A52&amp;", "&amp;$B52&amp;", "&amp;$C52&amp;"; ","")</f>
        <v/>
      </c>
      <c r="Z52" s="109" t="str">
        <f>IF(AND($F$8=1,'6c_Health_part_time'!G46&lt;&gt;"",ABS('6c_Health_part_time'!G46)-INT(ABS('6c_Health_part_time'!G46))&lt;&gt;0,ABS('6c_Health_part_time'!G46)-INT(ABS('6c_Health_part_time'!G46))&lt;&gt;0.5),H$14&amp;", "&amp;H$15&amp;", "&amp;$A52&amp;", "&amp;$B52&amp;", "&amp;$C52&amp;"; ","")</f>
        <v/>
      </c>
      <c r="AA52" s="108" t="str">
        <f>IF(AND($F$8=1,'6c_Health_part_time'!H46&lt;&gt;"",ABS('6c_Health_part_time'!H46)-INT(ABS('6c_Health_part_time'!H46))&lt;&gt;0,ABS('6c_Health_part_time'!H46)-INT(ABS('6c_Health_part_time'!H46))&lt;&gt;0.5),I$14&amp;", "&amp;I$15&amp;", "&amp;$A52&amp;", "&amp;$B52&amp;", "&amp;$C52&amp;"; ","")</f>
        <v/>
      </c>
      <c r="AB52" s="210" t="str">
        <f>IF(AND($F$8=1,'6c_Health_part_time'!I46&lt;&gt;"",ABS('6c_Health_part_time'!I46)-INT(ABS('6c_Health_part_time'!I46))&lt;&gt;0,ABS('6c_Health_part_time'!I46)-INT(ABS('6c_Health_part_time'!I46))&lt;&gt;0.5),J$14&amp;", "&amp;J$15&amp;", "&amp;$A52&amp;", "&amp;$B52&amp;", "&amp;$C52&amp;"; ","")</f>
        <v/>
      </c>
      <c r="AC52" s="17"/>
      <c r="AD52" s="118"/>
      <c r="AG52" t="s">
        <v>203</v>
      </c>
      <c r="AH52" t="s">
        <v>27888</v>
      </c>
      <c r="AI52" t="s">
        <v>27891</v>
      </c>
      <c r="AJ52" s="113"/>
      <c r="AK52" s="112"/>
      <c r="AL52" s="121"/>
      <c r="AM52" s="113"/>
      <c r="AN52" s="112"/>
      <c r="AO52" s="116"/>
      <c r="AQ52" s="118"/>
      <c r="AT52" s="562" t="str">
        <f>IF(AND($I$8=1,ABS(SUM('6c_Health_part_time'!D46:E46))&lt;ABS('6c_Health_part_time'!F46)),E$14&amp;", "&amp;$A52&amp;", "&amp;$B52&amp;", "&amp;$C52&amp;"; ","")</f>
        <v/>
      </c>
      <c r="AW52" s="562" t="str">
        <f>IF(AND($I$8=1,ABS(SUM('6c_Health_part_time'!G46:H46))&lt;ABS('6c_Health_part_time'!I46)),H$14&amp;", "&amp;$A52&amp;", "&amp;$B52&amp;", "&amp;$C52&amp;"; ","")</f>
        <v/>
      </c>
      <c r="AY52" s="118"/>
      <c r="BG52" s="130"/>
      <c r="BH52" s="333" t="str">
        <f>IF(AND($P$8=1,$B52="Long length",'6c_Health_part_time'!D46&lt;&gt;0),E$15&amp;", "&amp;$A52&amp;", "&amp;$B52&amp;", "&amp;$C52&amp;"; ","")</f>
        <v/>
      </c>
      <c r="BI52" s="108" t="str">
        <f>IF(AND($P$8=1,$B52="Long length",'6c_Health_part_time'!E46&lt;&gt;0),F$15&amp;", "&amp;$A52&amp;", "&amp;$B52&amp;", "&amp;$C52&amp;"; ","")</f>
        <v/>
      </c>
      <c r="BJ52" s="108" t="str">
        <f>IF(AND($P$8=1,$B52="Long length",'6c_Health_part_time'!F46&lt;&gt;0),G$15&amp;", "&amp;$A52&amp;", "&amp;$B52&amp;", "&amp;$C52&amp;"; ","")</f>
        <v/>
      </c>
      <c r="BK52" s="333" t="str">
        <f>IF(AND($P$8=1,$B52="Long length",'6c_Health_part_time'!G46&lt;&gt;0),H$15&amp;", "&amp;$A52&amp;", "&amp;$B52&amp;", "&amp;$C52&amp;"; ","")</f>
        <v/>
      </c>
      <c r="BL52" s="108" t="str">
        <f>IF(AND($P$8=1,$B52="Long length",'6c_Health_part_time'!H46&lt;&gt;0),I$15&amp;", "&amp;$A52&amp;", "&amp;$B52&amp;", "&amp;$C52&amp;"; ","")</f>
        <v/>
      </c>
      <c r="BM52" s="108" t="str">
        <f>IF(AND($P$8=1,$B52="Long length",'6c_Health_part_time'!I46&lt;&gt;0),J$15&amp;", "&amp;$A52&amp;", "&amp;$B52&amp;", "&amp;$C52&amp;"; ","")</f>
        <v/>
      </c>
      <c r="BO52" s="130"/>
    </row>
    <row r="53" spans="1:67" x14ac:dyDescent="0.35">
      <c r="A53" t="s">
        <v>27902</v>
      </c>
      <c r="B53" t="s">
        <v>27888</v>
      </c>
      <c r="C53" t="s">
        <v>27889</v>
      </c>
      <c r="D53" s="118"/>
      <c r="E53" s="1885" t="str">
        <f>IF(AND($D$8=1,'6c_Health_part_time'!D47&lt;0),E$14&amp;", "&amp;E$15&amp;", "&amp;$A53&amp;", "&amp;$B53&amp;", "&amp;$C53&amp;"; ","")</f>
        <v/>
      </c>
      <c r="F53" s="1653" t="str">
        <f>IF(AND($D$8=1,'6c_Health_part_time'!E47&lt;0),F$14&amp;", "&amp;F$15&amp;", "&amp;$A53&amp;", "&amp;$B53&amp;", "&amp;$C53&amp;"; ","")</f>
        <v/>
      </c>
      <c r="G53" s="1653" t="str">
        <f>IF(AND($D$8=1,'6c_Health_part_time'!F47&lt;0),G$14&amp;", "&amp;G$15&amp;", "&amp;$A53&amp;", "&amp;$B53&amp;", "&amp;$C53&amp;"; ","")</f>
        <v/>
      </c>
      <c r="H53" s="1885" t="str">
        <f>IF(AND($D$8=1,'6c_Health_part_time'!G47&lt;0),H$14&amp;", "&amp;H$15&amp;", "&amp;$A53&amp;", "&amp;$B53&amp;", "&amp;$C53&amp;"; ","")</f>
        <v/>
      </c>
      <c r="I53" s="1653" t="str">
        <f>IF(AND($D$8=1,'6c_Health_part_time'!H47&lt;0),I$14&amp;", "&amp;I$15&amp;", "&amp;$A53&amp;", "&amp;$B53&amp;", "&amp;$C53&amp;"; ","")</f>
        <v/>
      </c>
      <c r="J53" s="1653" t="str">
        <f>IF(AND($D$8=1,'6c_Health_part_time'!I47&lt;0),J$14&amp;", "&amp;J$15&amp;", "&amp;$A53&amp;", "&amp;$B53&amp;", "&amp;$C53&amp;"; ","")</f>
        <v/>
      </c>
      <c r="L53" s="118"/>
      <c r="N53" s="1885" t="str">
        <f>IF(AND($E$8=1,ABS('6c_Health_part_time'!D47)&lt;&gt;INT(ABS('6c_Health_part_time'!D47))),E$14&amp;", "&amp;E$15&amp;", "&amp;$A53&amp;", "&amp;$B53&amp;", "&amp;$C53&amp;"; ","")</f>
        <v/>
      </c>
      <c r="O53" s="1653" t="str">
        <f>IF(AND($E$8=1,ABS('6c_Health_part_time'!E47)&lt;&gt;INT(ABS('6c_Health_part_time'!E47))),F$14&amp;", "&amp;F$15&amp;", "&amp;$A53&amp;", "&amp;$B53&amp;", "&amp;$C53&amp;"; ","")</f>
        <v/>
      </c>
      <c r="P53" s="1653" t="str">
        <f>IF(AND($E$8=1,ABS('6c_Health_part_time'!F47)&lt;&gt;INT(ABS('6c_Health_part_time'!F47))),G$14&amp;", "&amp;G$15&amp;", "&amp;$A53&amp;", "&amp;$B53&amp;", "&amp;$C53&amp;"; ","")</f>
        <v/>
      </c>
      <c r="Q53" s="1885" t="str">
        <f>IF(AND($E$8=1,ABS('6c_Health_part_time'!G47)&lt;&gt;INT(ABS('6c_Health_part_time'!G47))),H$14&amp;", "&amp;H$15&amp;", "&amp;$A53&amp;", "&amp;$B53&amp;", "&amp;$C53&amp;"; ","")</f>
        <v/>
      </c>
      <c r="R53" s="1653" t="str">
        <f>IF(AND($E$8=1,ABS('6c_Health_part_time'!H47)&lt;&gt;INT(ABS('6c_Health_part_time'!H47))),I$14&amp;", "&amp;I$15&amp;", "&amp;$A53&amp;", "&amp;$B53&amp;", "&amp;$C53&amp;"; ","")</f>
        <v/>
      </c>
      <c r="S53" s="1653" t="str">
        <f>IF(AND($E$8=1,ABS('6c_Health_part_time'!I47)&lt;&gt;INT(ABS('6c_Health_part_time'!I47))),J$14&amp;", "&amp;J$15&amp;", "&amp;$A53&amp;", "&amp;$B53&amp;", "&amp;$C53&amp;"; ","")</f>
        <v/>
      </c>
      <c r="U53" s="118"/>
      <c r="W53" s="1911"/>
      <c r="X53" s="1654"/>
      <c r="Y53" s="1654"/>
      <c r="Z53" s="1911"/>
      <c r="AA53" s="1654"/>
      <c r="AB53" s="1882"/>
      <c r="AC53" s="17"/>
      <c r="AD53" s="118"/>
      <c r="AG53" t="s">
        <v>203</v>
      </c>
      <c r="AH53" t="s">
        <v>27892</v>
      </c>
      <c r="AI53" t="s">
        <v>27889</v>
      </c>
      <c r="AJ53" s="109" t="str">
        <f t="shared" ref="AJ53:AN53" si="2">IF(AND($G$8=1,AJ21&gt;AJ37),AJ$17&amp;", Price group "&amp;$AG53&amp;" professions, "&amp;$AH53&amp;", "&amp;$AI53&amp;"; ","")</f>
        <v/>
      </c>
      <c r="AK53" s="108" t="str">
        <f t="shared" si="2"/>
        <v/>
      </c>
      <c r="AL53" s="121"/>
      <c r="AM53" s="109" t="str">
        <f t="shared" si="2"/>
        <v/>
      </c>
      <c r="AN53" s="108" t="str">
        <f t="shared" si="2"/>
        <v/>
      </c>
      <c r="AO53" s="116"/>
      <c r="AQ53" s="118"/>
      <c r="AT53" s="1886" t="str">
        <f>IF(AND($I$8=1,ABS(SUM('6c_Health_part_time'!D47:E47))&lt;ABS('6c_Health_part_time'!F47)),E$14&amp;", "&amp;$A53&amp;", "&amp;$B53&amp;", "&amp;$C53&amp;"; ","")</f>
        <v/>
      </c>
      <c r="AW53" s="1886" t="str">
        <f>IF(AND($I$8=1,ABS(SUM('6c_Health_part_time'!G47:H47))&lt;ABS('6c_Health_part_time'!I47)),H$14&amp;", "&amp;$A53&amp;", "&amp;$B53&amp;", "&amp;$C53&amp;"; ","")</f>
        <v/>
      </c>
      <c r="AY53" s="118"/>
      <c r="BG53" s="130"/>
      <c r="BH53" s="1879" t="str">
        <f>IF(AND($P$8=1,$B53="Long length",'6c_Health_part_time'!D47&lt;&gt;0),E$15&amp;", "&amp;$A53&amp;", "&amp;$B53&amp;", "&amp;$C53&amp;"; ","")</f>
        <v/>
      </c>
      <c r="BI53" s="1653" t="str">
        <f>IF(AND($P$8=1,$B53="Long length",'6c_Health_part_time'!E47&lt;&gt;0),F$15&amp;", "&amp;$A53&amp;", "&amp;$B53&amp;", "&amp;$C53&amp;"; ","")</f>
        <v/>
      </c>
      <c r="BJ53" s="1653" t="str">
        <f>IF(AND($P$8=1,$B53="Long length",'6c_Health_part_time'!F47&lt;&gt;0),G$15&amp;", "&amp;$A53&amp;", "&amp;$B53&amp;", "&amp;$C53&amp;"; ","")</f>
        <v/>
      </c>
      <c r="BK53" s="1879" t="str">
        <f>IF(AND($P$8=1,$B53="Long length",'6c_Health_part_time'!G47&lt;&gt;0),H$15&amp;", "&amp;$A53&amp;", "&amp;$B53&amp;", "&amp;$C53&amp;"; ","")</f>
        <v/>
      </c>
      <c r="BL53" s="1653" t="str">
        <f>IF(AND($P$8=1,$B53="Long length",'6c_Health_part_time'!H47&lt;&gt;0),I$15&amp;", "&amp;$A53&amp;", "&amp;$B53&amp;", "&amp;$C53&amp;"; ","")</f>
        <v/>
      </c>
      <c r="BM53" s="1653" t="str">
        <f>IF(AND($P$8=1,$B53="Long length",'6c_Health_part_time'!I47&lt;&gt;0),J$15&amp;", "&amp;$A53&amp;", "&amp;$B53&amp;", "&amp;$C53&amp;"; ","")</f>
        <v/>
      </c>
      <c r="BO53" s="130"/>
    </row>
    <row r="54" spans="1:67" x14ac:dyDescent="0.35">
      <c r="A54" t="s">
        <v>27902</v>
      </c>
      <c r="B54" t="s">
        <v>27888</v>
      </c>
      <c r="C54" t="s">
        <v>27891</v>
      </c>
      <c r="D54" s="118"/>
      <c r="E54" s="109" t="str">
        <f>IF(AND($D$8=1,'6c_Health_part_time'!D48&lt;0),E$14&amp;", "&amp;E$15&amp;", "&amp;$A54&amp;", "&amp;$B54&amp;", "&amp;$C54&amp;"; ","")</f>
        <v/>
      </c>
      <c r="F54" s="108" t="str">
        <f>IF(AND($D$8=1,'6c_Health_part_time'!E48&lt;0),F$14&amp;", "&amp;F$15&amp;", "&amp;$A54&amp;", "&amp;$B54&amp;", "&amp;$C54&amp;"; ","")</f>
        <v/>
      </c>
      <c r="G54" s="108" t="str">
        <f>IF(AND($D$8=1,'6c_Health_part_time'!F48&lt;0),G$14&amp;", "&amp;G$15&amp;", "&amp;$A54&amp;", "&amp;$B54&amp;", "&amp;$C54&amp;"; ","")</f>
        <v/>
      </c>
      <c r="H54" s="109" t="str">
        <f>IF(AND($D$8=1,'6c_Health_part_time'!G48&lt;0),H$14&amp;", "&amp;H$15&amp;", "&amp;$A54&amp;", "&amp;$B54&amp;", "&amp;$C54&amp;"; ","")</f>
        <v/>
      </c>
      <c r="I54" s="108" t="str">
        <f>IF(AND($D$8=1,'6c_Health_part_time'!H48&lt;0),I$14&amp;", "&amp;I$15&amp;", "&amp;$A54&amp;", "&amp;$B54&amp;", "&amp;$C54&amp;"; ","")</f>
        <v/>
      </c>
      <c r="J54" s="108" t="str">
        <f>IF(AND($D$8=1,'6c_Health_part_time'!I48&lt;0),J$14&amp;", "&amp;J$15&amp;", "&amp;$A54&amp;", "&amp;$B54&amp;", "&amp;$C54&amp;"; ","")</f>
        <v/>
      </c>
      <c r="L54" s="118"/>
      <c r="N54" s="109" t="str">
        <f>IF(AND($E$8=1,ABS('6c_Health_part_time'!D48)&lt;&gt;INT(ABS('6c_Health_part_time'!D48))),E$14&amp;", "&amp;E$15&amp;", "&amp;$A54&amp;", "&amp;$B54&amp;", "&amp;$C54&amp;"; ","")</f>
        <v/>
      </c>
      <c r="O54" s="108" t="str">
        <f>IF(AND($E$8=1,ABS('6c_Health_part_time'!E48)&lt;&gt;INT(ABS('6c_Health_part_time'!E48))),F$14&amp;", "&amp;F$15&amp;", "&amp;$A54&amp;", "&amp;$B54&amp;", "&amp;$C54&amp;"; ","")</f>
        <v/>
      </c>
      <c r="P54" s="108" t="str">
        <f>IF(AND($E$8=1,ABS('6c_Health_part_time'!F48)&lt;&gt;INT(ABS('6c_Health_part_time'!F48))),G$14&amp;", "&amp;G$15&amp;", "&amp;$A54&amp;", "&amp;$B54&amp;", "&amp;$C54&amp;"; ","")</f>
        <v/>
      </c>
      <c r="Q54" s="109" t="str">
        <f>IF(AND($E$8=1,ABS('6c_Health_part_time'!G48)&lt;&gt;INT(ABS('6c_Health_part_time'!G48))),H$14&amp;", "&amp;H$15&amp;", "&amp;$A54&amp;", "&amp;$B54&amp;", "&amp;$C54&amp;"; ","")</f>
        <v/>
      </c>
      <c r="R54" s="108" t="str">
        <f>IF(AND($E$8=1,ABS('6c_Health_part_time'!H48)&lt;&gt;INT(ABS('6c_Health_part_time'!H48))),I$14&amp;", "&amp;I$15&amp;", "&amp;$A54&amp;", "&amp;$B54&amp;", "&amp;$C54&amp;"; ","")</f>
        <v/>
      </c>
      <c r="S54" s="108" t="str">
        <f>IF(AND($E$8=1,ABS('6c_Health_part_time'!I48)&lt;&gt;INT(ABS('6c_Health_part_time'!I48))),J$14&amp;", "&amp;J$15&amp;", "&amp;$A54&amp;", "&amp;$B54&amp;", "&amp;$C54&amp;"; ","")</f>
        <v/>
      </c>
      <c r="U54" s="118"/>
      <c r="W54" s="113"/>
      <c r="X54" s="112"/>
      <c r="Y54" s="112"/>
      <c r="Z54" s="113"/>
      <c r="AA54" s="112"/>
      <c r="AB54" s="481"/>
      <c r="AC54" s="17"/>
      <c r="AD54" s="118"/>
      <c r="AG54" t="s">
        <v>203</v>
      </c>
      <c r="AH54" t="s">
        <v>27892</v>
      </c>
      <c r="AI54" t="s">
        <v>27891</v>
      </c>
      <c r="AJ54" s="113"/>
      <c r="AK54" s="112"/>
      <c r="AL54" s="121"/>
      <c r="AM54" s="113"/>
      <c r="AN54" s="112"/>
      <c r="AO54" s="116"/>
      <c r="AQ54" s="118"/>
      <c r="AT54" s="562" t="str">
        <f>IF(AND($I$8=1,ABS(SUM('6c_Health_part_time'!D48:E48))&lt;ABS('6c_Health_part_time'!F48)),E$14&amp;", "&amp;$A54&amp;", "&amp;$B54&amp;", "&amp;$C54&amp;"; ","")</f>
        <v/>
      </c>
      <c r="AW54" s="562" t="str">
        <f>IF(AND($I$8=1,ABS(SUM('6c_Health_part_time'!G48:H48))&lt;ABS('6c_Health_part_time'!I48)),H$14&amp;", "&amp;$A54&amp;", "&amp;$B54&amp;", "&amp;$C54&amp;"; ","")</f>
        <v/>
      </c>
      <c r="AY54" s="118"/>
      <c r="BG54" s="130"/>
      <c r="BH54" s="333" t="str">
        <f>IF(AND($P$8=1,$B54="Long length",'6c_Health_part_time'!D48&lt;&gt;0),E$15&amp;", "&amp;$A54&amp;", "&amp;$B54&amp;", "&amp;$C54&amp;"; ","")</f>
        <v/>
      </c>
      <c r="BI54" s="335" t="str">
        <f>IF(AND($P$8=1,$B54="Long length",'6c_Health_part_time'!E48&lt;&gt;0),F$15&amp;", "&amp;$A54&amp;", "&amp;$B54&amp;", "&amp;$C54&amp;"; ","")</f>
        <v/>
      </c>
      <c r="BJ54" s="335" t="str">
        <f>IF(AND($P$8=1,$B54="Long length",'6c_Health_part_time'!F48&lt;&gt;0),G$15&amp;", "&amp;$A54&amp;", "&amp;$B54&amp;", "&amp;$C54&amp;"; ","")</f>
        <v/>
      </c>
      <c r="BK54" s="333" t="str">
        <f>IF(AND($P$8=1,$B54="Long length",'6c_Health_part_time'!G48&lt;&gt;0),H$15&amp;", "&amp;$A54&amp;", "&amp;$B54&amp;", "&amp;$C54&amp;"; ","")</f>
        <v/>
      </c>
      <c r="BL54" s="335" t="str">
        <f>IF(AND($P$8=1,$B54="Long length",'6c_Health_part_time'!H48&lt;&gt;0),I$15&amp;", "&amp;$A54&amp;", "&amp;$B54&amp;", "&amp;$C54&amp;"; ","")</f>
        <v/>
      </c>
      <c r="BM54" s="335" t="str">
        <f>IF(AND($P$8=1,$B54="Long length",'6c_Health_part_time'!I48&lt;&gt;0),J$15&amp;", "&amp;$A54&amp;", "&amp;$B54&amp;", "&amp;$C54&amp;"; ","")</f>
        <v/>
      </c>
      <c r="BO54" s="130"/>
    </row>
    <row r="55" spans="1:67" x14ac:dyDescent="0.35">
      <c r="A55" t="s">
        <v>27902</v>
      </c>
      <c r="B55" t="s">
        <v>27892</v>
      </c>
      <c r="C55" t="s">
        <v>27889</v>
      </c>
      <c r="D55" s="118"/>
      <c r="E55" s="109" t="str">
        <f>IF(AND($D$8=1,'6c_Health_part_time'!D49&lt;0),E$14&amp;", "&amp;E$15&amp;", "&amp;$A55&amp;", "&amp;$B55&amp;", "&amp;$C55&amp;"; ","")</f>
        <v/>
      </c>
      <c r="F55" s="108" t="str">
        <f>IF(AND($D$8=1,'6c_Health_part_time'!E49&lt;0),F$14&amp;", "&amp;F$15&amp;", "&amp;$A55&amp;", "&amp;$B55&amp;", "&amp;$C55&amp;"; ","")</f>
        <v/>
      </c>
      <c r="G55" s="108" t="str">
        <f>IF(AND($D$8=1,'6c_Health_part_time'!F49&lt;0),G$14&amp;", "&amp;G$15&amp;", "&amp;$A55&amp;", "&amp;$B55&amp;", "&amp;$C55&amp;"; ","")</f>
        <v/>
      </c>
      <c r="H55" s="109" t="str">
        <f>IF(AND($D$8=1,'6c_Health_part_time'!G49&lt;0),H$14&amp;", "&amp;H$15&amp;", "&amp;$A55&amp;", "&amp;$B55&amp;", "&amp;$C55&amp;"; ","")</f>
        <v/>
      </c>
      <c r="I55" s="108" t="str">
        <f>IF(AND($D$8=1,'6c_Health_part_time'!H49&lt;0),I$14&amp;", "&amp;I$15&amp;", "&amp;$A55&amp;", "&amp;$B55&amp;", "&amp;$C55&amp;"; ","")</f>
        <v/>
      </c>
      <c r="J55" s="108" t="str">
        <f>IF(AND($D$8=1,'6c_Health_part_time'!I49&lt;0),J$14&amp;", "&amp;J$15&amp;", "&amp;$A55&amp;", "&amp;$B55&amp;", "&amp;$C55&amp;"; ","")</f>
        <v/>
      </c>
      <c r="L55" s="118"/>
      <c r="N55" s="109" t="str">
        <f>IF(AND($E$8=1,ABS('6c_Health_part_time'!D49)&lt;&gt;INT(ABS('6c_Health_part_time'!D49))),E$14&amp;", "&amp;E$15&amp;", "&amp;$A55&amp;", "&amp;$B55&amp;", "&amp;$C55&amp;"; ","")</f>
        <v/>
      </c>
      <c r="O55" s="108" t="str">
        <f>IF(AND($E$8=1,ABS('6c_Health_part_time'!E49)&lt;&gt;INT(ABS('6c_Health_part_time'!E49))),F$14&amp;", "&amp;F$15&amp;", "&amp;$A55&amp;", "&amp;$B55&amp;", "&amp;$C55&amp;"; ","")</f>
        <v/>
      </c>
      <c r="P55" s="108" t="str">
        <f>IF(AND($E$8=1,ABS('6c_Health_part_time'!F49)&lt;&gt;INT(ABS('6c_Health_part_time'!F49))),G$14&amp;", "&amp;G$15&amp;", "&amp;$A55&amp;", "&amp;$B55&amp;", "&amp;$C55&amp;"; ","")</f>
        <v/>
      </c>
      <c r="Q55" s="109" t="str">
        <f>IF(AND($E$8=1,ABS('6c_Health_part_time'!G49)&lt;&gt;INT(ABS('6c_Health_part_time'!G49))),H$14&amp;", "&amp;H$15&amp;", "&amp;$A55&amp;", "&amp;$B55&amp;", "&amp;$C55&amp;"; ","")</f>
        <v/>
      </c>
      <c r="R55" s="108" t="str">
        <f>IF(AND($E$8=1,ABS('6c_Health_part_time'!H49)&lt;&gt;INT(ABS('6c_Health_part_time'!H49))),I$14&amp;", "&amp;I$15&amp;", "&amp;$A55&amp;", "&amp;$B55&amp;", "&amp;$C55&amp;"; ","")</f>
        <v/>
      </c>
      <c r="S55" s="108" t="str">
        <f>IF(AND($E$8=1,ABS('6c_Health_part_time'!I49)&lt;&gt;INT(ABS('6c_Health_part_time'!I49))),J$14&amp;", "&amp;J$15&amp;", "&amp;$A55&amp;", "&amp;$B55&amp;", "&amp;$C55&amp;"; ","")</f>
        <v/>
      </c>
      <c r="U55" s="118"/>
      <c r="W55" s="113"/>
      <c r="X55" s="112"/>
      <c r="Y55" s="112"/>
      <c r="Z55" s="113"/>
      <c r="AA55" s="112"/>
      <c r="AB55" s="481"/>
      <c r="AC55" s="17"/>
      <c r="AD55" s="118"/>
      <c r="AG55" t="s">
        <v>225</v>
      </c>
      <c r="AH55" t="s">
        <v>27888</v>
      </c>
      <c r="AI55" t="s">
        <v>27889</v>
      </c>
      <c r="AJ55" s="1885" t="str">
        <f t="shared" ref="AJ55:AN55" si="3">IF(AND($G$8=1,AJ23&gt;AJ39),AJ$17&amp;", Price group "&amp;$AG55&amp;" professions, "&amp;$AH55&amp;", "&amp;$AI55&amp;"; ","")</f>
        <v/>
      </c>
      <c r="AK55" s="2195" t="str">
        <f t="shared" si="3"/>
        <v/>
      </c>
      <c r="AL55" s="1884"/>
      <c r="AM55" s="1885" t="str">
        <f t="shared" si="3"/>
        <v/>
      </c>
      <c r="AN55" s="2195" t="str">
        <f t="shared" si="3"/>
        <v/>
      </c>
      <c r="AO55" s="2190"/>
      <c r="AQ55" s="118"/>
      <c r="AT55" s="562" t="str">
        <f>IF(AND($I$8=1,ABS(SUM('6c_Health_part_time'!D49:E49))&lt;ABS('6c_Health_part_time'!F49)),E$14&amp;", "&amp;$A55&amp;", "&amp;$B55&amp;", "&amp;$C55&amp;"; ","")</f>
        <v/>
      </c>
      <c r="AW55" s="562" t="str">
        <f>IF(AND($I$8=1,ABS(SUM('6c_Health_part_time'!G49:H49))&lt;ABS('6c_Health_part_time'!I49)),H$14&amp;", "&amp;$A55&amp;", "&amp;$B55&amp;", "&amp;$C55&amp;"; ","")</f>
        <v/>
      </c>
      <c r="AY55" s="118"/>
      <c r="BG55" s="130"/>
      <c r="BH55" s="333" t="str">
        <f>IF(AND($P$8=1,$B55="Long length",'6c_Health_part_time'!D49&lt;&gt;0),E$15&amp;", "&amp;$A55&amp;", "&amp;$B55&amp;", "&amp;$C55&amp;"; ","")</f>
        <v/>
      </c>
      <c r="BI55" s="108" t="str">
        <f>IF(AND($P$8=1,$B55="Long length",'6c_Health_part_time'!E49&lt;&gt;0),F$15&amp;", "&amp;$A55&amp;", "&amp;$B55&amp;", "&amp;$C55&amp;"; ","")</f>
        <v/>
      </c>
      <c r="BJ55" s="108" t="str">
        <f>IF(AND($P$8=1,$B55="Long length",'6c_Health_part_time'!F49&lt;&gt;0),G$15&amp;", "&amp;$A55&amp;", "&amp;$B55&amp;", "&amp;$C55&amp;"; ","")</f>
        <v/>
      </c>
      <c r="BK55" s="333" t="str">
        <f>IF(AND($P$8=1,$B55="Long length",'6c_Health_part_time'!G49&lt;&gt;0),H$15&amp;", "&amp;$A55&amp;", "&amp;$B55&amp;", "&amp;$C55&amp;"; ","")</f>
        <v/>
      </c>
      <c r="BL55" s="108" t="str">
        <f>IF(AND($P$8=1,$B55="Long length",'6c_Health_part_time'!H49&lt;&gt;0),I$15&amp;", "&amp;$A55&amp;", "&amp;$B55&amp;", "&amp;$C55&amp;"; ","")</f>
        <v/>
      </c>
      <c r="BM55" s="108" t="str">
        <f>IF(AND($P$8=1,$B55="Long length",'6c_Health_part_time'!I49&lt;&gt;0),J$15&amp;", "&amp;$A55&amp;", "&amp;$B55&amp;", "&amp;$C55&amp;"; ","")</f>
        <v/>
      </c>
      <c r="BO55" s="130"/>
    </row>
    <row r="56" spans="1:67" x14ac:dyDescent="0.35">
      <c r="A56" t="s">
        <v>27902</v>
      </c>
      <c r="B56" t="s">
        <v>27892</v>
      </c>
      <c r="C56" t="s">
        <v>27891</v>
      </c>
      <c r="D56" s="118"/>
      <c r="E56" s="109" t="str">
        <f>IF(AND($D$8=1,'6c_Health_part_time'!D50&lt;0),E$14&amp;", "&amp;E$15&amp;", "&amp;$A56&amp;", "&amp;$B56&amp;", "&amp;$C56&amp;"; ","")</f>
        <v/>
      </c>
      <c r="F56" s="108" t="str">
        <f>IF(AND($D$8=1,'6c_Health_part_time'!E50&lt;0),F$14&amp;", "&amp;F$15&amp;", "&amp;$A56&amp;", "&amp;$B56&amp;", "&amp;$C56&amp;"; ","")</f>
        <v/>
      </c>
      <c r="G56" s="108" t="str">
        <f>IF(AND($D$8=1,'6c_Health_part_time'!F50&lt;0),G$14&amp;", "&amp;G$15&amp;", "&amp;$A56&amp;", "&amp;$B56&amp;", "&amp;$C56&amp;"; ","")</f>
        <v/>
      </c>
      <c r="H56" s="109" t="str">
        <f>IF(AND($D$8=1,'6c_Health_part_time'!G50&lt;0),H$14&amp;", "&amp;H$15&amp;", "&amp;$A56&amp;", "&amp;$B56&amp;", "&amp;$C56&amp;"; ","")</f>
        <v/>
      </c>
      <c r="I56" s="108" t="str">
        <f>IF(AND($D$8=1,'6c_Health_part_time'!H50&lt;0),I$14&amp;", "&amp;I$15&amp;", "&amp;$A56&amp;", "&amp;$B56&amp;", "&amp;$C56&amp;"; ","")</f>
        <v/>
      </c>
      <c r="J56" s="108" t="str">
        <f>IF(AND($D$8=1,'6c_Health_part_time'!I50&lt;0),J$14&amp;", "&amp;J$15&amp;", "&amp;$A56&amp;", "&amp;$B56&amp;", "&amp;$C56&amp;"; ","")</f>
        <v/>
      </c>
      <c r="L56" s="118"/>
      <c r="N56" s="109" t="str">
        <f>IF(AND($E$8=1,ABS('6c_Health_part_time'!D50)&lt;&gt;INT(ABS('6c_Health_part_time'!D50))),E$14&amp;", "&amp;E$15&amp;", "&amp;$A56&amp;", "&amp;$B56&amp;", "&amp;$C56&amp;"; ","")</f>
        <v/>
      </c>
      <c r="O56" s="108" t="str">
        <f>IF(AND($E$8=1,ABS('6c_Health_part_time'!E50)&lt;&gt;INT(ABS('6c_Health_part_time'!E50))),F$14&amp;", "&amp;F$15&amp;", "&amp;$A56&amp;", "&amp;$B56&amp;", "&amp;$C56&amp;"; ","")</f>
        <v/>
      </c>
      <c r="P56" s="108" t="str">
        <f>IF(AND($E$8=1,ABS('6c_Health_part_time'!F50)&lt;&gt;INT(ABS('6c_Health_part_time'!F50))),G$14&amp;", "&amp;G$15&amp;", "&amp;$A56&amp;", "&amp;$B56&amp;", "&amp;$C56&amp;"; ","")</f>
        <v/>
      </c>
      <c r="Q56" s="109" t="str">
        <f>IF(AND($E$8=1,ABS('6c_Health_part_time'!G50)&lt;&gt;INT(ABS('6c_Health_part_time'!G50))),H$14&amp;", "&amp;H$15&amp;", "&amp;$A56&amp;", "&amp;$B56&amp;", "&amp;$C56&amp;"; ","")</f>
        <v/>
      </c>
      <c r="R56" s="108" t="str">
        <f>IF(AND($E$8=1,ABS('6c_Health_part_time'!H50)&lt;&gt;INT(ABS('6c_Health_part_time'!H50))),I$14&amp;", "&amp;I$15&amp;", "&amp;$A56&amp;", "&amp;$B56&amp;", "&amp;$C56&amp;"; ","")</f>
        <v/>
      </c>
      <c r="S56" s="108" t="str">
        <f>IF(AND($E$8=1,ABS('6c_Health_part_time'!I50)&lt;&gt;INT(ABS('6c_Health_part_time'!I50))),J$14&amp;", "&amp;J$15&amp;", "&amp;$A56&amp;", "&amp;$B56&amp;", "&amp;$C56&amp;"; ","")</f>
        <v/>
      </c>
      <c r="U56" s="118"/>
      <c r="W56" s="113"/>
      <c r="X56" s="112"/>
      <c r="Y56" s="112"/>
      <c r="Z56" s="113"/>
      <c r="AA56" s="112"/>
      <c r="AB56" s="481"/>
      <c r="AC56" s="17"/>
      <c r="AD56" s="118"/>
      <c r="AG56" t="s">
        <v>225</v>
      </c>
      <c r="AH56" t="s">
        <v>27888</v>
      </c>
      <c r="AI56" t="s">
        <v>27891</v>
      </c>
      <c r="AJ56" s="109" t="str">
        <f t="shared" ref="AJ56:AN56" si="4">IF(AND($G$8=1,AJ24&gt;AJ40),AJ$17&amp;", Price group "&amp;$AG56&amp;" professions, "&amp;$AH56&amp;", "&amp;$AI56&amp;"; ","")</f>
        <v/>
      </c>
      <c r="AK56" s="108" t="str">
        <f t="shared" si="4"/>
        <v/>
      </c>
      <c r="AL56" s="121"/>
      <c r="AM56" s="109" t="str">
        <f t="shared" si="4"/>
        <v/>
      </c>
      <c r="AN56" s="108" t="str">
        <f t="shared" si="4"/>
        <v/>
      </c>
      <c r="AO56" s="116"/>
      <c r="AQ56" s="118"/>
      <c r="AT56" s="562" t="str">
        <f>IF(AND($I$8=1,ABS(SUM('6c_Health_part_time'!D50:E50))&lt;ABS('6c_Health_part_time'!F50)),E$14&amp;", "&amp;$A56&amp;", "&amp;$B56&amp;", "&amp;$C56&amp;"; ","")</f>
        <v/>
      </c>
      <c r="AW56" s="562" t="str">
        <f>IF(AND($I$8=1,ABS(SUM('6c_Health_part_time'!G50:H50))&lt;ABS('6c_Health_part_time'!I50)),H$14&amp;", "&amp;$A56&amp;", "&amp;$B56&amp;", "&amp;$C56&amp;"; ","")</f>
        <v/>
      </c>
      <c r="AY56" s="118"/>
      <c r="BG56" s="130"/>
      <c r="BH56" s="333" t="str">
        <f>IF(AND($P$8=1,$B56="Long length",'6c_Health_part_time'!D50&lt;&gt;0),E$15&amp;", "&amp;$A56&amp;", "&amp;$B56&amp;", "&amp;$C56&amp;"; ","")</f>
        <v/>
      </c>
      <c r="BI56" s="108" t="str">
        <f>IF(AND($P$8=1,$B56="Long length",'6c_Health_part_time'!E50&lt;&gt;0),F$15&amp;", "&amp;$A56&amp;", "&amp;$B56&amp;", "&amp;$C56&amp;"; ","")</f>
        <v/>
      </c>
      <c r="BJ56" s="108" t="str">
        <f>IF(AND($P$8=1,$B56="Long length",'6c_Health_part_time'!F50&lt;&gt;0),G$15&amp;", "&amp;$A56&amp;", "&amp;$B56&amp;", "&amp;$C56&amp;"; ","")</f>
        <v/>
      </c>
      <c r="BK56" s="333" t="str">
        <f>IF(AND($P$8=1,$B56="Long length",'6c_Health_part_time'!G50&lt;&gt;0),H$15&amp;", "&amp;$A56&amp;", "&amp;$B56&amp;", "&amp;$C56&amp;"; ","")</f>
        <v/>
      </c>
      <c r="BL56" s="108" t="str">
        <f>IF(AND($P$8=1,$B56="Long length",'6c_Health_part_time'!H50&lt;&gt;0),I$15&amp;", "&amp;$A56&amp;", "&amp;$B56&amp;", "&amp;$C56&amp;"; ","")</f>
        <v/>
      </c>
      <c r="BM56" s="108" t="str">
        <f>IF(AND($P$8=1,$B56="Long length",'6c_Health_part_time'!I50&lt;&gt;0),J$15&amp;", "&amp;$A56&amp;", "&amp;$B56&amp;", "&amp;$C56&amp;"; ","")</f>
        <v/>
      </c>
      <c r="BO56" s="130"/>
    </row>
    <row r="57" spans="1:67" x14ac:dyDescent="0.35">
      <c r="A57" t="s">
        <v>27903</v>
      </c>
      <c r="B57" t="s">
        <v>27888</v>
      </c>
      <c r="C57" t="s">
        <v>27889</v>
      </c>
      <c r="D57" s="118"/>
      <c r="E57" s="1885" t="str">
        <f>IF(AND($D$8=1,'6c_Health_part_time'!D51&lt;0),E$14&amp;", "&amp;E$15&amp;", "&amp;$A57&amp;", "&amp;$B57&amp;", "&amp;$C57&amp;"; ","")</f>
        <v/>
      </c>
      <c r="F57" s="1653" t="str">
        <f>IF(AND($D$8=1,'6c_Health_part_time'!E51&lt;0),F$14&amp;", "&amp;F$15&amp;", "&amp;$A57&amp;", "&amp;$B57&amp;", "&amp;$C57&amp;"; ","")</f>
        <v/>
      </c>
      <c r="G57" s="1653" t="str">
        <f>IF(AND($D$8=1,'6c_Health_part_time'!F51&lt;0),G$14&amp;", "&amp;G$15&amp;", "&amp;$A57&amp;", "&amp;$B57&amp;", "&amp;$C57&amp;"; ","")</f>
        <v/>
      </c>
      <c r="H57" s="1885" t="str">
        <f>IF(AND($D$8=1,'6c_Health_part_time'!G51&lt;0),H$14&amp;", "&amp;H$15&amp;", "&amp;$A57&amp;", "&amp;$B57&amp;", "&amp;$C57&amp;"; ","")</f>
        <v/>
      </c>
      <c r="I57" s="1653" t="str">
        <f>IF(AND($D$8=1,'6c_Health_part_time'!H51&lt;0),I$14&amp;", "&amp;I$15&amp;", "&amp;$A57&amp;", "&amp;$B57&amp;", "&amp;$C57&amp;"; ","")</f>
        <v/>
      </c>
      <c r="J57" s="1653" t="str">
        <f>IF(AND($D$8=1,'6c_Health_part_time'!I51&lt;0),J$14&amp;", "&amp;J$15&amp;", "&amp;$A57&amp;", "&amp;$B57&amp;", "&amp;$C57&amp;"; ","")</f>
        <v/>
      </c>
      <c r="L57" s="118"/>
      <c r="N57" s="1885" t="str">
        <f>IF(AND($E$8=1,ABS('6c_Health_part_time'!D51)&lt;&gt;INT(ABS('6c_Health_part_time'!D51))),E$14&amp;", "&amp;E$15&amp;", "&amp;$A57&amp;", "&amp;$B57&amp;", "&amp;$C57&amp;"; ","")</f>
        <v/>
      </c>
      <c r="O57" s="1653" t="str">
        <f>IF(AND($E$8=1,ABS('6c_Health_part_time'!E51)&lt;&gt;INT(ABS('6c_Health_part_time'!E51))),F$14&amp;", "&amp;F$15&amp;", "&amp;$A57&amp;", "&amp;$B57&amp;", "&amp;$C57&amp;"; ","")</f>
        <v/>
      </c>
      <c r="P57" s="1653" t="str">
        <f>IF(AND($E$8=1,ABS('6c_Health_part_time'!F51)&lt;&gt;INT(ABS('6c_Health_part_time'!F51))),G$14&amp;", "&amp;G$15&amp;", "&amp;$A57&amp;", "&amp;$B57&amp;", "&amp;$C57&amp;"; ","")</f>
        <v/>
      </c>
      <c r="Q57" s="1885" t="str">
        <f>IF(AND($E$8=1,ABS('6c_Health_part_time'!G51)&lt;&gt;INT(ABS('6c_Health_part_time'!G51))),H$14&amp;", "&amp;H$15&amp;", "&amp;$A57&amp;", "&amp;$B57&amp;", "&amp;$C57&amp;"; ","")</f>
        <v/>
      </c>
      <c r="R57" s="1653" t="str">
        <f>IF(AND($E$8=1,ABS('6c_Health_part_time'!H51)&lt;&gt;INT(ABS('6c_Health_part_time'!H51))),I$14&amp;", "&amp;I$15&amp;", "&amp;$A57&amp;", "&amp;$B57&amp;", "&amp;$C57&amp;"; ","")</f>
        <v/>
      </c>
      <c r="S57" s="1653" t="str">
        <f>IF(AND($E$8=1,ABS('6c_Health_part_time'!I51)&lt;&gt;INT(ABS('6c_Health_part_time'!I51))),J$14&amp;", "&amp;J$15&amp;", "&amp;$A57&amp;", "&amp;$B57&amp;", "&amp;$C57&amp;"; ","")</f>
        <v/>
      </c>
      <c r="U57" s="118"/>
      <c r="W57" s="1911"/>
      <c r="X57" s="1654"/>
      <c r="Y57" s="1654"/>
      <c r="Z57" s="1911"/>
      <c r="AA57" s="1654"/>
      <c r="AB57" s="1882"/>
      <c r="AC57" s="17"/>
      <c r="AD57" s="118"/>
      <c r="AG57" t="s">
        <v>225</v>
      </c>
      <c r="AH57" t="s">
        <v>27892</v>
      </c>
      <c r="AI57" t="s">
        <v>27889</v>
      </c>
      <c r="AJ57" s="109" t="str">
        <f t="shared" ref="AJ57:AN57" si="5">IF(AND($G$8=1,AJ25&gt;AJ41),AJ$17&amp;", Price group "&amp;$AG57&amp;" professions, "&amp;$AH57&amp;", "&amp;$AI57&amp;"; ","")</f>
        <v/>
      </c>
      <c r="AK57" s="108" t="str">
        <f t="shared" si="5"/>
        <v/>
      </c>
      <c r="AL57" s="121"/>
      <c r="AM57" s="109" t="str">
        <f t="shared" si="5"/>
        <v/>
      </c>
      <c r="AN57" s="108" t="str">
        <f t="shared" si="5"/>
        <v/>
      </c>
      <c r="AO57" s="116"/>
      <c r="AQ57" s="118"/>
      <c r="AT57" s="1886" t="str">
        <f>IF(AND($I$8=1,ABS(SUM('6c_Health_part_time'!D51:E51))&lt;ABS('6c_Health_part_time'!F51)),E$14&amp;", "&amp;$A57&amp;", "&amp;$B57&amp;", "&amp;$C57&amp;"; ","")</f>
        <v/>
      </c>
      <c r="AW57" s="1886" t="str">
        <f>IF(AND($I$8=1,ABS(SUM('6c_Health_part_time'!G51:H51))&lt;ABS('6c_Health_part_time'!I51)),H$14&amp;", "&amp;$A57&amp;", "&amp;$B57&amp;", "&amp;$C57&amp;"; ","")</f>
        <v/>
      </c>
      <c r="AY57" s="118"/>
      <c r="BG57" s="130"/>
      <c r="BH57" s="1879" t="str">
        <f>IF(AND($P$8=1,$B57="Long length",'6c_Health_part_time'!D51&lt;&gt;0),E$15&amp;", "&amp;$A57&amp;", "&amp;$B57&amp;", "&amp;$C57&amp;"; ","")</f>
        <v/>
      </c>
      <c r="BI57" s="1653" t="str">
        <f>IF(AND($P$8=1,$B57="Long length",'6c_Health_part_time'!E51&lt;&gt;0),F$15&amp;", "&amp;$A57&amp;", "&amp;$B57&amp;", "&amp;$C57&amp;"; ","")</f>
        <v/>
      </c>
      <c r="BJ57" s="1653" t="str">
        <f>IF(AND($P$8=1,$B57="Long length",'6c_Health_part_time'!F51&lt;&gt;0),G$15&amp;", "&amp;$A57&amp;", "&amp;$B57&amp;", "&amp;$C57&amp;"; ","")</f>
        <v/>
      </c>
      <c r="BK57" s="1879" t="str">
        <f>IF(AND($P$8=1,$B57="Long length",'6c_Health_part_time'!G51&lt;&gt;0),H$15&amp;", "&amp;$A57&amp;", "&amp;$B57&amp;", "&amp;$C57&amp;"; ","")</f>
        <v/>
      </c>
      <c r="BL57" s="1653" t="str">
        <f>IF(AND($P$8=1,$B57="Long length",'6c_Health_part_time'!H51&lt;&gt;0),I$15&amp;", "&amp;$A57&amp;", "&amp;$B57&amp;", "&amp;$C57&amp;"; ","")</f>
        <v/>
      </c>
      <c r="BM57" s="1653" t="str">
        <f>IF(AND($P$8=1,$B57="Long length",'6c_Health_part_time'!I51&lt;&gt;0),J$15&amp;", "&amp;$A57&amp;", "&amp;$B57&amp;", "&amp;$C57&amp;"; ","")</f>
        <v/>
      </c>
      <c r="BO57" s="130"/>
    </row>
    <row r="58" spans="1:67" x14ac:dyDescent="0.35">
      <c r="A58" t="s">
        <v>27903</v>
      </c>
      <c r="B58" t="s">
        <v>27888</v>
      </c>
      <c r="C58" t="s">
        <v>27891</v>
      </c>
      <c r="D58" s="118"/>
      <c r="E58" s="109" t="str">
        <f>IF(AND($D$8=1,'6c_Health_part_time'!D52&lt;0),E$14&amp;", "&amp;E$15&amp;", "&amp;$A58&amp;", "&amp;$B58&amp;", "&amp;$C58&amp;"; ","")</f>
        <v/>
      </c>
      <c r="F58" s="108" t="str">
        <f>IF(AND($D$8=1,'6c_Health_part_time'!E52&lt;0),F$14&amp;", "&amp;F$15&amp;", "&amp;$A58&amp;", "&amp;$B58&amp;", "&amp;$C58&amp;"; ","")</f>
        <v/>
      </c>
      <c r="G58" s="108" t="str">
        <f>IF(AND($D$8=1,'6c_Health_part_time'!F52&lt;0),G$14&amp;", "&amp;G$15&amp;", "&amp;$A58&amp;", "&amp;$B58&amp;", "&amp;$C58&amp;"; ","")</f>
        <v/>
      </c>
      <c r="H58" s="109" t="str">
        <f>IF(AND($D$8=1,'6c_Health_part_time'!G52&lt;0),H$14&amp;", "&amp;H$15&amp;", "&amp;$A58&amp;", "&amp;$B58&amp;", "&amp;$C58&amp;"; ","")</f>
        <v/>
      </c>
      <c r="I58" s="108" t="str">
        <f>IF(AND($D$8=1,'6c_Health_part_time'!H52&lt;0),I$14&amp;", "&amp;I$15&amp;", "&amp;$A58&amp;", "&amp;$B58&amp;", "&amp;$C58&amp;"; ","")</f>
        <v/>
      </c>
      <c r="J58" s="108" t="str">
        <f>IF(AND($D$8=1,'6c_Health_part_time'!I52&lt;0),J$14&amp;", "&amp;J$15&amp;", "&amp;$A58&amp;", "&amp;$B58&amp;", "&amp;$C58&amp;"; ","")</f>
        <v/>
      </c>
      <c r="L58" s="118"/>
      <c r="N58" s="109" t="str">
        <f>IF(AND($E$8=1,ABS('6c_Health_part_time'!D52)&lt;&gt;INT(ABS('6c_Health_part_time'!D52))),E$14&amp;", "&amp;E$15&amp;", "&amp;$A58&amp;", "&amp;$B58&amp;", "&amp;$C58&amp;"; ","")</f>
        <v/>
      </c>
      <c r="O58" s="108" t="str">
        <f>IF(AND($E$8=1,ABS('6c_Health_part_time'!E52)&lt;&gt;INT(ABS('6c_Health_part_time'!E52))),F$14&amp;", "&amp;F$15&amp;", "&amp;$A58&amp;", "&amp;$B58&amp;", "&amp;$C58&amp;"; ","")</f>
        <v/>
      </c>
      <c r="P58" s="108" t="str">
        <f>IF(AND($E$8=1,ABS('6c_Health_part_time'!F52)&lt;&gt;INT(ABS('6c_Health_part_time'!F52))),G$14&amp;", "&amp;G$15&amp;", "&amp;$A58&amp;", "&amp;$B58&amp;", "&amp;$C58&amp;"; ","")</f>
        <v/>
      </c>
      <c r="Q58" s="109" t="str">
        <f>IF(AND($E$8=1,ABS('6c_Health_part_time'!G52)&lt;&gt;INT(ABS('6c_Health_part_time'!G52))),H$14&amp;", "&amp;H$15&amp;", "&amp;$A58&amp;", "&amp;$B58&amp;", "&amp;$C58&amp;"; ","")</f>
        <v/>
      </c>
      <c r="R58" s="108" t="str">
        <f>IF(AND($E$8=1,ABS('6c_Health_part_time'!H52)&lt;&gt;INT(ABS('6c_Health_part_time'!H52))),I$14&amp;", "&amp;I$15&amp;", "&amp;$A58&amp;", "&amp;$B58&amp;", "&amp;$C58&amp;"; ","")</f>
        <v/>
      </c>
      <c r="S58" s="108" t="str">
        <f>IF(AND($E$8=1,ABS('6c_Health_part_time'!I52)&lt;&gt;INT(ABS('6c_Health_part_time'!I52))),J$14&amp;", "&amp;J$15&amp;", "&amp;$A58&amp;", "&amp;$B58&amp;", "&amp;$C58&amp;"; ","")</f>
        <v/>
      </c>
      <c r="U58" s="118"/>
      <c r="W58" s="113"/>
      <c r="X58" s="112"/>
      <c r="Y58" s="112"/>
      <c r="Z58" s="113"/>
      <c r="AA58" s="112"/>
      <c r="AB58" s="481"/>
      <c r="AC58" s="17"/>
      <c r="AD58" s="118"/>
      <c r="AG58" t="s">
        <v>225</v>
      </c>
      <c r="AH58" t="s">
        <v>27892</v>
      </c>
      <c r="AI58" t="s">
        <v>27891</v>
      </c>
      <c r="AJ58" s="109" t="str">
        <f t="shared" ref="AJ58:AN58" si="6">IF(AND($G$8=1,AJ26&gt;AJ42),AJ$17&amp;", Price group "&amp;$AG58&amp;" professions, "&amp;$AH58&amp;", "&amp;$AI58&amp;"; ","")</f>
        <v/>
      </c>
      <c r="AK58" s="108" t="str">
        <f t="shared" si="6"/>
        <v/>
      </c>
      <c r="AL58" s="121"/>
      <c r="AM58" s="109" t="str">
        <f t="shared" si="6"/>
        <v/>
      </c>
      <c r="AN58" s="108" t="str">
        <f t="shared" si="6"/>
        <v/>
      </c>
      <c r="AO58" s="116"/>
      <c r="AQ58" s="118"/>
      <c r="AT58" s="562" t="str">
        <f>IF(AND($I$8=1,ABS(SUM('6c_Health_part_time'!D52:E52))&lt;ABS('6c_Health_part_time'!F52)),E$14&amp;", "&amp;$A58&amp;", "&amp;$B58&amp;", "&amp;$C58&amp;"; ","")</f>
        <v/>
      </c>
      <c r="AW58" s="562" t="str">
        <f>IF(AND($I$8=1,ABS(SUM('6c_Health_part_time'!G52:H52))&lt;ABS('6c_Health_part_time'!I52)),H$14&amp;", "&amp;$A58&amp;", "&amp;$B58&amp;", "&amp;$C58&amp;"; ","")</f>
        <v/>
      </c>
      <c r="AY58" s="118"/>
      <c r="BG58" s="130"/>
      <c r="BH58" s="333" t="str">
        <f>IF(AND($P$8=1,$B58="Long length",'6c_Health_part_time'!D52&lt;&gt;0),E$15&amp;", "&amp;$A58&amp;", "&amp;$B58&amp;", "&amp;$C58&amp;"; ","")</f>
        <v/>
      </c>
      <c r="BI58" s="108" t="str">
        <f>IF(AND($P$8=1,$B58="Long length",'6c_Health_part_time'!E52&lt;&gt;0),F$15&amp;", "&amp;$A58&amp;", "&amp;$B58&amp;", "&amp;$C58&amp;"; ","")</f>
        <v/>
      </c>
      <c r="BJ58" s="108" t="str">
        <f>IF(AND($P$8=1,$B58="Long length",'6c_Health_part_time'!F52&lt;&gt;0),G$15&amp;", "&amp;$A58&amp;", "&amp;$B58&amp;", "&amp;$C58&amp;"; ","")</f>
        <v/>
      </c>
      <c r="BK58" s="333" t="str">
        <f>IF(AND($P$8=1,$B58="Long length",'6c_Health_part_time'!G52&lt;&gt;0),H$15&amp;", "&amp;$A58&amp;", "&amp;$B58&amp;", "&amp;$C58&amp;"; ","")</f>
        <v/>
      </c>
      <c r="BL58" s="108" t="str">
        <f>IF(AND($P$8=1,$B58="Long length",'6c_Health_part_time'!H52&lt;&gt;0),I$15&amp;", "&amp;$A58&amp;", "&amp;$B58&amp;", "&amp;$C58&amp;"; ","")</f>
        <v/>
      </c>
      <c r="BM58" s="108" t="str">
        <f>IF(AND($P$8=1,$B58="Long length",'6c_Health_part_time'!I52&lt;&gt;0),J$15&amp;", "&amp;$A58&amp;", "&amp;$B58&amp;", "&amp;$C58&amp;"; ","")</f>
        <v/>
      </c>
      <c r="BO58" s="130"/>
    </row>
    <row r="59" spans="1:67" ht="12.75" customHeight="1" x14ac:dyDescent="0.35">
      <c r="A59" t="s">
        <v>27903</v>
      </c>
      <c r="B59" t="s">
        <v>27892</v>
      </c>
      <c r="C59" t="s">
        <v>27889</v>
      </c>
      <c r="D59" s="118"/>
      <c r="E59" s="109" t="str">
        <f>IF(AND($D$8=1,'6c_Health_part_time'!D53&lt;0),E$14&amp;", "&amp;E$15&amp;", "&amp;$A59&amp;", "&amp;$B59&amp;", "&amp;$C59&amp;"; ","")</f>
        <v/>
      </c>
      <c r="F59" s="108" t="str">
        <f>IF(AND($D$8=1,'6c_Health_part_time'!E53&lt;0),F$14&amp;", "&amp;F$15&amp;", "&amp;$A59&amp;", "&amp;$B59&amp;", "&amp;$C59&amp;"; ","")</f>
        <v/>
      </c>
      <c r="G59" s="108" t="str">
        <f>IF(AND($D$8=1,'6c_Health_part_time'!F53&lt;0),G$14&amp;", "&amp;G$15&amp;", "&amp;$A59&amp;", "&amp;$B59&amp;", "&amp;$C59&amp;"; ","")</f>
        <v/>
      </c>
      <c r="H59" s="109" t="str">
        <f>IF(AND($D$8=1,'6c_Health_part_time'!G53&lt;0),H$14&amp;", "&amp;H$15&amp;", "&amp;$A59&amp;", "&amp;$B59&amp;", "&amp;$C59&amp;"; ","")</f>
        <v/>
      </c>
      <c r="I59" s="108" t="str">
        <f>IF(AND($D$8=1,'6c_Health_part_time'!H53&lt;0),I$14&amp;", "&amp;I$15&amp;", "&amp;$A59&amp;", "&amp;$B59&amp;", "&amp;$C59&amp;"; ","")</f>
        <v/>
      </c>
      <c r="J59" s="108" t="str">
        <f>IF(AND($D$8=1,'6c_Health_part_time'!I53&lt;0),J$14&amp;", "&amp;J$15&amp;", "&amp;$A59&amp;", "&amp;$B59&amp;", "&amp;$C59&amp;"; ","")</f>
        <v/>
      </c>
      <c r="L59" s="118"/>
      <c r="N59" s="109" t="str">
        <f>IF(AND($E$8=1,ABS('6c_Health_part_time'!D53)&lt;&gt;INT(ABS('6c_Health_part_time'!D53))),E$14&amp;", "&amp;E$15&amp;", "&amp;$A59&amp;", "&amp;$B59&amp;", "&amp;$C59&amp;"; ","")</f>
        <v/>
      </c>
      <c r="O59" s="108" t="str">
        <f>IF(AND($E$8=1,ABS('6c_Health_part_time'!E53)&lt;&gt;INT(ABS('6c_Health_part_time'!E53))),F$14&amp;", "&amp;F$15&amp;", "&amp;$A59&amp;", "&amp;$B59&amp;", "&amp;$C59&amp;"; ","")</f>
        <v/>
      </c>
      <c r="P59" s="108" t="str">
        <f>IF(AND($E$8=1,ABS('6c_Health_part_time'!F53)&lt;&gt;INT(ABS('6c_Health_part_time'!F53))),G$14&amp;", "&amp;G$15&amp;", "&amp;$A59&amp;", "&amp;$B59&amp;", "&amp;$C59&amp;"; ","")</f>
        <v/>
      </c>
      <c r="Q59" s="109" t="str">
        <f>IF(AND($E$8=1,ABS('6c_Health_part_time'!G53)&lt;&gt;INT(ABS('6c_Health_part_time'!G53))),H$14&amp;", "&amp;H$15&amp;", "&amp;$A59&amp;", "&amp;$B59&amp;", "&amp;$C59&amp;"; ","")</f>
        <v/>
      </c>
      <c r="R59" s="108" t="str">
        <f>IF(AND($E$8=1,ABS('6c_Health_part_time'!H53)&lt;&gt;INT(ABS('6c_Health_part_time'!H53))),I$14&amp;", "&amp;I$15&amp;", "&amp;$A59&amp;", "&amp;$B59&amp;", "&amp;$C59&amp;"; ","")</f>
        <v/>
      </c>
      <c r="S59" s="108" t="str">
        <f>IF(AND($E$8=1,ABS('6c_Health_part_time'!I53)&lt;&gt;INT(ABS('6c_Health_part_time'!I53))),J$14&amp;", "&amp;J$15&amp;", "&amp;$A59&amp;", "&amp;$B59&amp;", "&amp;$C59&amp;"; ","")</f>
        <v/>
      </c>
      <c r="U59" s="118"/>
      <c r="W59" s="113"/>
      <c r="X59" s="112"/>
      <c r="Y59" s="112"/>
      <c r="Z59" s="113"/>
      <c r="AA59" s="112"/>
      <c r="AB59" s="481"/>
      <c r="AC59" s="17"/>
      <c r="AD59" s="118"/>
      <c r="AG59" t="s">
        <v>225</v>
      </c>
      <c r="AH59" t="s">
        <v>27888</v>
      </c>
      <c r="AI59" t="s">
        <v>27894</v>
      </c>
      <c r="AJ59" s="109" t="str">
        <f t="shared" ref="AJ59:AN59" si="7">IF(AND($G$8=1,AJ27&gt;AJ43),AJ$17&amp;", Price group "&amp;$AG59&amp;" professions, "&amp;$AH59&amp;", "&amp;$AI59&amp;"; ","")</f>
        <v/>
      </c>
      <c r="AK59" s="108" t="str">
        <f t="shared" si="7"/>
        <v/>
      </c>
      <c r="AL59" s="121"/>
      <c r="AM59" s="109" t="str">
        <f t="shared" si="7"/>
        <v/>
      </c>
      <c r="AN59" s="108" t="str">
        <f t="shared" si="7"/>
        <v/>
      </c>
      <c r="AO59" s="121"/>
      <c r="AQ59" s="118"/>
      <c r="AT59" s="562" t="str">
        <f>IF(AND($I$8=1,ABS(SUM('6c_Health_part_time'!D53:E53))&lt;ABS('6c_Health_part_time'!F53)),E$14&amp;", "&amp;$A59&amp;", "&amp;$B59&amp;", "&amp;$C59&amp;"; ","")</f>
        <v/>
      </c>
      <c r="AW59" s="562" t="str">
        <f>IF(AND($I$8=1,ABS(SUM('6c_Health_part_time'!G53:H53))&lt;ABS('6c_Health_part_time'!I53)),H$14&amp;", "&amp;$A59&amp;", "&amp;$B59&amp;", "&amp;$C59&amp;"; ","")</f>
        <v/>
      </c>
      <c r="AY59" s="118"/>
      <c r="BG59" s="130"/>
      <c r="BH59" s="333" t="str">
        <f>IF(AND($P$8=1,$B59="Long length",'6c_Health_part_time'!D53&lt;&gt;0),E$15&amp;", "&amp;$A59&amp;", "&amp;$B59&amp;", "&amp;$C59&amp;"; ","")</f>
        <v/>
      </c>
      <c r="BI59" s="108" t="str">
        <f>IF(AND($P$8=1,$B59="Long length",'6c_Health_part_time'!E53&lt;&gt;0),F$15&amp;", "&amp;$A59&amp;", "&amp;$B59&amp;", "&amp;$C59&amp;"; ","")</f>
        <v/>
      </c>
      <c r="BJ59" s="108" t="str">
        <f>IF(AND($P$8=1,$B59="Long length",'6c_Health_part_time'!F53&lt;&gt;0),G$15&amp;", "&amp;$A59&amp;", "&amp;$B59&amp;", "&amp;$C59&amp;"; ","")</f>
        <v/>
      </c>
      <c r="BK59" s="333" t="str">
        <f>IF(AND($P$8=1,$B59="Long length",'6c_Health_part_time'!G53&lt;&gt;0),H$15&amp;", "&amp;$A59&amp;", "&amp;$B59&amp;", "&amp;$C59&amp;"; ","")</f>
        <v/>
      </c>
      <c r="BL59" s="108" t="str">
        <f>IF(AND($P$8=1,$B59="Long length",'6c_Health_part_time'!H53&lt;&gt;0),I$15&amp;", "&amp;$A59&amp;", "&amp;$B59&amp;", "&amp;$C59&amp;"; ","")</f>
        <v/>
      </c>
      <c r="BM59" s="108" t="str">
        <f>IF(AND($P$8=1,$B59="Long length",'6c_Health_part_time'!I53&lt;&gt;0),J$15&amp;", "&amp;$A59&amp;", "&amp;$B59&amp;", "&amp;$C59&amp;"; ","")</f>
        <v/>
      </c>
      <c r="BO59" s="130"/>
    </row>
    <row r="60" spans="1:67" ht="13.5" customHeight="1" x14ac:dyDescent="0.35">
      <c r="A60" t="s">
        <v>27903</v>
      </c>
      <c r="B60" t="s">
        <v>27892</v>
      </c>
      <c r="C60" t="s">
        <v>27891</v>
      </c>
      <c r="D60" s="118"/>
      <c r="E60" s="109" t="str">
        <f>IF(AND($D$8=1,'6c_Health_part_time'!D54&lt;0),E$14&amp;", "&amp;E$15&amp;", "&amp;$A60&amp;", "&amp;$B60&amp;", "&amp;$C60&amp;"; ","")</f>
        <v/>
      </c>
      <c r="F60" s="108" t="str">
        <f>IF(AND($D$8=1,'6c_Health_part_time'!E54&lt;0),F$14&amp;", "&amp;F$15&amp;", "&amp;$A60&amp;", "&amp;$B60&amp;", "&amp;$C60&amp;"; ","")</f>
        <v/>
      </c>
      <c r="G60" s="108" t="str">
        <f>IF(AND($D$8=1,'6c_Health_part_time'!F54&lt;0),G$14&amp;", "&amp;G$15&amp;", "&amp;$A60&amp;", "&amp;$B60&amp;", "&amp;$C60&amp;"; ","")</f>
        <v/>
      </c>
      <c r="H60" s="109" t="str">
        <f>IF(AND($D$8=1,'6c_Health_part_time'!G54&lt;0),H$14&amp;", "&amp;H$15&amp;", "&amp;$A60&amp;", "&amp;$B60&amp;", "&amp;$C60&amp;"; ","")</f>
        <v/>
      </c>
      <c r="I60" s="108" t="str">
        <f>IF(AND($D$8=1,'6c_Health_part_time'!H54&lt;0),I$14&amp;", "&amp;I$15&amp;", "&amp;$A60&amp;", "&amp;$B60&amp;", "&amp;$C60&amp;"; ","")</f>
        <v/>
      </c>
      <c r="J60" s="108" t="str">
        <f>IF(AND($D$8=1,'6c_Health_part_time'!I54&lt;0),J$14&amp;", "&amp;J$15&amp;", "&amp;$A60&amp;", "&amp;$B60&amp;", "&amp;$C60&amp;"; ","")</f>
        <v/>
      </c>
      <c r="L60" s="118"/>
      <c r="N60" s="109" t="str">
        <f>IF(AND($E$8=1,ABS('6c_Health_part_time'!D54)&lt;&gt;INT(ABS('6c_Health_part_time'!D54))),E$14&amp;", "&amp;E$15&amp;", "&amp;$A60&amp;", "&amp;$B60&amp;", "&amp;$C60&amp;"; ","")</f>
        <v/>
      </c>
      <c r="O60" s="108" t="str">
        <f>IF(AND($E$8=1,ABS('6c_Health_part_time'!E54)&lt;&gt;INT(ABS('6c_Health_part_time'!E54))),F$14&amp;", "&amp;F$15&amp;", "&amp;$A60&amp;", "&amp;$B60&amp;", "&amp;$C60&amp;"; ","")</f>
        <v/>
      </c>
      <c r="P60" s="108" t="str">
        <f>IF(AND($E$8=1,ABS('6c_Health_part_time'!F54)&lt;&gt;INT(ABS('6c_Health_part_time'!F54))),G$14&amp;", "&amp;G$15&amp;", "&amp;$A60&amp;", "&amp;$B60&amp;", "&amp;$C60&amp;"; ","")</f>
        <v/>
      </c>
      <c r="Q60" s="109" t="str">
        <f>IF(AND($E$8=1,ABS('6c_Health_part_time'!G54)&lt;&gt;INT(ABS('6c_Health_part_time'!G54))),H$14&amp;", "&amp;H$15&amp;", "&amp;$A60&amp;", "&amp;$B60&amp;", "&amp;$C60&amp;"; ","")</f>
        <v/>
      </c>
      <c r="R60" s="108" t="str">
        <f>IF(AND($E$8=1,ABS('6c_Health_part_time'!H54)&lt;&gt;INT(ABS('6c_Health_part_time'!H54))),I$14&amp;", "&amp;I$15&amp;", "&amp;$A60&amp;", "&amp;$B60&amp;", "&amp;$C60&amp;"; ","")</f>
        <v/>
      </c>
      <c r="S60" s="108" t="str">
        <f>IF(AND($E$8=1,ABS('6c_Health_part_time'!I54)&lt;&gt;INT(ABS('6c_Health_part_time'!I54))),J$14&amp;", "&amp;J$15&amp;", "&amp;$A60&amp;", "&amp;$B60&amp;", "&amp;$C60&amp;"; ","")</f>
        <v/>
      </c>
      <c r="U60" s="118"/>
      <c r="W60" s="113"/>
      <c r="X60" s="112"/>
      <c r="Y60" s="112"/>
      <c r="Z60" s="113"/>
      <c r="AA60" s="112"/>
      <c r="AB60" s="481"/>
      <c r="AC60" s="17"/>
      <c r="AD60" s="118"/>
      <c r="AG60" t="s">
        <v>225</v>
      </c>
      <c r="AH60" t="s">
        <v>27892</v>
      </c>
      <c r="AI60" t="s">
        <v>27894</v>
      </c>
      <c r="AJ60" s="124" t="str">
        <f t="shared" ref="AJ60:AN60" si="8">IF(AND($G$8=1,AJ28&gt;AJ44),AJ$17&amp;", Price group "&amp;$AG60&amp;" professions, "&amp;$AH60&amp;", "&amp;$AI60&amp;"; ","")</f>
        <v/>
      </c>
      <c r="AK60" s="125" t="str">
        <f t="shared" si="8"/>
        <v/>
      </c>
      <c r="AL60" s="123"/>
      <c r="AM60" s="124" t="str">
        <f t="shared" si="8"/>
        <v/>
      </c>
      <c r="AN60" s="125" t="str">
        <f t="shared" si="8"/>
        <v/>
      </c>
      <c r="AO60" s="123"/>
      <c r="AQ60" s="118"/>
      <c r="AT60" s="562" t="str">
        <f>IF(AND($I$8=1,ABS(SUM('6c_Health_part_time'!D54:E54))&lt;ABS('6c_Health_part_time'!F54)),E$14&amp;", "&amp;$A60&amp;", "&amp;$B60&amp;", "&amp;$C60&amp;"; ","")</f>
        <v/>
      </c>
      <c r="AW60" s="562" t="str">
        <f>IF(AND($I$8=1,ABS(SUM('6c_Health_part_time'!G54:H54))&lt;ABS('6c_Health_part_time'!I54)),H$14&amp;", "&amp;$A60&amp;", "&amp;$B60&amp;", "&amp;$C60&amp;"; ","")</f>
        <v/>
      </c>
      <c r="AY60" s="118"/>
      <c r="BG60" s="130"/>
      <c r="BH60" s="333" t="str">
        <f>IF(AND($P$8=1,$B60="Long length",'6c_Health_part_time'!D54&lt;&gt;0),E$15&amp;", "&amp;$A60&amp;", "&amp;$B60&amp;", "&amp;$C60&amp;"; ","")</f>
        <v/>
      </c>
      <c r="BI60" s="108" t="str">
        <f>IF(AND($P$8=1,$B60="Long length",'6c_Health_part_time'!E54&lt;&gt;0),F$15&amp;", "&amp;$A60&amp;", "&amp;$B60&amp;", "&amp;$C60&amp;"; ","")</f>
        <v/>
      </c>
      <c r="BJ60" s="108" t="str">
        <f>IF(AND($P$8=1,$B60="Long length",'6c_Health_part_time'!F54&lt;&gt;0),G$15&amp;", "&amp;$A60&amp;", "&amp;$B60&amp;", "&amp;$C60&amp;"; ","")</f>
        <v/>
      </c>
      <c r="BK60" s="333" t="str">
        <f>IF(AND($P$8=1,$B60="Long length",'6c_Health_part_time'!G54&lt;&gt;0),H$15&amp;", "&amp;$A60&amp;", "&amp;$B60&amp;", "&amp;$C60&amp;"; ","")</f>
        <v/>
      </c>
      <c r="BL60" s="108" t="str">
        <f>IF(AND($P$8=1,$B60="Long length",'6c_Health_part_time'!H54&lt;&gt;0),I$15&amp;", "&amp;$A60&amp;", "&amp;$B60&amp;", "&amp;$C60&amp;"; ","")</f>
        <v/>
      </c>
      <c r="BM60" s="108" t="str">
        <f>IF(AND($P$8=1,$B60="Long length",'6c_Health_part_time'!I54&lt;&gt;0),J$15&amp;", "&amp;$A60&amp;", "&amp;$B60&amp;", "&amp;$C60&amp;"; ","")</f>
        <v/>
      </c>
      <c r="BO60" s="130"/>
    </row>
    <row r="61" spans="1:67" x14ac:dyDescent="0.35">
      <c r="A61" t="s">
        <v>27904</v>
      </c>
      <c r="B61" t="s">
        <v>27888</v>
      </c>
      <c r="C61" t="s">
        <v>27889</v>
      </c>
      <c r="D61" s="118"/>
      <c r="E61" s="1885" t="str">
        <f>IF(AND($D$8=1,'6c_Health_part_time'!D55&lt;0),E$14&amp;", "&amp;E$15&amp;", "&amp;$A61&amp;", "&amp;$B61&amp;", "&amp;$C61&amp;"; ","")</f>
        <v/>
      </c>
      <c r="F61" s="1653" t="str">
        <f>IF(AND($D$8=1,'6c_Health_part_time'!E55&lt;0),F$14&amp;", "&amp;F$15&amp;", "&amp;$A61&amp;", "&amp;$B61&amp;", "&amp;$C61&amp;"; ","")</f>
        <v/>
      </c>
      <c r="G61" s="1653" t="str">
        <f>IF(AND($D$8=1,'6c_Health_part_time'!F55&lt;0),G$14&amp;", "&amp;G$15&amp;", "&amp;$A61&amp;", "&amp;$B61&amp;", "&amp;$C61&amp;"; ","")</f>
        <v/>
      </c>
      <c r="H61" s="1885" t="str">
        <f>IF(AND($D$8=1,'6c_Health_part_time'!G55&lt;0),H$14&amp;", "&amp;H$15&amp;", "&amp;$A61&amp;", "&amp;$B61&amp;", "&amp;$C61&amp;"; ","")</f>
        <v/>
      </c>
      <c r="I61" s="1653" t="str">
        <f>IF(AND($D$8=1,'6c_Health_part_time'!H55&lt;0),I$14&amp;", "&amp;I$15&amp;", "&amp;$A61&amp;", "&amp;$B61&amp;", "&amp;$C61&amp;"; ","")</f>
        <v/>
      </c>
      <c r="J61" s="1653" t="str">
        <f>IF(AND($D$8=1,'6c_Health_part_time'!I55&lt;0),J$14&amp;", "&amp;J$15&amp;", "&amp;$A61&amp;", "&amp;$B61&amp;", "&amp;$C61&amp;"; ","")</f>
        <v/>
      </c>
      <c r="L61" s="118"/>
      <c r="N61" s="1885" t="str">
        <f>IF(AND($E$8=1,ABS('6c_Health_part_time'!D55)&lt;&gt;INT(ABS('6c_Health_part_time'!D55))),E$14&amp;", "&amp;E$15&amp;", "&amp;$A61&amp;", "&amp;$B61&amp;", "&amp;$C61&amp;"; ","")</f>
        <v/>
      </c>
      <c r="O61" s="1653" t="str">
        <f>IF(AND($E$8=1,ABS('6c_Health_part_time'!E55)&lt;&gt;INT(ABS('6c_Health_part_time'!E55))),F$14&amp;", "&amp;F$15&amp;", "&amp;$A61&amp;", "&amp;$B61&amp;", "&amp;$C61&amp;"; ","")</f>
        <v/>
      </c>
      <c r="P61" s="1653" t="str">
        <f>IF(AND($E$8=1,ABS('6c_Health_part_time'!F55)&lt;&gt;INT(ABS('6c_Health_part_time'!F55))),G$14&amp;", "&amp;G$15&amp;", "&amp;$A61&amp;", "&amp;$B61&amp;", "&amp;$C61&amp;"; ","")</f>
        <v/>
      </c>
      <c r="Q61" s="1885" t="str">
        <f>IF(AND($E$8=1,ABS('6c_Health_part_time'!G55)&lt;&gt;INT(ABS('6c_Health_part_time'!G55))),H$14&amp;", "&amp;H$15&amp;", "&amp;$A61&amp;", "&amp;$B61&amp;", "&amp;$C61&amp;"; ","")</f>
        <v/>
      </c>
      <c r="R61" s="1653" t="str">
        <f>IF(AND($E$8=1,ABS('6c_Health_part_time'!H55)&lt;&gt;INT(ABS('6c_Health_part_time'!H55))),I$14&amp;", "&amp;I$15&amp;", "&amp;$A61&amp;", "&amp;$B61&amp;", "&amp;$C61&amp;"; ","")</f>
        <v/>
      </c>
      <c r="S61" s="1653" t="str">
        <f>IF(AND($E$8=1,ABS('6c_Health_part_time'!I55)&lt;&gt;INT(ABS('6c_Health_part_time'!I55))),J$14&amp;", "&amp;J$15&amp;", "&amp;$A61&amp;", "&amp;$B61&amp;", "&amp;$C61&amp;"; ","")</f>
        <v/>
      </c>
      <c r="U61" s="118"/>
      <c r="W61" s="1911"/>
      <c r="X61" s="1654"/>
      <c r="Y61" s="1654"/>
      <c r="Z61" s="1911"/>
      <c r="AA61" s="1654"/>
      <c r="AB61" s="1882"/>
      <c r="AC61" s="17"/>
      <c r="AD61" s="118"/>
      <c r="AG61" t="s">
        <v>238</v>
      </c>
      <c r="AH61" t="s">
        <v>27888</v>
      </c>
      <c r="AI61" t="s">
        <v>27889</v>
      </c>
      <c r="AJ61" s="1885" t="str">
        <f t="shared" ref="AJ61:AN61" si="9">IF(AND($G$8=1,AJ29&gt;AJ45),AJ$17&amp;", Price group "&amp;$AG61&amp;" professions, "&amp;$AH61&amp;", "&amp;$AI61&amp;"; ","")</f>
        <v/>
      </c>
      <c r="AK61" s="2195" t="str">
        <f t="shared" si="9"/>
        <v/>
      </c>
      <c r="AL61" s="1884"/>
      <c r="AM61" s="1885" t="str">
        <f t="shared" si="9"/>
        <v/>
      </c>
      <c r="AN61" s="2195" t="str">
        <f t="shared" si="9"/>
        <v/>
      </c>
      <c r="AO61" s="2190"/>
      <c r="AQ61" s="118"/>
      <c r="AT61" s="1886" t="str">
        <f>IF(AND($I$8=1,ABS(SUM('6c_Health_part_time'!D55:E55))&lt;ABS('6c_Health_part_time'!F55)),E$14&amp;", "&amp;$A61&amp;", "&amp;$B61&amp;", "&amp;$C61&amp;"; ","")</f>
        <v/>
      </c>
      <c r="AW61" s="1886" t="str">
        <f>IF(AND($I$8=1,ABS(SUM('6c_Health_part_time'!G55:H55))&lt;ABS('6c_Health_part_time'!I55)),H$14&amp;", "&amp;$A61&amp;", "&amp;$B61&amp;", "&amp;$C61&amp;"; ","")</f>
        <v/>
      </c>
      <c r="AY61" s="118"/>
      <c r="BG61" s="130"/>
      <c r="BH61" s="1879" t="str">
        <f>IF(AND($P$8=1,$B61="Long length",'6c_Health_part_time'!D55&lt;&gt;0),E$15&amp;", "&amp;$A61&amp;", "&amp;$B61&amp;", "&amp;$C61&amp;"; ","")</f>
        <v/>
      </c>
      <c r="BI61" s="1653" t="str">
        <f>IF(AND($P$8=1,$B61="Long length",'6c_Health_part_time'!E55&lt;&gt;0),F$15&amp;", "&amp;$A61&amp;", "&amp;$B61&amp;", "&amp;$C61&amp;"; ","")</f>
        <v/>
      </c>
      <c r="BJ61" s="1653" t="str">
        <f>IF(AND($P$8=1,$B61="Long length",'6c_Health_part_time'!F55&lt;&gt;0),G$15&amp;", "&amp;$A61&amp;", "&amp;$B61&amp;", "&amp;$C61&amp;"; ","")</f>
        <v/>
      </c>
      <c r="BK61" s="1879" t="str">
        <f>IF(AND($P$8=1,$B61="Long length",'6c_Health_part_time'!G55&lt;&gt;0),H$15&amp;", "&amp;$A61&amp;", "&amp;$B61&amp;", "&amp;$C61&amp;"; ","")</f>
        <v/>
      </c>
      <c r="BL61" s="1653" t="str">
        <f>IF(AND($P$8=1,$B61="Long length",'6c_Health_part_time'!H55&lt;&gt;0),I$15&amp;", "&amp;$A61&amp;", "&amp;$B61&amp;", "&amp;$C61&amp;"; ","")</f>
        <v/>
      </c>
      <c r="BM61" s="1653" t="str">
        <f>IF(AND($P$8=1,$B61="Long length",'6c_Health_part_time'!I55&lt;&gt;0),J$15&amp;", "&amp;$A61&amp;", "&amp;$B61&amp;", "&amp;$C61&amp;"; ","")</f>
        <v/>
      </c>
      <c r="BO61" s="130"/>
    </row>
    <row r="62" spans="1:67" x14ac:dyDescent="0.35">
      <c r="A62" t="s">
        <v>27904</v>
      </c>
      <c r="B62" t="s">
        <v>27888</v>
      </c>
      <c r="C62" t="s">
        <v>27891</v>
      </c>
      <c r="D62" s="118"/>
      <c r="E62" s="109" t="str">
        <f>IF(AND($D$8=1,'6c_Health_part_time'!D56&lt;0),E$14&amp;", "&amp;E$15&amp;", "&amp;$A62&amp;", "&amp;$B62&amp;", "&amp;$C62&amp;"; ","")</f>
        <v/>
      </c>
      <c r="F62" s="108" t="str">
        <f>IF(AND($D$8=1,'6c_Health_part_time'!E56&lt;0),F$14&amp;", "&amp;F$15&amp;", "&amp;$A62&amp;", "&amp;$B62&amp;", "&amp;$C62&amp;"; ","")</f>
        <v/>
      </c>
      <c r="G62" s="108" t="str">
        <f>IF(AND($D$8=1,'6c_Health_part_time'!F56&lt;0),G$14&amp;", "&amp;G$15&amp;", "&amp;$A62&amp;", "&amp;$B62&amp;", "&amp;$C62&amp;"; ","")</f>
        <v/>
      </c>
      <c r="H62" s="109" t="str">
        <f>IF(AND($D$8=1,'6c_Health_part_time'!G56&lt;0),H$14&amp;", "&amp;H$15&amp;", "&amp;$A62&amp;", "&amp;$B62&amp;", "&amp;$C62&amp;"; ","")</f>
        <v/>
      </c>
      <c r="I62" s="108" t="str">
        <f>IF(AND($D$8=1,'6c_Health_part_time'!H56&lt;0),I$14&amp;", "&amp;I$15&amp;", "&amp;$A62&amp;", "&amp;$B62&amp;", "&amp;$C62&amp;"; ","")</f>
        <v/>
      </c>
      <c r="J62" s="108" t="str">
        <f>IF(AND($D$8=1,'6c_Health_part_time'!I56&lt;0),J$14&amp;", "&amp;J$15&amp;", "&amp;$A62&amp;", "&amp;$B62&amp;", "&amp;$C62&amp;"; ","")</f>
        <v/>
      </c>
      <c r="L62" s="118"/>
      <c r="N62" s="109" t="str">
        <f>IF(AND($E$8=1,ABS('6c_Health_part_time'!D56)&lt;&gt;INT(ABS('6c_Health_part_time'!D56))),E$14&amp;", "&amp;E$15&amp;", "&amp;$A62&amp;", "&amp;$B62&amp;", "&amp;$C62&amp;"; ","")</f>
        <v/>
      </c>
      <c r="O62" s="108" t="str">
        <f>IF(AND($E$8=1,ABS('6c_Health_part_time'!E56)&lt;&gt;INT(ABS('6c_Health_part_time'!E56))),F$14&amp;", "&amp;F$15&amp;", "&amp;$A62&amp;", "&amp;$B62&amp;", "&amp;$C62&amp;"; ","")</f>
        <v/>
      </c>
      <c r="P62" s="108" t="str">
        <f>IF(AND($E$8=1,ABS('6c_Health_part_time'!F56)&lt;&gt;INT(ABS('6c_Health_part_time'!F56))),G$14&amp;", "&amp;G$15&amp;", "&amp;$A62&amp;", "&amp;$B62&amp;", "&amp;$C62&amp;"; ","")</f>
        <v/>
      </c>
      <c r="Q62" s="109" t="str">
        <f>IF(AND($E$8=1,ABS('6c_Health_part_time'!G56)&lt;&gt;INT(ABS('6c_Health_part_time'!G56))),H$14&amp;", "&amp;H$15&amp;", "&amp;$A62&amp;", "&amp;$B62&amp;", "&amp;$C62&amp;"; ","")</f>
        <v/>
      </c>
      <c r="R62" s="108" t="str">
        <f>IF(AND($E$8=1,ABS('6c_Health_part_time'!H56)&lt;&gt;INT(ABS('6c_Health_part_time'!H56))),I$14&amp;", "&amp;I$15&amp;", "&amp;$A62&amp;", "&amp;$B62&amp;", "&amp;$C62&amp;"; ","")</f>
        <v/>
      </c>
      <c r="S62" s="108" t="str">
        <f>IF(AND($E$8=1,ABS('6c_Health_part_time'!I56)&lt;&gt;INT(ABS('6c_Health_part_time'!I56))),J$14&amp;", "&amp;J$15&amp;", "&amp;$A62&amp;", "&amp;$B62&amp;", "&amp;$C62&amp;"; ","")</f>
        <v/>
      </c>
      <c r="U62" s="118"/>
      <c r="W62" s="113"/>
      <c r="X62" s="112"/>
      <c r="Y62" s="112"/>
      <c r="Z62" s="113"/>
      <c r="AA62" s="112"/>
      <c r="AB62" s="481"/>
      <c r="AC62" s="17"/>
      <c r="AD62" s="118"/>
      <c r="AG62" t="s">
        <v>238</v>
      </c>
      <c r="AH62" t="s">
        <v>27888</v>
      </c>
      <c r="AI62" t="s">
        <v>27891</v>
      </c>
      <c r="AJ62" s="109" t="str">
        <f t="shared" ref="AJ62:AN62" si="10">IF(AND($G$8=1,AJ30&gt;AJ46),AJ$17&amp;", Price group "&amp;$AG62&amp;" professions, "&amp;$AH62&amp;", "&amp;$AI62&amp;"; ","")</f>
        <v/>
      </c>
      <c r="AK62" s="108" t="str">
        <f t="shared" si="10"/>
        <v/>
      </c>
      <c r="AL62" s="121"/>
      <c r="AM62" s="109" t="str">
        <f t="shared" si="10"/>
        <v/>
      </c>
      <c r="AN62" s="108" t="str">
        <f t="shared" si="10"/>
        <v/>
      </c>
      <c r="AO62" s="116"/>
      <c r="AQ62" s="118"/>
      <c r="AT62" s="562" t="str">
        <f>IF(AND($I$8=1,ABS(SUM('6c_Health_part_time'!D56:E56))&lt;ABS('6c_Health_part_time'!F56)),E$14&amp;", "&amp;$A62&amp;", "&amp;$B62&amp;", "&amp;$C62&amp;"; ","")</f>
        <v/>
      </c>
      <c r="AW62" s="562" t="str">
        <f>IF(AND($I$8=1,ABS(SUM('6c_Health_part_time'!G56:H56))&lt;ABS('6c_Health_part_time'!I56)),H$14&amp;", "&amp;$A62&amp;", "&amp;$B62&amp;", "&amp;$C62&amp;"; ","")</f>
        <v/>
      </c>
      <c r="AY62" s="118"/>
      <c r="BG62" s="130"/>
      <c r="BH62" s="333" t="str">
        <f>IF(AND($P$8=1,$B62="Long length",'6c_Health_part_time'!D56&lt;&gt;0),E$15&amp;", "&amp;$A62&amp;", "&amp;$B62&amp;", "&amp;$C62&amp;"; ","")</f>
        <v/>
      </c>
      <c r="BI62" s="335" t="str">
        <f>IF(AND($P$8=1,$B62="Long length",'6c_Health_part_time'!E56&lt;&gt;0),F$15&amp;", "&amp;$A62&amp;", "&amp;$B62&amp;", "&amp;$C62&amp;"; ","")</f>
        <v/>
      </c>
      <c r="BJ62" s="335" t="str">
        <f>IF(AND($P$8=1,$B62="Long length",'6c_Health_part_time'!F56&lt;&gt;0),G$15&amp;", "&amp;$A62&amp;", "&amp;$B62&amp;", "&amp;$C62&amp;"; ","")</f>
        <v/>
      </c>
      <c r="BK62" s="333" t="str">
        <f>IF(AND($P$8=1,$B62="Long length",'6c_Health_part_time'!G56&lt;&gt;0),H$15&amp;", "&amp;$A62&amp;", "&amp;$B62&amp;", "&amp;$C62&amp;"; ","")</f>
        <v/>
      </c>
      <c r="BL62" s="335" t="str">
        <f>IF(AND($P$8=1,$B62="Long length",'6c_Health_part_time'!H56&lt;&gt;0),I$15&amp;", "&amp;$A62&amp;", "&amp;$B62&amp;", "&amp;$C62&amp;"; ","")</f>
        <v/>
      </c>
      <c r="BM62" s="335" t="str">
        <f>IF(AND($P$8=1,$B62="Long length",'6c_Health_part_time'!I56&lt;&gt;0),J$15&amp;", "&amp;$A62&amp;", "&amp;$B62&amp;", "&amp;$C62&amp;"; ","")</f>
        <v/>
      </c>
      <c r="BO62" s="130"/>
    </row>
    <row r="63" spans="1:67" x14ac:dyDescent="0.35">
      <c r="A63" t="s">
        <v>27904</v>
      </c>
      <c r="B63" t="s">
        <v>27892</v>
      </c>
      <c r="C63" t="s">
        <v>27889</v>
      </c>
      <c r="D63" s="118"/>
      <c r="E63" s="109" t="str">
        <f>IF(AND($D$8=1,'6c_Health_part_time'!D57&lt;0),E$14&amp;", "&amp;E$15&amp;", "&amp;$A63&amp;", "&amp;$B63&amp;", "&amp;$C63&amp;"; ","")</f>
        <v/>
      </c>
      <c r="F63" s="108" t="str">
        <f>IF(AND($D$8=1,'6c_Health_part_time'!E57&lt;0),F$14&amp;", "&amp;F$15&amp;", "&amp;$A63&amp;", "&amp;$B63&amp;", "&amp;$C63&amp;"; ","")</f>
        <v/>
      </c>
      <c r="G63" s="108" t="str">
        <f>IF(AND($D$8=1,'6c_Health_part_time'!F57&lt;0),G$14&amp;", "&amp;G$15&amp;", "&amp;$A63&amp;", "&amp;$B63&amp;", "&amp;$C63&amp;"; ","")</f>
        <v/>
      </c>
      <c r="H63" s="109" t="str">
        <f>IF(AND($D$8=1,'6c_Health_part_time'!G57&lt;0),H$14&amp;", "&amp;H$15&amp;", "&amp;$A63&amp;", "&amp;$B63&amp;", "&amp;$C63&amp;"; ","")</f>
        <v/>
      </c>
      <c r="I63" s="108" t="str">
        <f>IF(AND($D$8=1,'6c_Health_part_time'!H57&lt;0),I$14&amp;", "&amp;I$15&amp;", "&amp;$A63&amp;", "&amp;$B63&amp;", "&amp;$C63&amp;"; ","")</f>
        <v/>
      </c>
      <c r="J63" s="108" t="str">
        <f>IF(AND($D$8=1,'6c_Health_part_time'!I57&lt;0),J$14&amp;", "&amp;J$15&amp;", "&amp;$A63&amp;", "&amp;$B63&amp;", "&amp;$C63&amp;"; ","")</f>
        <v/>
      </c>
      <c r="L63" s="118"/>
      <c r="N63" s="109" t="str">
        <f>IF(AND($E$8=1,ABS('6c_Health_part_time'!D57)&lt;&gt;INT(ABS('6c_Health_part_time'!D57))),E$14&amp;", "&amp;E$15&amp;", "&amp;$A63&amp;", "&amp;$B63&amp;", "&amp;$C63&amp;"; ","")</f>
        <v/>
      </c>
      <c r="O63" s="108" t="str">
        <f>IF(AND($E$8=1,ABS('6c_Health_part_time'!E57)&lt;&gt;INT(ABS('6c_Health_part_time'!E57))),F$14&amp;", "&amp;F$15&amp;", "&amp;$A63&amp;", "&amp;$B63&amp;", "&amp;$C63&amp;"; ","")</f>
        <v/>
      </c>
      <c r="P63" s="108" t="str">
        <f>IF(AND($E$8=1,ABS('6c_Health_part_time'!F57)&lt;&gt;INT(ABS('6c_Health_part_time'!F57))),G$14&amp;", "&amp;G$15&amp;", "&amp;$A63&amp;", "&amp;$B63&amp;", "&amp;$C63&amp;"; ","")</f>
        <v/>
      </c>
      <c r="Q63" s="109" t="str">
        <f>IF(AND($E$8=1,ABS('6c_Health_part_time'!G57)&lt;&gt;INT(ABS('6c_Health_part_time'!G57))),H$14&amp;", "&amp;H$15&amp;", "&amp;$A63&amp;", "&amp;$B63&amp;", "&amp;$C63&amp;"; ","")</f>
        <v/>
      </c>
      <c r="R63" s="108" t="str">
        <f>IF(AND($E$8=1,ABS('6c_Health_part_time'!H57)&lt;&gt;INT(ABS('6c_Health_part_time'!H57))),I$14&amp;", "&amp;I$15&amp;", "&amp;$A63&amp;", "&amp;$B63&amp;", "&amp;$C63&amp;"; ","")</f>
        <v/>
      </c>
      <c r="S63" s="108" t="str">
        <f>IF(AND($E$8=1,ABS('6c_Health_part_time'!I57)&lt;&gt;INT(ABS('6c_Health_part_time'!I57))),J$14&amp;", "&amp;J$15&amp;", "&amp;$A63&amp;", "&amp;$B63&amp;", "&amp;$C63&amp;"; ","")</f>
        <v/>
      </c>
      <c r="U63" s="118"/>
      <c r="W63" s="113"/>
      <c r="X63" s="112"/>
      <c r="Y63" s="112"/>
      <c r="Z63" s="113"/>
      <c r="AA63" s="112"/>
      <c r="AB63" s="481"/>
      <c r="AC63" s="17"/>
      <c r="AD63" s="118"/>
      <c r="AG63" t="s">
        <v>238</v>
      </c>
      <c r="AH63" t="s">
        <v>27892</v>
      </c>
      <c r="AI63" t="s">
        <v>27889</v>
      </c>
      <c r="AJ63" s="109" t="str">
        <f t="shared" ref="AJ63:AN63" si="11">IF(AND($G$8=1,AJ31&gt;AJ47),AJ$17&amp;", Price group "&amp;$AG63&amp;" professions, "&amp;$AH63&amp;", "&amp;$AI63&amp;"; ","")</f>
        <v/>
      </c>
      <c r="AK63" s="108" t="str">
        <f t="shared" si="11"/>
        <v/>
      </c>
      <c r="AL63" s="121"/>
      <c r="AM63" s="109" t="str">
        <f t="shared" si="11"/>
        <v/>
      </c>
      <c r="AN63" s="108" t="str">
        <f t="shared" si="11"/>
        <v/>
      </c>
      <c r="AO63" s="116"/>
      <c r="AQ63" s="118"/>
      <c r="AT63" s="562" t="str">
        <f>IF(AND($I$8=1,ABS(SUM('6c_Health_part_time'!D57:E57))&lt;ABS('6c_Health_part_time'!F57)),E$14&amp;", "&amp;$A63&amp;", "&amp;$B63&amp;", "&amp;$C63&amp;"; ","")</f>
        <v/>
      </c>
      <c r="AW63" s="562" t="str">
        <f>IF(AND($I$8=1,ABS(SUM('6c_Health_part_time'!G57:H57))&lt;ABS('6c_Health_part_time'!I57)),H$14&amp;", "&amp;$A63&amp;", "&amp;$B63&amp;", "&amp;$C63&amp;"; ","")</f>
        <v/>
      </c>
      <c r="AY63" s="118"/>
      <c r="BG63" s="130"/>
      <c r="BH63" s="333" t="str">
        <f>IF(AND($P$8=1,$B63="Long length",'6c_Health_part_time'!D57&lt;&gt;0),E$15&amp;", "&amp;$A63&amp;", "&amp;$B63&amp;", "&amp;$C63&amp;"; ","")</f>
        <v/>
      </c>
      <c r="BI63" s="108" t="str">
        <f>IF(AND($P$8=1,$B63="Long length",'6c_Health_part_time'!E57&lt;&gt;0),F$15&amp;", "&amp;$A63&amp;", "&amp;$B63&amp;", "&amp;$C63&amp;"; ","")</f>
        <v/>
      </c>
      <c r="BJ63" s="108" t="str">
        <f>IF(AND($P$8=1,$B63="Long length",'6c_Health_part_time'!F57&lt;&gt;0),G$15&amp;", "&amp;$A63&amp;", "&amp;$B63&amp;", "&amp;$C63&amp;"; ","")</f>
        <v/>
      </c>
      <c r="BK63" s="333" t="str">
        <f>IF(AND($P$8=1,$B63="Long length",'6c_Health_part_time'!G57&lt;&gt;0),H$15&amp;", "&amp;$A63&amp;", "&amp;$B63&amp;", "&amp;$C63&amp;"; ","")</f>
        <v/>
      </c>
      <c r="BL63" s="108" t="str">
        <f>IF(AND($P$8=1,$B63="Long length",'6c_Health_part_time'!H57&lt;&gt;0),I$15&amp;", "&amp;$A63&amp;", "&amp;$B63&amp;", "&amp;$C63&amp;"; ","")</f>
        <v/>
      </c>
      <c r="BM63" s="108" t="str">
        <f>IF(AND($P$8=1,$B63="Long length",'6c_Health_part_time'!I57&lt;&gt;0),J$15&amp;", "&amp;$A63&amp;", "&amp;$B63&amp;", "&amp;$C63&amp;"; ","")</f>
        <v/>
      </c>
      <c r="BO63" s="130"/>
    </row>
    <row r="64" spans="1:67" x14ac:dyDescent="0.35">
      <c r="A64" t="s">
        <v>27904</v>
      </c>
      <c r="B64" t="s">
        <v>27892</v>
      </c>
      <c r="C64" t="s">
        <v>27891</v>
      </c>
      <c r="D64" s="118"/>
      <c r="E64" s="109" t="str">
        <f>IF(AND($D$8=1,'6c_Health_part_time'!D58&lt;0),E$14&amp;", "&amp;E$15&amp;", "&amp;$A64&amp;", "&amp;$B64&amp;", "&amp;$C64&amp;"; ","")</f>
        <v/>
      </c>
      <c r="F64" s="108" t="str">
        <f>IF(AND($D$8=1,'6c_Health_part_time'!E58&lt;0),F$14&amp;", "&amp;F$15&amp;", "&amp;$A64&amp;", "&amp;$B64&amp;", "&amp;$C64&amp;"; ","")</f>
        <v/>
      </c>
      <c r="G64" s="108" t="str">
        <f>IF(AND($D$8=1,'6c_Health_part_time'!F58&lt;0),G$14&amp;", "&amp;G$15&amp;", "&amp;$A64&amp;", "&amp;$B64&amp;", "&amp;$C64&amp;"; ","")</f>
        <v/>
      </c>
      <c r="H64" s="109" t="str">
        <f>IF(AND($D$8=1,'6c_Health_part_time'!G58&lt;0),H$14&amp;", "&amp;H$15&amp;", "&amp;$A64&amp;", "&amp;$B64&amp;", "&amp;$C64&amp;"; ","")</f>
        <v/>
      </c>
      <c r="I64" s="108" t="str">
        <f>IF(AND($D$8=1,'6c_Health_part_time'!H58&lt;0),I$14&amp;", "&amp;I$15&amp;", "&amp;$A64&amp;", "&amp;$B64&amp;", "&amp;$C64&amp;"; ","")</f>
        <v/>
      </c>
      <c r="J64" s="108" t="str">
        <f>IF(AND($D$8=1,'6c_Health_part_time'!I58&lt;0),J$14&amp;", "&amp;J$15&amp;", "&amp;$A64&amp;", "&amp;$B64&amp;", "&amp;$C64&amp;"; ","")</f>
        <v/>
      </c>
      <c r="L64" s="118"/>
      <c r="N64" s="109" t="str">
        <f>IF(AND($E$8=1,ABS('6c_Health_part_time'!D58)&lt;&gt;INT(ABS('6c_Health_part_time'!D58))),E$14&amp;", "&amp;E$15&amp;", "&amp;$A64&amp;", "&amp;$B64&amp;", "&amp;$C64&amp;"; ","")</f>
        <v/>
      </c>
      <c r="O64" s="108" t="str">
        <f>IF(AND($E$8=1,ABS('6c_Health_part_time'!E58)&lt;&gt;INT(ABS('6c_Health_part_time'!E58))),F$14&amp;", "&amp;F$15&amp;", "&amp;$A64&amp;", "&amp;$B64&amp;", "&amp;$C64&amp;"; ","")</f>
        <v/>
      </c>
      <c r="P64" s="108" t="str">
        <f>IF(AND($E$8=1,ABS('6c_Health_part_time'!F58)&lt;&gt;INT(ABS('6c_Health_part_time'!F58))),G$14&amp;", "&amp;G$15&amp;", "&amp;$A64&amp;", "&amp;$B64&amp;", "&amp;$C64&amp;"; ","")</f>
        <v/>
      </c>
      <c r="Q64" s="109" t="str">
        <f>IF(AND($E$8=1,ABS('6c_Health_part_time'!G58)&lt;&gt;INT(ABS('6c_Health_part_time'!G58))),H$14&amp;", "&amp;H$15&amp;", "&amp;$A64&amp;", "&amp;$B64&amp;", "&amp;$C64&amp;"; ","")</f>
        <v/>
      </c>
      <c r="R64" s="108" t="str">
        <f>IF(AND($E$8=1,ABS('6c_Health_part_time'!H58)&lt;&gt;INT(ABS('6c_Health_part_time'!H58))),I$14&amp;", "&amp;I$15&amp;", "&amp;$A64&amp;", "&amp;$B64&amp;", "&amp;$C64&amp;"; ","")</f>
        <v/>
      </c>
      <c r="S64" s="108" t="str">
        <f>IF(AND($E$8=1,ABS('6c_Health_part_time'!I58)&lt;&gt;INT(ABS('6c_Health_part_time'!I58))),J$14&amp;", "&amp;J$15&amp;", "&amp;$A64&amp;", "&amp;$B64&amp;", "&amp;$C64&amp;"; ","")</f>
        <v/>
      </c>
      <c r="U64" s="118"/>
      <c r="W64" s="113"/>
      <c r="X64" s="112"/>
      <c r="Y64" s="112"/>
      <c r="Z64" s="113"/>
      <c r="AA64" s="112"/>
      <c r="AB64" s="481"/>
      <c r="AC64" s="17"/>
      <c r="AD64" s="118"/>
      <c r="AG64" t="s">
        <v>238</v>
      </c>
      <c r="AH64" t="s">
        <v>27892</v>
      </c>
      <c r="AI64" t="s">
        <v>27891</v>
      </c>
      <c r="AJ64" s="124" t="str">
        <f t="shared" ref="AJ64:AN64" si="12">IF(AND($G$8=1,AJ32&gt;AJ48),AJ$17&amp;", Price group "&amp;$AG64&amp;" professions, "&amp;$AH64&amp;", "&amp;$AI64&amp;"; ","")</f>
        <v/>
      </c>
      <c r="AK64" s="125" t="str">
        <f t="shared" si="12"/>
        <v/>
      </c>
      <c r="AL64" s="123"/>
      <c r="AM64" s="124" t="str">
        <f t="shared" si="12"/>
        <v/>
      </c>
      <c r="AN64" s="125" t="str">
        <f t="shared" si="12"/>
        <v/>
      </c>
      <c r="AO64" s="122"/>
      <c r="AQ64" s="118"/>
      <c r="AT64" s="562" t="str">
        <f>IF(AND($I$8=1,ABS(SUM('6c_Health_part_time'!D58:E58))&lt;ABS('6c_Health_part_time'!F58)),E$14&amp;", "&amp;$A64&amp;", "&amp;$B64&amp;", "&amp;$C64&amp;"; ","")</f>
        <v/>
      </c>
      <c r="AW64" s="562" t="str">
        <f>IF(AND($I$8=1,ABS(SUM('6c_Health_part_time'!G58:H58))&lt;ABS('6c_Health_part_time'!I58)),H$14&amp;", "&amp;$A64&amp;", "&amp;$B64&amp;", "&amp;$C64&amp;"; ","")</f>
        <v/>
      </c>
      <c r="AY64" s="118"/>
      <c r="BG64" s="130"/>
      <c r="BH64" s="333" t="str">
        <f>IF(AND($P$8=1,$B64="Long length",'6c_Health_part_time'!D58&lt;&gt;0),E$15&amp;", "&amp;$A64&amp;", "&amp;$B64&amp;", "&amp;$C64&amp;"; ","")</f>
        <v/>
      </c>
      <c r="BI64" s="108" t="str">
        <f>IF(AND($P$8=1,$B64="Long length",'6c_Health_part_time'!E58&lt;&gt;0),F$15&amp;", "&amp;$A64&amp;", "&amp;$B64&amp;", "&amp;$C64&amp;"; ","")</f>
        <v/>
      </c>
      <c r="BJ64" s="108" t="str">
        <f>IF(AND($P$8=1,$B64="Long length",'6c_Health_part_time'!F58&lt;&gt;0),G$15&amp;", "&amp;$A64&amp;", "&amp;$B64&amp;", "&amp;$C64&amp;"; ","")</f>
        <v/>
      </c>
      <c r="BK64" s="333" t="str">
        <f>IF(AND($P$8=1,$B64="Long length",'6c_Health_part_time'!G58&lt;&gt;0),H$15&amp;", "&amp;$A64&amp;", "&amp;$B64&amp;", "&amp;$C64&amp;"; ","")</f>
        <v/>
      </c>
      <c r="BL64" s="108" t="str">
        <f>IF(AND($P$8=1,$B64="Long length",'6c_Health_part_time'!H58&lt;&gt;0),I$15&amp;", "&amp;$A64&amp;", "&amp;$B64&amp;", "&amp;$C64&amp;"; ","")</f>
        <v/>
      </c>
      <c r="BM64" s="108" t="str">
        <f>IF(AND($P$8=1,$B64="Long length",'6c_Health_part_time'!I58&lt;&gt;0),J$15&amp;", "&amp;$A64&amp;", "&amp;$B64&amp;", "&amp;$C64&amp;"; ","")</f>
        <v/>
      </c>
      <c r="BO64" s="130"/>
    </row>
    <row r="65" spans="1:67" x14ac:dyDescent="0.35">
      <c r="A65" t="s">
        <v>27905</v>
      </c>
      <c r="B65" t="s">
        <v>27888</v>
      </c>
      <c r="C65" t="s">
        <v>27889</v>
      </c>
      <c r="D65" s="118"/>
      <c r="E65" s="1885" t="str">
        <f>IF(AND($D$8=1,'6c_Health_part_time'!D59&lt;0),E$14&amp;", "&amp;E$15&amp;", "&amp;$A65&amp;", "&amp;$B65&amp;", "&amp;$C65&amp;"; ","")</f>
        <v/>
      </c>
      <c r="F65" s="1653" t="str">
        <f>IF(AND($D$8=1,'6c_Health_part_time'!E59&lt;0),F$14&amp;", "&amp;F$15&amp;", "&amp;$A65&amp;", "&amp;$B65&amp;", "&amp;$C65&amp;"; ","")</f>
        <v/>
      </c>
      <c r="G65" s="1653" t="str">
        <f>IF(AND($D$8=1,'6c_Health_part_time'!F59&lt;0),G$14&amp;", "&amp;G$15&amp;", "&amp;$A65&amp;", "&amp;$B65&amp;", "&amp;$C65&amp;"; ","")</f>
        <v/>
      </c>
      <c r="H65" s="1885" t="str">
        <f>IF(AND($D$8=1,'6c_Health_part_time'!G59&lt;0),H$14&amp;", "&amp;H$15&amp;", "&amp;$A65&amp;", "&amp;$B65&amp;", "&amp;$C65&amp;"; ","")</f>
        <v/>
      </c>
      <c r="I65" s="1653" t="str">
        <f>IF(AND($D$8=1,'6c_Health_part_time'!H59&lt;0),I$14&amp;", "&amp;I$15&amp;", "&amp;$A65&amp;", "&amp;$B65&amp;", "&amp;$C65&amp;"; ","")</f>
        <v/>
      </c>
      <c r="J65" s="1653" t="str">
        <f>IF(AND($D$8=1,'6c_Health_part_time'!I59&lt;0),J$14&amp;", "&amp;J$15&amp;", "&amp;$A65&amp;", "&amp;$B65&amp;", "&amp;$C65&amp;"; ","")</f>
        <v/>
      </c>
      <c r="L65" s="118"/>
      <c r="N65" s="1885" t="str">
        <f>IF(AND($E$8=1,ABS('6c_Health_part_time'!D59)&lt;&gt;INT(ABS('6c_Health_part_time'!D59))),E$14&amp;", "&amp;E$15&amp;", "&amp;$A65&amp;", "&amp;$B65&amp;", "&amp;$C65&amp;"; ","")</f>
        <v/>
      </c>
      <c r="O65" s="1653" t="str">
        <f>IF(AND($E$8=1,ABS('6c_Health_part_time'!E59)&lt;&gt;INT(ABS('6c_Health_part_time'!E59))),F$14&amp;", "&amp;F$15&amp;", "&amp;$A65&amp;", "&amp;$B65&amp;", "&amp;$C65&amp;"; ","")</f>
        <v/>
      </c>
      <c r="P65" s="1653" t="str">
        <f>IF(AND($E$8=1,ABS('6c_Health_part_time'!F59)&lt;&gt;INT(ABS('6c_Health_part_time'!F59))),G$14&amp;", "&amp;G$15&amp;", "&amp;$A65&amp;", "&amp;$B65&amp;", "&amp;$C65&amp;"; ","")</f>
        <v/>
      </c>
      <c r="Q65" s="1885" t="str">
        <f>IF(AND($E$8=1,ABS('6c_Health_part_time'!G59)&lt;&gt;INT(ABS('6c_Health_part_time'!G59))),H$14&amp;", "&amp;H$15&amp;", "&amp;$A65&amp;", "&amp;$B65&amp;", "&amp;$C65&amp;"; ","")</f>
        <v/>
      </c>
      <c r="R65" s="1653" t="str">
        <f>IF(AND($E$8=1,ABS('6c_Health_part_time'!H59)&lt;&gt;INT(ABS('6c_Health_part_time'!H59))),I$14&amp;", "&amp;I$15&amp;", "&amp;$A65&amp;", "&amp;$B65&amp;", "&amp;$C65&amp;"; ","")</f>
        <v/>
      </c>
      <c r="S65" s="1653" t="str">
        <f>IF(AND($E$8=1,ABS('6c_Health_part_time'!I59)&lt;&gt;INT(ABS('6c_Health_part_time'!I59))),J$14&amp;", "&amp;J$15&amp;", "&amp;$A65&amp;", "&amp;$B65&amp;", "&amp;$C65&amp;"; ","")</f>
        <v/>
      </c>
      <c r="U65" s="118"/>
      <c r="W65" s="1911"/>
      <c r="X65" s="1654"/>
      <c r="Y65" s="1654"/>
      <c r="Z65" s="1911"/>
      <c r="AA65" s="1654"/>
      <c r="AB65" s="1882"/>
      <c r="AC65" s="17"/>
      <c r="AD65" s="118"/>
      <c r="AQ65" s="118"/>
      <c r="AT65" s="1886" t="str">
        <f>IF(AND($I$8=1,ABS(SUM('6c_Health_part_time'!D59:E59))&lt;ABS('6c_Health_part_time'!F59)),E$14&amp;", "&amp;$A65&amp;", "&amp;$B65&amp;", "&amp;$C65&amp;"; ","")</f>
        <v/>
      </c>
      <c r="AW65" s="1886" t="str">
        <f>IF(AND($I$8=1,ABS(SUM('6c_Health_part_time'!G59:H59))&lt;ABS('6c_Health_part_time'!I59)),H$14&amp;", "&amp;$A65&amp;", "&amp;$B65&amp;", "&amp;$C65&amp;"; ","")</f>
        <v/>
      </c>
      <c r="AY65" s="118"/>
      <c r="BG65" s="130"/>
      <c r="BH65" s="1879" t="str">
        <f>IF(AND($P$8=1,$B65="Long length",'6c_Health_part_time'!D59&lt;&gt;0),E$15&amp;", "&amp;$A65&amp;", "&amp;$B65&amp;", "&amp;$C65&amp;"; ","")</f>
        <v/>
      </c>
      <c r="BI65" s="1653" t="str">
        <f>IF(AND($P$8=1,$B65="Long length",'6c_Health_part_time'!E59&lt;&gt;0),F$15&amp;", "&amp;$A65&amp;", "&amp;$B65&amp;", "&amp;$C65&amp;"; ","")</f>
        <v/>
      </c>
      <c r="BJ65" s="1653" t="str">
        <f>IF(AND($P$8=1,$B65="Long length",'6c_Health_part_time'!F59&lt;&gt;0),G$15&amp;", "&amp;$A65&amp;", "&amp;$B65&amp;", "&amp;$C65&amp;"; ","")</f>
        <v/>
      </c>
      <c r="BK65" s="1879" t="str">
        <f>IF(AND($P$8=1,$B65="Long length",'6c_Health_part_time'!G59&lt;&gt;0),H$15&amp;", "&amp;$A65&amp;", "&amp;$B65&amp;", "&amp;$C65&amp;"; ","")</f>
        <v/>
      </c>
      <c r="BL65" s="1653" t="str">
        <f>IF(AND($P$8=1,$B65="Long length",'6c_Health_part_time'!H59&lt;&gt;0),I$15&amp;", "&amp;$A65&amp;", "&amp;$B65&amp;", "&amp;$C65&amp;"; ","")</f>
        <v/>
      </c>
      <c r="BM65" s="1653" t="str">
        <f>IF(AND($P$8=1,$B65="Long length",'6c_Health_part_time'!I59&lt;&gt;0),J$15&amp;", "&amp;$A65&amp;", "&amp;$B65&amp;", "&amp;$C65&amp;"; ","")</f>
        <v/>
      </c>
      <c r="BO65" s="130"/>
    </row>
    <row r="66" spans="1:67" x14ac:dyDescent="0.35">
      <c r="A66" t="s">
        <v>27905</v>
      </c>
      <c r="B66" t="s">
        <v>27888</v>
      </c>
      <c r="C66" t="s">
        <v>27891</v>
      </c>
      <c r="D66" s="118"/>
      <c r="E66" s="109" t="str">
        <f>IF(AND($D$8=1,'6c_Health_part_time'!D60&lt;0),E$14&amp;", "&amp;E$15&amp;", "&amp;$A66&amp;", "&amp;$B66&amp;", "&amp;$C66&amp;"; ","")</f>
        <v/>
      </c>
      <c r="F66" s="108" t="str">
        <f>IF(AND($D$8=1,'6c_Health_part_time'!E60&lt;0),F$14&amp;", "&amp;F$15&amp;", "&amp;$A66&amp;", "&amp;$B66&amp;", "&amp;$C66&amp;"; ","")</f>
        <v/>
      </c>
      <c r="G66" s="108" t="str">
        <f>IF(AND($D$8=1,'6c_Health_part_time'!F60&lt;0),G$14&amp;", "&amp;G$15&amp;", "&amp;$A66&amp;", "&amp;$B66&amp;", "&amp;$C66&amp;"; ","")</f>
        <v/>
      </c>
      <c r="H66" s="109" t="str">
        <f>IF(AND($D$8=1,'6c_Health_part_time'!G60&lt;0),H$14&amp;", "&amp;H$15&amp;", "&amp;$A66&amp;", "&amp;$B66&amp;", "&amp;$C66&amp;"; ","")</f>
        <v/>
      </c>
      <c r="I66" s="108" t="str">
        <f>IF(AND($D$8=1,'6c_Health_part_time'!H60&lt;0),I$14&amp;", "&amp;I$15&amp;", "&amp;$A66&amp;", "&amp;$B66&amp;", "&amp;$C66&amp;"; ","")</f>
        <v/>
      </c>
      <c r="J66" s="108" t="str">
        <f>IF(AND($D$8=1,'6c_Health_part_time'!I60&lt;0),J$14&amp;", "&amp;J$15&amp;", "&amp;$A66&amp;", "&amp;$B66&amp;", "&amp;$C66&amp;"; ","")</f>
        <v/>
      </c>
      <c r="L66" s="118"/>
      <c r="N66" s="109" t="str">
        <f>IF(AND($E$8=1,ABS('6c_Health_part_time'!D60)&lt;&gt;INT(ABS('6c_Health_part_time'!D60))),E$14&amp;", "&amp;E$15&amp;", "&amp;$A66&amp;", "&amp;$B66&amp;", "&amp;$C66&amp;"; ","")</f>
        <v/>
      </c>
      <c r="O66" s="108" t="str">
        <f>IF(AND($E$8=1,ABS('6c_Health_part_time'!E60)&lt;&gt;INT(ABS('6c_Health_part_time'!E60))),F$14&amp;", "&amp;F$15&amp;", "&amp;$A66&amp;", "&amp;$B66&amp;", "&amp;$C66&amp;"; ","")</f>
        <v/>
      </c>
      <c r="P66" s="108" t="str">
        <f>IF(AND($E$8=1,ABS('6c_Health_part_time'!F60)&lt;&gt;INT(ABS('6c_Health_part_time'!F60))),G$14&amp;", "&amp;G$15&amp;", "&amp;$A66&amp;", "&amp;$B66&amp;", "&amp;$C66&amp;"; ","")</f>
        <v/>
      </c>
      <c r="Q66" s="109" t="str">
        <f>IF(AND($E$8=1,ABS('6c_Health_part_time'!G60)&lt;&gt;INT(ABS('6c_Health_part_time'!G60))),H$14&amp;", "&amp;H$15&amp;", "&amp;$A66&amp;", "&amp;$B66&amp;", "&amp;$C66&amp;"; ","")</f>
        <v/>
      </c>
      <c r="R66" s="108" t="str">
        <f>IF(AND($E$8=1,ABS('6c_Health_part_time'!H60)&lt;&gt;INT(ABS('6c_Health_part_time'!H60))),I$14&amp;", "&amp;I$15&amp;", "&amp;$A66&amp;", "&amp;$B66&amp;", "&amp;$C66&amp;"; ","")</f>
        <v/>
      </c>
      <c r="S66" s="108" t="str">
        <f>IF(AND($E$8=1,ABS('6c_Health_part_time'!I60)&lt;&gt;INT(ABS('6c_Health_part_time'!I60))),J$14&amp;", "&amp;J$15&amp;", "&amp;$A66&amp;", "&amp;$B66&amp;", "&amp;$C66&amp;"; ","")</f>
        <v/>
      </c>
      <c r="U66" s="118"/>
      <c r="W66" s="113"/>
      <c r="X66" s="112"/>
      <c r="Y66" s="112"/>
      <c r="Z66" s="113"/>
      <c r="AA66" s="112"/>
      <c r="AB66" s="481"/>
      <c r="AC66" s="17"/>
      <c r="AD66" s="118"/>
      <c r="AJ66" s="1893" t="str">
        <f>AJ51&amp;AJ53&amp;AJ55&amp;AJ56&amp;AJ57&amp;AJ58&amp;AJ59&amp;AJ60&amp;AJ61&amp;AJ62&amp;AJ63&amp;AJ64</f>
        <v/>
      </c>
      <c r="AK66" s="1893" t="str">
        <f t="shared" ref="AK66:AN66" si="13">AK51&amp;AK53&amp;AK55&amp;AK56&amp;AK57&amp;AK58&amp;AK59&amp;AK60&amp;AK61&amp;AK62&amp;AK63&amp;AK64</f>
        <v/>
      </c>
      <c r="AL66" s="1894"/>
      <c r="AM66" s="1895" t="str">
        <f t="shared" si="13"/>
        <v/>
      </c>
      <c r="AN66" s="1895" t="str">
        <f t="shared" si="13"/>
        <v/>
      </c>
      <c r="AO66" s="1913"/>
      <c r="AQ66" s="118"/>
      <c r="AT66" s="562" t="str">
        <f>IF(AND($I$8=1,ABS(SUM('6c_Health_part_time'!D60:E60))&lt;ABS('6c_Health_part_time'!F60)),E$14&amp;", "&amp;$A66&amp;", "&amp;$B66&amp;", "&amp;$C66&amp;"; ","")</f>
        <v/>
      </c>
      <c r="AW66" s="562" t="str">
        <f>IF(AND($I$8=1,ABS(SUM('6c_Health_part_time'!G60:H60))&lt;ABS('6c_Health_part_time'!I60)),H$14&amp;", "&amp;$A66&amp;", "&amp;$B66&amp;", "&amp;$C66&amp;"; ","")</f>
        <v/>
      </c>
      <c r="AY66" s="118"/>
      <c r="BG66" s="130"/>
      <c r="BH66" s="333" t="str">
        <f>IF(AND($P$8=1,$B66="Long length",'6c_Health_part_time'!D60&lt;&gt;0),E$15&amp;", "&amp;$A66&amp;", "&amp;$B66&amp;", "&amp;$C66&amp;"; ","")</f>
        <v/>
      </c>
      <c r="BI66" s="108" t="str">
        <f>IF(AND($P$8=1,$B66="Long length",'6c_Health_part_time'!E60&lt;&gt;0),F$15&amp;", "&amp;$A66&amp;", "&amp;$B66&amp;", "&amp;$C66&amp;"; ","")</f>
        <v/>
      </c>
      <c r="BJ66" s="108" t="str">
        <f>IF(AND($P$8=1,$B66="Long length",'6c_Health_part_time'!F60&lt;&gt;0),G$15&amp;", "&amp;$A66&amp;", "&amp;$B66&amp;", "&amp;$C66&amp;"; ","")</f>
        <v/>
      </c>
      <c r="BK66" s="333" t="str">
        <f>IF(AND($P$8=1,$B66="Long length",'6c_Health_part_time'!G60&lt;&gt;0),H$15&amp;", "&amp;$A66&amp;", "&amp;$B66&amp;", "&amp;$C66&amp;"; ","")</f>
        <v/>
      </c>
      <c r="BL66" s="108" t="str">
        <f>IF(AND($P$8=1,$B66="Long length",'6c_Health_part_time'!H60&lt;&gt;0),I$15&amp;", "&amp;$A66&amp;", "&amp;$B66&amp;", "&amp;$C66&amp;"; ","")</f>
        <v/>
      </c>
      <c r="BM66" s="108" t="str">
        <f>IF(AND($P$8=1,$B66="Long length",'6c_Health_part_time'!I60&lt;&gt;0),J$15&amp;", "&amp;$A66&amp;", "&amp;$B66&amp;", "&amp;$C66&amp;"; ","")</f>
        <v/>
      </c>
      <c r="BO66" s="130"/>
    </row>
    <row r="67" spans="1:67" x14ac:dyDescent="0.35">
      <c r="A67" t="s">
        <v>27905</v>
      </c>
      <c r="B67" t="s">
        <v>27892</v>
      </c>
      <c r="C67" t="s">
        <v>27889</v>
      </c>
      <c r="D67" s="118"/>
      <c r="E67" s="109" t="str">
        <f>IF(AND($D$8=1,'6c_Health_part_time'!D61&lt;0),E$14&amp;", "&amp;E$15&amp;", "&amp;$A67&amp;", "&amp;$B67&amp;", "&amp;$C67&amp;"; ","")</f>
        <v/>
      </c>
      <c r="F67" s="108" t="str">
        <f>IF(AND($D$8=1,'6c_Health_part_time'!E61&lt;0),F$14&amp;", "&amp;F$15&amp;", "&amp;$A67&amp;", "&amp;$B67&amp;", "&amp;$C67&amp;"; ","")</f>
        <v/>
      </c>
      <c r="G67" s="108" t="str">
        <f>IF(AND($D$8=1,'6c_Health_part_time'!F61&lt;0),G$14&amp;", "&amp;G$15&amp;", "&amp;$A67&amp;", "&amp;$B67&amp;", "&amp;$C67&amp;"; ","")</f>
        <v/>
      </c>
      <c r="H67" s="109" t="str">
        <f>IF(AND($D$8=1,'6c_Health_part_time'!G61&lt;0),H$14&amp;", "&amp;H$15&amp;", "&amp;$A67&amp;", "&amp;$B67&amp;", "&amp;$C67&amp;"; ","")</f>
        <v/>
      </c>
      <c r="I67" s="108" t="str">
        <f>IF(AND($D$8=1,'6c_Health_part_time'!H61&lt;0),I$14&amp;", "&amp;I$15&amp;", "&amp;$A67&amp;", "&amp;$B67&amp;", "&amp;$C67&amp;"; ","")</f>
        <v/>
      </c>
      <c r="J67" s="108" t="str">
        <f>IF(AND($D$8=1,'6c_Health_part_time'!I61&lt;0),J$14&amp;", "&amp;J$15&amp;", "&amp;$A67&amp;", "&amp;$B67&amp;", "&amp;$C67&amp;"; ","")</f>
        <v/>
      </c>
      <c r="L67" s="118"/>
      <c r="N67" s="109" t="str">
        <f>IF(AND($E$8=1,ABS('6c_Health_part_time'!D61)&lt;&gt;INT(ABS('6c_Health_part_time'!D61))),E$14&amp;", "&amp;E$15&amp;", "&amp;$A67&amp;", "&amp;$B67&amp;", "&amp;$C67&amp;"; ","")</f>
        <v/>
      </c>
      <c r="O67" s="108" t="str">
        <f>IF(AND($E$8=1,ABS('6c_Health_part_time'!E61)&lt;&gt;INT(ABS('6c_Health_part_time'!E61))),F$14&amp;", "&amp;F$15&amp;", "&amp;$A67&amp;", "&amp;$B67&amp;", "&amp;$C67&amp;"; ","")</f>
        <v/>
      </c>
      <c r="P67" s="108" t="str">
        <f>IF(AND($E$8=1,ABS('6c_Health_part_time'!F61)&lt;&gt;INT(ABS('6c_Health_part_time'!F61))),G$14&amp;", "&amp;G$15&amp;", "&amp;$A67&amp;", "&amp;$B67&amp;", "&amp;$C67&amp;"; ","")</f>
        <v/>
      </c>
      <c r="Q67" s="109" t="str">
        <f>IF(AND($E$8=1,ABS('6c_Health_part_time'!G61)&lt;&gt;INT(ABS('6c_Health_part_time'!G61))),H$14&amp;", "&amp;H$15&amp;", "&amp;$A67&amp;", "&amp;$B67&amp;", "&amp;$C67&amp;"; ","")</f>
        <v/>
      </c>
      <c r="R67" s="108" t="str">
        <f>IF(AND($E$8=1,ABS('6c_Health_part_time'!H61)&lt;&gt;INT(ABS('6c_Health_part_time'!H61))),I$14&amp;", "&amp;I$15&amp;", "&amp;$A67&amp;", "&amp;$B67&amp;", "&amp;$C67&amp;"; ","")</f>
        <v/>
      </c>
      <c r="S67" s="108" t="str">
        <f>IF(AND($E$8=1,ABS('6c_Health_part_time'!I61)&lt;&gt;INT(ABS('6c_Health_part_time'!I61))),J$14&amp;", "&amp;J$15&amp;", "&amp;$A67&amp;", "&amp;$B67&amp;", "&amp;$C67&amp;"; ","")</f>
        <v/>
      </c>
      <c r="U67" s="118"/>
      <c r="W67" s="113"/>
      <c r="X67" s="112"/>
      <c r="Y67" s="112"/>
      <c r="Z67" s="113"/>
      <c r="AA67" s="112"/>
      <c r="AB67" s="481"/>
      <c r="AC67" s="17"/>
      <c r="AD67" s="118"/>
      <c r="AQ67" s="118"/>
      <c r="AT67" s="562" t="str">
        <f>IF(AND($I$8=1,ABS(SUM('6c_Health_part_time'!D61:E61))&lt;ABS('6c_Health_part_time'!F61)),E$14&amp;", "&amp;$A67&amp;", "&amp;$B67&amp;", "&amp;$C67&amp;"; ","")</f>
        <v/>
      </c>
      <c r="AW67" s="562" t="str">
        <f>IF(AND($I$8=1,ABS(SUM('6c_Health_part_time'!G61:H61))&lt;ABS('6c_Health_part_time'!I61)),H$14&amp;", "&amp;$A67&amp;", "&amp;$B67&amp;", "&amp;$C67&amp;"; ","")</f>
        <v/>
      </c>
      <c r="AY67" s="118"/>
      <c r="BG67" s="130"/>
      <c r="BH67" s="333" t="str">
        <f>IF(AND($P$8=1,$B67="Long length",'6c_Health_part_time'!D61&lt;&gt;0),E$15&amp;", "&amp;$A67&amp;", "&amp;$B67&amp;", "&amp;$C67&amp;"; ","")</f>
        <v/>
      </c>
      <c r="BI67" s="108" t="str">
        <f>IF(AND($P$8=1,$B67="Long length",'6c_Health_part_time'!E61&lt;&gt;0),F$15&amp;", "&amp;$A67&amp;", "&amp;$B67&amp;", "&amp;$C67&amp;"; ","")</f>
        <v/>
      </c>
      <c r="BJ67" s="108" t="str">
        <f>IF(AND($P$8=1,$B67="Long length",'6c_Health_part_time'!F61&lt;&gt;0),G$15&amp;", "&amp;$A67&amp;", "&amp;$B67&amp;", "&amp;$C67&amp;"; ","")</f>
        <v/>
      </c>
      <c r="BK67" s="333" t="str">
        <f>IF(AND($P$8=1,$B67="Long length",'6c_Health_part_time'!G61&lt;&gt;0),H$15&amp;", "&amp;$A67&amp;", "&amp;$B67&amp;", "&amp;$C67&amp;"; ","")</f>
        <v/>
      </c>
      <c r="BL67" s="108" t="str">
        <f>IF(AND($P$8=1,$B67="Long length",'6c_Health_part_time'!H61&lt;&gt;0),I$15&amp;", "&amp;$A67&amp;", "&amp;$B67&amp;", "&amp;$C67&amp;"; ","")</f>
        <v/>
      </c>
      <c r="BM67" s="108" t="str">
        <f>IF(AND($P$8=1,$B67="Long length",'6c_Health_part_time'!I61&lt;&gt;0),J$15&amp;", "&amp;$A67&amp;", "&amp;$B67&amp;", "&amp;$C67&amp;"; ","")</f>
        <v/>
      </c>
      <c r="BO67" s="130"/>
    </row>
    <row r="68" spans="1:67" x14ac:dyDescent="0.35">
      <c r="A68" t="s">
        <v>27905</v>
      </c>
      <c r="B68" t="s">
        <v>27892</v>
      </c>
      <c r="C68" t="s">
        <v>27891</v>
      </c>
      <c r="D68" s="118"/>
      <c r="E68" s="109" t="str">
        <f>IF(AND($D$8=1,'6c_Health_part_time'!D62&lt;0),E$14&amp;", "&amp;E$15&amp;", "&amp;$A68&amp;", "&amp;$B68&amp;", "&amp;$C68&amp;"; ","")</f>
        <v/>
      </c>
      <c r="F68" s="108" t="str">
        <f>IF(AND($D$8=1,'6c_Health_part_time'!E62&lt;0),F$14&amp;", "&amp;F$15&amp;", "&amp;$A68&amp;", "&amp;$B68&amp;", "&amp;$C68&amp;"; ","")</f>
        <v/>
      </c>
      <c r="G68" s="108" t="str">
        <f>IF(AND($D$8=1,'6c_Health_part_time'!F62&lt;0),G$14&amp;", "&amp;G$15&amp;", "&amp;$A68&amp;", "&amp;$B68&amp;", "&amp;$C68&amp;"; ","")</f>
        <v/>
      </c>
      <c r="H68" s="109" t="str">
        <f>IF(AND($D$8=1,'6c_Health_part_time'!G62&lt;0),H$14&amp;", "&amp;H$15&amp;", "&amp;$A68&amp;", "&amp;$B68&amp;", "&amp;$C68&amp;"; ","")</f>
        <v/>
      </c>
      <c r="I68" s="108" t="str">
        <f>IF(AND($D$8=1,'6c_Health_part_time'!H62&lt;0),I$14&amp;", "&amp;I$15&amp;", "&amp;$A68&amp;", "&amp;$B68&amp;", "&amp;$C68&amp;"; ","")</f>
        <v/>
      </c>
      <c r="J68" s="108" t="str">
        <f>IF(AND($D$8=1,'6c_Health_part_time'!I62&lt;0),J$14&amp;", "&amp;J$15&amp;", "&amp;$A68&amp;", "&amp;$B68&amp;", "&amp;$C68&amp;"; ","")</f>
        <v/>
      </c>
      <c r="L68" s="118"/>
      <c r="N68" s="109" t="str">
        <f>IF(AND($E$8=1,ABS('6c_Health_part_time'!D62)&lt;&gt;INT(ABS('6c_Health_part_time'!D62))),E$14&amp;", "&amp;E$15&amp;", "&amp;$A68&amp;", "&amp;$B68&amp;", "&amp;$C68&amp;"; ","")</f>
        <v/>
      </c>
      <c r="O68" s="108" t="str">
        <f>IF(AND($E$8=1,ABS('6c_Health_part_time'!E62)&lt;&gt;INT(ABS('6c_Health_part_time'!E62))),F$14&amp;", "&amp;F$15&amp;", "&amp;$A68&amp;", "&amp;$B68&amp;", "&amp;$C68&amp;"; ","")</f>
        <v/>
      </c>
      <c r="P68" s="108" t="str">
        <f>IF(AND($E$8=1,ABS('6c_Health_part_time'!F62)&lt;&gt;INT(ABS('6c_Health_part_time'!F62))),G$14&amp;", "&amp;G$15&amp;", "&amp;$A68&amp;", "&amp;$B68&amp;", "&amp;$C68&amp;"; ","")</f>
        <v/>
      </c>
      <c r="Q68" s="109" t="str">
        <f>IF(AND($E$8=1,ABS('6c_Health_part_time'!G62)&lt;&gt;INT(ABS('6c_Health_part_time'!G62))),H$14&amp;", "&amp;H$15&amp;", "&amp;$A68&amp;", "&amp;$B68&amp;", "&amp;$C68&amp;"; ","")</f>
        <v/>
      </c>
      <c r="R68" s="108" t="str">
        <f>IF(AND($E$8=1,ABS('6c_Health_part_time'!H62)&lt;&gt;INT(ABS('6c_Health_part_time'!H62))),I$14&amp;", "&amp;I$15&amp;", "&amp;$A68&amp;", "&amp;$B68&amp;", "&amp;$C68&amp;"; ","")</f>
        <v/>
      </c>
      <c r="S68" s="108" t="str">
        <f>IF(AND($E$8=1,ABS('6c_Health_part_time'!I62)&lt;&gt;INT(ABS('6c_Health_part_time'!I62))),J$14&amp;", "&amp;J$15&amp;", "&amp;$A68&amp;", "&amp;$B68&amp;", "&amp;$C68&amp;"; ","")</f>
        <v/>
      </c>
      <c r="U68" s="118"/>
      <c r="W68" s="113"/>
      <c r="X68" s="112"/>
      <c r="Y68" s="112"/>
      <c r="Z68" s="113"/>
      <c r="AA68" s="112"/>
      <c r="AB68" s="481"/>
      <c r="AC68" s="17"/>
      <c r="AD68" s="118"/>
      <c r="AQ68" s="118"/>
      <c r="AT68" s="562" t="str">
        <f>IF(AND($I$8=1,ABS(SUM('6c_Health_part_time'!D62:E62))&lt;ABS('6c_Health_part_time'!F62)),E$14&amp;", "&amp;$A68&amp;", "&amp;$B68&amp;", "&amp;$C68&amp;"; ","")</f>
        <v/>
      </c>
      <c r="AW68" s="562" t="str">
        <f>IF(AND($I$8=1,ABS(SUM('6c_Health_part_time'!G62:H62))&lt;ABS('6c_Health_part_time'!I62)),H$14&amp;", "&amp;$A68&amp;", "&amp;$B68&amp;", "&amp;$C68&amp;"; ","")</f>
        <v/>
      </c>
      <c r="AY68" s="118"/>
      <c r="BG68" s="130"/>
      <c r="BH68" s="333" t="str">
        <f>IF(AND($P$8=1,$B68="Long length",'6c_Health_part_time'!D62&lt;&gt;0),E$15&amp;", "&amp;$A68&amp;", "&amp;$B68&amp;", "&amp;$C68&amp;"; ","")</f>
        <v/>
      </c>
      <c r="BI68" s="108" t="str">
        <f>IF(AND($P$8=1,$B68="Long length",'6c_Health_part_time'!E62&lt;&gt;0),F$15&amp;", "&amp;$A68&amp;", "&amp;$B68&amp;", "&amp;$C68&amp;"; ","")</f>
        <v/>
      </c>
      <c r="BJ68" s="108" t="str">
        <f>IF(AND($P$8=1,$B68="Long length",'6c_Health_part_time'!F62&lt;&gt;0),G$15&amp;", "&amp;$A68&amp;", "&amp;$B68&amp;", "&amp;$C68&amp;"; ","")</f>
        <v/>
      </c>
      <c r="BK68" s="333" t="str">
        <f>IF(AND($P$8=1,$B68="Long length",'6c_Health_part_time'!G62&lt;&gt;0),H$15&amp;", "&amp;$A68&amp;", "&amp;$B68&amp;", "&amp;$C68&amp;"; ","")</f>
        <v/>
      </c>
      <c r="BL68" s="108" t="str">
        <f>IF(AND($P$8=1,$B68="Long length",'6c_Health_part_time'!H62&lt;&gt;0),I$15&amp;", "&amp;$A68&amp;", "&amp;$B68&amp;", "&amp;$C68&amp;"; ","")</f>
        <v/>
      </c>
      <c r="BM68" s="108" t="str">
        <f>IF(AND($P$8=1,$B68="Long length",'6c_Health_part_time'!I62&lt;&gt;0),J$15&amp;", "&amp;$A68&amp;", "&amp;$B68&amp;", "&amp;$C68&amp;"; ","")</f>
        <v/>
      </c>
      <c r="BO68" s="130"/>
    </row>
    <row r="69" spans="1:67" x14ac:dyDescent="0.35">
      <c r="A69" t="s">
        <v>27906</v>
      </c>
      <c r="B69" t="s">
        <v>27888</v>
      </c>
      <c r="C69" t="s">
        <v>27889</v>
      </c>
      <c r="D69" s="118"/>
      <c r="E69" s="1885" t="str">
        <f>IF(AND($D$8=1,'6c_Health_part_time'!D63&lt;0),E$14&amp;", "&amp;E$15&amp;", "&amp;$A69&amp;", "&amp;$B69&amp;", "&amp;$C69&amp;"; ","")</f>
        <v/>
      </c>
      <c r="F69" s="1653" t="str">
        <f>IF(AND($D$8=1,'6c_Health_part_time'!E63&lt;0),F$14&amp;", "&amp;F$15&amp;", "&amp;$A69&amp;", "&amp;$B69&amp;", "&amp;$C69&amp;"; ","")</f>
        <v/>
      </c>
      <c r="G69" s="1653" t="str">
        <f>IF(AND($D$8=1,'6c_Health_part_time'!F63&lt;0),G$14&amp;", "&amp;G$15&amp;", "&amp;$A69&amp;", "&amp;$B69&amp;", "&amp;$C69&amp;"; ","")</f>
        <v/>
      </c>
      <c r="H69" s="1885" t="str">
        <f>IF(AND($D$8=1,'6c_Health_part_time'!G63&lt;0),H$14&amp;", "&amp;H$15&amp;", "&amp;$A69&amp;", "&amp;$B69&amp;", "&amp;$C69&amp;"; ","")</f>
        <v/>
      </c>
      <c r="I69" s="1653" t="str">
        <f>IF(AND($D$8=1,'6c_Health_part_time'!H63&lt;0),I$14&amp;", "&amp;I$15&amp;", "&amp;$A69&amp;", "&amp;$B69&amp;", "&amp;$C69&amp;"; ","")</f>
        <v/>
      </c>
      <c r="J69" s="1653" t="str">
        <f>IF(AND($D$8=1,'6c_Health_part_time'!I63&lt;0),J$14&amp;", "&amp;J$15&amp;", "&amp;$A69&amp;", "&amp;$B69&amp;", "&amp;$C69&amp;"; ","")</f>
        <v/>
      </c>
      <c r="L69" s="118"/>
      <c r="N69" s="1885" t="str">
        <f>IF(AND($E$8=1,ABS('6c_Health_part_time'!D63)&lt;&gt;INT(ABS('6c_Health_part_time'!D63))),E$14&amp;", "&amp;E$15&amp;", "&amp;$A69&amp;", "&amp;$B69&amp;", "&amp;$C69&amp;"; ","")</f>
        <v/>
      </c>
      <c r="O69" s="1653" t="str">
        <f>IF(AND($E$8=1,ABS('6c_Health_part_time'!E63)&lt;&gt;INT(ABS('6c_Health_part_time'!E63))),F$14&amp;", "&amp;F$15&amp;", "&amp;$A69&amp;", "&amp;$B69&amp;", "&amp;$C69&amp;"; ","")</f>
        <v/>
      </c>
      <c r="P69" s="1653" t="str">
        <f>IF(AND($E$8=1,ABS('6c_Health_part_time'!F63)&lt;&gt;INT(ABS('6c_Health_part_time'!F63))),G$14&amp;", "&amp;G$15&amp;", "&amp;$A69&amp;", "&amp;$B69&amp;", "&amp;$C69&amp;"; ","")</f>
        <v/>
      </c>
      <c r="Q69" s="1885" t="str">
        <f>IF(AND($E$8=1,ABS('6c_Health_part_time'!G63)&lt;&gt;INT(ABS('6c_Health_part_time'!G63))),H$14&amp;", "&amp;H$15&amp;", "&amp;$A69&amp;", "&amp;$B69&amp;", "&amp;$C69&amp;"; ","")</f>
        <v/>
      </c>
      <c r="R69" s="1653" t="str">
        <f>IF(AND($E$8=1,ABS('6c_Health_part_time'!H63)&lt;&gt;INT(ABS('6c_Health_part_time'!H63))),I$14&amp;", "&amp;I$15&amp;", "&amp;$A69&amp;", "&amp;$B69&amp;", "&amp;$C69&amp;"; ","")</f>
        <v/>
      </c>
      <c r="S69" s="1653" t="str">
        <f>IF(AND($E$8=1,ABS('6c_Health_part_time'!I63)&lt;&gt;INT(ABS('6c_Health_part_time'!I63))),J$14&amp;", "&amp;J$15&amp;", "&amp;$A69&amp;", "&amp;$B69&amp;", "&amp;$C69&amp;"; ","")</f>
        <v/>
      </c>
      <c r="U69" s="118"/>
      <c r="W69" s="1911"/>
      <c r="X69" s="1654"/>
      <c r="Y69" s="1654"/>
      <c r="Z69" s="1911"/>
      <c r="AA69" s="1654"/>
      <c r="AB69" s="1882"/>
      <c r="AC69" s="17"/>
      <c r="AD69" s="118"/>
      <c r="AJ69" t="s">
        <v>27907</v>
      </c>
      <c r="AK69" t="s">
        <v>27908</v>
      </c>
      <c r="AQ69" s="118"/>
      <c r="AT69" s="1886" t="str">
        <f>IF(AND($I$8=1,ABS(SUM('6c_Health_part_time'!D63:E63))&lt;ABS('6c_Health_part_time'!F63)),E$14&amp;", "&amp;$A69&amp;", "&amp;$B69&amp;", "&amp;$C69&amp;"; ","")</f>
        <v/>
      </c>
      <c r="AW69" s="1886" t="str">
        <f>IF(AND($I$8=1,ABS(SUM('6c_Health_part_time'!G63:H63))&lt;ABS('6c_Health_part_time'!I63)),H$14&amp;", "&amp;$A69&amp;", "&amp;$B69&amp;", "&amp;$C69&amp;"; ","")</f>
        <v/>
      </c>
      <c r="AY69" s="118"/>
      <c r="BG69" s="130"/>
      <c r="BH69" s="1879" t="str">
        <f>IF(AND($P$8=1,$B69="Long length",'6c_Health_part_time'!D63&lt;&gt;0),E$15&amp;", "&amp;$A69&amp;", "&amp;$B69&amp;", "&amp;$C69&amp;"; ","")</f>
        <v/>
      </c>
      <c r="BI69" s="1653" t="str">
        <f>IF(AND($P$8=1,$B69="Long length",'6c_Health_part_time'!E63&lt;&gt;0),F$15&amp;", "&amp;$A69&amp;", "&amp;$B69&amp;", "&amp;$C69&amp;"; ","")</f>
        <v/>
      </c>
      <c r="BJ69" s="1653" t="str">
        <f>IF(AND($P$8=1,$B69="Long length",'6c_Health_part_time'!F63&lt;&gt;0),G$15&amp;", "&amp;$A69&amp;", "&amp;$B69&amp;", "&amp;$C69&amp;"; ","")</f>
        <v/>
      </c>
      <c r="BK69" s="1879" t="str">
        <f>IF(AND($P$8=1,$B69="Long length",'6c_Health_part_time'!G63&lt;&gt;0),H$15&amp;", "&amp;$A69&amp;", "&amp;$B69&amp;", "&amp;$C69&amp;"; ","")</f>
        <v/>
      </c>
      <c r="BL69" s="1653" t="str">
        <f>IF(AND($P$8=1,$B69="Long length",'6c_Health_part_time'!H63&lt;&gt;0),I$15&amp;", "&amp;$A69&amp;", "&amp;$B69&amp;", "&amp;$C69&amp;"; ","")</f>
        <v/>
      </c>
      <c r="BM69" s="1653" t="str">
        <f>IF(AND($P$8=1,$B69="Long length",'6c_Health_part_time'!I63&lt;&gt;0),J$15&amp;", "&amp;$A69&amp;", "&amp;$B69&amp;", "&amp;$C69&amp;"; ","")</f>
        <v/>
      </c>
      <c r="BO69" s="130"/>
    </row>
    <row r="70" spans="1:67" x14ac:dyDescent="0.35">
      <c r="A70" t="s">
        <v>27906</v>
      </c>
      <c r="B70" t="s">
        <v>27888</v>
      </c>
      <c r="C70" t="s">
        <v>27891</v>
      </c>
      <c r="D70" s="118"/>
      <c r="E70" s="109" t="str">
        <f>IF(AND($D$8=1,'6c_Health_part_time'!D64&lt;0),E$14&amp;", "&amp;E$15&amp;", "&amp;$A70&amp;", "&amp;$B70&amp;", "&amp;$C70&amp;"; ","")</f>
        <v/>
      </c>
      <c r="F70" s="108" t="str">
        <f>IF(AND($D$8=1,'6c_Health_part_time'!E64&lt;0),F$14&amp;", "&amp;F$15&amp;", "&amp;$A70&amp;", "&amp;$B70&amp;", "&amp;$C70&amp;"; ","")</f>
        <v/>
      </c>
      <c r="G70" s="108" t="str">
        <f>IF(AND($D$8=1,'6c_Health_part_time'!F64&lt;0),G$14&amp;", "&amp;G$15&amp;", "&amp;$A70&amp;", "&amp;$B70&amp;", "&amp;$C70&amp;"; ","")</f>
        <v/>
      </c>
      <c r="H70" s="109" t="str">
        <f>IF(AND($D$8=1,'6c_Health_part_time'!G64&lt;0),H$14&amp;", "&amp;H$15&amp;", "&amp;$A70&amp;", "&amp;$B70&amp;", "&amp;$C70&amp;"; ","")</f>
        <v/>
      </c>
      <c r="I70" s="108" t="str">
        <f>IF(AND($D$8=1,'6c_Health_part_time'!H64&lt;0),I$14&amp;", "&amp;I$15&amp;", "&amp;$A70&amp;", "&amp;$B70&amp;", "&amp;$C70&amp;"; ","")</f>
        <v/>
      </c>
      <c r="J70" s="108" t="str">
        <f>IF(AND($D$8=1,'6c_Health_part_time'!I64&lt;0),J$14&amp;", "&amp;J$15&amp;", "&amp;$A70&amp;", "&amp;$B70&amp;", "&amp;$C70&amp;"; ","")</f>
        <v/>
      </c>
      <c r="L70" s="118"/>
      <c r="N70" s="109" t="str">
        <f>IF(AND($E$8=1,ABS('6c_Health_part_time'!D64)&lt;&gt;INT(ABS('6c_Health_part_time'!D64))),E$14&amp;", "&amp;E$15&amp;", "&amp;$A70&amp;", "&amp;$B70&amp;", "&amp;$C70&amp;"; ","")</f>
        <v/>
      </c>
      <c r="O70" s="108" t="str">
        <f>IF(AND($E$8=1,ABS('6c_Health_part_time'!E64)&lt;&gt;INT(ABS('6c_Health_part_time'!E64))),F$14&amp;", "&amp;F$15&amp;", "&amp;$A70&amp;", "&amp;$B70&amp;", "&amp;$C70&amp;"; ","")</f>
        <v/>
      </c>
      <c r="P70" s="108" t="str">
        <f>IF(AND($E$8=1,ABS('6c_Health_part_time'!F64)&lt;&gt;INT(ABS('6c_Health_part_time'!F64))),G$14&amp;", "&amp;G$15&amp;", "&amp;$A70&amp;", "&amp;$B70&amp;", "&amp;$C70&amp;"; ","")</f>
        <v/>
      </c>
      <c r="Q70" s="109" t="str">
        <f>IF(AND($E$8=1,ABS('6c_Health_part_time'!G64)&lt;&gt;INT(ABS('6c_Health_part_time'!G64))),H$14&amp;", "&amp;H$15&amp;", "&amp;$A70&amp;", "&amp;$B70&amp;", "&amp;$C70&amp;"; ","")</f>
        <v/>
      </c>
      <c r="R70" s="108" t="str">
        <f>IF(AND($E$8=1,ABS('6c_Health_part_time'!H64)&lt;&gt;INT(ABS('6c_Health_part_time'!H64))),I$14&amp;", "&amp;I$15&amp;", "&amp;$A70&amp;", "&amp;$B70&amp;", "&amp;$C70&amp;"; ","")</f>
        <v/>
      </c>
      <c r="S70" s="108" t="str">
        <f>IF(AND($E$8=1,ABS('6c_Health_part_time'!I64)&lt;&gt;INT(ABS('6c_Health_part_time'!I64))),J$14&amp;", "&amp;J$15&amp;", "&amp;$A70&amp;", "&amp;$B70&amp;", "&amp;$C70&amp;"; ","")</f>
        <v/>
      </c>
      <c r="U70" s="118"/>
      <c r="W70" s="113"/>
      <c r="X70" s="112"/>
      <c r="Y70" s="112"/>
      <c r="Z70" s="113"/>
      <c r="AA70" s="112"/>
      <c r="AB70" s="481"/>
      <c r="AC70" s="17"/>
      <c r="AD70" s="118"/>
      <c r="AJ70" s="1826" t="str">
        <f>CONCATENATE(AJ66,AM66)</f>
        <v/>
      </c>
      <c r="AK70" s="1826" t="str">
        <f>CONCATENATE(AK66,AN66)</f>
        <v/>
      </c>
      <c r="AQ70" s="118"/>
      <c r="AT70" s="562" t="str">
        <f>IF(AND($I$8=1,ABS(SUM('6c_Health_part_time'!D64:E64))&lt;ABS('6c_Health_part_time'!F64)),E$14&amp;", "&amp;$A70&amp;", "&amp;$B70&amp;", "&amp;$C70&amp;"; ","")</f>
        <v/>
      </c>
      <c r="AW70" s="562" t="str">
        <f>IF(AND($I$8=1,ABS(SUM('6c_Health_part_time'!G64:H64))&lt;ABS('6c_Health_part_time'!I64)),H$14&amp;", "&amp;$A70&amp;", "&amp;$B70&amp;", "&amp;$C70&amp;"; ","")</f>
        <v/>
      </c>
      <c r="AY70" s="118"/>
      <c r="BG70" s="130"/>
      <c r="BH70" s="333" t="str">
        <f>IF(AND($P$8=1,$B70="Long length",'6c_Health_part_time'!D64&lt;&gt;0),E$15&amp;", "&amp;$A70&amp;", "&amp;$B70&amp;", "&amp;$C70&amp;"; ","")</f>
        <v/>
      </c>
      <c r="BI70" s="335" t="str">
        <f>IF(AND($P$8=1,$B70="Long length",'6c_Health_part_time'!E64&lt;&gt;0),F$15&amp;", "&amp;$A70&amp;", "&amp;$B70&amp;", "&amp;$C70&amp;"; ","")</f>
        <v/>
      </c>
      <c r="BJ70" s="335" t="str">
        <f>IF(AND($P$8=1,$B70="Long length",'6c_Health_part_time'!F64&lt;&gt;0),G$15&amp;", "&amp;$A70&amp;", "&amp;$B70&amp;", "&amp;$C70&amp;"; ","")</f>
        <v/>
      </c>
      <c r="BK70" s="333" t="str">
        <f>IF(AND($P$8=1,$B70="Long length",'6c_Health_part_time'!G64&lt;&gt;0),H$15&amp;", "&amp;$A70&amp;", "&amp;$B70&amp;", "&amp;$C70&amp;"; ","")</f>
        <v/>
      </c>
      <c r="BL70" s="335" t="str">
        <f>IF(AND($P$8=1,$B70="Long length",'6c_Health_part_time'!H64&lt;&gt;0),I$15&amp;", "&amp;$A70&amp;", "&amp;$B70&amp;", "&amp;$C70&amp;"; ","")</f>
        <v/>
      </c>
      <c r="BM70" s="335" t="str">
        <f>IF(AND($P$8=1,$B70="Long length",'6c_Health_part_time'!I64&lt;&gt;0),J$15&amp;", "&amp;$A70&amp;", "&amp;$B70&amp;", "&amp;$C70&amp;"; ","")</f>
        <v/>
      </c>
      <c r="BO70" s="130"/>
    </row>
    <row r="71" spans="1:67" x14ac:dyDescent="0.35">
      <c r="A71" t="s">
        <v>27906</v>
      </c>
      <c r="B71" t="s">
        <v>27892</v>
      </c>
      <c r="C71" t="s">
        <v>27889</v>
      </c>
      <c r="D71" s="118"/>
      <c r="E71" s="109" t="str">
        <f>IF(AND($D$8=1,'6c_Health_part_time'!D65&lt;0),E$14&amp;", "&amp;E$15&amp;", "&amp;$A71&amp;", "&amp;$B71&amp;", "&amp;$C71&amp;"; ","")</f>
        <v/>
      </c>
      <c r="F71" s="108" t="str">
        <f>IF(AND($D$8=1,'6c_Health_part_time'!E65&lt;0),F$14&amp;", "&amp;F$15&amp;", "&amp;$A71&amp;", "&amp;$B71&amp;", "&amp;$C71&amp;"; ","")</f>
        <v/>
      </c>
      <c r="G71" s="108" t="str">
        <f>IF(AND($D$8=1,'6c_Health_part_time'!F65&lt;0),G$14&amp;", "&amp;G$15&amp;", "&amp;$A71&amp;", "&amp;$B71&amp;", "&amp;$C71&amp;"; ","")</f>
        <v/>
      </c>
      <c r="H71" s="109" t="str">
        <f>IF(AND($D$8=1,'6c_Health_part_time'!G65&lt;0),H$14&amp;", "&amp;H$15&amp;", "&amp;$A71&amp;", "&amp;$B71&amp;", "&amp;$C71&amp;"; ","")</f>
        <v/>
      </c>
      <c r="I71" s="108" t="str">
        <f>IF(AND($D$8=1,'6c_Health_part_time'!H65&lt;0),I$14&amp;", "&amp;I$15&amp;", "&amp;$A71&amp;", "&amp;$B71&amp;", "&amp;$C71&amp;"; ","")</f>
        <v/>
      </c>
      <c r="J71" s="108" t="str">
        <f>IF(AND($D$8=1,'6c_Health_part_time'!I65&lt;0),J$14&amp;", "&amp;J$15&amp;", "&amp;$A71&amp;", "&amp;$B71&amp;", "&amp;$C71&amp;"; ","")</f>
        <v/>
      </c>
      <c r="L71" s="118"/>
      <c r="N71" s="109" t="str">
        <f>IF(AND($E$8=1,ABS('6c_Health_part_time'!D65)&lt;&gt;INT(ABS('6c_Health_part_time'!D65))),E$14&amp;", "&amp;E$15&amp;", "&amp;$A71&amp;", "&amp;$B71&amp;", "&amp;$C71&amp;"; ","")</f>
        <v/>
      </c>
      <c r="O71" s="108" t="str">
        <f>IF(AND($E$8=1,ABS('6c_Health_part_time'!E65)&lt;&gt;INT(ABS('6c_Health_part_time'!E65))),F$14&amp;", "&amp;F$15&amp;", "&amp;$A71&amp;", "&amp;$B71&amp;", "&amp;$C71&amp;"; ","")</f>
        <v/>
      </c>
      <c r="P71" s="108" t="str">
        <f>IF(AND($E$8=1,ABS('6c_Health_part_time'!F65)&lt;&gt;INT(ABS('6c_Health_part_time'!F65))),G$14&amp;", "&amp;G$15&amp;", "&amp;$A71&amp;", "&amp;$B71&amp;", "&amp;$C71&amp;"; ","")</f>
        <v/>
      </c>
      <c r="Q71" s="109" t="str">
        <f>IF(AND($E$8=1,ABS('6c_Health_part_time'!G65)&lt;&gt;INT(ABS('6c_Health_part_time'!G65))),H$14&amp;", "&amp;H$15&amp;", "&amp;$A71&amp;", "&amp;$B71&amp;", "&amp;$C71&amp;"; ","")</f>
        <v/>
      </c>
      <c r="R71" s="108" t="str">
        <f>IF(AND($E$8=1,ABS('6c_Health_part_time'!H65)&lt;&gt;INT(ABS('6c_Health_part_time'!H65))),I$14&amp;", "&amp;I$15&amp;", "&amp;$A71&amp;", "&amp;$B71&amp;", "&amp;$C71&amp;"; ","")</f>
        <v/>
      </c>
      <c r="S71" s="108" t="str">
        <f>IF(AND($E$8=1,ABS('6c_Health_part_time'!I65)&lt;&gt;INT(ABS('6c_Health_part_time'!I65))),J$14&amp;", "&amp;J$15&amp;", "&amp;$A71&amp;", "&amp;$B71&amp;", "&amp;$C71&amp;"; ","")</f>
        <v/>
      </c>
      <c r="U71" s="118"/>
      <c r="W71" s="113"/>
      <c r="X71" s="112"/>
      <c r="Y71" s="112"/>
      <c r="Z71" s="113"/>
      <c r="AA71" s="112"/>
      <c r="AB71" s="481"/>
      <c r="AC71" s="17"/>
      <c r="AD71" s="11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18"/>
      <c r="AT71" s="562" t="str">
        <f>IF(AND($I$8=1,ABS(SUM('6c_Health_part_time'!D65:E65))&lt;ABS('6c_Health_part_time'!F65)),E$14&amp;", "&amp;$A71&amp;", "&amp;$B71&amp;", "&amp;$C71&amp;"; ","")</f>
        <v/>
      </c>
      <c r="AW71" s="562" t="str">
        <f>IF(AND($I$8=1,ABS(SUM('6c_Health_part_time'!G65:H65))&lt;ABS('6c_Health_part_time'!I65)),H$14&amp;", "&amp;$A71&amp;", "&amp;$B71&amp;", "&amp;$C71&amp;"; ","")</f>
        <v/>
      </c>
      <c r="AY71" s="118"/>
      <c r="BG71" s="130"/>
      <c r="BH71" s="333" t="str">
        <f>IF(AND($P$8=1,$B71="Long length",'6c_Health_part_time'!D65&lt;&gt;0),E$15&amp;", "&amp;$A71&amp;", "&amp;$B71&amp;", "&amp;$C71&amp;"; ","")</f>
        <v/>
      </c>
      <c r="BI71" s="108" t="str">
        <f>IF(AND($P$8=1,$B71="Long length",'6c_Health_part_time'!E65&lt;&gt;0),F$15&amp;", "&amp;$A71&amp;", "&amp;$B71&amp;", "&amp;$C71&amp;"; ","")</f>
        <v/>
      </c>
      <c r="BJ71" s="108" t="str">
        <f>IF(AND($P$8=1,$B71="Long length",'6c_Health_part_time'!F65&lt;&gt;0),G$15&amp;", "&amp;$A71&amp;", "&amp;$B71&amp;", "&amp;$C71&amp;"; ","")</f>
        <v/>
      </c>
      <c r="BK71" s="333" t="str">
        <f>IF(AND($P$8=1,$B71="Long length",'6c_Health_part_time'!G65&lt;&gt;0),H$15&amp;", "&amp;$A71&amp;", "&amp;$B71&amp;", "&amp;$C71&amp;"; ","")</f>
        <v/>
      </c>
      <c r="BL71" s="108" t="str">
        <f>IF(AND($P$8=1,$B71="Long length",'6c_Health_part_time'!H65&lt;&gt;0),I$15&amp;", "&amp;$A71&amp;", "&amp;$B71&amp;", "&amp;$C71&amp;"; ","")</f>
        <v/>
      </c>
      <c r="BM71" s="108" t="str">
        <f>IF(AND($P$8=1,$B71="Long length",'6c_Health_part_time'!I65&lt;&gt;0),J$15&amp;", "&amp;$A71&amp;", "&amp;$B71&amp;", "&amp;$C71&amp;"; ","")</f>
        <v/>
      </c>
      <c r="BO71" s="130"/>
    </row>
    <row r="72" spans="1:67" x14ac:dyDescent="0.35">
      <c r="A72" t="s">
        <v>27906</v>
      </c>
      <c r="B72" t="s">
        <v>27892</v>
      </c>
      <c r="C72" t="s">
        <v>27891</v>
      </c>
      <c r="D72" s="118"/>
      <c r="E72" s="109" t="str">
        <f>IF(AND($D$8=1,'6c_Health_part_time'!D66&lt;0),E$14&amp;", "&amp;E$15&amp;", "&amp;$A72&amp;", "&amp;$B72&amp;", "&amp;$C72&amp;"; ","")</f>
        <v/>
      </c>
      <c r="F72" s="108" t="str">
        <f>IF(AND($D$8=1,'6c_Health_part_time'!E66&lt;0),F$14&amp;", "&amp;F$15&amp;", "&amp;$A72&amp;", "&amp;$B72&amp;", "&amp;$C72&amp;"; ","")</f>
        <v/>
      </c>
      <c r="G72" s="108" t="str">
        <f>IF(AND($D$8=1,'6c_Health_part_time'!F66&lt;0),G$14&amp;", "&amp;G$15&amp;", "&amp;$A72&amp;", "&amp;$B72&amp;", "&amp;$C72&amp;"; ","")</f>
        <v/>
      </c>
      <c r="H72" s="109" t="str">
        <f>IF(AND($D$8=1,'6c_Health_part_time'!G66&lt;0),H$14&amp;", "&amp;H$15&amp;", "&amp;$A72&amp;", "&amp;$B72&amp;", "&amp;$C72&amp;"; ","")</f>
        <v/>
      </c>
      <c r="I72" s="108" t="str">
        <f>IF(AND($D$8=1,'6c_Health_part_time'!H66&lt;0),I$14&amp;", "&amp;I$15&amp;", "&amp;$A72&amp;", "&amp;$B72&amp;", "&amp;$C72&amp;"; ","")</f>
        <v/>
      </c>
      <c r="J72" s="108" t="str">
        <f>IF(AND($D$8=1,'6c_Health_part_time'!I66&lt;0),J$14&amp;", "&amp;J$15&amp;", "&amp;$A72&amp;", "&amp;$B72&amp;", "&amp;$C72&amp;"; ","")</f>
        <v/>
      </c>
      <c r="L72" s="118"/>
      <c r="N72" s="109" t="str">
        <f>IF(AND($E$8=1,ABS('6c_Health_part_time'!D66)&lt;&gt;INT(ABS('6c_Health_part_time'!D66))),E$14&amp;", "&amp;E$15&amp;", "&amp;$A72&amp;", "&amp;$B72&amp;", "&amp;$C72&amp;"; ","")</f>
        <v/>
      </c>
      <c r="O72" s="108" t="str">
        <f>IF(AND($E$8=1,ABS('6c_Health_part_time'!E66)&lt;&gt;INT(ABS('6c_Health_part_time'!E66))),F$14&amp;", "&amp;F$15&amp;", "&amp;$A72&amp;", "&amp;$B72&amp;", "&amp;$C72&amp;"; ","")</f>
        <v/>
      </c>
      <c r="P72" s="108" t="str">
        <f>IF(AND($E$8=1,ABS('6c_Health_part_time'!F66)&lt;&gt;INT(ABS('6c_Health_part_time'!F66))),G$14&amp;", "&amp;G$15&amp;", "&amp;$A72&amp;", "&amp;$B72&amp;", "&amp;$C72&amp;"; ","")</f>
        <v/>
      </c>
      <c r="Q72" s="109" t="str">
        <f>IF(AND($E$8=1,ABS('6c_Health_part_time'!G66)&lt;&gt;INT(ABS('6c_Health_part_time'!G66))),H$14&amp;", "&amp;H$15&amp;", "&amp;$A72&amp;", "&amp;$B72&amp;", "&amp;$C72&amp;"; ","")</f>
        <v/>
      </c>
      <c r="R72" s="108" t="str">
        <f>IF(AND($E$8=1,ABS('6c_Health_part_time'!H66)&lt;&gt;INT(ABS('6c_Health_part_time'!H66))),I$14&amp;", "&amp;I$15&amp;", "&amp;$A72&amp;", "&amp;$B72&amp;", "&amp;$C72&amp;"; ","")</f>
        <v/>
      </c>
      <c r="S72" s="108" t="str">
        <f>IF(AND($E$8=1,ABS('6c_Health_part_time'!I66)&lt;&gt;INT(ABS('6c_Health_part_time'!I66))),J$14&amp;", "&amp;J$15&amp;", "&amp;$A72&amp;", "&amp;$B72&amp;", "&amp;$C72&amp;"; ","")</f>
        <v/>
      </c>
      <c r="U72" s="118"/>
      <c r="W72" s="113"/>
      <c r="X72" s="112"/>
      <c r="Y72" s="112"/>
      <c r="Z72" s="113"/>
      <c r="AA72" s="112"/>
      <c r="AB72" s="481"/>
      <c r="AC72" s="17"/>
      <c r="AD72" s="23"/>
      <c r="AQ72" s="118"/>
      <c r="AT72" s="562" t="str">
        <f>IF(AND($I$8=1,ABS(SUM('6c_Health_part_time'!D66:E66))&lt;ABS('6c_Health_part_time'!F66)),E$14&amp;", "&amp;$A72&amp;", "&amp;$B72&amp;", "&amp;$C72&amp;"; ","")</f>
        <v/>
      </c>
      <c r="AW72" s="562" t="str">
        <f>IF(AND($I$8=1,ABS(SUM('6c_Health_part_time'!G66:H66))&lt;ABS('6c_Health_part_time'!I66)),H$14&amp;", "&amp;$A72&amp;", "&amp;$B72&amp;", "&amp;$C72&amp;"; ","")</f>
        <v/>
      </c>
      <c r="AY72" s="118"/>
      <c r="BG72" s="130"/>
      <c r="BH72" s="333" t="str">
        <f>IF(AND($P$8=1,$B72="Long length",'6c_Health_part_time'!D66&lt;&gt;0),E$15&amp;", "&amp;$A72&amp;", "&amp;$B72&amp;", "&amp;$C72&amp;"; ","")</f>
        <v/>
      </c>
      <c r="BI72" s="108" t="str">
        <f>IF(AND($P$8=1,$B72="Long length",'6c_Health_part_time'!E66&lt;&gt;0),F$15&amp;", "&amp;$A72&amp;", "&amp;$B72&amp;", "&amp;$C72&amp;"; ","")</f>
        <v/>
      </c>
      <c r="BJ72" s="108" t="str">
        <f>IF(AND($P$8=1,$B72="Long length",'6c_Health_part_time'!F66&lt;&gt;0),G$15&amp;", "&amp;$A72&amp;", "&amp;$B72&amp;", "&amp;$C72&amp;"; ","")</f>
        <v/>
      </c>
      <c r="BK72" s="333" t="str">
        <f>IF(AND($P$8=1,$B72="Long length",'6c_Health_part_time'!G66&lt;&gt;0),H$15&amp;", "&amp;$A72&amp;", "&amp;$B72&amp;", "&amp;$C72&amp;"; ","")</f>
        <v/>
      </c>
      <c r="BL72" s="108" t="str">
        <f>IF(AND($P$8=1,$B72="Long length",'6c_Health_part_time'!H66&lt;&gt;0),I$15&amp;", "&amp;$A72&amp;", "&amp;$B72&amp;", "&amp;$C72&amp;"; ","")</f>
        <v/>
      </c>
      <c r="BM72" s="108" t="str">
        <f>IF(AND($P$8=1,$B72="Long length",'6c_Health_part_time'!I66&lt;&gt;0),J$15&amp;", "&amp;$A72&amp;", "&amp;$B72&amp;", "&amp;$C72&amp;"; ","")</f>
        <v/>
      </c>
      <c r="BO72" s="130"/>
    </row>
    <row r="73" spans="1:67" x14ac:dyDescent="0.35">
      <c r="A73" t="s">
        <v>27909</v>
      </c>
      <c r="B73" t="s">
        <v>27888</v>
      </c>
      <c r="C73" t="s">
        <v>27889</v>
      </c>
      <c r="D73" s="118"/>
      <c r="E73" s="1885" t="str">
        <f>IF(AND($D$8=1,'6c_Health_part_time'!D67&lt;0),E$14&amp;", "&amp;E$15&amp;", "&amp;$A73&amp;", "&amp;$B73&amp;", "&amp;$C73&amp;"; ","")</f>
        <v/>
      </c>
      <c r="F73" s="1653" t="str">
        <f>IF(AND($D$8=1,'6c_Health_part_time'!E67&lt;0),F$14&amp;", "&amp;F$15&amp;", "&amp;$A73&amp;", "&amp;$B73&amp;", "&amp;$C73&amp;"; ","")</f>
        <v/>
      </c>
      <c r="G73" s="1653" t="str">
        <f>IF(AND($D$8=1,'6c_Health_part_time'!F67&lt;0),G$14&amp;", "&amp;G$15&amp;", "&amp;$A73&amp;", "&amp;$B73&amp;", "&amp;$C73&amp;"; ","")</f>
        <v/>
      </c>
      <c r="H73" s="1885" t="str">
        <f>IF(AND($D$8=1,'6c_Health_part_time'!G67&lt;0),H$14&amp;", "&amp;H$15&amp;", "&amp;$A73&amp;", "&amp;$B73&amp;", "&amp;$C73&amp;"; ","")</f>
        <v/>
      </c>
      <c r="I73" s="1653" t="str">
        <f>IF(AND($D$8=1,'6c_Health_part_time'!H67&lt;0),I$14&amp;", "&amp;I$15&amp;", "&amp;$A73&amp;", "&amp;$B73&amp;", "&amp;$C73&amp;"; ","")</f>
        <v/>
      </c>
      <c r="J73" s="1653" t="str">
        <f>IF(AND($D$8=1,'6c_Health_part_time'!I67&lt;0),J$14&amp;", "&amp;J$15&amp;", "&amp;$A73&amp;", "&amp;$B73&amp;", "&amp;$C73&amp;"; ","")</f>
        <v/>
      </c>
      <c r="L73" s="118"/>
      <c r="N73" s="1885" t="str">
        <f>IF(AND($E$8=1,ABS('6c_Health_part_time'!D67)&lt;&gt;INT(ABS('6c_Health_part_time'!D67))),E$14&amp;", "&amp;E$15&amp;", "&amp;$A73&amp;", "&amp;$B73&amp;", "&amp;$C73&amp;"; ","")</f>
        <v/>
      </c>
      <c r="O73" s="1653" t="str">
        <f>IF(AND($E$8=1,ABS('6c_Health_part_time'!E67)&lt;&gt;INT(ABS('6c_Health_part_time'!E67))),F$14&amp;", "&amp;F$15&amp;", "&amp;$A73&amp;", "&amp;$B73&amp;", "&amp;$C73&amp;"; ","")</f>
        <v/>
      </c>
      <c r="P73" s="1653" t="str">
        <f>IF(AND($E$8=1,ABS('6c_Health_part_time'!F67)&lt;&gt;INT(ABS('6c_Health_part_time'!F67))),G$14&amp;", "&amp;G$15&amp;", "&amp;$A73&amp;", "&amp;$B73&amp;", "&amp;$C73&amp;"; ","")</f>
        <v/>
      </c>
      <c r="Q73" s="1885" t="str">
        <f>IF(AND($E$8=1,ABS('6c_Health_part_time'!G67)&lt;&gt;INT(ABS('6c_Health_part_time'!G67))),H$14&amp;", "&amp;H$15&amp;", "&amp;$A73&amp;", "&amp;$B73&amp;", "&amp;$C73&amp;"; ","")</f>
        <v/>
      </c>
      <c r="R73" s="1653" t="str">
        <f>IF(AND($E$8=1,ABS('6c_Health_part_time'!H67)&lt;&gt;INT(ABS('6c_Health_part_time'!H67))),I$14&amp;", "&amp;I$15&amp;", "&amp;$A73&amp;", "&amp;$B73&amp;", "&amp;$C73&amp;"; ","")</f>
        <v/>
      </c>
      <c r="S73" s="1653" t="str">
        <f>IF(AND($E$8=1,ABS('6c_Health_part_time'!I67)&lt;&gt;INT(ABS('6c_Health_part_time'!I67))),J$14&amp;", "&amp;J$15&amp;", "&amp;$A73&amp;", "&amp;$B73&amp;", "&amp;$C73&amp;"; ","")</f>
        <v/>
      </c>
      <c r="U73" s="118"/>
      <c r="W73" s="1911"/>
      <c r="X73" s="1654"/>
      <c r="Y73" s="1654"/>
      <c r="Z73" s="1911"/>
      <c r="AA73" s="1654"/>
      <c r="AB73" s="1882"/>
      <c r="AC73" s="17"/>
      <c r="AD73" s="118"/>
      <c r="AJ73" t="s">
        <v>27922</v>
      </c>
      <c r="AK73" t="s">
        <v>27923</v>
      </c>
      <c r="AM73" t="s">
        <v>27922</v>
      </c>
      <c r="AN73" t="s">
        <v>27923</v>
      </c>
      <c r="AQ73" s="118"/>
      <c r="AT73" s="1886" t="str">
        <f>IF(AND($I$8=1,ABS(SUM('6c_Health_part_time'!D67:E67))&lt;ABS('6c_Health_part_time'!F67)),E$14&amp;", "&amp;$A73&amp;", "&amp;$B73&amp;", "&amp;$C73&amp;"; ","")</f>
        <v/>
      </c>
      <c r="AW73" s="1886" t="str">
        <f>IF(AND($I$8=1,ABS(SUM('6c_Health_part_time'!G67:H67))&lt;ABS('6c_Health_part_time'!I67)),H$14&amp;", "&amp;$A73&amp;", "&amp;$B73&amp;", "&amp;$C73&amp;"; ","")</f>
        <v/>
      </c>
      <c r="AY73" s="118"/>
      <c r="BG73" s="130"/>
      <c r="BH73" s="1879" t="str">
        <f>IF(AND($P$8=1,$B73="Long length",'6c_Health_part_time'!D67&lt;&gt;0),E$15&amp;", "&amp;$A73&amp;", "&amp;$B73&amp;", "&amp;$C73&amp;"; ","")</f>
        <v/>
      </c>
      <c r="BI73" s="1653" t="str">
        <f>IF(AND($P$8=1,$B73="Long length",'6c_Health_part_time'!E67&lt;&gt;0),F$15&amp;", "&amp;$A73&amp;", "&amp;$B73&amp;", "&amp;$C73&amp;"; ","")</f>
        <v/>
      </c>
      <c r="BJ73" s="1653" t="str">
        <f>IF(AND($P$8=1,$B73="Long length",'6c_Health_part_time'!F67&lt;&gt;0),G$15&amp;", "&amp;$A73&amp;", "&amp;$B73&amp;", "&amp;$C73&amp;"; ","")</f>
        <v/>
      </c>
      <c r="BK73" s="1879" t="str">
        <f>IF(AND($P$8=1,$B73="Long length",'6c_Health_part_time'!G67&lt;&gt;0),H$15&amp;", "&amp;$A73&amp;", "&amp;$B73&amp;", "&amp;$C73&amp;"; ","")</f>
        <v/>
      </c>
      <c r="BL73" s="1653" t="str">
        <f>IF(AND($P$8=1,$B73="Long length",'6c_Health_part_time'!H67&lt;&gt;0),I$15&amp;", "&amp;$A73&amp;", "&amp;$B73&amp;", "&amp;$C73&amp;"; ","")</f>
        <v/>
      </c>
      <c r="BM73" s="1653" t="str">
        <f>IF(AND($P$8=1,$B73="Long length",'6c_Health_part_time'!I67&lt;&gt;0),J$15&amp;", "&amp;$A73&amp;", "&amp;$B73&amp;", "&amp;$C73&amp;"; ","")</f>
        <v/>
      </c>
      <c r="BO73" s="130"/>
    </row>
    <row r="74" spans="1:67" x14ac:dyDescent="0.35">
      <c r="A74" t="s">
        <v>27909</v>
      </c>
      <c r="B74" t="s">
        <v>27888</v>
      </c>
      <c r="C74" t="s">
        <v>27891</v>
      </c>
      <c r="D74" s="118"/>
      <c r="E74" s="109" t="str">
        <f>IF(AND($D$8=1,'6c_Health_part_time'!D68&lt;0),E$14&amp;", "&amp;E$15&amp;", "&amp;$A74&amp;", "&amp;$B74&amp;", "&amp;$C74&amp;"; ","")</f>
        <v/>
      </c>
      <c r="F74" s="108" t="str">
        <f>IF(AND($D$8=1,'6c_Health_part_time'!E68&lt;0),F$14&amp;", "&amp;F$15&amp;", "&amp;$A74&amp;", "&amp;$B74&amp;", "&amp;$C74&amp;"; ","")</f>
        <v/>
      </c>
      <c r="G74" s="108" t="str">
        <f>IF(AND($D$8=1,'6c_Health_part_time'!F68&lt;0),G$14&amp;", "&amp;G$15&amp;", "&amp;$A74&amp;", "&amp;$B74&amp;", "&amp;$C74&amp;"; ","")</f>
        <v/>
      </c>
      <c r="H74" s="109" t="str">
        <f>IF(AND($D$8=1,'6c_Health_part_time'!G68&lt;0),H$14&amp;", "&amp;H$15&amp;", "&amp;$A74&amp;", "&amp;$B74&amp;", "&amp;$C74&amp;"; ","")</f>
        <v/>
      </c>
      <c r="I74" s="108" t="str">
        <f>IF(AND($D$8=1,'6c_Health_part_time'!H68&lt;0),I$14&amp;", "&amp;I$15&amp;", "&amp;$A74&amp;", "&amp;$B74&amp;", "&amp;$C74&amp;"; ","")</f>
        <v/>
      </c>
      <c r="J74" s="108" t="str">
        <f>IF(AND($D$8=1,'6c_Health_part_time'!I68&lt;0),J$14&amp;", "&amp;J$15&amp;", "&amp;$A74&amp;", "&amp;$B74&amp;", "&amp;$C74&amp;"; ","")</f>
        <v/>
      </c>
      <c r="L74" s="118"/>
      <c r="N74" s="109" t="str">
        <f>IF(AND($E$8=1,ABS('6c_Health_part_time'!D68)&lt;&gt;INT(ABS('6c_Health_part_time'!D68))),E$14&amp;", "&amp;E$15&amp;", "&amp;$A74&amp;", "&amp;$B74&amp;", "&amp;$C74&amp;"; ","")</f>
        <v/>
      </c>
      <c r="O74" s="108" t="str">
        <f>IF(AND($E$8=1,ABS('6c_Health_part_time'!E68)&lt;&gt;INT(ABS('6c_Health_part_time'!E68))),F$14&amp;", "&amp;F$15&amp;", "&amp;$A74&amp;", "&amp;$B74&amp;", "&amp;$C74&amp;"; ","")</f>
        <v/>
      </c>
      <c r="P74" s="108" t="str">
        <f>IF(AND($E$8=1,ABS('6c_Health_part_time'!F68)&lt;&gt;INT(ABS('6c_Health_part_time'!F68))),G$14&amp;", "&amp;G$15&amp;", "&amp;$A74&amp;", "&amp;$B74&amp;", "&amp;$C74&amp;"; ","")</f>
        <v/>
      </c>
      <c r="Q74" s="109" t="str">
        <f>IF(AND($E$8=1,ABS('6c_Health_part_time'!G68)&lt;&gt;INT(ABS('6c_Health_part_time'!G68))),H$14&amp;", "&amp;H$15&amp;", "&amp;$A74&amp;", "&amp;$B74&amp;", "&amp;$C74&amp;"; ","")</f>
        <v/>
      </c>
      <c r="R74" s="108" t="str">
        <f>IF(AND($E$8=1,ABS('6c_Health_part_time'!H68)&lt;&gt;INT(ABS('6c_Health_part_time'!H68))),I$14&amp;", "&amp;I$15&amp;", "&amp;$A74&amp;", "&amp;$B74&amp;", "&amp;$C74&amp;"; ","")</f>
        <v/>
      </c>
      <c r="S74" s="108" t="str">
        <f>IF(AND($E$8=1,ABS('6c_Health_part_time'!I68)&lt;&gt;INT(ABS('6c_Health_part_time'!I68))),J$14&amp;", "&amp;J$15&amp;", "&amp;$A74&amp;", "&amp;$B74&amp;", "&amp;$C74&amp;"; ","")</f>
        <v/>
      </c>
      <c r="U74" s="118"/>
      <c r="W74" s="113"/>
      <c r="X74" s="112"/>
      <c r="Y74" s="112"/>
      <c r="Z74" s="113"/>
      <c r="AA74" s="112"/>
      <c r="AB74" s="481"/>
      <c r="AC74" s="17"/>
      <c r="AD74" s="118"/>
      <c r="AI74" t="s">
        <v>200</v>
      </c>
      <c r="AQ74" s="118"/>
      <c r="AT74" s="562" t="str">
        <f>IF(AND($I$8=1,ABS(SUM('6c_Health_part_time'!D68:E68))&lt;ABS('6c_Health_part_time'!F68)),E$14&amp;", "&amp;$A74&amp;", "&amp;$B74&amp;", "&amp;$C74&amp;"; ","")</f>
        <v/>
      </c>
      <c r="AW74" s="562" t="str">
        <f>IF(AND($I$8=1,ABS(SUM('6c_Health_part_time'!G68:H68))&lt;ABS('6c_Health_part_time'!I68)),H$14&amp;", "&amp;$A74&amp;", "&amp;$B74&amp;", "&amp;$C74&amp;"; ","")</f>
        <v/>
      </c>
      <c r="AY74" s="118"/>
      <c r="BG74" s="130"/>
      <c r="BH74" s="333" t="str">
        <f>IF(AND($P$8=1,$B74="Long length",'6c_Health_part_time'!D68&lt;&gt;0),E$15&amp;", "&amp;$A74&amp;", "&amp;$B74&amp;", "&amp;$C74&amp;"; ","")</f>
        <v/>
      </c>
      <c r="BI74" s="108" t="str">
        <f>IF(AND($P$8=1,$B74="Long length",'6c_Health_part_time'!E68&lt;&gt;0),F$15&amp;", "&amp;$A74&amp;", "&amp;$B74&amp;", "&amp;$C74&amp;"; ","")</f>
        <v/>
      </c>
      <c r="BJ74" s="108" t="str">
        <f>IF(AND($P$8=1,$B74="Long length",'6c_Health_part_time'!F68&lt;&gt;0),G$15&amp;", "&amp;$A74&amp;", "&amp;$B74&amp;", "&amp;$C74&amp;"; ","")</f>
        <v/>
      </c>
      <c r="BK74" s="333" t="str">
        <f>IF(AND($P$8=1,$B74="Long length",'6c_Health_part_time'!G68&lt;&gt;0),H$15&amp;", "&amp;$A74&amp;", "&amp;$B74&amp;", "&amp;$C74&amp;"; ","")</f>
        <v/>
      </c>
      <c r="BL74" s="108" t="str">
        <f>IF(AND($P$8=1,$B74="Long length",'6c_Health_part_time'!H68&lt;&gt;0),I$15&amp;", "&amp;$A74&amp;", "&amp;$B74&amp;", "&amp;$C74&amp;"; ","")</f>
        <v/>
      </c>
      <c r="BM74" s="108" t="str">
        <f>IF(AND($P$8=1,$B74="Long length",'6c_Health_part_time'!I68&lt;&gt;0),J$15&amp;", "&amp;$A74&amp;", "&amp;$B74&amp;", "&amp;$C74&amp;"; ","")</f>
        <v/>
      </c>
      <c r="BO74" s="130"/>
    </row>
    <row r="75" spans="1:67" ht="13.15" x14ac:dyDescent="0.35">
      <c r="A75" t="s">
        <v>27909</v>
      </c>
      <c r="B75" t="s">
        <v>27892</v>
      </c>
      <c r="C75" t="s">
        <v>27889</v>
      </c>
      <c r="D75" s="118"/>
      <c r="E75" s="109" t="str">
        <f>IF(AND($D$8=1,'6c_Health_part_time'!D69&lt;0),E$14&amp;", "&amp;E$15&amp;", "&amp;$A75&amp;", "&amp;$B75&amp;", "&amp;$C75&amp;"; ","")</f>
        <v/>
      </c>
      <c r="F75" s="108" t="str">
        <f>IF(AND($D$8=1,'6c_Health_part_time'!E69&lt;0),F$14&amp;", "&amp;F$15&amp;", "&amp;$A75&amp;", "&amp;$B75&amp;", "&amp;$C75&amp;"; ","")</f>
        <v/>
      </c>
      <c r="G75" s="108" t="str">
        <f>IF(AND($D$8=1,'6c_Health_part_time'!F69&lt;0),G$14&amp;", "&amp;G$15&amp;", "&amp;$A75&amp;", "&amp;$B75&amp;", "&amp;$C75&amp;"; ","")</f>
        <v/>
      </c>
      <c r="H75" s="109" t="str">
        <f>IF(AND($D$8=1,'6c_Health_part_time'!G69&lt;0),H$14&amp;", "&amp;H$15&amp;", "&amp;$A75&amp;", "&amp;$B75&amp;", "&amp;$C75&amp;"; ","")</f>
        <v/>
      </c>
      <c r="I75" s="108" t="str">
        <f>IF(AND($D$8=1,'6c_Health_part_time'!H69&lt;0),I$14&amp;", "&amp;I$15&amp;", "&amp;$A75&amp;", "&amp;$B75&amp;", "&amp;$C75&amp;"; ","")</f>
        <v/>
      </c>
      <c r="J75" s="108" t="str">
        <f>IF(AND($D$8=1,'6c_Health_part_time'!I69&lt;0),J$14&amp;", "&amp;J$15&amp;", "&amp;$A75&amp;", "&amp;$B75&amp;", "&amp;$C75&amp;"; ","")</f>
        <v/>
      </c>
      <c r="L75" s="118"/>
      <c r="N75" s="109" t="str">
        <f>IF(AND($E$8=1,ABS('6c_Health_part_time'!D69)&lt;&gt;INT(ABS('6c_Health_part_time'!D69))),E$14&amp;", "&amp;E$15&amp;", "&amp;$A75&amp;", "&amp;$B75&amp;", "&amp;$C75&amp;"; ","")</f>
        <v/>
      </c>
      <c r="O75" s="108" t="str">
        <f>IF(AND($E$8=1,ABS('6c_Health_part_time'!E69)&lt;&gt;INT(ABS('6c_Health_part_time'!E69))),F$14&amp;", "&amp;F$15&amp;", "&amp;$A75&amp;", "&amp;$B75&amp;", "&amp;$C75&amp;"; ","")</f>
        <v/>
      </c>
      <c r="P75" s="108" t="str">
        <f>IF(AND($E$8=1,ABS('6c_Health_part_time'!F69)&lt;&gt;INT(ABS('6c_Health_part_time'!F69))),G$14&amp;", "&amp;G$15&amp;", "&amp;$A75&amp;", "&amp;$B75&amp;", "&amp;$C75&amp;"; ","")</f>
        <v/>
      </c>
      <c r="Q75" s="109" t="str">
        <f>IF(AND($E$8=1,ABS('6c_Health_part_time'!G69)&lt;&gt;INT(ABS('6c_Health_part_time'!G69))),H$14&amp;", "&amp;H$15&amp;", "&amp;$A75&amp;", "&amp;$B75&amp;", "&amp;$C75&amp;"; ","")</f>
        <v/>
      </c>
      <c r="R75" s="108" t="str">
        <f>IF(AND($E$8=1,ABS('6c_Health_part_time'!H69)&lt;&gt;INT(ABS('6c_Health_part_time'!H69))),I$14&amp;", "&amp;I$15&amp;", "&amp;$A75&amp;", "&amp;$B75&amp;", "&amp;$C75&amp;"; ","")</f>
        <v/>
      </c>
      <c r="S75" s="108" t="str">
        <f>IF(AND($E$8=1,ABS('6c_Health_part_time'!I69)&lt;&gt;INT(ABS('6c_Health_part_time'!I69))),J$14&amp;", "&amp;J$15&amp;", "&amp;$A75&amp;", "&amp;$B75&amp;", "&amp;$C75&amp;"; ","")</f>
        <v/>
      </c>
      <c r="U75" s="118"/>
      <c r="W75" s="113"/>
      <c r="X75" s="112"/>
      <c r="Y75" s="112"/>
      <c r="Z75" s="113"/>
      <c r="AA75" s="112"/>
      <c r="AB75" s="481"/>
      <c r="AC75" s="17"/>
      <c r="AD75" s="118"/>
      <c r="AF75" s="1375" t="s">
        <v>27842</v>
      </c>
      <c r="AG75" s="195"/>
      <c r="AH75" s="195"/>
      <c r="AI75" t="s">
        <v>203</v>
      </c>
      <c r="AJ75" s="1879" t="str">
        <f>AJ51</f>
        <v/>
      </c>
      <c r="AK75" s="1892" t="str">
        <f>AK51</f>
        <v/>
      </c>
      <c r="AL75" s="1897"/>
      <c r="AM75" s="1879" t="str">
        <f>AM51</f>
        <v/>
      </c>
      <c r="AN75" s="1892" t="str">
        <f>AN51</f>
        <v/>
      </c>
      <c r="AO75" s="1884"/>
      <c r="AQ75" s="118"/>
      <c r="AT75" s="562" t="str">
        <f>IF(AND($I$8=1,ABS(SUM('6c_Health_part_time'!D69:E69))&lt;ABS('6c_Health_part_time'!F69)),E$14&amp;", "&amp;$A75&amp;", "&amp;$B75&amp;", "&amp;$C75&amp;"; ","")</f>
        <v/>
      </c>
      <c r="AW75" s="562" t="str">
        <f>IF(AND($I$8=1,ABS(SUM('6c_Health_part_time'!G69:H69))&lt;ABS('6c_Health_part_time'!I69)),H$14&amp;", "&amp;$A75&amp;", "&amp;$B75&amp;", "&amp;$C75&amp;"; ","")</f>
        <v/>
      </c>
      <c r="AY75" s="118"/>
      <c r="BG75" s="130"/>
      <c r="BH75" s="333" t="str">
        <f>IF(AND($P$8=1,$B75="Long length",'6c_Health_part_time'!D69&lt;&gt;0),E$15&amp;", "&amp;$A75&amp;", "&amp;$B75&amp;", "&amp;$C75&amp;"; ","")</f>
        <v/>
      </c>
      <c r="BI75" s="108" t="str">
        <f>IF(AND($P$8=1,$B75="Long length",'6c_Health_part_time'!E69&lt;&gt;0),F$15&amp;", "&amp;$A75&amp;", "&amp;$B75&amp;", "&amp;$C75&amp;"; ","")</f>
        <v/>
      </c>
      <c r="BJ75" s="108" t="str">
        <f>IF(AND($P$8=1,$B75="Long length",'6c_Health_part_time'!F69&lt;&gt;0),G$15&amp;", "&amp;$A75&amp;", "&amp;$B75&amp;", "&amp;$C75&amp;"; ","")</f>
        <v/>
      </c>
      <c r="BK75" s="333" t="str">
        <f>IF(AND($P$8=1,$B75="Long length",'6c_Health_part_time'!G69&lt;&gt;0),H$15&amp;", "&amp;$A75&amp;", "&amp;$B75&amp;", "&amp;$C75&amp;"; ","")</f>
        <v/>
      </c>
      <c r="BL75" s="108" t="str">
        <f>IF(AND($P$8=1,$B75="Long length",'6c_Health_part_time'!H69&lt;&gt;0),I$15&amp;", "&amp;$A75&amp;", "&amp;$B75&amp;", "&amp;$C75&amp;"; ","")</f>
        <v/>
      </c>
      <c r="BM75" s="108" t="str">
        <f>IF(AND($P$8=1,$B75="Long length",'6c_Health_part_time'!I69&lt;&gt;0),J$15&amp;", "&amp;$A75&amp;", "&amp;$B75&amp;", "&amp;$C75&amp;"; ","")</f>
        <v/>
      </c>
      <c r="BO75" s="130"/>
    </row>
    <row r="76" spans="1:67" ht="13.15" x14ac:dyDescent="0.35">
      <c r="A76" t="s">
        <v>27909</v>
      </c>
      <c r="B76" t="s">
        <v>27892</v>
      </c>
      <c r="C76" t="s">
        <v>27891</v>
      </c>
      <c r="D76" s="118"/>
      <c r="E76" s="109" t="str">
        <f>IF(AND($D$8=1,'6c_Health_part_time'!D70&lt;0),E$14&amp;", "&amp;E$15&amp;", "&amp;$A76&amp;", "&amp;$B76&amp;", "&amp;$C76&amp;"; ","")</f>
        <v/>
      </c>
      <c r="F76" s="108" t="str">
        <f>IF(AND($D$8=1,'6c_Health_part_time'!E70&lt;0),F$14&amp;", "&amp;F$15&amp;", "&amp;$A76&amp;", "&amp;$B76&amp;", "&amp;$C76&amp;"; ","")</f>
        <v/>
      </c>
      <c r="G76" s="108" t="str">
        <f>IF(AND($D$8=1,'6c_Health_part_time'!F70&lt;0),G$14&amp;", "&amp;G$15&amp;", "&amp;$A76&amp;", "&amp;$B76&amp;", "&amp;$C76&amp;"; ","")</f>
        <v/>
      </c>
      <c r="H76" s="109" t="str">
        <f>IF(AND($D$8=1,'6c_Health_part_time'!G70&lt;0),H$14&amp;", "&amp;H$15&amp;", "&amp;$A76&amp;", "&amp;$B76&amp;", "&amp;$C76&amp;"; ","")</f>
        <v/>
      </c>
      <c r="I76" s="108" t="str">
        <f>IF(AND($D$8=1,'6c_Health_part_time'!H70&lt;0),I$14&amp;", "&amp;I$15&amp;", "&amp;$A76&amp;", "&amp;$B76&amp;", "&amp;$C76&amp;"; ","")</f>
        <v/>
      </c>
      <c r="J76" s="108" t="str">
        <f>IF(AND($D$8=1,'6c_Health_part_time'!I70&lt;0),J$14&amp;", "&amp;J$15&amp;", "&amp;$A76&amp;", "&amp;$B76&amp;", "&amp;$C76&amp;"; ","")</f>
        <v/>
      </c>
      <c r="L76" s="118"/>
      <c r="N76" s="109" t="str">
        <f>IF(AND($E$8=1,ABS('6c_Health_part_time'!D70)&lt;&gt;INT(ABS('6c_Health_part_time'!D70))),E$14&amp;", "&amp;E$15&amp;", "&amp;$A76&amp;", "&amp;$B76&amp;", "&amp;$C76&amp;"; ","")</f>
        <v/>
      </c>
      <c r="O76" s="108" t="str">
        <f>IF(AND($E$8=1,ABS('6c_Health_part_time'!E70)&lt;&gt;INT(ABS('6c_Health_part_time'!E70))),F$14&amp;", "&amp;F$15&amp;", "&amp;$A76&amp;", "&amp;$B76&amp;", "&amp;$C76&amp;"; ","")</f>
        <v/>
      </c>
      <c r="P76" s="108" t="str">
        <f>IF(AND($E$8=1,ABS('6c_Health_part_time'!F70)&lt;&gt;INT(ABS('6c_Health_part_time'!F70))),G$14&amp;", "&amp;G$15&amp;", "&amp;$A76&amp;", "&amp;$B76&amp;", "&amp;$C76&amp;"; ","")</f>
        <v/>
      </c>
      <c r="Q76" s="109" t="str">
        <f>IF(AND($E$8=1,ABS('6c_Health_part_time'!G70)&lt;&gt;INT(ABS('6c_Health_part_time'!G70))),H$14&amp;", "&amp;H$15&amp;", "&amp;$A76&amp;", "&amp;$B76&amp;", "&amp;$C76&amp;"; ","")</f>
        <v/>
      </c>
      <c r="R76" s="108" t="str">
        <f>IF(AND($E$8=1,ABS('6c_Health_part_time'!H70)&lt;&gt;INT(ABS('6c_Health_part_time'!H70))),I$14&amp;", "&amp;I$15&amp;", "&amp;$A76&amp;", "&amp;$B76&amp;", "&amp;$C76&amp;"; ","")</f>
        <v/>
      </c>
      <c r="S76" s="108" t="str">
        <f>IF(AND($E$8=1,ABS('6c_Health_part_time'!I70)&lt;&gt;INT(ABS('6c_Health_part_time'!I70))),J$14&amp;", "&amp;J$15&amp;", "&amp;$A76&amp;", "&amp;$B76&amp;", "&amp;$C76&amp;"; ","")</f>
        <v/>
      </c>
      <c r="U76" s="118"/>
      <c r="W76" s="113"/>
      <c r="X76" s="112"/>
      <c r="Y76" s="112"/>
      <c r="Z76" s="113"/>
      <c r="AA76" s="112"/>
      <c r="AB76" s="481"/>
      <c r="AC76" s="17"/>
      <c r="AD76" s="118"/>
      <c r="AF76" s="519" t="s">
        <v>27842</v>
      </c>
      <c r="AG76" s="195"/>
      <c r="AH76" s="195"/>
      <c r="AI76" t="s">
        <v>203</v>
      </c>
      <c r="AJ76" s="338"/>
      <c r="AK76" s="121"/>
      <c r="AL76" s="121"/>
      <c r="AM76" s="338"/>
      <c r="AN76" s="121"/>
      <c r="AO76" s="337"/>
      <c r="AQ76" s="118"/>
      <c r="AT76" s="562" t="str">
        <f>IF(AND($I$8=1,ABS(SUM('6c_Health_part_time'!D70:E70))&lt;ABS('6c_Health_part_time'!F70)),E$14&amp;", "&amp;$A76&amp;", "&amp;$B76&amp;", "&amp;$C76&amp;"; ","")</f>
        <v/>
      </c>
      <c r="AW76" s="562" t="str">
        <f>IF(AND($I$8=1,ABS(SUM('6c_Health_part_time'!G70:H70))&lt;ABS('6c_Health_part_time'!I70)),H$14&amp;", "&amp;$A76&amp;", "&amp;$B76&amp;", "&amp;$C76&amp;"; ","")</f>
        <v/>
      </c>
      <c r="AY76" s="118"/>
      <c r="BG76" s="130"/>
      <c r="BH76" s="333" t="str">
        <f>IF(AND($P$8=1,$B76="Long length",'6c_Health_part_time'!D70&lt;&gt;0),E$15&amp;", "&amp;$A76&amp;", "&amp;$B76&amp;", "&amp;$C76&amp;"; ","")</f>
        <v/>
      </c>
      <c r="BI76" s="108" t="str">
        <f>IF(AND($P$8=1,$B76="Long length",'6c_Health_part_time'!E70&lt;&gt;0),F$15&amp;", "&amp;$A76&amp;", "&amp;$B76&amp;", "&amp;$C76&amp;"; ","")</f>
        <v/>
      </c>
      <c r="BJ76" s="108" t="str">
        <f>IF(AND($P$8=1,$B76="Long length",'6c_Health_part_time'!F70&lt;&gt;0),G$15&amp;", "&amp;$A76&amp;", "&amp;$B76&amp;", "&amp;$C76&amp;"; ","")</f>
        <v/>
      </c>
      <c r="BK76" s="333" t="str">
        <f>IF(AND($P$8=1,$B76="Long length",'6c_Health_part_time'!G70&lt;&gt;0),H$15&amp;", "&amp;$A76&amp;", "&amp;$B76&amp;", "&amp;$C76&amp;"; ","")</f>
        <v/>
      </c>
      <c r="BL76" s="108" t="str">
        <f>IF(AND($P$8=1,$B76="Long length",'6c_Health_part_time'!H70&lt;&gt;0),I$15&amp;", "&amp;$A76&amp;", "&amp;$B76&amp;", "&amp;$C76&amp;"; ","")</f>
        <v/>
      </c>
      <c r="BM76" s="108" t="str">
        <f>IF(AND($P$8=1,$B76="Long length",'6c_Health_part_time'!I70&lt;&gt;0),J$15&amp;", "&amp;$A76&amp;", "&amp;$B76&amp;", "&amp;$C76&amp;"; ","")</f>
        <v/>
      </c>
      <c r="BO76" s="130"/>
    </row>
    <row r="77" spans="1:67" ht="13.15" x14ac:dyDescent="0.35">
      <c r="A77" t="s">
        <v>27910</v>
      </c>
      <c r="B77" t="s">
        <v>27888</v>
      </c>
      <c r="C77" t="s">
        <v>27889</v>
      </c>
      <c r="D77" s="118"/>
      <c r="E77" s="1885" t="str">
        <f>IF(AND($D$8=1,'6c_Health_part_time'!D71&lt;0),E$14&amp;", "&amp;E$15&amp;", "&amp;$A77&amp;", "&amp;$B77&amp;", "&amp;$C77&amp;"; ","")</f>
        <v/>
      </c>
      <c r="F77" s="1653" t="str">
        <f>IF(AND($D$8=1,'6c_Health_part_time'!E71&lt;0),F$14&amp;", "&amp;F$15&amp;", "&amp;$A77&amp;", "&amp;$B77&amp;", "&amp;$C77&amp;"; ","")</f>
        <v/>
      </c>
      <c r="G77" s="1653" t="str">
        <f>IF(AND($D$8=1,'6c_Health_part_time'!F71&lt;0),G$14&amp;", "&amp;G$15&amp;", "&amp;$A77&amp;", "&amp;$B77&amp;", "&amp;$C77&amp;"; ","")</f>
        <v/>
      </c>
      <c r="H77" s="1885" t="str">
        <f>IF(AND($D$8=1,'6c_Health_part_time'!G71&lt;0),H$14&amp;", "&amp;H$15&amp;", "&amp;$A77&amp;", "&amp;$B77&amp;", "&amp;$C77&amp;"; ","")</f>
        <v/>
      </c>
      <c r="I77" s="1653" t="str">
        <f>IF(AND($D$8=1,'6c_Health_part_time'!H71&lt;0),I$14&amp;", "&amp;I$15&amp;", "&amp;$A77&amp;", "&amp;$B77&amp;", "&amp;$C77&amp;"; ","")</f>
        <v/>
      </c>
      <c r="J77" s="1653" t="str">
        <f>IF(AND($D$8=1,'6c_Health_part_time'!I71&lt;0),J$14&amp;", "&amp;J$15&amp;", "&amp;$A77&amp;", "&amp;$B77&amp;", "&amp;$C77&amp;"; ","")</f>
        <v/>
      </c>
      <c r="L77" s="118"/>
      <c r="N77" s="1885" t="str">
        <f>IF(AND($E$8=1,ABS('6c_Health_part_time'!D71)&lt;&gt;INT(ABS('6c_Health_part_time'!D71))),E$14&amp;", "&amp;E$15&amp;", "&amp;$A77&amp;", "&amp;$B77&amp;", "&amp;$C77&amp;"; ","")</f>
        <v/>
      </c>
      <c r="O77" s="1653" t="str">
        <f>IF(AND($E$8=1,ABS('6c_Health_part_time'!E71)&lt;&gt;INT(ABS('6c_Health_part_time'!E71))),F$14&amp;", "&amp;F$15&amp;", "&amp;$A77&amp;", "&amp;$B77&amp;", "&amp;$C77&amp;"; ","")</f>
        <v/>
      </c>
      <c r="P77" s="1653" t="str">
        <f>IF(AND($E$8=1,ABS('6c_Health_part_time'!F71)&lt;&gt;INT(ABS('6c_Health_part_time'!F71))),G$14&amp;", "&amp;G$15&amp;", "&amp;$A77&amp;", "&amp;$B77&amp;", "&amp;$C77&amp;"; ","")</f>
        <v/>
      </c>
      <c r="Q77" s="1885" t="str">
        <f>IF(AND($E$8=1,ABS('6c_Health_part_time'!G71)&lt;&gt;INT(ABS('6c_Health_part_time'!G71))),H$14&amp;", "&amp;H$15&amp;", "&amp;$A77&amp;", "&amp;$B77&amp;", "&amp;$C77&amp;"; ","")</f>
        <v/>
      </c>
      <c r="R77" s="1653" t="str">
        <f>IF(AND($E$8=1,ABS('6c_Health_part_time'!H71)&lt;&gt;INT(ABS('6c_Health_part_time'!H71))),I$14&amp;", "&amp;I$15&amp;", "&amp;$A77&amp;", "&amp;$B77&amp;", "&amp;$C77&amp;"; ","")</f>
        <v/>
      </c>
      <c r="S77" s="1653" t="str">
        <f>IF(AND($E$8=1,ABS('6c_Health_part_time'!I71)&lt;&gt;INT(ABS('6c_Health_part_time'!I71))),J$14&amp;", "&amp;J$15&amp;", "&amp;$A77&amp;", "&amp;$B77&amp;", "&amp;$C77&amp;"; ","")</f>
        <v/>
      </c>
      <c r="U77" s="118"/>
      <c r="W77" s="1911"/>
      <c r="X77" s="1654"/>
      <c r="Y77" s="1654"/>
      <c r="Z77" s="1911"/>
      <c r="AA77" s="1654"/>
      <c r="AB77" s="1882"/>
      <c r="AC77" s="17"/>
      <c r="AD77" s="118"/>
      <c r="AF77" s="519" t="s">
        <v>27842</v>
      </c>
      <c r="AG77" s="195"/>
      <c r="AH77" s="195"/>
      <c r="AI77" t="s">
        <v>203</v>
      </c>
      <c r="AJ77" s="333" t="str">
        <f>AJ53</f>
        <v/>
      </c>
      <c r="AK77" s="120" t="str">
        <f>AK53</f>
        <v/>
      </c>
      <c r="AL77" s="121"/>
      <c r="AM77" s="333" t="str">
        <f>AM53</f>
        <v/>
      </c>
      <c r="AN77" s="120" t="str">
        <f>AN53</f>
        <v/>
      </c>
      <c r="AO77" s="121"/>
      <c r="AQ77" s="118"/>
      <c r="AT77" s="1886" t="str">
        <f>IF(AND($I$8=1,ABS(SUM('6c_Health_part_time'!D71:E71))&lt;ABS('6c_Health_part_time'!F71)),E$14&amp;", "&amp;$A77&amp;", "&amp;$B77&amp;", "&amp;$C77&amp;"; ","")</f>
        <v/>
      </c>
      <c r="AW77" s="1886" t="str">
        <f>IF(AND($I$8=1,ABS(SUM('6c_Health_part_time'!G71:H71))&lt;ABS('6c_Health_part_time'!I71)),H$14&amp;", "&amp;$A77&amp;", "&amp;$B77&amp;", "&amp;$C77&amp;"; ","")</f>
        <v/>
      </c>
      <c r="AY77" s="118"/>
      <c r="BG77" s="130"/>
      <c r="BH77" s="1879" t="str">
        <f>IF(AND($P$8=1,$B77="Long length",'6c_Health_part_time'!D71&lt;&gt;0),E$15&amp;", "&amp;$A77&amp;", "&amp;$B77&amp;", "&amp;$C77&amp;"; ","")</f>
        <v/>
      </c>
      <c r="BI77" s="1653" t="str">
        <f>IF(AND($P$8=1,$B77="Long length",'6c_Health_part_time'!E71&lt;&gt;0),F$15&amp;", "&amp;$A77&amp;", "&amp;$B77&amp;", "&amp;$C77&amp;"; ","")</f>
        <v/>
      </c>
      <c r="BJ77" s="1653" t="str">
        <f>IF(AND($P$8=1,$B77="Long length",'6c_Health_part_time'!F71&lt;&gt;0),G$15&amp;", "&amp;$A77&amp;", "&amp;$B77&amp;", "&amp;$C77&amp;"; ","")</f>
        <v/>
      </c>
      <c r="BK77" s="1879" t="str">
        <f>IF(AND($P$8=1,$B77="Long length",'6c_Health_part_time'!G71&lt;&gt;0),H$15&amp;", "&amp;$A77&amp;", "&amp;$B77&amp;", "&amp;$C77&amp;"; ","")</f>
        <v/>
      </c>
      <c r="BL77" s="1653" t="str">
        <f>IF(AND($P$8=1,$B77="Long length",'6c_Health_part_time'!H71&lt;&gt;0),I$15&amp;", "&amp;$A77&amp;", "&amp;$B77&amp;", "&amp;$C77&amp;"; ","")</f>
        <v/>
      </c>
      <c r="BM77" s="1653" t="str">
        <f>IF(AND($P$8=1,$B77="Long length",'6c_Health_part_time'!I71&lt;&gt;0),J$15&amp;", "&amp;$A77&amp;", "&amp;$B77&amp;", "&amp;$C77&amp;"; ","")</f>
        <v/>
      </c>
      <c r="BO77" s="130"/>
    </row>
    <row r="78" spans="1:67" ht="13.15" x14ac:dyDescent="0.35">
      <c r="A78" t="s">
        <v>27910</v>
      </c>
      <c r="B78" t="s">
        <v>27888</v>
      </c>
      <c r="C78" t="s">
        <v>27891</v>
      </c>
      <c r="D78" s="118"/>
      <c r="E78" s="109" t="str">
        <f>IF(AND($D$8=1,'6c_Health_part_time'!D72&lt;0),E$14&amp;", "&amp;E$15&amp;", "&amp;$A78&amp;", "&amp;$B78&amp;", "&amp;$C78&amp;"; ","")</f>
        <v/>
      </c>
      <c r="F78" s="108" t="str">
        <f>IF(AND($D$8=1,'6c_Health_part_time'!E72&lt;0),F$14&amp;", "&amp;F$15&amp;", "&amp;$A78&amp;", "&amp;$B78&amp;", "&amp;$C78&amp;"; ","")</f>
        <v/>
      </c>
      <c r="G78" s="108" t="str">
        <f>IF(AND($D$8=1,'6c_Health_part_time'!F72&lt;0),G$14&amp;", "&amp;G$15&amp;", "&amp;$A78&amp;", "&amp;$B78&amp;", "&amp;$C78&amp;"; ","")</f>
        <v/>
      </c>
      <c r="H78" s="109" t="str">
        <f>IF(AND($D$8=1,'6c_Health_part_time'!G72&lt;0),H$14&amp;", "&amp;H$15&amp;", "&amp;$A78&amp;", "&amp;$B78&amp;", "&amp;$C78&amp;"; ","")</f>
        <v/>
      </c>
      <c r="I78" s="108" t="str">
        <f>IF(AND($D$8=1,'6c_Health_part_time'!H72&lt;0),I$14&amp;", "&amp;I$15&amp;", "&amp;$A78&amp;", "&amp;$B78&amp;", "&amp;$C78&amp;"; ","")</f>
        <v/>
      </c>
      <c r="J78" s="108" t="str">
        <f>IF(AND($D$8=1,'6c_Health_part_time'!I72&lt;0),J$14&amp;", "&amp;J$15&amp;", "&amp;$A78&amp;", "&amp;$B78&amp;", "&amp;$C78&amp;"; ","")</f>
        <v/>
      </c>
      <c r="L78" s="118"/>
      <c r="N78" s="109" t="str">
        <f>IF(AND($E$8=1,ABS('6c_Health_part_time'!D72)&lt;&gt;INT(ABS('6c_Health_part_time'!D72))),E$14&amp;", "&amp;E$15&amp;", "&amp;$A78&amp;", "&amp;$B78&amp;", "&amp;$C78&amp;"; ","")</f>
        <v/>
      </c>
      <c r="O78" s="108" t="str">
        <f>IF(AND($E$8=1,ABS('6c_Health_part_time'!E72)&lt;&gt;INT(ABS('6c_Health_part_time'!E72))),F$14&amp;", "&amp;F$15&amp;", "&amp;$A78&amp;", "&amp;$B78&amp;", "&amp;$C78&amp;"; ","")</f>
        <v/>
      </c>
      <c r="P78" s="108" t="str">
        <f>IF(AND($E$8=1,ABS('6c_Health_part_time'!F72)&lt;&gt;INT(ABS('6c_Health_part_time'!F72))),G$14&amp;", "&amp;G$15&amp;", "&amp;$A78&amp;", "&amp;$B78&amp;", "&amp;$C78&amp;"; ","")</f>
        <v/>
      </c>
      <c r="Q78" s="109" t="str">
        <f>IF(AND($E$8=1,ABS('6c_Health_part_time'!G72)&lt;&gt;INT(ABS('6c_Health_part_time'!G72))),H$14&amp;", "&amp;H$15&amp;", "&amp;$A78&amp;", "&amp;$B78&amp;", "&amp;$C78&amp;"; ","")</f>
        <v/>
      </c>
      <c r="R78" s="108" t="str">
        <f>IF(AND($E$8=1,ABS('6c_Health_part_time'!H72)&lt;&gt;INT(ABS('6c_Health_part_time'!H72))),I$14&amp;", "&amp;I$15&amp;", "&amp;$A78&amp;", "&amp;$B78&amp;", "&amp;$C78&amp;"; ","")</f>
        <v/>
      </c>
      <c r="S78" s="108" t="str">
        <f>IF(AND($E$8=1,ABS('6c_Health_part_time'!I72)&lt;&gt;INT(ABS('6c_Health_part_time'!I72))),J$14&amp;", "&amp;J$15&amp;", "&amp;$A78&amp;", "&amp;$B78&amp;", "&amp;$C78&amp;"; ","")</f>
        <v/>
      </c>
      <c r="U78" s="118"/>
      <c r="W78" s="113"/>
      <c r="X78" s="112"/>
      <c r="Y78" s="112"/>
      <c r="Z78" s="113"/>
      <c r="AA78" s="112"/>
      <c r="AB78" s="481"/>
      <c r="AC78" s="17"/>
      <c r="AD78" s="118"/>
      <c r="AF78" s="519" t="s">
        <v>27842</v>
      </c>
      <c r="AI78" t="s">
        <v>203</v>
      </c>
      <c r="AJ78" s="338"/>
      <c r="AK78" s="121"/>
      <c r="AL78" s="121"/>
      <c r="AM78" s="338"/>
      <c r="AN78" s="121"/>
      <c r="AO78" s="121"/>
      <c r="AQ78" s="118"/>
      <c r="AT78" s="562" t="str">
        <f>IF(AND($I$8=1,ABS(SUM('6c_Health_part_time'!D72:E72))&lt;ABS('6c_Health_part_time'!F72)),E$14&amp;", "&amp;$A78&amp;", "&amp;$B78&amp;", "&amp;$C78&amp;"; ","")</f>
        <v/>
      </c>
      <c r="AW78" s="562" t="str">
        <f>IF(AND($I$8=1,ABS(SUM('6c_Health_part_time'!G72:H72))&lt;ABS('6c_Health_part_time'!I72)),H$14&amp;", "&amp;$A78&amp;", "&amp;$B78&amp;", "&amp;$C78&amp;"; ","")</f>
        <v/>
      </c>
      <c r="AY78" s="118"/>
      <c r="BG78" s="130"/>
      <c r="BH78" s="333" t="str">
        <f>IF(AND($P$8=1,$B78="Long length",'6c_Health_part_time'!D72&lt;&gt;0),E$15&amp;", "&amp;$A78&amp;", "&amp;$B78&amp;", "&amp;$C78&amp;"; ","")</f>
        <v/>
      </c>
      <c r="BI78" s="335" t="str">
        <f>IF(AND($P$8=1,$B78="Long length",'6c_Health_part_time'!E72&lt;&gt;0),F$15&amp;", "&amp;$A78&amp;", "&amp;$B78&amp;", "&amp;$C78&amp;"; ","")</f>
        <v/>
      </c>
      <c r="BJ78" s="335" t="str">
        <f>IF(AND($P$8=1,$B78="Long length",'6c_Health_part_time'!F72&lt;&gt;0),G$15&amp;", "&amp;$A78&amp;", "&amp;$B78&amp;", "&amp;$C78&amp;"; ","")</f>
        <v/>
      </c>
      <c r="BK78" s="333" t="str">
        <f>IF(AND($P$8=1,$B78="Long length",'6c_Health_part_time'!G72&lt;&gt;0),H$15&amp;", "&amp;$A78&amp;", "&amp;$B78&amp;", "&amp;$C78&amp;"; ","")</f>
        <v/>
      </c>
      <c r="BL78" s="335" t="str">
        <f>IF(AND($P$8=1,$B78="Long length",'6c_Health_part_time'!H72&lt;&gt;0),I$15&amp;", "&amp;$A78&amp;", "&amp;$B78&amp;", "&amp;$C78&amp;"; ","")</f>
        <v/>
      </c>
      <c r="BM78" s="335" t="str">
        <f>IF(AND($P$8=1,$B78="Long length",'6c_Health_part_time'!I72&lt;&gt;0),J$15&amp;", "&amp;$A78&amp;", "&amp;$B78&amp;", "&amp;$C78&amp;"; ","")</f>
        <v/>
      </c>
      <c r="BO78" s="130"/>
    </row>
    <row r="79" spans="1:67" ht="13.15" x14ac:dyDescent="0.35">
      <c r="A79" t="s">
        <v>27910</v>
      </c>
      <c r="B79" t="s">
        <v>27892</v>
      </c>
      <c r="C79" t="s">
        <v>27889</v>
      </c>
      <c r="D79" s="118"/>
      <c r="E79" s="109" t="str">
        <f>IF(AND($D$8=1,'6c_Health_part_time'!D73&lt;0),E$14&amp;", "&amp;E$15&amp;", "&amp;$A79&amp;", "&amp;$B79&amp;", "&amp;$C79&amp;"; ","")</f>
        <v/>
      </c>
      <c r="F79" s="108" t="str">
        <f>IF(AND($D$8=1,'6c_Health_part_time'!E73&lt;0),F$14&amp;", "&amp;F$15&amp;", "&amp;$A79&amp;", "&amp;$B79&amp;", "&amp;$C79&amp;"; ","")</f>
        <v/>
      </c>
      <c r="G79" s="108" t="str">
        <f>IF(AND($D$8=1,'6c_Health_part_time'!F73&lt;0),G$14&amp;", "&amp;G$15&amp;", "&amp;$A79&amp;", "&amp;$B79&amp;", "&amp;$C79&amp;"; ","")</f>
        <v/>
      </c>
      <c r="H79" s="109" t="str">
        <f>IF(AND($D$8=1,'6c_Health_part_time'!G73&lt;0),H$14&amp;", "&amp;H$15&amp;", "&amp;$A79&amp;", "&amp;$B79&amp;", "&amp;$C79&amp;"; ","")</f>
        <v/>
      </c>
      <c r="I79" s="108" t="str">
        <f>IF(AND($D$8=1,'6c_Health_part_time'!H73&lt;0),I$14&amp;", "&amp;I$15&amp;", "&amp;$A79&amp;", "&amp;$B79&amp;", "&amp;$C79&amp;"; ","")</f>
        <v/>
      </c>
      <c r="J79" s="108" t="str">
        <f>IF(AND($D$8=1,'6c_Health_part_time'!I73&lt;0),J$14&amp;", "&amp;J$15&amp;", "&amp;$A79&amp;", "&amp;$B79&amp;", "&amp;$C79&amp;"; ","")</f>
        <v/>
      </c>
      <c r="L79" s="118"/>
      <c r="N79" s="109" t="str">
        <f>IF(AND($E$8=1,ABS('6c_Health_part_time'!D73)&lt;&gt;INT(ABS('6c_Health_part_time'!D73))),E$14&amp;", "&amp;E$15&amp;", "&amp;$A79&amp;", "&amp;$B79&amp;", "&amp;$C79&amp;"; ","")</f>
        <v/>
      </c>
      <c r="O79" s="108" t="str">
        <f>IF(AND($E$8=1,ABS('6c_Health_part_time'!E73)&lt;&gt;INT(ABS('6c_Health_part_time'!E73))),F$14&amp;", "&amp;F$15&amp;", "&amp;$A79&amp;", "&amp;$B79&amp;", "&amp;$C79&amp;"; ","")</f>
        <v/>
      </c>
      <c r="P79" s="108" t="str">
        <f>IF(AND($E$8=1,ABS('6c_Health_part_time'!F73)&lt;&gt;INT(ABS('6c_Health_part_time'!F73))),G$14&amp;", "&amp;G$15&amp;", "&amp;$A79&amp;", "&amp;$B79&amp;", "&amp;$C79&amp;"; ","")</f>
        <v/>
      </c>
      <c r="Q79" s="109" t="str">
        <f>IF(AND($E$8=1,ABS('6c_Health_part_time'!G73)&lt;&gt;INT(ABS('6c_Health_part_time'!G73))),H$14&amp;", "&amp;H$15&amp;", "&amp;$A79&amp;", "&amp;$B79&amp;", "&amp;$C79&amp;"; ","")</f>
        <v/>
      </c>
      <c r="R79" s="108" t="str">
        <f>IF(AND($E$8=1,ABS('6c_Health_part_time'!H73)&lt;&gt;INT(ABS('6c_Health_part_time'!H73))),I$14&amp;", "&amp;I$15&amp;", "&amp;$A79&amp;", "&amp;$B79&amp;", "&amp;$C79&amp;"; ","")</f>
        <v/>
      </c>
      <c r="S79" s="108" t="str">
        <f>IF(AND($E$8=1,ABS('6c_Health_part_time'!I73)&lt;&gt;INT(ABS('6c_Health_part_time'!I73))),J$14&amp;", "&amp;J$15&amp;", "&amp;$A79&amp;", "&amp;$B79&amp;", "&amp;$C79&amp;"; ","")</f>
        <v/>
      </c>
      <c r="U79" s="118"/>
      <c r="W79" s="113"/>
      <c r="X79" s="112"/>
      <c r="Y79" s="112"/>
      <c r="Z79" s="113"/>
      <c r="AA79" s="112"/>
      <c r="AB79" s="481"/>
      <c r="AC79" s="17"/>
      <c r="AD79" s="118"/>
      <c r="AF79" s="1375" t="s">
        <v>27844</v>
      </c>
      <c r="AI79" t="s">
        <v>203</v>
      </c>
      <c r="AJ79" s="1879" t="str">
        <f>AJ51</f>
        <v/>
      </c>
      <c r="AK79" s="1892" t="str">
        <f>AK75</f>
        <v/>
      </c>
      <c r="AL79" s="1884"/>
      <c r="AM79" s="1879" t="str">
        <f t="shared" ref="AM79:AN81" si="14">AM75</f>
        <v/>
      </c>
      <c r="AN79" s="1892" t="str">
        <f t="shared" si="14"/>
        <v/>
      </c>
      <c r="AO79" s="1884"/>
      <c r="AQ79" s="118"/>
      <c r="AT79" s="562" t="str">
        <f>IF(AND($I$8=1,ABS(SUM('6c_Health_part_time'!D73:E73))&lt;ABS('6c_Health_part_time'!F73)),E$14&amp;", "&amp;$A79&amp;", "&amp;$B79&amp;", "&amp;$C79&amp;"; ","")</f>
        <v/>
      </c>
      <c r="AW79" s="562" t="str">
        <f>IF(AND($I$8=1,ABS(SUM('6c_Health_part_time'!G73:H73))&lt;ABS('6c_Health_part_time'!I73)),H$14&amp;", "&amp;$A79&amp;", "&amp;$B79&amp;", "&amp;$C79&amp;"; ","")</f>
        <v/>
      </c>
      <c r="AY79" s="118"/>
      <c r="BG79" s="130"/>
      <c r="BH79" s="333" t="str">
        <f>IF(AND($P$8=1,$B79="Long length",'6c_Health_part_time'!D73&lt;&gt;0),E$15&amp;", "&amp;$A79&amp;", "&amp;$B79&amp;", "&amp;$C79&amp;"; ","")</f>
        <v/>
      </c>
      <c r="BI79" s="108" t="str">
        <f>IF(AND($P$8=1,$B79="Long length",'6c_Health_part_time'!E73&lt;&gt;0),F$15&amp;", "&amp;$A79&amp;", "&amp;$B79&amp;", "&amp;$C79&amp;"; ","")</f>
        <v/>
      </c>
      <c r="BJ79" s="108" t="str">
        <f>IF(AND($P$8=1,$B79="Long length",'6c_Health_part_time'!F73&lt;&gt;0),G$15&amp;", "&amp;$A79&amp;", "&amp;$B79&amp;", "&amp;$C79&amp;"; ","")</f>
        <v/>
      </c>
      <c r="BK79" s="333" t="str">
        <f>IF(AND($P$8=1,$B79="Long length",'6c_Health_part_time'!G73&lt;&gt;0),H$15&amp;", "&amp;$A79&amp;", "&amp;$B79&amp;", "&amp;$C79&amp;"; ","")</f>
        <v/>
      </c>
      <c r="BL79" s="108" t="str">
        <f>IF(AND($P$8=1,$B79="Long length",'6c_Health_part_time'!H73&lt;&gt;0),I$15&amp;", "&amp;$A79&amp;", "&amp;$B79&amp;", "&amp;$C79&amp;"; ","")</f>
        <v/>
      </c>
      <c r="BM79" s="108" t="str">
        <f>IF(AND($P$8=1,$B79="Long length",'6c_Health_part_time'!I73&lt;&gt;0),J$15&amp;", "&amp;$A79&amp;", "&amp;$B79&amp;", "&amp;$C79&amp;"; ","")</f>
        <v/>
      </c>
      <c r="BO79" s="130"/>
    </row>
    <row r="80" spans="1:67" ht="13.15" x14ac:dyDescent="0.35">
      <c r="A80" t="s">
        <v>27910</v>
      </c>
      <c r="B80" t="s">
        <v>27892</v>
      </c>
      <c r="C80" t="s">
        <v>27891</v>
      </c>
      <c r="D80" s="118"/>
      <c r="E80" s="109" t="str">
        <f>IF(AND($D$8=1,'6c_Health_part_time'!D74&lt;0),E$14&amp;", "&amp;E$15&amp;", "&amp;$A80&amp;", "&amp;$B80&amp;", "&amp;$C80&amp;"; ","")</f>
        <v/>
      </c>
      <c r="F80" s="108" t="str">
        <f>IF(AND($D$8=1,'6c_Health_part_time'!E74&lt;0),F$14&amp;", "&amp;F$15&amp;", "&amp;$A80&amp;", "&amp;$B80&amp;", "&amp;$C80&amp;"; ","")</f>
        <v/>
      </c>
      <c r="G80" s="108" t="str">
        <f>IF(AND($D$8=1,'6c_Health_part_time'!F74&lt;0),G$14&amp;", "&amp;G$15&amp;", "&amp;$A80&amp;", "&amp;$B80&amp;", "&amp;$C80&amp;"; ","")</f>
        <v/>
      </c>
      <c r="H80" s="109" t="str">
        <f>IF(AND($D$8=1,'6c_Health_part_time'!G74&lt;0),H$14&amp;", "&amp;H$15&amp;", "&amp;$A80&amp;", "&amp;$B80&amp;", "&amp;$C80&amp;"; ","")</f>
        <v/>
      </c>
      <c r="I80" s="108" t="str">
        <f>IF(AND($D$8=1,'6c_Health_part_time'!H74&lt;0),I$14&amp;", "&amp;I$15&amp;", "&amp;$A80&amp;", "&amp;$B80&amp;", "&amp;$C80&amp;"; ","")</f>
        <v/>
      </c>
      <c r="J80" s="108" t="str">
        <f>IF(AND($D$8=1,'6c_Health_part_time'!I74&lt;0),J$14&amp;", "&amp;J$15&amp;", "&amp;$A80&amp;", "&amp;$B80&amp;", "&amp;$C80&amp;"; ","")</f>
        <v/>
      </c>
      <c r="L80" s="118"/>
      <c r="N80" s="109" t="str">
        <f>IF(AND($E$8=1,ABS('6c_Health_part_time'!D74)&lt;&gt;INT(ABS('6c_Health_part_time'!D74))),E$14&amp;", "&amp;E$15&amp;", "&amp;$A80&amp;", "&amp;$B80&amp;", "&amp;$C80&amp;"; ","")</f>
        <v/>
      </c>
      <c r="O80" s="108" t="str">
        <f>IF(AND($E$8=1,ABS('6c_Health_part_time'!E74)&lt;&gt;INT(ABS('6c_Health_part_time'!E74))),F$14&amp;", "&amp;F$15&amp;", "&amp;$A80&amp;", "&amp;$B80&amp;", "&amp;$C80&amp;"; ","")</f>
        <v/>
      </c>
      <c r="P80" s="108" t="str">
        <f>IF(AND($E$8=1,ABS('6c_Health_part_time'!F74)&lt;&gt;INT(ABS('6c_Health_part_time'!F74))),G$14&amp;", "&amp;G$15&amp;", "&amp;$A80&amp;", "&amp;$B80&amp;", "&amp;$C80&amp;"; ","")</f>
        <v/>
      </c>
      <c r="Q80" s="109" t="str">
        <f>IF(AND($E$8=1,ABS('6c_Health_part_time'!G74)&lt;&gt;INT(ABS('6c_Health_part_time'!G74))),H$14&amp;", "&amp;H$15&amp;", "&amp;$A80&amp;", "&amp;$B80&amp;", "&amp;$C80&amp;"; ","")</f>
        <v/>
      </c>
      <c r="R80" s="108" t="str">
        <f>IF(AND($E$8=1,ABS('6c_Health_part_time'!H74)&lt;&gt;INT(ABS('6c_Health_part_time'!H74))),I$14&amp;", "&amp;I$15&amp;", "&amp;$A80&amp;", "&amp;$B80&amp;", "&amp;$C80&amp;"; ","")</f>
        <v/>
      </c>
      <c r="S80" s="108" t="str">
        <f>IF(AND($E$8=1,ABS('6c_Health_part_time'!I74)&lt;&gt;INT(ABS('6c_Health_part_time'!I74))),J$14&amp;", "&amp;J$15&amp;", "&amp;$A80&amp;", "&amp;$B80&amp;", "&amp;$C80&amp;"; ","")</f>
        <v/>
      </c>
      <c r="U80" s="118"/>
      <c r="W80" s="113"/>
      <c r="X80" s="112"/>
      <c r="Y80" s="112"/>
      <c r="Z80" s="113"/>
      <c r="AA80" s="112"/>
      <c r="AB80" s="481"/>
      <c r="AC80" s="17"/>
      <c r="AD80" s="118"/>
      <c r="AF80" s="519" t="s">
        <v>27844</v>
      </c>
      <c r="AI80" t="s">
        <v>203</v>
      </c>
      <c r="AJ80" s="338"/>
      <c r="AK80" s="121"/>
      <c r="AL80" s="121"/>
      <c r="AM80" s="338"/>
      <c r="AN80" s="121"/>
      <c r="AO80" s="121"/>
      <c r="AQ80" s="118"/>
      <c r="AT80" s="562" t="str">
        <f>IF(AND($I$8=1,ABS(SUM('6c_Health_part_time'!D74:E74))&lt;ABS('6c_Health_part_time'!F74)),E$14&amp;", "&amp;$A80&amp;", "&amp;$B80&amp;", "&amp;$C80&amp;"; ","")</f>
        <v/>
      </c>
      <c r="AW80" s="562" t="str">
        <f>IF(AND($I$8=1,ABS(SUM('6c_Health_part_time'!G74:H74))&lt;ABS('6c_Health_part_time'!I74)),H$14&amp;", "&amp;$A80&amp;", "&amp;$B80&amp;", "&amp;$C80&amp;"; ","")</f>
        <v/>
      </c>
      <c r="AY80" s="118"/>
      <c r="BG80" s="130"/>
      <c r="BH80" s="333" t="str">
        <f>IF(AND($P$8=1,$B80="Long length",'6c_Health_part_time'!D74&lt;&gt;0),E$15&amp;", "&amp;$A80&amp;", "&amp;$B80&amp;", "&amp;$C80&amp;"; ","")</f>
        <v/>
      </c>
      <c r="BI80" s="108" t="str">
        <f>IF(AND($P$8=1,$B80="Long length",'6c_Health_part_time'!E74&lt;&gt;0),F$15&amp;", "&amp;$A80&amp;", "&amp;$B80&amp;", "&amp;$C80&amp;"; ","")</f>
        <v/>
      </c>
      <c r="BJ80" s="108" t="str">
        <f>IF(AND($P$8=1,$B80="Long length",'6c_Health_part_time'!F74&lt;&gt;0),G$15&amp;", "&amp;$A80&amp;", "&amp;$B80&amp;", "&amp;$C80&amp;"; ","")</f>
        <v/>
      </c>
      <c r="BK80" s="333" t="str">
        <f>IF(AND($P$8=1,$B80="Long length",'6c_Health_part_time'!G74&lt;&gt;0),H$15&amp;", "&amp;$A80&amp;", "&amp;$B80&amp;", "&amp;$C80&amp;"; ","")</f>
        <v/>
      </c>
      <c r="BL80" s="108" t="str">
        <f>IF(AND($P$8=1,$B80="Long length",'6c_Health_part_time'!H74&lt;&gt;0),I$15&amp;", "&amp;$A80&amp;", "&amp;$B80&amp;", "&amp;$C80&amp;"; ","")</f>
        <v/>
      </c>
      <c r="BM80" s="108" t="str">
        <f>IF(AND($P$8=1,$B80="Long length",'6c_Health_part_time'!I74&lt;&gt;0),J$15&amp;", "&amp;$A80&amp;", "&amp;$B80&amp;", "&amp;$C80&amp;"; ","")</f>
        <v/>
      </c>
      <c r="BO80" s="130"/>
    </row>
    <row r="81" spans="1:67" ht="13.15" x14ac:dyDescent="0.35">
      <c r="A81" t="s">
        <v>27911</v>
      </c>
      <c r="B81" t="s">
        <v>27888</v>
      </c>
      <c r="C81" t="s">
        <v>27889</v>
      </c>
      <c r="D81" s="118"/>
      <c r="E81" s="1885" t="str">
        <f>IF(AND($D$8=1,'6c_Health_part_time'!D75&lt;0),E$14&amp;", "&amp;E$15&amp;", "&amp;$A81&amp;", "&amp;$B81&amp;", "&amp;$C81&amp;"; ","")</f>
        <v/>
      </c>
      <c r="F81" s="1653" t="str">
        <f>IF(AND($D$8=1,'6c_Health_part_time'!E75&lt;0),F$14&amp;", "&amp;F$15&amp;", "&amp;$A81&amp;", "&amp;$B81&amp;", "&amp;$C81&amp;"; ","")</f>
        <v/>
      </c>
      <c r="G81" s="1653" t="str">
        <f>IF(AND($D$8=1,'6c_Health_part_time'!F75&lt;0),G$14&amp;", "&amp;G$15&amp;", "&amp;$A81&amp;", "&amp;$B81&amp;", "&amp;$C81&amp;"; ","")</f>
        <v/>
      </c>
      <c r="H81" s="1885" t="str">
        <f>IF(AND($D$8=1,'6c_Health_part_time'!G75&lt;0),H$14&amp;", "&amp;H$15&amp;", "&amp;$A81&amp;", "&amp;$B81&amp;", "&amp;$C81&amp;"; ","")</f>
        <v/>
      </c>
      <c r="I81" s="1653" t="str">
        <f>IF(AND($D$8=1,'6c_Health_part_time'!H75&lt;0),I$14&amp;", "&amp;I$15&amp;", "&amp;$A81&amp;", "&amp;$B81&amp;", "&amp;$C81&amp;"; ","")</f>
        <v/>
      </c>
      <c r="J81" s="1653" t="str">
        <f>IF(AND($D$8=1,'6c_Health_part_time'!I75&lt;0),J$14&amp;", "&amp;J$15&amp;", "&amp;$A81&amp;", "&amp;$B81&amp;", "&amp;$C81&amp;"; ","")</f>
        <v/>
      </c>
      <c r="L81" s="118"/>
      <c r="N81" s="1885" t="str">
        <f>IF(AND($E$8=1,ABS('6c_Health_part_time'!D75)&lt;&gt;INT(ABS('6c_Health_part_time'!D75))),E$14&amp;", "&amp;E$15&amp;", "&amp;$A81&amp;", "&amp;$B81&amp;", "&amp;$C81&amp;"; ","")</f>
        <v/>
      </c>
      <c r="O81" s="1653" t="str">
        <f>IF(AND($E$8=1,ABS('6c_Health_part_time'!E75)&lt;&gt;INT(ABS('6c_Health_part_time'!E75))),F$14&amp;", "&amp;F$15&amp;", "&amp;$A81&amp;", "&amp;$B81&amp;", "&amp;$C81&amp;"; ","")</f>
        <v/>
      </c>
      <c r="P81" s="1653" t="str">
        <f>IF(AND($E$8=1,ABS('6c_Health_part_time'!F75)&lt;&gt;INT(ABS('6c_Health_part_time'!F75))),G$14&amp;", "&amp;G$15&amp;", "&amp;$A81&amp;", "&amp;$B81&amp;", "&amp;$C81&amp;"; ","")</f>
        <v/>
      </c>
      <c r="Q81" s="1885" t="str">
        <f>IF(AND($E$8=1,ABS('6c_Health_part_time'!G75)&lt;&gt;INT(ABS('6c_Health_part_time'!G75))),H$14&amp;", "&amp;H$15&amp;", "&amp;$A81&amp;", "&amp;$B81&amp;", "&amp;$C81&amp;"; ","")</f>
        <v/>
      </c>
      <c r="R81" s="1653" t="str">
        <f>IF(AND($E$8=1,ABS('6c_Health_part_time'!H75)&lt;&gt;INT(ABS('6c_Health_part_time'!H75))),I$14&amp;", "&amp;I$15&amp;", "&amp;$A81&amp;", "&amp;$B81&amp;", "&amp;$C81&amp;"; ","")</f>
        <v/>
      </c>
      <c r="S81" s="1653" t="str">
        <f>IF(AND($E$8=1,ABS('6c_Health_part_time'!I75)&lt;&gt;INT(ABS('6c_Health_part_time'!I75))),J$14&amp;", "&amp;J$15&amp;", "&amp;$A81&amp;", "&amp;$B81&amp;", "&amp;$C81&amp;"; ","")</f>
        <v/>
      </c>
      <c r="U81" s="118"/>
      <c r="W81" s="1911"/>
      <c r="X81" s="1654"/>
      <c r="Y81" s="1654"/>
      <c r="Z81" s="1911"/>
      <c r="AA81" s="1654"/>
      <c r="AB81" s="1882"/>
      <c r="AC81" s="17"/>
      <c r="AD81" s="118"/>
      <c r="AF81" s="519" t="s">
        <v>27844</v>
      </c>
      <c r="AI81" t="s">
        <v>203</v>
      </c>
      <c r="AJ81" s="333" t="str">
        <f>AJ53</f>
        <v/>
      </c>
      <c r="AK81" s="120" t="str">
        <f>AK77</f>
        <v/>
      </c>
      <c r="AL81" s="121"/>
      <c r="AM81" s="333" t="str">
        <f t="shared" si="14"/>
        <v/>
      </c>
      <c r="AN81" s="120" t="str">
        <f t="shared" si="14"/>
        <v/>
      </c>
      <c r="AO81" s="121"/>
      <c r="AQ81" s="118"/>
      <c r="AT81" s="1886" t="str">
        <f>IF(AND($I$8=1,ABS(SUM('6c_Health_part_time'!D75:E75))&lt;ABS('6c_Health_part_time'!F75)),E$14&amp;", "&amp;$A81&amp;", "&amp;$B81&amp;", "&amp;$C81&amp;"; ","")</f>
        <v/>
      </c>
      <c r="AW81" s="1886" t="str">
        <f>IF(AND($I$8=1,ABS(SUM('6c_Health_part_time'!G75:H75))&lt;ABS('6c_Health_part_time'!I75)),H$14&amp;", "&amp;$A81&amp;", "&amp;$B81&amp;", "&amp;$C81&amp;"; ","")</f>
        <v/>
      </c>
      <c r="AY81" s="118"/>
      <c r="BG81" s="130"/>
      <c r="BH81" s="1879" t="str">
        <f>IF(AND($P$8=1,$B81="Long length",'6c_Health_part_time'!D75&lt;&gt;0),E$15&amp;", "&amp;$A81&amp;", "&amp;$B81&amp;", "&amp;$C81&amp;"; ","")</f>
        <v/>
      </c>
      <c r="BI81" s="1653" t="str">
        <f>IF(AND($P$8=1,$B81="Long length",'6c_Health_part_time'!E75&lt;&gt;0),F$15&amp;", "&amp;$A81&amp;", "&amp;$B81&amp;", "&amp;$C81&amp;"; ","")</f>
        <v/>
      </c>
      <c r="BJ81" s="1653" t="str">
        <f>IF(AND($P$8=1,$B81="Long length",'6c_Health_part_time'!F75&lt;&gt;0),G$15&amp;", "&amp;$A81&amp;", "&amp;$B81&amp;", "&amp;$C81&amp;"; ","")</f>
        <v/>
      </c>
      <c r="BK81" s="1879" t="str">
        <f>IF(AND($P$8=1,$B81="Long length",'6c_Health_part_time'!G75&lt;&gt;0),H$15&amp;", "&amp;$A81&amp;", "&amp;$B81&amp;", "&amp;$C81&amp;"; ","")</f>
        <v/>
      </c>
      <c r="BL81" s="1653" t="str">
        <f>IF(AND($P$8=1,$B81="Long length",'6c_Health_part_time'!H75&lt;&gt;0),I$15&amp;", "&amp;$A81&amp;", "&amp;$B81&amp;", "&amp;$C81&amp;"; ","")</f>
        <v/>
      </c>
      <c r="BM81" s="1653" t="str">
        <f>IF(AND($P$8=1,$B81="Long length",'6c_Health_part_time'!I75&lt;&gt;0),J$15&amp;", "&amp;$A81&amp;", "&amp;$B81&amp;", "&amp;$C81&amp;"; ","")</f>
        <v/>
      </c>
      <c r="BO81" s="130"/>
    </row>
    <row r="82" spans="1:67" ht="13.15" x14ac:dyDescent="0.35">
      <c r="A82" t="s">
        <v>27911</v>
      </c>
      <c r="B82" t="s">
        <v>27888</v>
      </c>
      <c r="C82" t="s">
        <v>27891</v>
      </c>
      <c r="D82" s="118"/>
      <c r="E82" s="109" t="str">
        <f>IF(AND($D$8=1,'6c_Health_part_time'!D76&lt;0),E$14&amp;", "&amp;E$15&amp;", "&amp;$A82&amp;", "&amp;$B82&amp;", "&amp;$C82&amp;"; ","")</f>
        <v/>
      </c>
      <c r="F82" s="108" t="str">
        <f>IF(AND($D$8=1,'6c_Health_part_time'!E76&lt;0),F$14&amp;", "&amp;F$15&amp;", "&amp;$A82&amp;", "&amp;$B82&amp;", "&amp;$C82&amp;"; ","")</f>
        <v/>
      </c>
      <c r="G82" s="108" t="str">
        <f>IF(AND($D$8=1,'6c_Health_part_time'!F76&lt;0),G$14&amp;", "&amp;G$15&amp;", "&amp;$A82&amp;", "&amp;$B82&amp;", "&amp;$C82&amp;"; ","")</f>
        <v/>
      </c>
      <c r="H82" s="109" t="str">
        <f>IF(AND($D$8=1,'6c_Health_part_time'!G76&lt;0),H$14&amp;", "&amp;H$15&amp;", "&amp;$A82&amp;", "&amp;$B82&amp;", "&amp;$C82&amp;"; ","")</f>
        <v/>
      </c>
      <c r="I82" s="108" t="str">
        <f>IF(AND($D$8=1,'6c_Health_part_time'!H76&lt;0),I$14&amp;", "&amp;I$15&amp;", "&amp;$A82&amp;", "&amp;$B82&amp;", "&amp;$C82&amp;"; ","")</f>
        <v/>
      </c>
      <c r="J82" s="108" t="str">
        <f>IF(AND($D$8=1,'6c_Health_part_time'!I76&lt;0),J$14&amp;", "&amp;J$15&amp;", "&amp;$A82&amp;", "&amp;$B82&amp;", "&amp;$C82&amp;"; ","")</f>
        <v/>
      </c>
      <c r="L82" s="118"/>
      <c r="N82" s="109" t="str">
        <f>IF(AND($E$8=1,ABS('6c_Health_part_time'!D76)&lt;&gt;INT(ABS('6c_Health_part_time'!D76))),E$14&amp;", "&amp;E$15&amp;", "&amp;$A82&amp;", "&amp;$B82&amp;", "&amp;$C82&amp;"; ","")</f>
        <v/>
      </c>
      <c r="O82" s="108" t="str">
        <f>IF(AND($E$8=1,ABS('6c_Health_part_time'!E76)&lt;&gt;INT(ABS('6c_Health_part_time'!E76))),F$14&amp;", "&amp;F$15&amp;", "&amp;$A82&amp;", "&amp;$B82&amp;", "&amp;$C82&amp;"; ","")</f>
        <v/>
      </c>
      <c r="P82" s="108" t="str">
        <f>IF(AND($E$8=1,ABS('6c_Health_part_time'!F76)&lt;&gt;INT(ABS('6c_Health_part_time'!F76))),G$14&amp;", "&amp;G$15&amp;", "&amp;$A82&amp;", "&amp;$B82&amp;", "&amp;$C82&amp;"; ","")</f>
        <v/>
      </c>
      <c r="Q82" s="109" t="str">
        <f>IF(AND($E$8=1,ABS('6c_Health_part_time'!G76)&lt;&gt;INT(ABS('6c_Health_part_time'!G76))),H$14&amp;", "&amp;H$15&amp;", "&amp;$A82&amp;", "&amp;$B82&amp;", "&amp;$C82&amp;"; ","")</f>
        <v/>
      </c>
      <c r="R82" s="108" t="str">
        <f>IF(AND($E$8=1,ABS('6c_Health_part_time'!H76)&lt;&gt;INT(ABS('6c_Health_part_time'!H76))),I$14&amp;", "&amp;I$15&amp;", "&amp;$A82&amp;", "&amp;$B82&amp;", "&amp;$C82&amp;"; ","")</f>
        <v/>
      </c>
      <c r="S82" s="108" t="str">
        <f>IF(AND($E$8=1,ABS('6c_Health_part_time'!I76)&lt;&gt;INT(ABS('6c_Health_part_time'!I76))),J$14&amp;", "&amp;J$15&amp;", "&amp;$A82&amp;", "&amp;$B82&amp;", "&amp;$C82&amp;"; ","")</f>
        <v/>
      </c>
      <c r="U82" s="118"/>
      <c r="W82" s="113"/>
      <c r="X82" s="112"/>
      <c r="Y82" s="112"/>
      <c r="Z82" s="113"/>
      <c r="AA82" s="112"/>
      <c r="AB82" s="481"/>
      <c r="AC82" s="17"/>
      <c r="AD82" s="118"/>
      <c r="AF82" s="519" t="s">
        <v>27844</v>
      </c>
      <c r="AI82" t="s">
        <v>203</v>
      </c>
      <c r="AJ82" s="1370"/>
      <c r="AK82" s="123"/>
      <c r="AL82" s="123"/>
      <c r="AM82" s="1370"/>
      <c r="AN82" s="123"/>
      <c r="AO82" s="123"/>
      <c r="AQ82" s="118"/>
      <c r="AT82" s="562" t="str">
        <f>IF(AND($I$8=1,ABS(SUM('6c_Health_part_time'!D76:E76))&lt;ABS('6c_Health_part_time'!F76)),E$14&amp;", "&amp;$A82&amp;", "&amp;$B82&amp;", "&amp;$C82&amp;"; ","")</f>
        <v/>
      </c>
      <c r="AW82" s="562" t="str">
        <f>IF(AND($I$8=1,ABS(SUM('6c_Health_part_time'!G76:H76))&lt;ABS('6c_Health_part_time'!I76)),H$14&amp;", "&amp;$A82&amp;", "&amp;$B82&amp;", "&amp;$C82&amp;"; ","")</f>
        <v/>
      </c>
      <c r="AY82" s="118"/>
      <c r="BG82" s="130"/>
      <c r="BH82" s="333" t="str">
        <f>IF(AND($P$8=1,$B82="Long length",'6c_Health_part_time'!D76&lt;&gt;0),E$15&amp;", "&amp;$A82&amp;", "&amp;$B82&amp;", "&amp;$C82&amp;"; ","")</f>
        <v/>
      </c>
      <c r="BI82" s="108" t="str">
        <f>IF(AND($P$8=1,$B82="Long length",'6c_Health_part_time'!E76&lt;&gt;0),F$15&amp;", "&amp;$A82&amp;", "&amp;$B82&amp;", "&amp;$C82&amp;"; ","")</f>
        <v/>
      </c>
      <c r="BJ82" s="108" t="str">
        <f>IF(AND($P$8=1,$B82="Long length",'6c_Health_part_time'!F76&lt;&gt;0),G$15&amp;", "&amp;$A82&amp;", "&amp;$B82&amp;", "&amp;$C82&amp;"; ","")</f>
        <v/>
      </c>
      <c r="BK82" s="333" t="str">
        <f>IF(AND($P$8=1,$B82="Long length",'6c_Health_part_time'!G76&lt;&gt;0),H$15&amp;", "&amp;$A82&amp;", "&amp;$B82&amp;", "&amp;$C82&amp;"; ","")</f>
        <v/>
      </c>
      <c r="BL82" s="108" t="str">
        <f>IF(AND($P$8=1,$B82="Long length",'6c_Health_part_time'!H76&lt;&gt;0),I$15&amp;", "&amp;$A82&amp;", "&amp;$B82&amp;", "&amp;$C82&amp;"; ","")</f>
        <v/>
      </c>
      <c r="BM82" s="108" t="str">
        <f>IF(AND($P$8=1,$B82="Long length",'6c_Health_part_time'!I76&lt;&gt;0),J$15&amp;", "&amp;$A82&amp;", "&amp;$B82&amp;", "&amp;$C82&amp;"; ","")</f>
        <v/>
      </c>
      <c r="BO82" s="130"/>
    </row>
    <row r="83" spans="1:67" ht="13.15" x14ac:dyDescent="0.35">
      <c r="A83" t="s">
        <v>27911</v>
      </c>
      <c r="B83" t="s">
        <v>27892</v>
      </c>
      <c r="C83" t="s">
        <v>27889</v>
      </c>
      <c r="D83" s="118"/>
      <c r="E83" s="109" t="str">
        <f>IF(AND($D$8=1,'6c_Health_part_time'!D77&lt;0),E$14&amp;", "&amp;E$15&amp;", "&amp;$A83&amp;", "&amp;$B83&amp;", "&amp;$C83&amp;"; ","")</f>
        <v/>
      </c>
      <c r="F83" s="108" t="str">
        <f>IF(AND($D$8=1,'6c_Health_part_time'!E77&lt;0),F$14&amp;", "&amp;F$15&amp;", "&amp;$A83&amp;", "&amp;$B83&amp;", "&amp;$C83&amp;"; ","")</f>
        <v/>
      </c>
      <c r="G83" s="108" t="str">
        <f>IF(AND($D$8=1,'6c_Health_part_time'!F77&lt;0),G$14&amp;", "&amp;G$15&amp;", "&amp;$A83&amp;", "&amp;$B83&amp;", "&amp;$C83&amp;"; ","")</f>
        <v/>
      </c>
      <c r="H83" s="109" t="str">
        <f>IF(AND($D$8=1,'6c_Health_part_time'!G77&lt;0),H$14&amp;", "&amp;H$15&amp;", "&amp;$A83&amp;", "&amp;$B83&amp;", "&amp;$C83&amp;"; ","")</f>
        <v/>
      </c>
      <c r="I83" s="108" t="str">
        <f>IF(AND($D$8=1,'6c_Health_part_time'!H77&lt;0),I$14&amp;", "&amp;I$15&amp;", "&amp;$A83&amp;", "&amp;$B83&amp;", "&amp;$C83&amp;"; ","")</f>
        <v/>
      </c>
      <c r="J83" s="108" t="str">
        <f>IF(AND($D$8=1,'6c_Health_part_time'!I77&lt;0),J$14&amp;", "&amp;J$15&amp;", "&amp;$A83&amp;", "&amp;$B83&amp;", "&amp;$C83&amp;"; ","")</f>
        <v/>
      </c>
      <c r="L83" s="118"/>
      <c r="N83" s="109" t="str">
        <f>IF(AND($E$8=1,ABS('6c_Health_part_time'!D77)&lt;&gt;INT(ABS('6c_Health_part_time'!D77))),E$14&amp;", "&amp;E$15&amp;", "&amp;$A83&amp;", "&amp;$B83&amp;", "&amp;$C83&amp;"; ","")</f>
        <v/>
      </c>
      <c r="O83" s="108" t="str">
        <f>IF(AND($E$8=1,ABS('6c_Health_part_time'!E77)&lt;&gt;INT(ABS('6c_Health_part_time'!E77))),F$14&amp;", "&amp;F$15&amp;", "&amp;$A83&amp;", "&amp;$B83&amp;", "&amp;$C83&amp;"; ","")</f>
        <v/>
      </c>
      <c r="P83" s="108" t="str">
        <f>IF(AND($E$8=1,ABS('6c_Health_part_time'!F77)&lt;&gt;INT(ABS('6c_Health_part_time'!F77))),G$14&amp;", "&amp;G$15&amp;", "&amp;$A83&amp;", "&amp;$B83&amp;", "&amp;$C83&amp;"; ","")</f>
        <v/>
      </c>
      <c r="Q83" s="109" t="str">
        <f>IF(AND($E$8=1,ABS('6c_Health_part_time'!G77)&lt;&gt;INT(ABS('6c_Health_part_time'!G77))),H$14&amp;", "&amp;H$15&amp;", "&amp;$A83&amp;", "&amp;$B83&amp;", "&amp;$C83&amp;"; ","")</f>
        <v/>
      </c>
      <c r="R83" s="108" t="str">
        <f>IF(AND($E$8=1,ABS('6c_Health_part_time'!H77)&lt;&gt;INT(ABS('6c_Health_part_time'!H77))),I$14&amp;", "&amp;I$15&amp;", "&amp;$A83&amp;", "&amp;$B83&amp;", "&amp;$C83&amp;"; ","")</f>
        <v/>
      </c>
      <c r="S83" s="108" t="str">
        <f>IF(AND($E$8=1,ABS('6c_Health_part_time'!I77)&lt;&gt;INT(ABS('6c_Health_part_time'!I77))),J$14&amp;", "&amp;J$15&amp;", "&amp;$A83&amp;", "&amp;$B83&amp;", "&amp;$C83&amp;"; ","")</f>
        <v/>
      </c>
      <c r="U83" s="118"/>
      <c r="W83" s="113"/>
      <c r="X83" s="112"/>
      <c r="Y83" s="112"/>
      <c r="Z83" s="113"/>
      <c r="AA83" s="112"/>
      <c r="AB83" s="481"/>
      <c r="AC83" s="17"/>
      <c r="AD83" s="118"/>
      <c r="AF83" s="1375" t="s">
        <v>27846</v>
      </c>
      <c r="AI83" t="s">
        <v>225</v>
      </c>
      <c r="AJ83" s="333" t="str">
        <f>AJ59</f>
        <v/>
      </c>
      <c r="AK83" s="120" t="str">
        <f t="shared" ref="AK83:AN83" si="15">AK59</f>
        <v/>
      </c>
      <c r="AL83" s="121"/>
      <c r="AM83" s="333" t="str">
        <f t="shared" si="15"/>
        <v/>
      </c>
      <c r="AN83" s="120" t="str">
        <f t="shared" si="15"/>
        <v/>
      </c>
      <c r="AO83" s="121"/>
      <c r="AQ83" s="118"/>
      <c r="AT83" s="562" t="str">
        <f>IF(AND($I$8=1,ABS(SUM('6c_Health_part_time'!D77:E77))&lt;ABS('6c_Health_part_time'!F77)),E$14&amp;", "&amp;$A83&amp;", "&amp;$B83&amp;", "&amp;$C83&amp;"; ","")</f>
        <v/>
      </c>
      <c r="AW83" s="562" t="str">
        <f>IF(AND($I$8=1,ABS(SUM('6c_Health_part_time'!G77:H77))&lt;ABS('6c_Health_part_time'!I77)),H$14&amp;", "&amp;$A83&amp;", "&amp;$B83&amp;", "&amp;$C83&amp;"; ","")</f>
        <v/>
      </c>
      <c r="AY83" s="118"/>
      <c r="BG83" s="130"/>
      <c r="BH83" s="333" t="str">
        <f>IF(AND($P$8=1,$B83="Long length",'6c_Health_part_time'!D77&lt;&gt;0),E$15&amp;", "&amp;$A83&amp;", "&amp;$B83&amp;", "&amp;$C83&amp;"; ","")</f>
        <v/>
      </c>
      <c r="BI83" s="108" t="str">
        <f>IF(AND($P$8=1,$B83="Long length",'6c_Health_part_time'!E77&lt;&gt;0),F$15&amp;", "&amp;$A83&amp;", "&amp;$B83&amp;", "&amp;$C83&amp;"; ","")</f>
        <v/>
      </c>
      <c r="BJ83" s="108" t="str">
        <f>IF(AND($P$8=1,$B83="Long length",'6c_Health_part_time'!F77&lt;&gt;0),G$15&amp;", "&amp;$A83&amp;", "&amp;$B83&amp;", "&amp;$C83&amp;"; ","")</f>
        <v/>
      </c>
      <c r="BK83" s="333" t="str">
        <f>IF(AND($P$8=1,$B83="Long length",'6c_Health_part_time'!G77&lt;&gt;0),H$15&amp;", "&amp;$A83&amp;", "&amp;$B83&amp;", "&amp;$C83&amp;"; ","")</f>
        <v/>
      </c>
      <c r="BL83" s="108" t="str">
        <f>IF(AND($P$8=1,$B83="Long length",'6c_Health_part_time'!H77&lt;&gt;0),I$15&amp;", "&amp;$A83&amp;", "&amp;$B83&amp;", "&amp;$C83&amp;"; ","")</f>
        <v/>
      </c>
      <c r="BM83" s="108" t="str">
        <f>IF(AND($P$8=1,$B83="Long length",'6c_Health_part_time'!I77&lt;&gt;0),J$15&amp;", "&amp;$A83&amp;", "&amp;$B83&amp;", "&amp;$C83&amp;"; ","")</f>
        <v/>
      </c>
      <c r="BO83" s="130"/>
    </row>
    <row r="84" spans="1:67" x14ac:dyDescent="0.35">
      <c r="A84" t="s">
        <v>27911</v>
      </c>
      <c r="B84" t="s">
        <v>27892</v>
      </c>
      <c r="C84" t="s">
        <v>27891</v>
      </c>
      <c r="D84" s="118"/>
      <c r="E84" s="109" t="str">
        <f>IF(AND($D$8=1,'6c_Health_part_time'!D78&lt;0),E$14&amp;", "&amp;E$15&amp;", "&amp;$A84&amp;", "&amp;$B84&amp;", "&amp;$C84&amp;"; ","")</f>
        <v/>
      </c>
      <c r="F84" s="108" t="str">
        <f>IF(AND($D$8=1,'6c_Health_part_time'!E78&lt;0),F$14&amp;", "&amp;F$15&amp;", "&amp;$A84&amp;", "&amp;$B84&amp;", "&amp;$C84&amp;"; ","")</f>
        <v/>
      </c>
      <c r="G84" s="108" t="str">
        <f>IF(AND($D$8=1,'6c_Health_part_time'!F78&lt;0),G$14&amp;", "&amp;G$15&amp;", "&amp;$A84&amp;", "&amp;$B84&amp;", "&amp;$C84&amp;"; ","")</f>
        <v/>
      </c>
      <c r="H84" s="109" t="str">
        <f>IF(AND($D$8=1,'6c_Health_part_time'!G78&lt;0),H$14&amp;", "&amp;H$15&amp;", "&amp;$A84&amp;", "&amp;$B84&amp;", "&amp;$C84&amp;"; ","")</f>
        <v/>
      </c>
      <c r="I84" s="108" t="str">
        <f>IF(AND($D$8=1,'6c_Health_part_time'!H78&lt;0),I$14&amp;", "&amp;I$15&amp;", "&amp;$A84&amp;", "&amp;$B84&amp;", "&amp;$C84&amp;"; ","")</f>
        <v/>
      </c>
      <c r="J84" s="108" t="str">
        <f>IF(AND($D$8=1,'6c_Health_part_time'!I78&lt;0),J$14&amp;", "&amp;J$15&amp;", "&amp;$A84&amp;", "&amp;$B84&amp;", "&amp;$C84&amp;"; ","")</f>
        <v/>
      </c>
      <c r="L84" s="118"/>
      <c r="N84" s="109" t="str">
        <f>IF(AND($E$8=1,ABS('6c_Health_part_time'!D78)&lt;&gt;INT(ABS('6c_Health_part_time'!D78))),E$14&amp;", "&amp;E$15&amp;", "&amp;$A84&amp;", "&amp;$B84&amp;", "&amp;$C84&amp;"; ","")</f>
        <v/>
      </c>
      <c r="O84" s="108" t="str">
        <f>IF(AND($E$8=1,ABS('6c_Health_part_time'!E78)&lt;&gt;INT(ABS('6c_Health_part_time'!E78))),F$14&amp;", "&amp;F$15&amp;", "&amp;$A84&amp;", "&amp;$B84&amp;", "&amp;$C84&amp;"; ","")</f>
        <v/>
      </c>
      <c r="P84" s="108" t="str">
        <f>IF(AND($E$8=1,ABS('6c_Health_part_time'!F78)&lt;&gt;INT(ABS('6c_Health_part_time'!F78))),G$14&amp;", "&amp;G$15&amp;", "&amp;$A84&amp;", "&amp;$B84&amp;", "&amp;$C84&amp;"; ","")</f>
        <v/>
      </c>
      <c r="Q84" s="109" t="str">
        <f>IF(AND($E$8=1,ABS('6c_Health_part_time'!G78)&lt;&gt;INT(ABS('6c_Health_part_time'!G78))),H$14&amp;", "&amp;H$15&amp;", "&amp;$A84&amp;", "&amp;$B84&amp;", "&amp;$C84&amp;"; ","")</f>
        <v/>
      </c>
      <c r="R84" s="108" t="str">
        <f>IF(AND($E$8=1,ABS('6c_Health_part_time'!H78)&lt;&gt;INT(ABS('6c_Health_part_time'!H78))),I$14&amp;", "&amp;I$15&amp;", "&amp;$A84&amp;", "&amp;$B84&amp;", "&amp;$C84&amp;"; ","")</f>
        <v/>
      </c>
      <c r="S84" s="108" t="str">
        <f>IF(AND($E$8=1,ABS('6c_Health_part_time'!I78)&lt;&gt;INT(ABS('6c_Health_part_time'!I78))),J$14&amp;", "&amp;J$15&amp;", "&amp;$A84&amp;", "&amp;$B84&amp;", "&amp;$C84&amp;"; ","")</f>
        <v/>
      </c>
      <c r="U84" s="118"/>
      <c r="W84" s="113"/>
      <c r="X84" s="112"/>
      <c r="Y84" s="112"/>
      <c r="Z84" s="113"/>
      <c r="AA84" s="112"/>
      <c r="AB84" s="481"/>
      <c r="AC84" s="17"/>
      <c r="AD84" s="118"/>
      <c r="AI84" t="s">
        <v>225</v>
      </c>
      <c r="AJ84" s="334" t="str">
        <f>AJ60</f>
        <v/>
      </c>
      <c r="AK84" s="126" t="str">
        <f t="shared" ref="AK84:AN84" si="16">AK60</f>
        <v/>
      </c>
      <c r="AL84" s="123"/>
      <c r="AM84" s="334" t="str">
        <f t="shared" si="16"/>
        <v/>
      </c>
      <c r="AN84" s="126" t="str">
        <f t="shared" si="16"/>
        <v/>
      </c>
      <c r="AO84" s="123"/>
      <c r="AQ84" s="118"/>
      <c r="AT84" s="563" t="str">
        <f>IF(AND($I$8=1,ABS(SUM('6c_Health_part_time'!D78:E78))&lt;ABS('6c_Health_part_time'!F78)),E$14&amp;", "&amp;$A84&amp;", "&amp;$B84&amp;", "&amp;$C84&amp;"; ","")</f>
        <v/>
      </c>
      <c r="AW84" s="563" t="str">
        <f>IF(AND($I$8=1,ABS(SUM('6c_Health_part_time'!G78:H78))&lt;ABS('6c_Health_part_time'!I78)),H$14&amp;", "&amp;$A84&amp;", "&amp;$B84&amp;", "&amp;$C84&amp;"; ","")</f>
        <v/>
      </c>
      <c r="AY84" s="118"/>
      <c r="BG84" s="130"/>
      <c r="BH84" s="333" t="str">
        <f>IF(AND($P$8=1,$B84="Long length",'6c_Health_part_time'!D78&lt;&gt;0),E$15&amp;", "&amp;$A84&amp;", "&amp;$B84&amp;", "&amp;$C84&amp;"; ","")</f>
        <v/>
      </c>
      <c r="BI84" s="108" t="str">
        <f>IF(AND($P$8=1,$B84="Long length",'6c_Health_part_time'!E78&lt;&gt;0),F$15&amp;", "&amp;$A84&amp;", "&amp;$B84&amp;", "&amp;$C84&amp;"; ","")</f>
        <v/>
      </c>
      <c r="BJ84" s="108" t="str">
        <f>IF(AND($P$8=1,$B84="Long length",'6c_Health_part_time'!F78&lt;&gt;0),G$15&amp;", "&amp;$A84&amp;", "&amp;$B84&amp;", "&amp;$C84&amp;"; ","")</f>
        <v/>
      </c>
      <c r="BK84" s="333" t="str">
        <f>IF(AND($P$8=1,$B84="Long length",'6c_Health_part_time'!G78&lt;&gt;0),H$15&amp;", "&amp;$A84&amp;", "&amp;$B84&amp;", "&amp;$C84&amp;"; ","")</f>
        <v/>
      </c>
      <c r="BL84" s="108" t="str">
        <f>IF(AND($P$8=1,$B84="Long length",'6c_Health_part_time'!H78&lt;&gt;0),I$15&amp;", "&amp;$A84&amp;", "&amp;$B84&amp;", "&amp;$C84&amp;"; ","")</f>
        <v/>
      </c>
      <c r="BM84" s="108" t="str">
        <f>IF(AND($P$8=1,$B84="Long length",'6c_Health_part_time'!I78&lt;&gt;0),J$15&amp;", "&amp;$A84&amp;", "&amp;$B84&amp;", "&amp;$C84&amp;"; ","")</f>
        <v/>
      </c>
      <c r="BO84" s="130"/>
    </row>
    <row r="85" spans="1:67" ht="13.15" x14ac:dyDescent="0.35">
      <c r="A85" t="s">
        <v>27912</v>
      </c>
      <c r="B85" t="s">
        <v>27888</v>
      </c>
      <c r="C85" t="s">
        <v>27889</v>
      </c>
      <c r="D85" s="118"/>
      <c r="E85" s="1885" t="str">
        <f>IF(AND($D$8=1,'6c_Health_part_time'!D79&lt;0),E$14&amp;", "&amp;E$15&amp;", "&amp;$A85&amp;", "&amp;$B85&amp;", "&amp;$C85&amp;"; ","")</f>
        <v/>
      </c>
      <c r="F85" s="1653" t="str">
        <f>IF(AND($D$8=1,'6c_Health_part_time'!E79&lt;0),F$14&amp;", "&amp;F$15&amp;", "&amp;$A85&amp;", "&amp;$B85&amp;", "&amp;$C85&amp;"; ","")</f>
        <v/>
      </c>
      <c r="G85" s="1653" t="str">
        <f>IF(AND($D$8=1,'6c_Health_part_time'!F79&lt;0),G$14&amp;", "&amp;G$15&amp;", "&amp;$A85&amp;", "&amp;$B85&amp;", "&amp;$C85&amp;"; ","")</f>
        <v/>
      </c>
      <c r="H85" s="1885" t="str">
        <f>IF(AND($D$8=1,'6c_Health_part_time'!G79&lt;0),H$14&amp;", "&amp;H$15&amp;", "&amp;$A85&amp;", "&amp;$B85&amp;", "&amp;$C85&amp;"; ","")</f>
        <v/>
      </c>
      <c r="I85" s="1653" t="str">
        <f>IF(AND($D$8=1,'6c_Health_part_time'!H79&lt;0),I$14&amp;", "&amp;I$15&amp;", "&amp;$A85&amp;", "&amp;$B85&amp;", "&amp;$C85&amp;"; ","")</f>
        <v/>
      </c>
      <c r="J85" s="1653" t="str">
        <f>IF(AND($D$8=1,'6c_Health_part_time'!I79&lt;0),J$14&amp;", "&amp;J$15&amp;", "&amp;$A85&amp;", "&amp;$B85&amp;", "&amp;$C85&amp;"; ","")</f>
        <v/>
      </c>
      <c r="L85" s="118"/>
      <c r="N85" s="1885" t="str">
        <f>IF(AND($E$8=1,ABS('6c_Health_part_time'!D79)&lt;&gt;INT(ABS('6c_Health_part_time'!D79))),E$14&amp;", "&amp;E$15&amp;", "&amp;$A85&amp;", "&amp;$B85&amp;", "&amp;$C85&amp;"; ","")</f>
        <v/>
      </c>
      <c r="O85" s="1653" t="str">
        <f>IF(AND($E$8=1,ABS('6c_Health_part_time'!E79)&lt;&gt;INT(ABS('6c_Health_part_time'!E79))),F$14&amp;", "&amp;F$15&amp;", "&amp;$A85&amp;", "&amp;$B85&amp;", "&amp;$C85&amp;"; ","")</f>
        <v/>
      </c>
      <c r="P85" s="1653" t="str">
        <f>IF(AND($E$8=1,ABS('6c_Health_part_time'!F79)&lt;&gt;INT(ABS('6c_Health_part_time'!F79))),G$14&amp;", "&amp;G$15&amp;", "&amp;$A85&amp;", "&amp;$B85&amp;", "&amp;$C85&amp;"; ","")</f>
        <v/>
      </c>
      <c r="Q85" s="1885" t="str">
        <f>IF(AND($E$8=1,ABS('6c_Health_part_time'!G79)&lt;&gt;INT(ABS('6c_Health_part_time'!G79))),H$14&amp;", "&amp;H$15&amp;", "&amp;$A85&amp;", "&amp;$B85&amp;", "&amp;$C85&amp;"; ","")</f>
        <v/>
      </c>
      <c r="R85" s="1653" t="str">
        <f>IF(AND($E$8=1,ABS('6c_Health_part_time'!H79)&lt;&gt;INT(ABS('6c_Health_part_time'!H79))),I$14&amp;", "&amp;I$15&amp;", "&amp;$A85&amp;", "&amp;$B85&amp;", "&amp;$C85&amp;"; ","")</f>
        <v/>
      </c>
      <c r="S85" s="1653" t="str">
        <f>IF(AND($E$8=1,ABS('6c_Health_part_time'!I79)&lt;&gt;INT(ABS('6c_Health_part_time'!I79))),J$14&amp;", "&amp;J$15&amp;", "&amp;$A85&amp;", "&amp;$B85&amp;", "&amp;$C85&amp;"; ","")</f>
        <v/>
      </c>
      <c r="U85" s="118"/>
      <c r="W85" s="1911"/>
      <c r="X85" s="1654"/>
      <c r="Y85" s="1654"/>
      <c r="Z85" s="1911"/>
      <c r="AA85" s="1654"/>
      <c r="AB85" s="1882"/>
      <c r="AC85" s="17"/>
      <c r="AD85" s="118"/>
      <c r="AF85" s="1375" t="s">
        <v>27847</v>
      </c>
      <c r="AI85" t="s">
        <v>225</v>
      </c>
      <c r="AJ85" s="333" t="str">
        <f t="shared" ref="AJ85:AK88" si="17">AJ55</f>
        <v/>
      </c>
      <c r="AK85" s="120" t="str">
        <f t="shared" si="17"/>
        <v/>
      </c>
      <c r="AL85" s="1376"/>
      <c r="AM85" s="333" t="str">
        <f t="shared" ref="AM85:AN88" si="18">AM55</f>
        <v/>
      </c>
      <c r="AN85" s="120" t="str">
        <f t="shared" si="18"/>
        <v/>
      </c>
      <c r="AO85" s="121"/>
      <c r="AQ85" s="118"/>
      <c r="AT85" s="1886" t="str">
        <f>IF(AND($I$8=1,ABS(SUM('6c_Health_part_time'!D79:E79))&lt;ABS('6c_Health_part_time'!F79)),E$14&amp;", "&amp;$A85&amp;", "&amp;$B85&amp;", "&amp;$C85&amp;"; ","")</f>
        <v/>
      </c>
      <c r="AW85" s="1886" t="str">
        <f>IF(AND($I$8=1,ABS(SUM('6c_Health_part_time'!G79:H79))&lt;ABS('6c_Health_part_time'!I79)),H$14&amp;", "&amp;$A85&amp;", "&amp;$B85&amp;", "&amp;$C85&amp;"; ","")</f>
        <v/>
      </c>
      <c r="AY85" s="118"/>
      <c r="BG85" s="130"/>
      <c r="BH85" s="1879" t="str">
        <f>IF(AND($P$8=1,$B85="Long length",'6c_Health_part_time'!D79&lt;&gt;0),E$15&amp;", "&amp;$A85&amp;", "&amp;$B85&amp;", "&amp;$C85&amp;"; ","")</f>
        <v/>
      </c>
      <c r="BI85" s="1653" t="str">
        <f>IF(AND($P$8=1,$B85="Long length",'6c_Health_part_time'!E79&lt;&gt;0),F$15&amp;", "&amp;$A85&amp;", "&amp;$B85&amp;", "&amp;$C85&amp;"; ","")</f>
        <v/>
      </c>
      <c r="BJ85" s="1653" t="str">
        <f>IF(AND($P$8=1,$B85="Long length",'6c_Health_part_time'!F79&lt;&gt;0),G$15&amp;", "&amp;$A85&amp;", "&amp;$B85&amp;", "&amp;$C85&amp;"; ","")</f>
        <v/>
      </c>
      <c r="BK85" s="1879" t="str">
        <f>IF(AND($P$8=1,$B85="Long length",'6c_Health_part_time'!G79&lt;&gt;0),H$15&amp;", "&amp;$A85&amp;", "&amp;$B85&amp;", "&amp;$C85&amp;"; ","")</f>
        <v/>
      </c>
      <c r="BL85" s="1653" t="str">
        <f>IF(AND($P$8=1,$B85="Long length",'6c_Health_part_time'!H79&lt;&gt;0),I$15&amp;", "&amp;$A85&amp;", "&amp;$B85&amp;", "&amp;$C85&amp;"; ","")</f>
        <v/>
      </c>
      <c r="BM85" s="1653" t="str">
        <f>IF(AND($P$8=1,$B85="Long length",'6c_Health_part_time'!I79&lt;&gt;0),J$15&amp;", "&amp;$A85&amp;", "&amp;$B85&amp;", "&amp;$C85&amp;"; ","")</f>
        <v/>
      </c>
      <c r="BO85" s="130"/>
    </row>
    <row r="86" spans="1:67" ht="13.15" x14ac:dyDescent="0.35">
      <c r="A86" t="s">
        <v>27912</v>
      </c>
      <c r="B86" t="s">
        <v>27888</v>
      </c>
      <c r="C86" t="s">
        <v>27891</v>
      </c>
      <c r="D86" s="118"/>
      <c r="E86" s="109" t="str">
        <f>IF(AND($D$8=1,'6c_Health_part_time'!D80&lt;0),E$14&amp;", "&amp;E$15&amp;", "&amp;$A86&amp;", "&amp;$B86&amp;", "&amp;$C86&amp;"; ","")</f>
        <v/>
      </c>
      <c r="F86" s="108" t="str">
        <f>IF(AND($D$8=1,'6c_Health_part_time'!E80&lt;0),F$14&amp;", "&amp;F$15&amp;", "&amp;$A86&amp;", "&amp;$B86&amp;", "&amp;$C86&amp;"; ","")</f>
        <v/>
      </c>
      <c r="G86" s="108" t="str">
        <f>IF(AND($D$8=1,'6c_Health_part_time'!F80&lt;0),G$14&amp;", "&amp;G$15&amp;", "&amp;$A86&amp;", "&amp;$B86&amp;", "&amp;$C86&amp;"; ","")</f>
        <v/>
      </c>
      <c r="H86" s="109" t="str">
        <f>IF(AND($D$8=1,'6c_Health_part_time'!G80&lt;0),H$14&amp;", "&amp;H$15&amp;", "&amp;$A86&amp;", "&amp;$B86&amp;", "&amp;$C86&amp;"; ","")</f>
        <v/>
      </c>
      <c r="I86" s="108" t="str">
        <f>IF(AND($D$8=1,'6c_Health_part_time'!H80&lt;0),I$14&amp;", "&amp;I$15&amp;", "&amp;$A86&amp;", "&amp;$B86&amp;", "&amp;$C86&amp;"; ","")</f>
        <v/>
      </c>
      <c r="J86" s="108" t="str">
        <f>IF(AND($D$8=1,'6c_Health_part_time'!I80&lt;0),J$14&amp;", "&amp;J$15&amp;", "&amp;$A86&amp;", "&amp;$B86&amp;", "&amp;$C86&amp;"; ","")</f>
        <v/>
      </c>
      <c r="L86" s="118"/>
      <c r="N86" s="109" t="str">
        <f>IF(AND($E$8=1,ABS('6c_Health_part_time'!D80)&lt;&gt;INT(ABS('6c_Health_part_time'!D80))),E$14&amp;", "&amp;E$15&amp;", "&amp;$A86&amp;", "&amp;$B86&amp;", "&amp;$C86&amp;"; ","")</f>
        <v/>
      </c>
      <c r="O86" s="108" t="str">
        <f>IF(AND($E$8=1,ABS('6c_Health_part_time'!E80)&lt;&gt;INT(ABS('6c_Health_part_time'!E80))),F$14&amp;", "&amp;F$15&amp;", "&amp;$A86&amp;", "&amp;$B86&amp;", "&amp;$C86&amp;"; ","")</f>
        <v/>
      </c>
      <c r="P86" s="108" t="str">
        <f>IF(AND($E$8=1,ABS('6c_Health_part_time'!F80)&lt;&gt;INT(ABS('6c_Health_part_time'!F80))),G$14&amp;", "&amp;G$15&amp;", "&amp;$A86&amp;", "&amp;$B86&amp;", "&amp;$C86&amp;"; ","")</f>
        <v/>
      </c>
      <c r="Q86" s="109" t="str">
        <f>IF(AND($E$8=1,ABS('6c_Health_part_time'!G80)&lt;&gt;INT(ABS('6c_Health_part_time'!G80))),H$14&amp;", "&amp;H$15&amp;", "&amp;$A86&amp;", "&amp;$B86&amp;", "&amp;$C86&amp;"; ","")</f>
        <v/>
      </c>
      <c r="R86" s="108" t="str">
        <f>IF(AND($E$8=1,ABS('6c_Health_part_time'!H80)&lt;&gt;INT(ABS('6c_Health_part_time'!H80))),I$14&amp;", "&amp;I$15&amp;", "&amp;$A86&amp;", "&amp;$B86&amp;", "&amp;$C86&amp;"; ","")</f>
        <v/>
      </c>
      <c r="S86" s="108" t="str">
        <f>IF(AND($E$8=1,ABS('6c_Health_part_time'!I80)&lt;&gt;INT(ABS('6c_Health_part_time'!I80))),J$14&amp;", "&amp;J$15&amp;", "&amp;$A86&amp;", "&amp;$B86&amp;", "&amp;$C86&amp;"; ","")</f>
        <v/>
      </c>
      <c r="U86" s="118"/>
      <c r="W86" s="113"/>
      <c r="X86" s="112"/>
      <c r="Y86" s="112"/>
      <c r="Z86" s="113"/>
      <c r="AA86" s="112"/>
      <c r="AB86" s="481"/>
      <c r="AC86" s="17"/>
      <c r="AD86" s="118"/>
      <c r="AF86" s="519" t="s">
        <v>27847</v>
      </c>
      <c r="AI86" t="s">
        <v>225</v>
      </c>
      <c r="AJ86" s="333" t="str">
        <f t="shared" si="17"/>
        <v/>
      </c>
      <c r="AK86" s="120" t="str">
        <f t="shared" si="17"/>
        <v/>
      </c>
      <c r="AL86" s="121"/>
      <c r="AM86" s="333" t="str">
        <f t="shared" si="18"/>
        <v/>
      </c>
      <c r="AN86" s="120" t="str">
        <f t="shared" si="18"/>
        <v/>
      </c>
      <c r="AO86" s="121"/>
      <c r="AQ86" s="118"/>
      <c r="AT86" s="562" t="str">
        <f>IF(AND($I$8=1,ABS(SUM('6c_Health_part_time'!D80:E80))&lt;ABS('6c_Health_part_time'!F80)),E$14&amp;", "&amp;$A86&amp;", "&amp;$B86&amp;", "&amp;$C86&amp;"; ","")</f>
        <v/>
      </c>
      <c r="AW86" s="562" t="str">
        <f>IF(AND($I$8=1,ABS(SUM('6c_Health_part_time'!G80:H80))&lt;ABS('6c_Health_part_time'!I80)),H$14&amp;", "&amp;$A86&amp;", "&amp;$B86&amp;", "&amp;$C86&amp;"; ","")</f>
        <v/>
      </c>
      <c r="AY86" s="118"/>
      <c r="BG86" s="130"/>
      <c r="BH86" s="333" t="str">
        <f>IF(AND($P$8=1,$B86="Long length",'6c_Health_part_time'!D80&lt;&gt;0),E$15&amp;", "&amp;$A86&amp;", "&amp;$B86&amp;", "&amp;$C86&amp;"; ","")</f>
        <v/>
      </c>
      <c r="BI86" s="335" t="str">
        <f>IF(AND($P$8=1,$B86="Long length",'6c_Health_part_time'!E80&lt;&gt;0),F$15&amp;", "&amp;$A86&amp;", "&amp;$B86&amp;", "&amp;$C86&amp;"; ","")</f>
        <v/>
      </c>
      <c r="BJ86" s="335" t="str">
        <f>IF(AND($P$8=1,$B86="Long length",'6c_Health_part_time'!F80&lt;&gt;0),G$15&amp;", "&amp;$A86&amp;", "&amp;$B86&amp;", "&amp;$C86&amp;"; ","")</f>
        <v/>
      </c>
      <c r="BK86" s="333" t="str">
        <f>IF(AND($P$8=1,$B86="Long length",'6c_Health_part_time'!G80&lt;&gt;0),H$15&amp;", "&amp;$A86&amp;", "&amp;$B86&amp;", "&amp;$C86&amp;"; ","")</f>
        <v/>
      </c>
      <c r="BL86" s="335" t="str">
        <f>IF(AND($P$8=1,$B86="Long length",'6c_Health_part_time'!H80&lt;&gt;0),I$15&amp;", "&amp;$A86&amp;", "&amp;$B86&amp;", "&amp;$C86&amp;"; ","")</f>
        <v/>
      </c>
      <c r="BM86" s="335" t="str">
        <f>IF(AND($P$8=1,$B86="Long length",'6c_Health_part_time'!I80&lt;&gt;0),J$15&amp;", "&amp;$A86&amp;", "&amp;$B86&amp;", "&amp;$C86&amp;"; ","")</f>
        <v/>
      </c>
      <c r="BO86" s="130"/>
    </row>
    <row r="87" spans="1:67" ht="13.15" x14ac:dyDescent="0.35">
      <c r="A87" t="s">
        <v>27912</v>
      </c>
      <c r="B87" t="s">
        <v>27892</v>
      </c>
      <c r="C87" t="s">
        <v>27889</v>
      </c>
      <c r="D87" s="118"/>
      <c r="E87" s="109" t="str">
        <f>IF(AND($D$8=1,'6c_Health_part_time'!D81&lt;0),E$14&amp;", "&amp;E$15&amp;", "&amp;$A87&amp;", "&amp;$B87&amp;", "&amp;$C87&amp;"; ","")</f>
        <v/>
      </c>
      <c r="F87" s="108" t="str">
        <f>IF(AND($D$8=1,'6c_Health_part_time'!E81&lt;0),F$14&amp;", "&amp;F$15&amp;", "&amp;$A87&amp;", "&amp;$B87&amp;", "&amp;$C87&amp;"; ","")</f>
        <v/>
      </c>
      <c r="G87" s="108" t="str">
        <f>IF(AND($D$8=1,'6c_Health_part_time'!F81&lt;0),G$14&amp;", "&amp;G$15&amp;", "&amp;$A87&amp;", "&amp;$B87&amp;", "&amp;$C87&amp;"; ","")</f>
        <v/>
      </c>
      <c r="H87" s="109" t="str">
        <f>IF(AND($D$8=1,'6c_Health_part_time'!G81&lt;0),H$14&amp;", "&amp;H$15&amp;", "&amp;$A87&amp;", "&amp;$B87&amp;", "&amp;$C87&amp;"; ","")</f>
        <v/>
      </c>
      <c r="I87" s="108" t="str">
        <f>IF(AND($D$8=1,'6c_Health_part_time'!H81&lt;0),I$14&amp;", "&amp;I$15&amp;", "&amp;$A87&amp;", "&amp;$B87&amp;", "&amp;$C87&amp;"; ","")</f>
        <v/>
      </c>
      <c r="J87" s="108" t="str">
        <f>IF(AND($D$8=1,'6c_Health_part_time'!I81&lt;0),J$14&amp;", "&amp;J$15&amp;", "&amp;$A87&amp;", "&amp;$B87&amp;", "&amp;$C87&amp;"; ","")</f>
        <v/>
      </c>
      <c r="L87" s="118"/>
      <c r="N87" s="109" t="str">
        <f>IF(AND($E$8=1,ABS('6c_Health_part_time'!D81)&lt;&gt;INT(ABS('6c_Health_part_time'!D81))),E$14&amp;", "&amp;E$15&amp;", "&amp;$A87&amp;", "&amp;$B87&amp;", "&amp;$C87&amp;"; ","")</f>
        <v/>
      </c>
      <c r="O87" s="108" t="str">
        <f>IF(AND($E$8=1,ABS('6c_Health_part_time'!E81)&lt;&gt;INT(ABS('6c_Health_part_time'!E81))),F$14&amp;", "&amp;F$15&amp;", "&amp;$A87&amp;", "&amp;$B87&amp;", "&amp;$C87&amp;"; ","")</f>
        <v/>
      </c>
      <c r="P87" s="108" t="str">
        <f>IF(AND($E$8=1,ABS('6c_Health_part_time'!F81)&lt;&gt;INT(ABS('6c_Health_part_time'!F81))),G$14&amp;", "&amp;G$15&amp;", "&amp;$A87&amp;", "&amp;$B87&amp;", "&amp;$C87&amp;"; ","")</f>
        <v/>
      </c>
      <c r="Q87" s="109" t="str">
        <f>IF(AND($E$8=1,ABS('6c_Health_part_time'!G81)&lt;&gt;INT(ABS('6c_Health_part_time'!G81))),H$14&amp;", "&amp;H$15&amp;", "&amp;$A87&amp;", "&amp;$B87&amp;", "&amp;$C87&amp;"; ","")</f>
        <v/>
      </c>
      <c r="R87" s="108" t="str">
        <f>IF(AND($E$8=1,ABS('6c_Health_part_time'!H81)&lt;&gt;INT(ABS('6c_Health_part_time'!H81))),I$14&amp;", "&amp;I$15&amp;", "&amp;$A87&amp;", "&amp;$B87&amp;", "&amp;$C87&amp;"; ","")</f>
        <v/>
      </c>
      <c r="S87" s="108" t="str">
        <f>IF(AND($E$8=1,ABS('6c_Health_part_time'!I81)&lt;&gt;INT(ABS('6c_Health_part_time'!I81))),J$14&amp;", "&amp;J$15&amp;", "&amp;$A87&amp;", "&amp;$B87&amp;", "&amp;$C87&amp;"; ","")</f>
        <v/>
      </c>
      <c r="U87" s="118"/>
      <c r="W87" s="113"/>
      <c r="X87" s="112"/>
      <c r="Y87" s="112"/>
      <c r="Z87" s="113"/>
      <c r="AA87" s="112"/>
      <c r="AB87" s="481"/>
      <c r="AC87" s="17"/>
      <c r="AD87" s="118"/>
      <c r="AF87" s="519" t="s">
        <v>27847</v>
      </c>
      <c r="AI87" t="s">
        <v>225</v>
      </c>
      <c r="AJ87" s="333" t="str">
        <f t="shared" si="17"/>
        <v/>
      </c>
      <c r="AK87" s="120" t="str">
        <f t="shared" si="17"/>
        <v/>
      </c>
      <c r="AL87" s="121"/>
      <c r="AM87" s="333" t="str">
        <f t="shared" si="18"/>
        <v/>
      </c>
      <c r="AN87" s="120" t="str">
        <f t="shared" si="18"/>
        <v/>
      </c>
      <c r="AO87" s="121"/>
      <c r="AQ87" s="118"/>
      <c r="AT87" s="562" t="str">
        <f>IF(AND($I$8=1,ABS(SUM('6c_Health_part_time'!D81:E81))&lt;ABS('6c_Health_part_time'!F81)),E$14&amp;", "&amp;$A87&amp;", "&amp;$B87&amp;", "&amp;$C87&amp;"; ","")</f>
        <v/>
      </c>
      <c r="AW87" s="562" t="str">
        <f>IF(AND($I$8=1,ABS(SUM('6c_Health_part_time'!G81:H81))&lt;ABS('6c_Health_part_time'!I81)),H$14&amp;", "&amp;$A87&amp;", "&amp;$B87&amp;", "&amp;$C87&amp;"; ","")</f>
        <v/>
      </c>
      <c r="AY87" s="118"/>
      <c r="BG87" s="130"/>
      <c r="BH87" s="333" t="str">
        <f>IF(AND($P$8=1,$B87="Long length",'6c_Health_part_time'!D81&lt;&gt;0),E$15&amp;", "&amp;$A87&amp;", "&amp;$B87&amp;", "&amp;$C87&amp;"; ","")</f>
        <v/>
      </c>
      <c r="BI87" s="108" t="str">
        <f>IF(AND($P$8=1,$B87="Long length",'6c_Health_part_time'!E81&lt;&gt;0),F$15&amp;", "&amp;$A87&amp;", "&amp;$B87&amp;", "&amp;$C87&amp;"; ","")</f>
        <v/>
      </c>
      <c r="BJ87" s="108" t="str">
        <f>IF(AND($P$8=1,$B87="Long length",'6c_Health_part_time'!F81&lt;&gt;0),G$15&amp;", "&amp;$A87&amp;", "&amp;$B87&amp;", "&amp;$C87&amp;"; ","")</f>
        <v/>
      </c>
      <c r="BK87" s="333" t="str">
        <f>IF(AND($P$8=1,$B87="Long length",'6c_Health_part_time'!G81&lt;&gt;0),H$15&amp;", "&amp;$A87&amp;", "&amp;$B87&amp;", "&amp;$C87&amp;"; ","")</f>
        <v/>
      </c>
      <c r="BL87" s="108" t="str">
        <f>IF(AND($P$8=1,$B87="Long length",'6c_Health_part_time'!H81&lt;&gt;0),I$15&amp;", "&amp;$A87&amp;", "&amp;$B87&amp;", "&amp;$C87&amp;"; ","")</f>
        <v/>
      </c>
      <c r="BM87" s="108" t="str">
        <f>IF(AND($P$8=1,$B87="Long length",'6c_Health_part_time'!I81&lt;&gt;0),J$15&amp;", "&amp;$A87&amp;", "&amp;$B87&amp;", "&amp;$C87&amp;"; ","")</f>
        <v/>
      </c>
      <c r="BO87" s="130"/>
    </row>
    <row r="88" spans="1:67" ht="13.15" x14ac:dyDescent="0.35">
      <c r="A88" t="s">
        <v>27912</v>
      </c>
      <c r="B88" t="s">
        <v>27892</v>
      </c>
      <c r="C88" t="s">
        <v>27891</v>
      </c>
      <c r="D88" s="118"/>
      <c r="E88" s="109" t="str">
        <f>IF(AND($D$8=1,'6c_Health_part_time'!D82&lt;0),E$14&amp;", "&amp;E$15&amp;", "&amp;$A88&amp;", "&amp;$B88&amp;", "&amp;$C88&amp;"; ","")</f>
        <v/>
      </c>
      <c r="F88" s="108" t="str">
        <f>IF(AND($D$8=1,'6c_Health_part_time'!E82&lt;0),F$14&amp;", "&amp;F$15&amp;", "&amp;$A88&amp;", "&amp;$B88&amp;", "&amp;$C88&amp;"; ","")</f>
        <v/>
      </c>
      <c r="G88" s="108" t="str">
        <f>IF(AND($D$8=1,'6c_Health_part_time'!F82&lt;0),G$14&amp;", "&amp;G$15&amp;", "&amp;$A88&amp;", "&amp;$B88&amp;", "&amp;$C88&amp;"; ","")</f>
        <v/>
      </c>
      <c r="H88" s="109" t="str">
        <f>IF(AND($D$8=1,'6c_Health_part_time'!G82&lt;0),H$14&amp;", "&amp;H$15&amp;", "&amp;$A88&amp;", "&amp;$B88&amp;", "&amp;$C88&amp;"; ","")</f>
        <v/>
      </c>
      <c r="I88" s="108" t="str">
        <f>IF(AND($D$8=1,'6c_Health_part_time'!H82&lt;0),I$14&amp;", "&amp;I$15&amp;", "&amp;$A88&amp;", "&amp;$B88&amp;", "&amp;$C88&amp;"; ","")</f>
        <v/>
      </c>
      <c r="J88" s="108" t="str">
        <f>IF(AND($D$8=1,'6c_Health_part_time'!I82&lt;0),J$14&amp;", "&amp;J$15&amp;", "&amp;$A88&amp;", "&amp;$B88&amp;", "&amp;$C88&amp;"; ","")</f>
        <v/>
      </c>
      <c r="L88" s="118"/>
      <c r="N88" s="109" t="str">
        <f>IF(AND($E$8=1,ABS('6c_Health_part_time'!D82)&lt;&gt;INT(ABS('6c_Health_part_time'!D82))),E$14&amp;", "&amp;E$15&amp;", "&amp;$A88&amp;", "&amp;$B88&amp;", "&amp;$C88&amp;"; ","")</f>
        <v/>
      </c>
      <c r="O88" s="108" t="str">
        <f>IF(AND($E$8=1,ABS('6c_Health_part_time'!E82)&lt;&gt;INT(ABS('6c_Health_part_time'!E82))),F$14&amp;", "&amp;F$15&amp;", "&amp;$A88&amp;", "&amp;$B88&amp;", "&amp;$C88&amp;"; ","")</f>
        <v/>
      </c>
      <c r="P88" s="108" t="str">
        <f>IF(AND($E$8=1,ABS('6c_Health_part_time'!F82)&lt;&gt;INT(ABS('6c_Health_part_time'!F82))),G$14&amp;", "&amp;G$15&amp;", "&amp;$A88&amp;", "&amp;$B88&amp;", "&amp;$C88&amp;"; ","")</f>
        <v/>
      </c>
      <c r="Q88" s="109" t="str">
        <f>IF(AND($E$8=1,ABS('6c_Health_part_time'!G82)&lt;&gt;INT(ABS('6c_Health_part_time'!G82))),H$14&amp;", "&amp;H$15&amp;", "&amp;$A88&amp;", "&amp;$B88&amp;", "&amp;$C88&amp;"; ","")</f>
        <v/>
      </c>
      <c r="R88" s="108" t="str">
        <f>IF(AND($E$8=1,ABS('6c_Health_part_time'!H82)&lt;&gt;INT(ABS('6c_Health_part_time'!H82))),I$14&amp;", "&amp;I$15&amp;", "&amp;$A88&amp;", "&amp;$B88&amp;", "&amp;$C88&amp;"; ","")</f>
        <v/>
      </c>
      <c r="S88" s="108" t="str">
        <f>IF(AND($E$8=1,ABS('6c_Health_part_time'!I82)&lt;&gt;INT(ABS('6c_Health_part_time'!I82))),J$14&amp;", "&amp;J$15&amp;", "&amp;$A88&amp;", "&amp;$B88&amp;", "&amp;$C88&amp;"; ","")</f>
        <v/>
      </c>
      <c r="U88" s="118"/>
      <c r="W88" s="113"/>
      <c r="X88" s="112"/>
      <c r="Y88" s="112"/>
      <c r="Z88" s="113"/>
      <c r="AA88" s="112"/>
      <c r="AB88" s="481"/>
      <c r="AC88" s="17"/>
      <c r="AD88" s="118"/>
      <c r="AF88" s="519" t="s">
        <v>27847</v>
      </c>
      <c r="AI88" t="s">
        <v>225</v>
      </c>
      <c r="AJ88" s="333" t="str">
        <f t="shared" si="17"/>
        <v/>
      </c>
      <c r="AK88" s="120" t="str">
        <f t="shared" si="17"/>
        <v/>
      </c>
      <c r="AL88" s="121"/>
      <c r="AM88" s="333" t="str">
        <f t="shared" si="18"/>
        <v/>
      </c>
      <c r="AN88" s="120" t="str">
        <f t="shared" si="18"/>
        <v/>
      </c>
      <c r="AO88" s="121"/>
      <c r="AQ88" s="118"/>
      <c r="AT88" s="562" t="str">
        <f>IF(AND($I$8=1,ABS(SUM('6c_Health_part_time'!D82:E82))&lt;ABS('6c_Health_part_time'!F82)),E$14&amp;", "&amp;$A88&amp;", "&amp;$B88&amp;", "&amp;$C88&amp;"; ","")</f>
        <v/>
      </c>
      <c r="AW88" s="562" t="str">
        <f>IF(AND($I$8=1,ABS(SUM('6c_Health_part_time'!G82:H82))&lt;ABS('6c_Health_part_time'!I82)),H$14&amp;", "&amp;$A88&amp;", "&amp;$B88&amp;", "&amp;$C88&amp;"; ","")</f>
        <v/>
      </c>
      <c r="AY88" s="118"/>
      <c r="BG88" s="130"/>
      <c r="BH88" s="333" t="str">
        <f>IF(AND($P$8=1,$B88="Long length",'6c_Health_part_time'!D82&lt;&gt;0),E$15&amp;", "&amp;$A88&amp;", "&amp;$B88&amp;", "&amp;$C88&amp;"; ","")</f>
        <v/>
      </c>
      <c r="BI88" s="108" t="str">
        <f>IF(AND($P$8=1,$B88="Long length",'6c_Health_part_time'!E82&lt;&gt;0),F$15&amp;", "&amp;$A88&amp;", "&amp;$B88&amp;", "&amp;$C88&amp;"; ","")</f>
        <v/>
      </c>
      <c r="BJ88" s="108" t="str">
        <f>IF(AND($P$8=1,$B88="Long length",'6c_Health_part_time'!F82&lt;&gt;0),G$15&amp;", "&amp;$A88&amp;", "&amp;$B88&amp;", "&amp;$C88&amp;"; ","")</f>
        <v/>
      </c>
      <c r="BK88" s="333" t="str">
        <f>IF(AND($P$8=1,$B88="Long length",'6c_Health_part_time'!G82&lt;&gt;0),H$15&amp;", "&amp;$A88&amp;", "&amp;$B88&amp;", "&amp;$C88&amp;"; ","")</f>
        <v/>
      </c>
      <c r="BL88" s="108" t="str">
        <f>IF(AND($P$8=1,$B88="Long length",'6c_Health_part_time'!H82&lt;&gt;0),I$15&amp;", "&amp;$A88&amp;", "&amp;$B88&amp;", "&amp;$C88&amp;"; ","")</f>
        <v/>
      </c>
      <c r="BM88" s="108" t="str">
        <f>IF(AND($P$8=1,$B88="Long length",'6c_Health_part_time'!I82&lt;&gt;0),J$15&amp;", "&amp;$A88&amp;", "&amp;$B88&amp;", "&amp;$C88&amp;"; ","")</f>
        <v/>
      </c>
      <c r="BO88" s="130"/>
    </row>
    <row r="89" spans="1:67" ht="13.15" x14ac:dyDescent="0.35">
      <c r="A89" t="s">
        <v>27913</v>
      </c>
      <c r="B89" t="s">
        <v>27888</v>
      </c>
      <c r="C89" t="s">
        <v>27889</v>
      </c>
      <c r="D89" s="118"/>
      <c r="E89" s="1885" t="str">
        <f>IF(AND($D$8=1,'6c_Health_part_time'!D83&lt;0),E$14&amp;", "&amp;E$15&amp;", "&amp;$A89&amp;", "&amp;$B89&amp;", "&amp;$C89&amp;"; ","")</f>
        <v/>
      </c>
      <c r="F89" s="1653" t="str">
        <f>IF(AND($D$8=1,'6c_Health_part_time'!E83&lt;0),F$14&amp;", "&amp;F$15&amp;", "&amp;$A89&amp;", "&amp;$B89&amp;", "&amp;$C89&amp;"; ","")</f>
        <v/>
      </c>
      <c r="G89" s="1653" t="str">
        <f>IF(AND($D$8=1,'6c_Health_part_time'!F83&lt;0),G$14&amp;", "&amp;G$15&amp;", "&amp;$A89&amp;", "&amp;$B89&amp;", "&amp;$C89&amp;"; ","")</f>
        <v/>
      </c>
      <c r="H89" s="1885" t="str">
        <f>IF(AND($D$8=1,'6c_Health_part_time'!G83&lt;0),H$14&amp;", "&amp;H$15&amp;", "&amp;$A89&amp;", "&amp;$B89&amp;", "&amp;$C89&amp;"; ","")</f>
        <v/>
      </c>
      <c r="I89" s="1653" t="str">
        <f>IF(AND($D$8=1,'6c_Health_part_time'!H83&lt;0),I$14&amp;", "&amp;I$15&amp;", "&amp;$A89&amp;", "&amp;$B89&amp;", "&amp;$C89&amp;"; ","")</f>
        <v/>
      </c>
      <c r="J89" s="1653" t="str">
        <f>IF(AND($D$8=1,'6c_Health_part_time'!I83&lt;0),J$14&amp;", "&amp;J$15&amp;", "&amp;$A89&amp;", "&amp;$B89&amp;", "&amp;$C89&amp;"; ","")</f>
        <v/>
      </c>
      <c r="L89" s="118"/>
      <c r="N89" s="1885" t="str">
        <f>IF(AND($E$8=1,ABS('6c_Health_part_time'!D83)&lt;&gt;INT(ABS('6c_Health_part_time'!D83))),E$14&amp;", "&amp;E$15&amp;", "&amp;$A89&amp;", "&amp;$B89&amp;", "&amp;$C89&amp;"; ","")</f>
        <v/>
      </c>
      <c r="O89" s="1653" t="str">
        <f>IF(AND($E$8=1,ABS('6c_Health_part_time'!E83)&lt;&gt;INT(ABS('6c_Health_part_time'!E83))),F$14&amp;", "&amp;F$15&amp;", "&amp;$A89&amp;", "&amp;$B89&amp;", "&amp;$C89&amp;"; ","")</f>
        <v/>
      </c>
      <c r="P89" s="1653" t="str">
        <f>IF(AND($E$8=1,ABS('6c_Health_part_time'!F83)&lt;&gt;INT(ABS('6c_Health_part_time'!F83))),G$14&amp;", "&amp;G$15&amp;", "&amp;$A89&amp;", "&amp;$B89&amp;", "&amp;$C89&amp;"; ","")</f>
        <v/>
      </c>
      <c r="Q89" s="1885" t="str">
        <f>IF(AND($E$8=1,ABS('6c_Health_part_time'!G83)&lt;&gt;INT(ABS('6c_Health_part_time'!G83))),H$14&amp;", "&amp;H$15&amp;", "&amp;$A89&amp;", "&amp;$B89&amp;", "&amp;$C89&amp;"; ","")</f>
        <v/>
      </c>
      <c r="R89" s="1653" t="str">
        <f>IF(AND($E$8=1,ABS('6c_Health_part_time'!H83)&lt;&gt;INT(ABS('6c_Health_part_time'!H83))),I$14&amp;", "&amp;I$15&amp;", "&amp;$A89&amp;", "&amp;$B89&amp;", "&amp;$C89&amp;"; ","")</f>
        <v/>
      </c>
      <c r="S89" s="1653" t="str">
        <f>IF(AND($E$8=1,ABS('6c_Health_part_time'!I83)&lt;&gt;INT(ABS('6c_Health_part_time'!I83))),J$14&amp;", "&amp;J$15&amp;", "&amp;$A89&amp;", "&amp;$B89&amp;", "&amp;$C89&amp;"; ","")</f>
        <v/>
      </c>
      <c r="U89" s="118"/>
      <c r="W89" s="1911"/>
      <c r="X89" s="1654"/>
      <c r="Y89" s="1654"/>
      <c r="Z89" s="1911"/>
      <c r="AA89" s="1654"/>
      <c r="AB89" s="1882"/>
      <c r="AC89" s="17"/>
      <c r="AD89" s="118"/>
      <c r="AF89" s="1375" t="s">
        <v>27849</v>
      </c>
      <c r="AI89" t="s">
        <v>225</v>
      </c>
      <c r="AJ89" s="1879" t="str">
        <f>AJ85</f>
        <v/>
      </c>
      <c r="AK89" s="1892" t="str">
        <f t="shared" ref="AJ89:AK92" si="19">AK85</f>
        <v/>
      </c>
      <c r="AL89" s="1884"/>
      <c r="AM89" s="1879" t="str">
        <f t="shared" ref="AM89:AN92" si="20">AM85</f>
        <v/>
      </c>
      <c r="AN89" s="1892" t="str">
        <f t="shared" si="20"/>
        <v/>
      </c>
      <c r="AO89" s="1884"/>
      <c r="AQ89" s="118"/>
      <c r="AT89" s="1886" t="str">
        <f>IF(AND($I$8=1,ABS(SUM('6c_Health_part_time'!D83:E83))&lt;ABS('6c_Health_part_time'!F83)),E$14&amp;", "&amp;$A89&amp;", "&amp;$B89&amp;", "&amp;$C89&amp;"; ","")</f>
        <v/>
      </c>
      <c r="AW89" s="1886" t="str">
        <f>IF(AND($I$8=1,ABS(SUM('6c_Health_part_time'!G83:H83))&lt;ABS('6c_Health_part_time'!I83)),H$14&amp;", "&amp;$A89&amp;", "&amp;$B89&amp;", "&amp;$C89&amp;"; ","")</f>
        <v/>
      </c>
      <c r="AY89" s="118"/>
      <c r="BG89" s="130"/>
      <c r="BH89" s="1879" t="str">
        <f>IF(AND($P$8=1,$B89="Long length",'6c_Health_part_time'!D83&lt;&gt;0),E$15&amp;", "&amp;$A89&amp;", "&amp;$B89&amp;", "&amp;$C89&amp;"; ","")</f>
        <v/>
      </c>
      <c r="BI89" s="1653" t="str">
        <f>IF(AND($P$8=1,$B89="Long length",'6c_Health_part_time'!E83&lt;&gt;0),F$15&amp;", "&amp;$A89&amp;", "&amp;$B89&amp;", "&amp;$C89&amp;"; ","")</f>
        <v/>
      </c>
      <c r="BJ89" s="1653" t="str">
        <f>IF(AND($P$8=1,$B89="Long length",'6c_Health_part_time'!F83&lt;&gt;0),G$15&amp;", "&amp;$A89&amp;", "&amp;$B89&amp;", "&amp;$C89&amp;"; ","")</f>
        <v/>
      </c>
      <c r="BK89" s="1879" t="str">
        <f>IF(AND($P$8=1,$B89="Long length",'6c_Health_part_time'!G83&lt;&gt;0),H$15&amp;", "&amp;$A89&amp;", "&amp;$B89&amp;", "&amp;$C89&amp;"; ","")</f>
        <v/>
      </c>
      <c r="BL89" s="1653" t="str">
        <f>IF(AND($P$8=1,$B89="Long length",'6c_Health_part_time'!H83&lt;&gt;0),I$15&amp;", "&amp;$A89&amp;", "&amp;$B89&amp;", "&amp;$C89&amp;"; ","")</f>
        <v/>
      </c>
      <c r="BM89" s="1653" t="str">
        <f>IF(AND($P$8=1,$B89="Long length",'6c_Health_part_time'!I83&lt;&gt;0),J$15&amp;", "&amp;$A89&amp;", "&amp;$B89&amp;", "&amp;$C89&amp;"; ","")</f>
        <v/>
      </c>
      <c r="BO89" s="130"/>
    </row>
    <row r="90" spans="1:67" ht="13.15" x14ac:dyDescent="0.35">
      <c r="A90" t="s">
        <v>27913</v>
      </c>
      <c r="B90" t="s">
        <v>27888</v>
      </c>
      <c r="C90" t="s">
        <v>27891</v>
      </c>
      <c r="D90" s="118"/>
      <c r="E90" s="109" t="str">
        <f>IF(AND($D$8=1,'6c_Health_part_time'!D84&lt;0),E$14&amp;", "&amp;E$15&amp;", "&amp;$A90&amp;", "&amp;$B90&amp;", "&amp;$C90&amp;"; ","")</f>
        <v/>
      </c>
      <c r="F90" s="108" t="str">
        <f>IF(AND($D$8=1,'6c_Health_part_time'!E84&lt;0),F$14&amp;", "&amp;F$15&amp;", "&amp;$A90&amp;", "&amp;$B90&amp;", "&amp;$C90&amp;"; ","")</f>
        <v/>
      </c>
      <c r="G90" s="108" t="str">
        <f>IF(AND($D$8=1,'6c_Health_part_time'!F84&lt;0),G$14&amp;", "&amp;G$15&amp;", "&amp;$A90&amp;", "&amp;$B90&amp;", "&amp;$C90&amp;"; ","")</f>
        <v/>
      </c>
      <c r="H90" s="109" t="str">
        <f>IF(AND($D$8=1,'6c_Health_part_time'!G84&lt;0),H$14&amp;", "&amp;H$15&amp;", "&amp;$A90&amp;", "&amp;$B90&amp;", "&amp;$C90&amp;"; ","")</f>
        <v/>
      </c>
      <c r="I90" s="108" t="str">
        <f>IF(AND($D$8=1,'6c_Health_part_time'!H84&lt;0),I$14&amp;", "&amp;I$15&amp;", "&amp;$A90&amp;", "&amp;$B90&amp;", "&amp;$C90&amp;"; ","")</f>
        <v/>
      </c>
      <c r="J90" s="108" t="str">
        <f>IF(AND($D$8=1,'6c_Health_part_time'!I84&lt;0),J$14&amp;", "&amp;J$15&amp;", "&amp;$A90&amp;", "&amp;$B90&amp;", "&amp;$C90&amp;"; ","")</f>
        <v/>
      </c>
      <c r="L90" s="118"/>
      <c r="N90" s="109" t="str">
        <f>IF(AND($E$8=1,ABS('6c_Health_part_time'!D84)&lt;&gt;INT(ABS('6c_Health_part_time'!D84))),E$14&amp;", "&amp;E$15&amp;", "&amp;$A90&amp;", "&amp;$B90&amp;", "&amp;$C90&amp;"; ","")</f>
        <v/>
      </c>
      <c r="O90" s="108" t="str">
        <f>IF(AND($E$8=1,ABS('6c_Health_part_time'!E84)&lt;&gt;INT(ABS('6c_Health_part_time'!E84))),F$14&amp;", "&amp;F$15&amp;", "&amp;$A90&amp;", "&amp;$B90&amp;", "&amp;$C90&amp;"; ","")</f>
        <v/>
      </c>
      <c r="P90" s="108" t="str">
        <f>IF(AND($E$8=1,ABS('6c_Health_part_time'!F84)&lt;&gt;INT(ABS('6c_Health_part_time'!F84))),G$14&amp;", "&amp;G$15&amp;", "&amp;$A90&amp;", "&amp;$B90&amp;", "&amp;$C90&amp;"; ","")</f>
        <v/>
      </c>
      <c r="Q90" s="109" t="str">
        <f>IF(AND($E$8=1,ABS('6c_Health_part_time'!G84)&lt;&gt;INT(ABS('6c_Health_part_time'!G84))),H$14&amp;", "&amp;H$15&amp;", "&amp;$A90&amp;", "&amp;$B90&amp;", "&amp;$C90&amp;"; ","")</f>
        <v/>
      </c>
      <c r="R90" s="108" t="str">
        <f>IF(AND($E$8=1,ABS('6c_Health_part_time'!H84)&lt;&gt;INT(ABS('6c_Health_part_time'!H84))),I$14&amp;", "&amp;I$15&amp;", "&amp;$A90&amp;", "&amp;$B90&amp;", "&amp;$C90&amp;"; ","")</f>
        <v/>
      </c>
      <c r="S90" s="108" t="str">
        <f>IF(AND($E$8=1,ABS('6c_Health_part_time'!I84)&lt;&gt;INT(ABS('6c_Health_part_time'!I84))),J$14&amp;", "&amp;J$15&amp;", "&amp;$A90&amp;", "&amp;$B90&amp;", "&amp;$C90&amp;"; ","")</f>
        <v/>
      </c>
      <c r="U90" s="118"/>
      <c r="W90" s="113"/>
      <c r="X90" s="112"/>
      <c r="Y90" s="112"/>
      <c r="Z90" s="113"/>
      <c r="AA90" s="112"/>
      <c r="AB90" s="481"/>
      <c r="AC90" s="17"/>
      <c r="AD90" s="118"/>
      <c r="AF90" s="519" t="s">
        <v>27849</v>
      </c>
      <c r="AI90" t="s">
        <v>225</v>
      </c>
      <c r="AJ90" s="333" t="str">
        <f t="shared" si="19"/>
        <v/>
      </c>
      <c r="AK90" s="120" t="str">
        <f t="shared" si="19"/>
        <v/>
      </c>
      <c r="AL90" s="121"/>
      <c r="AM90" s="333" t="str">
        <f t="shared" si="20"/>
        <v/>
      </c>
      <c r="AN90" s="120" t="str">
        <f t="shared" si="20"/>
        <v/>
      </c>
      <c r="AO90" s="121"/>
      <c r="AQ90" s="118"/>
      <c r="AT90" s="562" t="str">
        <f>IF(AND($I$8=1,ABS(SUM('6c_Health_part_time'!D84:E84))&lt;ABS('6c_Health_part_time'!F84)),E$14&amp;", "&amp;$A90&amp;", "&amp;$B90&amp;", "&amp;$C90&amp;"; ","")</f>
        <v/>
      </c>
      <c r="AW90" s="562" t="str">
        <f>IF(AND($I$8=1,ABS(SUM('6c_Health_part_time'!G84:H84))&lt;ABS('6c_Health_part_time'!I84)),H$14&amp;", "&amp;$A90&amp;", "&amp;$B90&amp;", "&amp;$C90&amp;"; ","")</f>
        <v/>
      </c>
      <c r="AY90" s="118"/>
      <c r="BG90" s="130"/>
      <c r="BH90" s="333" t="str">
        <f>IF(AND($P$8=1,$B90="Long length",'6c_Health_part_time'!D84&lt;&gt;0),E$15&amp;", "&amp;$A90&amp;", "&amp;$B90&amp;", "&amp;$C90&amp;"; ","")</f>
        <v/>
      </c>
      <c r="BI90" s="108" t="str">
        <f>IF(AND($P$8=1,$B90="Long length",'6c_Health_part_time'!E84&lt;&gt;0),F$15&amp;", "&amp;$A90&amp;", "&amp;$B90&amp;", "&amp;$C90&amp;"; ","")</f>
        <v/>
      </c>
      <c r="BJ90" s="108" t="str">
        <f>IF(AND($P$8=1,$B90="Long length",'6c_Health_part_time'!F84&lt;&gt;0),G$15&amp;", "&amp;$A90&amp;", "&amp;$B90&amp;", "&amp;$C90&amp;"; ","")</f>
        <v/>
      </c>
      <c r="BK90" s="333" t="str">
        <f>IF(AND($P$8=1,$B90="Long length",'6c_Health_part_time'!G84&lt;&gt;0),H$15&amp;", "&amp;$A90&amp;", "&amp;$B90&amp;", "&amp;$C90&amp;"; ","")</f>
        <v/>
      </c>
      <c r="BL90" s="108" t="str">
        <f>IF(AND($P$8=1,$B90="Long length",'6c_Health_part_time'!H84&lt;&gt;0),I$15&amp;", "&amp;$A90&amp;", "&amp;$B90&amp;", "&amp;$C90&amp;"; ","")</f>
        <v/>
      </c>
      <c r="BM90" s="108" t="str">
        <f>IF(AND($P$8=1,$B90="Long length",'6c_Health_part_time'!I84&lt;&gt;0),J$15&amp;", "&amp;$A90&amp;", "&amp;$B90&amp;", "&amp;$C90&amp;"; ","")</f>
        <v/>
      </c>
      <c r="BO90" s="130"/>
    </row>
    <row r="91" spans="1:67" ht="13.15" x14ac:dyDescent="0.35">
      <c r="A91" t="s">
        <v>27913</v>
      </c>
      <c r="B91" t="s">
        <v>27892</v>
      </c>
      <c r="C91" t="s">
        <v>27889</v>
      </c>
      <c r="D91" s="118"/>
      <c r="E91" s="109" t="str">
        <f>IF(AND($D$8=1,'6c_Health_part_time'!D85&lt;0),E$14&amp;", "&amp;E$15&amp;", "&amp;$A91&amp;", "&amp;$B91&amp;", "&amp;$C91&amp;"; ","")</f>
        <v/>
      </c>
      <c r="F91" s="108" t="str">
        <f>IF(AND($D$8=1,'6c_Health_part_time'!E85&lt;0),F$14&amp;", "&amp;F$15&amp;", "&amp;$A91&amp;", "&amp;$B91&amp;", "&amp;$C91&amp;"; ","")</f>
        <v/>
      </c>
      <c r="G91" s="108" t="str">
        <f>IF(AND($D$8=1,'6c_Health_part_time'!F85&lt;0),G$14&amp;", "&amp;G$15&amp;", "&amp;$A91&amp;", "&amp;$B91&amp;", "&amp;$C91&amp;"; ","")</f>
        <v/>
      </c>
      <c r="H91" s="109" t="str">
        <f>IF(AND($D$8=1,'6c_Health_part_time'!G85&lt;0),H$14&amp;", "&amp;H$15&amp;", "&amp;$A91&amp;", "&amp;$B91&amp;", "&amp;$C91&amp;"; ","")</f>
        <v/>
      </c>
      <c r="I91" s="108" t="str">
        <f>IF(AND($D$8=1,'6c_Health_part_time'!H85&lt;0),I$14&amp;", "&amp;I$15&amp;", "&amp;$A91&amp;", "&amp;$B91&amp;", "&amp;$C91&amp;"; ","")</f>
        <v/>
      </c>
      <c r="J91" s="108" t="str">
        <f>IF(AND($D$8=1,'6c_Health_part_time'!I85&lt;0),J$14&amp;", "&amp;J$15&amp;", "&amp;$A91&amp;", "&amp;$B91&amp;", "&amp;$C91&amp;"; ","")</f>
        <v/>
      </c>
      <c r="L91" s="118"/>
      <c r="N91" s="109" t="str">
        <f>IF(AND($E$8=1,ABS('6c_Health_part_time'!D85)&lt;&gt;INT(ABS('6c_Health_part_time'!D85))),E$14&amp;", "&amp;E$15&amp;", "&amp;$A91&amp;", "&amp;$B91&amp;", "&amp;$C91&amp;"; ","")</f>
        <v/>
      </c>
      <c r="O91" s="108" t="str">
        <f>IF(AND($E$8=1,ABS('6c_Health_part_time'!E85)&lt;&gt;INT(ABS('6c_Health_part_time'!E85))),F$14&amp;", "&amp;F$15&amp;", "&amp;$A91&amp;", "&amp;$B91&amp;", "&amp;$C91&amp;"; ","")</f>
        <v/>
      </c>
      <c r="P91" s="108" t="str">
        <f>IF(AND($E$8=1,ABS('6c_Health_part_time'!F85)&lt;&gt;INT(ABS('6c_Health_part_time'!F85))),G$14&amp;", "&amp;G$15&amp;", "&amp;$A91&amp;", "&amp;$B91&amp;", "&amp;$C91&amp;"; ","")</f>
        <v/>
      </c>
      <c r="Q91" s="109" t="str">
        <f>IF(AND($E$8=1,ABS('6c_Health_part_time'!G85)&lt;&gt;INT(ABS('6c_Health_part_time'!G85))),H$14&amp;", "&amp;H$15&amp;", "&amp;$A91&amp;", "&amp;$B91&amp;", "&amp;$C91&amp;"; ","")</f>
        <v/>
      </c>
      <c r="R91" s="108" t="str">
        <f>IF(AND($E$8=1,ABS('6c_Health_part_time'!H85)&lt;&gt;INT(ABS('6c_Health_part_time'!H85))),I$14&amp;", "&amp;I$15&amp;", "&amp;$A91&amp;", "&amp;$B91&amp;", "&amp;$C91&amp;"; ","")</f>
        <v/>
      </c>
      <c r="S91" s="108" t="str">
        <f>IF(AND($E$8=1,ABS('6c_Health_part_time'!I85)&lt;&gt;INT(ABS('6c_Health_part_time'!I85))),J$14&amp;", "&amp;J$15&amp;", "&amp;$A91&amp;", "&amp;$B91&amp;", "&amp;$C91&amp;"; ","")</f>
        <v/>
      </c>
      <c r="U91" s="118"/>
      <c r="W91" s="113"/>
      <c r="X91" s="112"/>
      <c r="Y91" s="112"/>
      <c r="Z91" s="113"/>
      <c r="AA91" s="112"/>
      <c r="AB91" s="481"/>
      <c r="AC91" s="17"/>
      <c r="AD91" s="118"/>
      <c r="AF91" s="519" t="s">
        <v>27849</v>
      </c>
      <c r="AI91" t="s">
        <v>225</v>
      </c>
      <c r="AJ91" s="333" t="str">
        <f t="shared" si="19"/>
        <v/>
      </c>
      <c r="AK91" s="120" t="str">
        <f t="shared" si="19"/>
        <v/>
      </c>
      <c r="AL91" s="121"/>
      <c r="AM91" s="333" t="str">
        <f t="shared" si="20"/>
        <v/>
      </c>
      <c r="AN91" s="120" t="str">
        <f t="shared" si="20"/>
        <v/>
      </c>
      <c r="AO91" s="121"/>
      <c r="AQ91" s="118"/>
      <c r="AT91" s="562" t="str">
        <f>IF(AND($I$8=1,ABS(SUM('6c_Health_part_time'!D85:E85))&lt;ABS('6c_Health_part_time'!F85)),E$14&amp;", "&amp;$A91&amp;", "&amp;$B91&amp;", "&amp;$C91&amp;"; ","")</f>
        <v/>
      </c>
      <c r="AW91" s="562" t="str">
        <f>IF(AND($I$8=1,ABS(SUM('6c_Health_part_time'!G85:H85))&lt;ABS('6c_Health_part_time'!I85)),H$14&amp;", "&amp;$A91&amp;", "&amp;$B91&amp;", "&amp;$C91&amp;"; ","")</f>
        <v/>
      </c>
      <c r="AY91" s="118"/>
      <c r="BG91" s="130"/>
      <c r="BH91" s="333" t="str">
        <f>IF(AND($P$8=1,$B91="Long length",'6c_Health_part_time'!D85&lt;&gt;0),E$15&amp;", "&amp;$A91&amp;", "&amp;$B91&amp;", "&amp;$C91&amp;"; ","")</f>
        <v/>
      </c>
      <c r="BI91" s="108" t="str">
        <f>IF(AND($P$8=1,$B91="Long length",'6c_Health_part_time'!E85&lt;&gt;0),F$15&amp;", "&amp;$A91&amp;", "&amp;$B91&amp;", "&amp;$C91&amp;"; ","")</f>
        <v/>
      </c>
      <c r="BJ91" s="108" t="str">
        <f>IF(AND($P$8=1,$B91="Long length",'6c_Health_part_time'!F85&lt;&gt;0),G$15&amp;", "&amp;$A91&amp;", "&amp;$B91&amp;", "&amp;$C91&amp;"; ","")</f>
        <v/>
      </c>
      <c r="BK91" s="333" t="str">
        <f>IF(AND($P$8=1,$B91="Long length",'6c_Health_part_time'!G85&lt;&gt;0),H$15&amp;", "&amp;$A91&amp;", "&amp;$B91&amp;", "&amp;$C91&amp;"; ","")</f>
        <v/>
      </c>
      <c r="BL91" s="108" t="str">
        <f>IF(AND($P$8=1,$B91="Long length",'6c_Health_part_time'!H85&lt;&gt;0),I$15&amp;", "&amp;$A91&amp;", "&amp;$B91&amp;", "&amp;$C91&amp;"; ","")</f>
        <v/>
      </c>
      <c r="BM91" s="108" t="str">
        <f>IF(AND($P$8=1,$B91="Long length",'6c_Health_part_time'!I85&lt;&gt;0),J$15&amp;", "&amp;$A91&amp;", "&amp;$B91&amp;", "&amp;$C91&amp;"; ","")</f>
        <v/>
      </c>
      <c r="BO91" s="130"/>
    </row>
    <row r="92" spans="1:67" ht="13.15" x14ac:dyDescent="0.35">
      <c r="A92" t="s">
        <v>27913</v>
      </c>
      <c r="B92" t="s">
        <v>27892</v>
      </c>
      <c r="C92" t="s">
        <v>27891</v>
      </c>
      <c r="D92" s="118"/>
      <c r="E92" s="110" t="str">
        <f>IF(AND($D$8=1,'6c_Health_part_time'!D86&lt;0),E$14&amp;", "&amp;E$15&amp;", "&amp;$A92&amp;", "&amp;$B92&amp;", "&amp;$C92&amp;"; ","")</f>
        <v/>
      </c>
      <c r="F92" s="111" t="str">
        <f>IF(AND($D$8=1,'6c_Health_part_time'!E86&lt;0),F$14&amp;", "&amp;F$15&amp;", "&amp;$A92&amp;", "&amp;$B92&amp;", "&amp;$C92&amp;"; ","")</f>
        <v/>
      </c>
      <c r="G92" s="111" t="str">
        <f>IF(AND($D$8=1,'6c_Health_part_time'!F86&lt;0),G$14&amp;", "&amp;G$15&amp;", "&amp;$A92&amp;", "&amp;$B92&amp;", "&amp;$C92&amp;"; ","")</f>
        <v/>
      </c>
      <c r="H92" s="110" t="str">
        <f>IF(AND($D$8=1,'6c_Health_part_time'!G86&lt;0),H$14&amp;", "&amp;H$15&amp;", "&amp;$A92&amp;", "&amp;$B92&amp;", "&amp;$C92&amp;"; ","")</f>
        <v/>
      </c>
      <c r="I92" s="111" t="str">
        <f>IF(AND($D$8=1,'6c_Health_part_time'!H86&lt;0),I$14&amp;", "&amp;I$15&amp;", "&amp;$A92&amp;", "&amp;$B92&amp;", "&amp;$C92&amp;"; ","")</f>
        <v/>
      </c>
      <c r="J92" s="111" t="str">
        <f>IF(AND($D$8=1,'6c_Health_part_time'!I86&lt;0),J$14&amp;", "&amp;J$15&amp;", "&amp;$A92&amp;", "&amp;$B92&amp;", "&amp;$C92&amp;"; ","")</f>
        <v/>
      </c>
      <c r="L92" s="118"/>
      <c r="N92" s="124" t="str">
        <f>IF(AND($E$8=1,ABS('6c_Health_part_time'!D86)&lt;&gt;INT(ABS('6c_Health_part_time'!D86))),E$14&amp;", "&amp;E$15&amp;", "&amp;$A92&amp;", "&amp;$B92&amp;", "&amp;$C92&amp;"; ","")</f>
        <v/>
      </c>
      <c r="O92" s="125" t="str">
        <f>IF(AND($E$8=1,ABS('6c_Health_part_time'!E86)&lt;&gt;INT(ABS('6c_Health_part_time'!E86))),F$14&amp;", "&amp;F$15&amp;", "&amp;$A92&amp;", "&amp;$B92&amp;", "&amp;$C92&amp;"; ","")</f>
        <v/>
      </c>
      <c r="P92" s="125" t="str">
        <f>IF(AND($E$8=1,ABS('6c_Health_part_time'!F86)&lt;&gt;INT(ABS('6c_Health_part_time'!F86))),G$14&amp;", "&amp;G$15&amp;", "&amp;$A92&amp;", "&amp;$B92&amp;", "&amp;$C92&amp;"; ","")</f>
        <v/>
      </c>
      <c r="Q92" s="124" t="str">
        <f>IF(AND($E$8=1,ABS('6c_Health_part_time'!G86)&lt;&gt;INT(ABS('6c_Health_part_time'!G86))),H$14&amp;", "&amp;H$15&amp;", "&amp;$A92&amp;", "&amp;$B92&amp;", "&amp;$C92&amp;"; ","")</f>
        <v/>
      </c>
      <c r="R92" s="125" t="str">
        <f>IF(AND($E$8=1,ABS('6c_Health_part_time'!H86)&lt;&gt;INT(ABS('6c_Health_part_time'!H86))),I$14&amp;", "&amp;I$15&amp;", "&amp;$A92&amp;", "&amp;$B92&amp;", "&amp;$C92&amp;"; ","")</f>
        <v/>
      </c>
      <c r="S92" s="125" t="str">
        <f>IF(AND($E$8=1,ABS('6c_Health_part_time'!I86)&lt;&gt;INT(ABS('6c_Health_part_time'!I86))),J$14&amp;", "&amp;J$15&amp;", "&amp;$A92&amp;", "&amp;$B92&amp;", "&amp;$C92&amp;"; ","")</f>
        <v/>
      </c>
      <c r="U92" s="118"/>
      <c r="W92" s="113"/>
      <c r="X92" s="112"/>
      <c r="Y92" s="112"/>
      <c r="Z92" s="113"/>
      <c r="AA92" s="112"/>
      <c r="AB92" s="481"/>
      <c r="AC92" s="17"/>
      <c r="AD92" s="118"/>
      <c r="AF92" s="519" t="s">
        <v>27849</v>
      </c>
      <c r="AI92" t="s">
        <v>225</v>
      </c>
      <c r="AJ92" s="334" t="str">
        <f t="shared" si="19"/>
        <v/>
      </c>
      <c r="AK92" s="126" t="str">
        <f t="shared" si="19"/>
        <v/>
      </c>
      <c r="AL92" s="123"/>
      <c r="AM92" s="334" t="str">
        <f t="shared" si="20"/>
        <v/>
      </c>
      <c r="AN92" s="126" t="str">
        <f t="shared" si="20"/>
        <v/>
      </c>
      <c r="AO92" s="123"/>
      <c r="AQ92" s="118"/>
      <c r="AT92" s="563" t="str">
        <f>IF(AND($I$8=1,ABS(SUM('6c_Health_part_time'!D86:E86))&lt;ABS('6c_Health_part_time'!F86)),E$14&amp;", "&amp;$A92&amp;", "&amp;$B92&amp;", "&amp;$C92&amp;"; ","")</f>
        <v/>
      </c>
      <c r="AW92" s="563" t="str">
        <f>IF(AND($I$8=1,ABS(SUM('6c_Health_part_time'!G86:H86))&lt;ABS('6c_Health_part_time'!I86)),H$14&amp;", "&amp;$A92&amp;", "&amp;$B92&amp;", "&amp;$C92&amp;"; ","")</f>
        <v/>
      </c>
      <c r="AY92" s="118"/>
      <c r="BG92" s="130"/>
      <c r="BH92" s="334" t="str">
        <f>IF(AND($P$8=1,$B92="Long length",'6c_Health_part_time'!D86&lt;&gt;0),E$15&amp;", "&amp;$A92&amp;", "&amp;$B92&amp;", "&amp;$C92&amp;"; ","")</f>
        <v/>
      </c>
      <c r="BI92" s="125" t="str">
        <f>IF(AND($P$8=1,$B92="Long length",'6c_Health_part_time'!E86&lt;&gt;0),F$15&amp;", "&amp;$A92&amp;", "&amp;$B92&amp;", "&amp;$C92&amp;"; ","")</f>
        <v/>
      </c>
      <c r="BJ92" s="125" t="str">
        <f>IF(AND($P$8=1,$B92="Long length",'6c_Health_part_time'!F86&lt;&gt;0),G$15&amp;", "&amp;$A92&amp;", "&amp;$B92&amp;", "&amp;$C92&amp;"; ","")</f>
        <v/>
      </c>
      <c r="BK92" s="334" t="str">
        <f>IF(AND($P$8=1,$B92="Long length",'6c_Health_part_time'!G86&lt;&gt;0),H$15&amp;", "&amp;$A92&amp;", "&amp;$B92&amp;", "&amp;$C92&amp;"; ","")</f>
        <v/>
      </c>
      <c r="BL92" s="125" t="str">
        <f>IF(AND($P$8=1,$B92="Long length",'6c_Health_part_time'!H86&lt;&gt;0),I$15&amp;", "&amp;$A92&amp;", "&amp;$B92&amp;", "&amp;$C92&amp;"; ","")</f>
        <v/>
      </c>
      <c r="BM92" s="125" t="str">
        <f>IF(AND($P$8=1,$B92="Long length",'6c_Health_part_time'!I86&lt;&gt;0),J$15&amp;", "&amp;$A92&amp;", "&amp;$B92&amp;", "&amp;$C92&amp;"; ","")</f>
        <v/>
      </c>
      <c r="BO92" s="130"/>
    </row>
    <row r="93" spans="1:67" ht="13.15" x14ac:dyDescent="0.35">
      <c r="A93" t="s">
        <v>27879</v>
      </c>
      <c r="B93" t="s">
        <v>27888</v>
      </c>
      <c r="C93" t="s">
        <v>27914</v>
      </c>
      <c r="D93" s="118"/>
      <c r="L93" s="118"/>
      <c r="N93" s="1885" t="str">
        <f>IF(AND($E$8=1,ABS('6c_Health_part_time'!D87)&lt;&gt;INT(ABS('6c_Health_part_time'!D87))),E$14&amp;", "&amp;E$15&amp;", "&amp;$A93&amp;", "&amp;$B93&amp;", "&amp;$C93&amp;"; ","")</f>
        <v/>
      </c>
      <c r="O93" s="1653" t="str">
        <f>IF(AND($E$8=1,ABS('6c_Health_part_time'!E87)&lt;&gt;INT(ABS('6c_Health_part_time'!E87))),F$14&amp;", "&amp;F$15&amp;", "&amp;$A93&amp;", "&amp;$B93&amp;", "&amp;$C93&amp;"; ","")</f>
        <v/>
      </c>
      <c r="P93" s="1653" t="str">
        <f>IF(AND($E$8=1,ABS('6c_Health_part_time'!F87)&lt;&gt;INT(ABS('6c_Health_part_time'!F87))),G$14&amp;", "&amp;G$15&amp;", "&amp;$A93&amp;", "&amp;$B93&amp;", "&amp;$C93&amp;"; ","")</f>
        <v/>
      </c>
      <c r="Q93" s="1885" t="str">
        <f>IF(AND($E$8=1,ABS('6c_Health_part_time'!G87)&lt;&gt;INT(ABS('6c_Health_part_time'!G87))),H$14&amp;", "&amp;H$15&amp;", "&amp;$A93&amp;", "&amp;$B93&amp;", "&amp;$C93&amp;"; ","")</f>
        <v/>
      </c>
      <c r="R93" s="1653" t="str">
        <f>IF(AND($E$8=1,ABS('6c_Health_part_time'!H87)&lt;&gt;INT(ABS('6c_Health_part_time'!H87))),I$14&amp;", "&amp;I$15&amp;", "&amp;$A93&amp;", "&amp;$B93&amp;", "&amp;$C93&amp;"; ","")</f>
        <v/>
      </c>
      <c r="S93" s="1653" t="str">
        <f>IF(AND($E$8=1,ABS('6c_Health_part_time'!I87)&lt;&gt;INT(ABS('6c_Health_part_time'!I87))),J$14&amp;", "&amp;J$15&amp;", "&amp;$A93&amp;", "&amp;$B93&amp;", "&amp;$C93&amp;"; ","")</f>
        <v/>
      </c>
      <c r="U93" s="118"/>
      <c r="W93" s="1911"/>
      <c r="X93" s="1654"/>
      <c r="Y93" s="1654"/>
      <c r="Z93" s="1911"/>
      <c r="AA93" s="1654"/>
      <c r="AB93" s="1882"/>
      <c r="AC93" s="17"/>
      <c r="AD93" s="118"/>
      <c r="AF93" s="1375" t="s">
        <v>27851</v>
      </c>
      <c r="AI93" s="11" t="s">
        <v>238</v>
      </c>
      <c r="AJ93" s="333" t="str">
        <f t="shared" ref="AJ93:AK96" si="21">AJ61</f>
        <v/>
      </c>
      <c r="AK93" s="120" t="str">
        <f t="shared" si="21"/>
        <v/>
      </c>
      <c r="AL93" s="1376"/>
      <c r="AM93" s="333" t="str">
        <f t="shared" ref="AM93:AN96" si="22">AM61</f>
        <v/>
      </c>
      <c r="AN93" s="120" t="str">
        <f t="shared" si="22"/>
        <v/>
      </c>
      <c r="AO93" s="121"/>
      <c r="AQ93" s="118"/>
      <c r="AY93" s="118"/>
      <c r="BG93" s="130"/>
      <c r="BO93" s="130"/>
    </row>
    <row r="94" spans="1:67" ht="13.15" x14ac:dyDescent="0.35">
      <c r="A94" t="s">
        <v>27879</v>
      </c>
      <c r="B94" t="s">
        <v>27888</v>
      </c>
      <c r="C94" t="s">
        <v>27915</v>
      </c>
      <c r="D94" s="118"/>
      <c r="E94" s="1835" t="str">
        <f>CONCATENATE(E19,E21,E23,E25,E27,E29,E30,E31,E32,E33,E34,E35,E36,E37,E38,E39,E40,E41,E42,E43,E44,E45,E46,E47,E48,E49,E50,E51,E52,E53,E54,E55,E56,E57,E58,E59,E60,E61,E62,E63,E64,E65,E66,E67,E68,E69,E70,E71,E72,E73,E74,E75,E76,E77,E78,E79,E80,E81,E82,E83,E84,E85,E86,E87,E88,E89,E90,E91,E92)</f>
        <v/>
      </c>
      <c r="F94" s="1835" t="str">
        <f t="shared" ref="F94:J94" si="23">CONCATENATE(F19,F21,F23,F25,F27,F29,F30,F31,F32,F33,F34,F35,F36,F37,F38,F39,F40,F41,F42,F43,F44,F45,F46,F47,F48,F49,F50,F51,F52,F53,F54,F55,F56,F57,F58,F59,F60,F61,F62,F63,F64,F65,F66,F67,F68,F69,F70,F71,F72,F73,F74,F75,F76,F77,F78,F79,F80,F81,F82,F83,F84,F85,F86,F87,F88,F89,F90,F91,F92)</f>
        <v/>
      </c>
      <c r="G94" s="1835" t="str">
        <f t="shared" si="23"/>
        <v/>
      </c>
      <c r="H94" s="1835" t="str">
        <f t="shared" si="23"/>
        <v/>
      </c>
      <c r="I94" s="1835" t="str">
        <f t="shared" si="23"/>
        <v/>
      </c>
      <c r="J94" s="1835" t="str">
        <f t="shared" si="23"/>
        <v/>
      </c>
      <c r="K94" s="1596"/>
      <c r="L94" s="118"/>
      <c r="N94" s="109" t="str">
        <f>IF(AND($E$8=1,ABS('6c_Health_part_time'!D88)&lt;&gt;INT(ABS('6c_Health_part_time'!D88))),E$14&amp;", "&amp;E$15&amp;", "&amp;$A94&amp;", "&amp;$B94&amp;", "&amp;$C94&amp;"; ","")</f>
        <v/>
      </c>
      <c r="O94" s="108" t="str">
        <f>IF(AND($E$8=1,ABS('6c_Health_part_time'!E88)&lt;&gt;INT(ABS('6c_Health_part_time'!E88))),F$14&amp;", "&amp;F$15&amp;", "&amp;$A94&amp;", "&amp;$B94&amp;", "&amp;$C94&amp;"; ","")</f>
        <v/>
      </c>
      <c r="P94" s="108" t="str">
        <f>IF(AND($E$8=1,ABS('6c_Health_part_time'!F88)&lt;&gt;INT(ABS('6c_Health_part_time'!F88))),G$14&amp;", "&amp;G$15&amp;", "&amp;$A94&amp;", "&amp;$B94&amp;", "&amp;$C94&amp;"; ","")</f>
        <v/>
      </c>
      <c r="Q94" s="109" t="str">
        <f>IF(AND($E$8=1,ABS('6c_Health_part_time'!G88)&lt;&gt;INT(ABS('6c_Health_part_time'!G88))),H$14&amp;", "&amp;H$15&amp;", "&amp;$A94&amp;", "&amp;$B94&amp;", "&amp;$C94&amp;"; ","")</f>
        <v/>
      </c>
      <c r="R94" s="108" t="str">
        <f>IF(AND($E$8=1,ABS('6c_Health_part_time'!H88)&lt;&gt;INT(ABS('6c_Health_part_time'!H88))),I$14&amp;", "&amp;I$15&amp;", "&amp;$A94&amp;", "&amp;$B94&amp;", "&amp;$C94&amp;"; ","")</f>
        <v/>
      </c>
      <c r="S94" s="108" t="str">
        <f>IF(AND($E$8=1,ABS('6c_Health_part_time'!I88)&lt;&gt;INT(ABS('6c_Health_part_time'!I88))),J$14&amp;", "&amp;J$15&amp;", "&amp;$A94&amp;", "&amp;$B94&amp;", "&amp;$C94&amp;"; ","")</f>
        <v/>
      </c>
      <c r="U94" s="118"/>
      <c r="W94" s="113"/>
      <c r="X94" s="112"/>
      <c r="Y94" s="112"/>
      <c r="Z94" s="113"/>
      <c r="AA94" s="112"/>
      <c r="AB94" s="481"/>
      <c r="AC94" s="17"/>
      <c r="AD94" s="118"/>
      <c r="AF94" s="519" t="s">
        <v>27851</v>
      </c>
      <c r="AI94" s="11" t="s">
        <v>238</v>
      </c>
      <c r="AJ94" s="333" t="str">
        <f t="shared" si="21"/>
        <v/>
      </c>
      <c r="AK94" s="120" t="str">
        <f t="shared" si="21"/>
        <v/>
      </c>
      <c r="AL94" s="121"/>
      <c r="AM94" s="333" t="str">
        <f t="shared" si="22"/>
        <v/>
      </c>
      <c r="AN94" s="120" t="str">
        <f t="shared" si="22"/>
        <v/>
      </c>
      <c r="AO94" s="121"/>
      <c r="AQ94" s="118"/>
      <c r="AT94" s="1840" t="str">
        <f>CONCATENATE(AT19,AT21,AT23,AT25,AT27,AT28,AT29,AT30,AT31,AT32,AT33,AT34,AT35,AT36,AT37,AT38,AT39,AT40,AT41,AT42,AT43,AT44,AT45,AT46,AT47,AT48,AT49,AT50,AT51,AT52,AT53,AT54,AT55,AT56,AT57,AT58,AT59,AT60,AT61,AT62,AT63,AT64,AT65,AT66,AT67,AT68,AT69,AT70,AT71,AT72,AT73,AT74,AT75,AT76,AT77,AT78,AT79,AT80,AT81,AT82,AT83,AT84,AT85,AT86,AT87,AT88,AT89,AT90,AT91,AT92)</f>
        <v/>
      </c>
      <c r="AW94" s="1841" t="str">
        <f t="shared" ref="AW94" si="24">CONCATENATE(AW19,AW21,AW23,AW25,AW27,AW28,AW29,AW30,AW31,AW32,AW33,AW34,AW35,AW36,AW37,AW38,AW39,AW40,AW41,AW42,AW43,AW44,AW45,AW46,AW47,AW48,AW49,AW50,AW51,AW52,AW53,AW54,AW55,AW56,AW57,AW58,AW59,AW60,AW61,AW62,AW63,AW64,AW65,AW66,AW67,AW68,AW69,AW70,AW71,AW72,AW73,AW74,AW75,AW76,AW77,AW78,AW79,AW80,AW81,AW82,AW83,AW84,AW85,AW86,AW87,AW88,AW89,AW90,AW91,AW92)</f>
        <v/>
      </c>
      <c r="AY94" s="118"/>
      <c r="BG94" s="130"/>
      <c r="BH94" s="1835" t="str">
        <f>CONCATENATE(BH19,BH21,BH23,BH25,BH27,BH28,BH29,BH30,BH31,BH32,BH33,BH34,BH35,BH36,BH37,BH38,BH39,BH40,BH41,BH42,BH43,BH44,BH45,BH46,BH47,BH48,BH49,BH50,BH51,BH52,BH53,BH54,BH55,BH56,BH57,BH58,BH59,BH60,BH61,BH62,BH63,BH64,BH65,BH66,BH67,BH68,BH69,BH70,BH71,BH72,BH73,BH74,BH75,BH76,BH77,BH78,BH79,BH80,BH81,BH82,BH83,BH84,BH85,BH86,BH87,BH88,BH89,BH90,BH91,BH92)</f>
        <v/>
      </c>
      <c r="BI94" s="1835" t="str">
        <f t="shared" ref="BI94:BM94" si="25">CONCATENATE(BI19,BI21,BI23,BI25,BI27,BI28,BI29,BI30,BI31,BI32,BI33,BI34,BI35,BI36,BI37,BI38,BI39,BI40,BI41,BI42,BI43,BI44,BI45,BI46,BI47,BI48,BI49,BI50,BI51,BI52,BI53,BI54,BI55,BI56,BI57,BI58,BI59,BI60,BI61,BI62,BI63,BI64,BI65,BI66,BI67,BI68,BI69,BI70,BI71,BI72,BI73,BI74,BI75,BI76,BI77,BI78,BI79,BI80,BI81,BI82,BI83,BI84,BI85,BI86,BI87,BI88,BI89,BI90,BI91,BI92)</f>
        <v/>
      </c>
      <c r="BJ94" s="1835" t="str">
        <f t="shared" si="25"/>
        <v/>
      </c>
      <c r="BK94" s="1835" t="str">
        <f t="shared" si="25"/>
        <v/>
      </c>
      <c r="BL94" s="1835" t="str">
        <f t="shared" si="25"/>
        <v/>
      </c>
      <c r="BM94" s="1835" t="str">
        <f t="shared" si="25"/>
        <v/>
      </c>
      <c r="BN94" s="1593"/>
      <c r="BO94" s="130"/>
    </row>
    <row r="95" spans="1:67" ht="13.15" x14ac:dyDescent="0.35">
      <c r="A95" t="s">
        <v>27879</v>
      </c>
      <c r="B95" t="s">
        <v>27892</v>
      </c>
      <c r="C95" t="s">
        <v>27914</v>
      </c>
      <c r="D95" s="118"/>
      <c r="L95" s="118"/>
      <c r="N95" s="109" t="str">
        <f>IF(AND($E$8=1,ABS('6c_Health_part_time'!D89)&lt;&gt;INT(ABS('6c_Health_part_time'!D89))),E$14&amp;", "&amp;E$15&amp;", "&amp;$A95&amp;", "&amp;$B95&amp;", "&amp;$C95&amp;"; ","")</f>
        <v/>
      </c>
      <c r="O95" s="108" t="str">
        <f>IF(AND($E$8=1,ABS('6c_Health_part_time'!E89)&lt;&gt;INT(ABS('6c_Health_part_time'!E89))),F$14&amp;", "&amp;F$15&amp;", "&amp;$A95&amp;", "&amp;$B95&amp;", "&amp;$C95&amp;"; ","")</f>
        <v/>
      </c>
      <c r="P95" s="108" t="str">
        <f>IF(AND($E$8=1,ABS('6c_Health_part_time'!F89)&lt;&gt;INT(ABS('6c_Health_part_time'!F89))),G$14&amp;", "&amp;G$15&amp;", "&amp;$A95&amp;", "&amp;$B95&amp;", "&amp;$C95&amp;"; ","")</f>
        <v/>
      </c>
      <c r="Q95" s="109" t="str">
        <f>IF(AND($E$8=1,ABS('6c_Health_part_time'!G89)&lt;&gt;INT(ABS('6c_Health_part_time'!G89))),H$14&amp;", "&amp;H$15&amp;", "&amp;$A95&amp;", "&amp;$B95&amp;", "&amp;$C95&amp;"; ","")</f>
        <v/>
      </c>
      <c r="R95" s="108" t="str">
        <f>IF(AND($E$8=1,ABS('6c_Health_part_time'!H89)&lt;&gt;INT(ABS('6c_Health_part_time'!H89))),I$14&amp;", "&amp;I$15&amp;", "&amp;$A95&amp;", "&amp;$B95&amp;", "&amp;$C95&amp;"; ","")</f>
        <v/>
      </c>
      <c r="S95" s="108" t="str">
        <f>IF(AND($E$8=1,ABS('6c_Health_part_time'!I89)&lt;&gt;INT(ABS('6c_Health_part_time'!I89))),J$14&amp;", "&amp;J$15&amp;", "&amp;$A95&amp;", "&amp;$B95&amp;", "&amp;$C95&amp;"; ","")</f>
        <v/>
      </c>
      <c r="U95" s="118"/>
      <c r="W95" s="498"/>
      <c r="X95" s="499"/>
      <c r="Y95" s="499"/>
      <c r="Z95" s="498"/>
      <c r="AA95" s="499"/>
      <c r="AB95" s="1377"/>
      <c r="AC95" s="17"/>
      <c r="AD95" s="118"/>
      <c r="AF95" s="519" t="s">
        <v>27851</v>
      </c>
      <c r="AI95" s="11" t="s">
        <v>238</v>
      </c>
      <c r="AJ95" s="333" t="str">
        <f t="shared" si="21"/>
        <v/>
      </c>
      <c r="AK95" s="120" t="str">
        <f t="shared" si="21"/>
        <v/>
      </c>
      <c r="AL95" s="121"/>
      <c r="AM95" s="333" t="str">
        <f t="shared" si="22"/>
        <v/>
      </c>
      <c r="AN95" s="120" t="str">
        <f t="shared" si="22"/>
        <v/>
      </c>
      <c r="AO95" s="121"/>
      <c r="AQ95" s="118"/>
      <c r="AY95" s="118"/>
      <c r="BG95" s="130"/>
      <c r="BO95" s="130"/>
    </row>
    <row r="96" spans="1:67" ht="13.15" x14ac:dyDescent="0.35">
      <c r="A96" t="s">
        <v>27879</v>
      </c>
      <c r="B96" t="s">
        <v>27892</v>
      </c>
      <c r="C96" t="s">
        <v>27915</v>
      </c>
      <c r="D96" s="118"/>
      <c r="E96" s="1840" t="str">
        <f>E94&amp;F94&amp;G94</f>
        <v/>
      </c>
      <c r="H96" s="1841" t="str">
        <f>H94&amp;I94&amp;J94</f>
        <v/>
      </c>
      <c r="L96" s="118"/>
      <c r="N96" s="124" t="str">
        <f>IF(AND($E$8=1,ABS('6c_Health_part_time'!D90)&lt;&gt;INT(ABS('6c_Health_part_time'!D90))),E$14&amp;", "&amp;E$15&amp;", "&amp;$A96&amp;", "&amp;$B96&amp;", "&amp;$C96&amp;"; ","")</f>
        <v/>
      </c>
      <c r="O96" s="125" t="str">
        <f>IF(AND($E$8=1,ABS('6c_Health_part_time'!E90)&lt;&gt;INT(ABS('6c_Health_part_time'!E90))),F$14&amp;", "&amp;F$15&amp;", "&amp;$A96&amp;", "&amp;$B96&amp;", "&amp;$C96&amp;"; ","")</f>
        <v/>
      </c>
      <c r="P96" s="125" t="str">
        <f>IF(AND($E$8=1,ABS('6c_Health_part_time'!F90)&lt;&gt;INT(ABS('6c_Health_part_time'!F90))),G$14&amp;", "&amp;G$15&amp;", "&amp;$A96&amp;", "&amp;$B96&amp;", "&amp;$C96&amp;"; ","")</f>
        <v/>
      </c>
      <c r="Q96" s="124" t="str">
        <f>IF(AND($E$8=1,ABS('6c_Health_part_time'!G90)&lt;&gt;INT(ABS('6c_Health_part_time'!G90))),H$14&amp;", "&amp;H$15&amp;", "&amp;$A96&amp;", "&amp;$B96&amp;", "&amp;$C96&amp;"; ","")</f>
        <v/>
      </c>
      <c r="R96" s="125" t="str">
        <f>IF(AND($E$8=1,ABS('6c_Health_part_time'!H90)&lt;&gt;INT(ABS('6c_Health_part_time'!H90))),I$14&amp;", "&amp;I$15&amp;", "&amp;$A96&amp;", "&amp;$B96&amp;", "&amp;$C96&amp;"; ","")</f>
        <v/>
      </c>
      <c r="S96" s="125" t="str">
        <f>IF(AND($E$8=1,ABS('6c_Health_part_time'!I90)&lt;&gt;INT(ABS('6c_Health_part_time'!I90))),J$14&amp;", "&amp;J$15&amp;", "&amp;$A96&amp;", "&amp;$B96&amp;", "&amp;$C96&amp;"; ","")</f>
        <v/>
      </c>
      <c r="U96" s="118"/>
      <c r="W96" s="114"/>
      <c r="X96" s="115"/>
      <c r="Y96" s="115"/>
      <c r="Z96" s="114"/>
      <c r="AA96" s="115"/>
      <c r="AB96" s="482"/>
      <c r="AC96" s="17"/>
      <c r="AD96" s="118"/>
      <c r="AF96" s="519" t="s">
        <v>27851</v>
      </c>
      <c r="AI96" s="11" t="s">
        <v>238</v>
      </c>
      <c r="AJ96" s="333" t="str">
        <f t="shared" si="21"/>
        <v/>
      </c>
      <c r="AK96" s="120" t="str">
        <f t="shared" si="21"/>
        <v/>
      </c>
      <c r="AL96" s="121"/>
      <c r="AM96" s="333" t="str">
        <f t="shared" si="22"/>
        <v/>
      </c>
      <c r="AN96" s="120" t="str">
        <f t="shared" si="22"/>
        <v/>
      </c>
      <c r="AO96" s="121"/>
      <c r="AQ96" s="118"/>
      <c r="AT96" s="1826" t="str">
        <f>CONCATENATE(AT94,AW94)</f>
        <v/>
      </c>
      <c r="AY96" s="118"/>
      <c r="BG96" s="130"/>
      <c r="BH96" s="1827" t="str">
        <f>BH94&amp;BI94&amp;BJ94</f>
        <v/>
      </c>
      <c r="BK96" s="2039" t="str">
        <f>BK94&amp;BL94&amp;BM94</f>
        <v/>
      </c>
      <c r="BO96" s="130"/>
    </row>
    <row r="97" spans="1:67" ht="13.15" x14ac:dyDescent="0.35">
      <c r="A97" t="s">
        <v>27879</v>
      </c>
      <c r="C97" t="s">
        <v>27696</v>
      </c>
      <c r="D97" s="118"/>
      <c r="L97" s="118"/>
      <c r="U97" s="118"/>
      <c r="AC97" s="17"/>
      <c r="AD97" s="118"/>
      <c r="AF97" s="1375" t="s">
        <v>27853</v>
      </c>
      <c r="AI97" s="11" t="s">
        <v>238</v>
      </c>
      <c r="AJ97" s="1879" t="str">
        <f t="shared" ref="AJ97:AK107" si="26">AJ93</f>
        <v/>
      </c>
      <c r="AK97" s="1892" t="str">
        <f t="shared" si="26"/>
        <v/>
      </c>
      <c r="AL97" s="1884"/>
      <c r="AM97" s="1879" t="str">
        <f t="shared" ref="AM97:AN107" si="27">AM93</f>
        <v/>
      </c>
      <c r="AN97" s="1892" t="str">
        <f t="shared" si="27"/>
        <v/>
      </c>
      <c r="AO97" s="1884"/>
      <c r="AQ97" s="119"/>
      <c r="AR97" s="15"/>
      <c r="AS97" s="15"/>
      <c r="AT97" s="15"/>
      <c r="AU97" s="15"/>
      <c r="AV97" s="15"/>
      <c r="AW97" s="15"/>
      <c r="AX97" s="15"/>
      <c r="AY97" s="118"/>
      <c r="BG97" s="130"/>
      <c r="BO97" s="130"/>
    </row>
    <row r="98" spans="1:67" ht="13.15" x14ac:dyDescent="0.35">
      <c r="D98" s="118"/>
      <c r="E98" s="1826" t="str">
        <f>E96&amp;H96</f>
        <v/>
      </c>
      <c r="L98" s="118"/>
      <c r="N98" s="1835" t="str">
        <f>CONCATENATE(N19,N21,N23,N25,N27,N28,N29,N30,N31,N32,N33,N34,N35,N36,N53,N54,N55,N56,N57,N58,N59,N60,N61,N62,N63,N64,N65,N66,N67,N68,N69,N70,N71,N72,N73,N74,N75,N76,N77,N78,N79,N80,N81,N82,N83,N84,N85,N86,N87,N88,N89,N90,N91,N92,N93,N94,N95,N96)</f>
        <v/>
      </c>
      <c r="O98" s="1835" t="str">
        <f t="shared" ref="O98:R98" si="28">CONCATENATE(O19,O21,O23,O25,O27,O28,O29,O30,O31,O32,O33,O34,O35,O36,O53,O54,O55,O56,O57,O58,O59,O60,O61,O62,O63,O64,O65,O66,O67,O68,O69,O70,O71,O72,O73,O74,O75,O76,O77,O78,O79,O80,O81,O82,O83,O84,O85,O86,O87,O88,O89,O90,O91,O92,O93,O94,O95,O96)</f>
        <v/>
      </c>
      <c r="P98" s="1835" t="str">
        <f t="shared" si="28"/>
        <v/>
      </c>
      <c r="Q98" s="1835" t="str">
        <f t="shared" si="28"/>
        <v/>
      </c>
      <c r="R98" s="1835" t="str">
        <f t="shared" si="28"/>
        <v/>
      </c>
      <c r="S98" s="1835" t="str">
        <f>CONCATENATE(S19,S21,S23,S25,S27,S28,S29,S30,S31,S32,S33,S34,S35,S36,S53,S54,S55,S56,S57,S58,S59,S60,S61,S62,S63,S64,S65,S66,S67,S68,S69,S70,S71,S72,S73,S74,S75,S76,S77,S78,S79,S80,S81,S82,S83,S84,S85,S86,S87,S88,S89,S90,S91,S92,S93,S94,S95,S96)</f>
        <v/>
      </c>
      <c r="T98" s="1593"/>
      <c r="U98" s="118"/>
      <c r="W98" s="1835" t="str">
        <f>CONCATENATE(W37,W38,W39,W40,W41,W42,W43,W44,W45,W46,W47,W48,W49,W50,W51,W52)</f>
        <v/>
      </c>
      <c r="X98" s="1835" t="str">
        <f t="shared" ref="X98:AB98" si="29">CONCATENATE(X37,X38,X39,X40,X41,X42,X43,X44,X45,X46,X47,X48,X49,X50,X51,X52)</f>
        <v/>
      </c>
      <c r="Y98" s="1835" t="str">
        <f t="shared" si="29"/>
        <v/>
      </c>
      <c r="Z98" s="1835" t="str">
        <f t="shared" si="29"/>
        <v/>
      </c>
      <c r="AA98" s="1835" t="str">
        <f t="shared" si="29"/>
        <v/>
      </c>
      <c r="AB98" s="1835" t="str">
        <f t="shared" si="29"/>
        <v/>
      </c>
      <c r="AC98" s="1596"/>
      <c r="AD98" s="118"/>
      <c r="AF98" s="519" t="s">
        <v>27853</v>
      </c>
      <c r="AI98" s="11" t="s">
        <v>238</v>
      </c>
      <c r="AJ98" s="333" t="str">
        <f t="shared" si="26"/>
        <v/>
      </c>
      <c r="AK98" s="120" t="str">
        <f t="shared" si="26"/>
        <v/>
      </c>
      <c r="AL98" s="121"/>
      <c r="AM98" s="333" t="str">
        <f t="shared" si="27"/>
        <v/>
      </c>
      <c r="AN98" s="120" t="str">
        <f t="shared" si="27"/>
        <v/>
      </c>
      <c r="AO98" s="121"/>
      <c r="AQ98" s="118"/>
      <c r="BG98" s="130"/>
      <c r="BH98" s="1826" t="str">
        <f>BH96&amp;BK96</f>
        <v/>
      </c>
      <c r="BO98" s="130"/>
    </row>
    <row r="99" spans="1:67" ht="13.15" x14ac:dyDescent="0.35">
      <c r="D99" s="119"/>
      <c r="E99" s="15"/>
      <c r="F99" s="15"/>
      <c r="G99" s="15"/>
      <c r="H99" s="15"/>
      <c r="I99" s="15"/>
      <c r="J99" s="15"/>
      <c r="K99" s="15"/>
      <c r="L99" s="118"/>
      <c r="U99" s="118"/>
      <c r="AC99" s="17"/>
      <c r="AD99" s="118"/>
      <c r="AF99" s="519" t="s">
        <v>27853</v>
      </c>
      <c r="AI99" s="11" t="s">
        <v>238</v>
      </c>
      <c r="AJ99" s="333" t="str">
        <f t="shared" si="26"/>
        <v/>
      </c>
      <c r="AK99" s="120" t="str">
        <f t="shared" si="26"/>
        <v/>
      </c>
      <c r="AL99" s="121"/>
      <c r="AM99" s="333" t="str">
        <f t="shared" si="27"/>
        <v/>
      </c>
      <c r="AN99" s="120" t="str">
        <f t="shared" si="27"/>
        <v/>
      </c>
      <c r="AO99" s="121"/>
      <c r="AQ99" s="118"/>
      <c r="BG99" s="132"/>
      <c r="BH99" s="133"/>
      <c r="BI99" s="133"/>
      <c r="BJ99" s="133"/>
      <c r="BK99" s="133"/>
      <c r="BL99" s="133"/>
      <c r="BM99" s="133"/>
      <c r="BN99" s="134"/>
      <c r="BO99" s="130"/>
    </row>
    <row r="100" spans="1:67" ht="13.15" x14ac:dyDescent="0.35">
      <c r="L100" s="118"/>
      <c r="N100" s="1840" t="str">
        <f>N98&amp;O98&amp;P98</f>
        <v/>
      </c>
      <c r="Q100" s="1841" t="str">
        <f>Q98&amp;R98&amp;S98</f>
        <v/>
      </c>
      <c r="U100" s="118"/>
      <c r="W100" s="1840" t="str">
        <f>W98&amp;X98&amp;Y98</f>
        <v/>
      </c>
      <c r="Z100" s="1841" t="str">
        <f>Z98&amp;AA98&amp;AB98</f>
        <v/>
      </c>
      <c r="AC100" s="17"/>
      <c r="AD100" s="118"/>
      <c r="AF100" s="519" t="s">
        <v>27853</v>
      </c>
      <c r="AI100" s="11" t="s">
        <v>238</v>
      </c>
      <c r="AJ100" s="333" t="str">
        <f t="shared" si="26"/>
        <v/>
      </c>
      <c r="AK100" s="120" t="str">
        <f t="shared" si="26"/>
        <v/>
      </c>
      <c r="AL100" s="121"/>
      <c r="AM100" s="333" t="str">
        <f t="shared" si="27"/>
        <v/>
      </c>
      <c r="AN100" s="120" t="str">
        <f t="shared" si="27"/>
        <v/>
      </c>
      <c r="AO100" s="121"/>
      <c r="AQ100" s="118"/>
    </row>
    <row r="101" spans="1:67" ht="13.15" x14ac:dyDescent="0.35">
      <c r="L101" s="118"/>
      <c r="U101" s="118"/>
      <c r="AD101" s="118"/>
      <c r="AF101" s="1375" t="s">
        <v>27855</v>
      </c>
      <c r="AI101" s="11" t="s">
        <v>238</v>
      </c>
      <c r="AJ101" s="1879" t="str">
        <f t="shared" si="26"/>
        <v/>
      </c>
      <c r="AK101" s="1892" t="str">
        <f t="shared" si="26"/>
        <v/>
      </c>
      <c r="AL101" s="1897"/>
      <c r="AM101" s="1879" t="str">
        <f t="shared" si="27"/>
        <v/>
      </c>
      <c r="AN101" s="1892" t="str">
        <f t="shared" si="27"/>
        <v/>
      </c>
      <c r="AO101" s="1884"/>
      <c r="AQ101" s="118"/>
    </row>
    <row r="102" spans="1:67" ht="13.15" x14ac:dyDescent="0.35">
      <c r="L102" s="118"/>
      <c r="N102" s="1826" t="str">
        <f>N100&amp;Q100</f>
        <v/>
      </c>
      <c r="U102" s="118"/>
      <c r="W102" s="1826" t="str">
        <f>W100&amp;Z100</f>
        <v/>
      </c>
      <c r="AD102" s="118"/>
      <c r="AF102" s="519" t="s">
        <v>27855</v>
      </c>
      <c r="AI102" s="11" t="s">
        <v>238</v>
      </c>
      <c r="AJ102" s="333" t="str">
        <f t="shared" si="26"/>
        <v/>
      </c>
      <c r="AK102" s="120" t="str">
        <f t="shared" si="26"/>
        <v/>
      </c>
      <c r="AL102" s="121"/>
      <c r="AM102" s="333" t="str">
        <f t="shared" si="27"/>
        <v/>
      </c>
      <c r="AN102" s="120" t="str">
        <f t="shared" si="27"/>
        <v/>
      </c>
      <c r="AO102" s="121"/>
      <c r="AQ102" s="118"/>
    </row>
    <row r="103" spans="1:67" ht="13.15" x14ac:dyDescent="0.4">
      <c r="E103" s="6" t="s">
        <v>27735</v>
      </c>
      <c r="L103" s="119"/>
      <c r="M103" s="15"/>
      <c r="N103" s="15"/>
      <c r="O103" s="15"/>
      <c r="P103" s="15"/>
      <c r="Q103" s="15"/>
      <c r="R103" s="15"/>
      <c r="S103" s="15"/>
      <c r="T103" s="15"/>
      <c r="U103" s="119"/>
      <c r="V103" s="15"/>
      <c r="W103" s="15"/>
      <c r="X103" s="15"/>
      <c r="Y103" s="15"/>
      <c r="Z103" s="15"/>
      <c r="AA103" s="15"/>
      <c r="AB103" s="15"/>
      <c r="AC103" s="25"/>
      <c r="AD103" s="118"/>
      <c r="AF103" s="519" t="s">
        <v>27855</v>
      </c>
      <c r="AI103" s="11" t="s">
        <v>238</v>
      </c>
      <c r="AJ103" s="333" t="str">
        <f t="shared" si="26"/>
        <v/>
      </c>
      <c r="AK103" s="120" t="str">
        <f t="shared" si="26"/>
        <v/>
      </c>
      <c r="AL103" s="121"/>
      <c r="AM103" s="333" t="str">
        <f t="shared" si="27"/>
        <v/>
      </c>
      <c r="AN103" s="120" t="str">
        <f t="shared" si="27"/>
        <v/>
      </c>
      <c r="AO103" s="121"/>
      <c r="AQ103" s="118"/>
    </row>
    <row r="104" spans="1:67" ht="84" customHeight="1" x14ac:dyDescent="0.35">
      <c r="E104" s="11" t="s">
        <v>28301</v>
      </c>
      <c r="F104" s="11" t="s">
        <v>28302</v>
      </c>
      <c r="G104" s="11" t="s">
        <v>28303</v>
      </c>
      <c r="H104" s="11" t="s">
        <v>28301</v>
      </c>
      <c r="I104" s="11" t="s">
        <v>28302</v>
      </c>
      <c r="J104" s="11" t="s">
        <v>28303</v>
      </c>
      <c r="K104" s="11" t="s">
        <v>28312</v>
      </c>
      <c r="AD104" s="118"/>
      <c r="AF104" s="519" t="s">
        <v>27855</v>
      </c>
      <c r="AI104" s="11" t="s">
        <v>238</v>
      </c>
      <c r="AJ104" s="333" t="str">
        <f t="shared" si="26"/>
        <v/>
      </c>
      <c r="AK104" s="120" t="str">
        <f t="shared" si="26"/>
        <v/>
      </c>
      <c r="AL104" s="121"/>
      <c r="AM104" s="333" t="str">
        <f t="shared" si="27"/>
        <v/>
      </c>
      <c r="AN104" s="120" t="str">
        <f t="shared" si="27"/>
        <v/>
      </c>
      <c r="AO104" s="121"/>
      <c r="AQ104" s="118"/>
    </row>
    <row r="105" spans="1:67" ht="76.5" x14ac:dyDescent="0.35">
      <c r="E105" s="11" t="s">
        <v>27679</v>
      </c>
      <c r="G105" s="184" t="s">
        <v>27916</v>
      </c>
      <c r="H105" s="11" t="s">
        <v>27680</v>
      </c>
      <c r="J105" s="184" t="s">
        <v>27916</v>
      </c>
      <c r="K105" s="11" t="s">
        <v>28274</v>
      </c>
      <c r="M105" s="184" t="s">
        <v>27916</v>
      </c>
      <c r="AD105" s="118"/>
      <c r="AF105" s="1375" t="s">
        <v>27857</v>
      </c>
      <c r="AI105" s="11" t="s">
        <v>238</v>
      </c>
      <c r="AJ105" s="1879" t="str">
        <f t="shared" si="26"/>
        <v/>
      </c>
      <c r="AK105" s="1892" t="str">
        <f t="shared" si="26"/>
        <v/>
      </c>
      <c r="AL105" s="1884"/>
      <c r="AM105" s="1879" t="str">
        <f t="shared" si="27"/>
        <v/>
      </c>
      <c r="AN105" s="1892" t="str">
        <f t="shared" si="27"/>
        <v/>
      </c>
      <c r="AO105" s="1884"/>
      <c r="AQ105" s="118"/>
    </row>
    <row r="106" spans="1:67" ht="13.15" x14ac:dyDescent="0.35">
      <c r="C106" t="s">
        <v>27887</v>
      </c>
      <c r="D106" s="528">
        <v>2</v>
      </c>
      <c r="E106" s="1899">
        <f>IF(OR(E19&lt;&gt;"",N19&lt;&gt;"",AJ75&lt;&gt;""),1,0)</f>
        <v>0</v>
      </c>
      <c r="F106" s="1900">
        <f>IF(OR(F19&lt;&gt;"",O19&lt;&gt;"",AK75&lt;&gt;""),1,0)</f>
        <v>0</v>
      </c>
      <c r="G106" s="1901">
        <f>IF(OR(G19&lt;&gt;"",P19&lt;&gt;"",AT19&lt;&gt;""),1,0)</f>
        <v>0</v>
      </c>
      <c r="H106" s="1902">
        <f>IF(OR(H19&lt;&gt;"",Q19&lt;&gt;"",AM75&lt;&gt;""),1,0)</f>
        <v>0</v>
      </c>
      <c r="I106" s="1900">
        <f>IF(OR(I19&lt;&gt;"",R19&lt;&gt;"",AN75&lt;&gt;""),1,0)</f>
        <v>0</v>
      </c>
      <c r="J106" s="1903">
        <f>IF(OR(J19&lt;&gt;"",S19&lt;&gt;"",AW19&lt;&gt;""),1,0)</f>
        <v>0</v>
      </c>
      <c r="K106" s="1899">
        <f>IF(OR(E106=1,H106=1),1,0)</f>
        <v>0</v>
      </c>
      <c r="L106" s="1900">
        <f t="shared" ref="L106:M106" si="30">IF(OR(F106=1,I106=1),1,0)</f>
        <v>0</v>
      </c>
      <c r="M106" s="1903">
        <f t="shared" si="30"/>
        <v>0</v>
      </c>
      <c r="AD106" s="118"/>
      <c r="AF106" s="519" t="s">
        <v>27857</v>
      </c>
      <c r="AI106" s="11" t="s">
        <v>238</v>
      </c>
      <c r="AJ106" s="333" t="str">
        <f t="shared" si="26"/>
        <v/>
      </c>
      <c r="AK106" s="120" t="str">
        <f t="shared" si="26"/>
        <v/>
      </c>
      <c r="AL106" s="121"/>
      <c r="AM106" s="333" t="str">
        <f t="shared" si="27"/>
        <v/>
      </c>
      <c r="AN106" s="120" t="str">
        <f t="shared" si="27"/>
        <v/>
      </c>
      <c r="AO106" s="121"/>
      <c r="AQ106" s="118"/>
    </row>
    <row r="107" spans="1:67" ht="13.15" x14ac:dyDescent="0.35">
      <c r="C107" t="s">
        <v>27887</v>
      </c>
      <c r="D107" s="528">
        <v>2</v>
      </c>
      <c r="E107" s="1658">
        <f t="shared" ref="E107:F107" si="31">IF(OR(E20&lt;&gt;"",N20&lt;&gt;"",AJ76&lt;&gt;""),1,0)</f>
        <v>0</v>
      </c>
      <c r="F107" s="442">
        <f t="shared" si="31"/>
        <v>0</v>
      </c>
      <c r="G107" s="443">
        <f t="shared" ref="G107:G123" si="32">IF(OR(G20&lt;&gt;"",P20&lt;&gt;"",AT20&lt;&gt;""),1,0)</f>
        <v>0</v>
      </c>
      <c r="H107" s="444">
        <f t="shared" ref="H107:I107" si="33">IF(OR(H20&lt;&gt;"",Q20&lt;&gt;"",AM76&lt;&gt;""),1,0)</f>
        <v>0</v>
      </c>
      <c r="I107" s="442">
        <f t="shared" si="33"/>
        <v>0</v>
      </c>
      <c r="J107" s="441">
        <f t="shared" ref="J107:J123" si="34">IF(OR(J20&lt;&gt;"",S20&lt;&gt;"",AW20&lt;&gt;""),1,0)</f>
        <v>0</v>
      </c>
      <c r="K107" s="1658"/>
      <c r="L107" s="442"/>
      <c r="M107" s="441"/>
      <c r="AD107" s="118"/>
      <c r="AF107" s="519" t="s">
        <v>27857</v>
      </c>
      <c r="AI107" s="11" t="s">
        <v>238</v>
      </c>
      <c r="AJ107" s="333" t="str">
        <f t="shared" si="26"/>
        <v/>
      </c>
      <c r="AK107" s="120" t="str">
        <f t="shared" si="26"/>
        <v/>
      </c>
      <c r="AL107" s="121"/>
      <c r="AM107" s="333" t="str">
        <f t="shared" si="27"/>
        <v/>
      </c>
      <c r="AN107" s="120" t="str">
        <f t="shared" si="27"/>
        <v/>
      </c>
      <c r="AO107" s="121"/>
      <c r="AQ107" s="118"/>
    </row>
    <row r="108" spans="1:67" ht="13.15" x14ac:dyDescent="0.35">
      <c r="C108" t="s">
        <v>27887</v>
      </c>
      <c r="D108" s="528">
        <v>2</v>
      </c>
      <c r="E108" s="445">
        <f t="shared" ref="E108:F108" si="35">IF(OR(E21&lt;&gt;"",N21&lt;&gt;"",AJ77&lt;&gt;""),1,0)</f>
        <v>0</v>
      </c>
      <c r="F108" s="446">
        <f t="shared" si="35"/>
        <v>0</v>
      </c>
      <c r="G108" s="447">
        <f t="shared" si="32"/>
        <v>0</v>
      </c>
      <c r="H108" s="448">
        <f t="shared" ref="H108:I108" si="36">IF(OR(H21&lt;&gt;"",Q21&lt;&gt;"",AM77&lt;&gt;""),1,0)</f>
        <v>0</v>
      </c>
      <c r="I108" s="449">
        <f t="shared" si="36"/>
        <v>0</v>
      </c>
      <c r="J108" s="450">
        <f t="shared" si="34"/>
        <v>0</v>
      </c>
      <c r="K108" s="445">
        <f t="shared" ref="K108:M171" si="37">IF(OR(E108=1,H108=1),1,0)</f>
        <v>0</v>
      </c>
      <c r="L108" s="449">
        <f t="shared" si="37"/>
        <v>0</v>
      </c>
      <c r="M108" s="450">
        <f t="shared" si="37"/>
        <v>0</v>
      </c>
      <c r="AD108" s="118"/>
      <c r="AF108" s="519" t="s">
        <v>27857</v>
      </c>
      <c r="AI108" s="11" t="s">
        <v>238</v>
      </c>
      <c r="AJ108" s="333" t="str">
        <f t="shared" ref="AJ108:AK112" si="38">AJ104</f>
        <v/>
      </c>
      <c r="AK108" s="120" t="str">
        <f t="shared" si="38"/>
        <v/>
      </c>
      <c r="AL108" s="121"/>
      <c r="AM108" s="333" t="str">
        <f t="shared" ref="AM108:AN112" si="39">AM104</f>
        <v/>
      </c>
      <c r="AN108" s="120" t="str">
        <f t="shared" si="39"/>
        <v/>
      </c>
      <c r="AO108" s="332"/>
      <c r="AQ108" s="118"/>
    </row>
    <row r="109" spans="1:67" ht="13.15" x14ac:dyDescent="0.35">
      <c r="C109" t="s">
        <v>27887</v>
      </c>
      <c r="D109" s="528">
        <v>2</v>
      </c>
      <c r="E109" s="454">
        <f t="shared" ref="E109:F109" si="40">IF(OR(E22&lt;&gt;"",N22&lt;&gt;"",AJ78&lt;&gt;""),1,0)</f>
        <v>0</v>
      </c>
      <c r="F109" s="455">
        <f t="shared" si="40"/>
        <v>0</v>
      </c>
      <c r="G109" s="456">
        <f t="shared" si="32"/>
        <v>0</v>
      </c>
      <c r="H109" s="457">
        <f t="shared" ref="H109:I109" si="41">IF(OR(H22&lt;&gt;"",Q22&lt;&gt;"",AM78&lt;&gt;""),1,0)</f>
        <v>0</v>
      </c>
      <c r="I109" s="455">
        <f t="shared" si="41"/>
        <v>0</v>
      </c>
      <c r="J109" s="458">
        <f t="shared" si="34"/>
        <v>0</v>
      </c>
      <c r="K109" s="454"/>
      <c r="L109" s="455"/>
      <c r="M109" s="458"/>
      <c r="AD109" s="118"/>
      <c r="AF109" s="1375" t="s">
        <v>27859</v>
      </c>
      <c r="AI109" s="11" t="s">
        <v>238</v>
      </c>
      <c r="AJ109" s="1879" t="str">
        <f t="shared" si="38"/>
        <v/>
      </c>
      <c r="AK109" s="1892" t="str">
        <f t="shared" si="38"/>
        <v/>
      </c>
      <c r="AL109" s="1897"/>
      <c r="AM109" s="1879" t="str">
        <f t="shared" si="39"/>
        <v/>
      </c>
      <c r="AN109" s="1892" t="str">
        <f t="shared" si="39"/>
        <v/>
      </c>
      <c r="AO109" s="1884"/>
      <c r="AQ109" s="118"/>
    </row>
    <row r="110" spans="1:67" ht="13.15" x14ac:dyDescent="0.35">
      <c r="C110" t="s">
        <v>27893</v>
      </c>
      <c r="D110" s="528">
        <v>2</v>
      </c>
      <c r="E110" s="1899">
        <f t="shared" ref="E110:F110" si="42">IF(OR(E23&lt;&gt;"",N23&lt;&gt;"",AJ79&lt;&gt;""),1,0)</f>
        <v>0</v>
      </c>
      <c r="F110" s="1900">
        <f t="shared" si="42"/>
        <v>0</v>
      </c>
      <c r="G110" s="1901">
        <f t="shared" si="32"/>
        <v>0</v>
      </c>
      <c r="H110" s="1902">
        <f t="shared" ref="H110:I110" si="43">IF(OR(H23&lt;&gt;"",Q23&lt;&gt;"",AM79&lt;&gt;""),1,0)</f>
        <v>0</v>
      </c>
      <c r="I110" s="1904">
        <f t="shared" si="43"/>
        <v>0</v>
      </c>
      <c r="J110" s="1905">
        <f t="shared" si="34"/>
        <v>0</v>
      </c>
      <c r="K110" s="1899">
        <f t="shared" si="37"/>
        <v>0</v>
      </c>
      <c r="L110" s="1904">
        <f t="shared" si="37"/>
        <v>0</v>
      </c>
      <c r="M110" s="1905">
        <f t="shared" si="37"/>
        <v>0</v>
      </c>
      <c r="AD110" s="118"/>
      <c r="AF110" s="519" t="s">
        <v>27859</v>
      </c>
      <c r="AI110" s="11" t="s">
        <v>238</v>
      </c>
      <c r="AJ110" s="333" t="str">
        <f t="shared" si="38"/>
        <v/>
      </c>
      <c r="AK110" s="120" t="str">
        <f t="shared" si="38"/>
        <v/>
      </c>
      <c r="AL110" s="121"/>
      <c r="AM110" s="333" t="str">
        <f t="shared" si="39"/>
        <v/>
      </c>
      <c r="AN110" s="120" t="str">
        <f t="shared" si="39"/>
        <v/>
      </c>
      <c r="AO110" s="121"/>
      <c r="AQ110" s="118"/>
    </row>
    <row r="111" spans="1:67" ht="13.15" x14ac:dyDescent="0.35">
      <c r="C111" t="s">
        <v>27893</v>
      </c>
      <c r="D111" s="528">
        <v>2</v>
      </c>
      <c r="E111" s="1658">
        <f t="shared" ref="E111:F111" si="44">IF(OR(E24&lt;&gt;"",N24&lt;&gt;"",AJ80&lt;&gt;""),1,0)</f>
        <v>0</v>
      </c>
      <c r="F111" s="442">
        <f t="shared" si="44"/>
        <v>0</v>
      </c>
      <c r="G111" s="443">
        <f t="shared" si="32"/>
        <v>0</v>
      </c>
      <c r="H111" s="444">
        <f t="shared" ref="H111:I111" si="45">IF(OR(H24&lt;&gt;"",Q24&lt;&gt;"",AM80&lt;&gt;""),1,0)</f>
        <v>0</v>
      </c>
      <c r="I111" s="442">
        <f t="shared" si="45"/>
        <v>0</v>
      </c>
      <c r="J111" s="441">
        <f t="shared" si="34"/>
        <v>0</v>
      </c>
      <c r="K111" s="1658"/>
      <c r="L111" s="442"/>
      <c r="M111" s="441"/>
      <c r="AD111" s="118"/>
      <c r="AF111" s="519" t="s">
        <v>27859</v>
      </c>
      <c r="AI111" s="11" t="s">
        <v>238</v>
      </c>
      <c r="AJ111" s="333" t="str">
        <f t="shared" si="38"/>
        <v/>
      </c>
      <c r="AK111" s="120" t="str">
        <f t="shared" si="38"/>
        <v/>
      </c>
      <c r="AL111" s="121"/>
      <c r="AM111" s="333" t="str">
        <f t="shared" si="39"/>
        <v/>
      </c>
      <c r="AN111" s="120" t="str">
        <f t="shared" si="39"/>
        <v/>
      </c>
      <c r="AO111" s="121"/>
      <c r="AQ111" s="118"/>
    </row>
    <row r="112" spans="1:67" ht="13.5" thickBot="1" x14ac:dyDescent="0.4">
      <c r="C112" t="s">
        <v>27893</v>
      </c>
      <c r="D112" s="528">
        <v>2</v>
      </c>
      <c r="E112" s="445">
        <f t="shared" ref="E112:F112" si="46">IF(OR(E25&lt;&gt;"",N25&lt;&gt;"",AJ81&lt;&gt;""),1,0)</f>
        <v>0</v>
      </c>
      <c r="F112" s="446">
        <f t="shared" si="46"/>
        <v>0</v>
      </c>
      <c r="G112" s="447">
        <f t="shared" si="32"/>
        <v>0</v>
      </c>
      <c r="H112" s="448">
        <f t="shared" ref="H112:I112" si="47">IF(OR(H25&lt;&gt;"",Q25&lt;&gt;"",AM81&lt;&gt;""),1,0)</f>
        <v>0</v>
      </c>
      <c r="I112" s="449">
        <f t="shared" si="47"/>
        <v>0</v>
      </c>
      <c r="J112" s="450">
        <f t="shared" si="34"/>
        <v>0</v>
      </c>
      <c r="K112" s="445">
        <f t="shared" si="37"/>
        <v>0</v>
      </c>
      <c r="L112" s="449">
        <f t="shared" si="37"/>
        <v>0</v>
      </c>
      <c r="M112" s="450">
        <f t="shared" si="37"/>
        <v>0</v>
      </c>
      <c r="AD112" s="118"/>
      <c r="AF112" s="519" t="s">
        <v>27859</v>
      </c>
      <c r="AI112" s="11" t="s">
        <v>238</v>
      </c>
      <c r="AJ112" s="513" t="str">
        <f t="shared" si="38"/>
        <v/>
      </c>
      <c r="AK112" s="514" t="str">
        <f t="shared" si="38"/>
        <v/>
      </c>
      <c r="AL112" s="1379"/>
      <c r="AM112" s="513" t="str">
        <f t="shared" si="39"/>
        <v/>
      </c>
      <c r="AN112" s="514" t="str">
        <f t="shared" si="39"/>
        <v/>
      </c>
      <c r="AO112" s="1379"/>
      <c r="AQ112" s="118"/>
    </row>
    <row r="113" spans="3:43" ht="13.15" x14ac:dyDescent="0.35">
      <c r="C113" t="s">
        <v>27893</v>
      </c>
      <c r="D113" s="528">
        <v>2</v>
      </c>
      <c r="E113" s="454">
        <f t="shared" ref="E113:F113" si="48">IF(OR(E26&lt;&gt;"",N26&lt;&gt;"",AJ82&lt;&gt;""),1,0)</f>
        <v>0</v>
      </c>
      <c r="F113" s="459">
        <f t="shared" si="48"/>
        <v>0</v>
      </c>
      <c r="G113" s="456">
        <f t="shared" si="32"/>
        <v>0</v>
      </c>
      <c r="H113" s="457">
        <f t="shared" ref="H113:I113" si="49">IF(OR(H26&lt;&gt;"",Q26&lt;&gt;"",AM82&lt;&gt;""),1,0)</f>
        <v>0</v>
      </c>
      <c r="I113" s="459">
        <f t="shared" si="49"/>
        <v>0</v>
      </c>
      <c r="J113" s="458">
        <f t="shared" si="34"/>
        <v>0</v>
      </c>
      <c r="K113" s="454"/>
      <c r="L113" s="459"/>
      <c r="M113" s="458"/>
      <c r="AD113" s="118"/>
      <c r="AF113" s="1375" t="s">
        <v>27861</v>
      </c>
      <c r="AI113" s="11" t="s">
        <v>225</v>
      </c>
      <c r="AJ113" s="333" t="str">
        <f t="shared" ref="AJ113:AK116" si="50">AJ55</f>
        <v/>
      </c>
      <c r="AK113" s="120" t="str">
        <f t="shared" si="50"/>
        <v/>
      </c>
      <c r="AL113" s="121"/>
      <c r="AM113" s="333" t="str">
        <f t="shared" ref="AM113:AN116" si="51">AM55</f>
        <v/>
      </c>
      <c r="AN113" s="120" t="str">
        <f t="shared" si="51"/>
        <v/>
      </c>
      <c r="AO113" s="121"/>
      <c r="AQ113" s="118"/>
    </row>
    <row r="114" spans="3:43" ht="13.15" x14ac:dyDescent="0.35">
      <c r="C114" t="s">
        <v>27893</v>
      </c>
      <c r="D114" s="528">
        <v>2</v>
      </c>
      <c r="E114" s="1899">
        <f t="shared" ref="E114:F114" si="52">IF(OR(E27&lt;&gt;"",N27&lt;&gt;"",AJ83&lt;&gt;""),1,0)</f>
        <v>0</v>
      </c>
      <c r="F114" s="1906">
        <f t="shared" si="52"/>
        <v>0</v>
      </c>
      <c r="G114" s="1907">
        <f t="shared" si="32"/>
        <v>0</v>
      </c>
      <c r="H114" s="1908">
        <f t="shared" ref="H114:I114" si="53">IF(OR(H27&lt;&gt;"",Q27&lt;&gt;"",AM83&lt;&gt;""),1,0)</f>
        <v>0</v>
      </c>
      <c r="I114" s="1900">
        <f t="shared" si="53"/>
        <v>0</v>
      </c>
      <c r="J114" s="1903">
        <f t="shared" si="34"/>
        <v>0</v>
      </c>
      <c r="K114" s="2194">
        <f t="shared" si="37"/>
        <v>0</v>
      </c>
      <c r="L114" s="1900">
        <f t="shared" si="37"/>
        <v>0</v>
      </c>
      <c r="M114" s="1903">
        <f t="shared" si="37"/>
        <v>0</v>
      </c>
      <c r="AD114" s="118"/>
      <c r="AF114" s="519" t="s">
        <v>27861</v>
      </c>
      <c r="AI114" s="11" t="s">
        <v>225</v>
      </c>
      <c r="AJ114" s="333" t="str">
        <f t="shared" si="50"/>
        <v/>
      </c>
      <c r="AK114" s="120" t="str">
        <f t="shared" si="50"/>
        <v/>
      </c>
      <c r="AL114" s="121"/>
      <c r="AM114" s="333" t="str">
        <f t="shared" si="51"/>
        <v/>
      </c>
      <c r="AN114" s="120" t="str">
        <f t="shared" si="51"/>
        <v/>
      </c>
      <c r="AO114" s="121"/>
      <c r="AQ114" s="118"/>
    </row>
    <row r="115" spans="3:43" ht="13.15" x14ac:dyDescent="0.35">
      <c r="C115" t="s">
        <v>27893</v>
      </c>
      <c r="D115" s="528">
        <v>2</v>
      </c>
      <c r="E115" s="1659">
        <f t="shared" ref="E115:F115" si="54">IF(OR(E28&lt;&gt;"",N28&lt;&gt;"",AJ84&lt;&gt;""),1,0)</f>
        <v>0</v>
      </c>
      <c r="F115" s="460">
        <f t="shared" si="54"/>
        <v>0</v>
      </c>
      <c r="G115" s="461">
        <f t="shared" si="32"/>
        <v>0</v>
      </c>
      <c r="H115" s="462">
        <f t="shared" ref="H115:I115" si="55">IF(OR(H28&lt;&gt;"",Q28&lt;&gt;"",AM84&lt;&gt;""),1,0)</f>
        <v>0</v>
      </c>
      <c r="I115" s="460">
        <f t="shared" si="55"/>
        <v>0</v>
      </c>
      <c r="J115" s="463">
        <f t="shared" si="34"/>
        <v>0</v>
      </c>
      <c r="K115" s="1659">
        <f t="shared" si="37"/>
        <v>0</v>
      </c>
      <c r="L115" s="460">
        <f t="shared" si="37"/>
        <v>0</v>
      </c>
      <c r="M115" s="463">
        <f t="shared" si="37"/>
        <v>0</v>
      </c>
      <c r="AD115" s="118"/>
      <c r="AF115" s="519" t="s">
        <v>27861</v>
      </c>
      <c r="AI115" s="11" t="s">
        <v>225</v>
      </c>
      <c r="AJ115" s="333" t="str">
        <f t="shared" si="50"/>
        <v/>
      </c>
      <c r="AK115" s="120" t="str">
        <f t="shared" si="50"/>
        <v/>
      </c>
      <c r="AL115" s="121"/>
      <c r="AM115" s="333" t="str">
        <f t="shared" si="51"/>
        <v/>
      </c>
      <c r="AN115" s="120" t="str">
        <f t="shared" si="51"/>
        <v/>
      </c>
      <c r="AO115" s="121"/>
      <c r="AQ115" s="118"/>
    </row>
    <row r="116" spans="3:43" ht="13.15" x14ac:dyDescent="0.35">
      <c r="C116" t="s">
        <v>27895</v>
      </c>
      <c r="D116" s="528">
        <v>2</v>
      </c>
      <c r="E116" s="1899">
        <f t="shared" ref="E116:F116" si="56">IF(OR(E29&lt;&gt;"",N29&lt;&gt;"",AJ85&lt;&gt;""),1,0)</f>
        <v>0</v>
      </c>
      <c r="F116" s="1906">
        <f t="shared" si="56"/>
        <v>0</v>
      </c>
      <c r="G116" s="1907">
        <f t="shared" si="32"/>
        <v>0</v>
      </c>
      <c r="H116" s="1908">
        <f t="shared" ref="H116:I116" si="57">IF(OR(H29&lt;&gt;"",Q29&lt;&gt;"",AM85&lt;&gt;""),1,0)</f>
        <v>0</v>
      </c>
      <c r="I116" s="1900">
        <f t="shared" si="57"/>
        <v>0</v>
      </c>
      <c r="J116" s="1903">
        <f t="shared" si="34"/>
        <v>0</v>
      </c>
      <c r="K116" s="2194">
        <f t="shared" si="37"/>
        <v>0</v>
      </c>
      <c r="L116" s="1900">
        <f t="shared" si="37"/>
        <v>0</v>
      </c>
      <c r="M116" s="1903">
        <f t="shared" si="37"/>
        <v>0</v>
      </c>
      <c r="AD116" s="118"/>
      <c r="AF116" s="519" t="s">
        <v>27861</v>
      </c>
      <c r="AI116" s="11" t="s">
        <v>225</v>
      </c>
      <c r="AJ116" s="333" t="str">
        <f t="shared" si="50"/>
        <v/>
      </c>
      <c r="AK116" s="120" t="str">
        <f t="shared" si="50"/>
        <v/>
      </c>
      <c r="AL116" s="121"/>
      <c r="AM116" s="333" t="str">
        <f t="shared" si="51"/>
        <v/>
      </c>
      <c r="AN116" s="120" t="str">
        <f t="shared" si="51"/>
        <v/>
      </c>
      <c r="AO116" s="121"/>
      <c r="AQ116" s="118"/>
    </row>
    <row r="117" spans="3:43" ht="13.15" x14ac:dyDescent="0.35">
      <c r="C117" t="s">
        <v>27895</v>
      </c>
      <c r="D117" s="528">
        <v>2</v>
      </c>
      <c r="E117" s="1659">
        <f t="shared" ref="E117:F117" si="58">IF(OR(E30&lt;&gt;"",N30&lt;&gt;"",AJ86&lt;&gt;""),1,0)</f>
        <v>0</v>
      </c>
      <c r="F117" s="460">
        <f t="shared" si="58"/>
        <v>0</v>
      </c>
      <c r="G117" s="461">
        <f t="shared" si="32"/>
        <v>0</v>
      </c>
      <c r="H117" s="462">
        <f t="shared" ref="H117:I117" si="59">IF(OR(H30&lt;&gt;"",Q30&lt;&gt;"",AM86&lt;&gt;""),1,0)</f>
        <v>0</v>
      </c>
      <c r="I117" s="460">
        <f t="shared" si="59"/>
        <v>0</v>
      </c>
      <c r="J117" s="463">
        <f t="shared" si="34"/>
        <v>0</v>
      </c>
      <c r="K117" s="1659">
        <f t="shared" si="37"/>
        <v>0</v>
      </c>
      <c r="L117" s="460">
        <f t="shared" si="37"/>
        <v>0</v>
      </c>
      <c r="M117" s="463">
        <f t="shared" si="37"/>
        <v>0</v>
      </c>
      <c r="AD117" s="118"/>
      <c r="AF117" s="1375" t="s">
        <v>27863</v>
      </c>
      <c r="AI117" s="11" t="s">
        <v>225</v>
      </c>
      <c r="AJ117" s="1879" t="str">
        <f t="shared" ref="AJ117:AK148" si="60">AJ113</f>
        <v/>
      </c>
      <c r="AK117" s="1892" t="str">
        <f t="shared" si="60"/>
        <v/>
      </c>
      <c r="AL117" s="1884"/>
      <c r="AM117" s="1879" t="str">
        <f t="shared" ref="AM117:AN148" si="61">AM113</f>
        <v/>
      </c>
      <c r="AN117" s="1892" t="str">
        <f t="shared" si="61"/>
        <v/>
      </c>
      <c r="AO117" s="1884"/>
      <c r="AQ117" s="118"/>
    </row>
    <row r="118" spans="3:43" ht="13.15" x14ac:dyDescent="0.35">
      <c r="C118" t="s">
        <v>27895</v>
      </c>
      <c r="D118" s="528">
        <v>2</v>
      </c>
      <c r="E118" s="445">
        <f t="shared" ref="E118:F118" si="62">IF(OR(E31&lt;&gt;"",N31&lt;&gt;"",AJ87&lt;&gt;""),1,0)</f>
        <v>0</v>
      </c>
      <c r="F118" s="446">
        <f t="shared" si="62"/>
        <v>0</v>
      </c>
      <c r="G118" s="447">
        <f t="shared" si="32"/>
        <v>0</v>
      </c>
      <c r="H118" s="448">
        <f t="shared" ref="H118:I118" si="63">IF(OR(H31&lt;&gt;"",Q31&lt;&gt;"",AM87&lt;&gt;""),1,0)</f>
        <v>0</v>
      </c>
      <c r="I118" s="446">
        <f t="shared" si="63"/>
        <v>0</v>
      </c>
      <c r="J118" s="466">
        <f t="shared" si="34"/>
        <v>0</v>
      </c>
      <c r="K118" s="445">
        <f t="shared" si="37"/>
        <v>0</v>
      </c>
      <c r="L118" s="446">
        <f t="shared" si="37"/>
        <v>0</v>
      </c>
      <c r="M118" s="466">
        <f t="shared" si="37"/>
        <v>0</v>
      </c>
      <c r="AD118" s="118"/>
      <c r="AF118" s="519" t="s">
        <v>27863</v>
      </c>
      <c r="AI118" s="11" t="s">
        <v>225</v>
      </c>
      <c r="AJ118" s="333" t="str">
        <f t="shared" si="60"/>
        <v/>
      </c>
      <c r="AK118" s="120" t="str">
        <f t="shared" si="60"/>
        <v/>
      </c>
      <c r="AL118" s="121"/>
      <c r="AM118" s="333" t="str">
        <f t="shared" si="61"/>
        <v/>
      </c>
      <c r="AN118" s="120" t="str">
        <f t="shared" si="61"/>
        <v/>
      </c>
      <c r="AO118" s="121"/>
      <c r="AQ118" s="118"/>
    </row>
    <row r="119" spans="3:43" ht="13.15" x14ac:dyDescent="0.35">
      <c r="C119" t="s">
        <v>27895</v>
      </c>
      <c r="D119" s="528">
        <v>2</v>
      </c>
      <c r="E119" s="467">
        <f t="shared" ref="E119:F119" si="64">IF(OR(E32&lt;&gt;"",N32&lt;&gt;"",AJ88&lt;&gt;""),1,0)</f>
        <v>0</v>
      </c>
      <c r="F119" s="468">
        <f t="shared" si="64"/>
        <v>0</v>
      </c>
      <c r="G119" s="469">
        <f t="shared" si="32"/>
        <v>0</v>
      </c>
      <c r="H119" s="470">
        <f t="shared" ref="H119:I119" si="65">IF(OR(H32&lt;&gt;"",Q32&lt;&gt;"",AM88&lt;&gt;""),1,0)</f>
        <v>0</v>
      </c>
      <c r="I119" s="468">
        <f t="shared" si="65"/>
        <v>0</v>
      </c>
      <c r="J119" s="471">
        <f t="shared" si="34"/>
        <v>0</v>
      </c>
      <c r="K119" s="467">
        <f t="shared" si="37"/>
        <v>0</v>
      </c>
      <c r="L119" s="468">
        <f t="shared" si="37"/>
        <v>0</v>
      </c>
      <c r="M119" s="471">
        <f t="shared" si="37"/>
        <v>0</v>
      </c>
      <c r="AD119" s="118"/>
      <c r="AF119" s="519" t="s">
        <v>27863</v>
      </c>
      <c r="AI119" s="11" t="s">
        <v>225</v>
      </c>
      <c r="AJ119" s="333" t="str">
        <f t="shared" si="60"/>
        <v/>
      </c>
      <c r="AK119" s="120" t="str">
        <f t="shared" si="60"/>
        <v/>
      </c>
      <c r="AL119" s="121"/>
      <c r="AM119" s="333" t="str">
        <f t="shared" si="61"/>
        <v/>
      </c>
      <c r="AN119" s="120" t="str">
        <f t="shared" si="61"/>
        <v/>
      </c>
      <c r="AO119" s="121"/>
      <c r="AQ119" s="118"/>
    </row>
    <row r="120" spans="3:43" ht="13.15" x14ac:dyDescent="0.35">
      <c r="C120" t="s">
        <v>27896</v>
      </c>
      <c r="D120" s="528">
        <v>2</v>
      </c>
      <c r="E120" s="1899">
        <f t="shared" ref="E120:F120" si="66">IF(OR(E33&lt;&gt;"",N33&lt;&gt;"",AJ89&lt;&gt;""),1,0)</f>
        <v>0</v>
      </c>
      <c r="F120" s="1900">
        <f t="shared" si="66"/>
        <v>0</v>
      </c>
      <c r="G120" s="1901">
        <f t="shared" si="32"/>
        <v>0</v>
      </c>
      <c r="H120" s="1902">
        <f t="shared" ref="H120:I120" si="67">IF(OR(H33&lt;&gt;"",Q33&lt;&gt;"",AM89&lt;&gt;""),1,0)</f>
        <v>0</v>
      </c>
      <c r="I120" s="1900">
        <f t="shared" si="67"/>
        <v>0</v>
      </c>
      <c r="J120" s="1903">
        <f t="shared" si="34"/>
        <v>0</v>
      </c>
      <c r="K120" s="1899">
        <f t="shared" si="37"/>
        <v>0</v>
      </c>
      <c r="L120" s="1900">
        <f t="shared" si="37"/>
        <v>0</v>
      </c>
      <c r="M120" s="1903">
        <f t="shared" si="37"/>
        <v>0</v>
      </c>
      <c r="AD120" s="118"/>
      <c r="AF120" s="519" t="s">
        <v>27863</v>
      </c>
      <c r="AI120" s="11" t="s">
        <v>225</v>
      </c>
      <c r="AJ120" s="333" t="str">
        <f t="shared" si="60"/>
        <v/>
      </c>
      <c r="AK120" s="120" t="str">
        <f t="shared" si="60"/>
        <v/>
      </c>
      <c r="AL120" s="121"/>
      <c r="AM120" s="333" t="str">
        <f t="shared" si="61"/>
        <v/>
      </c>
      <c r="AN120" s="120" t="str">
        <f t="shared" si="61"/>
        <v/>
      </c>
      <c r="AO120" s="121"/>
      <c r="AQ120" s="118"/>
    </row>
    <row r="121" spans="3:43" ht="13.15" x14ac:dyDescent="0.35">
      <c r="C121" t="s">
        <v>27896</v>
      </c>
      <c r="D121" s="528">
        <v>2</v>
      </c>
      <c r="E121" s="1659">
        <f t="shared" ref="E121:F121" si="68">IF(OR(E34&lt;&gt;"",N34&lt;&gt;"",AJ90&lt;&gt;""),1,0)</f>
        <v>0</v>
      </c>
      <c r="F121" s="460">
        <f t="shared" si="68"/>
        <v>0</v>
      </c>
      <c r="G121" s="461">
        <f t="shared" si="32"/>
        <v>0</v>
      </c>
      <c r="H121" s="462">
        <f t="shared" ref="H121:I121" si="69">IF(OR(H34&lt;&gt;"",Q34&lt;&gt;"",AM90&lt;&gt;""),1,0)</f>
        <v>0</v>
      </c>
      <c r="I121" s="460">
        <f t="shared" si="69"/>
        <v>0</v>
      </c>
      <c r="J121" s="463">
        <f t="shared" si="34"/>
        <v>0</v>
      </c>
      <c r="K121" s="1659">
        <f t="shared" si="37"/>
        <v>0</v>
      </c>
      <c r="L121" s="460">
        <f t="shared" si="37"/>
        <v>0</v>
      </c>
      <c r="M121" s="463">
        <f t="shared" si="37"/>
        <v>0</v>
      </c>
      <c r="AD121" s="118"/>
      <c r="AF121" s="1375" t="s">
        <v>27865</v>
      </c>
      <c r="AI121" s="11" t="s">
        <v>225</v>
      </c>
      <c r="AJ121" s="1879" t="str">
        <f t="shared" si="60"/>
        <v/>
      </c>
      <c r="AK121" s="1892" t="str">
        <f t="shared" si="60"/>
        <v/>
      </c>
      <c r="AL121" s="1884"/>
      <c r="AM121" s="1879" t="str">
        <f t="shared" si="61"/>
        <v/>
      </c>
      <c r="AN121" s="1892" t="str">
        <f t="shared" si="61"/>
        <v/>
      </c>
      <c r="AO121" s="1884"/>
      <c r="AQ121" s="118"/>
    </row>
    <row r="122" spans="3:43" ht="13.15" x14ac:dyDescent="0.35">
      <c r="C122" t="s">
        <v>27896</v>
      </c>
      <c r="D122" s="528">
        <v>2</v>
      </c>
      <c r="E122" s="445">
        <f t="shared" ref="E122:F122" si="70">IF(OR(E35&lt;&gt;"",N35&lt;&gt;"",AJ91&lt;&gt;""),1,0)</f>
        <v>0</v>
      </c>
      <c r="F122" s="446">
        <f t="shared" si="70"/>
        <v>0</v>
      </c>
      <c r="G122" s="447">
        <f t="shared" si="32"/>
        <v>0</v>
      </c>
      <c r="H122" s="448">
        <f t="shared" ref="H122:I122" si="71">IF(OR(H35&lt;&gt;"",Q35&lt;&gt;"",AM91&lt;&gt;""),1,0)</f>
        <v>0</v>
      </c>
      <c r="I122" s="446">
        <f t="shared" si="71"/>
        <v>0</v>
      </c>
      <c r="J122" s="466">
        <f t="shared" si="34"/>
        <v>0</v>
      </c>
      <c r="K122" s="445">
        <f t="shared" si="37"/>
        <v>0</v>
      </c>
      <c r="L122" s="446">
        <f t="shared" si="37"/>
        <v>0</v>
      </c>
      <c r="M122" s="466">
        <f t="shared" si="37"/>
        <v>0</v>
      </c>
      <c r="AD122" s="118"/>
      <c r="AF122" s="519" t="s">
        <v>27865</v>
      </c>
      <c r="AI122" s="11" t="s">
        <v>225</v>
      </c>
      <c r="AJ122" s="333" t="str">
        <f t="shared" si="60"/>
        <v/>
      </c>
      <c r="AK122" s="120" t="str">
        <f t="shared" si="60"/>
        <v/>
      </c>
      <c r="AL122" s="121"/>
      <c r="AM122" s="333" t="str">
        <f t="shared" si="61"/>
        <v/>
      </c>
      <c r="AN122" s="120" t="str">
        <f t="shared" si="61"/>
        <v/>
      </c>
      <c r="AO122" s="121"/>
      <c r="AQ122" s="118"/>
    </row>
    <row r="123" spans="3:43" ht="13.15" x14ac:dyDescent="0.35">
      <c r="C123" t="s">
        <v>27896</v>
      </c>
      <c r="D123" s="528">
        <v>2</v>
      </c>
      <c r="E123" s="467">
        <f t="shared" ref="E123:F123" si="72">IF(OR(E36&lt;&gt;"",N36&lt;&gt;"",AJ92&lt;&gt;""),1,0)</f>
        <v>0</v>
      </c>
      <c r="F123" s="468">
        <f t="shared" si="72"/>
        <v>0</v>
      </c>
      <c r="G123" s="469">
        <f t="shared" si="32"/>
        <v>0</v>
      </c>
      <c r="H123" s="470">
        <f t="shared" ref="H123:I123" si="73">IF(OR(H36&lt;&gt;"",Q36&lt;&gt;"",AM92&lt;&gt;""),1,0)</f>
        <v>0</v>
      </c>
      <c r="I123" s="468">
        <f t="shared" si="73"/>
        <v>0</v>
      </c>
      <c r="J123" s="471">
        <f t="shared" si="34"/>
        <v>0</v>
      </c>
      <c r="K123" s="467">
        <f t="shared" si="37"/>
        <v>0</v>
      </c>
      <c r="L123" s="468">
        <f t="shared" si="37"/>
        <v>0</v>
      </c>
      <c r="M123" s="471">
        <f t="shared" si="37"/>
        <v>0</v>
      </c>
      <c r="AD123" s="118"/>
      <c r="AF123" s="519" t="s">
        <v>27865</v>
      </c>
      <c r="AI123" s="11" t="s">
        <v>225</v>
      </c>
      <c r="AJ123" s="333" t="str">
        <f t="shared" si="60"/>
        <v/>
      </c>
      <c r="AK123" s="120" t="str">
        <f t="shared" si="60"/>
        <v/>
      </c>
      <c r="AL123" s="121"/>
      <c r="AM123" s="333" t="str">
        <f t="shared" si="61"/>
        <v/>
      </c>
      <c r="AN123" s="120" t="str">
        <f t="shared" si="61"/>
        <v/>
      </c>
      <c r="AO123" s="121"/>
      <c r="AQ123" s="118"/>
    </row>
    <row r="124" spans="3:43" ht="13.15" x14ac:dyDescent="0.35">
      <c r="C124" t="s">
        <v>27897</v>
      </c>
      <c r="D124" s="528">
        <v>3</v>
      </c>
      <c r="E124" s="1899">
        <f>IF(OR(E37&lt;&gt;"",W37&lt;&gt;"",AJ93&lt;&gt;""),1,0)</f>
        <v>0</v>
      </c>
      <c r="F124" s="1900">
        <f>IF(OR(F37&lt;&gt;"",X37&lt;&gt;"",AK93&lt;&gt;""),1,0)</f>
        <v>0</v>
      </c>
      <c r="G124" s="1901">
        <f>IF(OR(G37&lt;&gt;"",Y37&lt;&gt;"",AT37&lt;&gt;""),1,0)</f>
        <v>0</v>
      </c>
      <c r="H124" s="1902">
        <f>IF(OR(H37&lt;&gt;"",Z37&lt;&gt;"",AM93&lt;&gt;""),1,0)</f>
        <v>0</v>
      </c>
      <c r="I124" s="1900">
        <f>IF(OR(I37&lt;&gt;"",AA37&lt;&gt;"",AN93&lt;&gt;""),1,0)</f>
        <v>0</v>
      </c>
      <c r="J124" s="1903">
        <f>IF(OR(J37&lt;&gt;"",AB37&lt;&gt;"",AW37&lt;&gt;""),1,0)</f>
        <v>0</v>
      </c>
      <c r="K124" s="1899">
        <f t="shared" si="37"/>
        <v>0</v>
      </c>
      <c r="L124" s="1900">
        <f t="shared" si="37"/>
        <v>0</v>
      </c>
      <c r="M124" s="1903">
        <f t="shared" si="37"/>
        <v>0</v>
      </c>
      <c r="N124" t="s">
        <v>29198</v>
      </c>
      <c r="AD124" s="118"/>
      <c r="AF124" s="519" t="s">
        <v>27865</v>
      </c>
      <c r="AI124" s="11" t="s">
        <v>225</v>
      </c>
      <c r="AJ124" s="333" t="str">
        <f t="shared" si="60"/>
        <v/>
      </c>
      <c r="AK124" s="120" t="str">
        <f t="shared" si="60"/>
        <v/>
      </c>
      <c r="AL124" s="121"/>
      <c r="AM124" s="333" t="str">
        <f t="shared" si="61"/>
        <v/>
      </c>
      <c r="AN124" s="120" t="str">
        <f t="shared" si="61"/>
        <v/>
      </c>
      <c r="AO124" s="121"/>
      <c r="AQ124" s="118"/>
    </row>
    <row r="125" spans="3:43" ht="13.15" x14ac:dyDescent="0.35">
      <c r="C125" t="s">
        <v>27897</v>
      </c>
      <c r="D125" s="528">
        <v>3</v>
      </c>
      <c r="E125" s="1659">
        <f t="shared" ref="E125:F125" si="74">IF(OR(E38&lt;&gt;"",W38&lt;&gt;"",AJ94&lt;&gt;""),1,0)</f>
        <v>0</v>
      </c>
      <c r="F125" s="460">
        <f t="shared" si="74"/>
        <v>0</v>
      </c>
      <c r="G125" s="461">
        <f t="shared" ref="G125:G139" si="75">IF(OR(G38&lt;&gt;"",Y38&lt;&gt;"",AT38&lt;&gt;""),1,0)</f>
        <v>0</v>
      </c>
      <c r="H125" s="462">
        <f t="shared" ref="H125:I125" si="76">IF(OR(H38&lt;&gt;"",Z38&lt;&gt;"",AM94&lt;&gt;""),1,0)</f>
        <v>0</v>
      </c>
      <c r="I125" s="460">
        <f t="shared" si="76"/>
        <v>0</v>
      </c>
      <c r="J125" s="463">
        <f t="shared" ref="J125:J139" si="77">IF(OR(J38&lt;&gt;"",AB38&lt;&gt;"",AW38&lt;&gt;""),1,0)</f>
        <v>0</v>
      </c>
      <c r="K125" s="1659">
        <f t="shared" si="37"/>
        <v>0</v>
      </c>
      <c r="L125" s="460">
        <f t="shared" si="37"/>
        <v>0</v>
      </c>
      <c r="M125" s="463">
        <f t="shared" si="37"/>
        <v>0</v>
      </c>
      <c r="N125" t="s">
        <v>29198</v>
      </c>
      <c r="AD125" s="118"/>
      <c r="AF125" s="1375" t="s">
        <v>27867</v>
      </c>
      <c r="AI125" s="11" t="s">
        <v>225</v>
      </c>
      <c r="AJ125" s="1879" t="str">
        <f t="shared" si="60"/>
        <v/>
      </c>
      <c r="AK125" s="1892" t="str">
        <f t="shared" si="60"/>
        <v/>
      </c>
      <c r="AL125" s="1884"/>
      <c r="AM125" s="1879" t="str">
        <f t="shared" si="61"/>
        <v/>
      </c>
      <c r="AN125" s="1892" t="str">
        <f t="shared" si="61"/>
        <v/>
      </c>
      <c r="AO125" s="1884"/>
      <c r="AQ125" s="118"/>
    </row>
    <row r="126" spans="3:43" ht="13.15" x14ac:dyDescent="0.35">
      <c r="C126" t="s">
        <v>27897</v>
      </c>
      <c r="D126" s="528">
        <v>3</v>
      </c>
      <c r="E126" s="445">
        <f t="shared" ref="E126:F126" si="78">IF(OR(E39&lt;&gt;"",W39&lt;&gt;"",AJ95&lt;&gt;""),1,0)</f>
        <v>0</v>
      </c>
      <c r="F126" s="446">
        <f t="shared" si="78"/>
        <v>0</v>
      </c>
      <c r="G126" s="447">
        <f t="shared" si="75"/>
        <v>0</v>
      </c>
      <c r="H126" s="448">
        <f t="shared" ref="H126:I126" si="79">IF(OR(H39&lt;&gt;"",Z39&lt;&gt;"",AM95&lt;&gt;""),1,0)</f>
        <v>0</v>
      </c>
      <c r="I126" s="446">
        <f t="shared" si="79"/>
        <v>0</v>
      </c>
      <c r="J126" s="466">
        <f t="shared" si="77"/>
        <v>0</v>
      </c>
      <c r="K126" s="445">
        <f t="shared" si="37"/>
        <v>0</v>
      </c>
      <c r="L126" s="446">
        <f t="shared" si="37"/>
        <v>0</v>
      </c>
      <c r="M126" s="466">
        <f t="shared" si="37"/>
        <v>0</v>
      </c>
      <c r="N126" t="s">
        <v>29198</v>
      </c>
      <c r="AD126" s="118"/>
      <c r="AF126" s="519" t="s">
        <v>27867</v>
      </c>
      <c r="AI126" s="11" t="s">
        <v>225</v>
      </c>
      <c r="AJ126" s="333" t="str">
        <f t="shared" si="60"/>
        <v/>
      </c>
      <c r="AK126" s="120" t="str">
        <f t="shared" si="60"/>
        <v/>
      </c>
      <c r="AL126" s="121"/>
      <c r="AM126" s="333" t="str">
        <f t="shared" si="61"/>
        <v/>
      </c>
      <c r="AN126" s="120" t="str">
        <f t="shared" si="61"/>
        <v/>
      </c>
      <c r="AO126" s="121"/>
      <c r="AQ126" s="118"/>
    </row>
    <row r="127" spans="3:43" ht="13.15" x14ac:dyDescent="0.35">
      <c r="C127" t="s">
        <v>27897</v>
      </c>
      <c r="D127" s="528">
        <v>3</v>
      </c>
      <c r="E127" s="467">
        <f t="shared" ref="E127:F127" si="80">IF(OR(E40&lt;&gt;"",W40&lt;&gt;"",AJ96&lt;&gt;""),1,0)</f>
        <v>0</v>
      </c>
      <c r="F127" s="468">
        <f t="shared" si="80"/>
        <v>0</v>
      </c>
      <c r="G127" s="469">
        <f t="shared" si="75"/>
        <v>0</v>
      </c>
      <c r="H127" s="470">
        <f t="shared" ref="H127:I127" si="81">IF(OR(H40&lt;&gt;"",Z40&lt;&gt;"",AM96&lt;&gt;""),1,0)</f>
        <v>0</v>
      </c>
      <c r="I127" s="468">
        <f t="shared" si="81"/>
        <v>0</v>
      </c>
      <c r="J127" s="471">
        <f t="shared" si="77"/>
        <v>0</v>
      </c>
      <c r="K127" s="467">
        <f t="shared" si="37"/>
        <v>0</v>
      </c>
      <c r="L127" s="468">
        <f t="shared" si="37"/>
        <v>0</v>
      </c>
      <c r="M127" s="471">
        <f t="shared" si="37"/>
        <v>0</v>
      </c>
      <c r="N127" t="s">
        <v>29198</v>
      </c>
      <c r="AD127" s="118"/>
      <c r="AF127" s="519" t="s">
        <v>27867</v>
      </c>
      <c r="AI127" s="11" t="s">
        <v>225</v>
      </c>
      <c r="AJ127" s="333" t="str">
        <f t="shared" si="60"/>
        <v/>
      </c>
      <c r="AK127" s="120" t="str">
        <f t="shared" si="60"/>
        <v/>
      </c>
      <c r="AL127" s="121"/>
      <c r="AM127" s="333" t="str">
        <f t="shared" si="61"/>
        <v/>
      </c>
      <c r="AN127" s="120" t="str">
        <f t="shared" si="61"/>
        <v/>
      </c>
      <c r="AO127" s="121"/>
      <c r="AQ127" s="118"/>
    </row>
    <row r="128" spans="3:43" ht="13.15" x14ac:dyDescent="0.35">
      <c r="C128" t="s">
        <v>27898</v>
      </c>
      <c r="D128" s="528">
        <v>3</v>
      </c>
      <c r="E128" s="1899">
        <f t="shared" ref="E128:F128" si="82">IF(OR(E41&lt;&gt;"",W41&lt;&gt;"",AJ97&lt;&gt;""),1,0)</f>
        <v>0</v>
      </c>
      <c r="F128" s="1900">
        <f t="shared" si="82"/>
        <v>0</v>
      </c>
      <c r="G128" s="1901">
        <f t="shared" si="75"/>
        <v>0</v>
      </c>
      <c r="H128" s="1902">
        <f t="shared" ref="H128:I128" si="83">IF(OR(H41&lt;&gt;"",Z41&lt;&gt;"",AM97&lt;&gt;""),1,0)</f>
        <v>0</v>
      </c>
      <c r="I128" s="1900">
        <f t="shared" si="83"/>
        <v>0</v>
      </c>
      <c r="J128" s="1903">
        <f t="shared" si="77"/>
        <v>0</v>
      </c>
      <c r="K128" s="1899">
        <f t="shared" si="37"/>
        <v>0</v>
      </c>
      <c r="L128" s="1900">
        <f t="shared" si="37"/>
        <v>0</v>
      </c>
      <c r="M128" s="1903">
        <f t="shared" si="37"/>
        <v>0</v>
      </c>
      <c r="N128" t="s">
        <v>29198</v>
      </c>
      <c r="AD128" s="118"/>
      <c r="AF128" s="519" t="s">
        <v>27867</v>
      </c>
      <c r="AI128" s="11" t="s">
        <v>225</v>
      </c>
      <c r="AJ128" s="333" t="str">
        <f t="shared" si="60"/>
        <v/>
      </c>
      <c r="AK128" s="120" t="str">
        <f t="shared" si="60"/>
        <v/>
      </c>
      <c r="AL128" s="121"/>
      <c r="AM128" s="333" t="str">
        <f t="shared" si="61"/>
        <v/>
      </c>
      <c r="AN128" s="120" t="str">
        <f t="shared" si="61"/>
        <v/>
      </c>
      <c r="AO128" s="121"/>
      <c r="AQ128" s="118"/>
    </row>
    <row r="129" spans="3:43" ht="13.15" x14ac:dyDescent="0.35">
      <c r="C129" t="s">
        <v>27898</v>
      </c>
      <c r="D129" s="528">
        <v>3</v>
      </c>
      <c r="E129" s="1659">
        <f t="shared" ref="E129:F129" si="84">IF(OR(E42&lt;&gt;"",W42&lt;&gt;"",AJ98&lt;&gt;""),1,0)</f>
        <v>0</v>
      </c>
      <c r="F129" s="460">
        <f t="shared" si="84"/>
        <v>0</v>
      </c>
      <c r="G129" s="461">
        <f t="shared" si="75"/>
        <v>0</v>
      </c>
      <c r="H129" s="462">
        <f t="shared" ref="H129:I129" si="85">IF(OR(H42&lt;&gt;"",Z42&lt;&gt;"",AM98&lt;&gt;""),1,0)</f>
        <v>0</v>
      </c>
      <c r="I129" s="460">
        <f t="shared" si="85"/>
        <v>0</v>
      </c>
      <c r="J129" s="463">
        <f t="shared" si="77"/>
        <v>0</v>
      </c>
      <c r="K129" s="1659">
        <f t="shared" si="37"/>
        <v>0</v>
      </c>
      <c r="L129" s="460">
        <f t="shared" si="37"/>
        <v>0</v>
      </c>
      <c r="M129" s="463">
        <f t="shared" si="37"/>
        <v>0</v>
      </c>
      <c r="N129" t="s">
        <v>29198</v>
      </c>
      <c r="AD129" s="118"/>
      <c r="AF129" s="1375" t="s">
        <v>27869</v>
      </c>
      <c r="AI129" s="11" t="s">
        <v>225</v>
      </c>
      <c r="AJ129" s="1879" t="str">
        <f t="shared" si="60"/>
        <v/>
      </c>
      <c r="AK129" s="1892" t="str">
        <f t="shared" si="60"/>
        <v/>
      </c>
      <c r="AL129" s="1884"/>
      <c r="AM129" s="1879" t="str">
        <f t="shared" si="61"/>
        <v/>
      </c>
      <c r="AN129" s="1892" t="str">
        <f t="shared" si="61"/>
        <v/>
      </c>
      <c r="AO129" s="1884"/>
      <c r="AQ129" s="118"/>
    </row>
    <row r="130" spans="3:43" ht="13.15" x14ac:dyDescent="0.35">
      <c r="C130" t="s">
        <v>27898</v>
      </c>
      <c r="D130" s="528">
        <v>3</v>
      </c>
      <c r="E130" s="445">
        <f t="shared" ref="E130:F130" si="86">IF(OR(E43&lt;&gt;"",W43&lt;&gt;"",AJ99&lt;&gt;""),1,0)</f>
        <v>0</v>
      </c>
      <c r="F130" s="446">
        <f t="shared" si="86"/>
        <v>0</v>
      </c>
      <c r="G130" s="447">
        <f t="shared" si="75"/>
        <v>0</v>
      </c>
      <c r="H130" s="448">
        <f t="shared" ref="H130:I130" si="87">IF(OR(H43&lt;&gt;"",Z43&lt;&gt;"",AM99&lt;&gt;""),1,0)</f>
        <v>0</v>
      </c>
      <c r="I130" s="446">
        <f t="shared" si="87"/>
        <v>0</v>
      </c>
      <c r="J130" s="466">
        <f t="shared" si="77"/>
        <v>0</v>
      </c>
      <c r="K130" s="445">
        <f t="shared" si="37"/>
        <v>0</v>
      </c>
      <c r="L130" s="446">
        <f t="shared" si="37"/>
        <v>0</v>
      </c>
      <c r="M130" s="466">
        <f t="shared" si="37"/>
        <v>0</v>
      </c>
      <c r="N130" t="s">
        <v>29198</v>
      </c>
      <c r="AD130" s="118"/>
      <c r="AF130" s="519" t="s">
        <v>27869</v>
      </c>
      <c r="AI130" s="11" t="s">
        <v>225</v>
      </c>
      <c r="AJ130" s="333" t="str">
        <f t="shared" si="60"/>
        <v/>
      </c>
      <c r="AK130" s="120" t="str">
        <f t="shared" si="60"/>
        <v/>
      </c>
      <c r="AL130" s="121"/>
      <c r="AM130" s="333" t="str">
        <f t="shared" si="61"/>
        <v/>
      </c>
      <c r="AN130" s="120" t="str">
        <f t="shared" si="61"/>
        <v/>
      </c>
      <c r="AO130" s="121"/>
      <c r="AQ130" s="118"/>
    </row>
    <row r="131" spans="3:43" ht="13.15" x14ac:dyDescent="0.35">
      <c r="C131" t="s">
        <v>27898</v>
      </c>
      <c r="D131" s="528">
        <v>3</v>
      </c>
      <c r="E131" s="467">
        <f t="shared" ref="E131:F131" si="88">IF(OR(E44&lt;&gt;"",W44&lt;&gt;"",AJ100&lt;&gt;""),1,0)</f>
        <v>0</v>
      </c>
      <c r="F131" s="468">
        <f t="shared" si="88"/>
        <v>0</v>
      </c>
      <c r="G131" s="469">
        <f t="shared" si="75"/>
        <v>0</v>
      </c>
      <c r="H131" s="470">
        <f t="shared" ref="H131:I131" si="89">IF(OR(H44&lt;&gt;"",Z44&lt;&gt;"",AM100&lt;&gt;""),1,0)</f>
        <v>0</v>
      </c>
      <c r="I131" s="468">
        <f t="shared" si="89"/>
        <v>0</v>
      </c>
      <c r="J131" s="471">
        <f t="shared" si="77"/>
        <v>0</v>
      </c>
      <c r="K131" s="467">
        <f t="shared" si="37"/>
        <v>0</v>
      </c>
      <c r="L131" s="468">
        <f t="shared" si="37"/>
        <v>0</v>
      </c>
      <c r="M131" s="471">
        <f t="shared" si="37"/>
        <v>0</v>
      </c>
      <c r="N131" t="s">
        <v>29198</v>
      </c>
      <c r="AD131" s="118"/>
      <c r="AF131" s="519" t="s">
        <v>27869</v>
      </c>
      <c r="AI131" s="11" t="s">
        <v>225</v>
      </c>
      <c r="AJ131" s="333" t="str">
        <f t="shared" si="60"/>
        <v/>
      </c>
      <c r="AK131" s="120" t="str">
        <f t="shared" si="60"/>
        <v/>
      </c>
      <c r="AL131" s="121"/>
      <c r="AM131" s="333" t="str">
        <f t="shared" si="61"/>
        <v/>
      </c>
      <c r="AN131" s="120" t="str">
        <f t="shared" si="61"/>
        <v/>
      </c>
      <c r="AO131" s="121"/>
      <c r="AQ131" s="118"/>
    </row>
    <row r="132" spans="3:43" ht="13.15" x14ac:dyDescent="0.35">
      <c r="C132" t="s">
        <v>27899</v>
      </c>
      <c r="D132" s="528">
        <v>3</v>
      </c>
      <c r="E132" s="1899">
        <f t="shared" ref="E132:F132" si="90">IF(OR(E45&lt;&gt;"",W45&lt;&gt;"",AJ101&lt;&gt;""),1,0)</f>
        <v>0</v>
      </c>
      <c r="F132" s="1900">
        <f t="shared" si="90"/>
        <v>0</v>
      </c>
      <c r="G132" s="1901">
        <f t="shared" si="75"/>
        <v>0</v>
      </c>
      <c r="H132" s="1902">
        <f t="shared" ref="H132:I132" si="91">IF(OR(H45&lt;&gt;"",Z45&lt;&gt;"",AM101&lt;&gt;""),1,0)</f>
        <v>0</v>
      </c>
      <c r="I132" s="1900">
        <f t="shared" si="91"/>
        <v>0</v>
      </c>
      <c r="J132" s="1903">
        <f t="shared" si="77"/>
        <v>0</v>
      </c>
      <c r="K132" s="1899">
        <f t="shared" si="37"/>
        <v>0</v>
      </c>
      <c r="L132" s="1900">
        <f t="shared" si="37"/>
        <v>0</v>
      </c>
      <c r="M132" s="1903">
        <f t="shared" si="37"/>
        <v>0</v>
      </c>
      <c r="N132" t="s">
        <v>29198</v>
      </c>
      <c r="AD132" s="118"/>
      <c r="AF132" s="519" t="s">
        <v>27869</v>
      </c>
      <c r="AI132" s="11" t="s">
        <v>225</v>
      </c>
      <c r="AJ132" s="333" t="str">
        <f t="shared" si="60"/>
        <v/>
      </c>
      <c r="AK132" s="120" t="str">
        <f t="shared" si="60"/>
        <v/>
      </c>
      <c r="AL132" s="121"/>
      <c r="AM132" s="333" t="str">
        <f t="shared" si="61"/>
        <v/>
      </c>
      <c r="AN132" s="120" t="str">
        <f t="shared" si="61"/>
        <v/>
      </c>
      <c r="AO132" s="121"/>
      <c r="AQ132" s="118"/>
    </row>
    <row r="133" spans="3:43" ht="13.15" x14ac:dyDescent="0.35">
      <c r="C133" t="s">
        <v>27899</v>
      </c>
      <c r="D133" s="528">
        <v>3</v>
      </c>
      <c r="E133" s="1659">
        <f t="shared" ref="E133:F133" si="92">IF(OR(E46&lt;&gt;"",W46&lt;&gt;"",AJ102&lt;&gt;""),1,0)</f>
        <v>0</v>
      </c>
      <c r="F133" s="460">
        <f t="shared" si="92"/>
        <v>0</v>
      </c>
      <c r="G133" s="461">
        <f t="shared" si="75"/>
        <v>0</v>
      </c>
      <c r="H133" s="462">
        <f t="shared" ref="H133:I133" si="93">IF(OR(H46&lt;&gt;"",Z46&lt;&gt;"",AM102&lt;&gt;""),1,0)</f>
        <v>0</v>
      </c>
      <c r="I133" s="460">
        <f t="shared" si="93"/>
        <v>0</v>
      </c>
      <c r="J133" s="463">
        <f t="shared" si="77"/>
        <v>0</v>
      </c>
      <c r="K133" s="1659">
        <f t="shared" si="37"/>
        <v>0</v>
      </c>
      <c r="L133" s="460">
        <f t="shared" si="37"/>
        <v>0</v>
      </c>
      <c r="M133" s="463">
        <f t="shared" si="37"/>
        <v>0</v>
      </c>
      <c r="N133" t="s">
        <v>29198</v>
      </c>
      <c r="AD133" s="118"/>
      <c r="AF133" s="1375" t="s">
        <v>27871</v>
      </c>
      <c r="AI133" s="11" t="s">
        <v>225</v>
      </c>
      <c r="AJ133" s="1879" t="str">
        <f t="shared" si="60"/>
        <v/>
      </c>
      <c r="AK133" s="1892" t="str">
        <f t="shared" si="60"/>
        <v/>
      </c>
      <c r="AL133" s="1884"/>
      <c r="AM133" s="1879" t="str">
        <f t="shared" si="61"/>
        <v/>
      </c>
      <c r="AN133" s="1892" t="str">
        <f t="shared" si="61"/>
        <v/>
      </c>
      <c r="AO133" s="1884"/>
      <c r="AQ133" s="118"/>
    </row>
    <row r="134" spans="3:43" ht="13.15" x14ac:dyDescent="0.35">
      <c r="C134" t="s">
        <v>27899</v>
      </c>
      <c r="D134" s="528">
        <v>3</v>
      </c>
      <c r="E134" s="445">
        <f t="shared" ref="E134:F134" si="94">IF(OR(E47&lt;&gt;"",W47&lt;&gt;"",AJ103&lt;&gt;""),1,0)</f>
        <v>0</v>
      </c>
      <c r="F134" s="446">
        <f t="shared" si="94"/>
        <v>0</v>
      </c>
      <c r="G134" s="447">
        <f t="shared" si="75"/>
        <v>0</v>
      </c>
      <c r="H134" s="448">
        <f t="shared" ref="H134:I134" si="95">IF(OR(H47&lt;&gt;"",Z47&lt;&gt;"",AM103&lt;&gt;""),1,0)</f>
        <v>0</v>
      </c>
      <c r="I134" s="446">
        <f t="shared" si="95"/>
        <v>0</v>
      </c>
      <c r="J134" s="466">
        <f t="shared" si="77"/>
        <v>0</v>
      </c>
      <c r="K134" s="445">
        <f t="shared" si="37"/>
        <v>0</v>
      </c>
      <c r="L134" s="446">
        <f t="shared" si="37"/>
        <v>0</v>
      </c>
      <c r="M134" s="466">
        <f t="shared" si="37"/>
        <v>0</v>
      </c>
      <c r="N134" t="s">
        <v>29198</v>
      </c>
      <c r="AD134" s="118"/>
      <c r="AF134" s="519" t="s">
        <v>27871</v>
      </c>
      <c r="AI134" s="11" t="s">
        <v>225</v>
      </c>
      <c r="AJ134" s="333" t="str">
        <f t="shared" si="60"/>
        <v/>
      </c>
      <c r="AK134" s="120" t="str">
        <f t="shared" si="60"/>
        <v/>
      </c>
      <c r="AL134" s="121"/>
      <c r="AM134" s="333" t="str">
        <f t="shared" si="61"/>
        <v/>
      </c>
      <c r="AN134" s="120" t="str">
        <f t="shared" si="61"/>
        <v/>
      </c>
      <c r="AO134" s="121"/>
      <c r="AQ134" s="118"/>
    </row>
    <row r="135" spans="3:43" ht="13.15" x14ac:dyDescent="0.35">
      <c r="C135" t="s">
        <v>27899</v>
      </c>
      <c r="D135" s="528">
        <v>3</v>
      </c>
      <c r="E135" s="467">
        <f t="shared" ref="E135:F135" si="96">IF(OR(E48&lt;&gt;"",W48&lt;&gt;"",AJ104&lt;&gt;""),1,0)</f>
        <v>0</v>
      </c>
      <c r="F135" s="468">
        <f t="shared" si="96"/>
        <v>0</v>
      </c>
      <c r="G135" s="469">
        <f t="shared" si="75"/>
        <v>0</v>
      </c>
      <c r="H135" s="470">
        <f t="shared" ref="H135:I135" si="97">IF(OR(H48&lt;&gt;"",Z48&lt;&gt;"",AM104&lt;&gt;""),1,0)</f>
        <v>0</v>
      </c>
      <c r="I135" s="468">
        <f t="shared" si="97"/>
        <v>0</v>
      </c>
      <c r="J135" s="471">
        <f t="shared" si="77"/>
        <v>0</v>
      </c>
      <c r="K135" s="467">
        <f t="shared" si="37"/>
        <v>0</v>
      </c>
      <c r="L135" s="468">
        <f t="shared" si="37"/>
        <v>0</v>
      </c>
      <c r="M135" s="471">
        <f t="shared" si="37"/>
        <v>0</v>
      </c>
      <c r="N135" t="s">
        <v>29198</v>
      </c>
      <c r="AD135" s="118"/>
      <c r="AF135" s="519" t="s">
        <v>27871</v>
      </c>
      <c r="AI135" s="11" t="s">
        <v>225</v>
      </c>
      <c r="AJ135" s="333" t="str">
        <f t="shared" si="60"/>
        <v/>
      </c>
      <c r="AK135" s="120" t="str">
        <f t="shared" si="60"/>
        <v/>
      </c>
      <c r="AL135" s="121"/>
      <c r="AM135" s="333" t="str">
        <f t="shared" si="61"/>
        <v/>
      </c>
      <c r="AN135" s="120" t="str">
        <f t="shared" si="61"/>
        <v/>
      </c>
      <c r="AO135" s="121"/>
      <c r="AQ135" s="118"/>
    </row>
    <row r="136" spans="3:43" ht="13.15" x14ac:dyDescent="0.35">
      <c r="C136" t="s">
        <v>27900</v>
      </c>
      <c r="D136" s="528">
        <v>3</v>
      </c>
      <c r="E136" s="1899">
        <f t="shared" ref="E136:F136" si="98">IF(OR(E49&lt;&gt;"",W49&lt;&gt;"",AJ105&lt;&gt;""),1,0)</f>
        <v>0</v>
      </c>
      <c r="F136" s="1900">
        <f t="shared" si="98"/>
        <v>0</v>
      </c>
      <c r="G136" s="1901">
        <f t="shared" si="75"/>
        <v>0</v>
      </c>
      <c r="H136" s="1902">
        <f t="shared" ref="H136:I136" si="99">IF(OR(H49&lt;&gt;"",Z49&lt;&gt;"",AM105&lt;&gt;""),1,0)</f>
        <v>0</v>
      </c>
      <c r="I136" s="1900">
        <f t="shared" si="99"/>
        <v>0</v>
      </c>
      <c r="J136" s="1903">
        <f t="shared" si="77"/>
        <v>0</v>
      </c>
      <c r="K136" s="1899">
        <f t="shared" si="37"/>
        <v>0</v>
      </c>
      <c r="L136" s="1900">
        <f t="shared" si="37"/>
        <v>0</v>
      </c>
      <c r="M136" s="1903">
        <f t="shared" si="37"/>
        <v>0</v>
      </c>
      <c r="N136" t="s">
        <v>29198</v>
      </c>
      <c r="AD136" s="118"/>
      <c r="AF136" s="519" t="s">
        <v>27871</v>
      </c>
      <c r="AI136" s="11" t="s">
        <v>225</v>
      </c>
      <c r="AJ136" s="333" t="str">
        <f t="shared" si="60"/>
        <v/>
      </c>
      <c r="AK136" s="120" t="str">
        <f t="shared" si="60"/>
        <v/>
      </c>
      <c r="AL136" s="121"/>
      <c r="AM136" s="333" t="str">
        <f t="shared" si="61"/>
        <v/>
      </c>
      <c r="AN136" s="120" t="str">
        <f t="shared" si="61"/>
        <v/>
      </c>
      <c r="AO136" s="121"/>
      <c r="AQ136" s="118"/>
    </row>
    <row r="137" spans="3:43" ht="13.15" x14ac:dyDescent="0.35">
      <c r="C137" t="s">
        <v>27900</v>
      </c>
      <c r="D137" s="528">
        <v>3</v>
      </c>
      <c r="E137" s="1659">
        <f t="shared" ref="E137:F137" si="100">IF(OR(E50&lt;&gt;"",W50&lt;&gt;"",AJ106&lt;&gt;""),1,0)</f>
        <v>0</v>
      </c>
      <c r="F137" s="460">
        <f t="shared" si="100"/>
        <v>0</v>
      </c>
      <c r="G137" s="461">
        <f t="shared" si="75"/>
        <v>0</v>
      </c>
      <c r="H137" s="462">
        <f t="shared" ref="H137:I137" si="101">IF(OR(H50&lt;&gt;"",Z50&lt;&gt;"",AM106&lt;&gt;""),1,0)</f>
        <v>0</v>
      </c>
      <c r="I137" s="460">
        <f t="shared" si="101"/>
        <v>0</v>
      </c>
      <c r="J137" s="463">
        <f t="shared" si="77"/>
        <v>0</v>
      </c>
      <c r="K137" s="1659">
        <f t="shared" si="37"/>
        <v>0</v>
      </c>
      <c r="L137" s="460">
        <f t="shared" si="37"/>
        <v>0</v>
      </c>
      <c r="M137" s="463">
        <f t="shared" si="37"/>
        <v>0</v>
      </c>
      <c r="N137" t="s">
        <v>29198</v>
      </c>
      <c r="AD137" s="118"/>
      <c r="AF137" s="1375" t="s">
        <v>27873</v>
      </c>
      <c r="AI137" s="11" t="s">
        <v>225</v>
      </c>
      <c r="AJ137" s="1879" t="str">
        <f t="shared" si="60"/>
        <v/>
      </c>
      <c r="AK137" s="1892" t="str">
        <f t="shared" si="60"/>
        <v/>
      </c>
      <c r="AL137" s="1884"/>
      <c r="AM137" s="1879" t="str">
        <f t="shared" si="61"/>
        <v/>
      </c>
      <c r="AN137" s="1892" t="str">
        <f t="shared" si="61"/>
        <v/>
      </c>
      <c r="AO137" s="1884"/>
      <c r="AQ137" s="118"/>
    </row>
    <row r="138" spans="3:43" ht="13.15" x14ac:dyDescent="0.35">
      <c r="C138" t="s">
        <v>27900</v>
      </c>
      <c r="D138" s="528">
        <v>3</v>
      </c>
      <c r="E138" s="445">
        <f t="shared" ref="E138:F138" si="102">IF(OR(E51&lt;&gt;"",W51&lt;&gt;"",AJ107&lt;&gt;""),1,0)</f>
        <v>0</v>
      </c>
      <c r="F138" s="446">
        <f t="shared" si="102"/>
        <v>0</v>
      </c>
      <c r="G138" s="447">
        <f t="shared" si="75"/>
        <v>0</v>
      </c>
      <c r="H138" s="448">
        <f t="shared" ref="H138:I138" si="103">IF(OR(H51&lt;&gt;"",Z51&lt;&gt;"",AM107&lt;&gt;""),1,0)</f>
        <v>0</v>
      </c>
      <c r="I138" s="446">
        <f t="shared" si="103"/>
        <v>0</v>
      </c>
      <c r="J138" s="466">
        <f t="shared" si="77"/>
        <v>0</v>
      </c>
      <c r="K138" s="445">
        <f t="shared" si="37"/>
        <v>0</v>
      </c>
      <c r="L138" s="446">
        <f t="shared" si="37"/>
        <v>0</v>
      </c>
      <c r="M138" s="466">
        <f t="shared" si="37"/>
        <v>0</v>
      </c>
      <c r="N138" t="s">
        <v>29198</v>
      </c>
      <c r="AD138" s="118"/>
      <c r="AF138" s="519" t="s">
        <v>27873</v>
      </c>
      <c r="AI138" s="11" t="s">
        <v>225</v>
      </c>
      <c r="AJ138" s="333" t="str">
        <f t="shared" si="60"/>
        <v/>
      </c>
      <c r="AK138" s="120" t="str">
        <f t="shared" si="60"/>
        <v/>
      </c>
      <c r="AL138" s="121"/>
      <c r="AM138" s="333" t="str">
        <f t="shared" si="61"/>
        <v/>
      </c>
      <c r="AN138" s="120" t="str">
        <f t="shared" si="61"/>
        <v/>
      </c>
      <c r="AO138" s="121"/>
      <c r="AQ138" s="118"/>
    </row>
    <row r="139" spans="3:43" ht="13.15" x14ac:dyDescent="0.35">
      <c r="C139" t="s">
        <v>27900</v>
      </c>
      <c r="D139" s="528">
        <v>3</v>
      </c>
      <c r="E139" s="467">
        <f t="shared" ref="E139:F139" si="104">IF(OR(E52&lt;&gt;"",W52&lt;&gt;"",AJ108&lt;&gt;""),1,0)</f>
        <v>0</v>
      </c>
      <c r="F139" s="468">
        <f t="shared" si="104"/>
        <v>0</v>
      </c>
      <c r="G139" s="469">
        <f t="shared" si="75"/>
        <v>0</v>
      </c>
      <c r="H139" s="470">
        <f t="shared" ref="H139:I139" si="105">IF(OR(H52&lt;&gt;"",Z52&lt;&gt;"",AM108&lt;&gt;""),1,0)</f>
        <v>0</v>
      </c>
      <c r="I139" s="468">
        <f t="shared" si="105"/>
        <v>0</v>
      </c>
      <c r="J139" s="471">
        <f t="shared" si="77"/>
        <v>0</v>
      </c>
      <c r="K139" s="467">
        <f t="shared" si="37"/>
        <v>0</v>
      </c>
      <c r="L139" s="468">
        <f t="shared" si="37"/>
        <v>0</v>
      </c>
      <c r="M139" s="471">
        <f t="shared" si="37"/>
        <v>0</v>
      </c>
      <c r="N139" t="s">
        <v>29198</v>
      </c>
      <c r="AD139" s="118"/>
      <c r="AF139" s="519" t="s">
        <v>27873</v>
      </c>
      <c r="AI139" s="11" t="s">
        <v>225</v>
      </c>
      <c r="AJ139" s="333" t="str">
        <f t="shared" si="60"/>
        <v/>
      </c>
      <c r="AK139" s="120" t="str">
        <f t="shared" si="60"/>
        <v/>
      </c>
      <c r="AL139" s="121"/>
      <c r="AM139" s="333" t="str">
        <f t="shared" si="61"/>
        <v/>
      </c>
      <c r="AN139" s="120" t="str">
        <f t="shared" si="61"/>
        <v/>
      </c>
      <c r="AO139" s="121"/>
      <c r="AQ139" s="118"/>
    </row>
    <row r="140" spans="3:43" ht="13.15" x14ac:dyDescent="0.35">
      <c r="C140" t="s">
        <v>27902</v>
      </c>
      <c r="D140" s="528">
        <v>3</v>
      </c>
      <c r="E140" s="1899">
        <f>IF(OR(E53&lt;&gt;"",N53&lt;&gt;"",AJ109&lt;&gt;""),1,0)</f>
        <v>0</v>
      </c>
      <c r="F140" s="1900">
        <f>IF(OR(F53&lt;&gt;"",O53&lt;&gt;"",AK109&lt;&gt;""),1,0)</f>
        <v>0</v>
      </c>
      <c r="G140" s="1901">
        <f>IF(OR(G53&lt;&gt;"",P53&lt;&gt;"",AT53&lt;&gt;""),1,0)</f>
        <v>0</v>
      </c>
      <c r="H140" s="1902">
        <f>IF(OR(H53&lt;&gt;"",Q53&lt;&gt;"",AM109&lt;&gt;""),1,0)</f>
        <v>0</v>
      </c>
      <c r="I140" s="1900">
        <f>IF(OR(I53&lt;&gt;"",R53&lt;&gt;"",AN109&lt;&gt;""),1,0)</f>
        <v>0</v>
      </c>
      <c r="J140" s="1903">
        <f>IF(OR(J53&lt;&gt;"",S53&lt;&gt;"",AW53&lt;&gt;""),1,0)</f>
        <v>0</v>
      </c>
      <c r="K140" s="1899">
        <f t="shared" si="37"/>
        <v>0</v>
      </c>
      <c r="L140" s="1900">
        <f t="shared" si="37"/>
        <v>0</v>
      </c>
      <c r="M140" s="1903">
        <f t="shared" si="37"/>
        <v>0</v>
      </c>
      <c r="AD140" s="118"/>
      <c r="AF140" s="519" t="s">
        <v>27873</v>
      </c>
      <c r="AI140" s="11" t="s">
        <v>225</v>
      </c>
      <c r="AJ140" s="333" t="str">
        <f t="shared" si="60"/>
        <v/>
      </c>
      <c r="AK140" s="120" t="str">
        <f t="shared" si="60"/>
        <v/>
      </c>
      <c r="AL140" s="121"/>
      <c r="AM140" s="333" t="str">
        <f t="shared" si="61"/>
        <v/>
      </c>
      <c r="AN140" s="120" t="str">
        <f t="shared" si="61"/>
        <v/>
      </c>
      <c r="AO140" s="121"/>
      <c r="AQ140" s="118"/>
    </row>
    <row r="141" spans="3:43" ht="13.15" x14ac:dyDescent="0.35">
      <c r="C141" t="s">
        <v>27902</v>
      </c>
      <c r="D141" s="528">
        <v>3</v>
      </c>
      <c r="E141" s="1659">
        <f t="shared" ref="E141:F141" si="106">IF(OR(E54&lt;&gt;"",N54&lt;&gt;"",AJ110&lt;&gt;""),1,0)</f>
        <v>0</v>
      </c>
      <c r="F141" s="460">
        <f t="shared" si="106"/>
        <v>0</v>
      </c>
      <c r="G141" s="461">
        <f t="shared" ref="G141:G143" si="107">IF(OR(G54&lt;&gt;"",P54&lt;&gt;"",AT54&lt;&gt;""),1,0)</f>
        <v>0</v>
      </c>
      <c r="H141" s="462">
        <f t="shared" ref="H141:I141" si="108">IF(OR(H54&lt;&gt;"",Q54&lt;&gt;"",AM110&lt;&gt;""),1,0)</f>
        <v>0</v>
      </c>
      <c r="I141" s="460">
        <f t="shared" si="108"/>
        <v>0</v>
      </c>
      <c r="J141" s="463">
        <f t="shared" ref="J141:J143" si="109">IF(OR(J54&lt;&gt;"",S54&lt;&gt;"",AW54&lt;&gt;""),1,0)</f>
        <v>0</v>
      </c>
      <c r="K141" s="1659">
        <f t="shared" si="37"/>
        <v>0</v>
      </c>
      <c r="L141" s="460">
        <f t="shared" si="37"/>
        <v>0</v>
      </c>
      <c r="M141" s="463">
        <f t="shared" si="37"/>
        <v>0</v>
      </c>
      <c r="AD141" s="118"/>
      <c r="AF141" s="1375" t="s">
        <v>27875</v>
      </c>
      <c r="AI141" s="11" t="s">
        <v>225</v>
      </c>
      <c r="AJ141" s="1879" t="str">
        <f t="shared" si="60"/>
        <v/>
      </c>
      <c r="AK141" s="1892" t="str">
        <f t="shared" si="60"/>
        <v/>
      </c>
      <c r="AL141" s="1884"/>
      <c r="AM141" s="1879" t="str">
        <f t="shared" si="61"/>
        <v/>
      </c>
      <c r="AN141" s="1892" t="str">
        <f t="shared" si="61"/>
        <v/>
      </c>
      <c r="AO141" s="1884"/>
      <c r="AQ141" s="118"/>
    </row>
    <row r="142" spans="3:43" ht="13.15" x14ac:dyDescent="0.35">
      <c r="C142" t="s">
        <v>27902</v>
      </c>
      <c r="D142" s="528">
        <v>3</v>
      </c>
      <c r="E142" s="445">
        <f t="shared" ref="E142:F142" si="110">IF(OR(E55&lt;&gt;"",N55&lt;&gt;"",AJ111&lt;&gt;""),1,0)</f>
        <v>0</v>
      </c>
      <c r="F142" s="446">
        <f t="shared" si="110"/>
        <v>0</v>
      </c>
      <c r="G142" s="447">
        <f t="shared" si="107"/>
        <v>0</v>
      </c>
      <c r="H142" s="448">
        <f t="shared" ref="H142:I142" si="111">IF(OR(H55&lt;&gt;"",Q55&lt;&gt;"",AM111&lt;&gt;""),1,0)</f>
        <v>0</v>
      </c>
      <c r="I142" s="446">
        <f t="shared" si="111"/>
        <v>0</v>
      </c>
      <c r="J142" s="466">
        <f t="shared" si="109"/>
        <v>0</v>
      </c>
      <c r="K142" s="445">
        <f t="shared" si="37"/>
        <v>0</v>
      </c>
      <c r="L142" s="446">
        <f t="shared" si="37"/>
        <v>0</v>
      </c>
      <c r="M142" s="466">
        <f t="shared" si="37"/>
        <v>0</v>
      </c>
      <c r="AD142" s="118"/>
      <c r="AF142" s="519" t="s">
        <v>27875</v>
      </c>
      <c r="AI142" s="11" t="s">
        <v>225</v>
      </c>
      <c r="AJ142" s="333" t="str">
        <f t="shared" si="60"/>
        <v/>
      </c>
      <c r="AK142" s="120" t="str">
        <f t="shared" si="60"/>
        <v/>
      </c>
      <c r="AL142" s="121"/>
      <c r="AM142" s="333" t="str">
        <f t="shared" si="61"/>
        <v/>
      </c>
      <c r="AN142" s="120" t="str">
        <f t="shared" si="61"/>
        <v/>
      </c>
      <c r="AO142" s="121"/>
      <c r="AQ142" s="118"/>
    </row>
    <row r="143" spans="3:43" ht="13.15" x14ac:dyDescent="0.35">
      <c r="C143" t="s">
        <v>27902</v>
      </c>
      <c r="D143" s="528">
        <v>3</v>
      </c>
      <c r="E143" s="467">
        <f t="shared" ref="E143:F143" si="112">IF(OR(E56&lt;&gt;"",N56&lt;&gt;"",AJ112&lt;&gt;""),1,0)</f>
        <v>0</v>
      </c>
      <c r="F143" s="468">
        <f t="shared" si="112"/>
        <v>0</v>
      </c>
      <c r="G143" s="469">
        <f t="shared" si="107"/>
        <v>0</v>
      </c>
      <c r="H143" s="470">
        <f t="shared" ref="H143:I143" si="113">IF(OR(H56&lt;&gt;"",Q56&lt;&gt;"",AM112&lt;&gt;""),1,0)</f>
        <v>0</v>
      </c>
      <c r="I143" s="468">
        <f t="shared" si="113"/>
        <v>0</v>
      </c>
      <c r="J143" s="471">
        <f t="shared" si="109"/>
        <v>0</v>
      </c>
      <c r="K143" s="467">
        <f t="shared" si="37"/>
        <v>0</v>
      </c>
      <c r="L143" s="468">
        <f t="shared" si="37"/>
        <v>0</v>
      </c>
      <c r="M143" s="471">
        <f t="shared" si="37"/>
        <v>0</v>
      </c>
      <c r="AD143" s="118"/>
      <c r="AF143" s="519" t="s">
        <v>27875</v>
      </c>
      <c r="AI143" s="11" t="s">
        <v>225</v>
      </c>
      <c r="AJ143" s="333" t="str">
        <f t="shared" si="60"/>
        <v/>
      </c>
      <c r="AK143" s="120" t="str">
        <f t="shared" si="60"/>
        <v/>
      </c>
      <c r="AL143" s="121"/>
      <c r="AM143" s="333" t="str">
        <f t="shared" si="61"/>
        <v/>
      </c>
      <c r="AN143" s="120" t="str">
        <f t="shared" si="61"/>
        <v/>
      </c>
      <c r="AO143" s="121"/>
      <c r="AQ143" s="118"/>
    </row>
    <row r="144" spans="3:43" ht="13.15" x14ac:dyDescent="0.35">
      <c r="C144" t="s">
        <v>27903</v>
      </c>
      <c r="D144" s="528">
        <v>2</v>
      </c>
      <c r="E144" s="1899">
        <f>IF(OR(E57&lt;&gt;"",N57&lt;&gt;"",AJ113&lt;&gt;""),1,0)</f>
        <v>0</v>
      </c>
      <c r="F144" s="1900">
        <f>IF(OR(F57&lt;&gt;"",O57&lt;&gt;"",AK113&lt;&gt;""),1,0)</f>
        <v>0</v>
      </c>
      <c r="G144" s="1901">
        <f>IF(OR(G57&lt;&gt;"",P57&lt;&gt;"",AT57&lt;&gt;""),1,0)</f>
        <v>0</v>
      </c>
      <c r="H144" s="1902">
        <f>IF(OR(H57&lt;&gt;"",Q57&lt;&gt;"",AM113&lt;&gt;""),1,0)</f>
        <v>0</v>
      </c>
      <c r="I144" s="1900">
        <f>IF(OR(I57&lt;&gt;"",R57&lt;&gt;"",AN113&lt;&gt;""),1,0)</f>
        <v>0</v>
      </c>
      <c r="J144" s="1903">
        <f>IF(OR(J57&lt;&gt;"",S57&lt;&gt;"",AW57&lt;&gt;""),1,0)</f>
        <v>0</v>
      </c>
      <c r="K144" s="1899">
        <f t="shared" si="37"/>
        <v>0</v>
      </c>
      <c r="L144" s="1900">
        <f t="shared" si="37"/>
        <v>0</v>
      </c>
      <c r="M144" s="1903">
        <f t="shared" si="37"/>
        <v>0</v>
      </c>
      <c r="AD144" s="118"/>
      <c r="AF144" s="519" t="s">
        <v>27875</v>
      </c>
      <c r="AI144" s="11" t="s">
        <v>225</v>
      </c>
      <c r="AJ144" s="333" t="str">
        <f t="shared" si="60"/>
        <v/>
      </c>
      <c r="AK144" s="120" t="str">
        <f t="shared" si="60"/>
        <v/>
      </c>
      <c r="AL144" s="121"/>
      <c r="AM144" s="333" t="str">
        <f t="shared" si="61"/>
        <v/>
      </c>
      <c r="AN144" s="120" t="str">
        <f t="shared" si="61"/>
        <v/>
      </c>
      <c r="AO144" s="121"/>
      <c r="AQ144" s="118"/>
    </row>
    <row r="145" spans="3:43" ht="13.15" x14ac:dyDescent="0.35">
      <c r="C145" t="s">
        <v>27903</v>
      </c>
      <c r="D145" s="528">
        <v>2</v>
      </c>
      <c r="E145" s="1659">
        <f t="shared" ref="E145:F145" si="114">IF(OR(E58&lt;&gt;"",N58&lt;&gt;"",AJ114&lt;&gt;""),1,0)</f>
        <v>0</v>
      </c>
      <c r="F145" s="460">
        <f t="shared" si="114"/>
        <v>0</v>
      </c>
      <c r="G145" s="461">
        <f t="shared" ref="G145:G179" si="115">IF(OR(G58&lt;&gt;"",P58&lt;&gt;"",AT58&lt;&gt;""),1,0)</f>
        <v>0</v>
      </c>
      <c r="H145" s="462">
        <f t="shared" ref="H145:I145" si="116">IF(OR(H58&lt;&gt;"",Q58&lt;&gt;"",AM114&lt;&gt;""),1,0)</f>
        <v>0</v>
      </c>
      <c r="I145" s="460">
        <f t="shared" si="116"/>
        <v>0</v>
      </c>
      <c r="J145" s="463">
        <f t="shared" ref="J145:J179" si="117">IF(OR(J58&lt;&gt;"",S58&lt;&gt;"",AW58&lt;&gt;""),1,0)</f>
        <v>0</v>
      </c>
      <c r="K145" s="1659">
        <f t="shared" si="37"/>
        <v>0</v>
      </c>
      <c r="L145" s="460">
        <f t="shared" si="37"/>
        <v>0</v>
      </c>
      <c r="M145" s="463">
        <f t="shared" si="37"/>
        <v>0</v>
      </c>
      <c r="AD145" s="118"/>
      <c r="AF145" s="1375" t="s">
        <v>27877</v>
      </c>
      <c r="AI145" s="11" t="s">
        <v>225</v>
      </c>
      <c r="AJ145" s="1879" t="str">
        <f t="shared" si="60"/>
        <v/>
      </c>
      <c r="AK145" s="1892" t="str">
        <f t="shared" si="60"/>
        <v/>
      </c>
      <c r="AL145" s="1884"/>
      <c r="AM145" s="1879" t="str">
        <f t="shared" si="61"/>
        <v/>
      </c>
      <c r="AN145" s="1892" t="str">
        <f t="shared" si="61"/>
        <v/>
      </c>
      <c r="AO145" s="1884"/>
      <c r="AQ145" s="118"/>
    </row>
    <row r="146" spans="3:43" ht="13.15" x14ac:dyDescent="0.35">
      <c r="C146" t="s">
        <v>27903</v>
      </c>
      <c r="D146" s="528">
        <v>2</v>
      </c>
      <c r="E146" s="445">
        <f t="shared" ref="E146:F146" si="118">IF(OR(E59&lt;&gt;"",N59&lt;&gt;"",AJ115&lt;&gt;""),1,0)</f>
        <v>0</v>
      </c>
      <c r="F146" s="446">
        <f t="shared" si="118"/>
        <v>0</v>
      </c>
      <c r="G146" s="447">
        <f t="shared" si="115"/>
        <v>0</v>
      </c>
      <c r="H146" s="448">
        <f t="shared" ref="H146:I146" si="119">IF(OR(H59&lt;&gt;"",Q59&lt;&gt;"",AM115&lt;&gt;""),1,0)</f>
        <v>0</v>
      </c>
      <c r="I146" s="446">
        <f t="shared" si="119"/>
        <v>0</v>
      </c>
      <c r="J146" s="466">
        <f t="shared" si="117"/>
        <v>0</v>
      </c>
      <c r="K146" s="445">
        <f t="shared" si="37"/>
        <v>0</v>
      </c>
      <c r="L146" s="446">
        <f t="shared" si="37"/>
        <v>0</v>
      </c>
      <c r="M146" s="466">
        <f t="shared" si="37"/>
        <v>0</v>
      </c>
      <c r="AD146" s="118"/>
      <c r="AF146" s="519" t="s">
        <v>27877</v>
      </c>
      <c r="AI146" s="11" t="s">
        <v>225</v>
      </c>
      <c r="AJ146" s="333" t="str">
        <f t="shared" si="60"/>
        <v/>
      </c>
      <c r="AK146" s="120" t="str">
        <f t="shared" si="60"/>
        <v/>
      </c>
      <c r="AL146" s="121"/>
      <c r="AM146" s="333" t="str">
        <f t="shared" si="61"/>
        <v/>
      </c>
      <c r="AN146" s="120" t="str">
        <f t="shared" si="61"/>
        <v/>
      </c>
      <c r="AO146" s="121"/>
      <c r="AQ146" s="118"/>
    </row>
    <row r="147" spans="3:43" ht="13.15" x14ac:dyDescent="0.35">
      <c r="C147" t="s">
        <v>27903</v>
      </c>
      <c r="D147" s="528">
        <v>2</v>
      </c>
      <c r="E147" s="467">
        <f t="shared" ref="E147:F147" si="120">IF(OR(E60&lt;&gt;"",N60&lt;&gt;"",AJ116&lt;&gt;""),1,0)</f>
        <v>0</v>
      </c>
      <c r="F147" s="468">
        <f t="shared" si="120"/>
        <v>0</v>
      </c>
      <c r="G147" s="469">
        <f t="shared" si="115"/>
        <v>0</v>
      </c>
      <c r="H147" s="470">
        <f t="shared" ref="H147:I147" si="121">IF(OR(H60&lt;&gt;"",Q60&lt;&gt;"",AM116&lt;&gt;""),1,0)</f>
        <v>0</v>
      </c>
      <c r="I147" s="468">
        <f t="shared" si="121"/>
        <v>0</v>
      </c>
      <c r="J147" s="471">
        <f t="shared" si="117"/>
        <v>0</v>
      </c>
      <c r="K147" s="467">
        <f t="shared" si="37"/>
        <v>0</v>
      </c>
      <c r="L147" s="468">
        <f t="shared" si="37"/>
        <v>0</v>
      </c>
      <c r="M147" s="471">
        <f t="shared" si="37"/>
        <v>0</v>
      </c>
      <c r="AD147" s="118"/>
      <c r="AF147" s="519" t="s">
        <v>27877</v>
      </c>
      <c r="AI147" s="11" t="s">
        <v>225</v>
      </c>
      <c r="AJ147" s="333" t="str">
        <f t="shared" si="60"/>
        <v/>
      </c>
      <c r="AK147" s="120" t="str">
        <f t="shared" si="60"/>
        <v/>
      </c>
      <c r="AL147" s="121"/>
      <c r="AM147" s="333" t="str">
        <f t="shared" si="61"/>
        <v/>
      </c>
      <c r="AN147" s="120" t="str">
        <f t="shared" si="61"/>
        <v/>
      </c>
      <c r="AO147" s="121"/>
      <c r="AQ147" s="118"/>
    </row>
    <row r="148" spans="3:43" ht="13.15" x14ac:dyDescent="0.35">
      <c r="C148" t="s">
        <v>27904</v>
      </c>
      <c r="D148" s="528">
        <v>2</v>
      </c>
      <c r="E148" s="1899">
        <f t="shared" ref="E148:F148" si="122">IF(OR(E61&lt;&gt;"",N61&lt;&gt;"",AJ117&lt;&gt;""),1,0)</f>
        <v>0</v>
      </c>
      <c r="F148" s="1900">
        <f t="shared" si="122"/>
        <v>0</v>
      </c>
      <c r="G148" s="1901">
        <f t="shared" si="115"/>
        <v>0</v>
      </c>
      <c r="H148" s="1902">
        <f t="shared" ref="H148:I148" si="123">IF(OR(H61&lt;&gt;"",Q61&lt;&gt;"",AM117&lt;&gt;""),1,0)</f>
        <v>0</v>
      </c>
      <c r="I148" s="1900">
        <f t="shared" si="123"/>
        <v>0</v>
      </c>
      <c r="J148" s="1903">
        <f t="shared" si="117"/>
        <v>0</v>
      </c>
      <c r="K148" s="1899">
        <f t="shared" si="37"/>
        <v>0</v>
      </c>
      <c r="L148" s="1900">
        <f t="shared" si="37"/>
        <v>0</v>
      </c>
      <c r="M148" s="1903">
        <f t="shared" si="37"/>
        <v>0</v>
      </c>
      <c r="AD148" s="118"/>
      <c r="AF148" s="519" t="s">
        <v>27877</v>
      </c>
      <c r="AI148" s="11" t="s">
        <v>225</v>
      </c>
      <c r="AJ148" s="334" t="str">
        <f t="shared" si="60"/>
        <v/>
      </c>
      <c r="AK148" s="126" t="str">
        <f t="shared" si="60"/>
        <v/>
      </c>
      <c r="AL148" s="123"/>
      <c r="AM148" s="334" t="str">
        <f t="shared" si="61"/>
        <v/>
      </c>
      <c r="AN148" s="126" t="str">
        <f t="shared" si="61"/>
        <v/>
      </c>
      <c r="AO148" s="123"/>
      <c r="AQ148" s="118"/>
    </row>
    <row r="149" spans="3:43" ht="13.15" x14ac:dyDescent="0.35">
      <c r="C149" t="s">
        <v>27904</v>
      </c>
      <c r="D149" s="528">
        <v>2</v>
      </c>
      <c r="E149" s="1659">
        <f t="shared" ref="E149:F149" si="124">IF(OR(E62&lt;&gt;"",N62&lt;&gt;"",AJ118&lt;&gt;""),1,0)</f>
        <v>0</v>
      </c>
      <c r="F149" s="460">
        <f t="shared" si="124"/>
        <v>0</v>
      </c>
      <c r="G149" s="461">
        <f t="shared" si="115"/>
        <v>0</v>
      </c>
      <c r="H149" s="462">
        <f t="shared" ref="H149:I149" si="125">IF(OR(H62&lt;&gt;"",Q62&lt;&gt;"",AM118&lt;&gt;""),1,0)</f>
        <v>0</v>
      </c>
      <c r="I149" s="460">
        <f t="shared" si="125"/>
        <v>0</v>
      </c>
      <c r="J149" s="463">
        <f t="shared" si="117"/>
        <v>0</v>
      </c>
      <c r="K149" s="1659">
        <f t="shared" si="37"/>
        <v>0</v>
      </c>
      <c r="L149" s="460">
        <f t="shared" si="37"/>
        <v>0</v>
      </c>
      <c r="M149" s="463">
        <f t="shared" si="37"/>
        <v>0</v>
      </c>
      <c r="AD149" s="119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18"/>
    </row>
    <row r="150" spans="3:43" ht="13.15" x14ac:dyDescent="0.35">
      <c r="C150" t="s">
        <v>27904</v>
      </c>
      <c r="D150" s="528">
        <v>2</v>
      </c>
      <c r="E150" s="445">
        <f t="shared" ref="E150:F150" si="126">IF(OR(E63&lt;&gt;"",N63&lt;&gt;"",AJ119&lt;&gt;""),1,0)</f>
        <v>0</v>
      </c>
      <c r="F150" s="446">
        <f t="shared" si="126"/>
        <v>0</v>
      </c>
      <c r="G150" s="447">
        <f t="shared" si="115"/>
        <v>0</v>
      </c>
      <c r="H150" s="448">
        <f t="shared" ref="H150:I150" si="127">IF(OR(H63&lt;&gt;"",Q63&lt;&gt;"",AM119&lt;&gt;""),1,0)</f>
        <v>0</v>
      </c>
      <c r="I150" s="446">
        <f t="shared" si="127"/>
        <v>0</v>
      </c>
      <c r="J150" s="466">
        <f t="shared" si="117"/>
        <v>0</v>
      </c>
      <c r="K150" s="445">
        <f t="shared" si="37"/>
        <v>0</v>
      </c>
      <c r="L150" s="446">
        <f t="shared" si="37"/>
        <v>0</v>
      </c>
      <c r="M150" s="466">
        <f t="shared" si="37"/>
        <v>0</v>
      </c>
    </row>
    <row r="151" spans="3:43" ht="13.15" x14ac:dyDescent="0.35">
      <c r="C151" t="s">
        <v>27904</v>
      </c>
      <c r="D151" s="528">
        <v>2</v>
      </c>
      <c r="E151" s="467">
        <f t="shared" ref="E151:F151" si="128">IF(OR(E64&lt;&gt;"",N64&lt;&gt;"",AJ120&lt;&gt;""),1,0)</f>
        <v>0</v>
      </c>
      <c r="F151" s="468">
        <f t="shared" si="128"/>
        <v>0</v>
      </c>
      <c r="G151" s="469">
        <f t="shared" si="115"/>
        <v>0</v>
      </c>
      <c r="H151" s="470">
        <f t="shared" ref="H151:I151" si="129">IF(OR(H64&lt;&gt;"",Q64&lt;&gt;"",AM120&lt;&gt;""),1,0)</f>
        <v>0</v>
      </c>
      <c r="I151" s="468">
        <f t="shared" si="129"/>
        <v>0</v>
      </c>
      <c r="J151" s="471">
        <f t="shared" si="117"/>
        <v>0</v>
      </c>
      <c r="K151" s="467">
        <f t="shared" si="37"/>
        <v>0</v>
      </c>
      <c r="L151" s="468">
        <f t="shared" si="37"/>
        <v>0</v>
      </c>
      <c r="M151" s="471">
        <f t="shared" si="37"/>
        <v>0</v>
      </c>
    </row>
    <row r="152" spans="3:43" ht="13.15" x14ac:dyDescent="0.35">
      <c r="C152" t="s">
        <v>27905</v>
      </c>
      <c r="D152" s="528">
        <v>2</v>
      </c>
      <c r="E152" s="1899">
        <f t="shared" ref="E152:F152" si="130">IF(OR(E65&lt;&gt;"",N65&lt;&gt;"",AJ121&lt;&gt;""),1,0)</f>
        <v>0</v>
      </c>
      <c r="F152" s="1900">
        <f t="shared" si="130"/>
        <v>0</v>
      </c>
      <c r="G152" s="1901">
        <f t="shared" si="115"/>
        <v>0</v>
      </c>
      <c r="H152" s="1902">
        <f t="shared" ref="H152:I152" si="131">IF(OR(H65&lt;&gt;"",Q65&lt;&gt;"",AM121&lt;&gt;""),1,0)</f>
        <v>0</v>
      </c>
      <c r="I152" s="1900">
        <f t="shared" si="131"/>
        <v>0</v>
      </c>
      <c r="J152" s="1903">
        <f t="shared" si="117"/>
        <v>0</v>
      </c>
      <c r="K152" s="1899">
        <f t="shared" si="37"/>
        <v>0</v>
      </c>
      <c r="L152" s="1900">
        <f t="shared" si="37"/>
        <v>0</v>
      </c>
      <c r="M152" s="1903">
        <f t="shared" si="37"/>
        <v>0</v>
      </c>
    </row>
    <row r="153" spans="3:43" ht="13.15" x14ac:dyDescent="0.35">
      <c r="C153" t="s">
        <v>27905</v>
      </c>
      <c r="D153" s="528">
        <v>2</v>
      </c>
      <c r="E153" s="1659">
        <f t="shared" ref="E153:F153" si="132">IF(OR(E66&lt;&gt;"",N66&lt;&gt;"",AJ122&lt;&gt;""),1,0)</f>
        <v>0</v>
      </c>
      <c r="F153" s="460">
        <f t="shared" si="132"/>
        <v>0</v>
      </c>
      <c r="G153" s="461">
        <f t="shared" si="115"/>
        <v>0</v>
      </c>
      <c r="H153" s="462">
        <f t="shared" ref="H153:I153" si="133">IF(OR(H66&lt;&gt;"",Q66&lt;&gt;"",AM122&lt;&gt;""),1,0)</f>
        <v>0</v>
      </c>
      <c r="I153" s="460">
        <f t="shared" si="133"/>
        <v>0</v>
      </c>
      <c r="J153" s="463">
        <f t="shared" si="117"/>
        <v>0</v>
      </c>
      <c r="K153" s="1659">
        <f t="shared" si="37"/>
        <v>0</v>
      </c>
      <c r="L153" s="460">
        <f t="shared" si="37"/>
        <v>0</v>
      </c>
      <c r="M153" s="463">
        <f t="shared" si="37"/>
        <v>0</v>
      </c>
    </row>
    <row r="154" spans="3:43" ht="13.15" x14ac:dyDescent="0.35">
      <c r="C154" t="s">
        <v>27905</v>
      </c>
      <c r="D154" s="528">
        <v>2</v>
      </c>
      <c r="E154" s="445">
        <f t="shared" ref="E154:F154" si="134">IF(OR(E67&lt;&gt;"",N67&lt;&gt;"",AJ123&lt;&gt;""),1,0)</f>
        <v>0</v>
      </c>
      <c r="F154" s="446">
        <f t="shared" si="134"/>
        <v>0</v>
      </c>
      <c r="G154" s="447">
        <f t="shared" si="115"/>
        <v>0</v>
      </c>
      <c r="H154" s="448">
        <f t="shared" ref="H154:I154" si="135">IF(OR(H67&lt;&gt;"",Q67&lt;&gt;"",AM123&lt;&gt;""),1,0)</f>
        <v>0</v>
      </c>
      <c r="I154" s="446">
        <f t="shared" si="135"/>
        <v>0</v>
      </c>
      <c r="J154" s="466">
        <f t="shared" si="117"/>
        <v>0</v>
      </c>
      <c r="K154" s="445">
        <f t="shared" si="37"/>
        <v>0</v>
      </c>
      <c r="L154" s="446">
        <f t="shared" si="37"/>
        <v>0</v>
      </c>
      <c r="M154" s="466">
        <f t="shared" si="37"/>
        <v>0</v>
      </c>
    </row>
    <row r="155" spans="3:43" ht="13.5" customHeight="1" x14ac:dyDescent="0.35">
      <c r="C155" t="s">
        <v>27905</v>
      </c>
      <c r="D155" s="528">
        <v>2</v>
      </c>
      <c r="E155" s="467">
        <f t="shared" ref="E155:F155" si="136">IF(OR(E68&lt;&gt;"",N68&lt;&gt;"",AJ124&lt;&gt;""),1,0)</f>
        <v>0</v>
      </c>
      <c r="F155" s="468">
        <f t="shared" si="136"/>
        <v>0</v>
      </c>
      <c r="G155" s="469">
        <f t="shared" si="115"/>
        <v>0</v>
      </c>
      <c r="H155" s="470">
        <f t="shared" ref="H155:I155" si="137">IF(OR(H68&lt;&gt;"",Q68&lt;&gt;"",AM124&lt;&gt;""),1,0)</f>
        <v>0</v>
      </c>
      <c r="I155" s="468">
        <f t="shared" si="137"/>
        <v>0</v>
      </c>
      <c r="J155" s="471">
        <f t="shared" si="117"/>
        <v>0</v>
      </c>
      <c r="K155" s="467">
        <f t="shared" si="37"/>
        <v>0</v>
      </c>
      <c r="L155" s="468">
        <f t="shared" si="37"/>
        <v>0</v>
      </c>
      <c r="M155" s="471">
        <f t="shared" si="37"/>
        <v>0</v>
      </c>
    </row>
    <row r="156" spans="3:43" ht="13.15" x14ac:dyDescent="0.35">
      <c r="C156" t="s">
        <v>27906</v>
      </c>
      <c r="D156" s="528">
        <v>2</v>
      </c>
      <c r="E156" s="1899">
        <f t="shared" ref="E156:F156" si="138">IF(OR(E69&lt;&gt;"",N69&lt;&gt;"",AJ125&lt;&gt;""),1,0)</f>
        <v>0</v>
      </c>
      <c r="F156" s="1900">
        <f t="shared" si="138"/>
        <v>0</v>
      </c>
      <c r="G156" s="1901">
        <f t="shared" si="115"/>
        <v>0</v>
      </c>
      <c r="H156" s="1902">
        <f t="shared" ref="H156:I156" si="139">IF(OR(H69&lt;&gt;"",Q69&lt;&gt;"",AM125&lt;&gt;""),1,0)</f>
        <v>0</v>
      </c>
      <c r="I156" s="1900">
        <f t="shared" si="139"/>
        <v>0</v>
      </c>
      <c r="J156" s="1903">
        <f t="shared" si="117"/>
        <v>0</v>
      </c>
      <c r="K156" s="1899">
        <f t="shared" si="37"/>
        <v>0</v>
      </c>
      <c r="L156" s="1900">
        <f t="shared" si="37"/>
        <v>0</v>
      </c>
      <c r="M156" s="1903">
        <f t="shared" si="37"/>
        <v>0</v>
      </c>
    </row>
    <row r="157" spans="3:43" ht="13.15" x14ac:dyDescent="0.35">
      <c r="C157" t="s">
        <v>27906</v>
      </c>
      <c r="D157" s="528">
        <v>2</v>
      </c>
      <c r="E157" s="1659">
        <f t="shared" ref="E157:F157" si="140">IF(OR(E70&lt;&gt;"",N70&lt;&gt;"",AJ126&lt;&gt;""),1,0)</f>
        <v>0</v>
      </c>
      <c r="F157" s="460">
        <f t="shared" si="140"/>
        <v>0</v>
      </c>
      <c r="G157" s="461">
        <f t="shared" si="115"/>
        <v>0</v>
      </c>
      <c r="H157" s="462">
        <f t="shared" ref="H157:I157" si="141">IF(OR(H70&lt;&gt;"",Q70&lt;&gt;"",AM126&lt;&gt;""),1,0)</f>
        <v>0</v>
      </c>
      <c r="I157" s="460">
        <f t="shared" si="141"/>
        <v>0</v>
      </c>
      <c r="J157" s="463">
        <f t="shared" si="117"/>
        <v>0</v>
      </c>
      <c r="K157" s="1659">
        <f t="shared" si="37"/>
        <v>0</v>
      </c>
      <c r="L157" s="460">
        <f t="shared" si="37"/>
        <v>0</v>
      </c>
      <c r="M157" s="463">
        <f t="shared" si="37"/>
        <v>0</v>
      </c>
    </row>
    <row r="158" spans="3:43" ht="13.15" x14ac:dyDescent="0.35">
      <c r="C158" t="s">
        <v>27906</v>
      </c>
      <c r="D158" s="528">
        <v>2</v>
      </c>
      <c r="E158" s="445">
        <f t="shared" ref="E158:F158" si="142">IF(OR(E71&lt;&gt;"",N71&lt;&gt;"",AJ127&lt;&gt;""),1,0)</f>
        <v>0</v>
      </c>
      <c r="F158" s="446">
        <f t="shared" si="142"/>
        <v>0</v>
      </c>
      <c r="G158" s="447">
        <f t="shared" si="115"/>
        <v>0</v>
      </c>
      <c r="H158" s="448">
        <f t="shared" ref="H158:I158" si="143">IF(OR(H71&lt;&gt;"",Q71&lt;&gt;"",AM127&lt;&gt;""),1,0)</f>
        <v>0</v>
      </c>
      <c r="I158" s="446">
        <f t="shared" si="143"/>
        <v>0</v>
      </c>
      <c r="J158" s="466">
        <f t="shared" si="117"/>
        <v>0</v>
      </c>
      <c r="K158" s="445">
        <f t="shared" si="37"/>
        <v>0</v>
      </c>
      <c r="L158" s="446">
        <f t="shared" si="37"/>
        <v>0</v>
      </c>
      <c r="M158" s="466">
        <f t="shared" si="37"/>
        <v>0</v>
      </c>
    </row>
    <row r="159" spans="3:43" ht="13.15" x14ac:dyDescent="0.35">
      <c r="C159" t="s">
        <v>27906</v>
      </c>
      <c r="D159" s="528">
        <v>2</v>
      </c>
      <c r="E159" s="473">
        <f t="shared" ref="E159:F159" si="144">IF(OR(E72&lt;&gt;"",N72&lt;&gt;"",AJ128&lt;&gt;""),1,0)</f>
        <v>0</v>
      </c>
      <c r="F159" s="474">
        <f t="shared" si="144"/>
        <v>0</v>
      </c>
      <c r="G159" s="475">
        <f t="shared" si="115"/>
        <v>0</v>
      </c>
      <c r="H159" s="476">
        <f t="shared" ref="H159:I159" si="145">IF(OR(H72&lt;&gt;"",Q72&lt;&gt;"",AM128&lt;&gt;""),1,0)</f>
        <v>0</v>
      </c>
      <c r="I159" s="474">
        <f t="shared" si="145"/>
        <v>0</v>
      </c>
      <c r="J159" s="477">
        <f t="shared" si="117"/>
        <v>0</v>
      </c>
      <c r="K159" s="473">
        <f t="shared" si="37"/>
        <v>0</v>
      </c>
      <c r="L159" s="474">
        <f t="shared" si="37"/>
        <v>0</v>
      </c>
      <c r="M159" s="477">
        <f t="shared" si="37"/>
        <v>0</v>
      </c>
    </row>
    <row r="160" spans="3:43" ht="13.15" x14ac:dyDescent="0.35">
      <c r="C160" t="s">
        <v>27909</v>
      </c>
      <c r="D160" s="528">
        <v>2</v>
      </c>
      <c r="E160" s="1899">
        <f t="shared" ref="E160:F160" si="146">IF(OR(E73&lt;&gt;"",N73&lt;&gt;"",AJ129&lt;&gt;""),1,0)</f>
        <v>0</v>
      </c>
      <c r="F160" s="1900">
        <f t="shared" si="146"/>
        <v>0</v>
      </c>
      <c r="G160" s="1901">
        <f t="shared" si="115"/>
        <v>0</v>
      </c>
      <c r="H160" s="1902">
        <f t="shared" ref="H160:I160" si="147">IF(OR(H73&lt;&gt;"",Q73&lt;&gt;"",AM129&lt;&gt;""),1,0)</f>
        <v>0</v>
      </c>
      <c r="I160" s="1900">
        <f t="shared" si="147"/>
        <v>0</v>
      </c>
      <c r="J160" s="1903">
        <f t="shared" si="117"/>
        <v>0</v>
      </c>
      <c r="K160" s="1899">
        <f t="shared" si="37"/>
        <v>0</v>
      </c>
      <c r="L160" s="1900">
        <f t="shared" si="37"/>
        <v>0</v>
      </c>
      <c r="M160" s="1903">
        <f t="shared" si="37"/>
        <v>0</v>
      </c>
    </row>
    <row r="161" spans="3:13" ht="13.15" x14ac:dyDescent="0.35">
      <c r="C161" t="s">
        <v>27909</v>
      </c>
      <c r="D161" s="528">
        <v>2</v>
      </c>
      <c r="E161" s="1659">
        <f t="shared" ref="E161:F161" si="148">IF(OR(E74&lt;&gt;"",N74&lt;&gt;"",AJ130&lt;&gt;""),1,0)</f>
        <v>0</v>
      </c>
      <c r="F161" s="460">
        <f t="shared" si="148"/>
        <v>0</v>
      </c>
      <c r="G161" s="461">
        <f t="shared" si="115"/>
        <v>0</v>
      </c>
      <c r="H161" s="462">
        <f t="shared" ref="H161:I161" si="149">IF(OR(H74&lt;&gt;"",Q74&lt;&gt;"",AM130&lt;&gt;""),1,0)</f>
        <v>0</v>
      </c>
      <c r="I161" s="460">
        <f t="shared" si="149"/>
        <v>0</v>
      </c>
      <c r="J161" s="463">
        <f t="shared" si="117"/>
        <v>0</v>
      </c>
      <c r="K161" s="1659">
        <f t="shared" si="37"/>
        <v>0</v>
      </c>
      <c r="L161" s="460">
        <f t="shared" si="37"/>
        <v>0</v>
      </c>
      <c r="M161" s="463">
        <f t="shared" si="37"/>
        <v>0</v>
      </c>
    </row>
    <row r="162" spans="3:13" ht="13.15" x14ac:dyDescent="0.35">
      <c r="C162" t="s">
        <v>27909</v>
      </c>
      <c r="D162" s="528">
        <v>2</v>
      </c>
      <c r="E162" s="445">
        <f t="shared" ref="E162:F162" si="150">IF(OR(E75&lt;&gt;"",N75&lt;&gt;"",AJ131&lt;&gt;""),1,0)</f>
        <v>0</v>
      </c>
      <c r="F162" s="446">
        <f t="shared" si="150"/>
        <v>0</v>
      </c>
      <c r="G162" s="447">
        <f t="shared" si="115"/>
        <v>0</v>
      </c>
      <c r="H162" s="448">
        <f t="shared" ref="H162:I162" si="151">IF(OR(H75&lt;&gt;"",Q75&lt;&gt;"",AM131&lt;&gt;""),1,0)</f>
        <v>0</v>
      </c>
      <c r="I162" s="446">
        <f t="shared" si="151"/>
        <v>0</v>
      </c>
      <c r="J162" s="466">
        <f t="shared" si="117"/>
        <v>0</v>
      </c>
      <c r="K162" s="445">
        <f t="shared" si="37"/>
        <v>0</v>
      </c>
      <c r="L162" s="446">
        <f t="shared" si="37"/>
        <v>0</v>
      </c>
      <c r="M162" s="466">
        <f t="shared" si="37"/>
        <v>0</v>
      </c>
    </row>
    <row r="163" spans="3:13" ht="13.15" x14ac:dyDescent="0.35">
      <c r="C163" t="s">
        <v>27909</v>
      </c>
      <c r="D163" s="528">
        <v>2</v>
      </c>
      <c r="E163" s="467">
        <f t="shared" ref="E163:F163" si="152">IF(OR(E76&lt;&gt;"",N76&lt;&gt;"",AJ132&lt;&gt;""),1,0)</f>
        <v>0</v>
      </c>
      <c r="F163" s="468">
        <f t="shared" si="152"/>
        <v>0</v>
      </c>
      <c r="G163" s="469">
        <f t="shared" si="115"/>
        <v>0</v>
      </c>
      <c r="H163" s="470">
        <f t="shared" ref="H163:I163" si="153">IF(OR(H76&lt;&gt;"",Q76&lt;&gt;"",AM132&lt;&gt;""),1,0)</f>
        <v>0</v>
      </c>
      <c r="I163" s="468">
        <f t="shared" si="153"/>
        <v>0</v>
      </c>
      <c r="J163" s="471">
        <f t="shared" si="117"/>
        <v>0</v>
      </c>
      <c r="K163" s="467">
        <f t="shared" si="37"/>
        <v>0</v>
      </c>
      <c r="L163" s="468">
        <f t="shared" si="37"/>
        <v>0</v>
      </c>
      <c r="M163" s="471">
        <f t="shared" si="37"/>
        <v>0</v>
      </c>
    </row>
    <row r="164" spans="3:13" ht="13.15" x14ac:dyDescent="0.35">
      <c r="C164" t="s">
        <v>27910</v>
      </c>
      <c r="D164" s="528">
        <v>2</v>
      </c>
      <c r="E164" s="1899">
        <f t="shared" ref="E164:F164" si="154">IF(OR(E77&lt;&gt;"",N77&lt;&gt;"",AJ133&lt;&gt;""),1,0)</f>
        <v>0</v>
      </c>
      <c r="F164" s="1900">
        <f t="shared" si="154"/>
        <v>0</v>
      </c>
      <c r="G164" s="1901">
        <f t="shared" si="115"/>
        <v>0</v>
      </c>
      <c r="H164" s="1902">
        <f t="shared" ref="H164:I164" si="155">IF(OR(H77&lt;&gt;"",Q77&lt;&gt;"",AM133&lt;&gt;""),1,0)</f>
        <v>0</v>
      </c>
      <c r="I164" s="1900">
        <f t="shared" si="155"/>
        <v>0</v>
      </c>
      <c r="J164" s="1903">
        <f t="shared" si="117"/>
        <v>0</v>
      </c>
      <c r="K164" s="1899">
        <f t="shared" si="37"/>
        <v>0</v>
      </c>
      <c r="L164" s="1900">
        <f t="shared" si="37"/>
        <v>0</v>
      </c>
      <c r="M164" s="1903">
        <f t="shared" si="37"/>
        <v>0</v>
      </c>
    </row>
    <row r="165" spans="3:13" ht="13.15" x14ac:dyDescent="0.35">
      <c r="C165" t="s">
        <v>27910</v>
      </c>
      <c r="D165" s="528">
        <v>2</v>
      </c>
      <c r="E165" s="1659">
        <f t="shared" ref="E165:F165" si="156">IF(OR(E78&lt;&gt;"",N78&lt;&gt;"",AJ134&lt;&gt;""),1,0)</f>
        <v>0</v>
      </c>
      <c r="F165" s="460">
        <f t="shared" si="156"/>
        <v>0</v>
      </c>
      <c r="G165" s="461">
        <f t="shared" si="115"/>
        <v>0</v>
      </c>
      <c r="H165" s="462">
        <f t="shared" ref="H165:I165" si="157">IF(OR(H78&lt;&gt;"",Q78&lt;&gt;"",AM134&lt;&gt;""),1,0)</f>
        <v>0</v>
      </c>
      <c r="I165" s="460">
        <f t="shared" si="157"/>
        <v>0</v>
      </c>
      <c r="J165" s="463">
        <f t="shared" si="117"/>
        <v>0</v>
      </c>
      <c r="K165" s="1659">
        <f t="shared" si="37"/>
        <v>0</v>
      </c>
      <c r="L165" s="460">
        <f t="shared" si="37"/>
        <v>0</v>
      </c>
      <c r="M165" s="463">
        <f t="shared" si="37"/>
        <v>0</v>
      </c>
    </row>
    <row r="166" spans="3:13" ht="13.15" x14ac:dyDescent="0.35">
      <c r="C166" t="s">
        <v>27910</v>
      </c>
      <c r="D166" s="528">
        <v>2</v>
      </c>
      <c r="E166" s="445">
        <f t="shared" ref="E166:F166" si="158">IF(OR(E79&lt;&gt;"",N79&lt;&gt;"",AJ135&lt;&gt;""),1,0)</f>
        <v>0</v>
      </c>
      <c r="F166" s="446">
        <f t="shared" si="158"/>
        <v>0</v>
      </c>
      <c r="G166" s="447">
        <f t="shared" si="115"/>
        <v>0</v>
      </c>
      <c r="H166" s="448">
        <f t="shared" ref="H166:I166" si="159">IF(OR(H79&lt;&gt;"",Q79&lt;&gt;"",AM135&lt;&gt;""),1,0)</f>
        <v>0</v>
      </c>
      <c r="I166" s="446">
        <f t="shared" si="159"/>
        <v>0</v>
      </c>
      <c r="J166" s="466">
        <f t="shared" si="117"/>
        <v>0</v>
      </c>
      <c r="K166" s="445">
        <f t="shared" si="37"/>
        <v>0</v>
      </c>
      <c r="L166" s="446">
        <f t="shared" si="37"/>
        <v>0</v>
      </c>
      <c r="M166" s="466">
        <f t="shared" si="37"/>
        <v>0</v>
      </c>
    </row>
    <row r="167" spans="3:13" ht="13.15" x14ac:dyDescent="0.35">
      <c r="C167" t="s">
        <v>27910</v>
      </c>
      <c r="D167" s="528">
        <v>2</v>
      </c>
      <c r="E167" s="467">
        <f t="shared" ref="E167:F167" si="160">IF(OR(E80&lt;&gt;"",N80&lt;&gt;"",AJ136&lt;&gt;""),1,0)</f>
        <v>0</v>
      </c>
      <c r="F167" s="468">
        <f t="shared" si="160"/>
        <v>0</v>
      </c>
      <c r="G167" s="469">
        <f t="shared" si="115"/>
        <v>0</v>
      </c>
      <c r="H167" s="470">
        <f t="shared" ref="H167:I167" si="161">IF(OR(H80&lt;&gt;"",Q80&lt;&gt;"",AM136&lt;&gt;""),1,0)</f>
        <v>0</v>
      </c>
      <c r="I167" s="468">
        <f t="shared" si="161"/>
        <v>0</v>
      </c>
      <c r="J167" s="471">
        <f t="shared" si="117"/>
        <v>0</v>
      </c>
      <c r="K167" s="467">
        <f t="shared" si="37"/>
        <v>0</v>
      </c>
      <c r="L167" s="468">
        <f t="shared" si="37"/>
        <v>0</v>
      </c>
      <c r="M167" s="471">
        <f t="shared" si="37"/>
        <v>0</v>
      </c>
    </row>
    <row r="168" spans="3:13" ht="13.15" x14ac:dyDescent="0.35">
      <c r="C168" t="s">
        <v>27911</v>
      </c>
      <c r="D168" s="528">
        <v>2</v>
      </c>
      <c r="E168" s="1899">
        <f t="shared" ref="E168:F168" si="162">IF(OR(E81&lt;&gt;"",N81&lt;&gt;"",AJ137&lt;&gt;""),1,0)</f>
        <v>0</v>
      </c>
      <c r="F168" s="1900">
        <f t="shared" si="162"/>
        <v>0</v>
      </c>
      <c r="G168" s="1901">
        <f t="shared" si="115"/>
        <v>0</v>
      </c>
      <c r="H168" s="1902">
        <f t="shared" ref="H168:I168" si="163">IF(OR(H81&lt;&gt;"",Q81&lt;&gt;"",AM137&lt;&gt;""),1,0)</f>
        <v>0</v>
      </c>
      <c r="I168" s="1900">
        <f t="shared" si="163"/>
        <v>0</v>
      </c>
      <c r="J168" s="1903">
        <f t="shared" si="117"/>
        <v>0</v>
      </c>
      <c r="K168" s="1899">
        <f t="shared" si="37"/>
        <v>0</v>
      </c>
      <c r="L168" s="1900">
        <f t="shared" si="37"/>
        <v>0</v>
      </c>
      <c r="M168" s="1903">
        <f t="shared" si="37"/>
        <v>0</v>
      </c>
    </row>
    <row r="169" spans="3:13" ht="13.5" customHeight="1" x14ac:dyDescent="0.35">
      <c r="C169" t="s">
        <v>27911</v>
      </c>
      <c r="D169" s="528">
        <v>2</v>
      </c>
      <c r="E169" s="1659">
        <f t="shared" ref="E169:F169" si="164">IF(OR(E82&lt;&gt;"",N82&lt;&gt;"",AJ138&lt;&gt;""),1,0)</f>
        <v>0</v>
      </c>
      <c r="F169" s="460">
        <f t="shared" si="164"/>
        <v>0</v>
      </c>
      <c r="G169" s="461">
        <f t="shared" si="115"/>
        <v>0</v>
      </c>
      <c r="H169" s="462">
        <f t="shared" ref="H169:I169" si="165">IF(OR(H82&lt;&gt;"",Q82&lt;&gt;"",AM138&lt;&gt;""),1,0)</f>
        <v>0</v>
      </c>
      <c r="I169" s="460">
        <f t="shared" si="165"/>
        <v>0</v>
      </c>
      <c r="J169" s="463">
        <f t="shared" si="117"/>
        <v>0</v>
      </c>
      <c r="K169" s="1659">
        <f t="shared" si="37"/>
        <v>0</v>
      </c>
      <c r="L169" s="460">
        <f t="shared" si="37"/>
        <v>0</v>
      </c>
      <c r="M169" s="463">
        <f t="shared" si="37"/>
        <v>0</v>
      </c>
    </row>
    <row r="170" spans="3:13" ht="13.15" x14ac:dyDescent="0.35">
      <c r="C170" t="s">
        <v>27911</v>
      </c>
      <c r="D170" s="528">
        <v>2</v>
      </c>
      <c r="E170" s="445">
        <f t="shared" ref="E170:F170" si="166">IF(OR(E83&lt;&gt;"",N83&lt;&gt;"",AJ139&lt;&gt;""),1,0)</f>
        <v>0</v>
      </c>
      <c r="F170" s="446">
        <f t="shared" si="166"/>
        <v>0</v>
      </c>
      <c r="G170" s="447">
        <f t="shared" si="115"/>
        <v>0</v>
      </c>
      <c r="H170" s="448">
        <f t="shared" ref="H170:I170" si="167">IF(OR(H83&lt;&gt;"",Q83&lt;&gt;"",AM139&lt;&gt;""),1,0)</f>
        <v>0</v>
      </c>
      <c r="I170" s="446">
        <f t="shared" si="167"/>
        <v>0</v>
      </c>
      <c r="J170" s="466">
        <f t="shared" si="117"/>
        <v>0</v>
      </c>
      <c r="K170" s="445">
        <f t="shared" si="37"/>
        <v>0</v>
      </c>
      <c r="L170" s="446">
        <f t="shared" si="37"/>
        <v>0</v>
      </c>
      <c r="M170" s="466">
        <f t="shared" si="37"/>
        <v>0</v>
      </c>
    </row>
    <row r="171" spans="3:13" ht="13.15" x14ac:dyDescent="0.35">
      <c r="C171" t="s">
        <v>27911</v>
      </c>
      <c r="D171" s="528">
        <v>2</v>
      </c>
      <c r="E171" s="467">
        <f t="shared" ref="E171:F171" si="168">IF(OR(E84&lt;&gt;"",N84&lt;&gt;"",AJ140&lt;&gt;""),1,0)</f>
        <v>0</v>
      </c>
      <c r="F171" s="468">
        <f t="shared" si="168"/>
        <v>0</v>
      </c>
      <c r="G171" s="469">
        <f t="shared" si="115"/>
        <v>0</v>
      </c>
      <c r="H171" s="470">
        <f t="shared" ref="H171:I171" si="169">IF(OR(H84&lt;&gt;"",Q84&lt;&gt;"",AM140&lt;&gt;""),1,0)</f>
        <v>0</v>
      </c>
      <c r="I171" s="468">
        <f t="shared" si="169"/>
        <v>0</v>
      </c>
      <c r="J171" s="471">
        <f t="shared" si="117"/>
        <v>0</v>
      </c>
      <c r="K171" s="467">
        <f t="shared" si="37"/>
        <v>0</v>
      </c>
      <c r="L171" s="468">
        <f t="shared" si="37"/>
        <v>0</v>
      </c>
      <c r="M171" s="471">
        <f t="shared" si="37"/>
        <v>0</v>
      </c>
    </row>
    <row r="172" spans="3:13" ht="13.15" x14ac:dyDescent="0.35">
      <c r="C172" t="s">
        <v>27912</v>
      </c>
      <c r="D172" s="528">
        <v>2</v>
      </c>
      <c r="E172" s="1899">
        <f t="shared" ref="E172:F172" si="170">IF(OR(E85&lt;&gt;"",N85&lt;&gt;"",AJ141&lt;&gt;""),1,0)</f>
        <v>0</v>
      </c>
      <c r="F172" s="1900">
        <f t="shared" si="170"/>
        <v>0</v>
      </c>
      <c r="G172" s="1901">
        <f t="shared" si="115"/>
        <v>0</v>
      </c>
      <c r="H172" s="1902">
        <f t="shared" ref="H172:I172" si="171">IF(OR(H85&lt;&gt;"",Q85&lt;&gt;"",AM141&lt;&gt;""),1,0)</f>
        <v>0</v>
      </c>
      <c r="I172" s="1900">
        <f t="shared" si="171"/>
        <v>0</v>
      </c>
      <c r="J172" s="1903">
        <f t="shared" si="117"/>
        <v>0</v>
      </c>
      <c r="K172" s="1899">
        <f t="shared" ref="K172:M183" si="172">IF(OR(E172=1,H172=1),1,0)</f>
        <v>0</v>
      </c>
      <c r="L172" s="1900">
        <f t="shared" si="172"/>
        <v>0</v>
      </c>
      <c r="M172" s="1903">
        <f t="shared" si="172"/>
        <v>0</v>
      </c>
    </row>
    <row r="173" spans="3:13" ht="13.15" x14ac:dyDescent="0.35">
      <c r="C173" t="s">
        <v>27912</v>
      </c>
      <c r="D173" s="528">
        <v>2</v>
      </c>
      <c r="E173" s="1659">
        <f t="shared" ref="E173:F173" si="173">IF(OR(E86&lt;&gt;"",N86&lt;&gt;"",AJ142&lt;&gt;""),1,0)</f>
        <v>0</v>
      </c>
      <c r="F173" s="460">
        <f t="shared" si="173"/>
        <v>0</v>
      </c>
      <c r="G173" s="461">
        <f t="shared" si="115"/>
        <v>0</v>
      </c>
      <c r="H173" s="462">
        <f t="shared" ref="H173:I173" si="174">IF(OR(H86&lt;&gt;"",Q86&lt;&gt;"",AM142&lt;&gt;""),1,0)</f>
        <v>0</v>
      </c>
      <c r="I173" s="460">
        <f t="shared" si="174"/>
        <v>0</v>
      </c>
      <c r="J173" s="463">
        <f t="shared" si="117"/>
        <v>0</v>
      </c>
      <c r="K173" s="1659">
        <f t="shared" si="172"/>
        <v>0</v>
      </c>
      <c r="L173" s="460">
        <f t="shared" si="172"/>
        <v>0</v>
      </c>
      <c r="M173" s="463">
        <f t="shared" si="172"/>
        <v>0</v>
      </c>
    </row>
    <row r="174" spans="3:13" ht="13.15" x14ac:dyDescent="0.35">
      <c r="C174" t="s">
        <v>27912</v>
      </c>
      <c r="D174" s="528">
        <v>2</v>
      </c>
      <c r="E174" s="445">
        <f t="shared" ref="E174:F174" si="175">IF(OR(E87&lt;&gt;"",N87&lt;&gt;"",AJ143&lt;&gt;""),1,0)</f>
        <v>0</v>
      </c>
      <c r="F174" s="446">
        <f t="shared" si="175"/>
        <v>0</v>
      </c>
      <c r="G174" s="447">
        <f t="shared" si="115"/>
        <v>0</v>
      </c>
      <c r="H174" s="448">
        <f t="shared" ref="H174:I174" si="176">IF(OR(H87&lt;&gt;"",Q87&lt;&gt;"",AM143&lt;&gt;""),1,0)</f>
        <v>0</v>
      </c>
      <c r="I174" s="446">
        <f t="shared" si="176"/>
        <v>0</v>
      </c>
      <c r="J174" s="466">
        <f t="shared" si="117"/>
        <v>0</v>
      </c>
      <c r="K174" s="445">
        <f t="shared" si="172"/>
        <v>0</v>
      </c>
      <c r="L174" s="446">
        <f t="shared" si="172"/>
        <v>0</v>
      </c>
      <c r="M174" s="466">
        <f t="shared" si="172"/>
        <v>0</v>
      </c>
    </row>
    <row r="175" spans="3:13" ht="13.15" x14ac:dyDescent="0.35">
      <c r="C175" t="s">
        <v>27912</v>
      </c>
      <c r="D175" s="528">
        <v>2</v>
      </c>
      <c r="E175" s="467">
        <f t="shared" ref="E175:F175" si="177">IF(OR(E88&lt;&gt;"",N88&lt;&gt;"",AJ144&lt;&gt;""),1,0)</f>
        <v>0</v>
      </c>
      <c r="F175" s="468">
        <f t="shared" si="177"/>
        <v>0</v>
      </c>
      <c r="G175" s="469">
        <f t="shared" si="115"/>
        <v>0</v>
      </c>
      <c r="H175" s="470">
        <f t="shared" ref="H175:I175" si="178">IF(OR(H88&lt;&gt;"",Q88&lt;&gt;"",AM144&lt;&gt;""),1,0)</f>
        <v>0</v>
      </c>
      <c r="I175" s="468">
        <f t="shared" si="178"/>
        <v>0</v>
      </c>
      <c r="J175" s="471">
        <f t="shared" si="117"/>
        <v>0</v>
      </c>
      <c r="K175" s="467">
        <f t="shared" si="172"/>
        <v>0</v>
      </c>
      <c r="L175" s="468">
        <f t="shared" si="172"/>
        <v>0</v>
      </c>
      <c r="M175" s="471">
        <f t="shared" si="172"/>
        <v>0</v>
      </c>
    </row>
    <row r="176" spans="3:13" ht="13.15" x14ac:dyDescent="0.35">
      <c r="C176" t="s">
        <v>27913</v>
      </c>
      <c r="D176" s="528">
        <v>2</v>
      </c>
      <c r="E176" s="1899">
        <f t="shared" ref="E176:F176" si="179">IF(OR(E89&lt;&gt;"",N89&lt;&gt;"",AJ145&lt;&gt;""),1,0)</f>
        <v>0</v>
      </c>
      <c r="F176" s="1900">
        <f t="shared" si="179"/>
        <v>0</v>
      </c>
      <c r="G176" s="1901">
        <f t="shared" si="115"/>
        <v>0</v>
      </c>
      <c r="H176" s="1902">
        <f t="shared" ref="H176:I176" si="180">IF(OR(H89&lt;&gt;"",Q89&lt;&gt;"",AM145&lt;&gt;""),1,0)</f>
        <v>0</v>
      </c>
      <c r="I176" s="1900">
        <f t="shared" si="180"/>
        <v>0</v>
      </c>
      <c r="J176" s="1903">
        <f t="shared" si="117"/>
        <v>0</v>
      </c>
      <c r="K176" s="1899">
        <f t="shared" si="172"/>
        <v>0</v>
      </c>
      <c r="L176" s="1900">
        <f t="shared" si="172"/>
        <v>0</v>
      </c>
      <c r="M176" s="1903">
        <f t="shared" si="172"/>
        <v>0</v>
      </c>
    </row>
    <row r="177" spans="3:14" ht="13.15" x14ac:dyDescent="0.35">
      <c r="C177" t="s">
        <v>27913</v>
      </c>
      <c r="D177" s="528">
        <v>2</v>
      </c>
      <c r="E177" s="1659">
        <f t="shared" ref="E177:F177" si="181">IF(OR(E90&lt;&gt;"",N90&lt;&gt;"",AJ146&lt;&gt;""),1,0)</f>
        <v>0</v>
      </c>
      <c r="F177" s="460">
        <f t="shared" si="181"/>
        <v>0</v>
      </c>
      <c r="G177" s="461">
        <f t="shared" si="115"/>
        <v>0</v>
      </c>
      <c r="H177" s="462">
        <f t="shared" ref="H177:I177" si="182">IF(OR(H90&lt;&gt;"",Q90&lt;&gt;"",AM146&lt;&gt;""),1,0)</f>
        <v>0</v>
      </c>
      <c r="I177" s="460">
        <f t="shared" si="182"/>
        <v>0</v>
      </c>
      <c r="J177" s="463">
        <f t="shared" si="117"/>
        <v>0</v>
      </c>
      <c r="K177" s="1659">
        <f t="shared" si="172"/>
        <v>0</v>
      </c>
      <c r="L177" s="460">
        <f t="shared" si="172"/>
        <v>0</v>
      </c>
      <c r="M177" s="463">
        <f t="shared" si="172"/>
        <v>0</v>
      </c>
    </row>
    <row r="178" spans="3:14" ht="13.15" x14ac:dyDescent="0.35">
      <c r="C178" t="s">
        <v>27913</v>
      </c>
      <c r="D178" s="528">
        <v>2</v>
      </c>
      <c r="E178" s="445">
        <f t="shared" ref="E178:F178" si="183">IF(OR(E91&lt;&gt;"",N91&lt;&gt;"",AJ147&lt;&gt;""),1,0)</f>
        <v>0</v>
      </c>
      <c r="F178" s="446">
        <f t="shared" si="183"/>
        <v>0</v>
      </c>
      <c r="G178" s="447">
        <f t="shared" si="115"/>
        <v>0</v>
      </c>
      <c r="H178" s="448">
        <f t="shared" ref="H178:I178" si="184">IF(OR(H91&lt;&gt;"",Q91&lt;&gt;"",AM147&lt;&gt;""),1,0)</f>
        <v>0</v>
      </c>
      <c r="I178" s="446">
        <f t="shared" si="184"/>
        <v>0</v>
      </c>
      <c r="J178" s="466">
        <f t="shared" si="117"/>
        <v>0</v>
      </c>
      <c r="K178" s="445">
        <f t="shared" si="172"/>
        <v>0</v>
      </c>
      <c r="L178" s="446">
        <f t="shared" si="172"/>
        <v>0</v>
      </c>
      <c r="M178" s="466">
        <f t="shared" si="172"/>
        <v>0</v>
      </c>
    </row>
    <row r="179" spans="3:14" ht="13.5" thickBot="1" x14ac:dyDescent="0.4">
      <c r="C179" t="s">
        <v>27913</v>
      </c>
      <c r="D179" s="528">
        <v>2</v>
      </c>
      <c r="E179" s="467">
        <f t="shared" ref="E179:F179" si="185">IF(OR(E92&lt;&gt;"",N92&lt;&gt;"",AJ148&lt;&gt;""),1,0)</f>
        <v>0</v>
      </c>
      <c r="F179" s="468">
        <f t="shared" si="185"/>
        <v>0</v>
      </c>
      <c r="G179" s="469">
        <f t="shared" si="115"/>
        <v>0</v>
      </c>
      <c r="H179" s="470">
        <f t="shared" ref="H179:I179" si="186">IF(OR(H92&lt;&gt;"",Q92&lt;&gt;"",AM148&lt;&gt;""),1,0)</f>
        <v>0</v>
      </c>
      <c r="I179" s="468">
        <f t="shared" si="186"/>
        <v>0</v>
      </c>
      <c r="J179" s="471">
        <f t="shared" si="117"/>
        <v>0</v>
      </c>
      <c r="K179" s="467">
        <f t="shared" si="172"/>
        <v>0</v>
      </c>
      <c r="L179" s="468">
        <f t="shared" si="172"/>
        <v>0</v>
      </c>
      <c r="M179" s="471">
        <f t="shared" si="172"/>
        <v>0</v>
      </c>
    </row>
    <row r="180" spans="3:14" ht="13.5" thickTop="1" x14ac:dyDescent="0.35">
      <c r="C180" t="s">
        <v>27879</v>
      </c>
      <c r="E180" s="487">
        <f t="shared" ref="E180:J183" si="187">IF(N93&lt;&gt;"",1,0)</f>
        <v>0</v>
      </c>
      <c r="F180" s="488">
        <f t="shared" si="187"/>
        <v>0</v>
      </c>
      <c r="G180" s="489">
        <f t="shared" si="187"/>
        <v>0</v>
      </c>
      <c r="H180" s="490">
        <f t="shared" si="187"/>
        <v>0</v>
      </c>
      <c r="I180" s="488">
        <f t="shared" si="187"/>
        <v>0</v>
      </c>
      <c r="J180" s="491">
        <f t="shared" si="187"/>
        <v>0</v>
      </c>
      <c r="K180" s="487">
        <f t="shared" si="172"/>
        <v>0</v>
      </c>
      <c r="L180" s="488">
        <f t="shared" si="172"/>
        <v>0</v>
      </c>
      <c r="M180" s="491">
        <f t="shared" si="172"/>
        <v>0</v>
      </c>
      <c r="N180" t="s">
        <v>28304</v>
      </c>
    </row>
    <row r="181" spans="3:14" ht="13.15" x14ac:dyDescent="0.35">
      <c r="C181" t="s">
        <v>27879</v>
      </c>
      <c r="E181" s="1660">
        <f t="shared" si="187"/>
        <v>0</v>
      </c>
      <c r="F181" s="464">
        <f t="shared" si="187"/>
        <v>0</v>
      </c>
      <c r="G181" s="492">
        <f t="shared" si="187"/>
        <v>0</v>
      </c>
      <c r="H181" s="493">
        <f t="shared" si="187"/>
        <v>0</v>
      </c>
      <c r="I181" s="464">
        <f t="shared" si="187"/>
        <v>0</v>
      </c>
      <c r="J181" s="465">
        <f t="shared" si="187"/>
        <v>0</v>
      </c>
      <c r="K181" s="1660">
        <f t="shared" si="172"/>
        <v>0</v>
      </c>
      <c r="L181" s="464">
        <f t="shared" si="172"/>
        <v>0</v>
      </c>
      <c r="M181" s="465">
        <f t="shared" si="172"/>
        <v>0</v>
      </c>
      <c r="N181" t="s">
        <v>28304</v>
      </c>
    </row>
    <row r="182" spans="3:14" ht="13.15" x14ac:dyDescent="0.35">
      <c r="C182" t="s">
        <v>27879</v>
      </c>
      <c r="E182" s="451">
        <f t="shared" si="187"/>
        <v>0</v>
      </c>
      <c r="F182" s="452">
        <f t="shared" si="187"/>
        <v>0</v>
      </c>
      <c r="G182" s="494">
        <f t="shared" si="187"/>
        <v>0</v>
      </c>
      <c r="H182" s="495">
        <f t="shared" si="187"/>
        <v>0</v>
      </c>
      <c r="I182" s="452">
        <f t="shared" si="187"/>
        <v>0</v>
      </c>
      <c r="J182" s="453">
        <f t="shared" si="187"/>
        <v>0</v>
      </c>
      <c r="K182" s="451">
        <f t="shared" si="172"/>
        <v>0</v>
      </c>
      <c r="L182" s="452">
        <f t="shared" si="172"/>
        <v>0</v>
      </c>
      <c r="M182" s="453">
        <f t="shared" si="172"/>
        <v>0</v>
      </c>
      <c r="N182" t="s">
        <v>28304</v>
      </c>
    </row>
    <row r="183" spans="3:14" ht="13.15" x14ac:dyDescent="0.35">
      <c r="C183" t="s">
        <v>27879</v>
      </c>
      <c r="E183" s="478">
        <f t="shared" si="187"/>
        <v>0</v>
      </c>
      <c r="F183" s="479">
        <f t="shared" si="187"/>
        <v>0</v>
      </c>
      <c r="G183" s="496">
        <f t="shared" si="187"/>
        <v>0</v>
      </c>
      <c r="H183" s="497">
        <f t="shared" si="187"/>
        <v>0</v>
      </c>
      <c r="I183" s="479">
        <f t="shared" si="187"/>
        <v>0</v>
      </c>
      <c r="J183" s="480">
        <f t="shared" si="187"/>
        <v>0</v>
      </c>
      <c r="K183" s="478">
        <f t="shared" si="172"/>
        <v>0</v>
      </c>
      <c r="L183" s="479">
        <f t="shared" si="172"/>
        <v>0</v>
      </c>
      <c r="M183" s="480">
        <f t="shared" si="172"/>
        <v>0</v>
      </c>
      <c r="N183" t="s">
        <v>28304</v>
      </c>
    </row>
    <row r="184" spans="3:14" ht="13.5" thickBot="1" x14ac:dyDescent="0.4">
      <c r="C184" t="s">
        <v>27879</v>
      </c>
      <c r="E184" s="350"/>
      <c r="F184" s="351"/>
      <c r="G184" s="352"/>
      <c r="H184" s="353"/>
      <c r="I184" s="351"/>
      <c r="J184" s="1524"/>
      <c r="K184" s="350"/>
      <c r="L184" s="351"/>
      <c r="M184" s="1524"/>
    </row>
  </sheetData>
  <sheetProtection algorithmName="SHA-512" hashValue="IQKR7Ayqwd5toDgPub9MfsklP+Bf7dJ8eVXhrDcWhGhkd9MqF+rkKJbyiD22l4KaROV46lZrCjhcKI+lpmo90g==" saltValue="FZ83BW5GO6la0OVywuxbzA==" spinCount="100000" sheet="1" objects="1" scenarios="1"/>
  <mergeCells count="2">
    <mergeCell ref="AD17:AE18"/>
    <mergeCell ref="AY17:AY18"/>
  </mergeCells>
  <phoneticPr fontId="101" type="noConversion"/>
  <conditionalFormatting sqref="E106:M184">
    <cfRule type="cellIs" dxfId="154" priority="1" operator="equal">
      <formula>0</formula>
    </cfRule>
  </conditionalFormatting>
  <conditionalFormatting sqref="AI62:AI63 AL62:AL63 AI65:AI71 AL65:AL71 AI73:AI74 AL73:AL74 AL85:AL140 AW99:AW117">
    <cfRule type="expression" dxfId="153" priority="414417">
      <formula>IF(#REF!&lt;&gt;"",1,0)</formula>
    </cfRule>
  </conditionalFormatting>
  <conditionalFormatting sqref="AI64 AL64">
    <cfRule type="expression" dxfId="152" priority="390654">
      <formula>IF(#REF!&lt;&gt;"",1,0)</formula>
    </cfRule>
  </conditionalFormatting>
  <conditionalFormatting sqref="AI70:AI71 AI73:AI74">
    <cfRule type="expression" dxfId="151" priority="383796">
      <formula>IF(#REF!&lt;&gt;"",1,0)</formula>
    </cfRule>
  </conditionalFormatting>
  <conditionalFormatting sqref="AI62:AL69">
    <cfRule type="expression" dxfId="150" priority="390274">
      <formula>IF(#REF!&lt;&gt;"",1,0)</formula>
    </cfRule>
  </conditionalFormatting>
  <conditionalFormatting sqref="AJ62:AK71 AM62:AO71">
    <cfRule type="expression" dxfId="149" priority="389987">
      <formula>IF(#REF!&lt;&gt;"",1,0)</formula>
    </cfRule>
  </conditionalFormatting>
  <conditionalFormatting sqref="AJ73:AK148 AM73:AO148">
    <cfRule type="expression" dxfId="148" priority="37">
      <formula>IF(#REF!&lt;&gt;"",1,0)</formula>
    </cfRule>
  </conditionalFormatting>
  <conditionalFormatting sqref="AJ86:AO93">
    <cfRule type="expression" dxfId="147" priority="383782">
      <formula>IF(#REF!&lt;&gt;"",1,0)</formula>
    </cfRule>
  </conditionalFormatting>
  <conditionalFormatting sqref="AL75:AL84">
    <cfRule type="expression" dxfId="146" priority="414432">
      <formula>IF(#REF!&lt;&gt;"",1,0)</formula>
    </cfRule>
  </conditionalFormatting>
  <conditionalFormatting sqref="AL94:AL148">
    <cfRule type="expression" dxfId="145" priority="385541">
      <formula>IF(#REF!&lt;&gt;"",1,0)</formula>
    </cfRule>
  </conditionalFormatting>
  <conditionalFormatting sqref="AL70:AN71">
    <cfRule type="expression" dxfId="144" priority="390470">
      <formula>IF(#REF!&lt;&gt;"",1,0)</formula>
    </cfRule>
  </conditionalFormatting>
  <conditionalFormatting sqref="AL73:AO85">
    <cfRule type="expression" dxfId="143" priority="34">
      <formula>IF(#REF!&lt;&gt;"",1,0)</formula>
    </cfRule>
  </conditionalFormatting>
  <conditionalFormatting sqref="AM97:AN108">
    <cfRule type="expression" dxfId="142" priority="390454">
      <formula>IF(#REF!&lt;&gt;"",1,0)</formula>
    </cfRule>
  </conditionalFormatting>
  <conditionalFormatting sqref="AM113:AN148">
    <cfRule type="expression" dxfId="141" priority="390191">
      <formula>IF(#REF!&lt;&gt;"",1,0)</formula>
    </cfRule>
  </conditionalFormatting>
  <conditionalFormatting sqref="AO62:AO71">
    <cfRule type="expression" dxfId="140" priority="383683">
      <formula>IF(#REF!&lt;&gt;"",1,0)</formula>
    </cfRule>
  </conditionalFormatting>
  <conditionalFormatting sqref="AP58:AP66 AP71 AP98:AP117 AQ99:AS123">
    <cfRule type="expression" dxfId="139" priority="383619">
      <formula>IF(#REF!&lt;&gt;"",1,0)</formula>
    </cfRule>
  </conditionalFormatting>
  <conditionalFormatting sqref="AP58:AQ65">
    <cfRule type="expression" dxfId="138" priority="414508">
      <formula>IF(#REF!&lt;&gt;"",1,0)</formula>
    </cfRule>
  </conditionalFormatting>
  <conditionalFormatting sqref="AP99:AT117">
    <cfRule type="expression" dxfId="137" priority="390169">
      <formula>IF(#REF!&lt;&gt;"",1,0)</formula>
    </cfRule>
  </conditionalFormatting>
  <conditionalFormatting sqref="AP118:AV123">
    <cfRule type="expression" dxfId="136" priority="384172">
      <formula>IF(#REF!&lt;&gt;"",1,0)</formula>
    </cfRule>
  </conditionalFormatting>
  <conditionalFormatting sqref="AQ66:AQ79">
    <cfRule type="expression" dxfId="135" priority="414530">
      <formula>IF(#REF!&lt;&gt;"",1,0)</formula>
    </cfRule>
  </conditionalFormatting>
  <conditionalFormatting sqref="AQ85:AQ87">
    <cfRule type="expression" dxfId="134" priority="390409">
      <formula>IF(BH103&lt;&gt;"",1,0)</formula>
    </cfRule>
  </conditionalFormatting>
  <conditionalFormatting sqref="AQ96:AQ97">
    <cfRule type="expression" dxfId="133" priority="414504">
      <formula>IF(#REF!&lt;&gt;"",1,0)</formula>
    </cfRule>
  </conditionalFormatting>
  <conditionalFormatting sqref="AQ58:AS84 AQ93:AS97">
    <cfRule type="expression" dxfId="132" priority="383705">
      <formula>IF(#REF!&lt;&gt;"",1,0)</formula>
    </cfRule>
  </conditionalFormatting>
  <conditionalFormatting sqref="AQ85:AS92">
    <cfRule type="expression" dxfId="131" priority="101">
      <formula>IF(#REF!&lt;&gt;"",1,0)</formula>
    </cfRule>
  </conditionalFormatting>
  <conditionalFormatting sqref="AQ88:AS89">
    <cfRule type="expression" dxfId="130" priority="93">
      <formula>IF(#REF!&lt;&gt;"",1,0)</formula>
    </cfRule>
  </conditionalFormatting>
  <conditionalFormatting sqref="AQ90:AS92 AU90:AV92">
    <cfRule type="expression" dxfId="129" priority="95">
      <formula>IF(#REF!&lt;&gt;"",1,0)</formula>
    </cfRule>
  </conditionalFormatting>
  <conditionalFormatting sqref="AQ80:AW84">
    <cfRule type="expression" dxfId="128" priority="51">
      <formula>IF(#REF!&lt;&gt;"",1,0)</formula>
    </cfRule>
  </conditionalFormatting>
  <conditionalFormatting sqref="AQ93:AW95">
    <cfRule type="expression" dxfId="127" priority="58">
      <formula>IF(#REF!&lt;&gt;"",1,0)</formula>
    </cfRule>
  </conditionalFormatting>
  <conditionalFormatting sqref="AR85:AV87">
    <cfRule type="expression" dxfId="126" priority="390387">
      <formula>IF(#REF!&lt;&gt;"",1,0)</formula>
    </cfRule>
  </conditionalFormatting>
  <conditionalFormatting sqref="AR96:AV97">
    <cfRule type="expression" dxfId="125" priority="390172">
      <formula>IF(#REF!&lt;&gt;"",1,0)</formula>
    </cfRule>
  </conditionalFormatting>
  <conditionalFormatting sqref="AR58:AW79">
    <cfRule type="expression" dxfId="124" priority="390177">
      <formula>IF(#REF!&lt;&gt;"",1,0)</formula>
    </cfRule>
  </conditionalFormatting>
  <conditionalFormatting sqref="AT88:AT92">
    <cfRule type="expression" dxfId="123" priority="46">
      <formula>IF(#REF!&lt;&gt;"",1,0)</formula>
    </cfRule>
  </conditionalFormatting>
  <conditionalFormatting sqref="AT96">
    <cfRule type="expression" dxfId="122" priority="62">
      <formula>IF(#REF!&lt;&gt;"",1,0)</formula>
    </cfRule>
  </conditionalFormatting>
  <conditionalFormatting sqref="AU118:AU123">
    <cfRule type="expression" dxfId="121" priority="414502">
      <formula>IF(AY126&lt;&gt;"",1,0)</formula>
    </cfRule>
  </conditionalFormatting>
  <conditionalFormatting sqref="AU82:AV84">
    <cfRule type="expression" dxfId="120" priority="384065">
      <formula>IF(#REF!&lt;&gt;"",1,0)</formula>
    </cfRule>
  </conditionalFormatting>
  <conditionalFormatting sqref="AU85:AV87">
    <cfRule type="expression" dxfId="119" priority="384234">
      <formula>IF(BI103&lt;&gt;"",1,0)</formula>
    </cfRule>
  </conditionalFormatting>
  <conditionalFormatting sqref="AU96:AV97">
    <cfRule type="expression" dxfId="118" priority="414447">
      <formula>IF(#REF!&lt;&gt;"",1,0)</formula>
    </cfRule>
  </conditionalFormatting>
  <conditionalFormatting sqref="AU99:AV117">
    <cfRule type="expression" dxfId="117" priority="414448">
      <formula>IF(#REF!&lt;&gt;"",1,0)</formula>
    </cfRule>
    <cfRule type="expression" dxfId="116" priority="414507">
      <formula>IF(#REF!&lt;&gt;"",1,0)</formula>
    </cfRule>
  </conditionalFormatting>
  <conditionalFormatting sqref="AU88:AW89 AT99:AT117">
    <cfRule type="expression" dxfId="115" priority="383775">
      <formula>IF(#REF!&lt;&gt;"",1,0)</formula>
    </cfRule>
  </conditionalFormatting>
  <conditionalFormatting sqref="AU88:AW92">
    <cfRule type="expression" dxfId="114" priority="99">
      <formula>IF(#REF!&lt;&gt;"",1,0)</formula>
    </cfRule>
  </conditionalFormatting>
  <conditionalFormatting sqref="AW66:AW78">
    <cfRule type="expression" dxfId="113" priority="414282">
      <formula>IF(BG84&lt;&gt;"",1,0)</formula>
    </cfRule>
  </conditionalFormatting>
  <conditionalFormatting sqref="AW79">
    <cfRule type="expression" dxfId="112" priority="414285">
      <formula>IF(BG99&lt;&gt;"",1,0)</formula>
    </cfRule>
  </conditionalFormatting>
  <conditionalFormatting sqref="AW82:AW87">
    <cfRule type="expression" dxfId="111" priority="384095">
      <formula>IF(#REF!&lt;&gt;"",1,0)</formula>
    </cfRule>
  </conditionalFormatting>
  <conditionalFormatting sqref="AW85:AW87">
    <cfRule type="expression" dxfId="110" priority="384237">
      <formula>IF(BL103&lt;&gt;"",1,0)</formula>
    </cfRule>
  </conditionalFormatting>
  <conditionalFormatting sqref="AW90:AW92 AT93 AT95 AT97">
    <cfRule type="expression" dxfId="109" priority="383762">
      <formula>IF(#REF!&lt;&gt;"",1,0)</formula>
    </cfRule>
  </conditionalFormatting>
  <conditionalFormatting sqref="AW94:AW97">
    <cfRule type="expression" dxfId="108" priority="57">
      <formula>IF(#REF!&lt;&gt;"",1,0)</formula>
    </cfRule>
  </conditionalFormatting>
  <conditionalFormatting sqref="AW99:AW123">
    <cfRule type="expression" dxfId="107" priority="390342">
      <formula>IF(#REF!&lt;&gt;"",1,0)</formula>
    </cfRule>
  </conditionalFormatting>
  <conditionalFormatting sqref="AW118:AW123">
    <cfRule type="expression" dxfId="106" priority="390437">
      <formula>IF(#REF!&lt;&gt;"",1,0)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theme="4" tint="0.39997558519241921"/>
    <pageSetUpPr fitToPage="1"/>
  </sheetPr>
  <dimension ref="A1:AC58"/>
  <sheetViews>
    <sheetView showGridLines="0" workbookViewId="0"/>
  </sheetViews>
  <sheetFormatPr defaultColWidth="9" defaultRowHeight="13.5" x14ac:dyDescent="0.35"/>
  <cols>
    <col min="1" max="1" width="23.265625" style="516" customWidth="1"/>
    <col min="2" max="2" width="16.59765625" style="516" customWidth="1"/>
    <col min="3" max="5" width="14.59765625" style="516" customWidth="1"/>
    <col min="6" max="6" width="15.59765625" style="516" customWidth="1"/>
    <col min="7" max="7" width="14.59765625" style="516" customWidth="1"/>
    <col min="8" max="9" width="16.1328125" style="516" customWidth="1"/>
    <col min="10" max="11" width="16.73046875" style="516" customWidth="1"/>
    <col min="12" max="13" width="15.86328125" style="516" customWidth="1"/>
    <col min="14" max="15" width="15.1328125" style="516" customWidth="1"/>
    <col min="16" max="16" width="15.86328125" style="516" customWidth="1"/>
    <col min="17" max="17" width="14.59765625" style="516" customWidth="1"/>
    <col min="18" max="18" width="14.59765625" style="516" hidden="1" customWidth="1"/>
    <col min="19" max="19" width="16.86328125" style="516" hidden="1" customWidth="1"/>
    <col min="20" max="21" width="14.59765625" style="516" hidden="1" customWidth="1"/>
    <col min="22" max="22" width="16" style="516" hidden="1" customWidth="1"/>
    <col min="23" max="29" width="14.59765625" style="516" hidden="1" customWidth="1"/>
    <col min="30" max="35" width="14.59765625" style="516" customWidth="1"/>
    <col min="36" max="16384" width="9" style="516"/>
  </cols>
  <sheetData>
    <row r="1" spans="1:29" s="355" customFormat="1" ht="25.15" x14ac:dyDescent="0.4">
      <c r="A1" s="636" t="s">
        <v>29792</v>
      </c>
      <c r="B1" s="354"/>
      <c r="R1" s="1914"/>
    </row>
    <row r="2" spans="1:29" s="355" customFormat="1" ht="25.5" customHeight="1" x14ac:dyDescent="0.4">
      <c r="A2" s="1385" t="str">
        <f>IF(PROVIDER="","Provider name",PROVIDER&amp;" ("&amp;UKPRN&amp;")")</f>
        <v>Provider name</v>
      </c>
      <c r="B2" s="354"/>
      <c r="U2" s="1390" t="s">
        <v>203</v>
      </c>
      <c r="V2" s="1390" t="s">
        <v>225</v>
      </c>
      <c r="W2" s="1390" t="s">
        <v>27926</v>
      </c>
      <c r="X2" s="1390" t="s">
        <v>277</v>
      </c>
    </row>
    <row r="3" spans="1:29" s="1505" customFormat="1" ht="15" customHeight="1" x14ac:dyDescent="0.35">
      <c r="A3" s="1503" t="str">
        <f>IF(AND(DCT_DATE&lt;&gt;"",FEC=1),"The 20"&amp;(YEAR-1)&amp;"-"&amp;YEAR&amp;" Individualised data in these comparison tables is taken from the last data checking tool submission you made on: "&amp;DCT_DATE,IF(AND(DCT_DATE&lt;&gt;"",FEC&lt;&gt;1),"The 20"&amp;(YEAR-1)&amp;"-"&amp;YEAR&amp;" Individualised data in these comparison tables is taken from the most recent data checking tool submission you made prior to: "&amp;DCT_DATE,"The 20"&amp;(YEAR-1)&amp;"-"&amp;YEAR&amp;" Individualised data in these comparison tables is taken from the last data checking tool submission. As no upload has been made these are blank."))</f>
        <v>The 2023-24 Individualised data in these comparison tables is taken from the last data checking tool submission. As no upload has been made these are blank.</v>
      </c>
      <c r="B3" s="1504"/>
      <c r="U3" s="1915">
        <f>IF(T12&gt;0,1,0)</f>
        <v>0</v>
      </c>
      <c r="V3" s="1915">
        <f>IF(T23&gt;0,1,0)</f>
        <v>0</v>
      </c>
      <c r="W3" s="1915">
        <f>IF(T34&gt;0,1,0)</f>
        <v>0</v>
      </c>
      <c r="X3" s="1915">
        <f>IF(T47&gt;0,1,0)</f>
        <v>0</v>
      </c>
    </row>
    <row r="4" spans="1:29" s="1505" customFormat="1" ht="15" customHeight="1" x14ac:dyDescent="0.35">
      <c r="A4" s="1506" t="str">
        <f>IF(FEC=1,"Individualised data (Ind. data) in these tables refers to the Individualised Learner Record (ILR).","Individualised data (Ind. data) in these tables refers to the Student or Student Alternative record.")</f>
        <v>Individualised data (Ind. data) in these tables refers to the Student or Student Alternative record.</v>
      </c>
      <c r="B4" s="1504"/>
    </row>
    <row r="5" spans="1:29" s="1505" customFormat="1" ht="15" customHeight="1" x14ac:dyDescent="0.35">
      <c r="A5" s="1506" t="s">
        <v>27927</v>
      </c>
      <c r="B5" s="1507"/>
    </row>
    <row r="6" spans="1:29" s="1505" customFormat="1" ht="15" customHeight="1" x14ac:dyDescent="0.35">
      <c r="A6" s="1508" t="str">
        <f>"Orange highlighting indicates a substantial change between 20"&amp;(YEAR-1)&amp;"-"&amp;YEAR&amp;" Individualised data and HESES"&amp;YEAR&amp;"."</f>
        <v>Orange highlighting indicates a substantial change between 2023-24 Individualised data and HESES24.</v>
      </c>
      <c r="B6" s="1509"/>
      <c r="G6" s="1510"/>
      <c r="H6" s="1511"/>
    </row>
    <row r="7" spans="1:29" s="1505" customFormat="1" ht="15" customHeight="1" x14ac:dyDescent="0.35">
      <c r="A7" s="1508" t="str">
        <f>"Yellow highlighting indicates a substantial change between HESES"&amp;(YEAR-1)&amp;" and HESES"&amp;YEAR&amp;"."</f>
        <v>Yellow highlighting indicates a substantial change between HESES23 and HESES24.</v>
      </c>
      <c r="B7" s="1512"/>
      <c r="U7" s="1115"/>
      <c r="Z7" s="1115"/>
    </row>
    <row r="8" spans="1:29" s="1505" customFormat="1" ht="15" customHeight="1" x14ac:dyDescent="0.35">
      <c r="A8" s="1513" t="s">
        <v>29196</v>
      </c>
      <c r="B8" s="1508"/>
      <c r="U8" s="1505">
        <v>1</v>
      </c>
      <c r="V8" s="1505">
        <v>1</v>
      </c>
      <c r="Z8" s="1505">
        <v>2</v>
      </c>
      <c r="AA8" s="1505">
        <v>2</v>
      </c>
    </row>
    <row r="9" spans="1:29" s="1505" customFormat="1" ht="15" customHeight="1" x14ac:dyDescent="0.35">
      <c r="A9" s="679" t="s">
        <v>27968</v>
      </c>
      <c r="B9" s="1508"/>
      <c r="T9" s="1505" t="s">
        <v>27928</v>
      </c>
      <c r="U9" s="1916">
        <v>0.1</v>
      </c>
      <c r="V9" s="1915">
        <v>50</v>
      </c>
      <c r="Z9" s="1916">
        <v>0.5</v>
      </c>
      <c r="AA9" s="1915">
        <v>10</v>
      </c>
    </row>
    <row r="10" spans="1:29" ht="18.75" customHeight="1" x14ac:dyDescent="0.35"/>
    <row r="11" spans="1:29" s="355" customFormat="1" ht="20.45" customHeight="1" thickBot="1" x14ac:dyDescent="0.45">
      <c r="A11" s="637" t="str">
        <f>"Table A: Total countable years of engagement split by fundability status in 20"&amp;(YEAR-2)&amp;"-"&amp;(YEAR-1)&amp;", 20"&amp;(YEAR-1)&amp;"-"&amp;(YEAR)&amp;" and 20"&amp;(YEAR)&amp;"-"&amp;(YEAR+1)</f>
        <v>Table A: Total countable years of engagement split by fundability status in 2022-23, 2023-24 and 2024-25</v>
      </c>
      <c r="B11" s="356"/>
      <c r="T11" s="355" t="s">
        <v>29</v>
      </c>
      <c r="U11" s="355">
        <v>1</v>
      </c>
      <c r="V11" s="355">
        <v>1</v>
      </c>
      <c r="Z11" s="355">
        <v>2</v>
      </c>
    </row>
    <row r="12" spans="1:29" ht="14.65" customHeight="1" x14ac:dyDescent="0.4">
      <c r="A12" s="1002"/>
      <c r="B12" s="1002"/>
      <c r="C12" s="1083"/>
      <c r="D12" s="1002"/>
      <c r="E12" s="1004"/>
      <c r="F12" s="1002"/>
      <c r="G12" s="3458" t="s">
        <v>27929</v>
      </c>
      <c r="H12" s="3459"/>
      <c r="I12" s="3459"/>
      <c r="J12" s="3463"/>
      <c r="K12" s="3458" t="s">
        <v>27930</v>
      </c>
      <c r="L12" s="3459"/>
      <c r="M12" s="3459"/>
      <c r="N12" s="3458" t="s">
        <v>27931</v>
      </c>
      <c r="O12" s="3459"/>
      <c r="P12" s="3459"/>
      <c r="T12" s="516">
        <f>IF(SUM(U14:X17,Z14:AC17)&gt;0,1,0)</f>
        <v>0</v>
      </c>
      <c r="U12" s="1917">
        <v>4</v>
      </c>
      <c r="V12" s="1918">
        <v>10</v>
      </c>
      <c r="Z12" s="1918">
        <v>10</v>
      </c>
      <c r="AB12" s="1031"/>
    </row>
    <row r="13" spans="1:29" ht="75" customHeight="1" x14ac:dyDescent="0.45">
      <c r="B13" s="1957" t="s">
        <v>27932</v>
      </c>
      <c r="C13" s="1554" t="str">
        <f>"20"&amp;(YEAR-2)&amp;"-"&amp;(YEAR-1)&amp;"
Ind. Data"</f>
        <v>2022-23
Ind. Data</v>
      </c>
      <c r="D13" s="1009" t="str">
        <f>"HESES"&amp;(YEAR-1)</f>
        <v>HESES23</v>
      </c>
      <c r="E13" s="1007" t="str">
        <f>"20"&amp;(YEAR-1)&amp;"-"&amp;YEAR&amp;"
Ind. Data"</f>
        <v>2023-24
Ind. Data</v>
      </c>
      <c r="F13" s="1008" t="str">
        <f>"HESES"&amp;YEAR</f>
        <v>HESES24</v>
      </c>
      <c r="G13" s="1554" t="str">
        <f>"20"&amp;(YEAR-2)&amp;"-"&amp;(YEAR-1)&amp;"
Ind. Data"</f>
        <v>2022-23
Ind. Data</v>
      </c>
      <c r="H13" s="1009" t="str">
        <f>"HESES"&amp;(YEAR-1)</f>
        <v>HESES23</v>
      </c>
      <c r="I13" s="1007" t="str">
        <f>"20"&amp;(YEAR-1)&amp;"-"&amp;YEAR&amp;"
Ind. Data"</f>
        <v>2023-24
Ind. Data</v>
      </c>
      <c r="J13" s="1008" t="str">
        <f>"HESES"&amp;YEAR</f>
        <v>HESES24</v>
      </c>
      <c r="K13" s="1009" t="str">
        <f>"HESES"&amp;(YEAR-1)&amp;"
and
20"&amp;(YEAR-1)&amp;"-"&amp;YEAR&amp;"
Ind. Data"</f>
        <v>HESES23
and
2023-24
Ind. Data</v>
      </c>
      <c r="L13" s="1009" t="str">
        <f>"HESES"&amp;(YEAR-1)&amp;"
and
HESES"&amp;YEAR</f>
        <v>HESES23
and
HESES24</v>
      </c>
      <c r="M13" s="1008" t="str">
        <f>"20"&amp;(YEAR-1)&amp;"-"&amp;(YEAR)&amp;"
Ind. data
and
HESES"&amp;YEAR</f>
        <v>2023-24
Ind. data
and
HESES24</v>
      </c>
      <c r="N13" s="1011" t="str">
        <f>"20"&amp;(YEAR-2)&amp;"-"&amp;(YEAR-1)&amp;"
Ind. Data
and
20"&amp;(YEAR-1)&amp;"-"&amp;(YEAR)&amp;"
Ind. Data"</f>
        <v>2022-23
Ind. Data
and
2023-24
Ind. Data</v>
      </c>
      <c r="O13" s="1011" t="str">
        <f>"HESES"&amp;(YEAR-1)&amp;"
and
HESES"&amp;YEAR</f>
        <v>HESES23
and
HESES24</v>
      </c>
      <c r="P13" s="1011" t="str">
        <f>"20"&amp;(YEAR-1)&amp;"-"&amp;(YEAR)&amp;"
Ind. data
and
HESES"&amp;YEAR</f>
        <v>2023-24
Ind. data
and
HESES24</v>
      </c>
      <c r="R13" s="357" t="s">
        <v>27933</v>
      </c>
      <c r="S13" s="357" t="s">
        <v>27934</v>
      </c>
      <c r="U13" s="1012" t="s">
        <v>29706</v>
      </c>
      <c r="V13" s="1012" t="s">
        <v>29710</v>
      </c>
      <c r="W13" s="1012" t="s">
        <v>29706</v>
      </c>
      <c r="X13" s="1012" t="s">
        <v>29710</v>
      </c>
      <c r="Y13" s="1012"/>
      <c r="Z13" s="1012" t="s">
        <v>29706</v>
      </c>
      <c r="AA13" s="1012" t="s">
        <v>29710</v>
      </c>
      <c r="AB13" s="1012" t="s">
        <v>29706</v>
      </c>
      <c r="AC13" s="1012" t="s">
        <v>29710</v>
      </c>
    </row>
    <row r="14" spans="1:29" ht="14.25" x14ac:dyDescent="0.45">
      <c r="A14" s="3460" t="s">
        <v>28323</v>
      </c>
      <c r="B14" s="1044" t="s">
        <v>27935</v>
      </c>
      <c r="C14" s="2234">
        <v>0</v>
      </c>
      <c r="D14" s="2235">
        <v>0</v>
      </c>
      <c r="E14" s="2236">
        <v>0</v>
      </c>
      <c r="F14" s="2235">
        <f>SUM('1_Full_time'!G$96,'1_Full_time'!J$96,'2_Sandwich'!F$16,'2_Sandwich'!I$16,'3_Part_time'!G$96,'3_Part_time'!J$96)</f>
        <v>0</v>
      </c>
      <c r="G14" s="1663">
        <f>IF($C$17&gt;0,C14/$C$17,0)</f>
        <v>0</v>
      </c>
      <c r="H14" s="1036">
        <f>IF($D$17&gt;0,D14/$D$17,0)</f>
        <v>0</v>
      </c>
      <c r="I14" s="1919">
        <f>IF($E$17&gt;0,E14/$E$17,0)</f>
        <v>0</v>
      </c>
      <c r="J14" s="1017">
        <f>IF($F$17&gt;0,F14/$F$17,0)</f>
        <v>0</v>
      </c>
      <c r="K14" s="1664">
        <f>(I14-H14)*100</f>
        <v>0</v>
      </c>
      <c r="L14" s="1031">
        <f>(J14-H14)*100</f>
        <v>0</v>
      </c>
      <c r="M14" s="1920">
        <f>(J14-I14)*100</f>
        <v>0</v>
      </c>
      <c r="N14" s="1047">
        <f t="shared" ref="N14:N17" si="0">IF(C14=0,0,(E14-C14)/C14)</f>
        <v>0</v>
      </c>
      <c r="O14" s="1047">
        <f t="shared" ref="O14:O17" si="1">IF(D14=0,0,(F14-D14)/D14)</f>
        <v>0</v>
      </c>
      <c r="P14" s="1047">
        <f t="shared" ref="P14:P17" si="2">IF(E14=0,0,(F14-E14)/E14)</f>
        <v>0</v>
      </c>
      <c r="R14" s="358" t="s">
        <v>27936</v>
      </c>
      <c r="S14" s="358" t="s">
        <v>27714</v>
      </c>
      <c r="U14" s="1921">
        <f>IF(AND(ABS(L14)&gt;$U$12, ABS(F14-D14)&gt;$V$12),1,0)</f>
        <v>0</v>
      </c>
      <c r="V14" s="1921">
        <f>IF(AND(DCT="Y",ABS(M14)&gt;$U$12, ABS(F14-E14)&gt;$V$12),1,0)</f>
        <v>0</v>
      </c>
      <c r="W14" s="1922">
        <f>IF(AND(ABS(O14)&gt;$U$9,ABS(F14-D14)&gt;$V$9),1,0)</f>
        <v>0</v>
      </c>
      <c r="X14" s="1922">
        <f t="shared" ref="X14:X17" si="3">IF(AND(DCT="Y",ABS(P14)&gt;$U$9,ABS(F14-E14)&gt;$V$9),1,0)</f>
        <v>0</v>
      </c>
      <c r="Z14" s="1921">
        <f>IF(OR(AND(D14&lt;&gt;0,F14=0, ABS(F14-D14)&gt;$Z$12),AND(D14=0,F14&lt;&gt;0, ABS(F14-D14)&gt;$Z$12)),1,0)</f>
        <v>0</v>
      </c>
      <c r="AA14" s="1921">
        <f>IF(AND(DCT="Y",OR(AND(E14&lt;&gt;0,F14=0, ABS(F14-E14)&gt;$Z$12),AND(E14=0,F14&lt;&gt;0, ABS(F14-E14)&gt;$Z$12))),1,0)</f>
        <v>0</v>
      </c>
      <c r="AB14" s="1922">
        <f t="shared" ref="AB14:AB17" si="4">IF(AND(ABS(O14)&gt;$Z$9,ABS(F14-D14)&gt;$AA$9),1,0)</f>
        <v>0</v>
      </c>
      <c r="AC14" s="1922">
        <f t="shared" ref="AC14:AC17" si="5">IF(AND(DCT="Y",ABS(P14)&gt;$Z$9,ABS(F14-E14)&gt;$AA$9),1,0)</f>
        <v>0</v>
      </c>
    </row>
    <row r="15" spans="1:29" ht="14.25" x14ac:dyDescent="0.45">
      <c r="A15" s="3461"/>
      <c r="B15" s="1044" t="s">
        <v>193</v>
      </c>
      <c r="C15" s="2234">
        <v>0</v>
      </c>
      <c r="D15" s="2235">
        <v>0</v>
      </c>
      <c r="E15" s="2236">
        <v>0</v>
      </c>
      <c r="F15" s="2235">
        <f>SUM('1_Full_time'!H$96,'1_Full_time'!K$96,'2_Sandwich'!G$16,'2_Sandwich'!J$16,'3_Part_time'!H$96,'3_Part_time'!K$96)</f>
        <v>0</v>
      </c>
      <c r="G15" s="1663">
        <f>IF($C$17&gt;0,C15/$C$17,0)</f>
        <v>0</v>
      </c>
      <c r="H15" s="1016">
        <f>IF($D$17&gt;0,D15/$D$17,0)</f>
        <v>0</v>
      </c>
      <c r="I15" s="1019">
        <f>IF($E$17&gt;0,E15/$E$17,0)</f>
        <v>0</v>
      </c>
      <c r="J15" s="1017">
        <f>IF($F$17&gt;0,F15/$F$17,0)</f>
        <v>0</v>
      </c>
      <c r="K15" s="1664">
        <f>(I15-H15)*100</f>
        <v>0</v>
      </c>
      <c r="L15" s="1031">
        <f>(J15-H15)*100</f>
        <v>0</v>
      </c>
      <c r="M15" s="1048">
        <f>(J15-I15)*100</f>
        <v>0</v>
      </c>
      <c r="N15" s="1047">
        <f t="shared" si="0"/>
        <v>0</v>
      </c>
      <c r="O15" s="1047">
        <f t="shared" si="1"/>
        <v>0</v>
      </c>
      <c r="P15" s="1047">
        <f t="shared" si="2"/>
        <v>0</v>
      </c>
      <c r="R15" s="358" t="s">
        <v>27936</v>
      </c>
      <c r="S15" s="358" t="s">
        <v>27715</v>
      </c>
      <c r="U15" s="1921">
        <f>IF(AND(ABS(L15)&gt;$U$12, ABS(F15-D15)&gt;$V$12),1,0)</f>
        <v>0</v>
      </c>
      <c r="V15" s="1921">
        <f>IF(AND(DCT="Y",ABS(M15)&gt;$U$12, ABS(F15-E15)&gt;$V$12),1,0)</f>
        <v>0</v>
      </c>
      <c r="W15" s="1922">
        <f t="shared" ref="W15:W17" si="6">IF(AND(ABS(O15)&gt;$U$9,ABS(F15-D15)&gt;$V$9),1,0)</f>
        <v>0</v>
      </c>
      <c r="X15" s="1922">
        <f t="shared" si="3"/>
        <v>0</v>
      </c>
      <c r="Z15" s="1921">
        <f>IF(OR(AND(D15&lt;&gt;0,F15=0, ABS(F15-D15)&gt;$Z$12),AND(D15=0,F15&lt;&gt;0, ABS(F15-D15)&gt;$Z$12)),1,0)</f>
        <v>0</v>
      </c>
      <c r="AA15" s="1921">
        <f>IF(AND(DCT="Y",OR(AND(E15&lt;&gt;0,F15=0, ABS(F15-E15)&gt;$Z$12),AND(E15=0,F15&lt;&gt;0, ABS(F15-E15)&gt;$Z$12))),1,0)</f>
        <v>0</v>
      </c>
      <c r="AB15" s="1922">
        <f t="shared" si="4"/>
        <v>0</v>
      </c>
      <c r="AC15" s="1922">
        <f t="shared" si="5"/>
        <v>0</v>
      </c>
    </row>
    <row r="16" spans="1:29" ht="14.65" thickBot="1" x14ac:dyDescent="0.5">
      <c r="A16" s="3462"/>
      <c r="B16" s="2251" t="s">
        <v>194</v>
      </c>
      <c r="C16" s="2252">
        <v>0</v>
      </c>
      <c r="D16" s="2253">
        <v>0</v>
      </c>
      <c r="E16" s="2254">
        <v>0</v>
      </c>
      <c r="F16" s="2253">
        <f>SUM('1_Full_time'!I$96,'1_Full_time'!L$96,'2_Sandwich'!H$16,'2_Sandwich'!K$16,'3_Part_time'!I$96,'3_Part_time'!L$96)</f>
        <v>0</v>
      </c>
      <c r="G16" s="2255">
        <f>IF($C$17&gt;0,C16/$C$17,0)</f>
        <v>0</v>
      </c>
      <c r="H16" s="2256">
        <f>IF($D$17&gt;0,D16/$D$17,0)</f>
        <v>0</v>
      </c>
      <c r="I16" s="2257">
        <f>IF($E$17&gt;0,E16/$E$17,0)</f>
        <v>0</v>
      </c>
      <c r="J16" s="2256">
        <f>IF($F$17&gt;0,F16/$F$17,0)</f>
        <v>0</v>
      </c>
      <c r="K16" s="2258">
        <f>(I16-H16)*100</f>
        <v>0</v>
      </c>
      <c r="L16" s="2259">
        <f>(J16-H16)*100</f>
        <v>0</v>
      </c>
      <c r="M16" s="2260">
        <f>(J16-I16)*100</f>
        <v>0</v>
      </c>
      <c r="N16" s="2261">
        <f t="shared" si="0"/>
        <v>0</v>
      </c>
      <c r="O16" s="2261">
        <f t="shared" si="1"/>
        <v>0</v>
      </c>
      <c r="P16" s="2261">
        <f t="shared" si="2"/>
        <v>0</v>
      </c>
      <c r="R16" s="358" t="s">
        <v>27936</v>
      </c>
      <c r="S16" s="358" t="s">
        <v>27716</v>
      </c>
      <c r="U16" s="1921">
        <f>IF(AND(ABS(L16)&gt;$U$12, ABS(F16-D16)&gt;$V$12),1,0)</f>
        <v>0</v>
      </c>
      <c r="V16" s="1921">
        <f>IF(AND(DCT="Y",ABS(M16)&gt;$U$12, ABS(F16-E16)&gt;$V$12),1,0)</f>
        <v>0</v>
      </c>
      <c r="W16" s="1922">
        <f t="shared" si="6"/>
        <v>0</v>
      </c>
      <c r="X16" s="1922">
        <f t="shared" si="3"/>
        <v>0</v>
      </c>
      <c r="Z16" s="1921">
        <f>IF(OR(AND(D16&lt;&gt;0,F16=0, ABS(F16-D16)&gt;$Z$12),AND(D16=0,F16&lt;&gt;0, ABS(F16-D16)&gt;$Z$12)),1,0)</f>
        <v>0</v>
      </c>
      <c r="AA16" s="1921">
        <f>IF(AND(DCT="Y",OR(AND(E16&lt;&gt;0,F16=0, ABS(F16-E16)&gt;$Z$12),AND(E16=0,F16&lt;&gt;0, ABS(F16-E16)&gt;$Z$12))),1,0)</f>
        <v>0</v>
      </c>
      <c r="AB16" s="1922">
        <f t="shared" si="4"/>
        <v>0</v>
      </c>
      <c r="AC16" s="1922">
        <f t="shared" si="5"/>
        <v>0</v>
      </c>
    </row>
    <row r="17" spans="1:29" ht="15" thickTop="1" thickBot="1" x14ac:dyDescent="0.5">
      <c r="A17" s="1039"/>
      <c r="B17" s="1045" t="s">
        <v>27696</v>
      </c>
      <c r="C17" s="2242">
        <f>SUM(C14:C16)</f>
        <v>0</v>
      </c>
      <c r="D17" s="2262">
        <f>SUM(D14:D16)</f>
        <v>0</v>
      </c>
      <c r="E17" s="2244">
        <f>SUM(E14:E16)</f>
        <v>0</v>
      </c>
      <c r="F17" s="2262">
        <f>SUM(F14:F16)</f>
        <v>0</v>
      </c>
      <c r="G17" s="1025"/>
      <c r="H17" s="1026"/>
      <c r="I17" s="1027"/>
      <c r="J17" s="1026"/>
      <c r="K17" s="2263"/>
      <c r="L17" s="2264"/>
      <c r="M17" s="2265"/>
      <c r="N17" s="1041">
        <f t="shared" si="0"/>
        <v>0</v>
      </c>
      <c r="O17" s="1041">
        <f t="shared" si="1"/>
        <v>0</v>
      </c>
      <c r="P17" s="2266">
        <f t="shared" si="2"/>
        <v>0</v>
      </c>
      <c r="R17" s="358" t="s">
        <v>27936</v>
      </c>
      <c r="S17" s="358" t="s">
        <v>27937</v>
      </c>
      <c r="U17" s="2233"/>
      <c r="V17" s="2233"/>
      <c r="W17" s="1922">
        <f t="shared" si="6"/>
        <v>0</v>
      </c>
      <c r="X17" s="1922">
        <f t="shared" si="3"/>
        <v>0</v>
      </c>
      <c r="Y17" s="1665"/>
      <c r="Z17" s="1921">
        <f>IF(OR(AND(D17&lt;&gt;0,F17=0, ABS(F17-D17)&gt;$Z$12),AND(D17=0,F17&lt;&gt;0, ABS(F17-D17)&gt;$Z$12)),1,0)</f>
        <v>0</v>
      </c>
      <c r="AA17" s="1921">
        <f>IF(AND(DCT="Y",OR(AND(E17&lt;&gt;0,F17=0, ABS(F17-E17)&gt;$Z$12),AND(E17=0,F17&lt;&gt;0, ABS(F17-E17)&gt;$Z$12))),1,0)</f>
        <v>0</v>
      </c>
      <c r="AB17" s="1922">
        <f t="shared" si="4"/>
        <v>0</v>
      </c>
      <c r="AC17" s="1922">
        <f t="shared" si="5"/>
        <v>0</v>
      </c>
    </row>
    <row r="18" spans="1:29" ht="14.25" hidden="1" x14ac:dyDescent="0.45">
      <c r="B18" s="1046"/>
      <c r="C18" s="1015"/>
      <c r="D18" s="1015"/>
      <c r="E18" s="1015"/>
      <c r="F18" s="1015"/>
      <c r="G18" s="1016"/>
      <c r="H18" s="1016"/>
      <c r="I18" s="1016"/>
      <c r="J18" s="1016"/>
      <c r="K18" s="1020"/>
      <c r="L18" s="1031"/>
      <c r="M18" s="1031"/>
      <c r="N18" s="1020"/>
      <c r="O18" s="1016"/>
      <c r="P18" s="1031"/>
      <c r="R18" s="359"/>
      <c r="S18" s="359"/>
      <c r="U18" s="516" t="s">
        <v>27938</v>
      </c>
      <c r="W18" s="516" t="s">
        <v>27931</v>
      </c>
      <c r="Z18" s="516" t="s">
        <v>27939</v>
      </c>
      <c r="AB18" s="516" t="s">
        <v>27931</v>
      </c>
    </row>
    <row r="19" spans="1:29" ht="14.25" hidden="1" x14ac:dyDescent="0.45">
      <c r="B19" s="360" t="s">
        <v>27940</v>
      </c>
      <c r="C19" s="361" t="s">
        <v>203</v>
      </c>
      <c r="D19" s="361" t="s">
        <v>203</v>
      </c>
      <c r="E19" s="361" t="s">
        <v>203</v>
      </c>
      <c r="F19" s="358" t="s">
        <v>203</v>
      </c>
    </row>
    <row r="20" spans="1:29" ht="14.25" hidden="1" x14ac:dyDescent="0.45">
      <c r="B20" s="360"/>
      <c r="C20" s="361" t="s">
        <v>28251</v>
      </c>
      <c r="D20" s="361" t="s">
        <v>28252</v>
      </c>
      <c r="E20" s="361" t="s">
        <v>29712</v>
      </c>
      <c r="F20" s="358" t="s">
        <v>29719</v>
      </c>
    </row>
    <row r="21" spans="1:29" ht="20.25" customHeight="1" x14ac:dyDescent="0.35"/>
    <row r="22" spans="1:29" s="355" customFormat="1" ht="20.45" customHeight="1" thickBot="1" x14ac:dyDescent="0.4">
      <c r="A22" s="637" t="str">
        <f>"Table B: Fundable countable years of engagement split by mode in 20"&amp;(YEAR-2)&amp;"-"&amp;(YEAR-1)&amp;", 20"&amp;(YEAR-1)&amp;"-"&amp;(YEAR)&amp;" and 20"&amp;(YEAR)&amp;"-"&amp;(YEAR+1)</f>
        <v>Table B: Fundable countable years of engagement split by mode in 2022-23, 2023-24 and 2024-25</v>
      </c>
      <c r="R22" s="355" t="s">
        <v>31</v>
      </c>
      <c r="U22" s="355">
        <v>1</v>
      </c>
      <c r="V22" s="355">
        <v>1</v>
      </c>
      <c r="W22" s="355">
        <v>1</v>
      </c>
      <c r="Y22" s="355">
        <v>2</v>
      </c>
      <c r="Z22" s="355">
        <v>2</v>
      </c>
      <c r="AB22" s="355">
        <v>3</v>
      </c>
    </row>
    <row r="23" spans="1:29" ht="15" customHeight="1" x14ac:dyDescent="0.4">
      <c r="A23" s="1002"/>
      <c r="B23" s="1083"/>
      <c r="C23" s="1003"/>
      <c r="D23" s="1004"/>
      <c r="E23" s="1032"/>
      <c r="F23" s="3458" t="s">
        <v>27931</v>
      </c>
      <c r="G23" s="3459"/>
      <c r="H23" s="3459"/>
      <c r="T23" s="516">
        <f>IF(SUM(U25:V27,Y25:Z27,AB25:AC27)&gt;0,1,0)</f>
        <v>0</v>
      </c>
      <c r="U23" s="2233"/>
      <c r="V23" s="1923">
        <v>0.1</v>
      </c>
      <c r="W23" s="1918">
        <v>100</v>
      </c>
      <c r="Y23" s="1923">
        <v>0.5</v>
      </c>
      <c r="Z23" s="1918">
        <v>20</v>
      </c>
      <c r="AB23" s="1918">
        <v>10</v>
      </c>
    </row>
    <row r="24" spans="1:29" ht="75" customHeight="1" x14ac:dyDescent="0.45">
      <c r="A24" s="1042" t="s">
        <v>55</v>
      </c>
      <c r="B24" s="1554" t="str">
        <f>"20"&amp;(YEAR-2)&amp;"-"&amp;(YEAR-1)&amp;"
Ind. Data"</f>
        <v>2022-23
Ind. Data</v>
      </c>
      <c r="C24" s="1009" t="str">
        <f>"HESES"&amp;(YEAR-1)</f>
        <v>HESES23</v>
      </c>
      <c r="D24" s="1007" t="str">
        <f>"20"&amp;(YEAR-1)&amp;"-"&amp;YEAR&amp;"
Ind. Data"</f>
        <v>2023-24
Ind. Data</v>
      </c>
      <c r="E24" s="1008" t="str">
        <f>"HESES"&amp;YEAR</f>
        <v>HESES24</v>
      </c>
      <c r="F24" s="1011" t="str">
        <f>"20"&amp;(YEAR-2)&amp;"-"&amp;(YEAR-1)&amp;"
Ind. Data
and
20"&amp;(YEAR-1)&amp;"-"&amp;(YEAR)&amp;"
Ind. Data"</f>
        <v>2022-23
Ind. Data
and
2023-24
Ind. Data</v>
      </c>
      <c r="G24" s="1011" t="str">
        <f>"HESES"&amp;(YEAR-1)&amp;"
and
HESES"&amp;YEAR</f>
        <v>HESES23
and
HESES24</v>
      </c>
      <c r="H24" s="1011" t="str">
        <f>"20"&amp;(YEAR-1)&amp;"-"&amp;(YEAR)&amp;"
Ind. data
and
HESES"&amp;YEAR</f>
        <v>2023-24
Ind. data
and
HESES24</v>
      </c>
      <c r="K24" s="1043"/>
      <c r="L24" s="1034"/>
      <c r="R24" s="357" t="s">
        <v>27941</v>
      </c>
      <c r="U24" s="1012" t="s">
        <v>29707</v>
      </c>
      <c r="V24" s="1012" t="s">
        <v>29710</v>
      </c>
      <c r="Y24" s="1012" t="s">
        <v>29707</v>
      </c>
      <c r="Z24" s="1012" t="s">
        <v>29710</v>
      </c>
      <c r="AB24" s="1012" t="s">
        <v>29707</v>
      </c>
      <c r="AC24" s="1012" t="s">
        <v>29710</v>
      </c>
    </row>
    <row r="25" spans="1:29" ht="14.25" x14ac:dyDescent="0.45">
      <c r="A25" s="1044" t="s">
        <v>189</v>
      </c>
      <c r="B25" s="2234">
        <v>0</v>
      </c>
      <c r="C25" s="2237">
        <v>0</v>
      </c>
      <c r="D25" s="2238">
        <v>0</v>
      </c>
      <c r="E25" s="2239">
        <f>'1_Full_time'!M96</f>
        <v>0</v>
      </c>
      <c r="F25" s="1036">
        <f>IF(B25&gt;0,D25/B25-1,0)</f>
        <v>0</v>
      </c>
      <c r="G25" s="1036">
        <f>IF(C25&gt;0,E25/C25-1,0)</f>
        <v>0</v>
      </c>
      <c r="H25" s="1036">
        <f>IF(D25&gt;0,E25/D25-1,0)</f>
        <v>0</v>
      </c>
      <c r="K25" s="1035"/>
      <c r="L25" s="1035"/>
      <c r="R25" s="358" t="s">
        <v>27747</v>
      </c>
      <c r="U25" s="1918">
        <f>IF(AND(ABS(G25)&gt;$V$23,ABS(E25-C25)&gt;$W$23),1,0)</f>
        <v>0</v>
      </c>
      <c r="V25" s="1918">
        <f>IF(AND(DCT="Y",ABS(H25)&gt;$V$23,ABS(E25-D25)&gt;$W$23),1,0)</f>
        <v>0</v>
      </c>
      <c r="Y25" s="1918">
        <f>IF(AND(ABS(G25)&gt;$Y$23,ABS(E25-C25)&gt;$Z$23),1,0)</f>
        <v>0</v>
      </c>
      <c r="Z25" s="1918">
        <f>IF(AND(DCT="Y",ABS(H25)&gt;$Y$23,ABS(E25-D25)&gt;$Z$23),1,0)</f>
        <v>0</v>
      </c>
      <c r="AB25" s="1918">
        <f>IF(OR(AND(C25&lt;&gt;0,E25=0, ABS(E25-C25)&gt;$AB$23),AND(C25=0,E25&lt;&gt;0, ABS(E25-C25)&gt;$AB$23)),1,0)</f>
        <v>0</v>
      </c>
      <c r="AC25" s="1918">
        <f>IF(OR(AND(DCT="Y",D25&lt;&gt;0,E25=0, ABS(E25-D25)&gt;$AB$23),AND(DCT="Y",D25=0,E25&lt;&gt;0, ABS(E25-D25)&gt;$AB$23)),1,0)</f>
        <v>0</v>
      </c>
    </row>
    <row r="26" spans="1:29" ht="14.25" x14ac:dyDescent="0.45">
      <c r="A26" s="1044" t="s">
        <v>190</v>
      </c>
      <c r="B26" s="2234">
        <v>0</v>
      </c>
      <c r="C26" s="2240">
        <v>0</v>
      </c>
      <c r="D26" s="2236">
        <v>0</v>
      </c>
      <c r="E26" s="2241">
        <f>'2_Sandwich'!L16</f>
        <v>0</v>
      </c>
      <c r="F26" s="1016">
        <f>IF(B26&gt;0,D26/B26-1,0)</f>
        <v>0</v>
      </c>
      <c r="G26" s="1016">
        <f t="shared" ref="G26:G27" si="7">IF(C26&gt;0,E26/C26-1,0)</f>
        <v>0</v>
      </c>
      <c r="H26" s="1016">
        <f t="shared" ref="H26:H27" si="8">IF(D26&gt;0,E26/D26-1,0)</f>
        <v>0</v>
      </c>
      <c r="K26" s="1035"/>
      <c r="L26" s="1035"/>
      <c r="R26" s="358" t="s">
        <v>27748</v>
      </c>
      <c r="U26" s="1918">
        <f>IF(AND(ABS(G26)&gt;$V$23,ABS(E26-C26)&gt;$W$23),1,0)</f>
        <v>0</v>
      </c>
      <c r="V26" s="1918">
        <f>IF(AND(DCT="Y",ABS(H26)&gt;$V$23,ABS(E26-D26)&gt;$W$23),1,0)</f>
        <v>0</v>
      </c>
      <c r="Y26" s="1918">
        <f t="shared" ref="Y26:Y27" si="9">IF(AND(ABS(G26)&gt;$Y$23,ABS(E26-C26)&gt;$Z$23),1,0)</f>
        <v>0</v>
      </c>
      <c r="Z26" s="1918">
        <f>IF(AND(DCT="Y",ABS(H26)&gt;$Y$23,ABS(E26-D26)&gt;$Z$23),1,0)</f>
        <v>0</v>
      </c>
      <c r="AB26" s="1918">
        <f>IF(OR(AND(C26&lt;&gt;0,E26=0, ABS(E26-C26)&gt;$AB$23),AND(C26=0,E26&lt;&gt;0, ABS(E26-C26)&gt;$AB$23)),1,0)</f>
        <v>0</v>
      </c>
      <c r="AC26" s="1918">
        <f>IF(OR(AND(DCT="Y",D26&lt;&gt;0,E26=0, ABS(E26-D26)&gt;$AB$23),AND(DCT="Y",D26=0,E26&lt;&gt;0, ABS(E26-D26)&gt;$AB$23)),1,0)</f>
        <v>0</v>
      </c>
    </row>
    <row r="27" spans="1:29" ht="14.65" thickBot="1" x14ac:dyDescent="0.5">
      <c r="A27" s="1044" t="s">
        <v>191</v>
      </c>
      <c r="B27" s="2234">
        <v>0</v>
      </c>
      <c r="C27" s="2240">
        <v>0</v>
      </c>
      <c r="D27" s="2236">
        <v>0</v>
      </c>
      <c r="E27" s="2241">
        <f>'3_Part_time'!M96</f>
        <v>0</v>
      </c>
      <c r="F27" s="1016">
        <f>IF(B27&gt;0,D27/B27-1,0)</f>
        <v>0</v>
      </c>
      <c r="G27" s="1016">
        <f t="shared" si="7"/>
        <v>0</v>
      </c>
      <c r="H27" s="1016">
        <f t="shared" si="8"/>
        <v>0</v>
      </c>
      <c r="K27" s="1035"/>
      <c r="L27" s="1035"/>
      <c r="R27" s="358" t="s">
        <v>27767</v>
      </c>
      <c r="U27" s="1918">
        <f>IF(AND(ABS(G27)&gt;$V$23,ABS(E27-C27)&gt;$W$23),1,0)</f>
        <v>0</v>
      </c>
      <c r="V27" s="1918">
        <f>IF(AND(DCT="Y",ABS(H27)&gt;$V$23,ABS(E27-D27)&gt;$W$23),1,0)</f>
        <v>0</v>
      </c>
      <c r="Y27" s="1918">
        <f t="shared" si="9"/>
        <v>0</v>
      </c>
      <c r="Z27" s="1918">
        <f>IF(AND(DCT="Y",ABS(H27)&gt;$Y$23,ABS(E27-D27)&gt;$Z$23),1,0)</f>
        <v>0</v>
      </c>
      <c r="AB27" s="1918">
        <f>IF(OR(AND(C27&lt;&gt;0,E27=0, ABS(E27-C27)&gt;$AB$23),AND(C27=0,E27&lt;&gt;0, ABS(E27-C27)&gt;$AB$23)),1,0)</f>
        <v>0</v>
      </c>
      <c r="AC27" s="1918">
        <f>IF(OR(AND(DCT="Y",D27&lt;&gt;0,E27=0, ABS(E27-D27)&gt;$AB$23),AND(DCT="Y",D27=0,E27&lt;&gt;0, ABS(E27-D27)&gt;$AB$23)),1,0)</f>
        <v>0</v>
      </c>
    </row>
    <row r="28" spans="1:29" ht="14.25" thickTop="1" thickBot="1" x14ac:dyDescent="0.4">
      <c r="A28" s="1045" t="s">
        <v>27696</v>
      </c>
      <c r="B28" s="2242">
        <f>SUM(B25:B27)</f>
        <v>0</v>
      </c>
      <c r="C28" s="2243">
        <f>SUM(C25:C27)</f>
        <v>0</v>
      </c>
      <c r="D28" s="2244">
        <f>SUM(D25:D27)</f>
        <v>0</v>
      </c>
      <c r="E28" s="2245">
        <f>SUM(E25:E27)</f>
        <v>0</v>
      </c>
      <c r="F28" s="1041">
        <f>IF(B28&gt;0,D28/B28-1,0)</f>
        <v>0</v>
      </c>
      <c r="G28" s="1041">
        <f>IF(C28&gt;0,E28/C28-1,0)</f>
        <v>0</v>
      </c>
      <c r="H28" s="1041">
        <f>IF(D28&gt;0,E28/D28-1,0)</f>
        <v>0</v>
      </c>
      <c r="U28" s="516" t="s">
        <v>27942</v>
      </c>
      <c r="Y28" s="516" t="s">
        <v>27943</v>
      </c>
      <c r="AB28" s="516" t="s">
        <v>27939</v>
      </c>
    </row>
    <row r="29" spans="1:29" hidden="1" x14ac:dyDescent="0.35"/>
    <row r="30" spans="1:29" ht="14.25" hidden="1" x14ac:dyDescent="0.45">
      <c r="A30" s="360" t="s">
        <v>27940</v>
      </c>
      <c r="B30" s="361" t="s">
        <v>225</v>
      </c>
      <c r="C30" s="361" t="s">
        <v>225</v>
      </c>
      <c r="D30" s="358" t="s">
        <v>225</v>
      </c>
      <c r="E30" s="358" t="s">
        <v>225</v>
      </c>
    </row>
    <row r="31" spans="1:29" ht="14.25" hidden="1" x14ac:dyDescent="0.45">
      <c r="A31" s="360"/>
      <c r="B31" s="361" t="s">
        <v>28251</v>
      </c>
      <c r="C31" s="361" t="s">
        <v>28252</v>
      </c>
      <c r="D31" s="361" t="s">
        <v>29712</v>
      </c>
      <c r="E31" s="358" t="s">
        <v>29719</v>
      </c>
    </row>
    <row r="32" spans="1:29" ht="21" customHeight="1" x14ac:dyDescent="0.35">
      <c r="U32" s="516" t="s">
        <v>29197</v>
      </c>
    </row>
    <row r="33" spans="1:28" s="355" customFormat="1" ht="20.25" customHeight="1" thickBot="1" x14ac:dyDescent="0.4">
      <c r="A33" s="637" t="str">
        <f>"Table C: Fundable countable years of engagement split by level in 20"&amp;(YEAR-2)&amp;"-"&amp;(YEAR-1)&amp;", 20"&amp;(YEAR-1)&amp;"-"&amp;(YEAR)&amp;" and 20"&amp;(YEAR)&amp;"-"&amp;(YEAR+1)</f>
        <v>Table C: Fundable countable years of engagement split by level in 2022-23, 2023-24 and 2024-25</v>
      </c>
      <c r="R33" s="355" t="s">
        <v>33</v>
      </c>
      <c r="U33" s="355">
        <v>1</v>
      </c>
      <c r="V33" s="355">
        <v>1</v>
      </c>
      <c r="X33" s="355">
        <v>2</v>
      </c>
      <c r="Y33" s="355">
        <v>2</v>
      </c>
    </row>
    <row r="34" spans="1:28" ht="15" customHeight="1" x14ac:dyDescent="0.4">
      <c r="A34" s="1002"/>
      <c r="B34" s="1083"/>
      <c r="C34" s="1003"/>
      <c r="D34" s="1004"/>
      <c r="E34" s="1032"/>
      <c r="F34" s="3458" t="s">
        <v>27931</v>
      </c>
      <c r="G34" s="3459"/>
      <c r="H34" s="3459"/>
      <c r="T34" s="516">
        <f>IF(SUM(U36:V40,X36:Y40)&gt;0,1,0)</f>
        <v>0</v>
      </c>
      <c r="U34" s="1923">
        <v>0.1</v>
      </c>
      <c r="V34" s="1918">
        <v>100</v>
      </c>
      <c r="X34" s="1923">
        <v>0.5</v>
      </c>
      <c r="Y34" s="1918">
        <v>20</v>
      </c>
    </row>
    <row r="35" spans="1:28" ht="74.650000000000006" customHeight="1" x14ac:dyDescent="0.45">
      <c r="A35" s="1033" t="s">
        <v>57</v>
      </c>
      <c r="B35" s="1554" t="str">
        <f>"20"&amp;(YEAR-2)&amp;"-"&amp;(YEAR-1)&amp;"
Ind. Data"</f>
        <v>2022-23
Ind. Data</v>
      </c>
      <c r="C35" s="1009" t="str">
        <f>"HESES"&amp;(YEAR-1)</f>
        <v>HESES23</v>
      </c>
      <c r="D35" s="1007" t="str">
        <f>"20"&amp;(YEAR-1)&amp;"-"&amp;YEAR&amp;"
Ind. Data"</f>
        <v>2023-24
Ind. Data</v>
      </c>
      <c r="E35" s="1008" t="str">
        <f>"HESES"&amp;YEAR</f>
        <v>HESES24</v>
      </c>
      <c r="F35" s="1011" t="str">
        <f>"20"&amp;(YEAR-2)&amp;"-"&amp;(YEAR-1)&amp;"
Ind. Data
and
20"&amp;(YEAR-1)&amp;"-"&amp;(YEAR)&amp;"
Ind. Data"</f>
        <v>2022-23
Ind. Data
and
2023-24
Ind. Data</v>
      </c>
      <c r="G35" s="1011" t="str">
        <f>"HESES"&amp;(YEAR-1)&amp;"
and
HESES"&amp;YEAR</f>
        <v>HESES23
and
HESES24</v>
      </c>
      <c r="H35" s="1011" t="str">
        <f>"20"&amp;(YEAR-1)&amp;"-"&amp;(YEAR)&amp;"
Ind. data
and
HESES"&amp;YEAR</f>
        <v>2023-24
Ind. data
and
HESES24</v>
      </c>
      <c r="K35" s="1034"/>
      <c r="L35" s="1034"/>
      <c r="M35" s="1035"/>
      <c r="N35" s="1035"/>
      <c r="O35" s="1035"/>
      <c r="P35" s="1035"/>
      <c r="R35" s="357" t="s">
        <v>314</v>
      </c>
      <c r="U35" s="1012" t="s">
        <v>29707</v>
      </c>
      <c r="V35" s="1012" t="s">
        <v>29710</v>
      </c>
      <c r="X35" s="1012" t="s">
        <v>29707</v>
      </c>
      <c r="Y35" s="1012" t="s">
        <v>29710</v>
      </c>
    </row>
    <row r="36" spans="1:28" ht="14.25" x14ac:dyDescent="0.45">
      <c r="A36" s="516" t="s">
        <v>205</v>
      </c>
      <c r="B36" s="2234">
        <v>0</v>
      </c>
      <c r="C36" s="2246">
        <v>0</v>
      </c>
      <c r="D36" s="2247">
        <v>0</v>
      </c>
      <c r="E36" s="2248">
        <f>SUM('1_Full_time'!M84,'1_Full_time'!M90,'2_Sandwich'!L11,'3_Part_time'!M84,'3_Part_time'!M90)</f>
        <v>0</v>
      </c>
      <c r="F36" s="1016">
        <f t="shared" ref="F36:F41" si="10">IF(B36&gt;0,D36/B36-1,0)</f>
        <v>0</v>
      </c>
      <c r="G36" s="1037">
        <f t="shared" ref="G36:G41" si="11">IF(C36&gt;0,E36/C36-1,0)</f>
        <v>0</v>
      </c>
      <c r="H36" s="1016">
        <f t="shared" ref="H36:H41" si="12">IF(D36&gt;0,E36/D36-1,0)</f>
        <v>0</v>
      </c>
      <c r="K36" s="1035"/>
      <c r="L36" s="1035"/>
      <c r="M36" s="1035"/>
      <c r="N36" s="1035"/>
      <c r="O36" s="1035"/>
      <c r="P36" s="1035"/>
      <c r="R36" s="358" t="s">
        <v>27686</v>
      </c>
      <c r="U36" s="1918">
        <f t="shared" ref="U36:U40" si="13">IF(AND(ABS(G36)&gt;$U$34,ABS(E36-C36)&gt;$V$34),1,0)</f>
        <v>0</v>
      </c>
      <c r="V36" s="1918">
        <f t="shared" ref="V36:V40" si="14">IF(AND(DCT="Y",ABS(H36)&gt;$U$34,ABS(E36-D36)&gt;$V$34),1,0)</f>
        <v>0</v>
      </c>
      <c r="X36" s="1918">
        <f t="shared" ref="X36:X40" si="15">IF(AND(ABS(G36)&gt;$X$34,ABS(E36-C36)&gt;$Y$34),1,0)</f>
        <v>0</v>
      </c>
      <c r="Y36" s="1918">
        <f t="shared" ref="Y36:Y40" si="16">IF(AND(DCT="Y",ABS(H36)&gt;$X$34,ABS(E36-D36)&gt;$Y$34),1,0)</f>
        <v>0</v>
      </c>
    </row>
    <row r="37" spans="1:28" ht="14.25" x14ac:dyDescent="0.45">
      <c r="A37" s="516" t="s">
        <v>208</v>
      </c>
      <c r="B37" s="2234">
        <v>0</v>
      </c>
      <c r="C37" s="2246">
        <v>0</v>
      </c>
      <c r="D37" s="2247">
        <v>0</v>
      </c>
      <c r="E37" s="2248">
        <f>SUM('1_Full_time'!M85,'1_Full_time'!M91,'2_Sandwich'!L12,'3_Part_time'!M85,'3_Part_time'!M91)</f>
        <v>0</v>
      </c>
      <c r="F37" s="1016">
        <f t="shared" si="10"/>
        <v>0</v>
      </c>
      <c r="G37" s="1037">
        <f t="shared" si="11"/>
        <v>0</v>
      </c>
      <c r="H37" s="1016">
        <f t="shared" si="12"/>
        <v>0</v>
      </c>
      <c r="K37" s="1035"/>
      <c r="L37" s="1035"/>
      <c r="M37" s="1035"/>
      <c r="N37" s="1035"/>
      <c r="O37" s="1035"/>
      <c r="P37" s="1035"/>
      <c r="R37" s="358" t="s">
        <v>27687</v>
      </c>
      <c r="U37" s="1918">
        <f t="shared" si="13"/>
        <v>0</v>
      </c>
      <c r="V37" s="1918">
        <f t="shared" si="14"/>
        <v>0</v>
      </c>
      <c r="X37" s="1918">
        <f t="shared" si="15"/>
        <v>0</v>
      </c>
      <c r="Y37" s="1918">
        <f t="shared" si="16"/>
        <v>0</v>
      </c>
    </row>
    <row r="38" spans="1:28" ht="14.25" x14ac:dyDescent="0.45">
      <c r="A38" s="516" t="s">
        <v>210</v>
      </c>
      <c r="B38" s="2234">
        <v>0</v>
      </c>
      <c r="C38" s="2249">
        <v>0</v>
      </c>
      <c r="D38" s="2247">
        <v>0</v>
      </c>
      <c r="E38" s="2248">
        <f>SUM('1_Full_time'!M86,'1_Full_time'!M92,'2_Sandwich'!L13,'3_Part_time'!M86,'3_Part_time'!M92)</f>
        <v>0</v>
      </c>
      <c r="F38" s="1667">
        <f t="shared" si="10"/>
        <v>0</v>
      </c>
      <c r="G38" s="1016">
        <f t="shared" si="11"/>
        <v>0</v>
      </c>
      <c r="H38" s="1016">
        <f t="shared" si="12"/>
        <v>0</v>
      </c>
      <c r="K38" s="1035"/>
      <c r="L38" s="1035"/>
      <c r="M38" s="1035"/>
      <c r="N38" s="1035"/>
      <c r="O38" s="1035"/>
      <c r="P38" s="1035"/>
      <c r="R38" s="358" t="s">
        <v>27688</v>
      </c>
      <c r="U38" s="1918">
        <f t="shared" si="13"/>
        <v>0</v>
      </c>
      <c r="V38" s="1918">
        <f t="shared" si="14"/>
        <v>0</v>
      </c>
      <c r="X38" s="1918">
        <f t="shared" si="15"/>
        <v>0</v>
      </c>
      <c r="Y38" s="1918">
        <f t="shared" si="16"/>
        <v>0</v>
      </c>
    </row>
    <row r="39" spans="1:28" ht="14.25" x14ac:dyDescent="0.45">
      <c r="A39" s="516" t="s">
        <v>212</v>
      </c>
      <c r="B39" s="2234">
        <v>0</v>
      </c>
      <c r="C39" s="2249">
        <v>0</v>
      </c>
      <c r="D39" s="2247">
        <v>0</v>
      </c>
      <c r="E39" s="2248">
        <f>SUM('1_Full_time'!M87,'1_Full_time'!M93,'2_Sandwich'!L14,'3_Part_time'!M87,'3_Part_time'!M93)</f>
        <v>0</v>
      </c>
      <c r="F39" s="1667">
        <f t="shared" si="10"/>
        <v>0</v>
      </c>
      <c r="G39" s="1037">
        <f t="shared" si="11"/>
        <v>0</v>
      </c>
      <c r="H39" s="1016">
        <f t="shared" si="12"/>
        <v>0</v>
      </c>
      <c r="K39" s="1035"/>
      <c r="L39" s="1035"/>
      <c r="M39" s="1035"/>
      <c r="N39" s="1035"/>
      <c r="O39" s="1035"/>
      <c r="P39" s="1035"/>
      <c r="R39" s="358" t="s">
        <v>27689</v>
      </c>
      <c r="U39" s="1918">
        <f t="shared" si="13"/>
        <v>0</v>
      </c>
      <c r="V39" s="1918">
        <f t="shared" si="14"/>
        <v>0</v>
      </c>
      <c r="X39" s="1918">
        <f t="shared" si="15"/>
        <v>0</v>
      </c>
      <c r="Y39" s="1918">
        <f t="shared" si="16"/>
        <v>0</v>
      </c>
    </row>
    <row r="40" spans="1:28" ht="14.65" thickBot="1" x14ac:dyDescent="0.5">
      <c r="A40" s="516" t="s">
        <v>214</v>
      </c>
      <c r="B40" s="2234">
        <v>0</v>
      </c>
      <c r="C40" s="2249">
        <v>0</v>
      </c>
      <c r="D40" s="2247">
        <v>0</v>
      </c>
      <c r="E40" s="2248">
        <f>SUM('1_Full_time'!M88,'1_Full_time'!M94,'2_Sandwich'!L15,'3_Part_time'!M88,'3_Part_time'!M94)</f>
        <v>0</v>
      </c>
      <c r="F40" s="1038">
        <f t="shared" si="10"/>
        <v>0</v>
      </c>
      <c r="G40" s="1037">
        <f t="shared" si="11"/>
        <v>0</v>
      </c>
      <c r="H40" s="1016">
        <f t="shared" si="12"/>
        <v>0</v>
      </c>
      <c r="K40" s="1035"/>
      <c r="L40" s="1035"/>
      <c r="M40" s="1035"/>
      <c r="N40" s="1035"/>
      <c r="O40" s="1035"/>
      <c r="P40" s="1035"/>
      <c r="R40" s="358" t="s">
        <v>27690</v>
      </c>
      <c r="U40" s="1918">
        <f t="shared" si="13"/>
        <v>0</v>
      </c>
      <c r="V40" s="1918">
        <f t="shared" si="14"/>
        <v>0</v>
      </c>
      <c r="X40" s="1918">
        <f t="shared" si="15"/>
        <v>0</v>
      </c>
      <c r="Y40" s="1918">
        <f t="shared" si="16"/>
        <v>0</v>
      </c>
    </row>
    <row r="41" spans="1:28" ht="14.25" thickTop="1" thickBot="1" x14ac:dyDescent="0.4">
      <c r="A41" s="1039" t="s">
        <v>27696</v>
      </c>
      <c r="B41" s="2242">
        <f>SUM(B36:B40)</f>
        <v>0</v>
      </c>
      <c r="C41" s="2243">
        <f>SUM(C36:C40)</f>
        <v>0</v>
      </c>
      <c r="D41" s="2244">
        <f>SUM(D36:D40)</f>
        <v>0</v>
      </c>
      <c r="E41" s="2245">
        <f>SUM(E36:E40)</f>
        <v>0</v>
      </c>
      <c r="F41" s="1040">
        <f t="shared" si="10"/>
        <v>0</v>
      </c>
      <c r="G41" s="1041">
        <f t="shared" si="11"/>
        <v>0</v>
      </c>
      <c r="H41" s="1041">
        <f t="shared" si="12"/>
        <v>0</v>
      </c>
      <c r="U41" s="516" t="s">
        <v>27942</v>
      </c>
      <c r="X41" s="516" t="s">
        <v>27943</v>
      </c>
    </row>
    <row r="42" spans="1:28" hidden="1" x14ac:dyDescent="0.35"/>
    <row r="43" spans="1:28" ht="14.25" hidden="1" x14ac:dyDescent="0.45">
      <c r="A43" s="360" t="s">
        <v>27940</v>
      </c>
      <c r="B43" s="361" t="s">
        <v>27926</v>
      </c>
      <c r="C43" s="361" t="s">
        <v>27926</v>
      </c>
      <c r="D43" s="358" t="s">
        <v>27926</v>
      </c>
      <c r="E43" s="358" t="s">
        <v>27926</v>
      </c>
    </row>
    <row r="44" spans="1:28" ht="14.25" hidden="1" x14ac:dyDescent="0.45">
      <c r="A44" s="360"/>
      <c r="B44" s="361" t="s">
        <v>28251</v>
      </c>
      <c r="C44" s="361" t="s">
        <v>28252</v>
      </c>
      <c r="D44" s="361" t="s">
        <v>29712</v>
      </c>
      <c r="E44" s="358" t="s">
        <v>29719</v>
      </c>
    </row>
    <row r="45" spans="1:28" ht="20.45" customHeight="1" x14ac:dyDescent="0.35"/>
    <row r="46" spans="1:28" s="355" customFormat="1" ht="20.45" customHeight="1" thickBot="1" x14ac:dyDescent="0.4">
      <c r="A46" s="637" t="str">
        <f>"Table D: Fundable countable years of engagement split by price group in 20"&amp;(YEAR-2)&amp;"-"&amp;(YEAR-1)&amp;", 20"&amp;(YEAR-1)&amp;"-"&amp;(YEAR)&amp;" and 20"&amp;(YEAR)&amp;"-"&amp;(YEAR+1)</f>
        <v>Table D: Fundable countable years of engagement split by price group in 2022-23, 2023-24 and 2024-25</v>
      </c>
      <c r="R46" s="355" t="s">
        <v>35</v>
      </c>
      <c r="U46" s="355">
        <v>1</v>
      </c>
      <c r="V46" s="355">
        <v>1</v>
      </c>
      <c r="X46" s="355">
        <v>2</v>
      </c>
      <c r="Y46" s="355">
        <v>2</v>
      </c>
      <c r="AA46" s="355">
        <v>3</v>
      </c>
    </row>
    <row r="47" spans="1:28" ht="13.9" x14ac:dyDescent="0.4">
      <c r="A47" s="1001"/>
      <c r="B47" s="1083"/>
      <c r="C47" s="1003"/>
      <c r="D47" s="1004"/>
      <c r="E47" s="1005"/>
      <c r="F47" s="3458" t="s">
        <v>27929</v>
      </c>
      <c r="G47" s="3459"/>
      <c r="H47" s="3459"/>
      <c r="I47" s="3463"/>
      <c r="J47" s="3464" t="s">
        <v>27930</v>
      </c>
      <c r="K47" s="3465"/>
      <c r="T47" s="516">
        <f>IF(SUM(U49:V54,X49:Y54,AA49:AB54)&gt;0,1,0)</f>
        <v>0</v>
      </c>
      <c r="U47" s="1924">
        <v>10</v>
      </c>
      <c r="V47" s="1918">
        <v>10</v>
      </c>
      <c r="X47" s="1924">
        <v>3</v>
      </c>
      <c r="Y47" s="1918">
        <v>250</v>
      </c>
      <c r="AA47" s="1918">
        <v>10</v>
      </c>
    </row>
    <row r="48" spans="1:28" ht="61.5" customHeight="1" x14ac:dyDescent="0.45">
      <c r="A48" s="1006" t="s">
        <v>200</v>
      </c>
      <c r="B48" s="1554" t="str">
        <f>"20"&amp;(YEAR-2)&amp;"-"&amp;(YEAR-1)&amp;"
Ind. Data"</f>
        <v>2022-23
Ind. Data</v>
      </c>
      <c r="C48" s="1009" t="str">
        <f>"HESES"&amp;(YEAR-1)</f>
        <v>HESES23</v>
      </c>
      <c r="D48" s="1007" t="str">
        <f>"20"&amp;(YEAR-1)&amp;"-"&amp;YEAR&amp;"
Ind. Data"</f>
        <v>2023-24
Ind. Data</v>
      </c>
      <c r="E48" s="1008" t="str">
        <f>"HESES"&amp;YEAR</f>
        <v>HESES24</v>
      </c>
      <c r="F48" s="1554" t="str">
        <f>"20"&amp;(YEAR-2)&amp;"-"&amp;(YEAR-1)&amp;"
Ind. Data"</f>
        <v>2022-23
Ind. Data</v>
      </c>
      <c r="G48" s="1009" t="str">
        <f>"HESES"&amp;(YEAR-1)</f>
        <v>HESES23</v>
      </c>
      <c r="H48" s="1007" t="str">
        <f>"20"&amp;(YEAR-1)&amp;"-"&amp;YEAR&amp;"
Ind. Data"</f>
        <v>2023-24
Ind. Data</v>
      </c>
      <c r="I48" s="1008" t="str">
        <f>"HESES"&amp;YEAR</f>
        <v>HESES24</v>
      </c>
      <c r="J48" s="1009" t="str">
        <f>"HESES"&amp;(YEAR-1)&amp;"
and
HESES"&amp;YEAR</f>
        <v>HESES23
and
HESES24</v>
      </c>
      <c r="K48" s="1009" t="str">
        <f>"20"&amp;(YEAR-1)&amp;"-"&amp;(YEAR)&amp;"
Ind. data
and
HESES"&amp;YEAR</f>
        <v>2023-24
Ind. data
and
HESES24</v>
      </c>
      <c r="R48" s="357" t="s">
        <v>63</v>
      </c>
      <c r="U48" s="1012" t="s">
        <v>29707</v>
      </c>
      <c r="V48" s="1012" t="s">
        <v>29710</v>
      </c>
      <c r="X48" s="1012" t="s">
        <v>29707</v>
      </c>
      <c r="Y48" s="1012" t="s">
        <v>29711</v>
      </c>
      <c r="Z48" s="516">
        <v>3</v>
      </c>
      <c r="AA48" s="1012" t="s">
        <v>29707</v>
      </c>
      <c r="AB48" s="1012" t="s">
        <v>29710</v>
      </c>
    </row>
    <row r="49" spans="1:28" ht="14.25" x14ac:dyDescent="0.45">
      <c r="A49" s="1666" t="s">
        <v>203</v>
      </c>
      <c r="B49" s="1925">
        <v>0</v>
      </c>
      <c r="C49" s="1013">
        <v>0</v>
      </c>
      <c r="D49" s="1014">
        <v>0</v>
      </c>
      <c r="E49" s="1015">
        <f>SUM('1_Full_time'!M12:M16,'1_Full_time'!M18:M22,'3_Part_time'!M12:M16,'3_Part_time'!M18:M22)</f>
        <v>0</v>
      </c>
      <c r="F49" s="1926">
        <f>IF($B$55&gt;0,B49/$B$55,0)</f>
        <v>0</v>
      </c>
      <c r="G49" s="1016">
        <f t="shared" ref="G49:G54" si="17">IF($C$55&gt;0,C49/$C$55,0)</f>
        <v>0</v>
      </c>
      <c r="H49" s="1919">
        <f t="shared" ref="H49:H54" si="18">IF($D$55&gt;0,D49/$D$55,0)</f>
        <v>0</v>
      </c>
      <c r="I49" s="1017">
        <f t="shared" ref="I49:I54" si="19">IF($E$55&gt;0,E49/$E$55,0)</f>
        <v>0</v>
      </c>
      <c r="J49" s="1927">
        <f t="shared" ref="J49:J54" si="20">(I49-G49)*100</f>
        <v>0</v>
      </c>
      <c r="K49" s="1018">
        <f t="shared" ref="K49:K54" si="21">(I49-H49)*100</f>
        <v>0</v>
      </c>
      <c r="R49" s="358" t="s">
        <v>203</v>
      </c>
      <c r="U49" s="1918">
        <f>IF(AND(ABS(J49)&gt;$U$47, ABS(E49-C49)&gt;$V$47),1,0)</f>
        <v>0</v>
      </c>
      <c r="V49" s="1918">
        <f t="shared" ref="V49:V54" si="22">IF(AND(DCT="Y",ABS(K49)&gt;$U$47, ABS(E49-D49)&gt;$V$47),1,0)</f>
        <v>0</v>
      </c>
      <c r="X49" s="1918">
        <f>IF(AND(ABS(J49)&gt;$X$47,ABS(E49-C49)&gt;$Y$47),1,0)</f>
        <v>0</v>
      </c>
      <c r="Y49" s="1918">
        <f t="shared" ref="Y49:Y54" si="23">IF(AND(DCT="Y",ABS(K49)&gt;$X$47,ABS(E49-D49)&gt;$Y$47),1,0)</f>
        <v>0</v>
      </c>
      <c r="AA49" s="1918">
        <f t="shared" ref="AA49:AA54" si="24">IF(OR(AND(C49&lt;&gt;0,E49=0, ABS(E49-C49)&gt;$AA$47),AND(C49=0,E49&lt;&gt;0, ABS(E49-C49)&gt;$AA$47)),1,0)</f>
        <v>0</v>
      </c>
      <c r="AB49" s="1918">
        <f t="shared" ref="AB49:AB54" si="25">IF(OR(AND(DCT="Y",D49&lt;&gt;0,E49=0, ABS(E49-D49)&gt;$AA$47),AND(DCT="Y",D49=0,E49&lt;&gt;0, ABS(E49-D49)&gt;$AA$47)),1,0)</f>
        <v>0</v>
      </c>
    </row>
    <row r="50" spans="1:28" ht="14.25" x14ac:dyDescent="0.45">
      <c r="A50" s="1666" t="s">
        <v>225</v>
      </c>
      <c r="B50" s="1662">
        <v>0</v>
      </c>
      <c r="C50" s="1013">
        <v>0</v>
      </c>
      <c r="D50" s="1014">
        <v>0</v>
      </c>
      <c r="E50" s="1015">
        <f>SUM('1_Full_time'!M24:M28,'1_Full_time'!M30:M34,'3_Part_time'!M24:M28,'3_Part_time'!M30:M34)</f>
        <v>0</v>
      </c>
      <c r="F50" s="1663">
        <f>IF($B$55&gt;0,B50/$B$55,0)</f>
        <v>0</v>
      </c>
      <c r="G50" s="1016">
        <f t="shared" si="17"/>
        <v>0</v>
      </c>
      <c r="H50" s="1019">
        <f t="shared" si="18"/>
        <v>0</v>
      </c>
      <c r="I50" s="1017">
        <f t="shared" si="19"/>
        <v>0</v>
      </c>
      <c r="J50" s="1668">
        <f t="shared" si="20"/>
        <v>0</v>
      </c>
      <c r="K50" s="1020">
        <f t="shared" si="21"/>
        <v>0</v>
      </c>
      <c r="R50" s="358" t="s">
        <v>225</v>
      </c>
      <c r="U50" s="1918">
        <f t="shared" ref="U50:U54" si="26">IF(AND(ABS(J50)&gt;$U$47, ABS(E50-C50)&gt;$V$47),1,0)</f>
        <v>0</v>
      </c>
      <c r="V50" s="1918">
        <f t="shared" si="22"/>
        <v>0</v>
      </c>
      <c r="X50" s="1918">
        <f t="shared" ref="X50:X54" si="27">IF(AND(ABS(J50)&gt;$X$47,ABS(E50-C50)&gt;$Y$47),1,0)</f>
        <v>0</v>
      </c>
      <c r="Y50" s="1918">
        <f t="shared" si="23"/>
        <v>0</v>
      </c>
      <c r="AA50" s="1918">
        <f t="shared" si="24"/>
        <v>0</v>
      </c>
      <c r="AB50" s="1918">
        <f t="shared" si="25"/>
        <v>0</v>
      </c>
    </row>
    <row r="51" spans="1:28" ht="14.25" x14ac:dyDescent="0.45">
      <c r="A51" s="1669" t="s">
        <v>238</v>
      </c>
      <c r="B51" s="1662">
        <v>0</v>
      </c>
      <c r="C51" s="1013">
        <v>0</v>
      </c>
      <c r="D51" s="1014">
        <v>0</v>
      </c>
      <c r="E51" s="1015">
        <f>SUM('1_Full_time'!M36:M40,'1_Full_time'!M42:M46,'3_Part_time'!M36:M40,'3_Part_time'!M42:M46)</f>
        <v>0</v>
      </c>
      <c r="F51" s="1663">
        <f t="shared" ref="F51:F52" si="28">IF($B$55&gt;0,B51/$B$55,0)</f>
        <v>0</v>
      </c>
      <c r="G51" s="1016">
        <f t="shared" si="17"/>
        <v>0</v>
      </c>
      <c r="H51" s="1019">
        <f t="shared" si="18"/>
        <v>0</v>
      </c>
      <c r="I51" s="1017">
        <f t="shared" si="19"/>
        <v>0</v>
      </c>
      <c r="J51" s="1668">
        <f t="shared" si="20"/>
        <v>0</v>
      </c>
      <c r="K51" s="1020">
        <f t="shared" si="21"/>
        <v>0</v>
      </c>
      <c r="R51" s="358" t="s">
        <v>27692</v>
      </c>
      <c r="U51" s="1918">
        <f t="shared" si="26"/>
        <v>0</v>
      </c>
      <c r="V51" s="1918">
        <f t="shared" si="22"/>
        <v>0</v>
      </c>
      <c r="X51" s="1918">
        <f t="shared" si="27"/>
        <v>0</v>
      </c>
      <c r="Y51" s="1918">
        <f t="shared" si="23"/>
        <v>0</v>
      </c>
      <c r="AA51" s="1918">
        <f t="shared" si="24"/>
        <v>0</v>
      </c>
      <c r="AB51" s="1918">
        <f t="shared" si="25"/>
        <v>0</v>
      </c>
    </row>
    <row r="52" spans="1:28" ht="14.25" x14ac:dyDescent="0.45">
      <c r="A52" s="1669" t="s">
        <v>251</v>
      </c>
      <c r="B52" s="1662">
        <v>0</v>
      </c>
      <c r="C52" s="1013">
        <v>0</v>
      </c>
      <c r="D52" s="1014">
        <v>0</v>
      </c>
      <c r="E52" s="1015">
        <f>SUM('1_Full_time'!M48:M52,'1_Full_time'!M54:M58,'3_Part_time'!M48:M52,'3_Part_time'!M54:M58)</f>
        <v>0</v>
      </c>
      <c r="F52" s="1663">
        <f t="shared" si="28"/>
        <v>0</v>
      </c>
      <c r="G52" s="1016">
        <f t="shared" si="17"/>
        <v>0</v>
      </c>
      <c r="H52" s="1019">
        <f t="shared" si="18"/>
        <v>0</v>
      </c>
      <c r="I52" s="1016">
        <f t="shared" si="19"/>
        <v>0</v>
      </c>
      <c r="J52" s="1668">
        <f t="shared" si="20"/>
        <v>0</v>
      </c>
      <c r="K52" s="1020">
        <f t="shared" si="21"/>
        <v>0</v>
      </c>
      <c r="R52" s="358" t="s">
        <v>27693</v>
      </c>
      <c r="U52" s="1918">
        <f t="shared" si="26"/>
        <v>0</v>
      </c>
      <c r="V52" s="1918">
        <f t="shared" si="22"/>
        <v>0</v>
      </c>
      <c r="X52" s="1918">
        <f t="shared" si="27"/>
        <v>0</v>
      </c>
      <c r="Y52" s="1918">
        <f t="shared" si="23"/>
        <v>0</v>
      </c>
      <c r="AA52" s="1918">
        <f t="shared" si="24"/>
        <v>0</v>
      </c>
      <c r="AB52" s="1918">
        <f t="shared" si="25"/>
        <v>0</v>
      </c>
    </row>
    <row r="53" spans="1:28" ht="14.25" x14ac:dyDescent="0.45">
      <c r="A53" s="1666" t="s">
        <v>264</v>
      </c>
      <c r="B53" s="1662">
        <v>0</v>
      </c>
      <c r="C53" s="1013">
        <v>0</v>
      </c>
      <c r="D53" s="1014">
        <v>0</v>
      </c>
      <c r="E53" s="1015">
        <f>SUM('1_Full_time'!M60:M64,'1_Full_time'!M66:M70,'2_Sandwich'!L16,'3_Part_time'!M60:M64,'3_Part_time'!M66:M70)</f>
        <v>0</v>
      </c>
      <c r="F53" s="1663">
        <f>IF($B$55&gt;0,B53/$B$55,0)</f>
        <v>0</v>
      </c>
      <c r="G53" s="1016">
        <f t="shared" si="17"/>
        <v>0</v>
      </c>
      <c r="H53" s="1019">
        <f t="shared" si="18"/>
        <v>0</v>
      </c>
      <c r="I53" s="1017">
        <f t="shared" si="19"/>
        <v>0</v>
      </c>
      <c r="J53" s="1668">
        <f t="shared" si="20"/>
        <v>0</v>
      </c>
      <c r="K53" s="1020">
        <f t="shared" si="21"/>
        <v>0</v>
      </c>
      <c r="R53" s="358" t="s">
        <v>264</v>
      </c>
      <c r="U53" s="1918">
        <f t="shared" si="26"/>
        <v>0</v>
      </c>
      <c r="V53" s="1918">
        <f t="shared" si="22"/>
        <v>0</v>
      </c>
      <c r="X53" s="1918">
        <f t="shared" si="27"/>
        <v>0</v>
      </c>
      <c r="Y53" s="1918">
        <f t="shared" si="23"/>
        <v>0</v>
      </c>
      <c r="AA53" s="1918">
        <f t="shared" si="24"/>
        <v>0</v>
      </c>
      <c r="AB53" s="1918">
        <f t="shared" si="25"/>
        <v>0</v>
      </c>
    </row>
    <row r="54" spans="1:28" ht="14.65" thickBot="1" x14ac:dyDescent="0.5">
      <c r="A54" s="1666" t="s">
        <v>277</v>
      </c>
      <c r="B54" s="1662">
        <v>0</v>
      </c>
      <c r="C54" s="1013">
        <v>0</v>
      </c>
      <c r="D54" s="1014">
        <v>0</v>
      </c>
      <c r="E54" s="1015">
        <f>SUM('1_Full_time'!M72:M76,'1_Full_time'!M78:M82,'3_Part_time'!M72:M76,'3_Part_time'!M78:M82)</f>
        <v>0</v>
      </c>
      <c r="F54" s="1663">
        <f>IF($B$55&gt;0,B54/$B$55,0)</f>
        <v>0</v>
      </c>
      <c r="G54" s="1016">
        <f t="shared" si="17"/>
        <v>0</v>
      </c>
      <c r="H54" s="1019">
        <f t="shared" si="18"/>
        <v>0</v>
      </c>
      <c r="I54" s="1017">
        <f t="shared" si="19"/>
        <v>0</v>
      </c>
      <c r="J54" s="1668">
        <f t="shared" si="20"/>
        <v>0</v>
      </c>
      <c r="K54" s="1020">
        <f t="shared" si="21"/>
        <v>0</v>
      </c>
      <c r="R54" s="358" t="s">
        <v>277</v>
      </c>
      <c r="U54" s="1918">
        <f t="shared" si="26"/>
        <v>0</v>
      </c>
      <c r="V54" s="1918">
        <f t="shared" si="22"/>
        <v>0</v>
      </c>
      <c r="X54" s="1918">
        <f t="shared" si="27"/>
        <v>0</v>
      </c>
      <c r="Y54" s="1918">
        <f t="shared" si="23"/>
        <v>0</v>
      </c>
      <c r="AA54" s="1918">
        <f t="shared" si="24"/>
        <v>0</v>
      </c>
      <c r="AB54" s="1918">
        <f t="shared" si="25"/>
        <v>0</v>
      </c>
    </row>
    <row r="55" spans="1:28" ht="14.25" thickTop="1" thickBot="1" x14ac:dyDescent="0.4">
      <c r="A55" s="1021" t="s">
        <v>27696</v>
      </c>
      <c r="B55" s="1555">
        <f>SUM(B49:B54)</f>
        <v>0</v>
      </c>
      <c r="C55" s="1023">
        <f>SUM(C49:C54)</f>
        <v>0</v>
      </c>
      <c r="D55" s="1022">
        <f>SUM(D49:D54)</f>
        <v>0</v>
      </c>
      <c r="E55" s="1024">
        <f>SUM(E49:E54)</f>
        <v>0</v>
      </c>
      <c r="F55" s="1025"/>
      <c r="G55" s="1026"/>
      <c r="H55" s="1027"/>
      <c r="I55" s="1026"/>
      <c r="J55" s="1028"/>
      <c r="K55" s="1029"/>
      <c r="U55" s="516" t="s">
        <v>27943</v>
      </c>
      <c r="X55" s="516" t="s">
        <v>27942</v>
      </c>
      <c r="AA55" s="516" t="s">
        <v>27939</v>
      </c>
    </row>
    <row r="56" spans="1:28" hidden="1" x14ac:dyDescent="0.35"/>
    <row r="57" spans="1:28" ht="14.25" hidden="1" x14ac:dyDescent="0.45">
      <c r="A57" s="360" t="s">
        <v>27940</v>
      </c>
      <c r="B57" s="361" t="s">
        <v>277</v>
      </c>
      <c r="C57" s="361" t="s">
        <v>277</v>
      </c>
      <c r="D57" s="358" t="s">
        <v>277</v>
      </c>
      <c r="E57" s="358" t="s">
        <v>277</v>
      </c>
    </row>
    <row r="58" spans="1:28" ht="14.25" hidden="1" x14ac:dyDescent="0.45">
      <c r="A58" s="360"/>
      <c r="B58" s="361" t="s">
        <v>28251</v>
      </c>
      <c r="C58" s="361" t="s">
        <v>28252</v>
      </c>
      <c r="D58" s="361" t="s">
        <v>29712</v>
      </c>
      <c r="E58" s="358" t="s">
        <v>29719</v>
      </c>
    </row>
  </sheetData>
  <sheetProtection algorithmName="SHA-512" hashValue="eJ7mSZGnITXOqpY/w8/w1Hq3HCFAeF0kIkjjtv2z3qy9Uufdvzxfc1l7l493sYF+i+9KfEVhvlLaaIzfLHQfRA==" saltValue="MsSiaOoUUn3nOvbQtKenzw==" spinCount="100000" sheet="1" objects="1" scenarios="1"/>
  <mergeCells count="8">
    <mergeCell ref="N12:P12"/>
    <mergeCell ref="A14:A16"/>
    <mergeCell ref="G12:J12"/>
    <mergeCell ref="K12:M12"/>
    <mergeCell ref="J47:K47"/>
    <mergeCell ref="F23:H23"/>
    <mergeCell ref="F34:H34"/>
    <mergeCell ref="F47:I47"/>
  </mergeCells>
  <conditionalFormatting sqref="C14:C17 G14:G17 N14:N17 B25:B28 F25:F28 B36:B41 F36:F41 B49:B55 F49:F55">
    <cfRule type="expression" dxfId="105" priority="2">
      <formula>IF(IND_DATA2223="N",1,0)</formula>
    </cfRule>
  </conditionalFormatting>
  <conditionalFormatting sqref="D25:E27">
    <cfRule type="expression" dxfId="104" priority="25">
      <formula>IF(AND(DCT = "Y",$AC25=1),1,0)</formula>
    </cfRule>
  </conditionalFormatting>
  <conditionalFormatting sqref="D49:E54">
    <cfRule type="expression" dxfId="103" priority="406305">
      <formula>IF(AND(DCT="Y",$AB49=1),1,0)</formula>
    </cfRule>
  </conditionalFormatting>
  <conditionalFormatting sqref="E14:E17 I14:I17 K14:K17 M14:N17 P14:P17 D25:D28 F25:F28 H25:H28 D36:D41 F36:F41 H36:H41 D49:D55 H49:H55 K49:K55">
    <cfRule type="expression" dxfId="102" priority="1">
      <formula>IF(DCT="N",1,0)</formula>
    </cfRule>
  </conditionalFormatting>
  <conditionalFormatting sqref="E25:E27 C25:C27">
    <cfRule type="expression" dxfId="101" priority="406301">
      <formula>IF($AB25=1,1,0)</formula>
    </cfRule>
  </conditionalFormatting>
  <conditionalFormatting sqref="E49:E54 C49:C54">
    <cfRule type="expression" dxfId="100" priority="406308">
      <formula>IF($AA49=1,1,0)</formula>
    </cfRule>
  </conditionalFormatting>
  <conditionalFormatting sqref="E14:F17">
    <cfRule type="expression" dxfId="99" priority="18">
      <formula>IF(AND(DCT="Y",$AA14=1),1,0)</formula>
    </cfRule>
  </conditionalFormatting>
  <conditionalFormatting sqref="F14:F17 D14:D17">
    <cfRule type="expression" dxfId="98" priority="22">
      <formula>IF($Z14=1,1,0)</formula>
    </cfRule>
  </conditionalFormatting>
  <conditionalFormatting sqref="G25:G27">
    <cfRule type="expression" dxfId="97" priority="406299">
      <formula>IF(OR($U25&gt;0,$Y25&gt;0),1,0)</formula>
    </cfRule>
  </conditionalFormatting>
  <conditionalFormatting sqref="G36:G40 J49:J54">
    <cfRule type="expression" dxfId="96" priority="406306">
      <formula>IF(OR($U36&gt;0,$X36&gt;0),1,0)</formula>
    </cfRule>
  </conditionalFormatting>
  <conditionalFormatting sqref="H25:H27">
    <cfRule type="expression" dxfId="95" priority="24">
      <formula>IF(AND(DCT="Y",OR($V25&gt;0,$Z25&gt;0)),1,0)</formula>
    </cfRule>
  </conditionalFormatting>
  <conditionalFormatting sqref="H36:H40 K49:K54">
    <cfRule type="expression" dxfId="94" priority="406304">
      <formula>IF(AND(DCT="Y",OR($V36&gt;0,$Y36&gt;0)),1,0)</formula>
    </cfRule>
  </conditionalFormatting>
  <conditionalFormatting sqref="L14:L17">
    <cfRule type="expression" dxfId="93" priority="21">
      <formula>IF($U14=1,1,0)</formula>
    </cfRule>
  </conditionalFormatting>
  <conditionalFormatting sqref="M14:M17">
    <cfRule type="expression" dxfId="92" priority="4">
      <formula>IF(AND(DCT="Y",$V14=1),1,0)</formula>
    </cfRule>
  </conditionalFormatting>
  <conditionalFormatting sqref="O14:O17">
    <cfRule type="expression" dxfId="91" priority="20">
      <formula>IF(OR($W14=1,$AB14=1),1,0)</formula>
    </cfRule>
  </conditionalFormatting>
  <conditionalFormatting sqref="P14:P17">
    <cfRule type="expression" dxfId="90" priority="3">
      <formula>IF(AND(DCT="Y",OR($X14=1,$AC14=1)),1,0)</formula>
    </cfRule>
  </conditionalFormatting>
  <hyperlinks>
    <hyperlink ref="A8" r:id="rId1" display="Please see Appendix 4 for additional information about these tables and descriptions for any highlighting" xr:uid="{F3DB40E2-0E5D-43F8-A11E-001A8831F9B8}"/>
  </hyperlinks>
  <pageMargins left="0.70866141732283472" right="0.70866141732283472" top="0.74803149606299213" bottom="0.74803149606299213" header="0.31496062992125984" footer="0.31496062992125984"/>
  <pageSetup paperSize="9" scale="45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theme="4" tint="0.39997558519241921"/>
    <pageSetUpPr fitToPage="1"/>
  </sheetPr>
  <dimension ref="A1:AK83"/>
  <sheetViews>
    <sheetView showGridLines="0" workbookViewId="0"/>
  </sheetViews>
  <sheetFormatPr defaultColWidth="9" defaultRowHeight="13.5" x14ac:dyDescent="0.35"/>
  <cols>
    <col min="1" max="1" width="15" style="516" customWidth="1"/>
    <col min="2" max="2" width="11.86328125" style="516" customWidth="1"/>
    <col min="3" max="3" width="18.86328125" style="516" customWidth="1"/>
    <col min="4" max="4" width="15" style="516" customWidth="1"/>
    <col min="5" max="5" width="13.59765625" style="516" customWidth="1"/>
    <col min="6" max="6" width="14" style="516" customWidth="1"/>
    <col min="7" max="7" width="13.59765625" style="516" customWidth="1"/>
    <col min="8" max="8" width="14.1328125" style="516" customWidth="1"/>
    <col min="9" max="9" width="13.1328125" style="516" customWidth="1"/>
    <col min="10" max="10" width="14.1328125" style="516" customWidth="1"/>
    <col min="11" max="11" width="14.86328125" style="516" customWidth="1"/>
    <col min="12" max="12" width="16.1328125" style="516" customWidth="1"/>
    <col min="13" max="13" width="16" style="516" customWidth="1"/>
    <col min="14" max="14" width="14" style="516" customWidth="1"/>
    <col min="15" max="15" width="13.1328125" style="516" customWidth="1"/>
    <col min="16" max="22" width="14.1328125" style="516" customWidth="1"/>
    <col min="23" max="25" width="14.1328125" style="516" hidden="1" customWidth="1"/>
    <col min="26" max="28" width="11.1328125" style="516" hidden="1" customWidth="1"/>
    <col min="29" max="29" width="12.3984375" style="516" hidden="1" customWidth="1"/>
    <col min="30" max="31" width="11.1328125" style="516" hidden="1" customWidth="1"/>
    <col min="32" max="32" width="12.86328125" style="516" hidden="1" customWidth="1"/>
    <col min="33" max="35" width="11.1328125" style="516" hidden="1" customWidth="1"/>
    <col min="36" max="37" width="11.1328125" style="516" customWidth="1"/>
    <col min="38" max="38" width="9" style="516" customWidth="1"/>
    <col min="39" max="16384" width="9" style="516"/>
  </cols>
  <sheetData>
    <row r="1" spans="1:37" s="355" customFormat="1" ht="25.15" x14ac:dyDescent="0.35">
      <c r="A1" s="636" t="s">
        <v>29793</v>
      </c>
      <c r="W1" s="1914"/>
    </row>
    <row r="2" spans="1:37" s="355" customFormat="1" ht="25.5" customHeight="1" x14ac:dyDescent="0.35">
      <c r="A2" s="1385" t="str">
        <f>IF(PROVIDER="","Provider name",PROVIDER&amp;" ("&amp;UKPRN&amp;")")</f>
        <v>Provider name</v>
      </c>
      <c r="AB2" s="1390" t="s">
        <v>27944</v>
      </c>
      <c r="AC2" s="1390" t="s">
        <v>27922</v>
      </c>
      <c r="AD2" s="1390" t="s">
        <v>27945</v>
      </c>
    </row>
    <row r="3" spans="1:37" s="1505" customFormat="1" ht="15" customHeight="1" x14ac:dyDescent="0.35">
      <c r="A3" s="1503" t="str">
        <f>IF(AND(DCT_DATE&lt;&gt;"",FEC=1),"The 20"&amp;(YEAR-1)&amp;"-"&amp;YEAR&amp;" Individualised data in these comparison tables is taken from the last data checking tool submission you made on: "&amp;DCT_DATE,IF(AND(DCT_DATE&lt;&gt;"",FEC&lt;&gt;1),"The 20"&amp;(YEAR-1)&amp;"-"&amp;YEAR&amp;" Individualised data in these comparison tables is taken from the most recent data checking tool submission you made prior to: "&amp;DCT_DATE,"The 20"&amp;(YEAR-1)&amp;"-"&amp;YEAR&amp;" Individualised data in these comparison tables is taken from the last data checking tool submission. As no upload has been made these are blank."))</f>
        <v>The 2023-24 Individualised data in these comparison tables is taken from the last data checking tool submission. As no upload has been made these are blank.</v>
      </c>
      <c r="AA3"/>
      <c r="AB3" s="1915">
        <f>IF(AA14&gt;0,1,0)</f>
        <v>0</v>
      </c>
      <c r="AC3" s="1915">
        <f>IF(AA47&gt;0,1,0)</f>
        <v>0</v>
      </c>
      <c r="AD3" s="1915">
        <f>IF(AA65&gt;0,1,0)</f>
        <v>0</v>
      </c>
    </row>
    <row r="4" spans="1:37" s="1505" customFormat="1" ht="15" customHeight="1" x14ac:dyDescent="0.35">
      <c r="A4" s="1506" t="str">
        <f>IF(FEC=1,"Individualised data (Ind. data) in these tables refers to the Individualised Learner Record (ILR).","Individualised data (Ind. data) in these tables refers to the Student or Student Alternative record.")</f>
        <v>Individualised data (Ind. data) in these tables refers to the Student or Student Alternative record.</v>
      </c>
    </row>
    <row r="5" spans="1:37" s="1505" customFormat="1" ht="15" customHeight="1" x14ac:dyDescent="0.35">
      <c r="A5" s="1506" t="s">
        <v>27927</v>
      </c>
    </row>
    <row r="6" spans="1:37" s="1505" customFormat="1" ht="15" customHeight="1" x14ac:dyDescent="0.35">
      <c r="A6" s="1508" t="str">
        <f>"Orange highlighting indicates a substantial change between 20"&amp;(YEAR-1)&amp;"-"&amp;YEAR&amp;" Individualised data and HESES"&amp;YEAR&amp;"."</f>
        <v>Orange highlighting indicates a substantial change between 2023-24 Individualised data and HESES24.</v>
      </c>
      <c r="B6" s="1509"/>
      <c r="G6" s="1510"/>
      <c r="H6" s="1511"/>
    </row>
    <row r="7" spans="1:37" s="1505" customFormat="1" ht="15" customHeight="1" x14ac:dyDescent="0.35">
      <c r="A7" s="1508" t="str">
        <f>"Yellow highlighting indicates a substantial change between HESES"&amp;(YEAR-1)&amp;" and HESES"&amp;YEAR&amp;"."</f>
        <v>Yellow highlighting indicates a substantial change between HESES23 and HESES24.</v>
      </c>
      <c r="B7" s="1512"/>
      <c r="U7" s="1115"/>
      <c r="Z7" s="1115"/>
    </row>
    <row r="8" spans="1:37" s="1505" customFormat="1" ht="15" customHeight="1" x14ac:dyDescent="0.35">
      <c r="A8" s="1513" t="s">
        <v>29196</v>
      </c>
      <c r="B8" s="1508"/>
    </row>
    <row r="9" spans="1:37" s="1505" customFormat="1" ht="15" customHeight="1" x14ac:dyDescent="0.35">
      <c r="A9" s="679" t="s">
        <v>28332</v>
      </c>
      <c r="B9" s="1508"/>
      <c r="W9" s="1514"/>
      <c r="Z9" s="1514"/>
    </row>
    <row r="10" spans="1:37" ht="18.75" customHeight="1" x14ac:dyDescent="0.35">
      <c r="A10" s="1249"/>
      <c r="B10" s="1050"/>
      <c r="U10" s="1047"/>
      <c r="Z10" s="1047"/>
    </row>
    <row r="11" spans="1:37" ht="19.899999999999999" customHeight="1" x14ac:dyDescent="0.35">
      <c r="A11" s="637" t="s">
        <v>28324</v>
      </c>
      <c r="B11" s="1100"/>
      <c r="C11" s="1119"/>
      <c r="D11" s="1119"/>
      <c r="E11" s="1122"/>
      <c r="F11" s="1119"/>
      <c r="G11" s="1119"/>
      <c r="H11" s="1122"/>
      <c r="I11" s="1119"/>
      <c r="J11" s="1119"/>
      <c r="K11" s="1122"/>
      <c r="L11" s="1123"/>
      <c r="M11" s="1123"/>
      <c r="N11" s="1122"/>
      <c r="O11" s="1120"/>
      <c r="P11" s="1120"/>
      <c r="Q11" s="1120"/>
      <c r="R11" s="1120"/>
      <c r="S11" s="1120"/>
      <c r="T11" s="1120"/>
      <c r="U11" s="1120"/>
      <c r="V11" s="1120"/>
      <c r="W11" s="1120"/>
      <c r="X11" s="1120"/>
      <c r="Y11" s="1120"/>
      <c r="AB11" s="1080"/>
      <c r="AC11" s="1080"/>
      <c r="AD11" s="1080"/>
      <c r="AE11" s="1080"/>
      <c r="AF11" s="1080"/>
      <c r="AG11" s="1080"/>
      <c r="AH11" s="1116"/>
      <c r="AJ11" s="1116"/>
      <c r="AK11" s="1116"/>
    </row>
    <row r="12" spans="1:37" ht="18" customHeight="1" x14ac:dyDescent="0.35">
      <c r="A12" s="1044" t="s">
        <v>27970</v>
      </c>
      <c r="B12" s="1100"/>
      <c r="C12" s="1119"/>
      <c r="D12" s="1119"/>
      <c r="E12" s="1122"/>
      <c r="F12" s="1119"/>
      <c r="G12" s="1119"/>
      <c r="H12" s="1122"/>
      <c r="I12" s="1119"/>
      <c r="J12" s="1119"/>
      <c r="K12" s="1122"/>
      <c r="L12" s="1123"/>
      <c r="M12" s="1123"/>
      <c r="N12" s="1122"/>
      <c r="O12" s="1120"/>
      <c r="P12" s="1120"/>
      <c r="Q12" s="1120"/>
      <c r="R12" s="1120"/>
      <c r="S12" s="1120"/>
      <c r="T12" s="1120"/>
      <c r="U12" s="1120"/>
      <c r="V12" s="1120"/>
      <c r="W12" s="1120"/>
      <c r="X12" s="1120"/>
      <c r="Y12" s="1120"/>
      <c r="AB12" s="1080"/>
      <c r="AC12" s="1080"/>
      <c r="AD12" s="1080"/>
      <c r="AE12" s="1080"/>
      <c r="AF12" s="1080"/>
      <c r="AG12" s="1080"/>
      <c r="AH12" s="1116"/>
      <c r="AJ12" s="1116"/>
      <c r="AK12" s="1116"/>
    </row>
    <row r="13" spans="1:37" s="355" customFormat="1" ht="17.25" customHeight="1" thickBot="1" x14ac:dyDescent="0.4">
      <c r="A13" s="1962" t="s">
        <v>27949</v>
      </c>
      <c r="B13" s="362"/>
      <c r="C13" s="362"/>
      <c r="D13" s="362"/>
      <c r="E13" s="362"/>
      <c r="F13" s="362"/>
      <c r="G13" s="362"/>
      <c r="H13" s="362"/>
      <c r="I13" s="362"/>
      <c r="J13" s="363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  <c r="AA13" s="355" t="s">
        <v>37</v>
      </c>
      <c r="AB13" s="355">
        <v>1</v>
      </c>
      <c r="AC13" s="364">
        <v>1</v>
      </c>
      <c r="AE13" s="364">
        <v>2</v>
      </c>
    </row>
    <row r="14" spans="1:37" ht="15" customHeight="1" x14ac:dyDescent="0.35">
      <c r="A14" s="1091"/>
      <c r="B14" s="1091"/>
      <c r="C14" s="1091"/>
      <c r="D14" s="3477" t="str">
        <f>"HESES"&amp;(YEAR-1)</f>
        <v>HESES23</v>
      </c>
      <c r="E14" s="3478"/>
      <c r="F14" s="3478"/>
      <c r="G14" s="3481" t="str">
        <f>"20"&amp;(YEAR-1)&amp;"-"&amp;YEAR&amp;" Individualised data"</f>
        <v>2023-24 Individualised data</v>
      </c>
      <c r="H14" s="3478"/>
      <c r="I14" s="3482"/>
      <c r="J14" s="3477" t="str">
        <f>"HESES"&amp;(YEAR)</f>
        <v>HESES24</v>
      </c>
      <c r="K14" s="3478"/>
      <c r="L14" s="3482"/>
      <c r="M14" s="3475" t="s">
        <v>27946</v>
      </c>
      <c r="N14" s="3475"/>
      <c r="AA14" s="516">
        <f>IF(SUM(AB17:AC40,AE17:AF40)&gt;0,1,0)</f>
        <v>0</v>
      </c>
      <c r="AB14" s="1929">
        <v>0.25</v>
      </c>
      <c r="AC14" s="1928">
        <v>50</v>
      </c>
      <c r="AE14" s="1918">
        <v>10</v>
      </c>
    </row>
    <row r="15" spans="1:37" ht="15" customHeight="1" x14ac:dyDescent="0.35">
      <c r="A15" s="1080"/>
      <c r="B15" s="1080"/>
      <c r="C15" s="1080"/>
      <c r="D15" s="3479"/>
      <c r="E15" s="3480"/>
      <c r="F15" s="3480"/>
      <c r="G15" s="3483"/>
      <c r="H15" s="3480"/>
      <c r="I15" s="3484"/>
      <c r="J15" s="3479"/>
      <c r="K15" s="3480"/>
      <c r="L15" s="3484"/>
      <c r="M15" s="3476"/>
      <c r="N15" s="3476"/>
      <c r="AB15" s="1092"/>
      <c r="AC15" s="1092"/>
      <c r="AD15" s="1080"/>
      <c r="AE15" s="1092"/>
      <c r="AF15" s="1092"/>
    </row>
    <row r="16" spans="1:37" ht="60" customHeight="1" x14ac:dyDescent="0.45">
      <c r="A16" s="1093" t="s">
        <v>200</v>
      </c>
      <c r="B16" s="1094" t="s">
        <v>55</v>
      </c>
      <c r="C16" s="1557" t="s">
        <v>57</v>
      </c>
      <c r="D16" s="1095" t="s">
        <v>28259</v>
      </c>
      <c r="E16" s="1096" t="s">
        <v>28260</v>
      </c>
      <c r="F16" s="1097" t="s">
        <v>27950</v>
      </c>
      <c r="G16" s="1096" t="s">
        <v>28259</v>
      </c>
      <c r="H16" s="1096" t="s">
        <v>28260</v>
      </c>
      <c r="I16" s="1098" t="s">
        <v>27950</v>
      </c>
      <c r="J16" s="1096" t="s">
        <v>28259</v>
      </c>
      <c r="K16" s="1096" t="s">
        <v>28260</v>
      </c>
      <c r="L16" s="1099" t="s">
        <v>28246</v>
      </c>
      <c r="M16" s="1096" t="str">
        <f>"HESES"&amp;(YEAR-1)&amp;"
and 
HESES"&amp;YEAR</f>
        <v>HESES23
and 
HESES24</v>
      </c>
      <c r="N16" s="1096" t="str">
        <f>"20"&amp;(YEAR-1)&amp;"-"&amp;YEAR&amp;"
Ind. data
and
HESES"&amp;YEAR</f>
        <v>2023-24
Ind. data
and
HESES24</v>
      </c>
      <c r="W16" s="357" t="s">
        <v>63</v>
      </c>
      <c r="X16" s="357" t="s">
        <v>27941</v>
      </c>
      <c r="Y16" s="357" t="s">
        <v>314</v>
      </c>
      <c r="AB16" s="1012" t="s">
        <v>29706</v>
      </c>
      <c r="AC16" s="1012" t="s">
        <v>29710</v>
      </c>
      <c r="AE16" s="1012" t="s">
        <v>29706</v>
      </c>
      <c r="AF16" s="1012" t="s">
        <v>29710</v>
      </c>
    </row>
    <row r="17" spans="1:32" ht="15.75" customHeight="1" x14ac:dyDescent="0.45">
      <c r="A17" s="1963" t="s">
        <v>203</v>
      </c>
      <c r="B17" s="1963" t="s">
        <v>189</v>
      </c>
      <c r="C17" s="1964" t="s">
        <v>27769</v>
      </c>
      <c r="D17" s="1965">
        <v>0</v>
      </c>
      <c r="E17" s="1110">
        <v>0</v>
      </c>
      <c r="F17" s="1966">
        <f>IF(AND(D17=0,E17=0),0,IF(AND(D17&gt;0,E17=0),0,E17/D17))</f>
        <v>0</v>
      </c>
      <c r="G17" s="1967">
        <v>0</v>
      </c>
      <c r="H17" s="1110">
        <v>0</v>
      </c>
      <c r="I17" s="1111">
        <f>IF(AND(G17=0,H17=0),0,IF(AND(G17&gt;0,H17=0),0,H17/G17))</f>
        <v>0</v>
      </c>
      <c r="J17" s="1968">
        <f>SUM(SUM('1_Full_time'!G12,'1_Full_time'!J12,'1_Full_time'!G18,'1_Full_time'!J18),SUM('1_Full_time'!G13,'1_Full_time'!J13,'1_Full_time'!G19,'1_Full_time'!J19))</f>
        <v>0</v>
      </c>
      <c r="K17" s="1110">
        <f>SUM(SUM('1_Full_time'!G18,'1_Full_time'!J18),SUM('1_Full_time'!G19,'1_Full_time'!J19))</f>
        <v>0</v>
      </c>
      <c r="L17" s="1969">
        <f t="shared" ref="L17:L41" si="0">IF(AND(J17=0,K17=0),0,IF(AND(J17&gt;0,K17=0),0,K17/J17))</f>
        <v>0</v>
      </c>
      <c r="M17" s="1970">
        <f>(L17-F17)*100</f>
        <v>0</v>
      </c>
      <c r="N17" s="1971">
        <f>(L17-I17)*100</f>
        <v>0</v>
      </c>
      <c r="W17" s="358" t="s">
        <v>203</v>
      </c>
      <c r="X17" s="358" t="s">
        <v>27747</v>
      </c>
      <c r="Y17" s="358" t="s">
        <v>27826</v>
      </c>
      <c r="AB17" s="1918">
        <f>IF(AND(ABS(K17-E17)&gt;$AC$14,ABS(L17-F17)&gt;$AB$14),1,0)</f>
        <v>0</v>
      </c>
      <c r="AC17" s="1928">
        <f t="shared" ref="AC17" si="1">IF(AND(DCT="Y",ABS(K17-H17)&gt;$AC$14,ABS(L17-I17)&gt;$AB$14),1,0)</f>
        <v>0</v>
      </c>
      <c r="AE17" s="1918">
        <f t="shared" ref="AE17" si="2">IF(OR(AND(K17&lt;&gt;0, E17=0,ABS(K17-E17)&gt;$AE$14), AND(E17&lt;&gt;0, K17=0, ABS(K17-E17)&gt;$AE$14)),1,0)</f>
        <v>0</v>
      </c>
      <c r="AF17" s="1928">
        <f t="shared" ref="AF17" si="3">IF(AND(DCT="Y",OR(AND(K17&lt;&gt;0, H17=0,ABS(K17-H17)&gt;$AE$14), AND(H17&lt;&gt;0, K17=0, ABS(K17-H17)&gt;$AE$14))),1,0)</f>
        <v>0</v>
      </c>
    </row>
    <row r="18" spans="1:32" ht="15.75" customHeight="1" x14ac:dyDescent="0.45">
      <c r="A18" s="1963"/>
      <c r="B18" s="1972"/>
      <c r="C18" s="1973" t="s">
        <v>27880</v>
      </c>
      <c r="D18" s="1974">
        <v>0</v>
      </c>
      <c r="E18" s="1975">
        <v>0</v>
      </c>
      <c r="F18" s="1976">
        <f t="shared" ref="F18:F41" si="4">IF(AND(D18=0,E18=0),0,IF(AND(D18&gt;0,E18=0),0,E18/D18))</f>
        <v>0</v>
      </c>
      <c r="G18" s="1977">
        <v>0</v>
      </c>
      <c r="H18" s="1975">
        <v>0</v>
      </c>
      <c r="I18" s="1978">
        <f t="shared" ref="I18:I41" si="5">IF(AND(G18=0,H18=0),0,IF(AND(G18&gt;0,H18=0),0,H18/G18))</f>
        <v>0</v>
      </c>
      <c r="J18" s="1979">
        <f>SUM('1_Full_time'!G14:G16,'1_Full_time'!J14:J16,'1_Full_time'!G20:G22,'1_Full_time'!J20:J22)</f>
        <v>0</v>
      </c>
      <c r="K18" s="1975">
        <f>SUM('1_Full_time'!G20:G22,'1_Full_time'!J20:J22)</f>
        <v>0</v>
      </c>
      <c r="L18" s="1980">
        <f t="shared" si="0"/>
        <v>0</v>
      </c>
      <c r="M18" s="1981">
        <f t="shared" ref="M18:M41" si="6">(L18-F18)*100</f>
        <v>0</v>
      </c>
      <c r="N18" s="1982">
        <f t="shared" ref="N18:N41" si="7">(L18-I18)*100</f>
        <v>0</v>
      </c>
      <c r="W18" s="358" t="s">
        <v>203</v>
      </c>
      <c r="X18" s="358" t="s">
        <v>27747</v>
      </c>
      <c r="Y18" s="358" t="s">
        <v>27947</v>
      </c>
      <c r="AB18" s="1918">
        <f t="shared" ref="AB18:AB40" si="8">IF(AND(ABS(K18-E18)&gt;$AC$14,ABS(L18-F18)&gt;$AB$14),1,0)</f>
        <v>0</v>
      </c>
      <c r="AC18" s="1928">
        <f t="shared" ref="AC18:AC40" si="9">IF(AND(DCT="Y",ABS(K18-H18)&gt;$AC$14,ABS(L18-I18)&gt;$AB$14),1,0)</f>
        <v>0</v>
      </c>
      <c r="AE18" s="1918">
        <f t="shared" ref="AE18:AE40" si="10">IF(OR(AND(K18&lt;&gt;0, E18=0,ABS(K18-E18)&gt;$AE$14), AND(E18&lt;&gt;0, K18=0, ABS(K18-E18)&gt;$AE$14)),1,0)</f>
        <v>0</v>
      </c>
      <c r="AF18" s="1928">
        <f t="shared" ref="AF18:AF40" si="11">IF(AND(DCT="Y",OR(AND(K18&lt;&gt;0, H18=0,ABS(K18-H18)&gt;$AE$14), AND(H18&lt;&gt;0, K18=0, ABS(K18-H18)&gt;$AE$14))),1,0)</f>
        <v>0</v>
      </c>
    </row>
    <row r="19" spans="1:32" ht="15.75" customHeight="1" x14ac:dyDescent="0.45">
      <c r="A19" s="1963"/>
      <c r="B19" s="1963" t="s">
        <v>191</v>
      </c>
      <c r="C19" s="1964" t="s">
        <v>27769</v>
      </c>
      <c r="D19" s="1965">
        <v>0</v>
      </c>
      <c r="E19" s="1110">
        <v>0</v>
      </c>
      <c r="F19" s="1966">
        <f t="shared" si="4"/>
        <v>0</v>
      </c>
      <c r="G19" s="1967">
        <v>0</v>
      </c>
      <c r="H19" s="1110">
        <v>0</v>
      </c>
      <c r="I19" s="1111">
        <f t="shared" si="5"/>
        <v>0</v>
      </c>
      <c r="J19" s="1968">
        <f>SUM(SUM('3_Part_time'!G12,'3_Part_time'!J12,'3_Part_time'!G18,'3_Part_time'!J18),SUM('3_Part_time'!G13,'3_Part_time'!J13,'3_Part_time'!G19,'3_Part_time'!J19))</f>
        <v>0</v>
      </c>
      <c r="K19" s="1110">
        <f>SUM(SUM('3_Part_time'!G18,'3_Part_time'!J18),SUM('3_Part_time'!G19,'3_Part_time'!J19))</f>
        <v>0</v>
      </c>
      <c r="L19" s="1969">
        <f t="shared" si="0"/>
        <v>0</v>
      </c>
      <c r="M19" s="1970">
        <f t="shared" si="6"/>
        <v>0</v>
      </c>
      <c r="N19" s="1971">
        <f t="shared" si="7"/>
        <v>0</v>
      </c>
      <c r="W19" s="358" t="s">
        <v>203</v>
      </c>
      <c r="X19" s="358" t="s">
        <v>27767</v>
      </c>
      <c r="Y19" s="358" t="s">
        <v>27826</v>
      </c>
      <c r="AB19" s="1918">
        <f t="shared" si="8"/>
        <v>0</v>
      </c>
      <c r="AC19" s="1928">
        <f t="shared" si="9"/>
        <v>0</v>
      </c>
      <c r="AE19" s="1918">
        <f t="shared" si="10"/>
        <v>0</v>
      </c>
      <c r="AF19" s="1928">
        <f t="shared" si="11"/>
        <v>0</v>
      </c>
    </row>
    <row r="20" spans="1:32" ht="15.75" customHeight="1" x14ac:dyDescent="0.45">
      <c r="A20" s="1983"/>
      <c r="B20" s="1983"/>
      <c r="C20" s="1984" t="s">
        <v>27880</v>
      </c>
      <c r="D20" s="1985">
        <v>0</v>
      </c>
      <c r="E20" s="1986">
        <v>0</v>
      </c>
      <c r="F20" s="1987">
        <f t="shared" si="4"/>
        <v>0</v>
      </c>
      <c r="G20" s="1988">
        <v>0</v>
      </c>
      <c r="H20" s="1986">
        <v>0</v>
      </c>
      <c r="I20" s="1989">
        <f t="shared" si="5"/>
        <v>0</v>
      </c>
      <c r="J20" s="1990">
        <f>SUM('3_Part_time'!G14:G16,'3_Part_time'!J14:J16,'3_Part_time'!G20:G22,'3_Part_time'!J20:J22)</f>
        <v>0</v>
      </c>
      <c r="K20" s="1986">
        <f>SUM('3_Part_time'!G20:G22,'3_Part_time'!J20:J22)</f>
        <v>0</v>
      </c>
      <c r="L20" s="1991">
        <f t="shared" si="0"/>
        <v>0</v>
      </c>
      <c r="M20" s="1992">
        <f t="shared" si="6"/>
        <v>0</v>
      </c>
      <c r="N20" s="1993">
        <f t="shared" si="7"/>
        <v>0</v>
      </c>
      <c r="W20" s="358" t="s">
        <v>203</v>
      </c>
      <c r="X20" s="358" t="s">
        <v>27767</v>
      </c>
      <c r="Y20" s="358" t="s">
        <v>27947</v>
      </c>
      <c r="AB20" s="1918">
        <f t="shared" si="8"/>
        <v>0</v>
      </c>
      <c r="AC20" s="1928">
        <f t="shared" si="9"/>
        <v>0</v>
      </c>
      <c r="AE20" s="1918">
        <f t="shared" si="10"/>
        <v>0</v>
      </c>
      <c r="AF20" s="1928">
        <f t="shared" si="11"/>
        <v>0</v>
      </c>
    </row>
    <row r="21" spans="1:32" ht="15.75" customHeight="1" x14ac:dyDescent="0.45">
      <c r="A21" s="1963" t="s">
        <v>225</v>
      </c>
      <c r="B21" s="1963" t="s">
        <v>189</v>
      </c>
      <c r="C21" s="1964" t="s">
        <v>27769</v>
      </c>
      <c r="D21" s="1965">
        <v>0</v>
      </c>
      <c r="E21" s="1110">
        <v>0</v>
      </c>
      <c r="F21" s="1966">
        <f t="shared" si="4"/>
        <v>0</v>
      </c>
      <c r="G21" s="1967">
        <v>0</v>
      </c>
      <c r="H21" s="1110">
        <v>0</v>
      </c>
      <c r="I21" s="1111">
        <f t="shared" si="5"/>
        <v>0</v>
      </c>
      <c r="J21" s="1968">
        <f>SUM(SUM('1_Full_time'!G24,'1_Full_time'!J24,'1_Full_time'!G30,'1_Full_time'!J30),SUM('1_Full_time'!G25,'1_Full_time'!J25,'1_Full_time'!G31,'1_Full_time'!J31))</f>
        <v>0</v>
      </c>
      <c r="K21" s="1110">
        <f>SUM(SUM('1_Full_time'!G30,'1_Full_time'!J30),SUM('1_Full_time'!G31,'1_Full_time'!J31))</f>
        <v>0</v>
      </c>
      <c r="L21" s="1969">
        <f t="shared" si="0"/>
        <v>0</v>
      </c>
      <c r="M21" s="1970">
        <f t="shared" si="6"/>
        <v>0</v>
      </c>
      <c r="N21" s="1971">
        <f t="shared" si="7"/>
        <v>0</v>
      </c>
      <c r="W21" s="358" t="s">
        <v>225</v>
      </c>
      <c r="X21" s="358" t="s">
        <v>27747</v>
      </c>
      <c r="Y21" s="358" t="s">
        <v>27826</v>
      </c>
      <c r="AB21" s="1918">
        <f t="shared" si="8"/>
        <v>0</v>
      </c>
      <c r="AC21" s="1928">
        <f t="shared" si="9"/>
        <v>0</v>
      </c>
      <c r="AE21" s="1918">
        <f t="shared" si="10"/>
        <v>0</v>
      </c>
      <c r="AF21" s="1928">
        <f t="shared" si="11"/>
        <v>0</v>
      </c>
    </row>
    <row r="22" spans="1:32" ht="15.75" customHeight="1" x14ac:dyDescent="0.45">
      <c r="A22" s="1963"/>
      <c r="B22" s="1972"/>
      <c r="C22" s="1973" t="s">
        <v>27880</v>
      </c>
      <c r="D22" s="1974">
        <v>0</v>
      </c>
      <c r="E22" s="1975">
        <v>0</v>
      </c>
      <c r="F22" s="1976">
        <f t="shared" si="4"/>
        <v>0</v>
      </c>
      <c r="G22" s="1977">
        <v>0</v>
      </c>
      <c r="H22" s="1975">
        <v>0</v>
      </c>
      <c r="I22" s="1978">
        <f t="shared" si="5"/>
        <v>0</v>
      </c>
      <c r="J22" s="1979">
        <f>SUM('1_Full_time'!G26:G28,'1_Full_time'!J26:J28,'1_Full_time'!G32:G34,'1_Full_time'!J32:J34)</f>
        <v>0</v>
      </c>
      <c r="K22" s="1975">
        <f>SUM('1_Full_time'!G32:G34,'1_Full_time'!J32:J34)</f>
        <v>0</v>
      </c>
      <c r="L22" s="1980">
        <f t="shared" si="0"/>
        <v>0</v>
      </c>
      <c r="M22" s="1981">
        <f t="shared" si="6"/>
        <v>0</v>
      </c>
      <c r="N22" s="1982">
        <f t="shared" si="7"/>
        <v>0</v>
      </c>
      <c r="W22" s="358" t="s">
        <v>225</v>
      </c>
      <c r="X22" s="358" t="s">
        <v>27747</v>
      </c>
      <c r="Y22" s="358" t="s">
        <v>27947</v>
      </c>
      <c r="AB22" s="1918">
        <f t="shared" si="8"/>
        <v>0</v>
      </c>
      <c r="AC22" s="1928">
        <f t="shared" si="9"/>
        <v>0</v>
      </c>
      <c r="AE22" s="1918">
        <f t="shared" si="10"/>
        <v>0</v>
      </c>
      <c r="AF22" s="1928">
        <f t="shared" si="11"/>
        <v>0</v>
      </c>
    </row>
    <row r="23" spans="1:32" ht="15.75" customHeight="1" x14ac:dyDescent="0.45">
      <c r="A23" s="1963"/>
      <c r="B23" s="1963" t="s">
        <v>191</v>
      </c>
      <c r="C23" s="1964" t="s">
        <v>27769</v>
      </c>
      <c r="D23" s="1965">
        <v>0</v>
      </c>
      <c r="E23" s="1110">
        <v>0</v>
      </c>
      <c r="F23" s="1966">
        <f t="shared" si="4"/>
        <v>0</v>
      </c>
      <c r="G23" s="1967">
        <v>0</v>
      </c>
      <c r="H23" s="1110">
        <v>0</v>
      </c>
      <c r="I23" s="1111">
        <f t="shared" si="5"/>
        <v>0</v>
      </c>
      <c r="J23" s="1968">
        <f>SUM(SUM('3_Part_time'!G24,'3_Part_time'!J24,'3_Part_time'!G30,'3_Part_time'!J30),SUM('3_Part_time'!G25,'3_Part_time'!J25,'3_Part_time'!G31,'3_Part_time'!J31))</f>
        <v>0</v>
      </c>
      <c r="K23" s="1110">
        <f>SUM(SUM('3_Part_time'!G30,'3_Part_time'!J30),SUM('3_Part_time'!G31,'3_Part_time'!J31))</f>
        <v>0</v>
      </c>
      <c r="L23" s="1969">
        <f t="shared" si="0"/>
        <v>0</v>
      </c>
      <c r="M23" s="1970">
        <f t="shared" si="6"/>
        <v>0</v>
      </c>
      <c r="N23" s="1971">
        <f t="shared" si="7"/>
        <v>0</v>
      </c>
      <c r="W23" s="358" t="s">
        <v>225</v>
      </c>
      <c r="X23" s="358" t="s">
        <v>27767</v>
      </c>
      <c r="Y23" s="358" t="s">
        <v>27826</v>
      </c>
      <c r="AB23" s="1918">
        <f t="shared" si="8"/>
        <v>0</v>
      </c>
      <c r="AC23" s="1928">
        <f t="shared" si="9"/>
        <v>0</v>
      </c>
      <c r="AE23" s="1918">
        <f t="shared" si="10"/>
        <v>0</v>
      </c>
      <c r="AF23" s="1928">
        <f t="shared" si="11"/>
        <v>0</v>
      </c>
    </row>
    <row r="24" spans="1:32" ht="15.75" customHeight="1" x14ac:dyDescent="0.45">
      <c r="A24" s="1983"/>
      <c r="B24" s="1983"/>
      <c r="C24" s="1984" t="s">
        <v>27880</v>
      </c>
      <c r="D24" s="1985">
        <v>0</v>
      </c>
      <c r="E24" s="1986">
        <v>0</v>
      </c>
      <c r="F24" s="1987">
        <f t="shared" si="4"/>
        <v>0</v>
      </c>
      <c r="G24" s="1988">
        <v>0</v>
      </c>
      <c r="H24" s="1986">
        <v>0</v>
      </c>
      <c r="I24" s="1989">
        <f t="shared" si="5"/>
        <v>0</v>
      </c>
      <c r="J24" s="1990">
        <f>SUM('3_Part_time'!G26:G28,'3_Part_time'!J26:J28,'3_Part_time'!G32:G34,'3_Part_time'!J32:J34)</f>
        <v>0</v>
      </c>
      <c r="K24" s="1986">
        <f>SUM('3_Part_time'!G32:G34,'3_Part_time'!J32:J34)</f>
        <v>0</v>
      </c>
      <c r="L24" s="1991">
        <f t="shared" si="0"/>
        <v>0</v>
      </c>
      <c r="M24" s="1992">
        <f t="shared" si="6"/>
        <v>0</v>
      </c>
      <c r="N24" s="1993">
        <f t="shared" si="7"/>
        <v>0</v>
      </c>
      <c r="W24" s="358" t="s">
        <v>225</v>
      </c>
      <c r="X24" s="358" t="s">
        <v>27767</v>
      </c>
      <c r="Y24" s="358" t="s">
        <v>27947</v>
      </c>
      <c r="AB24" s="1918">
        <f t="shared" si="8"/>
        <v>0</v>
      </c>
      <c r="AC24" s="1928">
        <f t="shared" si="9"/>
        <v>0</v>
      </c>
      <c r="AE24" s="1918">
        <f t="shared" si="10"/>
        <v>0</v>
      </c>
      <c r="AF24" s="1928">
        <f t="shared" si="11"/>
        <v>0</v>
      </c>
    </row>
    <row r="25" spans="1:32" ht="15.75" customHeight="1" x14ac:dyDescent="0.45">
      <c r="A25" s="1963" t="s">
        <v>238</v>
      </c>
      <c r="B25" s="1963" t="s">
        <v>189</v>
      </c>
      <c r="C25" s="1964" t="s">
        <v>27769</v>
      </c>
      <c r="D25" s="1965">
        <v>0</v>
      </c>
      <c r="E25" s="1110">
        <v>0</v>
      </c>
      <c r="F25" s="1966">
        <f>IF(AND(D25=0,E25=0),0,IF(AND(D25&gt;0,E25=0),0,E25/D25))</f>
        <v>0</v>
      </c>
      <c r="G25" s="1967">
        <v>0</v>
      </c>
      <c r="H25" s="1110">
        <v>0</v>
      </c>
      <c r="I25" s="1111">
        <f>IF(AND(G25=0,H25=0),0,IF(AND(G25&gt;0,H25=0),0,H25/G25))</f>
        <v>0</v>
      </c>
      <c r="J25" s="1968">
        <f>SUM(SUM('1_Full_time'!G36,'1_Full_time'!J36,'1_Full_time'!G42,'1_Full_time'!J42),SUM('1_Full_time'!G37,'1_Full_time'!J37,'1_Full_time'!G43,'1_Full_time'!J43))</f>
        <v>0</v>
      </c>
      <c r="K25" s="1110">
        <f>SUM(SUM('1_Full_time'!G42,'1_Full_time'!J42),SUM('1_Full_time'!G43,'1_Full_time'!J43))</f>
        <v>0</v>
      </c>
      <c r="L25" s="1969">
        <f>IF(AND(J25=0,K25=0),0,IF(AND(J25&gt;0,K25=0),0,K25/J25))</f>
        <v>0</v>
      </c>
      <c r="M25" s="1970">
        <f>(L25-F25)*100</f>
        <v>0</v>
      </c>
      <c r="N25" s="1971">
        <f>(L25-I25)*100</f>
        <v>0</v>
      </c>
      <c r="W25" s="358" t="s">
        <v>27692</v>
      </c>
      <c r="X25" s="358" t="s">
        <v>27747</v>
      </c>
      <c r="Y25" s="358" t="s">
        <v>27826</v>
      </c>
      <c r="AB25" s="1918">
        <f t="shared" si="8"/>
        <v>0</v>
      </c>
      <c r="AC25" s="1928">
        <f t="shared" si="9"/>
        <v>0</v>
      </c>
      <c r="AE25" s="1918">
        <f t="shared" si="10"/>
        <v>0</v>
      </c>
      <c r="AF25" s="1928">
        <f t="shared" si="11"/>
        <v>0</v>
      </c>
    </row>
    <row r="26" spans="1:32" ht="15.75" customHeight="1" x14ac:dyDescent="0.45">
      <c r="A26" s="1994"/>
      <c r="B26" s="1972"/>
      <c r="C26" s="1973" t="s">
        <v>27880</v>
      </c>
      <c r="D26" s="1974">
        <v>0</v>
      </c>
      <c r="E26" s="1975">
        <v>0</v>
      </c>
      <c r="F26" s="1976">
        <f>IF(AND(D26=0,E26=0),0,IF(AND(D26&gt;0,E26=0),0,E26/D26))</f>
        <v>0</v>
      </c>
      <c r="G26" s="1977">
        <v>0</v>
      </c>
      <c r="H26" s="1975">
        <v>0</v>
      </c>
      <c r="I26" s="1978">
        <f>IF(AND(G26=0,H26=0),0,IF(AND(G26&gt;0,H26=0),0,H26/G26))</f>
        <v>0</v>
      </c>
      <c r="J26" s="1979">
        <f>SUM('1_Full_time'!G38:G40,'1_Full_time'!J38:J40,'1_Full_time'!G44:G46,'1_Full_time'!J44:J46)</f>
        <v>0</v>
      </c>
      <c r="K26" s="1975">
        <f>SUM('1_Full_time'!G44:G46,'1_Full_time'!J44:J46)</f>
        <v>0</v>
      </c>
      <c r="L26" s="1980">
        <f>IF(AND(J26=0,K26=0),0,IF(AND(J26&gt;0,K26=0),0,K26/J26))</f>
        <v>0</v>
      </c>
      <c r="M26" s="1981">
        <f>(L26-F26)*100</f>
        <v>0</v>
      </c>
      <c r="N26" s="1982">
        <f>(L26-I26)*100</f>
        <v>0</v>
      </c>
      <c r="W26" s="358" t="s">
        <v>27692</v>
      </c>
      <c r="X26" s="358" t="s">
        <v>27747</v>
      </c>
      <c r="Y26" s="358" t="s">
        <v>27947</v>
      </c>
      <c r="AB26" s="1918">
        <f t="shared" si="8"/>
        <v>0</v>
      </c>
      <c r="AC26" s="1928">
        <f t="shared" si="9"/>
        <v>0</v>
      </c>
      <c r="AE26" s="1918">
        <f t="shared" si="10"/>
        <v>0</v>
      </c>
      <c r="AF26" s="1928">
        <f t="shared" si="11"/>
        <v>0</v>
      </c>
    </row>
    <row r="27" spans="1:32" ht="15.75" customHeight="1" x14ac:dyDescent="0.45">
      <c r="A27" s="1994"/>
      <c r="B27" s="1963" t="s">
        <v>191</v>
      </c>
      <c r="C27" s="1964" t="s">
        <v>27769</v>
      </c>
      <c r="D27" s="1965">
        <v>0</v>
      </c>
      <c r="E27" s="1110">
        <v>0</v>
      </c>
      <c r="F27" s="1966">
        <f>IF(AND(D27=0,E27=0),0,IF(AND(D27&gt;0,E27=0),0,E27/D27))</f>
        <v>0</v>
      </c>
      <c r="G27" s="1967">
        <v>0</v>
      </c>
      <c r="H27" s="1110">
        <v>0</v>
      </c>
      <c r="I27" s="1111">
        <f>IF(AND(G27=0,H27=0),0,IF(AND(G27&gt;0,H27=0),0,H27/G27))</f>
        <v>0</v>
      </c>
      <c r="J27" s="1968">
        <f>SUM(SUM('3_Part_time'!G36,'3_Part_time'!J36,'3_Part_time'!G37,'3_Part_time'!J37),SUM('3_Part_time'!G42,'3_Part_time'!J42,'3_Part_time'!G43,'3_Part_time'!J43))</f>
        <v>0</v>
      </c>
      <c r="K27" s="1110">
        <f>SUM(SUM('3_Part_time'!G42,'3_Part_time'!J42),SUM('3_Part_time'!G43,'3_Part_time'!J43))</f>
        <v>0</v>
      </c>
      <c r="L27" s="1969">
        <f>IF(AND(J27=0,K27=0),0,IF(AND(J27&gt;0,K27=0),0,K27/J27))</f>
        <v>0</v>
      </c>
      <c r="M27" s="1970">
        <f>(L27-F27)*100</f>
        <v>0</v>
      </c>
      <c r="N27" s="1971">
        <f>(L27-I27)*100</f>
        <v>0</v>
      </c>
      <c r="W27" s="358" t="s">
        <v>27692</v>
      </c>
      <c r="X27" s="358" t="s">
        <v>27767</v>
      </c>
      <c r="Y27" s="358" t="s">
        <v>27826</v>
      </c>
      <c r="AB27" s="1918">
        <f t="shared" si="8"/>
        <v>0</v>
      </c>
      <c r="AC27" s="1928">
        <f t="shared" si="9"/>
        <v>0</v>
      </c>
      <c r="AE27" s="1918">
        <f t="shared" si="10"/>
        <v>0</v>
      </c>
      <c r="AF27" s="1928">
        <f t="shared" si="11"/>
        <v>0</v>
      </c>
    </row>
    <row r="28" spans="1:32" ht="15.75" customHeight="1" x14ac:dyDescent="0.45">
      <c r="A28" s="1995"/>
      <c r="B28" s="1983"/>
      <c r="C28" s="1984" t="s">
        <v>27880</v>
      </c>
      <c r="D28" s="1985">
        <v>0</v>
      </c>
      <c r="E28" s="1986">
        <v>0</v>
      </c>
      <c r="F28" s="1987">
        <f>IF(AND(D28=0,E28=0),0,IF(AND(D28&gt;0,E28=0),0,E28/D28))</f>
        <v>0</v>
      </c>
      <c r="G28" s="1988">
        <v>0</v>
      </c>
      <c r="H28" s="1986">
        <v>0</v>
      </c>
      <c r="I28" s="1989">
        <f>IF(AND(G28=0,H28=0),0,IF(AND(G28&gt;0,H28=0),0,H28/G28))</f>
        <v>0</v>
      </c>
      <c r="J28" s="1990">
        <f>SUM('3_Part_time'!G38:G40,'3_Part_time'!J38:J40,'3_Part_time'!G44:G46,'3_Part_time'!J44:J46)</f>
        <v>0</v>
      </c>
      <c r="K28" s="1986">
        <f>SUM('3_Part_time'!G44:G46,'3_Part_time'!J44:J46)</f>
        <v>0</v>
      </c>
      <c r="L28" s="1991">
        <f>IF(AND(J28=0,K28=0),0,IF(AND(J28&gt;0,K28=0),0,K28/J28))</f>
        <v>0</v>
      </c>
      <c r="M28" s="1992">
        <f>(L28-F28)*100</f>
        <v>0</v>
      </c>
      <c r="N28" s="1993">
        <f>(L28-I28)*100</f>
        <v>0</v>
      </c>
      <c r="W28" s="358" t="s">
        <v>27692</v>
      </c>
      <c r="X28" s="358" t="s">
        <v>27767</v>
      </c>
      <c r="Y28" s="358" t="s">
        <v>27947</v>
      </c>
      <c r="AB28" s="1918">
        <f t="shared" si="8"/>
        <v>0</v>
      </c>
      <c r="AC28" s="1928">
        <f t="shared" si="9"/>
        <v>0</v>
      </c>
      <c r="AE28" s="1918">
        <f t="shared" si="10"/>
        <v>0</v>
      </c>
      <c r="AF28" s="1928">
        <f t="shared" si="11"/>
        <v>0</v>
      </c>
    </row>
    <row r="29" spans="1:32" ht="15.75" customHeight="1" x14ac:dyDescent="0.45">
      <c r="A29" s="1963" t="s">
        <v>251</v>
      </c>
      <c r="B29" s="1963" t="s">
        <v>189</v>
      </c>
      <c r="C29" s="1964" t="s">
        <v>27769</v>
      </c>
      <c r="D29" s="1965">
        <v>0</v>
      </c>
      <c r="E29" s="1110">
        <v>0</v>
      </c>
      <c r="F29" s="1966">
        <f t="shared" si="4"/>
        <v>0</v>
      </c>
      <c r="G29" s="1967">
        <v>0</v>
      </c>
      <c r="H29" s="1110">
        <v>0</v>
      </c>
      <c r="I29" s="1111">
        <f t="shared" si="5"/>
        <v>0</v>
      </c>
      <c r="J29" s="1968">
        <f>SUM(SUM('1_Full_time'!G48,'1_Full_time'!J48,'1_Full_time'!G54,'1_Full_time'!J54),SUM('1_Full_time'!G49,'1_Full_time'!J49,'1_Full_time'!G55,'1_Full_time'!J55))</f>
        <v>0</v>
      </c>
      <c r="K29" s="1110">
        <f>SUM(SUM('1_Full_time'!G54,'1_Full_time'!J54),SUM('1_Full_time'!G55,'1_Full_time'!J55))</f>
        <v>0</v>
      </c>
      <c r="L29" s="1969">
        <f t="shared" si="0"/>
        <v>0</v>
      </c>
      <c r="M29" s="1970">
        <f t="shared" si="6"/>
        <v>0</v>
      </c>
      <c r="N29" s="1971">
        <f t="shared" si="7"/>
        <v>0</v>
      </c>
      <c r="W29" s="358" t="s">
        <v>27693</v>
      </c>
      <c r="X29" s="358" t="s">
        <v>27747</v>
      </c>
      <c r="Y29" s="358" t="s">
        <v>27826</v>
      </c>
      <c r="AB29" s="1918">
        <f t="shared" si="8"/>
        <v>0</v>
      </c>
      <c r="AC29" s="1928">
        <f t="shared" si="9"/>
        <v>0</v>
      </c>
      <c r="AE29" s="1918">
        <f t="shared" si="10"/>
        <v>0</v>
      </c>
      <c r="AF29" s="1928">
        <f t="shared" si="11"/>
        <v>0</v>
      </c>
    </row>
    <row r="30" spans="1:32" ht="15.75" customHeight="1" x14ac:dyDescent="0.45">
      <c r="A30" s="1994"/>
      <c r="B30" s="1972"/>
      <c r="C30" s="1973" t="s">
        <v>27880</v>
      </c>
      <c r="D30" s="1974">
        <v>0</v>
      </c>
      <c r="E30" s="1975">
        <v>0</v>
      </c>
      <c r="F30" s="1976">
        <f t="shared" si="4"/>
        <v>0</v>
      </c>
      <c r="G30" s="1977">
        <v>0</v>
      </c>
      <c r="H30" s="1975">
        <v>0</v>
      </c>
      <c r="I30" s="1978">
        <f t="shared" si="5"/>
        <v>0</v>
      </c>
      <c r="J30" s="1979">
        <f>SUM('1_Full_time'!G50:G52,'1_Full_time'!J50:J52,'1_Full_time'!G56:G58,'1_Full_time'!J56:J58)</f>
        <v>0</v>
      </c>
      <c r="K30" s="1975">
        <f>SUM('1_Full_time'!G56:G58,'1_Full_time'!J56:J58)</f>
        <v>0</v>
      </c>
      <c r="L30" s="1980">
        <f t="shared" si="0"/>
        <v>0</v>
      </c>
      <c r="M30" s="1981">
        <f t="shared" si="6"/>
        <v>0</v>
      </c>
      <c r="N30" s="1982">
        <f t="shared" si="7"/>
        <v>0</v>
      </c>
      <c r="W30" s="358" t="s">
        <v>27693</v>
      </c>
      <c r="X30" s="358" t="s">
        <v>27747</v>
      </c>
      <c r="Y30" s="358" t="s">
        <v>27947</v>
      </c>
      <c r="AB30" s="1918">
        <f t="shared" si="8"/>
        <v>0</v>
      </c>
      <c r="AC30" s="1928">
        <f t="shared" si="9"/>
        <v>0</v>
      </c>
      <c r="AE30" s="1918">
        <f t="shared" si="10"/>
        <v>0</v>
      </c>
      <c r="AF30" s="1928">
        <f t="shared" si="11"/>
        <v>0</v>
      </c>
    </row>
    <row r="31" spans="1:32" ht="15.75" customHeight="1" x14ac:dyDescent="0.45">
      <c r="A31" s="1994"/>
      <c r="B31" s="1963" t="s">
        <v>191</v>
      </c>
      <c r="C31" s="1964" t="s">
        <v>27769</v>
      </c>
      <c r="D31" s="1965">
        <v>0</v>
      </c>
      <c r="E31" s="1110">
        <v>0</v>
      </c>
      <c r="F31" s="1966">
        <f t="shared" si="4"/>
        <v>0</v>
      </c>
      <c r="G31" s="1967">
        <v>0</v>
      </c>
      <c r="H31" s="1110">
        <v>0</v>
      </c>
      <c r="I31" s="1111">
        <f t="shared" si="5"/>
        <v>0</v>
      </c>
      <c r="J31" s="1968">
        <f>SUM(SUM('3_Part_time'!G48,'3_Part_time'!J48,'3_Part_time'!G54,'3_Part_time'!J54),SUM('3_Part_time'!G49,'3_Part_time'!J49,'3_Part_time'!G55,'3_Part_time'!J55))</f>
        <v>0</v>
      </c>
      <c r="K31" s="1110">
        <f>SUM(SUM('3_Part_time'!G54,'3_Part_time'!J54),SUM('3_Part_time'!G55,'3_Part_time'!J55))</f>
        <v>0</v>
      </c>
      <c r="L31" s="1969">
        <f t="shared" si="0"/>
        <v>0</v>
      </c>
      <c r="M31" s="1970">
        <f t="shared" si="6"/>
        <v>0</v>
      </c>
      <c r="N31" s="1971">
        <f t="shared" si="7"/>
        <v>0</v>
      </c>
      <c r="W31" s="358" t="s">
        <v>27693</v>
      </c>
      <c r="X31" s="358" t="s">
        <v>27767</v>
      </c>
      <c r="Y31" s="358" t="s">
        <v>27826</v>
      </c>
      <c r="AB31" s="1918">
        <f t="shared" si="8"/>
        <v>0</v>
      </c>
      <c r="AC31" s="1928">
        <f t="shared" si="9"/>
        <v>0</v>
      </c>
      <c r="AE31" s="1918">
        <f t="shared" si="10"/>
        <v>0</v>
      </c>
      <c r="AF31" s="1928">
        <f t="shared" si="11"/>
        <v>0</v>
      </c>
    </row>
    <row r="32" spans="1:32" ht="15.75" customHeight="1" x14ac:dyDescent="0.45">
      <c r="A32" s="1995"/>
      <c r="B32" s="1983"/>
      <c r="C32" s="1984" t="s">
        <v>27880</v>
      </c>
      <c r="D32" s="1985">
        <v>0</v>
      </c>
      <c r="E32" s="1986">
        <v>0</v>
      </c>
      <c r="F32" s="1987">
        <f t="shared" si="4"/>
        <v>0</v>
      </c>
      <c r="G32" s="1988">
        <v>0</v>
      </c>
      <c r="H32" s="1986">
        <v>0</v>
      </c>
      <c r="I32" s="1989">
        <f t="shared" si="5"/>
        <v>0</v>
      </c>
      <c r="J32" s="1990">
        <f>SUM('3_Part_time'!G50:G52,'3_Part_time'!J50:J52,'3_Part_time'!G56:G58,'3_Part_time'!J56:J58)</f>
        <v>0</v>
      </c>
      <c r="K32" s="1986">
        <f>SUM('3_Part_time'!G56:G58,'3_Part_time'!J56:J58)</f>
        <v>0</v>
      </c>
      <c r="L32" s="1991">
        <f t="shared" si="0"/>
        <v>0</v>
      </c>
      <c r="M32" s="1992">
        <f t="shared" si="6"/>
        <v>0</v>
      </c>
      <c r="N32" s="1993">
        <f t="shared" si="7"/>
        <v>0</v>
      </c>
      <c r="W32" s="358" t="s">
        <v>27693</v>
      </c>
      <c r="X32" s="358" t="s">
        <v>27767</v>
      </c>
      <c r="Y32" s="358" t="s">
        <v>27947</v>
      </c>
      <c r="AB32" s="1918">
        <f t="shared" si="8"/>
        <v>0</v>
      </c>
      <c r="AC32" s="1928">
        <f t="shared" si="9"/>
        <v>0</v>
      </c>
      <c r="AE32" s="1918">
        <f t="shared" si="10"/>
        <v>0</v>
      </c>
      <c r="AF32" s="1928">
        <f t="shared" si="11"/>
        <v>0</v>
      </c>
    </row>
    <row r="33" spans="1:32" ht="15.75" customHeight="1" x14ac:dyDescent="0.45">
      <c r="A33" s="1963" t="s">
        <v>264</v>
      </c>
      <c r="B33" s="1963" t="s">
        <v>189</v>
      </c>
      <c r="C33" s="1964" t="s">
        <v>27769</v>
      </c>
      <c r="D33" s="1965">
        <v>0</v>
      </c>
      <c r="E33" s="1110">
        <v>0</v>
      </c>
      <c r="F33" s="1966">
        <f t="shared" si="4"/>
        <v>0</v>
      </c>
      <c r="G33" s="1967">
        <v>0</v>
      </c>
      <c r="H33" s="1110">
        <v>0</v>
      </c>
      <c r="I33" s="1111">
        <f t="shared" si="5"/>
        <v>0</v>
      </c>
      <c r="J33" s="1968">
        <f>SUM(SUM('1_Full_time'!G60,'1_Full_time'!J60,'1_Full_time'!G66,'1_Full_time'!J66),SUM('1_Full_time'!G61,'1_Full_time'!J61,'1_Full_time'!G67,'1_Full_time'!J67))</f>
        <v>0</v>
      </c>
      <c r="K33" s="1110">
        <f>SUM(SUM('1_Full_time'!G66,'1_Full_time'!J66),SUM('1_Full_time'!G67,'1_Full_time'!J67))</f>
        <v>0</v>
      </c>
      <c r="L33" s="1969">
        <f t="shared" si="0"/>
        <v>0</v>
      </c>
      <c r="M33" s="1970">
        <f t="shared" si="6"/>
        <v>0</v>
      </c>
      <c r="N33" s="1971">
        <f t="shared" si="7"/>
        <v>0</v>
      </c>
      <c r="W33" s="358" t="s">
        <v>264</v>
      </c>
      <c r="X33" s="358" t="s">
        <v>27747</v>
      </c>
      <c r="Y33" s="358" t="s">
        <v>27826</v>
      </c>
      <c r="AB33" s="1918">
        <f t="shared" si="8"/>
        <v>0</v>
      </c>
      <c r="AC33" s="1928">
        <f t="shared" si="9"/>
        <v>0</v>
      </c>
      <c r="AE33" s="1918">
        <f t="shared" si="10"/>
        <v>0</v>
      </c>
      <c r="AF33" s="1928">
        <f t="shared" si="11"/>
        <v>0</v>
      </c>
    </row>
    <row r="34" spans="1:32" ht="15.75" customHeight="1" x14ac:dyDescent="0.45">
      <c r="A34" s="1963"/>
      <c r="B34" s="1972"/>
      <c r="C34" s="1973" t="s">
        <v>27880</v>
      </c>
      <c r="D34" s="1974">
        <v>0</v>
      </c>
      <c r="E34" s="1975">
        <v>0</v>
      </c>
      <c r="F34" s="1976">
        <f t="shared" si="4"/>
        <v>0</v>
      </c>
      <c r="G34" s="1977">
        <v>0</v>
      </c>
      <c r="H34" s="1975">
        <v>0</v>
      </c>
      <c r="I34" s="1978">
        <f t="shared" si="5"/>
        <v>0</v>
      </c>
      <c r="J34" s="1979">
        <f>SUM('1_Full_time'!G62:G64,'1_Full_time'!J62:J64,'1_Full_time'!G68:G70,'1_Full_time'!J68:J70)</f>
        <v>0</v>
      </c>
      <c r="K34" s="1975">
        <f>SUM('1_Full_time'!G68:G70,'1_Full_time'!J68:J70)</f>
        <v>0</v>
      </c>
      <c r="L34" s="1980">
        <f t="shared" si="0"/>
        <v>0</v>
      </c>
      <c r="M34" s="1981">
        <f t="shared" si="6"/>
        <v>0</v>
      </c>
      <c r="N34" s="1982">
        <f t="shared" si="7"/>
        <v>0</v>
      </c>
      <c r="W34" s="358" t="s">
        <v>264</v>
      </c>
      <c r="X34" s="358" t="s">
        <v>27747</v>
      </c>
      <c r="Y34" s="358" t="s">
        <v>27947</v>
      </c>
      <c r="AB34" s="1918">
        <f t="shared" si="8"/>
        <v>0</v>
      </c>
      <c r="AC34" s="1928">
        <f t="shared" si="9"/>
        <v>0</v>
      </c>
      <c r="AE34" s="1918">
        <f t="shared" si="10"/>
        <v>0</v>
      </c>
      <c r="AF34" s="1928">
        <f t="shared" si="11"/>
        <v>0</v>
      </c>
    </row>
    <row r="35" spans="1:32" ht="15.75" customHeight="1" x14ac:dyDescent="0.45">
      <c r="A35" s="1963"/>
      <c r="B35" s="1963" t="s">
        <v>191</v>
      </c>
      <c r="C35" s="1964" t="s">
        <v>27769</v>
      </c>
      <c r="D35" s="1965">
        <v>0</v>
      </c>
      <c r="E35" s="1110">
        <v>0</v>
      </c>
      <c r="F35" s="1966">
        <f t="shared" si="4"/>
        <v>0</v>
      </c>
      <c r="G35" s="1967">
        <v>0</v>
      </c>
      <c r="H35" s="1110">
        <v>0</v>
      </c>
      <c r="I35" s="1111">
        <f t="shared" si="5"/>
        <v>0</v>
      </c>
      <c r="J35" s="1968">
        <f>SUM(SUM('3_Part_time'!G60,'3_Part_time'!J60,'3_Part_time'!G66,'3_Part_time'!J66),SUM('3_Part_time'!G61,'3_Part_time'!J61,'3_Part_time'!G67,'3_Part_time'!J67))</f>
        <v>0</v>
      </c>
      <c r="K35" s="1110">
        <f>SUM(SUM('3_Part_time'!G66,'3_Part_time'!J66),SUM('3_Part_time'!G67,'3_Part_time'!J67))</f>
        <v>0</v>
      </c>
      <c r="L35" s="1969">
        <f t="shared" si="0"/>
        <v>0</v>
      </c>
      <c r="M35" s="1970">
        <f t="shared" si="6"/>
        <v>0</v>
      </c>
      <c r="N35" s="1971">
        <f t="shared" si="7"/>
        <v>0</v>
      </c>
      <c r="W35" s="358" t="s">
        <v>264</v>
      </c>
      <c r="X35" s="358" t="s">
        <v>27767</v>
      </c>
      <c r="Y35" s="358" t="s">
        <v>27826</v>
      </c>
      <c r="AB35" s="1918">
        <f t="shared" si="8"/>
        <v>0</v>
      </c>
      <c r="AC35" s="1928">
        <f t="shared" si="9"/>
        <v>0</v>
      </c>
      <c r="AE35" s="1918">
        <f t="shared" si="10"/>
        <v>0</v>
      </c>
      <c r="AF35" s="1928">
        <f t="shared" si="11"/>
        <v>0</v>
      </c>
    </row>
    <row r="36" spans="1:32" ht="15.75" customHeight="1" x14ac:dyDescent="0.45">
      <c r="A36" s="1983"/>
      <c r="B36" s="1983"/>
      <c r="C36" s="1984" t="s">
        <v>27880</v>
      </c>
      <c r="D36" s="1985">
        <v>0</v>
      </c>
      <c r="E36" s="1986">
        <v>0</v>
      </c>
      <c r="F36" s="1987">
        <f t="shared" si="4"/>
        <v>0</v>
      </c>
      <c r="G36" s="1988">
        <v>0</v>
      </c>
      <c r="H36" s="1986">
        <v>0</v>
      </c>
      <c r="I36" s="1989">
        <f t="shared" si="5"/>
        <v>0</v>
      </c>
      <c r="J36" s="1990">
        <f>SUM('3_Part_time'!G62:G64,'3_Part_time'!J62:J64,'3_Part_time'!G68:G70,'3_Part_time'!J68:J70)</f>
        <v>0</v>
      </c>
      <c r="K36" s="1986">
        <f>SUM('3_Part_time'!G68:G70,'3_Part_time'!J68:J70)</f>
        <v>0</v>
      </c>
      <c r="L36" s="1991">
        <f t="shared" si="0"/>
        <v>0</v>
      </c>
      <c r="M36" s="1992">
        <f t="shared" si="6"/>
        <v>0</v>
      </c>
      <c r="N36" s="1993">
        <f t="shared" si="7"/>
        <v>0</v>
      </c>
      <c r="W36" s="358" t="s">
        <v>264</v>
      </c>
      <c r="X36" s="358" t="s">
        <v>27767</v>
      </c>
      <c r="Y36" s="358" t="s">
        <v>27947</v>
      </c>
      <c r="AB36" s="1918">
        <f t="shared" si="8"/>
        <v>0</v>
      </c>
      <c r="AC36" s="1928">
        <f t="shared" si="9"/>
        <v>0</v>
      </c>
      <c r="AE36" s="1918">
        <f t="shared" si="10"/>
        <v>0</v>
      </c>
      <c r="AF36" s="1928">
        <f t="shared" si="11"/>
        <v>0</v>
      </c>
    </row>
    <row r="37" spans="1:32" ht="15.75" customHeight="1" x14ac:dyDescent="0.45">
      <c r="A37" s="1963" t="s">
        <v>277</v>
      </c>
      <c r="B37" s="1963" t="s">
        <v>189</v>
      </c>
      <c r="C37" s="1964" t="s">
        <v>27769</v>
      </c>
      <c r="D37" s="1965">
        <v>0</v>
      </c>
      <c r="E37" s="1110">
        <v>0</v>
      </c>
      <c r="F37" s="1966">
        <f t="shared" si="4"/>
        <v>0</v>
      </c>
      <c r="G37" s="1967">
        <v>0</v>
      </c>
      <c r="H37" s="1110">
        <v>0</v>
      </c>
      <c r="I37" s="1111">
        <f t="shared" si="5"/>
        <v>0</v>
      </c>
      <c r="J37" s="1968">
        <f>SUM(SUM('1_Full_time'!G72,'1_Full_time'!J72,'1_Full_time'!G78,'1_Full_time'!J78),SUM('1_Full_time'!G73,'1_Full_time'!J73,'1_Full_time'!G79,'1_Full_time'!J79))</f>
        <v>0</v>
      </c>
      <c r="K37" s="1110">
        <f>SUM(SUM('1_Full_time'!G78,'1_Full_time'!J78),SUM('1_Full_time'!G79,'1_Full_time'!J79))</f>
        <v>0</v>
      </c>
      <c r="L37" s="1969">
        <f t="shared" si="0"/>
        <v>0</v>
      </c>
      <c r="M37" s="1970">
        <f t="shared" si="6"/>
        <v>0</v>
      </c>
      <c r="N37" s="1971">
        <f t="shared" si="7"/>
        <v>0</v>
      </c>
      <c r="W37" s="358" t="s">
        <v>277</v>
      </c>
      <c r="X37" s="358" t="s">
        <v>27747</v>
      </c>
      <c r="Y37" s="358" t="s">
        <v>27826</v>
      </c>
      <c r="AB37" s="1918">
        <f t="shared" si="8"/>
        <v>0</v>
      </c>
      <c r="AC37" s="1928">
        <f t="shared" si="9"/>
        <v>0</v>
      </c>
      <c r="AE37" s="1918">
        <f t="shared" si="10"/>
        <v>0</v>
      </c>
      <c r="AF37" s="1928">
        <f t="shared" si="11"/>
        <v>0</v>
      </c>
    </row>
    <row r="38" spans="1:32" ht="15.75" customHeight="1" x14ac:dyDescent="0.45">
      <c r="A38" s="1963"/>
      <c r="B38" s="1972"/>
      <c r="C38" s="1973" t="s">
        <v>27880</v>
      </c>
      <c r="D38" s="1974">
        <v>0</v>
      </c>
      <c r="E38" s="1975">
        <v>0</v>
      </c>
      <c r="F38" s="1976">
        <f t="shared" si="4"/>
        <v>0</v>
      </c>
      <c r="G38" s="1977">
        <v>0</v>
      </c>
      <c r="H38" s="1975">
        <v>0</v>
      </c>
      <c r="I38" s="1978">
        <f t="shared" si="5"/>
        <v>0</v>
      </c>
      <c r="J38" s="1979">
        <f>SUM('1_Full_time'!G74:G76,'1_Full_time'!J74:J76,'1_Full_time'!G80:G82,'1_Full_time'!J80:J82)</f>
        <v>0</v>
      </c>
      <c r="K38" s="1975">
        <f>SUM('1_Full_time'!G80:G82,'1_Full_time'!J80:J82)</f>
        <v>0</v>
      </c>
      <c r="L38" s="1980">
        <f t="shared" si="0"/>
        <v>0</v>
      </c>
      <c r="M38" s="1981">
        <f t="shared" si="6"/>
        <v>0</v>
      </c>
      <c r="N38" s="1982">
        <f t="shared" si="7"/>
        <v>0</v>
      </c>
      <c r="W38" s="358" t="s">
        <v>277</v>
      </c>
      <c r="X38" s="358" t="s">
        <v>27747</v>
      </c>
      <c r="Y38" s="358" t="s">
        <v>27947</v>
      </c>
      <c r="AB38" s="1918">
        <f t="shared" si="8"/>
        <v>0</v>
      </c>
      <c r="AC38" s="1928">
        <f t="shared" si="9"/>
        <v>0</v>
      </c>
      <c r="AE38" s="1918">
        <f t="shared" si="10"/>
        <v>0</v>
      </c>
      <c r="AF38" s="1928">
        <f t="shared" si="11"/>
        <v>0</v>
      </c>
    </row>
    <row r="39" spans="1:32" ht="15.75" customHeight="1" x14ac:dyDescent="0.45">
      <c r="A39" s="1963"/>
      <c r="B39" s="1963" t="s">
        <v>191</v>
      </c>
      <c r="C39" s="1964" t="s">
        <v>27769</v>
      </c>
      <c r="D39" s="1965">
        <v>0</v>
      </c>
      <c r="E39" s="1110">
        <v>0</v>
      </c>
      <c r="F39" s="1966">
        <f t="shared" si="4"/>
        <v>0</v>
      </c>
      <c r="G39" s="1967">
        <v>0</v>
      </c>
      <c r="H39" s="1110">
        <v>0</v>
      </c>
      <c r="I39" s="1111">
        <f t="shared" si="5"/>
        <v>0</v>
      </c>
      <c r="J39" s="1968">
        <f>SUM(SUM('3_Part_time'!G72,'3_Part_time'!J72,'3_Part_time'!G78,'3_Part_time'!J78),SUM('3_Part_time'!G73,'3_Part_time'!J73,'3_Part_time'!G79,'3_Part_time'!J79))</f>
        <v>0</v>
      </c>
      <c r="K39" s="1110">
        <f>SUM(SUM('3_Part_time'!G78,'3_Part_time'!J78),SUM('3_Part_time'!G79,'3_Part_time'!J79))</f>
        <v>0</v>
      </c>
      <c r="L39" s="1969">
        <f t="shared" si="0"/>
        <v>0</v>
      </c>
      <c r="M39" s="1970">
        <f t="shared" si="6"/>
        <v>0</v>
      </c>
      <c r="N39" s="1971">
        <f t="shared" si="7"/>
        <v>0</v>
      </c>
      <c r="W39" s="358" t="s">
        <v>277</v>
      </c>
      <c r="X39" s="358" t="s">
        <v>27767</v>
      </c>
      <c r="Y39" s="358" t="s">
        <v>27826</v>
      </c>
      <c r="AB39" s="1918">
        <f t="shared" si="8"/>
        <v>0</v>
      </c>
      <c r="AC39" s="1928">
        <f t="shared" si="9"/>
        <v>0</v>
      </c>
      <c r="AE39" s="1918">
        <f t="shared" si="10"/>
        <v>0</v>
      </c>
      <c r="AF39" s="1928">
        <f t="shared" si="11"/>
        <v>0</v>
      </c>
    </row>
    <row r="40" spans="1:32" ht="15.75" customHeight="1" thickBot="1" x14ac:dyDescent="0.5">
      <c r="A40" s="1963"/>
      <c r="B40" s="1963"/>
      <c r="C40" s="1984" t="s">
        <v>27880</v>
      </c>
      <c r="D40" s="1965">
        <v>0</v>
      </c>
      <c r="E40" s="1110">
        <v>0</v>
      </c>
      <c r="F40" s="1966">
        <f t="shared" si="4"/>
        <v>0</v>
      </c>
      <c r="G40" s="1967">
        <v>0</v>
      </c>
      <c r="H40" s="1110">
        <v>0</v>
      </c>
      <c r="I40" s="1111">
        <f t="shared" si="5"/>
        <v>0</v>
      </c>
      <c r="J40" s="1968">
        <f>SUM('3_Part_time'!G74:G76,'3_Part_time'!J74:J76,'3_Part_time'!G80:G82,'3_Part_time'!J80:J82)</f>
        <v>0</v>
      </c>
      <c r="K40" s="1110">
        <f>SUM('3_Part_time'!G80:G82,'3_Part_time'!J80:J82)</f>
        <v>0</v>
      </c>
      <c r="L40" s="1969">
        <f t="shared" si="0"/>
        <v>0</v>
      </c>
      <c r="M40" s="1970">
        <f t="shared" si="6"/>
        <v>0</v>
      </c>
      <c r="N40" s="1971">
        <f t="shared" si="7"/>
        <v>0</v>
      </c>
      <c r="W40" s="358" t="s">
        <v>277</v>
      </c>
      <c r="X40" s="358" t="s">
        <v>27767</v>
      </c>
      <c r="Y40" s="358" t="s">
        <v>27947</v>
      </c>
      <c r="AB40" s="1918">
        <f t="shared" si="8"/>
        <v>0</v>
      </c>
      <c r="AC40" s="1928">
        <f t="shared" si="9"/>
        <v>0</v>
      </c>
      <c r="AE40" s="1918">
        <f t="shared" si="10"/>
        <v>0</v>
      </c>
      <c r="AF40" s="1928">
        <f t="shared" si="11"/>
        <v>0</v>
      </c>
    </row>
    <row r="41" spans="1:32" s="1049" customFormat="1" ht="15.75" customHeight="1" thickTop="1" thickBot="1" x14ac:dyDescent="0.45">
      <c r="A41" s="1556"/>
      <c r="B41" s="1556"/>
      <c r="C41" s="1558" t="s">
        <v>27696</v>
      </c>
      <c r="D41" s="1102">
        <f>SUM(D17:D40)</f>
        <v>0</v>
      </c>
      <c r="E41" s="1103">
        <f>SUM(E17:E40)</f>
        <v>0</v>
      </c>
      <c r="F41" s="1104">
        <f t="shared" si="4"/>
        <v>0</v>
      </c>
      <c r="G41" s="1105">
        <f>SUM(G17:G40)</f>
        <v>0</v>
      </c>
      <c r="H41" s="1103">
        <f>SUM(H17:H40)</f>
        <v>0</v>
      </c>
      <c r="I41" s="1106">
        <f t="shared" si="5"/>
        <v>0</v>
      </c>
      <c r="J41" s="1102">
        <f>SUM(J17:J40)</f>
        <v>0</v>
      </c>
      <c r="K41" s="1103">
        <f>SUM(K17:K40)</f>
        <v>0</v>
      </c>
      <c r="L41" s="1107">
        <f t="shared" si="0"/>
        <v>0</v>
      </c>
      <c r="M41" s="1996">
        <f t="shared" si="6"/>
        <v>0</v>
      </c>
      <c r="N41" s="1997">
        <f t="shared" si="7"/>
        <v>0</v>
      </c>
      <c r="AA41" s="516"/>
      <c r="AB41" s="1080" t="s">
        <v>27948</v>
      </c>
      <c r="AC41" s="1080"/>
      <c r="AD41" s="1080"/>
      <c r="AE41" s="516" t="s">
        <v>27939</v>
      </c>
      <c r="AF41" s="1080"/>
    </row>
    <row r="42" spans="1:32" s="1049" customFormat="1" ht="14.25" hidden="1" customHeight="1" x14ac:dyDescent="0.4">
      <c r="A42" s="1030"/>
      <c r="B42" s="1108"/>
      <c r="C42" s="1108"/>
      <c r="D42" s="1109"/>
      <c r="E42" s="1110"/>
      <c r="F42" s="1111"/>
      <c r="G42" s="1109"/>
      <c r="H42" s="1110"/>
      <c r="I42" s="1111"/>
      <c r="J42" s="1109"/>
      <c r="K42" s="1110"/>
      <c r="L42" s="1111"/>
      <c r="M42" s="1101"/>
      <c r="N42" s="1101"/>
      <c r="P42" s="1112"/>
    </row>
    <row r="43" spans="1:32" s="1049" customFormat="1" ht="14.25" hidden="1" customHeight="1" x14ac:dyDescent="0.45">
      <c r="A43" s="1030"/>
      <c r="B43" s="1108"/>
      <c r="C43" s="367" t="s">
        <v>27940</v>
      </c>
      <c r="D43" s="368" t="s">
        <v>27944</v>
      </c>
      <c r="E43" s="369" t="s">
        <v>27944</v>
      </c>
      <c r="F43" s="370"/>
      <c r="G43" s="368" t="s">
        <v>27944</v>
      </c>
      <c r="H43" s="369" t="s">
        <v>27944</v>
      </c>
      <c r="I43" s="1111"/>
      <c r="J43" s="361" t="s">
        <v>27944</v>
      </c>
      <c r="K43" s="371" t="s">
        <v>27944</v>
      </c>
      <c r="L43" s="1111"/>
      <c r="M43" s="1101"/>
      <c r="N43" s="1101"/>
      <c r="P43" s="1112"/>
    </row>
    <row r="44" spans="1:32" s="1049" customFormat="1" ht="14.25" hidden="1" customHeight="1" x14ac:dyDescent="0.45">
      <c r="A44" s="1030"/>
      <c r="B44" s="1108"/>
      <c r="C44" s="367"/>
      <c r="D44" s="361" t="s">
        <v>28252</v>
      </c>
      <c r="E44" s="361" t="s">
        <v>28253</v>
      </c>
      <c r="F44" s="531"/>
      <c r="G44" s="361" t="s">
        <v>29712</v>
      </c>
      <c r="H44" s="361" t="s">
        <v>29713</v>
      </c>
      <c r="I44" s="1113"/>
      <c r="J44" s="361" t="s">
        <v>29719</v>
      </c>
      <c r="K44" s="361" t="s">
        <v>29720</v>
      </c>
      <c r="L44" s="1111"/>
      <c r="M44" s="1101"/>
      <c r="N44" s="1101"/>
      <c r="P44" s="1112"/>
    </row>
    <row r="45" spans="1:32" s="1049" customFormat="1" ht="20.45" customHeight="1" x14ac:dyDescent="0.4">
      <c r="A45" s="1114"/>
      <c r="B45" s="1115"/>
      <c r="C45" s="1115"/>
      <c r="D45" s="516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6"/>
      <c r="P45" s="516"/>
      <c r="Q45" s="516"/>
      <c r="R45" s="516"/>
      <c r="S45" s="516"/>
      <c r="T45" s="516"/>
      <c r="U45" s="516"/>
      <c r="V45" s="516"/>
      <c r="W45" s="516"/>
      <c r="X45" s="516"/>
      <c r="Y45" s="516"/>
      <c r="Z45" s="1080"/>
    </row>
    <row r="46" spans="1:32" s="366" customFormat="1" ht="18" thickBot="1" x14ac:dyDescent="0.45">
      <c r="A46" s="637" t="s">
        <v>28325</v>
      </c>
      <c r="B46" s="540"/>
      <c r="C46" s="540"/>
      <c r="D46" s="540"/>
      <c r="E46" s="363"/>
      <c r="F46" s="363"/>
      <c r="G46" s="363"/>
      <c r="H46" s="363"/>
      <c r="I46" s="365"/>
      <c r="J46" s="365"/>
      <c r="K46" s="365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55" t="s">
        <v>39</v>
      </c>
      <c r="AB46" s="355">
        <v>1</v>
      </c>
      <c r="AC46" s="355">
        <v>1</v>
      </c>
      <c r="AD46" s="355"/>
      <c r="AE46" s="355">
        <v>2</v>
      </c>
      <c r="AF46" s="355"/>
    </row>
    <row r="47" spans="1:32" ht="13.9" x14ac:dyDescent="0.4">
      <c r="A47" s="1002"/>
      <c r="B47" s="1002"/>
      <c r="C47" s="1002"/>
      <c r="D47" s="1083"/>
      <c r="E47" s="1003"/>
      <c r="F47" s="1004"/>
      <c r="G47" s="1005"/>
      <c r="H47" s="3459" t="s">
        <v>27931</v>
      </c>
      <c r="I47" s="3459"/>
      <c r="J47" s="3459"/>
      <c r="AA47" s="1031">
        <f>IF(SUM(AB49:AC52,AE49:AF52)&gt;0,1,0)</f>
        <v>0</v>
      </c>
      <c r="AB47" s="1930">
        <v>0.2</v>
      </c>
      <c r="AC47" s="1931">
        <v>25</v>
      </c>
      <c r="AE47" s="1918">
        <v>25</v>
      </c>
    </row>
    <row r="48" spans="1:32" ht="75" customHeight="1" x14ac:dyDescent="0.45">
      <c r="A48" s="1084"/>
      <c r="B48" s="1085" t="s">
        <v>27932</v>
      </c>
      <c r="C48" s="1559" t="s">
        <v>55</v>
      </c>
      <c r="D48" s="1670" t="str">
        <f>"20"&amp;(YEAR-2)&amp;"-"&amp;(YEAR-1)&amp;"
Ind. Data"</f>
        <v>2022-23
Ind. Data</v>
      </c>
      <c r="E48" s="1086" t="str">
        <f>"HESES"&amp;(YEAR-1)</f>
        <v>HESES23</v>
      </c>
      <c r="F48" s="1087" t="str">
        <f>"20"&amp;(YEAR-1)&amp;"-"&amp;YEAR&amp;"
Ind. Data"</f>
        <v>2023-24
Ind. Data</v>
      </c>
      <c r="G48" s="1054" t="str">
        <f>"HESES"&amp;YEAR</f>
        <v>HESES24</v>
      </c>
      <c r="H48" s="1053" t="str">
        <f>"20"&amp;(YEAR-2)&amp;"-"&amp;(YEAR-1)&amp;"
Ind. data
and
20"&amp;(YEAR-1)&amp;"-"&amp;YEAR&amp;"
Ind. Data"</f>
        <v>2022-23
Ind. data
and
2023-24
Ind. Data</v>
      </c>
      <c r="I48" s="1096" t="str">
        <f>"HESES"&amp;(YEAR-1)&amp;"
and 
HESES"&amp;YEAR</f>
        <v>HESES23
and 
HESES24</v>
      </c>
      <c r="J48" s="1096" t="str">
        <f>"20"&amp;(YEAR-1)&amp;"-"&amp;YEAR&amp;"
Ind. data
and
HESES"&amp;YEAR</f>
        <v>2023-24
Ind. data
and
HESES24</v>
      </c>
      <c r="W48" s="357" t="s">
        <v>27743</v>
      </c>
      <c r="X48" s="357" t="s">
        <v>27934</v>
      </c>
      <c r="Y48" s="357" t="s">
        <v>27941</v>
      </c>
      <c r="AA48" s="1088"/>
      <c r="AB48" s="1012" t="s">
        <v>29706</v>
      </c>
      <c r="AC48" s="1012" t="s">
        <v>29710</v>
      </c>
      <c r="AE48" s="1012" t="s">
        <v>29706</v>
      </c>
      <c r="AF48" s="1012" t="s">
        <v>29710</v>
      </c>
    </row>
    <row r="49" spans="1:34" ht="15.75" customHeight="1" x14ac:dyDescent="0.45">
      <c r="A49" s="3466" t="s">
        <v>28336</v>
      </c>
      <c r="B49" s="3466" t="s">
        <v>27935</v>
      </c>
      <c r="C49" s="1998" t="s">
        <v>189</v>
      </c>
      <c r="D49" s="1999">
        <v>0</v>
      </c>
      <c r="E49" s="2000">
        <v>0</v>
      </c>
      <c r="F49" s="2001">
        <v>0</v>
      </c>
      <c r="G49" s="2002">
        <f>SUM('4_Year_abroad'!B11,'4_Year_abroad'!F11)</f>
        <v>0</v>
      </c>
      <c r="H49" s="2003">
        <f>IF(D49&gt;0,F49/D49-1,0)</f>
        <v>0</v>
      </c>
      <c r="I49" s="2004">
        <f>IF(E49&gt;0,G49/E49-1,0)</f>
        <v>0</v>
      </c>
      <c r="J49" s="2004">
        <f>IF(F49&gt;0,G49/F49-1,0)</f>
        <v>0</v>
      </c>
      <c r="W49" s="358" t="s">
        <v>27744</v>
      </c>
      <c r="X49" s="358" t="s">
        <v>27714</v>
      </c>
      <c r="Y49" s="358" t="s">
        <v>27747</v>
      </c>
      <c r="AA49" s="1088"/>
      <c r="AB49" s="1932">
        <f t="shared" ref="AB49:AB56" si="12">IF(AND(OR(ABS(I49)&gt;$AB$47), AND(ABS(G49-E49)&gt;$AC$47)), 1, 0)</f>
        <v>0</v>
      </c>
      <c r="AC49" s="1933">
        <f t="shared" ref="AC49:AC56" si="13">IF(AND(DCT="Y",OR(ABS(J49)&gt;$AB$47), AND(ABS(G49-F49)&gt;$AC$47)), 1, 0)</f>
        <v>0</v>
      </c>
      <c r="AD49" s="1089"/>
      <c r="AE49" s="1918">
        <f>IF(OR(AND(G49&lt;&gt;0, E49=0,ABS(G49-E49)&gt;$AE$47), AND(E49&lt;&gt;0, G49=0, ABS(G49-E49)&gt;$AE$47)),1,0)</f>
        <v>0</v>
      </c>
      <c r="AF49" s="1928">
        <f t="shared" ref="AF49:AF56" si="14">IF(OR(AND(DCT="Y",G49&lt;&gt;0, F49=0,ABS(G49-F49)&gt;$AE$47), AND(F49&lt;&gt;0, G49=0, ABS(G49-F49)&gt;$AE$47)),1,0)</f>
        <v>0</v>
      </c>
    </row>
    <row r="50" spans="1:34" ht="15.75" customHeight="1" x14ac:dyDescent="0.45">
      <c r="A50" s="3470"/>
      <c r="B50" s="3467"/>
      <c r="C50" s="2005" t="s">
        <v>190</v>
      </c>
      <c r="D50" s="2006">
        <v>0</v>
      </c>
      <c r="E50" s="2007">
        <v>0</v>
      </c>
      <c r="F50" s="2008">
        <v>0</v>
      </c>
      <c r="G50" s="2009">
        <f>SUM('4_Year_abroad'!D11,'4_Year_abroad'!H11)</f>
        <v>0</v>
      </c>
      <c r="H50" s="2010">
        <f t="shared" ref="H50:I57" si="15">IF(D50&gt;0,F50/D50-1,0)</f>
        <v>0</v>
      </c>
      <c r="I50" s="2011">
        <f t="shared" si="15"/>
        <v>0</v>
      </c>
      <c r="J50" s="2011">
        <f t="shared" ref="J50:J57" si="16">IF(F50&gt;0,G50/F50-1,0)</f>
        <v>0</v>
      </c>
      <c r="W50" s="358" t="s">
        <v>27744</v>
      </c>
      <c r="X50" s="358" t="s">
        <v>27714</v>
      </c>
      <c r="Y50" s="358" t="s">
        <v>27748</v>
      </c>
      <c r="AA50" s="1088"/>
      <c r="AB50" s="1932">
        <f t="shared" si="12"/>
        <v>0</v>
      </c>
      <c r="AC50" s="1933">
        <f t="shared" si="13"/>
        <v>0</v>
      </c>
      <c r="AD50" s="1089"/>
      <c r="AE50" s="1918">
        <f t="shared" ref="AE50:AE56" si="17">IF(OR(AND(G50&lt;&gt;0, E50=0,ABS(G50-E50)&gt;$AE$47), AND(E50&lt;&gt;0, G50=0, ABS(G50-E50)&gt;$AE$47)),1,0)</f>
        <v>0</v>
      </c>
      <c r="AF50" s="1928">
        <f t="shared" si="14"/>
        <v>0</v>
      </c>
    </row>
    <row r="51" spans="1:34" ht="15.75" customHeight="1" x14ac:dyDescent="0.45">
      <c r="A51" s="2012"/>
      <c r="B51" s="3468" t="s">
        <v>193</v>
      </c>
      <c r="C51" s="2013" t="s">
        <v>189</v>
      </c>
      <c r="D51" s="2014">
        <v>0</v>
      </c>
      <c r="E51" s="2015">
        <v>0</v>
      </c>
      <c r="F51" s="2016">
        <v>0</v>
      </c>
      <c r="G51" s="2017">
        <f>SUM('4_Year_abroad'!C11,'4_Year_abroad'!G11)</f>
        <v>0</v>
      </c>
      <c r="H51" s="2003">
        <f t="shared" si="15"/>
        <v>0</v>
      </c>
      <c r="I51" s="2018">
        <f t="shared" si="15"/>
        <v>0</v>
      </c>
      <c r="J51" s="2019">
        <f t="shared" si="16"/>
        <v>0</v>
      </c>
      <c r="W51" s="358" t="s">
        <v>27744</v>
      </c>
      <c r="X51" s="358" t="s">
        <v>27715</v>
      </c>
      <c r="Y51" s="358" t="s">
        <v>27747</v>
      </c>
      <c r="AA51" s="1088"/>
      <c r="AB51" s="1932">
        <f t="shared" si="12"/>
        <v>0</v>
      </c>
      <c r="AC51" s="1933">
        <f t="shared" si="13"/>
        <v>0</v>
      </c>
      <c r="AD51" s="1089"/>
      <c r="AE51" s="1918">
        <f t="shared" si="17"/>
        <v>0</v>
      </c>
      <c r="AF51" s="1928">
        <f t="shared" si="14"/>
        <v>0</v>
      </c>
    </row>
    <row r="52" spans="1:34" ht="15.75" customHeight="1" x14ac:dyDescent="0.45">
      <c r="A52" s="2020"/>
      <c r="B52" s="3469"/>
      <c r="C52" s="2021" t="s">
        <v>190</v>
      </c>
      <c r="D52" s="2022">
        <v>0</v>
      </c>
      <c r="E52" s="2023">
        <v>0</v>
      </c>
      <c r="F52" s="2024">
        <v>0</v>
      </c>
      <c r="G52" s="2025">
        <f>SUM('4_Year_abroad'!E11,'4_Year_abroad'!I11)</f>
        <v>0</v>
      </c>
      <c r="H52" s="2026">
        <f t="shared" si="15"/>
        <v>0</v>
      </c>
      <c r="I52" s="2027">
        <f t="shared" si="15"/>
        <v>0</v>
      </c>
      <c r="J52" s="2027">
        <f t="shared" si="16"/>
        <v>0</v>
      </c>
      <c r="W52" s="358" t="s">
        <v>27744</v>
      </c>
      <c r="X52" s="358" t="s">
        <v>27715</v>
      </c>
      <c r="Y52" s="358" t="s">
        <v>27748</v>
      </c>
      <c r="AA52" s="1088"/>
      <c r="AB52" s="1932">
        <f t="shared" si="12"/>
        <v>0</v>
      </c>
      <c r="AC52" s="1933">
        <f t="shared" si="13"/>
        <v>0</v>
      </c>
      <c r="AD52" s="1089"/>
      <c r="AE52" s="1918">
        <f t="shared" si="17"/>
        <v>0</v>
      </c>
      <c r="AF52" s="1928">
        <f t="shared" si="14"/>
        <v>0</v>
      </c>
    </row>
    <row r="53" spans="1:34" ht="15.75" customHeight="1" x14ac:dyDescent="0.45">
      <c r="A53" s="3471" t="s">
        <v>27745</v>
      </c>
      <c r="B53" s="3466" t="s">
        <v>27935</v>
      </c>
      <c r="C53" s="1998" t="s">
        <v>189</v>
      </c>
      <c r="D53" s="1999">
        <v>0</v>
      </c>
      <c r="E53" s="2000">
        <v>0</v>
      </c>
      <c r="F53" s="2001">
        <v>0</v>
      </c>
      <c r="G53" s="2002">
        <f>SUM('4_Year_abroad'!B12,'4_Year_abroad'!F12)</f>
        <v>0</v>
      </c>
      <c r="H53" s="2003">
        <f t="shared" ref="H53:I56" si="18">IF(D53&gt;0,F53/D53-1,0)</f>
        <v>0</v>
      </c>
      <c r="I53" s="2004">
        <f t="shared" si="18"/>
        <v>0</v>
      </c>
      <c r="J53" s="2004">
        <f>IF(F53&gt;0,G53/F53-1,0)</f>
        <v>0</v>
      </c>
      <c r="W53" s="358" t="s">
        <v>27746</v>
      </c>
      <c r="X53" s="358" t="s">
        <v>27714</v>
      </c>
      <c r="Y53" s="358" t="s">
        <v>27747</v>
      </c>
      <c r="AA53" s="1088"/>
      <c r="AB53" s="1932">
        <f t="shared" si="12"/>
        <v>0</v>
      </c>
      <c r="AC53" s="1933">
        <f t="shared" si="13"/>
        <v>0</v>
      </c>
      <c r="AD53" s="1089"/>
      <c r="AE53" s="1918">
        <f t="shared" si="17"/>
        <v>0</v>
      </c>
      <c r="AF53" s="1928">
        <f t="shared" si="14"/>
        <v>0</v>
      </c>
    </row>
    <row r="54" spans="1:34" ht="15.75" customHeight="1" x14ac:dyDescent="0.45">
      <c r="A54" s="3472"/>
      <c r="B54" s="3467"/>
      <c r="C54" s="2028" t="s">
        <v>190</v>
      </c>
      <c r="D54" s="2006">
        <v>0</v>
      </c>
      <c r="E54" s="2007">
        <v>0</v>
      </c>
      <c r="F54" s="2008">
        <v>0</v>
      </c>
      <c r="G54" s="2009">
        <f>SUM('4_Year_abroad'!D12,'4_Year_abroad'!H12)</f>
        <v>0</v>
      </c>
      <c r="H54" s="2010">
        <f t="shared" si="18"/>
        <v>0</v>
      </c>
      <c r="I54" s="2011">
        <f t="shared" si="18"/>
        <v>0</v>
      </c>
      <c r="J54" s="2011">
        <f>IF(F54&gt;0,G54/F54-1,0)</f>
        <v>0</v>
      </c>
      <c r="W54" s="358" t="s">
        <v>27746</v>
      </c>
      <c r="X54" s="358" t="s">
        <v>27714</v>
      </c>
      <c r="Y54" s="358" t="s">
        <v>27748</v>
      </c>
      <c r="AA54" s="1088"/>
      <c r="AB54" s="1932">
        <f t="shared" si="12"/>
        <v>0</v>
      </c>
      <c r="AC54" s="1933">
        <f t="shared" si="13"/>
        <v>0</v>
      </c>
      <c r="AD54" s="1089"/>
      <c r="AE54" s="1918">
        <f t="shared" si="17"/>
        <v>0</v>
      </c>
      <c r="AF54" s="1928">
        <f t="shared" si="14"/>
        <v>0</v>
      </c>
    </row>
    <row r="55" spans="1:34" ht="15.75" customHeight="1" x14ac:dyDescent="0.45">
      <c r="A55" s="3472"/>
      <c r="B55" s="3468" t="s">
        <v>193</v>
      </c>
      <c r="C55" s="2029" t="s">
        <v>189</v>
      </c>
      <c r="D55" s="2014">
        <v>0</v>
      </c>
      <c r="E55" s="2015">
        <v>0</v>
      </c>
      <c r="F55" s="2016">
        <v>0</v>
      </c>
      <c r="G55" s="2017">
        <f>SUM('4_Year_abroad'!C12,'4_Year_abroad'!G12)</f>
        <v>0</v>
      </c>
      <c r="H55" s="2003">
        <f t="shared" si="18"/>
        <v>0</v>
      </c>
      <c r="I55" s="2018">
        <f t="shared" si="18"/>
        <v>0</v>
      </c>
      <c r="J55" s="2019">
        <f>IF(F55&gt;0,G55/F55-1,0)</f>
        <v>0</v>
      </c>
      <c r="W55" s="358" t="s">
        <v>27746</v>
      </c>
      <c r="X55" s="358" t="s">
        <v>27715</v>
      </c>
      <c r="Y55" s="358" t="s">
        <v>27747</v>
      </c>
      <c r="AA55" s="1088"/>
      <c r="AB55" s="1932">
        <f t="shared" si="12"/>
        <v>0</v>
      </c>
      <c r="AC55" s="1933">
        <f t="shared" si="13"/>
        <v>0</v>
      </c>
      <c r="AD55" s="1089"/>
      <c r="AE55" s="1918">
        <f t="shared" si="17"/>
        <v>0</v>
      </c>
      <c r="AF55" s="1928">
        <f t="shared" si="14"/>
        <v>0</v>
      </c>
    </row>
    <row r="56" spans="1:34" ht="15.75" customHeight="1" thickBot="1" x14ac:dyDescent="0.5">
      <c r="A56" s="3472"/>
      <c r="B56" s="3473"/>
      <c r="C56" s="2029" t="s">
        <v>190</v>
      </c>
      <c r="D56" s="2022">
        <v>0</v>
      </c>
      <c r="E56" s="2023">
        <v>0</v>
      </c>
      <c r="F56" s="2024">
        <v>0</v>
      </c>
      <c r="G56" s="2025">
        <f>SUM('4_Year_abroad'!E12,'4_Year_abroad'!I12)</f>
        <v>0</v>
      </c>
      <c r="H56" s="2026">
        <f t="shared" si="18"/>
        <v>0</v>
      </c>
      <c r="I56" s="2027">
        <f t="shared" si="18"/>
        <v>0</v>
      </c>
      <c r="J56" s="2027">
        <f>IF(F56&gt;0,G56/F56-1,0)</f>
        <v>0</v>
      </c>
      <c r="W56" s="358" t="s">
        <v>27746</v>
      </c>
      <c r="X56" s="358" t="s">
        <v>27715</v>
      </c>
      <c r="Y56" s="358" t="s">
        <v>27748</v>
      </c>
      <c r="AA56" s="1088"/>
      <c r="AB56" s="1932">
        <f t="shared" si="12"/>
        <v>0</v>
      </c>
      <c r="AC56" s="1933">
        <f t="shared" si="13"/>
        <v>0</v>
      </c>
      <c r="AD56" s="1089"/>
      <c r="AE56" s="1918">
        <f t="shared" si="17"/>
        <v>0</v>
      </c>
      <c r="AF56" s="1928">
        <f t="shared" si="14"/>
        <v>0</v>
      </c>
    </row>
    <row r="57" spans="1:34" ht="15.75" customHeight="1" thickTop="1" thickBot="1" x14ac:dyDescent="0.4">
      <c r="A57" s="1556"/>
      <c r="B57" s="1556"/>
      <c r="C57" s="1558" t="s">
        <v>27696</v>
      </c>
      <c r="D57" s="2030">
        <f>SUM(D49:D56)</f>
        <v>0</v>
      </c>
      <c r="E57" s="2031">
        <f>SUM(E49:E56)</f>
        <v>0</v>
      </c>
      <c r="F57" s="2032">
        <f>SUM(F49:F56)</f>
        <v>0</v>
      </c>
      <c r="G57" s="2033">
        <f>SUM(G49:G56)</f>
        <v>0</v>
      </c>
      <c r="H57" s="2034">
        <f t="shared" si="15"/>
        <v>0</v>
      </c>
      <c r="I57" s="2034">
        <f t="shared" si="15"/>
        <v>0</v>
      </c>
      <c r="J57" s="2034">
        <f t="shared" si="16"/>
        <v>0</v>
      </c>
      <c r="AB57" s="1080" t="s">
        <v>27948</v>
      </c>
      <c r="AE57" s="516" t="s">
        <v>27939</v>
      </c>
    </row>
    <row r="58" spans="1:34" hidden="1" x14ac:dyDescent="0.35">
      <c r="N58" s="1088"/>
      <c r="O58" s="1088"/>
      <c r="P58" s="1088"/>
      <c r="Q58" s="1088"/>
      <c r="R58" s="1088"/>
      <c r="S58" s="1088"/>
      <c r="T58" s="1088"/>
      <c r="U58" s="1088"/>
      <c r="V58" s="1088"/>
      <c r="W58" s="1088"/>
      <c r="X58" s="1088"/>
      <c r="Y58" s="1088"/>
      <c r="AD58" s="1090"/>
    </row>
    <row r="59" spans="1:34" ht="14.25" hidden="1" x14ac:dyDescent="0.45">
      <c r="C59" s="357" t="s">
        <v>27940</v>
      </c>
      <c r="D59" s="358" t="s">
        <v>27922</v>
      </c>
      <c r="E59" s="358" t="s">
        <v>27922</v>
      </c>
      <c r="F59" s="358" t="s">
        <v>27922</v>
      </c>
      <c r="G59" s="361" t="s">
        <v>27922</v>
      </c>
      <c r="N59" s="1088"/>
      <c r="O59" s="1088"/>
      <c r="P59" s="1088"/>
      <c r="Q59" s="1088"/>
      <c r="R59" s="1088"/>
      <c r="S59" s="1088"/>
      <c r="T59" s="1088"/>
      <c r="U59" s="1088"/>
      <c r="V59" s="1088"/>
      <c r="W59" s="1088"/>
      <c r="X59" s="1088"/>
      <c r="Y59" s="1088"/>
      <c r="AD59" s="1090"/>
    </row>
    <row r="60" spans="1:34" ht="14.25" hidden="1" x14ac:dyDescent="0.45">
      <c r="C60" s="357"/>
      <c r="D60" s="358" t="s">
        <v>28251</v>
      </c>
      <c r="E60" s="361" t="s">
        <v>28252</v>
      </c>
      <c r="F60" s="358" t="s">
        <v>29712</v>
      </c>
      <c r="G60" s="361" t="s">
        <v>29719</v>
      </c>
      <c r="N60" s="1088"/>
      <c r="O60" s="1088"/>
      <c r="P60" s="1088"/>
      <c r="Q60" s="1088"/>
      <c r="R60" s="1088"/>
      <c r="S60" s="1088"/>
      <c r="T60" s="1088"/>
      <c r="U60" s="1088"/>
      <c r="V60" s="1088"/>
      <c r="W60" s="1088"/>
      <c r="X60" s="1088"/>
      <c r="Y60" s="1088"/>
      <c r="AD60" s="1090"/>
    </row>
    <row r="61" spans="1:34" ht="20.45" customHeight="1" x14ac:dyDescent="0.35"/>
    <row r="62" spans="1:34" ht="19.899999999999999" customHeight="1" x14ac:dyDescent="0.35">
      <c r="A62" s="637" t="s">
        <v>28326</v>
      </c>
    </row>
    <row r="63" spans="1:34" ht="15.75" customHeight="1" x14ac:dyDescent="0.35">
      <c r="A63" s="1044" t="s">
        <v>27970</v>
      </c>
    </row>
    <row r="64" spans="1:34" s="355" customFormat="1" ht="19.5" customHeight="1" thickBot="1" x14ac:dyDescent="0.4">
      <c r="A64" s="1958" t="s">
        <v>27949</v>
      </c>
      <c r="AA64" s="355" t="s">
        <v>41</v>
      </c>
      <c r="AB64" s="355">
        <v>1</v>
      </c>
      <c r="AC64" s="355">
        <v>1</v>
      </c>
      <c r="AE64" s="355">
        <v>2</v>
      </c>
      <c r="AF64" s="355">
        <v>2</v>
      </c>
      <c r="AH64" s="355">
        <v>3</v>
      </c>
    </row>
    <row r="65" spans="1:35" ht="30" customHeight="1" x14ac:dyDescent="0.4">
      <c r="A65" s="1051"/>
      <c r="B65" s="1051"/>
      <c r="C65" s="1051"/>
      <c r="D65" s="3458" t="str">
        <f>"20"&amp;(YEAR-2)&amp;"-"&amp;(YEAR-1)&amp;" Individualised data"</f>
        <v>2022-23 Individualised data</v>
      </c>
      <c r="E65" s="3459"/>
      <c r="F65" s="3459"/>
      <c r="G65" s="3458" t="str">
        <f>"HESES"&amp;(YEAR-1)</f>
        <v>HESES23</v>
      </c>
      <c r="H65" s="3459"/>
      <c r="I65" s="3459"/>
      <c r="J65" s="3488" t="str">
        <f>"20"&amp;(YEAR-1)&amp;"-"&amp;YEAR&amp;" Individualised data"</f>
        <v>2023-24 Individualised data</v>
      </c>
      <c r="K65" s="3459"/>
      <c r="L65" s="3463"/>
      <c r="M65" s="3458" t="str">
        <f>"HESES"&amp;YEAR</f>
        <v>HESES24</v>
      </c>
      <c r="N65" s="3459"/>
      <c r="O65" s="3463"/>
      <c r="P65" s="3464" t="s">
        <v>27951</v>
      </c>
      <c r="Q65" s="3465"/>
      <c r="R65" s="3465"/>
      <c r="S65" s="3474"/>
      <c r="T65" s="3464" t="s">
        <v>27946</v>
      </c>
      <c r="U65" s="3465"/>
      <c r="AA65" s="516">
        <f>IF(SUM(AB67:AC74,AE67:AF74,AH67:AI74)&gt;0,1,0)</f>
        <v>0</v>
      </c>
      <c r="AB65" s="1934">
        <v>10</v>
      </c>
      <c r="AC65" s="1935">
        <v>50</v>
      </c>
      <c r="AE65" s="1936">
        <v>0.1</v>
      </c>
      <c r="AF65" s="1935">
        <v>50</v>
      </c>
      <c r="AH65" s="1935">
        <v>10</v>
      </c>
    </row>
    <row r="66" spans="1:35" ht="75" customHeight="1" x14ac:dyDescent="0.45">
      <c r="A66" s="1033" t="s">
        <v>55</v>
      </c>
      <c r="B66" s="1033" t="s">
        <v>57</v>
      </c>
      <c r="C66" s="1560" t="s">
        <v>27952</v>
      </c>
      <c r="D66" s="1053" t="s">
        <v>27953</v>
      </c>
      <c r="E66" s="1052" t="s">
        <v>27954</v>
      </c>
      <c r="F66" s="1054" t="s">
        <v>27955</v>
      </c>
      <c r="G66" s="1053" t="s">
        <v>27953</v>
      </c>
      <c r="H66" s="1052" t="s">
        <v>27954</v>
      </c>
      <c r="I66" s="1052" t="s">
        <v>27955</v>
      </c>
      <c r="J66" s="1055" t="s">
        <v>27953</v>
      </c>
      <c r="K66" s="1052" t="s">
        <v>27954</v>
      </c>
      <c r="L66" s="1054" t="s">
        <v>28245</v>
      </c>
      <c r="M66" s="1053" t="s">
        <v>27953</v>
      </c>
      <c r="N66" s="1052" t="s">
        <v>27954</v>
      </c>
      <c r="O66" s="1054" t="s">
        <v>27955</v>
      </c>
      <c r="P66" s="1052" t="str">
        <f>"HESES"&amp;(YEAR-1)&amp;"
and 
HESES"&amp;YEAR&amp;" all years"</f>
        <v>HESES23
and 
HESES24 all years</v>
      </c>
      <c r="Q66" s="1052" t="str">
        <f>"HESES"&amp;(YEAR-1)&amp;"
and 
HESES"&amp;YEAR&amp;" new entrants"</f>
        <v>HESES23
and 
HESES24 new entrants</v>
      </c>
      <c r="R66" s="1055" t="str">
        <f>"20"&amp;(YEAR-1)&amp;"-"&amp;YEAR&amp;"
Ind. data
and
HESES"&amp;YEAR&amp;" all years"</f>
        <v>2023-24
Ind. data
and
HESES24 all years</v>
      </c>
      <c r="S66" s="1052" t="str">
        <f>"20"&amp;(YEAR-1)&amp;"-"&amp;YEAR&amp;"
Ind. data
and
HESES"&amp;YEAR&amp;" new entrants"</f>
        <v>2023-24
Ind. data
and
HESES24 new entrants</v>
      </c>
      <c r="T66" s="1010" t="str">
        <f>"HESES"&amp;(YEAR-1)&amp;"
and 
HESES"&amp;YEAR&amp;" proportions"</f>
        <v>HESES23
and 
HESES24 proportions</v>
      </c>
      <c r="U66" s="1096" t="str">
        <f>"20"&amp;(YEAR-1)&amp;"-"&amp;YEAR&amp;"
Ind. data
and
HESES"&amp;YEAR&amp;" proportions"</f>
        <v>2023-24
Ind. data
and
HESES24 proportions</v>
      </c>
      <c r="W66" s="357" t="s">
        <v>27941</v>
      </c>
      <c r="X66" s="357" t="s">
        <v>314</v>
      </c>
      <c r="Y66" s="357" t="s">
        <v>27956</v>
      </c>
      <c r="AB66" s="1012" t="s">
        <v>29706</v>
      </c>
      <c r="AC66" s="1012" t="s">
        <v>29710</v>
      </c>
      <c r="AE66" s="1012" t="s">
        <v>29706</v>
      </c>
      <c r="AF66" s="1012" t="s">
        <v>29710</v>
      </c>
      <c r="AH66" s="1012" t="s">
        <v>29706</v>
      </c>
      <c r="AI66" s="1012" t="s">
        <v>29710</v>
      </c>
    </row>
    <row r="67" spans="1:35" ht="14.25" x14ac:dyDescent="0.45">
      <c r="A67" s="3485" t="s">
        <v>27957</v>
      </c>
      <c r="B67" s="516" t="s">
        <v>27769</v>
      </c>
      <c r="C67" s="1044" t="s">
        <v>293</v>
      </c>
      <c r="D67" s="1671">
        <v>0</v>
      </c>
      <c r="E67" s="1056">
        <v>0</v>
      </c>
      <c r="F67" s="1057">
        <f t="shared" ref="F67:F75" si="19">IF(D67&lt;&gt;0,E67/D67,0)</f>
        <v>0</v>
      </c>
      <c r="G67" s="1671">
        <v>0</v>
      </c>
      <c r="H67" s="1056">
        <v>0</v>
      </c>
      <c r="I67" s="1058">
        <f t="shared" ref="I67:I75" si="20">IF(G67&lt;&gt;0,H67/G67,0)</f>
        <v>0</v>
      </c>
      <c r="J67" s="1059">
        <v>0</v>
      </c>
      <c r="K67" s="1056">
        <v>0</v>
      </c>
      <c r="L67" s="1057">
        <f t="shared" ref="L67:L75" si="21">IF(J67&lt;&gt;0,K67/J67,0)</f>
        <v>0</v>
      </c>
      <c r="M67" s="1671">
        <f>SUM('5_Planning'!H14:K15,'5_Planning'!M14:P15)</f>
        <v>0</v>
      </c>
      <c r="N67" s="1056">
        <f>SUM('5_Planning'!R14:U15)</f>
        <v>0</v>
      </c>
      <c r="O67" s="1057">
        <f t="shared" ref="O67:O75" si="22">IF(M67&lt;&gt;0,N67/M67,0)</f>
        <v>0</v>
      </c>
      <c r="P67" s="1058">
        <f t="shared" ref="P67:Q75" si="23">IF(G67&lt;&gt;0,(M67-G67)/G67,0)</f>
        <v>0</v>
      </c>
      <c r="Q67" s="1058">
        <f t="shared" si="23"/>
        <v>0</v>
      </c>
      <c r="R67" s="1060">
        <f>IF(J67&lt;&gt;0,(M67-J67)/J67,0)</f>
        <v>0</v>
      </c>
      <c r="S67" s="1058">
        <f>IF(K67&lt;&gt;0,(N67-K67)/K67,0)</f>
        <v>0</v>
      </c>
      <c r="T67" s="1672">
        <f t="shared" ref="T67:T75" si="24">(O67-I67)*100</f>
        <v>0</v>
      </c>
      <c r="U67" s="1937">
        <f>(O67-L67)*100</f>
        <v>0</v>
      </c>
      <c r="W67" s="358" t="s">
        <v>27747</v>
      </c>
      <c r="X67" s="358" t="s">
        <v>27826</v>
      </c>
      <c r="Y67" s="358" t="s">
        <v>27958</v>
      </c>
      <c r="AB67" s="1918">
        <f>IF(AND(ABS(T67)&gt;$AB$65,ABS(N67-H67)&gt;$AC$65),1,0)</f>
        <v>0</v>
      </c>
      <c r="AC67" s="1918">
        <f t="shared" ref="AC67:AC74" si="25">IF(AND(DCT="Y",ABS(U67)&gt;$AB$65,ABS(N67-K67)&gt;$AC$65),1,0)</f>
        <v>0</v>
      </c>
      <c r="AE67" s="1918">
        <f>IF(AND(ABS(Q67)&gt;$AE$65,ABS(N67-H67)&gt;$AF$65),1,0)</f>
        <v>0</v>
      </c>
      <c r="AF67" s="1918">
        <f t="shared" ref="AF67:AF74" si="26">IF(AND(DCT="Y",ABS(S67)&gt;$AE$65,ABS(N67-K67)&gt;$AF$65),1,0)</f>
        <v>0</v>
      </c>
      <c r="AH67" s="1918">
        <f t="shared" ref="AH67:AH74" si="27">IF(OR(AND(H67&gt;0,N67=0,ABS(N67-H67)&gt;$AH$65),AND(H67=0,N67&gt;0,ABS(N67-H67)&gt;$AH$65)),1,0)</f>
        <v>0</v>
      </c>
      <c r="AI67" s="1918">
        <f t="shared" ref="AI67:AI74" si="28">IF(AND(DCT="Y",(OR(AND(K67&gt;0,N67=0,ABS(N67-K67)&gt;$AH$65),AND(K67=0,N67&gt;0,ABS(N67-K67)&gt;$AH$65)))),1,0)</f>
        <v>0</v>
      </c>
    </row>
    <row r="68" spans="1:35" ht="14.25" x14ac:dyDescent="0.45">
      <c r="A68" s="3486"/>
      <c r="C68" s="1044" t="s">
        <v>194</v>
      </c>
      <c r="D68" s="1671">
        <v>0</v>
      </c>
      <c r="E68" s="1056">
        <v>0</v>
      </c>
      <c r="F68" s="1057">
        <f t="shared" si="19"/>
        <v>0</v>
      </c>
      <c r="G68" s="1671">
        <v>0</v>
      </c>
      <c r="H68" s="1056">
        <v>0</v>
      </c>
      <c r="I68" s="1058">
        <f t="shared" si="20"/>
        <v>0</v>
      </c>
      <c r="J68" s="1059">
        <v>0</v>
      </c>
      <c r="K68" s="1056">
        <v>0</v>
      </c>
      <c r="L68" s="1057">
        <f t="shared" si="21"/>
        <v>0</v>
      </c>
      <c r="M68" s="1671">
        <f>SUM('5_Planning'!L14:L15,'5_Planning'!Q14:Q15)</f>
        <v>0</v>
      </c>
      <c r="N68" s="1056">
        <f>SUM('5_Planning'!V14:V15)</f>
        <v>0</v>
      </c>
      <c r="O68" s="1057">
        <f t="shared" si="22"/>
        <v>0</v>
      </c>
      <c r="P68" s="1058">
        <f t="shared" si="23"/>
        <v>0</v>
      </c>
      <c r="Q68" s="1058">
        <f t="shared" si="23"/>
        <v>0</v>
      </c>
      <c r="R68" s="1060">
        <f t="shared" ref="R68:S75" si="29">IF(J68&lt;&gt;0,(M68-J68)/J68,0)</f>
        <v>0</v>
      </c>
      <c r="S68" s="1058">
        <f t="shared" si="29"/>
        <v>0</v>
      </c>
      <c r="T68" s="1672">
        <f t="shared" si="24"/>
        <v>0</v>
      </c>
      <c r="U68" s="1061">
        <f t="shared" ref="U68:U75" si="30">(O68-L68)*100</f>
        <v>0</v>
      </c>
      <c r="W68" s="358" t="s">
        <v>27747</v>
      </c>
      <c r="X68" s="358" t="s">
        <v>27826</v>
      </c>
      <c r="Y68" s="358" t="s">
        <v>27716</v>
      </c>
      <c r="AB68" s="1918">
        <f t="shared" ref="AB68:AB74" si="31">IF(AND(ABS(T68)&gt;$AB$65,ABS(N68-H68)&gt;$AC$65),1,0)</f>
        <v>0</v>
      </c>
      <c r="AC68" s="1918">
        <f t="shared" si="25"/>
        <v>0</v>
      </c>
      <c r="AE68" s="1918">
        <f t="shared" ref="AE68:AE74" si="32">IF(AND(ABS(Q68)&gt;$AE$65,ABS(N68-H68)&gt;$AF$65),1,0)</f>
        <v>0</v>
      </c>
      <c r="AF68" s="1918">
        <f t="shared" si="26"/>
        <v>0</v>
      </c>
      <c r="AH68" s="1918">
        <f t="shared" si="27"/>
        <v>0</v>
      </c>
      <c r="AI68" s="1918">
        <f t="shared" si="28"/>
        <v>0</v>
      </c>
    </row>
    <row r="69" spans="1:35" ht="14.25" x14ac:dyDescent="0.45">
      <c r="A69" s="3486"/>
      <c r="B69" s="1062" t="s">
        <v>27880</v>
      </c>
      <c r="C69" s="1561" t="s">
        <v>293</v>
      </c>
      <c r="D69" s="1063">
        <v>0</v>
      </c>
      <c r="E69" s="1064">
        <v>0</v>
      </c>
      <c r="F69" s="1065">
        <f t="shared" si="19"/>
        <v>0</v>
      </c>
      <c r="G69" s="1063">
        <v>0</v>
      </c>
      <c r="H69" s="1064">
        <v>0</v>
      </c>
      <c r="I69" s="1066">
        <f t="shared" si="20"/>
        <v>0</v>
      </c>
      <c r="J69" s="1067">
        <v>0</v>
      </c>
      <c r="K69" s="1064">
        <v>0</v>
      </c>
      <c r="L69" s="1065">
        <f t="shared" si="21"/>
        <v>0</v>
      </c>
      <c r="M69" s="1063">
        <f>SUM('5_Planning'!H16:K18,'5_Planning'!M16:P18)</f>
        <v>0</v>
      </c>
      <c r="N69" s="1064">
        <f>SUM('5_Planning'!R16:U18)</f>
        <v>0</v>
      </c>
      <c r="O69" s="1065">
        <f t="shared" si="22"/>
        <v>0</v>
      </c>
      <c r="P69" s="1066">
        <f t="shared" si="23"/>
        <v>0</v>
      </c>
      <c r="Q69" s="1066">
        <f t="shared" si="23"/>
        <v>0</v>
      </c>
      <c r="R69" s="1068">
        <f t="shared" si="29"/>
        <v>0</v>
      </c>
      <c r="S69" s="1066">
        <f t="shared" si="29"/>
        <v>0</v>
      </c>
      <c r="T69" s="1069">
        <f t="shared" si="24"/>
        <v>0</v>
      </c>
      <c r="U69" s="1070">
        <f t="shared" si="30"/>
        <v>0</v>
      </c>
      <c r="W69" s="358" t="s">
        <v>27747</v>
      </c>
      <c r="X69" s="358" t="s">
        <v>27947</v>
      </c>
      <c r="Y69" s="358" t="s">
        <v>27958</v>
      </c>
      <c r="AB69" s="1918">
        <f t="shared" si="31"/>
        <v>0</v>
      </c>
      <c r="AC69" s="1918">
        <f t="shared" si="25"/>
        <v>0</v>
      </c>
      <c r="AE69" s="1918">
        <f t="shared" si="32"/>
        <v>0</v>
      </c>
      <c r="AF69" s="1918">
        <f t="shared" si="26"/>
        <v>0</v>
      </c>
      <c r="AH69" s="1918">
        <f t="shared" si="27"/>
        <v>0</v>
      </c>
      <c r="AI69" s="1918">
        <f t="shared" si="28"/>
        <v>0</v>
      </c>
    </row>
    <row r="70" spans="1:35" ht="14.25" x14ac:dyDescent="0.45">
      <c r="A70" s="3487"/>
      <c r="C70" s="1044" t="s">
        <v>194</v>
      </c>
      <c r="D70" s="1671">
        <v>0</v>
      </c>
      <c r="E70" s="1056">
        <v>0</v>
      </c>
      <c r="F70" s="1057">
        <f t="shared" si="19"/>
        <v>0</v>
      </c>
      <c r="G70" s="1671">
        <v>0</v>
      </c>
      <c r="H70" s="1056">
        <v>0</v>
      </c>
      <c r="I70" s="1058">
        <f t="shared" si="20"/>
        <v>0</v>
      </c>
      <c r="J70" s="1059">
        <v>0</v>
      </c>
      <c r="K70" s="1056">
        <v>0</v>
      </c>
      <c r="L70" s="1057">
        <f t="shared" si="21"/>
        <v>0</v>
      </c>
      <c r="M70" s="1671">
        <f>SUM('5_Planning'!L16:L18,'5_Planning'!Q16:Q18)</f>
        <v>0</v>
      </c>
      <c r="N70" s="1056">
        <f>SUM('5_Planning'!V16:V18)</f>
        <v>0</v>
      </c>
      <c r="O70" s="1057">
        <f t="shared" si="22"/>
        <v>0</v>
      </c>
      <c r="P70" s="1058">
        <f t="shared" si="23"/>
        <v>0</v>
      </c>
      <c r="Q70" s="1058">
        <f t="shared" si="23"/>
        <v>0</v>
      </c>
      <c r="R70" s="1060">
        <f t="shared" si="29"/>
        <v>0</v>
      </c>
      <c r="S70" s="1058">
        <f t="shared" si="29"/>
        <v>0</v>
      </c>
      <c r="T70" s="1672">
        <f t="shared" si="24"/>
        <v>0</v>
      </c>
      <c r="U70" s="1061">
        <f t="shared" si="30"/>
        <v>0</v>
      </c>
      <c r="W70" s="358" t="s">
        <v>27747</v>
      </c>
      <c r="X70" s="358" t="s">
        <v>27947</v>
      </c>
      <c r="Y70" s="358" t="s">
        <v>27716</v>
      </c>
      <c r="AB70" s="1918">
        <f t="shared" si="31"/>
        <v>0</v>
      </c>
      <c r="AC70" s="1918">
        <f t="shared" si="25"/>
        <v>0</v>
      </c>
      <c r="AE70" s="1918">
        <f t="shared" si="32"/>
        <v>0</v>
      </c>
      <c r="AF70" s="1918">
        <f t="shared" si="26"/>
        <v>0</v>
      </c>
      <c r="AH70" s="1918">
        <f t="shared" si="27"/>
        <v>0</v>
      </c>
      <c r="AI70" s="1918">
        <f t="shared" si="28"/>
        <v>0</v>
      </c>
    </row>
    <row r="71" spans="1:35" ht="14.25" x14ac:dyDescent="0.45">
      <c r="A71" s="1459" t="s">
        <v>191</v>
      </c>
      <c r="B71" s="1459" t="s">
        <v>27769</v>
      </c>
      <c r="C71" s="1562" t="s">
        <v>293</v>
      </c>
      <c r="D71" s="1938">
        <v>0</v>
      </c>
      <c r="E71" s="1460">
        <v>0</v>
      </c>
      <c r="F71" s="1939">
        <f t="shared" si="19"/>
        <v>0</v>
      </c>
      <c r="G71" s="1938">
        <v>0</v>
      </c>
      <c r="H71" s="1460">
        <v>0</v>
      </c>
      <c r="I71" s="1461">
        <f t="shared" si="20"/>
        <v>0</v>
      </c>
      <c r="J71" s="1940">
        <v>0</v>
      </c>
      <c r="K71" s="1460">
        <v>0</v>
      </c>
      <c r="L71" s="1939">
        <f t="shared" si="21"/>
        <v>0</v>
      </c>
      <c r="M71" s="1938">
        <f>SUM('5_Planning'!H20:K21,'5_Planning'!M20:P21)</f>
        <v>0</v>
      </c>
      <c r="N71" s="1460">
        <f>SUM('5_Planning'!R20:U21)</f>
        <v>0</v>
      </c>
      <c r="O71" s="1939">
        <f t="shared" si="22"/>
        <v>0</v>
      </c>
      <c r="P71" s="1461">
        <f t="shared" si="23"/>
        <v>0</v>
      </c>
      <c r="Q71" s="1461">
        <f t="shared" si="23"/>
        <v>0</v>
      </c>
      <c r="R71" s="1941">
        <f t="shared" si="29"/>
        <v>0</v>
      </c>
      <c r="S71" s="1461">
        <f t="shared" si="29"/>
        <v>0</v>
      </c>
      <c r="T71" s="1942">
        <f t="shared" si="24"/>
        <v>0</v>
      </c>
      <c r="U71" s="1937">
        <f t="shared" si="30"/>
        <v>0</v>
      </c>
      <c r="W71" s="358" t="s">
        <v>27767</v>
      </c>
      <c r="X71" s="358" t="s">
        <v>27826</v>
      </c>
      <c r="Y71" s="358" t="s">
        <v>27958</v>
      </c>
      <c r="AB71" s="1918">
        <f t="shared" si="31"/>
        <v>0</v>
      </c>
      <c r="AC71" s="1918">
        <f t="shared" si="25"/>
        <v>0</v>
      </c>
      <c r="AE71" s="1918">
        <f t="shared" si="32"/>
        <v>0</v>
      </c>
      <c r="AF71" s="1918">
        <f t="shared" si="26"/>
        <v>0</v>
      </c>
      <c r="AH71" s="1918">
        <f t="shared" si="27"/>
        <v>0</v>
      </c>
      <c r="AI71" s="1918">
        <f t="shared" si="28"/>
        <v>0</v>
      </c>
    </row>
    <row r="72" spans="1:35" ht="14.25" x14ac:dyDescent="0.45">
      <c r="C72" s="1044" t="s">
        <v>194</v>
      </c>
      <c r="D72" s="1671">
        <v>0</v>
      </c>
      <c r="E72" s="1056">
        <v>0</v>
      </c>
      <c r="F72" s="1057">
        <f t="shared" si="19"/>
        <v>0</v>
      </c>
      <c r="G72" s="1671">
        <v>0</v>
      </c>
      <c r="H72" s="1056">
        <v>0</v>
      </c>
      <c r="I72" s="1058">
        <f t="shared" si="20"/>
        <v>0</v>
      </c>
      <c r="J72" s="1059">
        <v>0</v>
      </c>
      <c r="K72" s="1056">
        <v>0</v>
      </c>
      <c r="L72" s="1057">
        <f t="shared" si="21"/>
        <v>0</v>
      </c>
      <c r="M72" s="1671">
        <f>SUM('5_Planning'!L20:L21,'5_Planning'!Q20:Q21)</f>
        <v>0</v>
      </c>
      <c r="N72" s="1056">
        <f>SUM('5_Planning'!V20:V21)</f>
        <v>0</v>
      </c>
      <c r="O72" s="1057">
        <f t="shared" si="22"/>
        <v>0</v>
      </c>
      <c r="P72" s="1058">
        <f t="shared" si="23"/>
        <v>0</v>
      </c>
      <c r="Q72" s="1058">
        <f t="shared" si="23"/>
        <v>0</v>
      </c>
      <c r="R72" s="1060">
        <f t="shared" si="29"/>
        <v>0</v>
      </c>
      <c r="S72" s="1058">
        <f t="shared" si="29"/>
        <v>0</v>
      </c>
      <c r="T72" s="1672">
        <f t="shared" si="24"/>
        <v>0</v>
      </c>
      <c r="U72" s="1061">
        <f t="shared" si="30"/>
        <v>0</v>
      </c>
      <c r="W72" s="358" t="s">
        <v>27767</v>
      </c>
      <c r="X72" s="358" t="s">
        <v>27826</v>
      </c>
      <c r="Y72" s="358" t="s">
        <v>27716</v>
      </c>
      <c r="AB72" s="1918">
        <f t="shared" si="31"/>
        <v>0</v>
      </c>
      <c r="AC72" s="1918">
        <f t="shared" si="25"/>
        <v>0</v>
      </c>
      <c r="AE72" s="1918">
        <f t="shared" si="32"/>
        <v>0</v>
      </c>
      <c r="AF72" s="1918">
        <f t="shared" si="26"/>
        <v>0</v>
      </c>
      <c r="AH72" s="1918">
        <f t="shared" si="27"/>
        <v>0</v>
      </c>
      <c r="AI72" s="1918">
        <f t="shared" si="28"/>
        <v>0</v>
      </c>
    </row>
    <row r="73" spans="1:35" ht="14.25" x14ac:dyDescent="0.45">
      <c r="B73" s="1062" t="s">
        <v>27880</v>
      </c>
      <c r="C73" s="1561" t="s">
        <v>293</v>
      </c>
      <c r="D73" s="1063">
        <v>0</v>
      </c>
      <c r="E73" s="1064">
        <v>0</v>
      </c>
      <c r="F73" s="1065">
        <f t="shared" si="19"/>
        <v>0</v>
      </c>
      <c r="G73" s="1063">
        <v>0</v>
      </c>
      <c r="H73" s="1064">
        <v>0</v>
      </c>
      <c r="I73" s="1066">
        <f t="shared" si="20"/>
        <v>0</v>
      </c>
      <c r="J73" s="1067">
        <v>0</v>
      </c>
      <c r="K73" s="1064">
        <v>0</v>
      </c>
      <c r="L73" s="1065">
        <f t="shared" si="21"/>
        <v>0</v>
      </c>
      <c r="M73" s="1063">
        <f>SUM('5_Planning'!H22:K24,'5_Planning'!M22:P24)</f>
        <v>0</v>
      </c>
      <c r="N73" s="1064">
        <f>SUM('5_Planning'!R22:U24)</f>
        <v>0</v>
      </c>
      <c r="O73" s="1065">
        <f t="shared" si="22"/>
        <v>0</v>
      </c>
      <c r="P73" s="1066">
        <f t="shared" si="23"/>
        <v>0</v>
      </c>
      <c r="Q73" s="1066">
        <f t="shared" si="23"/>
        <v>0</v>
      </c>
      <c r="R73" s="1068">
        <f t="shared" si="29"/>
        <v>0</v>
      </c>
      <c r="S73" s="1066">
        <f t="shared" si="29"/>
        <v>0</v>
      </c>
      <c r="T73" s="1069">
        <f t="shared" si="24"/>
        <v>0</v>
      </c>
      <c r="U73" s="1070">
        <f t="shared" si="30"/>
        <v>0</v>
      </c>
      <c r="W73" s="358" t="s">
        <v>27767</v>
      </c>
      <c r="X73" s="358" t="s">
        <v>27947</v>
      </c>
      <c r="Y73" s="358" t="s">
        <v>27958</v>
      </c>
      <c r="AB73" s="1918">
        <f t="shared" si="31"/>
        <v>0</v>
      </c>
      <c r="AC73" s="1918">
        <f t="shared" si="25"/>
        <v>0</v>
      </c>
      <c r="AE73" s="1918">
        <f t="shared" si="32"/>
        <v>0</v>
      </c>
      <c r="AF73" s="1918">
        <f t="shared" si="26"/>
        <v>0</v>
      </c>
      <c r="AH73" s="1918">
        <f t="shared" si="27"/>
        <v>0</v>
      </c>
      <c r="AI73" s="1918">
        <f t="shared" si="28"/>
        <v>0</v>
      </c>
    </row>
    <row r="74" spans="1:35" ht="14.65" thickBot="1" x14ac:dyDescent="0.5">
      <c r="C74" s="1044" t="s">
        <v>194</v>
      </c>
      <c r="D74" s="1671">
        <v>0</v>
      </c>
      <c r="E74" s="1056">
        <v>0</v>
      </c>
      <c r="F74" s="1057">
        <f t="shared" si="19"/>
        <v>0</v>
      </c>
      <c r="G74" s="1671">
        <v>0</v>
      </c>
      <c r="H74" s="1056">
        <v>0</v>
      </c>
      <c r="I74" s="1058">
        <f t="shared" si="20"/>
        <v>0</v>
      </c>
      <c r="J74" s="1059">
        <v>0</v>
      </c>
      <c r="K74" s="1056">
        <v>0</v>
      </c>
      <c r="L74" s="1057">
        <f t="shared" si="21"/>
        <v>0</v>
      </c>
      <c r="M74" s="1671">
        <f>SUM('5_Planning'!L22:L24,'5_Planning'!Q22:Q24)</f>
        <v>0</v>
      </c>
      <c r="N74" s="1056">
        <f>SUM('5_Planning'!V22:V24)</f>
        <v>0</v>
      </c>
      <c r="O74" s="1057">
        <f t="shared" si="22"/>
        <v>0</v>
      </c>
      <c r="P74" s="1058">
        <f t="shared" si="23"/>
        <v>0</v>
      </c>
      <c r="Q74" s="1058">
        <f t="shared" si="23"/>
        <v>0</v>
      </c>
      <c r="R74" s="1060">
        <f t="shared" si="29"/>
        <v>0</v>
      </c>
      <c r="S74" s="1058">
        <f t="shared" si="29"/>
        <v>0</v>
      </c>
      <c r="T74" s="1672">
        <f t="shared" si="24"/>
        <v>0</v>
      </c>
      <c r="U74" s="1061">
        <f t="shared" si="30"/>
        <v>0</v>
      </c>
      <c r="W74" s="358" t="s">
        <v>27767</v>
      </c>
      <c r="X74" s="358" t="s">
        <v>27947</v>
      </c>
      <c r="Y74" s="358" t="s">
        <v>27716</v>
      </c>
      <c r="AB74" s="1918">
        <f t="shared" si="31"/>
        <v>0</v>
      </c>
      <c r="AC74" s="1918">
        <f t="shared" si="25"/>
        <v>0</v>
      </c>
      <c r="AE74" s="1918">
        <f t="shared" si="32"/>
        <v>0</v>
      </c>
      <c r="AF74" s="1918">
        <f t="shared" si="26"/>
        <v>0</v>
      </c>
      <c r="AH74" s="1918">
        <f t="shared" si="27"/>
        <v>0</v>
      </c>
      <c r="AI74" s="1918">
        <f t="shared" si="28"/>
        <v>0</v>
      </c>
    </row>
    <row r="75" spans="1:35" ht="14.25" thickTop="1" thickBot="1" x14ac:dyDescent="0.4">
      <c r="A75" s="1071"/>
      <c r="B75" s="1071"/>
      <c r="C75" s="1563" t="s">
        <v>27696</v>
      </c>
      <c r="D75" s="1072">
        <f>SUM(D67:D74)</f>
        <v>0</v>
      </c>
      <c r="E75" s="1073">
        <f>SUM(E67:E74)</f>
        <v>0</v>
      </c>
      <c r="F75" s="1074">
        <f t="shared" si="19"/>
        <v>0</v>
      </c>
      <c r="G75" s="1072">
        <f>SUM(G67:G74)</f>
        <v>0</v>
      </c>
      <c r="H75" s="1073">
        <f>SUM(H67:H74)</f>
        <v>0</v>
      </c>
      <c r="I75" s="1075">
        <f t="shared" si="20"/>
        <v>0</v>
      </c>
      <c r="J75" s="1076">
        <f>SUM(J67:J74)</f>
        <v>0</v>
      </c>
      <c r="K75" s="1073">
        <f>SUM(K67:K74)</f>
        <v>0</v>
      </c>
      <c r="L75" s="1074">
        <f t="shared" si="21"/>
        <v>0</v>
      </c>
      <c r="M75" s="1072">
        <f>SUM(M67:M74)</f>
        <v>0</v>
      </c>
      <c r="N75" s="1073">
        <f>SUM(N67:N74)</f>
        <v>0</v>
      </c>
      <c r="O75" s="1074">
        <f t="shared" si="22"/>
        <v>0</v>
      </c>
      <c r="P75" s="1075">
        <f t="shared" si="23"/>
        <v>0</v>
      </c>
      <c r="Q75" s="1075">
        <f t="shared" si="23"/>
        <v>0</v>
      </c>
      <c r="R75" s="1077">
        <f t="shared" si="29"/>
        <v>0</v>
      </c>
      <c r="S75" s="1075">
        <f t="shared" si="29"/>
        <v>0</v>
      </c>
      <c r="T75" s="1078">
        <f t="shared" si="24"/>
        <v>0</v>
      </c>
      <c r="U75" s="1079">
        <f t="shared" si="30"/>
        <v>0</v>
      </c>
      <c r="AB75" s="1080" t="s">
        <v>27959</v>
      </c>
      <c r="AE75" s="1080" t="s">
        <v>27948</v>
      </c>
      <c r="AH75" s="516" t="s">
        <v>27939</v>
      </c>
    </row>
    <row r="76" spans="1:35" ht="13.9" hidden="1" thickTop="1" x14ac:dyDescent="0.35"/>
    <row r="77" spans="1:35" ht="14.25" hidden="1" x14ac:dyDescent="0.45">
      <c r="C77" s="357" t="s">
        <v>27940</v>
      </c>
      <c r="D77" s="358" t="s">
        <v>27945</v>
      </c>
      <c r="E77" s="358" t="s">
        <v>27945</v>
      </c>
      <c r="F77" s="359"/>
      <c r="G77" s="358" t="s">
        <v>27945</v>
      </c>
      <c r="H77" s="358" t="s">
        <v>27945</v>
      </c>
      <c r="J77" s="358" t="s">
        <v>27945</v>
      </c>
      <c r="K77" s="358" t="s">
        <v>27945</v>
      </c>
      <c r="M77" s="361" t="s">
        <v>27945</v>
      </c>
      <c r="N77" s="361" t="s">
        <v>27945</v>
      </c>
    </row>
    <row r="78" spans="1:35" ht="14.25" hidden="1" x14ac:dyDescent="0.45">
      <c r="C78" s="357"/>
      <c r="D78" s="358" t="s">
        <v>28251</v>
      </c>
      <c r="E78" s="358" t="s">
        <v>28254</v>
      </c>
      <c r="F78" s="532"/>
      <c r="G78" s="361" t="s">
        <v>28252</v>
      </c>
      <c r="H78" s="361" t="s">
        <v>28253</v>
      </c>
      <c r="I78" s="1081"/>
      <c r="J78" s="358" t="s">
        <v>29712</v>
      </c>
      <c r="K78" s="358" t="s">
        <v>29713</v>
      </c>
      <c r="L78" s="1081"/>
      <c r="M78" s="361" t="s">
        <v>29719</v>
      </c>
      <c r="N78" s="361" t="s">
        <v>29720</v>
      </c>
    </row>
    <row r="79" spans="1:35" ht="13.9" thickTop="1" x14ac:dyDescent="0.35"/>
    <row r="83" spans="1:1" x14ac:dyDescent="0.35">
      <c r="A83" s="1082"/>
    </row>
  </sheetData>
  <sheetProtection algorithmName="SHA-512" hashValue="j4ZSSlQboGEV2KDtYNs4pmDTi+tElp0xGN5TukEfwZuc+qSCkijomUj4Cqu4kiEF6HjN7U4o8OiVMJBRYdiUUw==" saltValue="30LiHMrPCGEdpQFkl8Unuw==" spinCount="100000" sheet="1" objects="1" scenarios="1"/>
  <mergeCells count="18">
    <mergeCell ref="M14:N15"/>
    <mergeCell ref="D14:F15"/>
    <mergeCell ref="G14:I15"/>
    <mergeCell ref="J14:L15"/>
    <mergeCell ref="A67:A70"/>
    <mergeCell ref="D65:F65"/>
    <mergeCell ref="G65:I65"/>
    <mergeCell ref="J65:L65"/>
    <mergeCell ref="M65:O65"/>
    <mergeCell ref="T65:U65"/>
    <mergeCell ref="H47:J47"/>
    <mergeCell ref="B49:B50"/>
    <mergeCell ref="B51:B52"/>
    <mergeCell ref="A49:A50"/>
    <mergeCell ref="A53:A56"/>
    <mergeCell ref="B53:B54"/>
    <mergeCell ref="B55:B56"/>
    <mergeCell ref="P65:S65"/>
  </mergeCells>
  <phoneticPr fontId="101" type="noConversion"/>
  <conditionalFormatting sqref="D49:D57 H49:H57 D67:F75">
    <cfRule type="expression" dxfId="89" priority="4">
      <formula>IF(IND_DATA2223="N",1,0)</formula>
    </cfRule>
  </conditionalFormatting>
  <conditionalFormatting sqref="F49:G57">
    <cfRule type="expression" dxfId="88" priority="23">
      <formula>IF(AND(DCT="Y",$AF49=1),1,0)</formula>
    </cfRule>
  </conditionalFormatting>
  <conditionalFormatting sqref="G49:G57 E49:E57">
    <cfRule type="expression" dxfId="87" priority="408277">
      <formula>IF($AE49=1,1,0)</formula>
    </cfRule>
  </conditionalFormatting>
  <conditionalFormatting sqref="G17:I41 N17:N41 F49:F57 H49:H57 J49:J57 J67:L75 R67:S75 U67:U75">
    <cfRule type="expression" dxfId="86" priority="2">
      <formula>IF(DCT="N",1,0)</formula>
    </cfRule>
  </conditionalFormatting>
  <conditionalFormatting sqref="H17:H40 K17:K40">
    <cfRule type="expression" dxfId="85" priority="9">
      <formula>IF(AND(DCT="Y",$AF17=1),1,0)</formula>
    </cfRule>
  </conditionalFormatting>
  <conditionalFormatting sqref="I49:I57">
    <cfRule type="expression" dxfId="84" priority="24">
      <formula>IF($AB49=1,1,0)</formula>
    </cfRule>
  </conditionalFormatting>
  <conditionalFormatting sqref="J49:J57">
    <cfRule type="expression" dxfId="83" priority="18">
      <formula>IF(AND(DCT="Y",$AC49=1),1,0)</formula>
    </cfRule>
  </conditionalFormatting>
  <conditionalFormatting sqref="K17:K40 E17:E40">
    <cfRule type="expression" dxfId="82" priority="11">
      <formula>IF($AE17=1,1,0)</formula>
    </cfRule>
  </conditionalFormatting>
  <conditionalFormatting sqref="K67:K74 N67:N74">
    <cfRule type="expression" dxfId="81" priority="14">
      <formula>IF(AND(DCT="Y",$AI67=1),1,0)</formula>
    </cfRule>
  </conditionalFormatting>
  <conditionalFormatting sqref="M17:M40">
    <cfRule type="expression" dxfId="80" priority="10">
      <formula>IF($AB17&gt;0,1,0)</formula>
    </cfRule>
  </conditionalFormatting>
  <conditionalFormatting sqref="N17:N40">
    <cfRule type="expression" dxfId="79" priority="8">
      <formula>IF(AND(DCT="Y",$AC17&gt;0),1,0)</formula>
    </cfRule>
  </conditionalFormatting>
  <conditionalFormatting sqref="N67:N74 H67:H74">
    <cfRule type="expression" dxfId="78" priority="17">
      <formula>IF($AH67=1,1,0)</formula>
    </cfRule>
  </conditionalFormatting>
  <conditionalFormatting sqref="Q67:Q74">
    <cfRule type="expression" dxfId="77" priority="16">
      <formula>IF($AE67=1,1,0)</formula>
    </cfRule>
  </conditionalFormatting>
  <conditionalFormatting sqref="S67:S74">
    <cfRule type="expression" dxfId="76" priority="13">
      <formula>IF(AND(DCT="Y",$AF67=1),1,0)</formula>
    </cfRule>
  </conditionalFormatting>
  <conditionalFormatting sqref="T67:T74">
    <cfRule type="expression" dxfId="75" priority="15">
      <formula>IF($AB67&gt;0,1,0)</formula>
    </cfRule>
  </conditionalFormatting>
  <conditionalFormatting sqref="U67:U74">
    <cfRule type="expression" dxfId="74" priority="12">
      <formula>IF(AND(DCT="Y",$AC67&gt;0),1,0)</formula>
    </cfRule>
  </conditionalFormatting>
  <hyperlinks>
    <hyperlink ref="A8" r:id="rId1" display="Please see Appendix 4 for additional information about these tables and descriptions for any highlighting" xr:uid="{F63A0042-4721-404B-9121-7C26C07C8397}"/>
  </hyperlinks>
  <pageMargins left="0.70866141732283472" right="0.70866141732283472" top="0.74803149606299213" bottom="0.74803149606299213" header="0.31496062992125984" footer="0.31496062992125984"/>
  <pageSetup paperSize="9" scale="35" orientation="landscape" horizontalDpi="200" verticalDpi="200" r:id="rId2"/>
  <rowBreaks count="1" manualBreakCount="1">
    <brk id="4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theme="4" tint="0.39997558519241921"/>
    <pageSetUpPr fitToPage="1"/>
  </sheetPr>
  <dimension ref="A1:BC110"/>
  <sheetViews>
    <sheetView showGridLines="0" workbookViewId="0"/>
  </sheetViews>
  <sheetFormatPr defaultColWidth="9" defaultRowHeight="14.25" x14ac:dyDescent="0.45"/>
  <cols>
    <col min="1" max="1" width="19.86328125" style="1127" customWidth="1"/>
    <col min="2" max="2" width="12" style="1127" customWidth="1"/>
    <col min="3" max="3" width="19.86328125" style="1127" customWidth="1"/>
    <col min="4" max="4" width="12" style="1127" customWidth="1"/>
    <col min="5" max="15" width="11.86328125" style="1127" customWidth="1"/>
    <col min="16" max="16" width="10.1328125" style="1127" customWidth="1"/>
    <col min="17" max="17" width="10.1328125" style="1127" bestFit="1" customWidth="1"/>
    <col min="18" max="18" width="10.59765625" style="1127" customWidth="1"/>
    <col min="19" max="19" width="12.265625" style="1349" hidden="1" customWidth="1"/>
    <col min="20" max="20" width="9.59765625" style="1349" hidden="1" customWidth="1"/>
    <col min="21" max="21" width="9.59765625" style="1127" hidden="1" customWidth="1"/>
    <col min="22" max="22" width="13" style="1127" hidden="1" customWidth="1"/>
    <col min="23" max="23" width="12.1328125" style="1127" hidden="1" customWidth="1"/>
    <col min="24" max="24" width="12.86328125" style="1127" hidden="1" customWidth="1"/>
    <col min="25" max="25" width="11.86328125" style="1127" hidden="1" customWidth="1"/>
    <col min="26" max="26" width="10" style="1127" hidden="1" customWidth="1"/>
    <col min="27" max="27" width="11" style="1127" hidden="1" customWidth="1"/>
    <col min="28" max="28" width="11.1328125" style="1127" hidden="1" customWidth="1"/>
    <col min="29" max="29" width="11.3984375" style="1127" hidden="1" customWidth="1"/>
    <col min="30" max="30" width="11.86328125" style="1127" hidden="1" customWidth="1"/>
    <col min="31" max="34" width="9.59765625" style="1127" hidden="1" customWidth="1"/>
    <col min="35" max="35" width="9.59765625" style="1127" customWidth="1"/>
    <col min="36" max="36" width="9" style="1127" customWidth="1"/>
    <col min="37" max="16384" width="9" style="1127"/>
  </cols>
  <sheetData>
    <row r="1" spans="1:55" ht="25.15" x14ac:dyDescent="0.45">
      <c r="A1" s="636" t="s">
        <v>29794</v>
      </c>
      <c r="B1" s="516"/>
      <c r="C1" s="1396"/>
      <c r="D1" s="1396"/>
      <c r="E1" s="1396"/>
      <c r="F1" s="1396"/>
      <c r="G1" s="1396"/>
      <c r="H1" s="1396"/>
      <c r="I1" s="1396"/>
      <c r="J1" s="1396"/>
      <c r="K1" s="1396"/>
      <c r="L1" s="1396"/>
      <c r="M1" s="1396"/>
      <c r="N1" s="1396"/>
      <c r="O1" s="1396"/>
      <c r="P1" s="1396"/>
      <c r="Q1" s="1396"/>
      <c r="R1" s="1396"/>
      <c r="S1" s="1943"/>
      <c r="T1" s="1462"/>
      <c r="U1" s="1396"/>
      <c r="V1" s="1396"/>
      <c r="W1" s="1396"/>
      <c r="X1" s="1396"/>
      <c r="Y1" s="1396"/>
      <c r="Z1" s="1396"/>
      <c r="AA1" s="1396"/>
      <c r="AB1" s="1396"/>
      <c r="AC1" s="1396"/>
      <c r="AD1" s="1396"/>
      <c r="AE1" s="1396"/>
      <c r="AF1" s="1396"/>
      <c r="AG1" s="1396"/>
      <c r="AH1" s="1396"/>
      <c r="AI1" s="1396"/>
      <c r="AJ1" s="1396"/>
      <c r="AK1" s="1396"/>
      <c r="AL1" s="1396"/>
      <c r="AM1" s="1396"/>
      <c r="AN1" s="1396"/>
      <c r="AO1" s="1396"/>
      <c r="AP1" s="1396"/>
      <c r="AQ1" s="1396"/>
      <c r="AR1" s="1396"/>
      <c r="AS1" s="1396"/>
      <c r="AT1" s="1396"/>
      <c r="AU1" s="1396"/>
      <c r="AV1" s="1396"/>
      <c r="AW1" s="1396"/>
      <c r="AX1" s="1396"/>
      <c r="AY1" s="1396"/>
      <c r="AZ1" s="1396"/>
      <c r="BA1" s="1396"/>
      <c r="BB1" s="1396"/>
      <c r="BC1" s="1396"/>
    </row>
    <row r="2" spans="1:55" ht="25.5" customHeight="1" x14ac:dyDescent="0.45">
      <c r="A2" s="1385" t="str">
        <f>IF(PROVIDER="","Provider name",PROVIDER&amp;" ("&amp;UKPRN&amp;")")</f>
        <v>Provider name</v>
      </c>
      <c r="B2" s="516"/>
      <c r="C2" s="1396"/>
      <c r="D2" s="1396"/>
      <c r="E2" s="1396"/>
      <c r="F2" s="1396"/>
      <c r="G2" s="1396"/>
      <c r="H2" s="1396"/>
      <c r="I2" s="1396"/>
      <c r="J2" s="1396"/>
      <c r="K2" s="1396"/>
      <c r="L2" s="1396"/>
      <c r="M2" s="1396"/>
      <c r="N2" s="1396"/>
      <c r="O2" s="1396"/>
      <c r="P2" s="1396"/>
      <c r="Q2" s="1396"/>
      <c r="R2" s="1396"/>
      <c r="S2" s="1462"/>
      <c r="T2" s="1462"/>
      <c r="U2" s="1396"/>
      <c r="V2" s="1396"/>
      <c r="W2" s="1396"/>
      <c r="X2" s="1396"/>
      <c r="Y2" s="1396"/>
      <c r="Z2" s="1396"/>
      <c r="AA2" s="1396"/>
      <c r="AB2" s="1396"/>
      <c r="AC2" s="1396"/>
      <c r="AD2" s="1396"/>
      <c r="AE2" s="1396"/>
      <c r="AF2" s="1396"/>
      <c r="AG2" s="1396"/>
      <c r="AH2" s="1396"/>
      <c r="AI2" s="1396"/>
      <c r="AJ2" s="1396"/>
      <c r="AK2" s="1396"/>
      <c r="AL2" s="1396"/>
      <c r="AM2" s="1396"/>
      <c r="AN2" s="1396"/>
      <c r="AO2" s="1396"/>
      <c r="AP2" s="1396"/>
      <c r="AQ2" s="1396"/>
      <c r="AR2" s="1396"/>
      <c r="AS2" s="1396"/>
      <c r="AT2" s="1396"/>
      <c r="AU2" s="1396"/>
      <c r="AV2" s="1396"/>
      <c r="AW2" s="1396"/>
      <c r="AX2" s="1396"/>
      <c r="AY2" s="1396"/>
      <c r="AZ2" s="1396"/>
      <c r="BA2" s="1396"/>
      <c r="BB2" s="1396"/>
      <c r="BC2" s="1396"/>
    </row>
    <row r="3" spans="1:55" s="516" customFormat="1" ht="15" customHeight="1" x14ac:dyDescent="0.35">
      <c r="A3" s="1503" t="str">
        <f>IF(AND(DCT_DATE&lt;&gt;"",FEC=1),"The 20"&amp;(YEAR-1)&amp;"-"&amp;YEAR&amp;" Individualised data in these comparison tables is taken from the last data checking tool submission you made on: "&amp;DCT_DATE,IF(AND(DCT_DATE&lt;&gt;"",FEC&lt;&gt;1),"The 20"&amp;(YEAR-1)&amp;"-"&amp;YEAR&amp;" Individualised data in these comparison tables is taken from the most recent data checking tool submission you made prior to: "&amp;DCT_DATE,"The 20"&amp;(YEAR-1)&amp;"-"&amp;YEAR&amp;" Individualised data in these comparison tables is taken from the last data checking tool submission. As no upload has been made these are blank."))</f>
        <v>The 2023-24 Individualised data in these comparison tables is taken from the last data checking tool submission. As no upload has been made these are blank.</v>
      </c>
      <c r="S3" s="1350"/>
      <c r="T3" s="1350"/>
      <c r="V3" s="516" t="s">
        <v>27924</v>
      </c>
      <c r="W3" s="516" t="s">
        <v>27925</v>
      </c>
      <c r="AA3"/>
      <c r="AB3"/>
      <c r="AC3"/>
      <c r="AD3"/>
    </row>
    <row r="4" spans="1:55" s="516" customFormat="1" ht="15" customHeight="1" x14ac:dyDescent="0.35">
      <c r="A4" s="1506" t="str">
        <f>IF(FEC=1,"Individualised data (Ind. data) in these tables refers to the Individualised Learner Record (ILR).","Individualised data (Ind. data) in these tables refers to the Student or Student Alternative record.")</f>
        <v>Individualised data (Ind. data) in these tables refers to the Student or Student Alternative record.</v>
      </c>
      <c r="S4" s="1350"/>
      <c r="T4" s="1350"/>
    </row>
    <row r="5" spans="1:55" ht="15" customHeight="1" x14ac:dyDescent="0.45">
      <c r="A5" s="1506" t="s">
        <v>27927</v>
      </c>
      <c r="B5" s="516"/>
      <c r="C5" s="1396"/>
      <c r="D5" s="1396"/>
      <c r="E5" s="1396"/>
      <c r="F5" s="1396"/>
      <c r="G5" s="1396"/>
      <c r="H5" s="1396"/>
      <c r="I5" s="1396"/>
      <c r="J5" s="1396"/>
      <c r="K5" s="1396"/>
      <c r="L5" s="1396"/>
      <c r="M5" s="1396"/>
      <c r="N5" s="1396"/>
      <c r="O5" s="1396"/>
      <c r="P5" s="1396"/>
      <c r="Q5" s="1396"/>
      <c r="R5" s="1396"/>
      <c r="S5" s="1462"/>
      <c r="T5" s="1462"/>
      <c r="U5" s="1396"/>
      <c r="V5" s="1918">
        <f>IF(U14&gt;0,1,0)</f>
        <v>0</v>
      </c>
      <c r="W5" s="1918">
        <f>IF(U63&gt;0,1,0)</f>
        <v>0</v>
      </c>
      <c r="X5" s="1396"/>
      <c r="Y5" s="1396"/>
      <c r="Z5" s="1396"/>
      <c r="AA5" s="1396"/>
      <c r="AB5" s="1396"/>
      <c r="AC5" s="1396"/>
      <c r="AD5" s="1396"/>
      <c r="AE5" s="1396"/>
      <c r="AF5" s="1396"/>
      <c r="AG5" s="1396"/>
      <c r="AH5" s="1396"/>
      <c r="AI5" s="1396"/>
      <c r="AJ5" s="1396"/>
      <c r="AK5" s="1396"/>
      <c r="AL5" s="1396"/>
      <c r="AM5" s="1396"/>
      <c r="AN5" s="1396"/>
      <c r="AO5" s="1396"/>
      <c r="AP5" s="1396"/>
      <c r="AQ5" s="1396"/>
      <c r="AR5" s="1396"/>
      <c r="AS5" s="1396"/>
      <c r="AT5" s="1396"/>
      <c r="AU5" s="1396"/>
      <c r="AV5" s="1396"/>
      <c r="AW5" s="1396"/>
      <c r="AX5" s="1396"/>
      <c r="AY5" s="1396"/>
      <c r="AZ5" s="1396"/>
      <c r="BA5" s="1396"/>
      <c r="BB5" s="1396"/>
      <c r="BC5" s="1396"/>
    </row>
    <row r="6" spans="1:55" ht="15" customHeight="1" x14ac:dyDescent="0.45">
      <c r="A6" s="1508" t="str">
        <f>"Orange highlighting indicates a substantial change between 20"&amp;(YEAR-1)&amp;"-"&amp;YEAR&amp;" Individualised data and HESES"&amp;YEAR&amp;"."</f>
        <v>Orange highlighting indicates a substantial change between 2023-24 Individualised data and HESES24.</v>
      </c>
      <c r="B6" s="1116"/>
      <c r="C6" s="1396"/>
      <c r="D6" s="1396"/>
      <c r="E6" s="1396"/>
      <c r="F6" s="1396"/>
      <c r="G6" s="1396"/>
      <c r="H6" s="1396"/>
      <c r="I6" s="1396"/>
      <c r="J6" s="515"/>
      <c r="K6" s="1396"/>
      <c r="L6" s="1396"/>
      <c r="M6" s="1396"/>
      <c r="N6" s="1396"/>
      <c r="O6" s="1396"/>
      <c r="P6" s="1396"/>
      <c r="Q6" s="1396"/>
      <c r="R6" s="1396"/>
      <c r="S6" s="1462"/>
      <c r="T6" s="1462"/>
      <c r="U6" s="1396"/>
      <c r="V6" s="1396"/>
      <c r="W6" s="1396"/>
      <c r="X6" s="1396"/>
      <c r="Y6" s="1396"/>
      <c r="Z6" s="1396"/>
      <c r="AA6" s="1396"/>
      <c r="AB6" s="1396"/>
      <c r="AC6" s="1396"/>
      <c r="AD6" s="1396"/>
      <c r="AE6" s="1396"/>
      <c r="AF6" s="1396"/>
      <c r="AG6" s="1396"/>
      <c r="AH6" s="1396"/>
      <c r="AI6" s="1396"/>
      <c r="AJ6" s="1396"/>
      <c r="AK6" s="1396"/>
      <c r="AL6" s="1396"/>
      <c r="AM6" s="1396"/>
      <c r="AN6" s="1396"/>
      <c r="AO6" s="1396"/>
      <c r="AP6" s="1396"/>
      <c r="AQ6" s="1396"/>
      <c r="AR6" s="1396"/>
      <c r="AS6" s="1396"/>
      <c r="AT6" s="1396"/>
      <c r="AU6" s="1396"/>
      <c r="AV6" s="1396"/>
      <c r="AW6" s="1396"/>
      <c r="AX6" s="1396"/>
      <c r="AY6" s="1396"/>
      <c r="AZ6" s="1396"/>
      <c r="BA6" s="1396"/>
      <c r="BB6" s="1396"/>
      <c r="BC6" s="1396"/>
    </row>
    <row r="7" spans="1:55" ht="15" customHeight="1" x14ac:dyDescent="0.45">
      <c r="A7" s="1508" t="str">
        <f>"Yellow highlighting indicates a substantial change between HESES"&amp;(YEAR-1)&amp;" and HESES"&amp;YEAR&amp;"."</f>
        <v>Yellow highlighting indicates a substantial change between HESES23 and HESES24.</v>
      </c>
      <c r="B7" s="1116"/>
      <c r="C7" s="1396"/>
      <c r="D7" s="1396"/>
      <c r="E7" s="1396"/>
      <c r="F7" s="1396"/>
      <c r="G7" s="1396"/>
      <c r="H7" s="1396"/>
      <c r="I7" s="1396"/>
      <c r="J7" s="1396"/>
      <c r="K7" s="1396"/>
      <c r="L7" s="1396"/>
      <c r="M7" s="1396"/>
      <c r="N7" s="1396"/>
      <c r="O7" s="1396"/>
      <c r="P7" s="1396"/>
      <c r="Q7" s="1396"/>
      <c r="R7" s="1396"/>
      <c r="S7" s="1462"/>
      <c r="T7" s="1462"/>
      <c r="U7" s="1396"/>
      <c r="V7" s="1396"/>
      <c r="W7" s="1396"/>
      <c r="X7" s="1396"/>
      <c r="Y7" s="1396"/>
      <c r="Z7" s="1396"/>
      <c r="AA7" s="1396"/>
      <c r="AB7" s="1396"/>
      <c r="AC7" s="1396"/>
      <c r="AD7" s="1396"/>
      <c r="AE7" s="1396"/>
      <c r="AF7" s="1396"/>
      <c r="AG7" s="1396"/>
      <c r="AH7" s="1396"/>
      <c r="AI7" s="1396"/>
      <c r="AJ7" s="1396"/>
      <c r="AK7" s="1396"/>
      <c r="AL7" s="1396"/>
      <c r="AM7" s="1396"/>
      <c r="AN7" s="1396"/>
      <c r="AO7" s="1396"/>
      <c r="AP7" s="1396"/>
      <c r="AQ7" s="1396"/>
      <c r="AR7" s="1396"/>
      <c r="AS7" s="1396"/>
      <c r="AT7" s="1396"/>
      <c r="AU7" s="1396"/>
      <c r="AV7" s="1396"/>
      <c r="AW7" s="1396"/>
      <c r="AX7" s="1396"/>
      <c r="AY7" s="1396"/>
      <c r="AZ7" s="1396"/>
      <c r="BA7" s="1396"/>
      <c r="BB7" s="1396"/>
      <c r="BC7" s="1396"/>
    </row>
    <row r="8" spans="1:55" ht="15" customHeight="1" x14ac:dyDescent="0.45">
      <c r="A8" s="1513" t="s">
        <v>29196</v>
      </c>
      <c r="B8" s="1050"/>
      <c r="C8" s="1396"/>
      <c r="D8" s="1396"/>
      <c r="E8" s="1396"/>
      <c r="F8" s="1396"/>
      <c r="G8" s="1396"/>
      <c r="H8" s="1396"/>
      <c r="I8" s="1396"/>
      <c r="J8" s="1396"/>
      <c r="K8" s="1396"/>
      <c r="L8" s="1396"/>
      <c r="M8" s="1396"/>
      <c r="N8" s="1396"/>
      <c r="O8" s="1396"/>
      <c r="P8" s="1396"/>
      <c r="Q8" s="1396"/>
      <c r="R8" s="1396"/>
      <c r="S8" s="1462"/>
      <c r="T8" s="1462"/>
      <c r="U8" s="1396"/>
      <c r="V8" s="1396"/>
      <c r="W8" s="1396"/>
      <c r="X8" s="1396"/>
      <c r="Y8" s="1396"/>
      <c r="Z8" s="1396"/>
      <c r="AA8" s="1396"/>
      <c r="AB8" s="1396"/>
      <c r="AC8" s="1396"/>
      <c r="AD8" s="1396"/>
      <c r="AE8" s="1396"/>
      <c r="AF8" s="1396"/>
      <c r="AG8" s="1396"/>
      <c r="AH8" s="1396"/>
      <c r="AI8" s="1396"/>
      <c r="AJ8" s="1396"/>
      <c r="AK8" s="1396"/>
      <c r="AL8" s="1396"/>
      <c r="AM8" s="1396"/>
      <c r="AN8" s="1396"/>
      <c r="AO8" s="1396"/>
      <c r="AP8" s="1396"/>
      <c r="AQ8" s="1396"/>
      <c r="AR8" s="1396"/>
      <c r="AS8" s="1396"/>
      <c r="AT8" s="1396"/>
      <c r="AU8" s="1396"/>
      <c r="AV8" s="1396"/>
      <c r="AW8" s="1396"/>
      <c r="AX8" s="1396"/>
      <c r="AY8" s="1396"/>
      <c r="AZ8" s="1396"/>
      <c r="BA8" s="1396"/>
      <c r="BB8" s="1396"/>
      <c r="BC8" s="1396"/>
    </row>
    <row r="9" spans="1:55" ht="15" customHeight="1" x14ac:dyDescent="0.45">
      <c r="A9" s="679" t="s">
        <v>27969</v>
      </c>
      <c r="B9" s="1050"/>
      <c r="C9" s="1396"/>
      <c r="D9" s="1396"/>
      <c r="E9" s="1396"/>
      <c r="F9" s="1396"/>
      <c r="G9" s="1396"/>
      <c r="H9" s="1396"/>
      <c r="I9" s="1396"/>
      <c r="J9" s="1396"/>
      <c r="K9" s="1396"/>
      <c r="L9" s="1396"/>
      <c r="M9" s="1396"/>
      <c r="N9" s="1396"/>
      <c r="O9" s="1396"/>
      <c r="P9" s="1396"/>
      <c r="Q9" s="1396"/>
      <c r="R9" s="1396"/>
      <c r="S9" s="1462"/>
      <c r="T9" s="1462"/>
      <c r="U9" s="1396"/>
      <c r="V9" s="1396"/>
      <c r="W9" s="1396"/>
      <c r="X9" s="1396"/>
      <c r="Y9" s="1396"/>
      <c r="Z9" s="1396"/>
      <c r="AA9" s="1396"/>
      <c r="AB9" s="1396"/>
      <c r="AC9" s="1396"/>
      <c r="AD9" s="1396"/>
      <c r="AE9" s="1396"/>
      <c r="AF9" s="1396"/>
      <c r="AG9" s="1396"/>
      <c r="AH9" s="1396"/>
      <c r="AI9" s="1396"/>
      <c r="AJ9" s="1396"/>
      <c r="AK9" s="1396"/>
      <c r="AL9" s="1396"/>
      <c r="AM9" s="1396"/>
      <c r="AN9" s="1396"/>
      <c r="AO9" s="1396"/>
      <c r="AP9" s="1396"/>
      <c r="AQ9" s="1396"/>
      <c r="AR9" s="1396"/>
      <c r="AS9" s="1396"/>
      <c r="AT9" s="1396"/>
      <c r="AU9" s="1396"/>
      <c r="AV9" s="1396"/>
      <c r="AW9" s="1396"/>
      <c r="AX9" s="1396"/>
      <c r="AY9" s="1396"/>
      <c r="AZ9" s="1396"/>
      <c r="BA9" s="1396"/>
      <c r="BB9" s="1396"/>
      <c r="BC9" s="1396"/>
    </row>
    <row r="10" spans="1:55" ht="18.75" customHeight="1" x14ac:dyDescent="0.45">
      <c r="A10" s="1082"/>
      <c r="B10" s="1082"/>
      <c r="C10" s="1152"/>
      <c r="D10" s="1155"/>
      <c r="E10" s="1155"/>
      <c r="F10" s="1155"/>
      <c r="G10" s="1155"/>
      <c r="H10" s="1155"/>
      <c r="I10" s="1155"/>
      <c r="J10" s="1154"/>
      <c r="K10" s="1154"/>
      <c r="L10" s="1154"/>
      <c r="M10" s="1154"/>
      <c r="N10" s="1154"/>
      <c r="O10" s="1154"/>
      <c r="P10" s="1154"/>
      <c r="Q10" s="1154"/>
      <c r="R10" s="1396"/>
      <c r="S10" s="1462"/>
      <c r="T10" s="1462"/>
      <c r="U10" s="1396"/>
      <c r="V10" s="1396"/>
      <c r="W10" s="1396"/>
      <c r="X10" s="1396"/>
      <c r="Y10" s="1396"/>
      <c r="Z10" s="1396"/>
      <c r="AA10" s="1396"/>
      <c r="AB10" s="1396"/>
      <c r="AC10" s="1396"/>
      <c r="AD10" s="1396"/>
      <c r="AE10" s="1396"/>
      <c r="AF10" s="1396"/>
      <c r="AG10" s="1396"/>
      <c r="AH10" s="1396"/>
      <c r="AI10" s="1396"/>
      <c r="AJ10" s="1396"/>
      <c r="AK10" s="1396"/>
      <c r="AL10" s="1396"/>
      <c r="AM10" s="1396"/>
      <c r="AN10" s="1396"/>
      <c r="AO10" s="1396"/>
      <c r="AP10" s="1396"/>
      <c r="AQ10" s="1396"/>
      <c r="AR10" s="1396"/>
      <c r="AS10" s="1396"/>
      <c r="AT10" s="1396"/>
      <c r="AU10" s="1396"/>
      <c r="AV10" s="1396"/>
      <c r="AW10" s="1396"/>
      <c r="AX10" s="1396"/>
      <c r="AY10" s="1396"/>
      <c r="AZ10" s="1396"/>
      <c r="BA10" s="1396"/>
      <c r="BB10" s="1396"/>
      <c r="BC10" s="1396"/>
    </row>
    <row r="11" spans="1:55" ht="17.649999999999999" x14ac:dyDescent="0.45">
      <c r="A11" s="637" t="s">
        <v>28327</v>
      </c>
      <c r="B11" s="1082"/>
      <c r="C11" s="1152"/>
      <c r="D11" s="1155"/>
      <c r="E11" s="1155"/>
      <c r="F11" s="1155"/>
      <c r="G11" s="1155"/>
      <c r="H11" s="1155"/>
      <c r="I11" s="1155"/>
      <c r="J11" s="1154"/>
      <c r="K11" s="1154"/>
      <c r="L11" s="1154"/>
      <c r="M11" s="1154"/>
      <c r="N11" s="1154"/>
      <c r="O11" s="1154"/>
      <c r="P11" s="1154"/>
      <c r="Q11" s="1154"/>
      <c r="R11" s="1396"/>
      <c r="S11" s="1462"/>
      <c r="T11" s="1462"/>
      <c r="U11" s="1396"/>
      <c r="V11" s="1396"/>
      <c r="W11" s="1396"/>
      <c r="X11" s="1396"/>
      <c r="Y11" s="1396"/>
      <c r="Z11" s="1396"/>
      <c r="AA11" s="1396"/>
      <c r="AB11" s="1396"/>
      <c r="AC11" s="1396"/>
      <c r="AD11" s="1396"/>
      <c r="AE11" s="1396"/>
      <c r="AF11" s="1396"/>
      <c r="AG11" s="1396"/>
      <c r="AH11" s="1396"/>
      <c r="AI11" s="1396"/>
      <c r="AJ11" s="1396"/>
      <c r="AK11" s="1396"/>
      <c r="AL11" s="1396"/>
      <c r="AM11" s="1396"/>
      <c r="AN11" s="1396"/>
      <c r="AO11" s="1396"/>
      <c r="AP11" s="1396"/>
      <c r="AQ11" s="1396"/>
      <c r="AR11" s="1396"/>
      <c r="AS11" s="1396"/>
      <c r="AT11" s="1396"/>
      <c r="AU11" s="1396"/>
      <c r="AV11" s="1396"/>
      <c r="AW11" s="1396"/>
      <c r="AX11" s="1396"/>
      <c r="AY11" s="1396"/>
      <c r="AZ11" s="1396"/>
      <c r="BA11" s="1396"/>
      <c r="BB11" s="1396"/>
      <c r="BC11" s="1396"/>
    </row>
    <row r="12" spans="1:55" ht="20.25" customHeight="1" thickBot="1" x14ac:dyDescent="0.5">
      <c r="A12" s="1030" t="s">
        <v>27970</v>
      </c>
      <c r="B12" s="1082"/>
      <c r="C12" s="1152"/>
      <c r="D12" s="1155"/>
      <c r="E12" s="1155"/>
      <c r="F12" s="1155"/>
      <c r="G12" s="1155"/>
      <c r="H12" s="1155"/>
      <c r="I12" s="1155"/>
      <c r="J12" s="1154"/>
      <c r="K12" s="1154"/>
      <c r="L12" s="1154"/>
      <c r="M12" s="1154"/>
      <c r="N12" s="1154"/>
      <c r="O12" s="1154"/>
      <c r="P12" s="1154"/>
      <c r="Q12" s="1154"/>
      <c r="R12" s="1396"/>
      <c r="S12" s="1462"/>
      <c r="T12" s="1462"/>
      <c r="U12" s="1396"/>
      <c r="V12" s="1396"/>
      <c r="W12" s="1396"/>
      <c r="X12" s="1396"/>
      <c r="Y12" s="1396"/>
      <c r="Z12" s="1396"/>
      <c r="AA12" s="1396"/>
      <c r="AB12" s="1396"/>
      <c r="AC12" s="1396"/>
      <c r="AD12" s="1396"/>
      <c r="AE12" s="1396"/>
      <c r="AF12" s="1396"/>
      <c r="AG12" s="1396"/>
      <c r="AH12" s="1396"/>
      <c r="AI12" s="1396"/>
      <c r="AJ12" s="1396"/>
      <c r="AK12" s="1396"/>
      <c r="AL12" s="1396"/>
      <c r="AM12" s="1396"/>
      <c r="AN12" s="1396"/>
      <c r="AO12" s="1396"/>
      <c r="AP12" s="1396"/>
      <c r="AQ12" s="1396"/>
      <c r="AR12" s="1396"/>
      <c r="AS12" s="1396"/>
      <c r="AT12" s="1396"/>
      <c r="AU12" s="1396"/>
      <c r="AV12" s="1396"/>
      <c r="AW12" s="1396"/>
      <c r="AX12" s="1396"/>
      <c r="AY12" s="1396"/>
      <c r="AZ12" s="1396"/>
      <c r="BA12" s="1396"/>
      <c r="BB12" s="1396"/>
      <c r="BC12" s="1396"/>
    </row>
    <row r="13" spans="1:55" x14ac:dyDescent="0.45">
      <c r="A13" s="1124"/>
      <c r="B13" s="1125"/>
      <c r="C13" s="1126"/>
      <c r="D13" s="3489" t="str">
        <f>"20"&amp;YEAR-2&amp;"-"&amp;YEAR-1&amp;" Ind. data"</f>
        <v>2022-23 Ind. data</v>
      </c>
      <c r="E13" s="3490"/>
      <c r="F13" s="3489" t="str">
        <f>"HESES"&amp;YEAR-1</f>
        <v>HESES23</v>
      </c>
      <c r="G13" s="3493"/>
      <c r="H13" s="3495" t="str">
        <f>"20"&amp;YEAR-1&amp;"-"&amp;YEAR&amp;" Ind. data"</f>
        <v>2023-24 Ind. data</v>
      </c>
      <c r="I13" s="3490"/>
      <c r="J13" s="3489" t="str">
        <f>"HESES"&amp;YEAR</f>
        <v>HESES24</v>
      </c>
      <c r="K13" s="3490"/>
      <c r="L13" s="3502" t="s">
        <v>27951</v>
      </c>
      <c r="M13" s="3503"/>
      <c r="N13" s="3503"/>
      <c r="O13" s="3503"/>
      <c r="P13" s="1156"/>
      <c r="Q13" s="1156"/>
      <c r="R13" s="1396"/>
      <c r="S13" s="1462"/>
      <c r="T13" s="1462"/>
      <c r="U13" s="2232" t="s">
        <v>43</v>
      </c>
      <c r="V13" s="1396">
        <v>1</v>
      </c>
      <c r="W13" s="1396">
        <v>1</v>
      </c>
      <c r="X13" s="1396"/>
      <c r="Y13" s="1396"/>
      <c r="Z13" s="1396"/>
      <c r="AA13" s="1396">
        <v>3</v>
      </c>
      <c r="AB13" s="1396"/>
      <c r="AC13" s="1396"/>
      <c r="AD13" s="1396"/>
      <c r="AE13" s="1396"/>
      <c r="AF13" s="1396"/>
      <c r="AG13" s="1396"/>
      <c r="AH13" s="1396"/>
      <c r="AI13" s="1396"/>
      <c r="AJ13" s="1396"/>
      <c r="AK13" s="1396"/>
      <c r="AL13" s="1396"/>
      <c r="AM13" s="1396"/>
      <c r="AN13" s="1396"/>
      <c r="AO13" s="1396"/>
      <c r="AP13" s="1396"/>
      <c r="AQ13" s="1396"/>
      <c r="AR13" s="1396"/>
      <c r="AS13" s="1396"/>
      <c r="AT13" s="1396"/>
      <c r="AU13" s="1396"/>
      <c r="AV13" s="1396"/>
      <c r="AW13" s="1396"/>
      <c r="AX13" s="1396"/>
      <c r="AY13" s="1396"/>
      <c r="AZ13" s="1396"/>
      <c r="BA13" s="1396"/>
      <c r="BB13" s="1396"/>
      <c r="BC13" s="1396"/>
    </row>
    <row r="14" spans="1:55" ht="42.75" customHeight="1" x14ac:dyDescent="0.45">
      <c r="A14" s="1128"/>
      <c r="B14" s="1128"/>
      <c r="C14" s="1564"/>
      <c r="D14" s="3491"/>
      <c r="E14" s="3492"/>
      <c r="F14" s="3491"/>
      <c r="G14" s="3494"/>
      <c r="H14" s="3496"/>
      <c r="I14" s="3492"/>
      <c r="J14" s="3491"/>
      <c r="K14" s="3492"/>
      <c r="L14" s="3505" t="str">
        <f>"HESES"&amp;YEAR-1&amp;" 
starters in 20"&amp;YEAR-1&amp;"-"&amp;YEAR&amp;"
and
HESES"&amp;YEAR&amp;" 
starters in 20"&amp;YEAR&amp;"-"&amp;YEAR+1</f>
        <v>HESES23 
starters in 2023-24
and
HESES24 
starters in 2024-25</v>
      </c>
      <c r="M14" s="3506"/>
      <c r="N14" s="3506" t="str">
        <f>"20"&amp;YEAR-1&amp;"-"&amp;YEAR&amp;" Ind. data
starters in 20"&amp;YEAR-1&amp;"-"&amp;YEAR&amp;"
and
HESES"&amp;YEAR&amp;" 
starters in 20"&amp;YEAR&amp;"-"&amp;YEAR+1</f>
        <v>2023-24 Ind. data
starters in 2023-24
and
HESES24 
starters in 2024-25</v>
      </c>
      <c r="O14" s="3506"/>
      <c r="P14" s="1157"/>
      <c r="Q14" s="1157"/>
      <c r="R14" s="1396"/>
      <c r="S14" s="1462"/>
      <c r="T14" s="1462"/>
      <c r="U14" s="1396">
        <f>IF(SUM(V17:Y53,AA17:AD53)&gt;0,1,0)</f>
        <v>0</v>
      </c>
      <c r="V14" s="1944">
        <v>0.1</v>
      </c>
      <c r="W14" s="1945">
        <v>20</v>
      </c>
      <c r="X14" s="1396"/>
      <c r="Y14" s="1396"/>
      <c r="Z14" s="1396"/>
      <c r="AA14" s="1946">
        <v>10</v>
      </c>
      <c r="AB14" s="1396"/>
      <c r="AC14" s="1396"/>
      <c r="AD14" s="1396"/>
      <c r="AE14" s="1396"/>
      <c r="AF14" s="1396"/>
      <c r="AG14" s="1396"/>
      <c r="AH14" s="1396"/>
      <c r="AI14" s="1396"/>
      <c r="AJ14" s="1396"/>
      <c r="AK14" s="1396"/>
      <c r="AL14" s="1396"/>
      <c r="AM14" s="1396"/>
      <c r="AN14" s="1396"/>
      <c r="AO14" s="1396"/>
      <c r="AP14" s="1396"/>
      <c r="AQ14" s="1396"/>
      <c r="AR14" s="1396"/>
      <c r="AS14" s="1396"/>
      <c r="AT14" s="1396"/>
      <c r="AU14" s="1396"/>
      <c r="AV14" s="1396"/>
      <c r="AW14" s="1396"/>
      <c r="AX14" s="1396"/>
      <c r="AY14" s="1396"/>
      <c r="AZ14" s="1396"/>
      <c r="BA14" s="1396"/>
      <c r="BB14" s="1396"/>
      <c r="BC14" s="1396"/>
    </row>
    <row r="15" spans="1:55" ht="29.25" customHeight="1" x14ac:dyDescent="0.45">
      <c r="A15" s="1128"/>
      <c r="B15" s="1128"/>
      <c r="C15" s="1564"/>
      <c r="D15" s="3497" t="str">
        <f>"Starters in 20"&amp;YEAR-2&amp;"-"&amp;YEAR-1</f>
        <v>Starters in 2022-23</v>
      </c>
      <c r="E15" s="3498"/>
      <c r="F15" s="3497" t="str">
        <f>"Starters in 20"&amp;YEAR-1&amp;"-"&amp;YEAR</f>
        <v>Starters in 2023-24</v>
      </c>
      <c r="G15" s="3499"/>
      <c r="H15" s="3500" t="str">
        <f>"Starters in 20"&amp;YEAR-1&amp;"-"&amp;YEAR</f>
        <v>Starters in 2023-24</v>
      </c>
      <c r="I15" s="3498"/>
      <c r="J15" s="3500" t="str">
        <f>"Starters in 20"&amp;YEAR&amp;"-"&amp;YEAR+1</f>
        <v>Starters in 2024-25</v>
      </c>
      <c r="K15" s="3498"/>
      <c r="L15" s="3507"/>
      <c r="M15" s="3508"/>
      <c r="N15" s="3508"/>
      <c r="O15" s="3508"/>
      <c r="P15" s="1396"/>
      <c r="Q15" s="1396"/>
      <c r="R15" s="1396"/>
      <c r="S15" s="1462"/>
      <c r="T15" s="1462"/>
      <c r="U15" s="1396"/>
      <c r="V15" s="1396"/>
      <c r="W15" s="1396"/>
      <c r="X15" s="1396"/>
      <c r="Y15" s="1396"/>
      <c r="Z15" s="1396"/>
      <c r="AA15" s="1396"/>
      <c r="AB15" s="1396"/>
      <c r="AC15" s="1396"/>
      <c r="AD15" s="1396"/>
      <c r="AE15" s="1396"/>
      <c r="AF15" s="1396"/>
      <c r="AG15" s="1396"/>
      <c r="AH15" s="1396"/>
      <c r="AI15" s="1396"/>
      <c r="AJ15" s="1396"/>
      <c r="AK15" s="1396"/>
      <c r="AL15" s="1396"/>
      <c r="AM15" s="1396"/>
      <c r="AN15" s="1396"/>
      <c r="AO15" s="1396"/>
      <c r="AP15" s="1396"/>
      <c r="AQ15" s="1396"/>
      <c r="AR15" s="1396"/>
      <c r="AS15" s="1396"/>
      <c r="AT15" s="1396"/>
      <c r="AU15" s="1396"/>
      <c r="AV15" s="1396"/>
      <c r="AW15" s="1396"/>
      <c r="AX15" s="1396"/>
      <c r="AY15" s="1396"/>
      <c r="AZ15" s="1396"/>
      <c r="BA15" s="1396"/>
      <c r="BB15" s="1396"/>
      <c r="BC15" s="1396"/>
    </row>
    <row r="16" spans="1:55" ht="30" customHeight="1" x14ac:dyDescent="0.45">
      <c r="A16" s="1128" t="s">
        <v>27840</v>
      </c>
      <c r="B16" s="1128"/>
      <c r="C16" s="1564" t="s">
        <v>57</v>
      </c>
      <c r="D16" s="1673" t="s">
        <v>27960</v>
      </c>
      <c r="E16" s="1130" t="s">
        <v>191</v>
      </c>
      <c r="F16" s="1673" t="s">
        <v>27960</v>
      </c>
      <c r="G16" s="2131" t="s">
        <v>191</v>
      </c>
      <c r="H16" s="1158" t="s">
        <v>27960</v>
      </c>
      <c r="I16" s="1130" t="s">
        <v>191</v>
      </c>
      <c r="J16" s="1673" t="s">
        <v>27960</v>
      </c>
      <c r="K16" s="1130" t="s">
        <v>191</v>
      </c>
      <c r="L16" s="1131" t="s">
        <v>27960</v>
      </c>
      <c r="M16" s="1131" t="s">
        <v>191</v>
      </c>
      <c r="N16" s="2131" t="s">
        <v>189</v>
      </c>
      <c r="O16" s="2142" t="s">
        <v>191</v>
      </c>
      <c r="P16" s="1396"/>
      <c r="Q16" s="1396"/>
      <c r="R16" s="1396"/>
      <c r="S16" s="1463" t="s">
        <v>27841</v>
      </c>
      <c r="T16" s="1463" t="s">
        <v>314</v>
      </c>
      <c r="U16" s="1396"/>
      <c r="V16" s="1464" t="s">
        <v>29708</v>
      </c>
      <c r="W16" s="1464" t="s">
        <v>29709</v>
      </c>
      <c r="X16" s="1464" t="s">
        <v>29715</v>
      </c>
      <c r="Y16" s="1464" t="s">
        <v>29716</v>
      </c>
      <c r="Z16" s="1465"/>
      <c r="AA16" s="1464" t="s">
        <v>29708</v>
      </c>
      <c r="AB16" s="1464" t="s">
        <v>29709</v>
      </c>
      <c r="AC16" s="1464" t="s">
        <v>29715</v>
      </c>
      <c r="AD16" s="1464" t="s">
        <v>29716</v>
      </c>
      <c r="AE16" s="1396"/>
      <c r="AF16" s="1396"/>
      <c r="AG16" s="1396"/>
      <c r="AH16" s="372"/>
      <c r="AI16" s="372"/>
      <c r="AJ16" s="1396"/>
      <c r="AK16" s="1396"/>
      <c r="AL16" s="1396"/>
      <c r="AM16" s="1396"/>
      <c r="AN16" s="1396"/>
      <c r="AO16" s="1396"/>
      <c r="AP16" s="1396"/>
      <c r="AQ16" s="1396"/>
      <c r="AR16" s="1396"/>
      <c r="AS16" s="1396"/>
      <c r="AT16" s="1396"/>
      <c r="AU16" s="1396"/>
      <c r="AV16" s="1396"/>
      <c r="AW16" s="1396"/>
      <c r="AX16" s="1396"/>
      <c r="AY16" s="1396"/>
      <c r="AZ16" s="1396"/>
      <c r="BA16" s="1396"/>
      <c r="BB16" s="1396"/>
      <c r="BC16" s="1396"/>
    </row>
    <row r="17" spans="1:55" x14ac:dyDescent="0.45">
      <c r="A17" s="1466" t="s">
        <v>27842</v>
      </c>
      <c r="B17" s="1466"/>
      <c r="C17" s="1565" t="s">
        <v>27769</v>
      </c>
      <c r="D17" s="1947">
        <v>0</v>
      </c>
      <c r="E17" s="1948">
        <v>0</v>
      </c>
      <c r="F17" s="1947">
        <v>0</v>
      </c>
      <c r="G17" s="1132">
        <v>0</v>
      </c>
      <c r="H17" s="2135">
        <v>0</v>
      </c>
      <c r="I17" s="1948">
        <v>0</v>
      </c>
      <c r="J17" s="1947">
        <f>SUM('6a_Health_full_time'!F13,'6a_Health_full_time'!I13,'6a_Health_full_time'!F15,'6a_Health_full_time'!I15)</f>
        <v>0</v>
      </c>
      <c r="K17" s="1948">
        <f>SUM('6c_Health_part_time'!F13,'6c_Health_part_time'!I13,'6c_Health_part_time'!F15,'6c_Health_part_time'!I15)</f>
        <v>0</v>
      </c>
      <c r="L17" s="1133">
        <f>IF(F17&gt;0,(J17-F17)/F17,0)</f>
        <v>0</v>
      </c>
      <c r="M17" s="1133">
        <f>IF(G17&gt;0,(K17-G17)/G17,0)</f>
        <v>0</v>
      </c>
      <c r="N17" s="1134">
        <f>IF(H17&gt;0,(J17-H17)/H17,0)</f>
        <v>0</v>
      </c>
      <c r="O17" s="1134">
        <f>IF(I17&gt;0,(K17-I17)/I17,0)</f>
        <v>0</v>
      </c>
      <c r="P17" s="1396"/>
      <c r="Q17" s="1396"/>
      <c r="R17" s="1396"/>
      <c r="S17" s="1467" t="s">
        <v>27843</v>
      </c>
      <c r="T17" s="1467" t="s">
        <v>27826</v>
      </c>
      <c r="U17" s="1396"/>
      <c r="V17" s="1946">
        <f>IF(AND(ABS(L17)&gt;$V$14,F17&gt;0,ABS((J17-F17))&gt;$W$14),1,0)</f>
        <v>0</v>
      </c>
      <c r="W17" s="1946">
        <f>IF(AND(ABS(M17)&gt;$V$14,G17&gt;0,ABS((K17-G17))&gt;$W$14),1,0)</f>
        <v>0</v>
      </c>
      <c r="X17" s="1946">
        <f>IF(AND(DCT="Y",ABS(N17)&gt;$V$14,H17&gt;0,ABS((J17-H17))&gt;$W$14),1,0)</f>
        <v>0</v>
      </c>
      <c r="Y17" s="1946">
        <f>IF(AND(DCT="Y",ABS(O17)&gt;$V$14,I17&gt;0,ABS((K17-I17))&gt;$W$14),1,0)</f>
        <v>0</v>
      </c>
      <c r="Z17" s="1396"/>
      <c r="AA17" s="1946">
        <f>IF(OR(AND(F17=0,$J17&gt;$AA$14),AND($J17=0,F17&gt;$AA$14)),1,0)</f>
        <v>0</v>
      </c>
      <c r="AB17" s="1946">
        <f>IF(OR(AND(G17=0,$K17&gt;$AA$14),AND($K17=0,G17&gt;$AA$14)),1,0)</f>
        <v>0</v>
      </c>
      <c r="AC17" s="1946">
        <f>IF(OR(AND(DCT="Y",H17=0,$J17&gt;$AA$14),AND(DCT="Y",$J17=0,H17&gt;$AA$14)),1,0)</f>
        <v>0</v>
      </c>
      <c r="AD17" s="1946">
        <f>IF(OR(AND(DCT="Y",I17=0,$K17&gt;$AA$14),AND(DCT="Y",$K17=0,I17&gt;$AA$14)),1,0)</f>
        <v>0</v>
      </c>
      <c r="AE17" s="1396"/>
      <c r="AF17" s="1396"/>
      <c r="AG17" s="1396"/>
      <c r="AH17" s="1396"/>
      <c r="AI17" s="1396"/>
      <c r="AJ17" s="1396"/>
      <c r="AK17" s="1396"/>
      <c r="AL17" s="1396"/>
      <c r="AM17" s="1396"/>
      <c r="AN17" s="1396"/>
      <c r="AO17" s="1396"/>
      <c r="AP17" s="1396"/>
      <c r="AQ17" s="1396"/>
      <c r="AR17" s="1396"/>
      <c r="AS17" s="1396"/>
      <c r="AT17" s="1396"/>
      <c r="AU17" s="1396"/>
      <c r="AV17" s="1396"/>
      <c r="AW17" s="1396"/>
      <c r="AX17" s="1396"/>
      <c r="AY17" s="1396"/>
      <c r="AZ17" s="1396"/>
      <c r="BA17" s="1396"/>
      <c r="BB17" s="1396"/>
      <c r="BC17" s="1396"/>
    </row>
    <row r="18" spans="1:55" x14ac:dyDescent="0.45">
      <c r="A18" s="1135"/>
      <c r="B18" s="1135"/>
      <c r="C18" s="1566" t="s">
        <v>210</v>
      </c>
      <c r="D18" s="1136"/>
      <c r="E18" s="1137"/>
      <c r="F18" s="1159"/>
      <c r="G18" s="2132"/>
      <c r="H18" s="2136"/>
      <c r="I18" s="1160"/>
      <c r="J18" s="1159"/>
      <c r="K18" s="1160"/>
      <c r="L18" s="1139"/>
      <c r="M18" s="1139"/>
      <c r="N18" s="1139"/>
      <c r="O18" s="1139"/>
      <c r="P18" s="1396"/>
      <c r="Q18" s="1396"/>
      <c r="R18" s="1396"/>
      <c r="S18" s="1467" t="s">
        <v>27843</v>
      </c>
      <c r="T18" s="1467" t="s">
        <v>27688</v>
      </c>
      <c r="U18" s="1396"/>
      <c r="V18" s="1949"/>
      <c r="W18" s="1949"/>
      <c r="X18" s="1949"/>
      <c r="Y18" s="1949"/>
      <c r="Z18" s="1396"/>
      <c r="AA18" s="1949"/>
      <c r="AB18" s="1949"/>
      <c r="AC18" s="1949"/>
      <c r="AD18" s="1949"/>
      <c r="AE18" s="1396"/>
      <c r="AF18" s="1396"/>
      <c r="AG18" s="1396"/>
      <c r="AH18" s="1396"/>
      <c r="AI18" s="1396"/>
      <c r="AJ18" s="1396"/>
      <c r="AK18" s="1396"/>
      <c r="AL18" s="1396"/>
      <c r="AM18" s="1396"/>
      <c r="AN18" s="1396"/>
      <c r="AO18" s="1396"/>
      <c r="AP18" s="1396"/>
      <c r="AQ18" s="1396"/>
      <c r="AR18" s="1396"/>
      <c r="AS18" s="1396"/>
      <c r="AT18" s="1396"/>
      <c r="AU18" s="1396"/>
      <c r="AV18" s="1396"/>
      <c r="AW18" s="1396"/>
      <c r="AX18" s="1396"/>
      <c r="AY18" s="1396"/>
      <c r="AZ18" s="1396"/>
      <c r="BA18" s="1396"/>
      <c r="BB18" s="1396"/>
      <c r="BC18" s="1396"/>
    </row>
    <row r="19" spans="1:55" x14ac:dyDescent="0.45">
      <c r="A19" s="1466" t="s">
        <v>27844</v>
      </c>
      <c r="B19" s="1466"/>
      <c r="C19" s="1565" t="s">
        <v>27769</v>
      </c>
      <c r="D19" s="1947">
        <v>0</v>
      </c>
      <c r="E19" s="1948">
        <v>0</v>
      </c>
      <c r="F19" s="1947">
        <v>0</v>
      </c>
      <c r="G19" s="1132">
        <v>0</v>
      </c>
      <c r="H19" s="2135">
        <v>0</v>
      </c>
      <c r="I19" s="1948">
        <v>0</v>
      </c>
      <c r="J19" s="1947">
        <f>SUM('6a_Health_full_time'!F17,'6a_Health_full_time'!I17,'6a_Health_full_time'!F19,'6a_Health_full_time'!I19)</f>
        <v>0</v>
      </c>
      <c r="K19" s="1948">
        <f>SUM('6c_Health_part_time'!F17,'6c_Health_part_time'!I17,'6c_Health_part_time'!F19,'6c_Health_part_time'!I19)</f>
        <v>0</v>
      </c>
      <c r="L19" s="1133">
        <f t="shared" ref="L19:L56" si="0">IF(F19&gt;0,(J19-F19)/F19,0)</f>
        <v>0</v>
      </c>
      <c r="M19" s="1133">
        <f t="shared" ref="M19:M56" si="1">IF(G19&gt;0,(K19-G19)/G19,0)</f>
        <v>0</v>
      </c>
      <c r="N19" s="1134">
        <f t="shared" ref="N19:N56" si="2">IF(H19&gt;0,(J19-H19)/H19,0)</f>
        <v>0</v>
      </c>
      <c r="O19" s="1134">
        <f t="shared" ref="O19:O56" si="3">IF(I19&gt;0,(K19-I19)/I19,0)</f>
        <v>0</v>
      </c>
      <c r="P19" s="1396"/>
      <c r="Q19" s="1396"/>
      <c r="R19" s="1396"/>
      <c r="S19" s="1467" t="s">
        <v>27845</v>
      </c>
      <c r="T19" s="1467" t="s">
        <v>27826</v>
      </c>
      <c r="U19" s="1396"/>
      <c r="V19" s="1946">
        <f t="shared" ref="V19:V53" si="4">IF(AND(ABS(L19)&gt;$V$14,F19&gt;0,ABS((J19-F19))&gt;$W$14),1,0)</f>
        <v>0</v>
      </c>
      <c r="W19" s="1946">
        <f t="shared" ref="W19:W53" si="5">IF(AND(ABS(M19)&gt;$V$14,G19&gt;0,ABS((K19-G19))&gt;$W$14),1,0)</f>
        <v>0</v>
      </c>
      <c r="X19" s="1946">
        <f>IF(AND(DCT="Y",ABS(N19)&gt;$V$14,H19&gt;0,ABS((J19-H19))&gt;$W$14),1,0)</f>
        <v>0</v>
      </c>
      <c r="Y19" s="1946">
        <f>IF(AND(DCT="Y",ABS(O19)&gt;$V$14,I19&gt;0,ABS((K19-I19))&gt;$W$14),1,0)</f>
        <v>0</v>
      </c>
      <c r="Z19" s="1396"/>
      <c r="AA19" s="1946">
        <f t="shared" ref="AA19:AA53" si="6">IF(OR(AND(F19=0,$J19&gt;$AA$14),AND($J19=0,F19&gt;$AA$14)),1,0)</f>
        <v>0</v>
      </c>
      <c r="AB19" s="1946">
        <f t="shared" ref="AB19:AB53" si="7">IF(OR(AND(G19=0,$K19&gt;$AA$14),AND($K19=0,G19&gt;$AA$14)),1,0)</f>
        <v>0</v>
      </c>
      <c r="AC19" s="1946">
        <f>IF(OR(AND(DCT="Y",H19=0,$J19&gt;$AA$14),AND(DCT="Y",$J19=0,H19&gt;$AA$14)),1,0)</f>
        <v>0</v>
      </c>
      <c r="AD19" s="1946">
        <f>IF(OR(AND(DCT="Y",I19=0,$K19&gt;$AA$14),AND(DCT="Y",$K19=0,I19&gt;$AA$14)),1,0)</f>
        <v>0</v>
      </c>
      <c r="AE19" s="1396"/>
      <c r="AF19" s="1396"/>
      <c r="AG19" s="1396"/>
      <c r="AH19" s="1396"/>
      <c r="AI19" s="1396"/>
      <c r="AJ19" s="1396"/>
      <c r="AK19" s="1396"/>
      <c r="AL19" s="1396"/>
      <c r="AM19" s="1396"/>
      <c r="AN19" s="1396"/>
      <c r="AO19" s="1396"/>
      <c r="AP19" s="1396"/>
      <c r="AQ19" s="1396"/>
      <c r="AR19" s="1396"/>
      <c r="AS19" s="1396"/>
      <c r="AT19" s="1396"/>
      <c r="AU19" s="1396"/>
      <c r="AV19" s="1396"/>
      <c r="AW19" s="1396"/>
      <c r="AX19" s="1396"/>
      <c r="AY19" s="1396"/>
      <c r="AZ19" s="1396"/>
      <c r="BA19" s="1396"/>
      <c r="BB19" s="1396"/>
      <c r="BC19" s="1396"/>
    </row>
    <row r="20" spans="1:55" x14ac:dyDescent="0.45">
      <c r="A20" s="1135"/>
      <c r="B20" s="1135"/>
      <c r="C20" s="1566" t="s">
        <v>210</v>
      </c>
      <c r="D20" s="1136"/>
      <c r="E20" s="1137"/>
      <c r="F20" s="1159"/>
      <c r="G20" s="2132"/>
      <c r="H20" s="2136"/>
      <c r="I20" s="1160"/>
      <c r="J20" s="1159"/>
      <c r="K20" s="1160"/>
      <c r="L20" s="1139"/>
      <c r="M20" s="1139"/>
      <c r="N20" s="1139"/>
      <c r="O20" s="1139"/>
      <c r="P20" s="1396"/>
      <c r="Q20" s="1396"/>
      <c r="R20" s="1396"/>
      <c r="S20" s="1467" t="s">
        <v>27845</v>
      </c>
      <c r="T20" s="1467" t="s">
        <v>27688</v>
      </c>
      <c r="U20" s="1396"/>
      <c r="V20" s="1949"/>
      <c r="W20" s="1949"/>
      <c r="X20" s="1949"/>
      <c r="Y20" s="1949"/>
      <c r="Z20" s="1396"/>
      <c r="AA20" s="1949"/>
      <c r="AB20" s="1949"/>
      <c r="AC20" s="1949"/>
      <c r="AD20" s="1949"/>
      <c r="AE20" s="1396"/>
      <c r="AF20" s="1396"/>
      <c r="AG20" s="1396"/>
      <c r="AH20" s="1396"/>
      <c r="AI20" s="1396"/>
      <c r="AJ20" s="1396"/>
      <c r="AK20" s="1396"/>
      <c r="AL20" s="1396"/>
      <c r="AM20" s="1396"/>
      <c r="AN20" s="1396"/>
      <c r="AO20" s="1396"/>
      <c r="AP20" s="1396"/>
      <c r="AQ20" s="1396"/>
      <c r="AR20" s="1396"/>
      <c r="AS20" s="1396"/>
      <c r="AT20" s="1396"/>
      <c r="AU20" s="1396"/>
      <c r="AV20" s="1396"/>
      <c r="AW20" s="1396"/>
      <c r="AX20" s="1396"/>
      <c r="AY20" s="1396"/>
      <c r="AZ20" s="1396"/>
      <c r="BA20" s="1396"/>
      <c r="BB20" s="1396"/>
      <c r="BC20" s="1396"/>
    </row>
    <row r="21" spans="1:55" x14ac:dyDescent="0.45">
      <c r="A21" s="1082" t="s">
        <v>27846</v>
      </c>
      <c r="B21" s="1082"/>
      <c r="C21" s="1567" t="s">
        <v>212</v>
      </c>
      <c r="D21" s="1674">
        <v>0</v>
      </c>
      <c r="E21" s="1352">
        <v>0</v>
      </c>
      <c r="F21" s="1674">
        <v>0</v>
      </c>
      <c r="G21" s="2133">
        <v>0</v>
      </c>
      <c r="H21" s="2137">
        <v>0</v>
      </c>
      <c r="I21" s="1352">
        <v>0</v>
      </c>
      <c r="J21" s="1950">
        <f>SUM('6a_Health_full_time'!F21,'6a_Health_full_time'!I21,'6a_Health_full_time'!F22,'6a_Health_full_time'!I22)</f>
        <v>0</v>
      </c>
      <c r="K21" s="1951">
        <f>SUM('6c_Health_part_time'!F21,'6c_Health_part_time'!I21,'6c_Health_part_time'!F22,'6c_Health_part_time'!I22)</f>
        <v>0</v>
      </c>
      <c r="L21" s="1133">
        <f t="shared" si="0"/>
        <v>0</v>
      </c>
      <c r="M21" s="1133">
        <f t="shared" si="1"/>
        <v>0</v>
      </c>
      <c r="N21" s="1134">
        <f t="shared" si="2"/>
        <v>0</v>
      </c>
      <c r="O21" s="1134">
        <f t="shared" si="3"/>
        <v>0</v>
      </c>
      <c r="P21" s="1396"/>
      <c r="Q21" s="1396"/>
      <c r="R21" s="1396"/>
      <c r="S21" s="1353" t="s">
        <v>27845</v>
      </c>
      <c r="T21" s="1467" t="s">
        <v>27689</v>
      </c>
      <c r="U21" s="1396"/>
      <c r="V21" s="1952">
        <f t="shared" si="4"/>
        <v>0</v>
      </c>
      <c r="W21" s="1952">
        <f t="shared" si="5"/>
        <v>0</v>
      </c>
      <c r="X21" s="1952">
        <f t="shared" ref="X21:X53" si="8">IF(AND(DCT="Y",ABS(N21)&gt;$V$14,H21&gt;0,ABS((J21-H21))&gt;$W$14),1,0)</f>
        <v>0</v>
      </c>
      <c r="Y21" s="1952">
        <f t="shared" ref="Y21:Y53" si="9">IF(AND(DCT="Y",ABS(O21)&gt;$V$14,I21&gt;0,ABS((K21-I21))&gt;$W$14),1,0)</f>
        <v>0</v>
      </c>
      <c r="Z21" s="1354"/>
      <c r="AA21" s="1952">
        <f t="shared" si="6"/>
        <v>0</v>
      </c>
      <c r="AB21" s="1952">
        <f t="shared" si="7"/>
        <v>0</v>
      </c>
      <c r="AC21" s="1952">
        <f t="shared" ref="AC21:AC53" si="10">IF(OR(AND(DCT="Y",H21=0,$J21&gt;$AA$14),AND(DCT="Y",$J21=0,H21&gt;$AA$14)),1,0)</f>
        <v>0</v>
      </c>
      <c r="AD21" s="1952">
        <f t="shared" ref="AD21:AD53" si="11">IF(OR(AND(DCT="Y",I21=0,$K21&gt;$AA$14),AND(DCT="Y",$K21=0,I21&gt;$AA$14)),1,0)</f>
        <v>0</v>
      </c>
      <c r="AE21" s="1396"/>
      <c r="AF21" s="1396"/>
      <c r="AG21" s="1396"/>
      <c r="AH21" s="1396"/>
      <c r="AI21" s="1396"/>
      <c r="AJ21" s="1396"/>
      <c r="AK21" s="1396"/>
      <c r="AL21" s="1396"/>
      <c r="AM21" s="1396"/>
      <c r="AN21" s="1396"/>
      <c r="AO21" s="1396"/>
      <c r="AP21" s="1396"/>
      <c r="AQ21" s="1396"/>
      <c r="AR21" s="1396"/>
      <c r="AS21" s="1396"/>
      <c r="AT21" s="1396"/>
      <c r="AU21" s="1396"/>
      <c r="AV21" s="1396"/>
      <c r="AW21" s="1396"/>
      <c r="AX21" s="1396"/>
      <c r="AY21" s="1396"/>
      <c r="AZ21" s="1396"/>
      <c r="BA21" s="1396"/>
      <c r="BB21" s="1396"/>
      <c r="BC21" s="1396"/>
    </row>
    <row r="22" spans="1:55" x14ac:dyDescent="0.45">
      <c r="A22" s="1466" t="s">
        <v>27847</v>
      </c>
      <c r="B22" s="1466"/>
      <c r="C22" s="1565" t="s">
        <v>27769</v>
      </c>
      <c r="D22" s="1947">
        <v>0</v>
      </c>
      <c r="E22" s="1948">
        <v>0</v>
      </c>
      <c r="F22" s="1947">
        <v>0</v>
      </c>
      <c r="G22" s="1132">
        <v>0</v>
      </c>
      <c r="H22" s="2135">
        <v>0</v>
      </c>
      <c r="I22" s="1948">
        <v>0</v>
      </c>
      <c r="J22" s="1675">
        <f>SUM('6a_Health_full_time'!F23,'6a_Health_full_time'!I23,'6a_Health_full_time'!F25,'6a_Health_full_time'!I25)</f>
        <v>0</v>
      </c>
      <c r="K22" s="1141">
        <f>SUM('6c_Health_part_time'!F23,'6c_Health_part_time'!I23,'6c_Health_part_time'!F25,'6c_Health_part_time'!I25)</f>
        <v>0</v>
      </c>
      <c r="L22" s="1133">
        <f t="shared" si="0"/>
        <v>0</v>
      </c>
      <c r="M22" s="1133">
        <f t="shared" si="1"/>
        <v>0</v>
      </c>
      <c r="N22" s="1134">
        <f t="shared" si="2"/>
        <v>0</v>
      </c>
      <c r="O22" s="1134">
        <f t="shared" si="3"/>
        <v>0</v>
      </c>
      <c r="P22" s="1396"/>
      <c r="Q22" s="1396"/>
      <c r="R22" s="1396"/>
      <c r="S22" s="1467" t="s">
        <v>27848</v>
      </c>
      <c r="T22" s="1467" t="s">
        <v>27826</v>
      </c>
      <c r="U22" s="1396"/>
      <c r="V22" s="1946">
        <f t="shared" si="4"/>
        <v>0</v>
      </c>
      <c r="W22" s="1946">
        <f t="shared" si="5"/>
        <v>0</v>
      </c>
      <c r="X22" s="1946">
        <f t="shared" si="8"/>
        <v>0</v>
      </c>
      <c r="Y22" s="1946">
        <f t="shared" si="9"/>
        <v>0</v>
      </c>
      <c r="Z22" s="1396"/>
      <c r="AA22" s="1946">
        <f t="shared" si="6"/>
        <v>0</v>
      </c>
      <c r="AB22" s="1946">
        <f t="shared" si="7"/>
        <v>0</v>
      </c>
      <c r="AC22" s="1946">
        <f t="shared" si="10"/>
        <v>0</v>
      </c>
      <c r="AD22" s="1946">
        <f t="shared" si="11"/>
        <v>0</v>
      </c>
      <c r="AE22" s="1396"/>
      <c r="AF22" s="1396"/>
      <c r="AG22" s="1396"/>
      <c r="AH22" s="1396"/>
      <c r="AI22" s="1396"/>
      <c r="AJ22" s="1396"/>
      <c r="AK22" s="1396"/>
      <c r="AL22" s="1396"/>
      <c r="AM22" s="1396"/>
      <c r="AN22" s="1396"/>
      <c r="AO22" s="1396"/>
      <c r="AP22" s="1396"/>
      <c r="AQ22" s="1396"/>
      <c r="AR22" s="1396"/>
      <c r="AS22" s="1396"/>
      <c r="AT22" s="1396"/>
      <c r="AU22" s="1396"/>
      <c r="AV22" s="1396"/>
      <c r="AW22" s="1396"/>
      <c r="AX22" s="1396"/>
      <c r="AY22" s="1396"/>
      <c r="AZ22" s="1396"/>
      <c r="BA22" s="1396"/>
      <c r="BB22" s="1396"/>
      <c r="BC22" s="1396"/>
    </row>
    <row r="23" spans="1:55" x14ac:dyDescent="0.45">
      <c r="A23" s="1135"/>
      <c r="B23" s="1135"/>
      <c r="C23" s="1566" t="s">
        <v>210</v>
      </c>
      <c r="D23" s="1142">
        <v>0</v>
      </c>
      <c r="E23" s="1143">
        <v>0</v>
      </c>
      <c r="F23" s="1142">
        <v>0</v>
      </c>
      <c r="G23" s="1471">
        <v>0</v>
      </c>
      <c r="H23" s="2138">
        <v>0</v>
      </c>
      <c r="I23" s="1143">
        <v>0</v>
      </c>
      <c r="J23" s="1142">
        <f>SUM('6a_Health_full_time'!F24,'6a_Health_full_time'!I24,'6a_Health_full_time'!F26,'6a_Health_full_time'!I26)</f>
        <v>0</v>
      </c>
      <c r="K23" s="1143">
        <f>SUM('6c_Health_part_time'!F24,'6c_Health_part_time'!I24,'6c_Health_part_time'!F26,'6c_Health_part_time'!I26)</f>
        <v>0</v>
      </c>
      <c r="L23" s="1144">
        <f t="shared" si="0"/>
        <v>0</v>
      </c>
      <c r="M23" s="1144">
        <f t="shared" si="1"/>
        <v>0</v>
      </c>
      <c r="N23" s="1145">
        <f t="shared" si="2"/>
        <v>0</v>
      </c>
      <c r="O23" s="1145">
        <f t="shared" si="3"/>
        <v>0</v>
      </c>
      <c r="P23" s="1396"/>
      <c r="Q23" s="1396"/>
      <c r="R23" s="1396"/>
      <c r="S23" s="1467" t="s">
        <v>27848</v>
      </c>
      <c r="T23" s="1467" t="s">
        <v>27688</v>
      </c>
      <c r="U23" s="1396"/>
      <c r="V23" s="1946">
        <f t="shared" si="4"/>
        <v>0</v>
      </c>
      <c r="W23" s="1946">
        <f t="shared" si="5"/>
        <v>0</v>
      </c>
      <c r="X23" s="1946">
        <f t="shared" si="8"/>
        <v>0</v>
      </c>
      <c r="Y23" s="1946">
        <f t="shared" si="9"/>
        <v>0</v>
      </c>
      <c r="Z23" s="1396"/>
      <c r="AA23" s="1946">
        <f t="shared" si="6"/>
        <v>0</v>
      </c>
      <c r="AB23" s="1946">
        <f t="shared" si="7"/>
        <v>0</v>
      </c>
      <c r="AC23" s="1946">
        <f t="shared" si="10"/>
        <v>0</v>
      </c>
      <c r="AD23" s="1946">
        <f t="shared" si="11"/>
        <v>0</v>
      </c>
      <c r="AE23" s="1396"/>
      <c r="AF23" s="1396"/>
      <c r="AG23" s="1396"/>
      <c r="AH23" s="1396"/>
      <c r="AI23" s="1396"/>
      <c r="AJ23" s="1396"/>
      <c r="AK23" s="1396"/>
      <c r="AL23" s="1396"/>
      <c r="AM23" s="1396"/>
      <c r="AN23" s="1396"/>
      <c r="AO23" s="1396"/>
      <c r="AP23" s="1396"/>
      <c r="AQ23" s="1396"/>
      <c r="AR23" s="1396"/>
      <c r="AS23" s="1396"/>
      <c r="AT23" s="1396"/>
      <c r="AU23" s="1396"/>
      <c r="AV23" s="1396"/>
      <c r="AW23" s="1396"/>
      <c r="AX23" s="1396"/>
      <c r="AY23" s="1396"/>
      <c r="AZ23" s="1396"/>
      <c r="BA23" s="1396"/>
      <c r="BB23" s="1396"/>
      <c r="BC23" s="1396"/>
    </row>
    <row r="24" spans="1:55" x14ac:dyDescent="0.45">
      <c r="A24" s="1466" t="s">
        <v>27849</v>
      </c>
      <c r="B24" s="1466"/>
      <c r="C24" s="1565" t="s">
        <v>27769</v>
      </c>
      <c r="D24" s="1947">
        <v>0</v>
      </c>
      <c r="E24" s="1948">
        <v>0</v>
      </c>
      <c r="F24" s="1947">
        <v>0</v>
      </c>
      <c r="G24" s="1132">
        <v>0</v>
      </c>
      <c r="H24" s="2135">
        <v>0</v>
      </c>
      <c r="I24" s="1948">
        <v>0</v>
      </c>
      <c r="J24" s="1675">
        <f>SUM('6a_Health_full_time'!F27,'6a_Health_full_time'!I27,'6a_Health_full_time'!F29,'6a_Health_full_time'!I29)</f>
        <v>0</v>
      </c>
      <c r="K24" s="1141">
        <f>SUM('6c_Health_part_time'!F27,'6c_Health_part_time'!I27,'6c_Health_part_time'!F29,'6c_Health_part_time'!I29)</f>
        <v>0</v>
      </c>
      <c r="L24" s="1133">
        <f t="shared" si="0"/>
        <v>0</v>
      </c>
      <c r="M24" s="1133">
        <f t="shared" si="1"/>
        <v>0</v>
      </c>
      <c r="N24" s="1134">
        <f t="shared" si="2"/>
        <v>0</v>
      </c>
      <c r="O24" s="1134">
        <f t="shared" si="3"/>
        <v>0</v>
      </c>
      <c r="P24" s="1396"/>
      <c r="Q24" s="1396"/>
      <c r="R24" s="1396"/>
      <c r="S24" s="1467" t="s">
        <v>27850</v>
      </c>
      <c r="T24" s="1467" t="s">
        <v>27826</v>
      </c>
      <c r="U24" s="1396"/>
      <c r="V24" s="1946">
        <f t="shared" si="4"/>
        <v>0</v>
      </c>
      <c r="W24" s="1946">
        <f t="shared" si="5"/>
        <v>0</v>
      </c>
      <c r="X24" s="1946">
        <f t="shared" si="8"/>
        <v>0</v>
      </c>
      <c r="Y24" s="1946">
        <f t="shared" si="9"/>
        <v>0</v>
      </c>
      <c r="Z24" s="1396"/>
      <c r="AA24" s="1946">
        <f t="shared" si="6"/>
        <v>0</v>
      </c>
      <c r="AB24" s="1946">
        <f t="shared" si="7"/>
        <v>0</v>
      </c>
      <c r="AC24" s="1946">
        <f t="shared" si="10"/>
        <v>0</v>
      </c>
      <c r="AD24" s="1946">
        <f t="shared" si="11"/>
        <v>0</v>
      </c>
      <c r="AE24" s="1396"/>
      <c r="AF24" s="1396"/>
      <c r="AG24" s="1396"/>
      <c r="AH24" s="1396"/>
      <c r="AI24" s="1396"/>
      <c r="AJ24" s="1396"/>
      <c r="AK24" s="1396"/>
      <c r="AL24" s="1396"/>
      <c r="AM24" s="1396"/>
      <c r="AN24" s="1396"/>
      <c r="AO24" s="1396"/>
      <c r="AP24" s="1396"/>
      <c r="AQ24" s="1396"/>
      <c r="AR24" s="1396"/>
      <c r="AS24" s="1396"/>
      <c r="AT24" s="1396"/>
      <c r="AU24" s="1396"/>
      <c r="AV24" s="1396"/>
      <c r="AW24" s="1396"/>
      <c r="AX24" s="1396"/>
      <c r="AY24" s="1396"/>
      <c r="AZ24" s="1396"/>
      <c r="BA24" s="1396"/>
      <c r="BB24" s="1396"/>
      <c r="BC24" s="1396"/>
    </row>
    <row r="25" spans="1:55" x14ac:dyDescent="0.45">
      <c r="A25" s="1135"/>
      <c r="B25" s="1135"/>
      <c r="C25" s="1566" t="s">
        <v>210</v>
      </c>
      <c r="D25" s="1142">
        <v>0</v>
      </c>
      <c r="E25" s="1143">
        <v>0</v>
      </c>
      <c r="F25" s="1142">
        <v>0</v>
      </c>
      <c r="G25" s="1471">
        <v>0</v>
      </c>
      <c r="H25" s="2138">
        <v>0</v>
      </c>
      <c r="I25" s="1143">
        <v>0</v>
      </c>
      <c r="J25" s="1142">
        <f>SUM('6a_Health_full_time'!F28,'6a_Health_full_time'!I28,'6a_Health_full_time'!F30,'6a_Health_full_time'!I30)</f>
        <v>0</v>
      </c>
      <c r="K25" s="1143">
        <f>SUM('6c_Health_part_time'!F28,'6c_Health_part_time'!I28,'6c_Health_part_time'!F30,'6c_Health_part_time'!I30)</f>
        <v>0</v>
      </c>
      <c r="L25" s="1144">
        <f t="shared" si="0"/>
        <v>0</v>
      </c>
      <c r="M25" s="1144">
        <f t="shared" si="1"/>
        <v>0</v>
      </c>
      <c r="N25" s="1145">
        <f t="shared" si="2"/>
        <v>0</v>
      </c>
      <c r="O25" s="1145">
        <f t="shared" si="3"/>
        <v>0</v>
      </c>
      <c r="P25" s="1396"/>
      <c r="Q25" s="1396"/>
      <c r="R25" s="1396"/>
      <c r="S25" s="1467" t="s">
        <v>27850</v>
      </c>
      <c r="T25" s="1467" t="s">
        <v>27688</v>
      </c>
      <c r="U25" s="1396"/>
      <c r="V25" s="1946">
        <f t="shared" si="4"/>
        <v>0</v>
      </c>
      <c r="W25" s="1946">
        <f t="shared" si="5"/>
        <v>0</v>
      </c>
      <c r="X25" s="1946">
        <f t="shared" si="8"/>
        <v>0</v>
      </c>
      <c r="Y25" s="1946">
        <f t="shared" si="9"/>
        <v>0</v>
      </c>
      <c r="Z25" s="1396"/>
      <c r="AA25" s="1946">
        <f t="shared" si="6"/>
        <v>0</v>
      </c>
      <c r="AB25" s="1946">
        <f t="shared" si="7"/>
        <v>0</v>
      </c>
      <c r="AC25" s="1946">
        <f t="shared" si="10"/>
        <v>0</v>
      </c>
      <c r="AD25" s="1946">
        <f t="shared" si="11"/>
        <v>0</v>
      </c>
      <c r="AE25" s="1396"/>
      <c r="AF25" s="1396"/>
      <c r="AG25" s="1396"/>
      <c r="AH25" s="1396"/>
      <c r="AI25" s="1396"/>
      <c r="AJ25" s="1396"/>
      <c r="AK25" s="1396"/>
      <c r="AL25" s="1396"/>
      <c r="AM25" s="1396"/>
      <c r="AN25" s="1396"/>
      <c r="AO25" s="1396"/>
      <c r="AP25" s="1396"/>
      <c r="AQ25" s="1396"/>
      <c r="AR25" s="1396"/>
      <c r="AS25" s="1396"/>
      <c r="AT25" s="1396"/>
      <c r="AU25" s="1396"/>
      <c r="AV25" s="1396"/>
      <c r="AW25" s="1396"/>
      <c r="AX25" s="1396"/>
      <c r="AY25" s="1396"/>
      <c r="AZ25" s="1396"/>
      <c r="BA25" s="1396"/>
      <c r="BB25" s="1396"/>
      <c r="BC25" s="1396"/>
    </row>
    <row r="26" spans="1:55" x14ac:dyDescent="0.45">
      <c r="A26" s="1466" t="s">
        <v>27851</v>
      </c>
      <c r="B26" s="1466"/>
      <c r="C26" s="1565" t="s">
        <v>27769</v>
      </c>
      <c r="D26" s="1947">
        <v>0</v>
      </c>
      <c r="E26" s="1948">
        <v>0</v>
      </c>
      <c r="F26" s="1947">
        <v>0</v>
      </c>
      <c r="G26" s="1132">
        <v>0</v>
      </c>
      <c r="H26" s="2135">
        <v>0</v>
      </c>
      <c r="I26" s="1948">
        <v>0</v>
      </c>
      <c r="J26" s="1675">
        <f>SUM('6a_Health_full_time'!F31,'6a_Health_full_time'!I31,'6a_Health_full_time'!F33,'6a_Health_full_time'!I33)</f>
        <v>0</v>
      </c>
      <c r="K26" s="1141">
        <f>SUM('6c_Health_part_time'!F31,'6c_Health_part_time'!I31,'6c_Health_part_time'!F33,'6c_Health_part_time'!I33)</f>
        <v>0</v>
      </c>
      <c r="L26" s="1133">
        <f t="shared" si="0"/>
        <v>0</v>
      </c>
      <c r="M26" s="1133">
        <f t="shared" si="1"/>
        <v>0</v>
      </c>
      <c r="N26" s="1134">
        <f t="shared" si="2"/>
        <v>0</v>
      </c>
      <c r="O26" s="1134">
        <f t="shared" si="3"/>
        <v>0</v>
      </c>
      <c r="P26" s="1082"/>
      <c r="Q26" s="1396"/>
      <c r="R26" s="1396"/>
      <c r="S26" s="1467" t="s">
        <v>27852</v>
      </c>
      <c r="T26" s="1467" t="s">
        <v>27826</v>
      </c>
      <c r="U26" s="1396"/>
      <c r="V26" s="1946">
        <f t="shared" si="4"/>
        <v>0</v>
      </c>
      <c r="W26" s="1946">
        <f t="shared" si="5"/>
        <v>0</v>
      </c>
      <c r="X26" s="1946">
        <f t="shared" si="8"/>
        <v>0</v>
      </c>
      <c r="Y26" s="1946">
        <f t="shared" si="9"/>
        <v>0</v>
      </c>
      <c r="Z26" s="1396"/>
      <c r="AA26" s="1946">
        <f t="shared" si="6"/>
        <v>0</v>
      </c>
      <c r="AB26" s="1946">
        <f t="shared" si="7"/>
        <v>0</v>
      </c>
      <c r="AC26" s="1946">
        <f t="shared" si="10"/>
        <v>0</v>
      </c>
      <c r="AD26" s="1946">
        <f t="shared" si="11"/>
        <v>0</v>
      </c>
      <c r="AE26" s="1396"/>
      <c r="AF26" s="1396"/>
      <c r="AG26" s="1396"/>
      <c r="AH26" s="1396"/>
      <c r="AI26" s="1396"/>
      <c r="AJ26" s="1396"/>
      <c r="AK26" s="1396"/>
      <c r="AL26" s="1396"/>
      <c r="AM26" s="1396"/>
      <c r="AN26" s="1396"/>
      <c r="AO26" s="1396"/>
      <c r="AP26" s="1396"/>
      <c r="AQ26" s="1396"/>
      <c r="AR26" s="1396"/>
      <c r="AS26" s="1396"/>
      <c r="AT26" s="1396"/>
      <c r="AU26" s="1396"/>
      <c r="AV26" s="1396"/>
      <c r="AW26" s="1396"/>
      <c r="AX26" s="1396"/>
      <c r="AY26" s="1396"/>
      <c r="AZ26" s="1396"/>
      <c r="BA26" s="1396"/>
      <c r="BB26" s="1396"/>
      <c r="BC26" s="1396"/>
    </row>
    <row r="27" spans="1:55" x14ac:dyDescent="0.45">
      <c r="A27" s="1135"/>
      <c r="B27" s="1135"/>
      <c r="C27" s="1566" t="s">
        <v>210</v>
      </c>
      <c r="D27" s="1142">
        <v>0</v>
      </c>
      <c r="E27" s="1143">
        <v>0</v>
      </c>
      <c r="F27" s="1142">
        <v>0</v>
      </c>
      <c r="G27" s="1471">
        <v>0</v>
      </c>
      <c r="H27" s="2138">
        <v>0</v>
      </c>
      <c r="I27" s="1143">
        <v>0</v>
      </c>
      <c r="J27" s="1142">
        <f>SUM('6a_Health_full_time'!F32,'6a_Health_full_time'!I32,'6a_Health_full_time'!F34,'6a_Health_full_time'!I34)</f>
        <v>0</v>
      </c>
      <c r="K27" s="1143">
        <f>SUM('6c_Health_part_time'!F32,'6c_Health_part_time'!I32,'6c_Health_part_time'!F34,'6c_Health_part_time'!I34)</f>
        <v>0</v>
      </c>
      <c r="L27" s="1144">
        <f t="shared" si="0"/>
        <v>0</v>
      </c>
      <c r="M27" s="1144">
        <f t="shared" si="1"/>
        <v>0</v>
      </c>
      <c r="N27" s="1145">
        <f t="shared" si="2"/>
        <v>0</v>
      </c>
      <c r="O27" s="1145">
        <f t="shared" si="3"/>
        <v>0</v>
      </c>
      <c r="P27" s="1082"/>
      <c r="Q27" s="1396"/>
      <c r="R27" s="1396"/>
      <c r="S27" s="1467" t="s">
        <v>27852</v>
      </c>
      <c r="T27" s="1467" t="s">
        <v>27688</v>
      </c>
      <c r="U27" s="1396"/>
      <c r="V27" s="1946">
        <f t="shared" si="4"/>
        <v>0</v>
      </c>
      <c r="W27" s="1946">
        <f t="shared" si="5"/>
        <v>0</v>
      </c>
      <c r="X27" s="1946">
        <f t="shared" si="8"/>
        <v>0</v>
      </c>
      <c r="Y27" s="1946">
        <f t="shared" si="9"/>
        <v>0</v>
      </c>
      <c r="Z27" s="1396"/>
      <c r="AA27" s="1946">
        <f t="shared" si="6"/>
        <v>0</v>
      </c>
      <c r="AB27" s="1946">
        <f t="shared" si="7"/>
        <v>0</v>
      </c>
      <c r="AC27" s="1946">
        <f t="shared" si="10"/>
        <v>0</v>
      </c>
      <c r="AD27" s="1946">
        <f t="shared" si="11"/>
        <v>0</v>
      </c>
      <c r="AE27" s="1396"/>
      <c r="AF27" s="1396"/>
      <c r="AG27" s="1396"/>
      <c r="AH27" s="1396"/>
      <c r="AI27" s="1396"/>
      <c r="AJ27" s="1396"/>
      <c r="AK27" s="1396"/>
      <c r="AL27" s="1396"/>
      <c r="AM27" s="1396"/>
      <c r="AN27" s="1396"/>
      <c r="AO27" s="1396"/>
      <c r="AP27" s="1396"/>
      <c r="AQ27" s="1396"/>
      <c r="AR27" s="1396"/>
      <c r="AS27" s="1396"/>
      <c r="AT27" s="1396"/>
      <c r="AU27" s="1396"/>
      <c r="AV27" s="1396"/>
      <c r="AW27" s="1396"/>
      <c r="AX27" s="1396"/>
      <c r="AY27" s="1396"/>
      <c r="AZ27" s="1396"/>
      <c r="BA27" s="1396"/>
      <c r="BB27" s="1396"/>
      <c r="BC27" s="1396"/>
    </row>
    <row r="28" spans="1:55" x14ac:dyDescent="0.45">
      <c r="A28" s="1466" t="s">
        <v>27853</v>
      </c>
      <c r="B28" s="1466"/>
      <c r="C28" s="1565" t="s">
        <v>27769</v>
      </c>
      <c r="D28" s="1947">
        <v>0</v>
      </c>
      <c r="E28" s="1948">
        <v>0</v>
      </c>
      <c r="F28" s="1947">
        <v>0</v>
      </c>
      <c r="G28" s="1132">
        <v>0</v>
      </c>
      <c r="H28" s="2135">
        <v>0</v>
      </c>
      <c r="I28" s="1948">
        <v>0</v>
      </c>
      <c r="J28" s="1675">
        <f>SUM('6a_Health_full_time'!F35,'6a_Health_full_time'!I35,'6a_Health_full_time'!F37,'6a_Health_full_time'!I37)</f>
        <v>0</v>
      </c>
      <c r="K28" s="1141">
        <f>SUM('6c_Health_part_time'!F35,'6c_Health_part_time'!I35,'6c_Health_part_time'!F37,'6c_Health_part_time'!I37)</f>
        <v>0</v>
      </c>
      <c r="L28" s="1133">
        <f t="shared" si="0"/>
        <v>0</v>
      </c>
      <c r="M28" s="1133">
        <f t="shared" si="1"/>
        <v>0</v>
      </c>
      <c r="N28" s="1134">
        <f t="shared" si="2"/>
        <v>0</v>
      </c>
      <c r="O28" s="1134">
        <f t="shared" si="3"/>
        <v>0</v>
      </c>
      <c r="P28" s="1082"/>
      <c r="Q28" s="1396"/>
      <c r="R28" s="1396"/>
      <c r="S28" s="1467" t="s">
        <v>27854</v>
      </c>
      <c r="T28" s="1467" t="s">
        <v>27826</v>
      </c>
      <c r="U28" s="1396"/>
      <c r="V28" s="1946">
        <f t="shared" si="4"/>
        <v>0</v>
      </c>
      <c r="W28" s="1946">
        <f t="shared" si="5"/>
        <v>0</v>
      </c>
      <c r="X28" s="1946">
        <f t="shared" si="8"/>
        <v>0</v>
      </c>
      <c r="Y28" s="1946">
        <f t="shared" si="9"/>
        <v>0</v>
      </c>
      <c r="Z28" s="1396"/>
      <c r="AA28" s="1946">
        <f t="shared" si="6"/>
        <v>0</v>
      </c>
      <c r="AB28" s="1946">
        <f t="shared" si="7"/>
        <v>0</v>
      </c>
      <c r="AC28" s="1946">
        <f t="shared" si="10"/>
        <v>0</v>
      </c>
      <c r="AD28" s="1946">
        <f t="shared" si="11"/>
        <v>0</v>
      </c>
      <c r="AE28" s="1396"/>
      <c r="AF28" s="1396"/>
      <c r="AG28" s="1396"/>
      <c r="AH28" s="1396"/>
      <c r="AI28" s="1396"/>
      <c r="AJ28" s="1396"/>
      <c r="AK28" s="1396"/>
      <c r="AL28" s="1396"/>
      <c r="AM28" s="1396"/>
      <c r="AN28" s="1396"/>
      <c r="AO28" s="1396"/>
      <c r="AP28" s="1396"/>
      <c r="AQ28" s="1396"/>
      <c r="AR28" s="1396"/>
      <c r="AS28" s="1396"/>
      <c r="AT28" s="1396"/>
      <c r="AU28" s="1396"/>
      <c r="AV28" s="1396"/>
      <c r="AW28" s="1396"/>
      <c r="AX28" s="1396"/>
      <c r="AY28" s="1396"/>
      <c r="AZ28" s="1396"/>
      <c r="BA28" s="1396"/>
      <c r="BB28" s="1396"/>
      <c r="BC28" s="1396"/>
    </row>
    <row r="29" spans="1:55" x14ac:dyDescent="0.45">
      <c r="A29" s="1135"/>
      <c r="B29" s="1135" t="s">
        <v>27961</v>
      </c>
      <c r="C29" s="1566" t="s">
        <v>210</v>
      </c>
      <c r="D29" s="1142">
        <v>0</v>
      </c>
      <c r="E29" s="1143">
        <v>0</v>
      </c>
      <c r="F29" s="1142">
        <v>0</v>
      </c>
      <c r="G29" s="1471">
        <v>0</v>
      </c>
      <c r="H29" s="2138">
        <v>0</v>
      </c>
      <c r="I29" s="1143">
        <v>0</v>
      </c>
      <c r="J29" s="1142">
        <f>SUM('6a_Health_full_time'!F36,'6a_Health_full_time'!I36,'6a_Health_full_time'!F38,'6a_Health_full_time'!I38)</f>
        <v>0</v>
      </c>
      <c r="K29" s="1143">
        <f>SUM('6c_Health_part_time'!F36,'6c_Health_part_time'!I36,'6c_Health_part_time'!F38,'6c_Health_part_time'!I38)</f>
        <v>0</v>
      </c>
      <c r="L29" s="1144">
        <f t="shared" si="0"/>
        <v>0</v>
      </c>
      <c r="M29" s="1144">
        <f t="shared" si="1"/>
        <v>0</v>
      </c>
      <c r="N29" s="1145">
        <f t="shared" si="2"/>
        <v>0</v>
      </c>
      <c r="O29" s="1145">
        <f t="shared" si="3"/>
        <v>0</v>
      </c>
      <c r="P29" s="1082"/>
      <c r="Q29" s="1396"/>
      <c r="R29" s="1396"/>
      <c r="S29" s="1467" t="s">
        <v>27854</v>
      </c>
      <c r="T29" s="1467" t="s">
        <v>27688</v>
      </c>
      <c r="U29" s="1396"/>
      <c r="V29" s="1946">
        <f t="shared" si="4"/>
        <v>0</v>
      </c>
      <c r="W29" s="1946">
        <f t="shared" si="5"/>
        <v>0</v>
      </c>
      <c r="X29" s="1946">
        <f t="shared" si="8"/>
        <v>0</v>
      </c>
      <c r="Y29" s="1946">
        <f t="shared" si="9"/>
        <v>0</v>
      </c>
      <c r="Z29" s="1396"/>
      <c r="AA29" s="1946">
        <f t="shared" si="6"/>
        <v>0</v>
      </c>
      <c r="AB29" s="1946">
        <f t="shared" si="7"/>
        <v>0</v>
      </c>
      <c r="AC29" s="1946">
        <f t="shared" si="10"/>
        <v>0</v>
      </c>
      <c r="AD29" s="1946">
        <f t="shared" si="11"/>
        <v>0</v>
      </c>
      <c r="AE29" s="1396"/>
      <c r="AF29" s="1396"/>
      <c r="AG29" s="1396"/>
      <c r="AH29" s="1396"/>
      <c r="AI29" s="1396"/>
      <c r="AJ29" s="1396"/>
      <c r="AK29" s="1396"/>
      <c r="AL29" s="1396"/>
      <c r="AM29" s="1396"/>
      <c r="AN29" s="1396"/>
      <c r="AO29" s="1396"/>
      <c r="AP29" s="1396"/>
      <c r="AQ29" s="1396"/>
      <c r="AR29" s="1396"/>
      <c r="AS29" s="1396"/>
      <c r="AT29" s="1396"/>
      <c r="AU29" s="1396"/>
      <c r="AV29" s="1396"/>
      <c r="AW29" s="1396"/>
      <c r="AX29" s="1396"/>
      <c r="AY29" s="1396"/>
      <c r="AZ29" s="1396"/>
      <c r="BA29" s="1396"/>
      <c r="BB29" s="1396"/>
      <c r="BC29" s="1396"/>
    </row>
    <row r="30" spans="1:55" x14ac:dyDescent="0.45">
      <c r="A30" s="1466" t="s">
        <v>27855</v>
      </c>
      <c r="B30" s="1466"/>
      <c r="C30" s="1565" t="s">
        <v>27769</v>
      </c>
      <c r="D30" s="1947">
        <v>0</v>
      </c>
      <c r="E30" s="1948">
        <v>0</v>
      </c>
      <c r="F30" s="1947">
        <v>0</v>
      </c>
      <c r="G30" s="1132">
        <v>0</v>
      </c>
      <c r="H30" s="2135">
        <v>0</v>
      </c>
      <c r="I30" s="1948">
        <v>0</v>
      </c>
      <c r="J30" s="1675">
        <f>SUM('6a_Health_full_time'!F39,'6a_Health_full_time'!I39,'6a_Health_full_time'!F41,'6a_Health_full_time'!I41)</f>
        <v>0</v>
      </c>
      <c r="K30" s="1141">
        <f>SUM('6c_Health_part_time'!F39,'6c_Health_part_time'!I39,'6c_Health_part_time'!F41,'6c_Health_part_time'!I41)</f>
        <v>0</v>
      </c>
      <c r="L30" s="1133">
        <f t="shared" si="0"/>
        <v>0</v>
      </c>
      <c r="M30" s="1133">
        <f t="shared" si="1"/>
        <v>0</v>
      </c>
      <c r="N30" s="1134">
        <f t="shared" si="2"/>
        <v>0</v>
      </c>
      <c r="O30" s="1134">
        <f t="shared" si="3"/>
        <v>0</v>
      </c>
      <c r="P30" s="1082"/>
      <c r="Q30" s="1396"/>
      <c r="R30" s="1396"/>
      <c r="S30" s="1467" t="s">
        <v>27856</v>
      </c>
      <c r="T30" s="1467" t="s">
        <v>27826</v>
      </c>
      <c r="U30" s="1396"/>
      <c r="V30" s="1946">
        <f t="shared" si="4"/>
        <v>0</v>
      </c>
      <c r="W30" s="1946">
        <f t="shared" si="5"/>
        <v>0</v>
      </c>
      <c r="X30" s="1946">
        <f t="shared" si="8"/>
        <v>0</v>
      </c>
      <c r="Y30" s="1946">
        <f t="shared" si="9"/>
        <v>0</v>
      </c>
      <c r="Z30" s="1396"/>
      <c r="AA30" s="1946">
        <f t="shared" si="6"/>
        <v>0</v>
      </c>
      <c r="AB30" s="1946">
        <f t="shared" si="7"/>
        <v>0</v>
      </c>
      <c r="AC30" s="1946">
        <f t="shared" si="10"/>
        <v>0</v>
      </c>
      <c r="AD30" s="1946">
        <f t="shared" si="11"/>
        <v>0</v>
      </c>
      <c r="AE30" s="1396"/>
      <c r="AF30" s="1396"/>
      <c r="AG30" s="1396"/>
      <c r="AH30" s="1396"/>
      <c r="AI30" s="1396"/>
      <c r="AJ30" s="1396"/>
      <c r="AK30" s="1396"/>
      <c r="AL30" s="1396"/>
      <c r="AM30" s="1396"/>
      <c r="AN30" s="1396"/>
      <c r="AO30" s="1396"/>
      <c r="AP30" s="1396"/>
      <c r="AQ30" s="1396"/>
      <c r="AR30" s="1396"/>
      <c r="AS30" s="1396"/>
      <c r="AT30" s="1396"/>
      <c r="AU30" s="1396"/>
      <c r="AV30" s="1396"/>
      <c r="AW30" s="1396"/>
      <c r="AX30" s="1396"/>
      <c r="AY30" s="1396"/>
      <c r="AZ30" s="1396"/>
      <c r="BA30" s="1396"/>
      <c r="BB30" s="1396"/>
      <c r="BC30" s="1396"/>
    </row>
    <row r="31" spans="1:55" x14ac:dyDescent="0.45">
      <c r="A31" s="1135"/>
      <c r="B31" s="1135"/>
      <c r="C31" s="1566" t="s">
        <v>210</v>
      </c>
      <c r="D31" s="1142">
        <v>0</v>
      </c>
      <c r="E31" s="1143">
        <v>0</v>
      </c>
      <c r="F31" s="1142">
        <v>0</v>
      </c>
      <c r="G31" s="1471">
        <v>0</v>
      </c>
      <c r="H31" s="2138">
        <v>0</v>
      </c>
      <c r="I31" s="1143">
        <v>0</v>
      </c>
      <c r="J31" s="1142">
        <f>SUM('6a_Health_full_time'!F40,'6a_Health_full_time'!I40,'6a_Health_full_time'!F42,'6a_Health_full_time'!I42)</f>
        <v>0</v>
      </c>
      <c r="K31" s="1143">
        <f>SUM('6c_Health_part_time'!F40,'6c_Health_part_time'!I40,'6c_Health_part_time'!F42,'6c_Health_part_time'!I42)</f>
        <v>0</v>
      </c>
      <c r="L31" s="1144">
        <f t="shared" si="0"/>
        <v>0</v>
      </c>
      <c r="M31" s="1144">
        <f t="shared" si="1"/>
        <v>0</v>
      </c>
      <c r="N31" s="1145">
        <f t="shared" si="2"/>
        <v>0</v>
      </c>
      <c r="O31" s="1145">
        <f t="shared" si="3"/>
        <v>0</v>
      </c>
      <c r="P31" s="1082"/>
      <c r="Q31" s="1396"/>
      <c r="R31" s="1396"/>
      <c r="S31" s="1467" t="s">
        <v>27856</v>
      </c>
      <c r="T31" s="1467" t="s">
        <v>27688</v>
      </c>
      <c r="U31" s="1396"/>
      <c r="V31" s="1946">
        <f t="shared" si="4"/>
        <v>0</v>
      </c>
      <c r="W31" s="1946">
        <f t="shared" si="5"/>
        <v>0</v>
      </c>
      <c r="X31" s="1946">
        <f t="shared" si="8"/>
        <v>0</v>
      </c>
      <c r="Y31" s="1946">
        <f t="shared" si="9"/>
        <v>0</v>
      </c>
      <c r="Z31" s="1396"/>
      <c r="AA31" s="1946">
        <f t="shared" si="6"/>
        <v>0</v>
      </c>
      <c r="AB31" s="1946">
        <f t="shared" si="7"/>
        <v>0</v>
      </c>
      <c r="AC31" s="1946">
        <f t="shared" si="10"/>
        <v>0</v>
      </c>
      <c r="AD31" s="1946">
        <f t="shared" si="11"/>
        <v>0</v>
      </c>
      <c r="AE31" s="1396"/>
      <c r="AF31" s="1396"/>
      <c r="AG31" s="1396"/>
      <c r="AH31" s="1396"/>
      <c r="AI31" s="1396"/>
      <c r="AJ31" s="1396"/>
      <c r="AK31" s="1396"/>
      <c r="AL31" s="1396"/>
      <c r="AM31" s="1396"/>
      <c r="AN31" s="1396"/>
      <c r="AO31" s="1396"/>
      <c r="AP31" s="1396"/>
      <c r="AQ31" s="1396"/>
      <c r="AR31" s="1396"/>
      <c r="AS31" s="1396"/>
      <c r="AT31" s="1396"/>
      <c r="AU31" s="1396"/>
      <c r="AV31" s="1396"/>
      <c r="AW31" s="1396"/>
      <c r="AX31" s="1396"/>
      <c r="AY31" s="1396"/>
      <c r="AZ31" s="1396"/>
      <c r="BA31" s="1396"/>
      <c r="BB31" s="1396"/>
      <c r="BC31" s="1396"/>
    </row>
    <row r="32" spans="1:55" x14ac:dyDescent="0.45">
      <c r="A32" s="1466" t="s">
        <v>27857</v>
      </c>
      <c r="B32" s="1466"/>
      <c r="C32" s="1565" t="s">
        <v>27769</v>
      </c>
      <c r="D32" s="1947">
        <v>0</v>
      </c>
      <c r="E32" s="1948">
        <v>0</v>
      </c>
      <c r="F32" s="1947">
        <v>0</v>
      </c>
      <c r="G32" s="1132">
        <v>0</v>
      </c>
      <c r="H32" s="2135">
        <v>0</v>
      </c>
      <c r="I32" s="1948">
        <v>0</v>
      </c>
      <c r="J32" s="1675">
        <f>SUM('6a_Health_full_time'!F43,'6a_Health_full_time'!I43,'6a_Health_full_time'!F45,'6a_Health_full_time'!I45)</f>
        <v>0</v>
      </c>
      <c r="K32" s="1141">
        <f>SUM('6c_Health_part_time'!F43,'6c_Health_part_time'!I43,'6c_Health_part_time'!F45,'6c_Health_part_time'!I45)</f>
        <v>0</v>
      </c>
      <c r="L32" s="1133">
        <f t="shared" si="0"/>
        <v>0</v>
      </c>
      <c r="M32" s="1133">
        <f t="shared" si="1"/>
        <v>0</v>
      </c>
      <c r="N32" s="1134">
        <f t="shared" si="2"/>
        <v>0</v>
      </c>
      <c r="O32" s="1134">
        <f t="shared" si="3"/>
        <v>0</v>
      </c>
      <c r="P32" s="1082"/>
      <c r="Q32" s="1396"/>
      <c r="R32" s="1396"/>
      <c r="S32" s="1467" t="s">
        <v>27858</v>
      </c>
      <c r="T32" s="1467" t="s">
        <v>27826</v>
      </c>
      <c r="U32" s="1396"/>
      <c r="V32" s="1946">
        <f t="shared" si="4"/>
        <v>0</v>
      </c>
      <c r="W32" s="1946">
        <f t="shared" si="5"/>
        <v>0</v>
      </c>
      <c r="X32" s="1946">
        <f t="shared" si="8"/>
        <v>0</v>
      </c>
      <c r="Y32" s="1946">
        <f t="shared" si="9"/>
        <v>0</v>
      </c>
      <c r="Z32" s="1396"/>
      <c r="AA32" s="1946">
        <f t="shared" si="6"/>
        <v>0</v>
      </c>
      <c r="AB32" s="1946">
        <f t="shared" si="7"/>
        <v>0</v>
      </c>
      <c r="AC32" s="1946">
        <f t="shared" si="10"/>
        <v>0</v>
      </c>
      <c r="AD32" s="1946">
        <f t="shared" si="11"/>
        <v>0</v>
      </c>
      <c r="AE32" s="1396"/>
      <c r="AF32" s="1396"/>
      <c r="AG32" s="1396"/>
      <c r="AH32" s="1396"/>
      <c r="AI32" s="1396"/>
      <c r="AJ32" s="1396"/>
      <c r="AK32" s="1396"/>
      <c r="AL32" s="1396"/>
      <c r="AM32" s="1396"/>
      <c r="AN32" s="1396"/>
      <c r="AO32" s="1396"/>
      <c r="AP32" s="1396"/>
      <c r="AQ32" s="1396"/>
      <c r="AR32" s="1396"/>
      <c r="AS32" s="1396"/>
      <c r="AT32" s="1396"/>
      <c r="AU32" s="1396"/>
      <c r="AV32" s="1396"/>
      <c r="AW32" s="1396"/>
      <c r="AX32" s="1396"/>
      <c r="AY32" s="1396"/>
      <c r="AZ32" s="1396"/>
      <c r="BA32" s="1396"/>
      <c r="BB32" s="1396"/>
      <c r="BC32" s="1396"/>
    </row>
    <row r="33" spans="1:55" x14ac:dyDescent="0.45">
      <c r="A33" s="1135"/>
      <c r="B33" s="1135"/>
      <c r="C33" s="1566" t="s">
        <v>210</v>
      </c>
      <c r="D33" s="1142">
        <v>0</v>
      </c>
      <c r="E33" s="1143">
        <v>0</v>
      </c>
      <c r="F33" s="1142">
        <v>0</v>
      </c>
      <c r="G33" s="1471">
        <v>0</v>
      </c>
      <c r="H33" s="2138">
        <v>0</v>
      </c>
      <c r="I33" s="1143">
        <v>0</v>
      </c>
      <c r="J33" s="1142">
        <f>SUM('6a_Health_full_time'!F44,'6a_Health_full_time'!I44,'6a_Health_full_time'!F46,'6a_Health_full_time'!I46)</f>
        <v>0</v>
      </c>
      <c r="K33" s="1143">
        <f>SUM('6c_Health_part_time'!F44,'6c_Health_part_time'!I44,'6c_Health_part_time'!F46,'6c_Health_part_time'!I46)</f>
        <v>0</v>
      </c>
      <c r="L33" s="1144">
        <f t="shared" si="0"/>
        <v>0</v>
      </c>
      <c r="M33" s="1144">
        <f t="shared" si="1"/>
        <v>0</v>
      </c>
      <c r="N33" s="1145">
        <f t="shared" si="2"/>
        <v>0</v>
      </c>
      <c r="O33" s="1145">
        <f t="shared" si="3"/>
        <v>0</v>
      </c>
      <c r="P33" s="1082"/>
      <c r="Q33" s="1396"/>
      <c r="R33" s="1396"/>
      <c r="S33" s="1467" t="s">
        <v>27858</v>
      </c>
      <c r="T33" s="1467" t="s">
        <v>27688</v>
      </c>
      <c r="U33" s="1396"/>
      <c r="V33" s="1946">
        <f t="shared" si="4"/>
        <v>0</v>
      </c>
      <c r="W33" s="1946">
        <f t="shared" si="5"/>
        <v>0</v>
      </c>
      <c r="X33" s="1946">
        <f t="shared" si="8"/>
        <v>0</v>
      </c>
      <c r="Y33" s="1946">
        <f t="shared" si="9"/>
        <v>0</v>
      </c>
      <c r="Z33" s="1396"/>
      <c r="AA33" s="1946">
        <f t="shared" si="6"/>
        <v>0</v>
      </c>
      <c r="AB33" s="1946">
        <f t="shared" si="7"/>
        <v>0</v>
      </c>
      <c r="AC33" s="1946">
        <f t="shared" si="10"/>
        <v>0</v>
      </c>
      <c r="AD33" s="1946">
        <f t="shared" si="11"/>
        <v>0</v>
      </c>
      <c r="AE33" s="1396"/>
      <c r="AF33" s="1396"/>
      <c r="AG33" s="1396"/>
      <c r="AH33" s="1396"/>
      <c r="AI33" s="1396"/>
      <c r="AJ33" s="1396"/>
      <c r="AK33" s="1396"/>
      <c r="AL33" s="1396"/>
      <c r="AM33" s="1396"/>
      <c r="AN33" s="1396"/>
      <c r="AO33" s="1396"/>
      <c r="AP33" s="1396"/>
      <c r="AQ33" s="1396"/>
      <c r="AR33" s="1396"/>
      <c r="AS33" s="1396"/>
      <c r="AT33" s="1396"/>
      <c r="AU33" s="1396"/>
      <c r="AV33" s="1396"/>
      <c r="AW33" s="1396"/>
      <c r="AX33" s="1396"/>
      <c r="AY33" s="1396"/>
      <c r="AZ33" s="1396"/>
      <c r="BA33" s="1396"/>
      <c r="BB33" s="1396"/>
      <c r="BC33" s="1396"/>
    </row>
    <row r="34" spans="1:55" x14ac:dyDescent="0.45">
      <c r="A34" s="1466" t="s">
        <v>27859</v>
      </c>
      <c r="B34" s="1466"/>
      <c r="C34" s="1565" t="s">
        <v>27769</v>
      </c>
      <c r="D34" s="1947">
        <v>0</v>
      </c>
      <c r="E34" s="1948">
        <v>0</v>
      </c>
      <c r="F34" s="1947">
        <v>0</v>
      </c>
      <c r="G34" s="1132">
        <v>0</v>
      </c>
      <c r="H34" s="2135">
        <v>0</v>
      </c>
      <c r="I34" s="1948">
        <v>0</v>
      </c>
      <c r="J34" s="1675">
        <f>SUM('6a_Health_full_time'!F47,'6a_Health_full_time'!I47,'6a_Health_full_time'!F49,'6a_Health_full_time'!I49)</f>
        <v>0</v>
      </c>
      <c r="K34" s="1141">
        <f>SUM('6c_Health_part_time'!F47,'6c_Health_part_time'!I47,'6c_Health_part_time'!F49,'6c_Health_part_time'!I49)</f>
        <v>0</v>
      </c>
      <c r="L34" s="1133">
        <f t="shared" si="0"/>
        <v>0</v>
      </c>
      <c r="M34" s="1133">
        <f t="shared" si="1"/>
        <v>0</v>
      </c>
      <c r="N34" s="1134">
        <f t="shared" si="2"/>
        <v>0</v>
      </c>
      <c r="O34" s="1134">
        <f t="shared" si="3"/>
        <v>0</v>
      </c>
      <c r="P34" s="1082"/>
      <c r="Q34" s="1396"/>
      <c r="R34" s="1396"/>
      <c r="S34" s="1467" t="s">
        <v>27860</v>
      </c>
      <c r="T34" s="1467" t="s">
        <v>27826</v>
      </c>
      <c r="U34" s="1396"/>
      <c r="V34" s="1946">
        <f t="shared" si="4"/>
        <v>0</v>
      </c>
      <c r="W34" s="1946">
        <f t="shared" si="5"/>
        <v>0</v>
      </c>
      <c r="X34" s="1946">
        <f t="shared" si="8"/>
        <v>0</v>
      </c>
      <c r="Y34" s="1946">
        <f t="shared" si="9"/>
        <v>0</v>
      </c>
      <c r="Z34" s="1396"/>
      <c r="AA34" s="1946">
        <f t="shared" si="6"/>
        <v>0</v>
      </c>
      <c r="AB34" s="1946">
        <f t="shared" si="7"/>
        <v>0</v>
      </c>
      <c r="AC34" s="1946">
        <f t="shared" si="10"/>
        <v>0</v>
      </c>
      <c r="AD34" s="1946">
        <f t="shared" si="11"/>
        <v>0</v>
      </c>
      <c r="AE34" s="1396"/>
      <c r="AF34" s="1396"/>
      <c r="AG34" s="1396"/>
      <c r="AH34" s="1396"/>
      <c r="AI34" s="1396"/>
      <c r="AJ34" s="1396"/>
      <c r="AK34" s="1396"/>
      <c r="AL34" s="1396"/>
      <c r="AM34" s="1396"/>
      <c r="AN34" s="1396"/>
      <c r="AO34" s="1396"/>
      <c r="AP34" s="1396"/>
      <c r="AQ34" s="1396"/>
      <c r="AR34" s="1396"/>
      <c r="AS34" s="1396"/>
      <c r="AT34" s="1396"/>
      <c r="AU34" s="1396"/>
      <c r="AV34" s="1396"/>
      <c r="AW34" s="1396"/>
      <c r="AX34" s="1396"/>
      <c r="AY34" s="1396"/>
      <c r="AZ34" s="1396"/>
      <c r="BA34" s="1396"/>
      <c r="BB34" s="1396"/>
      <c r="BC34" s="1396"/>
    </row>
    <row r="35" spans="1:55" x14ac:dyDescent="0.45">
      <c r="A35" s="1135"/>
      <c r="B35" s="1135"/>
      <c r="C35" s="1566" t="s">
        <v>210</v>
      </c>
      <c r="D35" s="1142">
        <v>0</v>
      </c>
      <c r="E35" s="1143">
        <v>0</v>
      </c>
      <c r="F35" s="1142">
        <v>0</v>
      </c>
      <c r="G35" s="1471">
        <v>0</v>
      </c>
      <c r="H35" s="2138">
        <v>0</v>
      </c>
      <c r="I35" s="1143">
        <v>0</v>
      </c>
      <c r="J35" s="1142">
        <f>SUM('6a_Health_full_time'!F48,'6a_Health_full_time'!I48,'6a_Health_full_time'!F50,'6a_Health_full_time'!I50)</f>
        <v>0</v>
      </c>
      <c r="K35" s="1143">
        <f>SUM('6c_Health_part_time'!F48,'6c_Health_part_time'!I48,'6c_Health_part_time'!F50,'6c_Health_part_time'!I50)</f>
        <v>0</v>
      </c>
      <c r="L35" s="1144">
        <f t="shared" si="0"/>
        <v>0</v>
      </c>
      <c r="M35" s="1144">
        <f t="shared" si="1"/>
        <v>0</v>
      </c>
      <c r="N35" s="1145">
        <f t="shared" si="2"/>
        <v>0</v>
      </c>
      <c r="O35" s="1145">
        <f t="shared" si="3"/>
        <v>0</v>
      </c>
      <c r="P35" s="1082"/>
      <c r="Q35" s="1396"/>
      <c r="R35" s="1396"/>
      <c r="S35" s="1467" t="s">
        <v>27860</v>
      </c>
      <c r="T35" s="1467" t="s">
        <v>27688</v>
      </c>
      <c r="U35" s="1396"/>
      <c r="V35" s="1946">
        <f t="shared" si="4"/>
        <v>0</v>
      </c>
      <c r="W35" s="1946">
        <f t="shared" si="5"/>
        <v>0</v>
      </c>
      <c r="X35" s="1946">
        <f t="shared" si="8"/>
        <v>0</v>
      </c>
      <c r="Y35" s="1946">
        <f t="shared" si="9"/>
        <v>0</v>
      </c>
      <c r="Z35" s="1396"/>
      <c r="AA35" s="1946">
        <f t="shared" si="6"/>
        <v>0</v>
      </c>
      <c r="AB35" s="1946">
        <f t="shared" si="7"/>
        <v>0</v>
      </c>
      <c r="AC35" s="1946">
        <f t="shared" si="10"/>
        <v>0</v>
      </c>
      <c r="AD35" s="1946">
        <f t="shared" si="11"/>
        <v>0</v>
      </c>
      <c r="AE35" s="1396"/>
      <c r="AF35" s="1396"/>
      <c r="AG35" s="1396"/>
      <c r="AH35" s="1396"/>
      <c r="AI35" s="1396"/>
      <c r="AJ35" s="1396"/>
      <c r="AK35" s="1396"/>
      <c r="AL35" s="1396"/>
      <c r="AM35" s="1396"/>
      <c r="AN35" s="1396"/>
      <c r="AO35" s="1396"/>
      <c r="AP35" s="1396"/>
      <c r="AQ35" s="1396"/>
      <c r="AR35" s="1396"/>
      <c r="AS35" s="1396"/>
      <c r="AT35" s="1396"/>
      <c r="AU35" s="1396"/>
      <c r="AV35" s="1396"/>
      <c r="AW35" s="1396"/>
      <c r="AX35" s="1396"/>
      <c r="AY35" s="1396"/>
      <c r="AZ35" s="1396"/>
      <c r="BA35" s="1396"/>
      <c r="BB35" s="1396"/>
      <c r="BC35" s="1396"/>
    </row>
    <row r="36" spans="1:55" x14ac:dyDescent="0.45">
      <c r="A36" s="1466" t="s">
        <v>27861</v>
      </c>
      <c r="B36" s="1466"/>
      <c r="C36" s="1565" t="s">
        <v>27769</v>
      </c>
      <c r="D36" s="1947">
        <v>0</v>
      </c>
      <c r="E36" s="1948">
        <v>0</v>
      </c>
      <c r="F36" s="1947">
        <v>0</v>
      </c>
      <c r="G36" s="1132">
        <v>0</v>
      </c>
      <c r="H36" s="2135">
        <v>0</v>
      </c>
      <c r="I36" s="1948">
        <v>0</v>
      </c>
      <c r="J36" s="1675">
        <f>SUM('6a_Health_full_time'!F51,'6a_Health_full_time'!I51,'6a_Health_full_time'!F53,'6a_Health_full_time'!I53)</f>
        <v>0</v>
      </c>
      <c r="K36" s="1141">
        <f>SUM('6c_Health_part_time'!F51,'6c_Health_part_time'!I51,'6c_Health_part_time'!F53,'6c_Health_part_time'!I53)</f>
        <v>0</v>
      </c>
      <c r="L36" s="1133">
        <f t="shared" si="0"/>
        <v>0</v>
      </c>
      <c r="M36" s="1133">
        <f t="shared" si="1"/>
        <v>0</v>
      </c>
      <c r="N36" s="1134">
        <f t="shared" si="2"/>
        <v>0</v>
      </c>
      <c r="O36" s="1134">
        <f t="shared" si="3"/>
        <v>0</v>
      </c>
      <c r="P36" s="1082"/>
      <c r="Q36" s="1396"/>
      <c r="R36" s="1396"/>
      <c r="S36" s="1467" t="s">
        <v>27862</v>
      </c>
      <c r="T36" s="1467" t="s">
        <v>27826</v>
      </c>
      <c r="U36" s="1396"/>
      <c r="V36" s="1946">
        <f t="shared" si="4"/>
        <v>0</v>
      </c>
      <c r="W36" s="1946">
        <f t="shared" si="5"/>
        <v>0</v>
      </c>
      <c r="X36" s="1946">
        <f t="shared" si="8"/>
        <v>0</v>
      </c>
      <c r="Y36" s="1946">
        <f t="shared" si="9"/>
        <v>0</v>
      </c>
      <c r="Z36" s="1396"/>
      <c r="AA36" s="1946">
        <f t="shared" si="6"/>
        <v>0</v>
      </c>
      <c r="AB36" s="1946">
        <f t="shared" si="7"/>
        <v>0</v>
      </c>
      <c r="AC36" s="1946">
        <f t="shared" si="10"/>
        <v>0</v>
      </c>
      <c r="AD36" s="1946">
        <f t="shared" si="11"/>
        <v>0</v>
      </c>
      <c r="AE36" s="1396"/>
      <c r="AF36" s="1396"/>
      <c r="AG36" s="1396"/>
      <c r="AH36" s="1396"/>
      <c r="AI36" s="1396"/>
      <c r="AJ36" s="1396"/>
      <c r="AK36" s="1396"/>
      <c r="AL36" s="1396"/>
      <c r="AM36" s="1396"/>
      <c r="AN36" s="1396"/>
      <c r="AO36" s="1396"/>
      <c r="AP36" s="1396"/>
      <c r="AQ36" s="1396"/>
      <c r="AR36" s="1396"/>
      <c r="AS36" s="1396"/>
      <c r="AT36" s="1396"/>
      <c r="AU36" s="1396"/>
      <c r="AV36" s="1396"/>
      <c r="AW36" s="1396"/>
      <c r="AX36" s="1396"/>
      <c r="AY36" s="1396"/>
      <c r="AZ36" s="1396"/>
      <c r="BA36" s="1396"/>
      <c r="BB36" s="1396"/>
      <c r="BC36" s="1396"/>
    </row>
    <row r="37" spans="1:55" x14ac:dyDescent="0.45">
      <c r="A37" s="1135"/>
      <c r="B37" s="1135"/>
      <c r="C37" s="1566" t="s">
        <v>210</v>
      </c>
      <c r="D37" s="1142">
        <v>0</v>
      </c>
      <c r="E37" s="1143">
        <v>0</v>
      </c>
      <c r="F37" s="1142">
        <v>0</v>
      </c>
      <c r="G37" s="1471">
        <v>0</v>
      </c>
      <c r="H37" s="2138">
        <v>0</v>
      </c>
      <c r="I37" s="1143">
        <v>0</v>
      </c>
      <c r="J37" s="1142">
        <f>SUM('6a_Health_full_time'!F52,'6a_Health_full_time'!I52,'6a_Health_full_time'!F54,'6a_Health_full_time'!I54)</f>
        <v>0</v>
      </c>
      <c r="K37" s="1143">
        <f>SUM('6c_Health_part_time'!F52,'6c_Health_part_time'!I52,'6c_Health_part_time'!F54,'6c_Health_part_time'!I54)</f>
        <v>0</v>
      </c>
      <c r="L37" s="1144">
        <f t="shared" si="0"/>
        <v>0</v>
      </c>
      <c r="M37" s="1144">
        <f t="shared" si="1"/>
        <v>0</v>
      </c>
      <c r="N37" s="1145">
        <f t="shared" si="2"/>
        <v>0</v>
      </c>
      <c r="O37" s="1145">
        <f t="shared" si="3"/>
        <v>0</v>
      </c>
      <c r="P37" s="1082"/>
      <c r="Q37" s="1396"/>
      <c r="R37" s="1396"/>
      <c r="S37" s="1467" t="s">
        <v>27862</v>
      </c>
      <c r="T37" s="1467" t="s">
        <v>27688</v>
      </c>
      <c r="U37" s="1396"/>
      <c r="V37" s="1946">
        <f t="shared" si="4"/>
        <v>0</v>
      </c>
      <c r="W37" s="1946">
        <f t="shared" si="5"/>
        <v>0</v>
      </c>
      <c r="X37" s="1946">
        <f t="shared" si="8"/>
        <v>0</v>
      </c>
      <c r="Y37" s="1946">
        <f t="shared" si="9"/>
        <v>0</v>
      </c>
      <c r="Z37" s="1396"/>
      <c r="AA37" s="1946">
        <f t="shared" si="6"/>
        <v>0</v>
      </c>
      <c r="AB37" s="1946">
        <f t="shared" si="7"/>
        <v>0</v>
      </c>
      <c r="AC37" s="1946">
        <f t="shared" si="10"/>
        <v>0</v>
      </c>
      <c r="AD37" s="1946">
        <f t="shared" si="11"/>
        <v>0</v>
      </c>
      <c r="AE37" s="1396"/>
      <c r="AF37" s="1396"/>
      <c r="AG37" s="1396"/>
      <c r="AH37" s="1396"/>
      <c r="AI37" s="1396"/>
      <c r="AJ37" s="1396"/>
      <c r="AK37" s="1396"/>
      <c r="AL37" s="1396"/>
      <c r="AM37" s="1396"/>
      <c r="AN37" s="1396"/>
      <c r="AO37" s="1396"/>
      <c r="AP37" s="1396"/>
      <c r="AQ37" s="1396"/>
      <c r="AR37" s="1396"/>
      <c r="AS37" s="1396"/>
      <c r="AT37" s="1396"/>
      <c r="AU37" s="1396"/>
      <c r="AV37" s="1396"/>
      <c r="AW37" s="1396"/>
      <c r="AX37" s="1396"/>
      <c r="AY37" s="1396"/>
      <c r="AZ37" s="1396"/>
      <c r="BA37" s="1396"/>
      <c r="BB37" s="1396"/>
      <c r="BC37" s="1396"/>
    </row>
    <row r="38" spans="1:55" x14ac:dyDescent="0.45">
      <c r="A38" s="1466" t="s">
        <v>27863</v>
      </c>
      <c r="B38" s="1466"/>
      <c r="C38" s="1565" t="s">
        <v>27769</v>
      </c>
      <c r="D38" s="1947">
        <v>0</v>
      </c>
      <c r="E38" s="1948">
        <v>0</v>
      </c>
      <c r="F38" s="1947">
        <v>0</v>
      </c>
      <c r="G38" s="1132">
        <v>0</v>
      </c>
      <c r="H38" s="2135">
        <v>0</v>
      </c>
      <c r="I38" s="1948">
        <v>0</v>
      </c>
      <c r="J38" s="1675">
        <f>SUM('6a_Health_full_time'!F55,'6a_Health_full_time'!I55,'6a_Health_full_time'!F57,'6a_Health_full_time'!I57)</f>
        <v>0</v>
      </c>
      <c r="K38" s="1141">
        <f>SUM('6c_Health_part_time'!F55,'6c_Health_part_time'!I55,'6c_Health_part_time'!F57,'6c_Health_part_time'!I57)</f>
        <v>0</v>
      </c>
      <c r="L38" s="1133">
        <f t="shared" si="0"/>
        <v>0</v>
      </c>
      <c r="M38" s="1133">
        <f t="shared" si="1"/>
        <v>0</v>
      </c>
      <c r="N38" s="1134">
        <f t="shared" si="2"/>
        <v>0</v>
      </c>
      <c r="O38" s="1134">
        <f t="shared" si="3"/>
        <v>0</v>
      </c>
      <c r="P38" s="1082"/>
      <c r="Q38" s="1396"/>
      <c r="R38" s="1396"/>
      <c r="S38" s="1467" t="s">
        <v>27864</v>
      </c>
      <c r="T38" s="1467" t="s">
        <v>27826</v>
      </c>
      <c r="U38" s="1396"/>
      <c r="V38" s="1946">
        <f t="shared" si="4"/>
        <v>0</v>
      </c>
      <c r="W38" s="1946">
        <f t="shared" si="5"/>
        <v>0</v>
      </c>
      <c r="X38" s="1946">
        <f t="shared" si="8"/>
        <v>0</v>
      </c>
      <c r="Y38" s="1946">
        <f t="shared" si="9"/>
        <v>0</v>
      </c>
      <c r="Z38" s="1396"/>
      <c r="AA38" s="1946">
        <f t="shared" si="6"/>
        <v>0</v>
      </c>
      <c r="AB38" s="1946">
        <f t="shared" si="7"/>
        <v>0</v>
      </c>
      <c r="AC38" s="1946">
        <f t="shared" si="10"/>
        <v>0</v>
      </c>
      <c r="AD38" s="1946">
        <f t="shared" si="11"/>
        <v>0</v>
      </c>
      <c r="AE38" s="1396"/>
      <c r="AF38" s="1396"/>
      <c r="AG38" s="1396"/>
      <c r="AH38" s="1396"/>
      <c r="AI38" s="1396"/>
      <c r="AJ38" s="1396"/>
      <c r="AK38" s="1396"/>
      <c r="AL38" s="1396"/>
      <c r="AM38" s="1396"/>
      <c r="AN38" s="1396"/>
      <c r="AO38" s="1396"/>
      <c r="AP38" s="1396"/>
      <c r="AQ38" s="1396"/>
      <c r="AR38" s="1396"/>
      <c r="AS38" s="1396"/>
      <c r="AT38" s="1396"/>
      <c r="AU38" s="1396"/>
      <c r="AV38" s="1396"/>
      <c r="AW38" s="1396"/>
      <c r="AX38" s="1396"/>
      <c r="AY38" s="1396"/>
      <c r="AZ38" s="1396"/>
      <c r="BA38" s="1396"/>
      <c r="BB38" s="1396"/>
      <c r="BC38" s="1396"/>
    </row>
    <row r="39" spans="1:55" x14ac:dyDescent="0.45">
      <c r="A39" s="1135"/>
      <c r="B39" s="1135"/>
      <c r="C39" s="1566" t="s">
        <v>210</v>
      </c>
      <c r="D39" s="1142">
        <v>0</v>
      </c>
      <c r="E39" s="1143">
        <v>0</v>
      </c>
      <c r="F39" s="1142">
        <v>0</v>
      </c>
      <c r="G39" s="1471">
        <v>0</v>
      </c>
      <c r="H39" s="2138">
        <v>0</v>
      </c>
      <c r="I39" s="1143">
        <v>0</v>
      </c>
      <c r="J39" s="1142">
        <f>SUM('6a_Health_full_time'!F56,'6a_Health_full_time'!I56,'6a_Health_full_time'!F58,'6a_Health_full_time'!I58)</f>
        <v>0</v>
      </c>
      <c r="K39" s="1143">
        <f>SUM('6c_Health_part_time'!F56,'6c_Health_part_time'!I56,'6c_Health_part_time'!F58,'6c_Health_part_time'!I58)</f>
        <v>0</v>
      </c>
      <c r="L39" s="1144">
        <f t="shared" si="0"/>
        <v>0</v>
      </c>
      <c r="M39" s="1144">
        <f t="shared" si="1"/>
        <v>0</v>
      </c>
      <c r="N39" s="1145">
        <f t="shared" si="2"/>
        <v>0</v>
      </c>
      <c r="O39" s="1145">
        <f t="shared" si="3"/>
        <v>0</v>
      </c>
      <c r="P39" s="1082"/>
      <c r="Q39" s="1396"/>
      <c r="R39" s="1396"/>
      <c r="S39" s="1467" t="s">
        <v>27864</v>
      </c>
      <c r="T39" s="1467" t="s">
        <v>27688</v>
      </c>
      <c r="U39" s="1396"/>
      <c r="V39" s="1946">
        <f t="shared" si="4"/>
        <v>0</v>
      </c>
      <c r="W39" s="1946">
        <f t="shared" si="5"/>
        <v>0</v>
      </c>
      <c r="X39" s="1946">
        <f t="shared" si="8"/>
        <v>0</v>
      </c>
      <c r="Y39" s="1946">
        <f t="shared" si="9"/>
        <v>0</v>
      </c>
      <c r="Z39" s="1396"/>
      <c r="AA39" s="1946">
        <f t="shared" si="6"/>
        <v>0</v>
      </c>
      <c r="AB39" s="1946">
        <f t="shared" si="7"/>
        <v>0</v>
      </c>
      <c r="AC39" s="1946">
        <f t="shared" si="10"/>
        <v>0</v>
      </c>
      <c r="AD39" s="1946">
        <f t="shared" si="11"/>
        <v>0</v>
      </c>
      <c r="AE39" s="1396"/>
      <c r="AF39" s="1396"/>
      <c r="AG39" s="1396"/>
      <c r="AH39" s="1396"/>
      <c r="AI39" s="1396"/>
      <c r="AJ39" s="1396"/>
      <c r="AK39" s="1396"/>
      <c r="AL39" s="1396"/>
      <c r="AM39" s="1396"/>
      <c r="AN39" s="1396"/>
      <c r="AO39" s="1396"/>
      <c r="AP39" s="1396"/>
      <c r="AQ39" s="1396"/>
      <c r="AR39" s="1396"/>
      <c r="AS39" s="1396"/>
      <c r="AT39" s="1396"/>
      <c r="AU39" s="1396"/>
      <c r="AV39" s="1396"/>
      <c r="AW39" s="1396"/>
      <c r="AX39" s="1396"/>
      <c r="AY39" s="1396"/>
      <c r="AZ39" s="1396"/>
      <c r="BA39" s="1396"/>
      <c r="BB39" s="1396"/>
      <c r="BC39" s="1396"/>
    </row>
    <row r="40" spans="1:55" x14ac:dyDescent="0.45">
      <c r="A40" s="1466" t="s">
        <v>27865</v>
      </c>
      <c r="B40" s="1466"/>
      <c r="C40" s="1565" t="s">
        <v>27769</v>
      </c>
      <c r="D40" s="1947">
        <v>0</v>
      </c>
      <c r="E40" s="1948">
        <v>0</v>
      </c>
      <c r="F40" s="1947">
        <v>0</v>
      </c>
      <c r="G40" s="1132">
        <v>0</v>
      </c>
      <c r="H40" s="2135">
        <v>0</v>
      </c>
      <c r="I40" s="1948">
        <v>0</v>
      </c>
      <c r="J40" s="1675">
        <f>SUM('6a_Health_full_time'!F59,'6a_Health_full_time'!I59,'6a_Health_full_time'!F61,'6a_Health_full_time'!I61)</f>
        <v>0</v>
      </c>
      <c r="K40" s="1141">
        <f>SUM('6c_Health_part_time'!F59,'6c_Health_part_time'!I59,'6c_Health_part_time'!F61,'6c_Health_part_time'!I61)</f>
        <v>0</v>
      </c>
      <c r="L40" s="1133">
        <f t="shared" si="0"/>
        <v>0</v>
      </c>
      <c r="M40" s="1133">
        <f t="shared" si="1"/>
        <v>0</v>
      </c>
      <c r="N40" s="1134">
        <f t="shared" si="2"/>
        <v>0</v>
      </c>
      <c r="O40" s="1134">
        <f t="shared" si="3"/>
        <v>0</v>
      </c>
      <c r="P40" s="1082"/>
      <c r="Q40" s="1396"/>
      <c r="R40" s="1396"/>
      <c r="S40" s="1467" t="s">
        <v>27866</v>
      </c>
      <c r="T40" s="1467" t="s">
        <v>27826</v>
      </c>
      <c r="U40" s="1396"/>
      <c r="V40" s="1946">
        <f t="shared" si="4"/>
        <v>0</v>
      </c>
      <c r="W40" s="1946">
        <f t="shared" si="5"/>
        <v>0</v>
      </c>
      <c r="X40" s="1946">
        <f t="shared" si="8"/>
        <v>0</v>
      </c>
      <c r="Y40" s="1946">
        <f t="shared" si="9"/>
        <v>0</v>
      </c>
      <c r="Z40" s="1396"/>
      <c r="AA40" s="1946">
        <f t="shared" si="6"/>
        <v>0</v>
      </c>
      <c r="AB40" s="1946">
        <f t="shared" si="7"/>
        <v>0</v>
      </c>
      <c r="AC40" s="1946">
        <f t="shared" si="10"/>
        <v>0</v>
      </c>
      <c r="AD40" s="1946">
        <f t="shared" si="11"/>
        <v>0</v>
      </c>
      <c r="AE40" s="1396"/>
      <c r="AF40" s="1396"/>
      <c r="AG40" s="1396"/>
      <c r="AH40" s="1396"/>
      <c r="AI40" s="1396"/>
      <c r="AJ40" s="1396"/>
      <c r="AK40" s="1396"/>
      <c r="AL40" s="1396"/>
      <c r="AM40" s="1396"/>
      <c r="AN40" s="1396"/>
      <c r="AO40" s="1396"/>
      <c r="AP40" s="1396"/>
      <c r="AQ40" s="1396"/>
      <c r="AR40" s="1396"/>
      <c r="AS40" s="1396"/>
      <c r="AT40" s="1396"/>
      <c r="AU40" s="1396"/>
      <c r="AV40" s="1396"/>
      <c r="AW40" s="1396"/>
      <c r="AX40" s="1396"/>
      <c r="AY40" s="1396"/>
      <c r="AZ40" s="1396"/>
      <c r="BA40" s="1396"/>
      <c r="BB40" s="1396"/>
      <c r="BC40" s="1396"/>
    </row>
    <row r="41" spans="1:55" x14ac:dyDescent="0.45">
      <c r="A41" s="1135"/>
      <c r="B41" s="1135"/>
      <c r="C41" s="1566" t="s">
        <v>210</v>
      </c>
      <c r="D41" s="1142">
        <v>0</v>
      </c>
      <c r="E41" s="1143">
        <v>0</v>
      </c>
      <c r="F41" s="1142">
        <v>0</v>
      </c>
      <c r="G41" s="1471">
        <v>0</v>
      </c>
      <c r="H41" s="2138">
        <v>0</v>
      </c>
      <c r="I41" s="1143">
        <v>0</v>
      </c>
      <c r="J41" s="1142">
        <f>SUM('6a_Health_full_time'!F60,'6a_Health_full_time'!I60,'6a_Health_full_time'!F62,'6a_Health_full_time'!I62)</f>
        <v>0</v>
      </c>
      <c r="K41" s="1143">
        <f>SUM('6c_Health_part_time'!F60,'6c_Health_part_time'!I60,'6c_Health_part_time'!F62,'6c_Health_part_time'!I62)</f>
        <v>0</v>
      </c>
      <c r="L41" s="1144">
        <f t="shared" si="0"/>
        <v>0</v>
      </c>
      <c r="M41" s="1144">
        <f t="shared" si="1"/>
        <v>0</v>
      </c>
      <c r="N41" s="1145">
        <f t="shared" si="2"/>
        <v>0</v>
      </c>
      <c r="O41" s="1145">
        <f t="shared" si="3"/>
        <v>0</v>
      </c>
      <c r="P41" s="1082"/>
      <c r="Q41" s="1396"/>
      <c r="R41" s="1396"/>
      <c r="S41" s="1467" t="s">
        <v>27866</v>
      </c>
      <c r="T41" s="1467" t="s">
        <v>27688</v>
      </c>
      <c r="U41" s="1396"/>
      <c r="V41" s="1946">
        <f t="shared" si="4"/>
        <v>0</v>
      </c>
      <c r="W41" s="1946">
        <f t="shared" si="5"/>
        <v>0</v>
      </c>
      <c r="X41" s="1946">
        <f t="shared" si="8"/>
        <v>0</v>
      </c>
      <c r="Y41" s="1946">
        <f t="shared" si="9"/>
        <v>0</v>
      </c>
      <c r="Z41" s="1396"/>
      <c r="AA41" s="1946">
        <f t="shared" si="6"/>
        <v>0</v>
      </c>
      <c r="AB41" s="1946">
        <f t="shared" si="7"/>
        <v>0</v>
      </c>
      <c r="AC41" s="1946">
        <f t="shared" si="10"/>
        <v>0</v>
      </c>
      <c r="AD41" s="1946">
        <f t="shared" si="11"/>
        <v>0</v>
      </c>
      <c r="AE41" s="1396"/>
      <c r="AF41" s="1396"/>
      <c r="AG41" s="1396"/>
      <c r="AH41" s="1396"/>
      <c r="AI41" s="1396"/>
      <c r="AJ41" s="1396"/>
      <c r="AK41" s="1396"/>
      <c r="AL41" s="1396"/>
      <c r="AM41" s="1396"/>
      <c r="AN41" s="1396"/>
      <c r="AO41" s="1396"/>
      <c r="AP41" s="1396"/>
      <c r="AQ41" s="1396"/>
      <c r="AR41" s="1396"/>
      <c r="AS41" s="1396"/>
      <c r="AT41" s="1396"/>
      <c r="AU41" s="1396"/>
      <c r="AV41" s="1396"/>
      <c r="AW41" s="1396"/>
      <c r="AX41" s="1396"/>
      <c r="AY41" s="1396"/>
      <c r="AZ41" s="1396"/>
      <c r="BA41" s="1396"/>
      <c r="BB41" s="1396"/>
      <c r="BC41" s="1396"/>
    </row>
    <row r="42" spans="1:55" x14ac:dyDescent="0.45">
      <c r="A42" s="1466" t="s">
        <v>27867</v>
      </c>
      <c r="B42" s="1466"/>
      <c r="C42" s="1565" t="s">
        <v>27769</v>
      </c>
      <c r="D42" s="1947">
        <v>0</v>
      </c>
      <c r="E42" s="1948">
        <v>0</v>
      </c>
      <c r="F42" s="1947">
        <v>0</v>
      </c>
      <c r="G42" s="1132">
        <v>0</v>
      </c>
      <c r="H42" s="2135">
        <v>0</v>
      </c>
      <c r="I42" s="1948">
        <v>0</v>
      </c>
      <c r="J42" s="1675">
        <f>SUM('6a_Health_full_time'!F63,'6a_Health_full_time'!I63,'6a_Health_full_time'!F65,'6a_Health_full_time'!I65)</f>
        <v>0</v>
      </c>
      <c r="K42" s="1141">
        <f>SUM('6c_Health_part_time'!F63,'6c_Health_part_time'!I63,'6c_Health_part_time'!F65,'6c_Health_part_time'!I65)</f>
        <v>0</v>
      </c>
      <c r="L42" s="1133">
        <f t="shared" si="0"/>
        <v>0</v>
      </c>
      <c r="M42" s="1133">
        <f t="shared" si="1"/>
        <v>0</v>
      </c>
      <c r="N42" s="1134">
        <f t="shared" si="2"/>
        <v>0</v>
      </c>
      <c r="O42" s="1134">
        <f t="shared" si="3"/>
        <v>0</v>
      </c>
      <c r="P42" s="1082"/>
      <c r="Q42" s="1396"/>
      <c r="R42" s="1396"/>
      <c r="S42" s="1467" t="s">
        <v>27868</v>
      </c>
      <c r="T42" s="1467" t="s">
        <v>27826</v>
      </c>
      <c r="U42" s="1396"/>
      <c r="V42" s="1946">
        <f t="shared" si="4"/>
        <v>0</v>
      </c>
      <c r="W42" s="1946">
        <f t="shared" si="5"/>
        <v>0</v>
      </c>
      <c r="X42" s="1946">
        <f t="shared" si="8"/>
        <v>0</v>
      </c>
      <c r="Y42" s="1946">
        <f t="shared" si="9"/>
        <v>0</v>
      </c>
      <c r="Z42" s="1396"/>
      <c r="AA42" s="1946">
        <f t="shared" si="6"/>
        <v>0</v>
      </c>
      <c r="AB42" s="1946">
        <f t="shared" si="7"/>
        <v>0</v>
      </c>
      <c r="AC42" s="1946">
        <f t="shared" si="10"/>
        <v>0</v>
      </c>
      <c r="AD42" s="1946">
        <f t="shared" si="11"/>
        <v>0</v>
      </c>
      <c r="AE42" s="1396"/>
      <c r="AF42" s="1396"/>
      <c r="AG42" s="1396"/>
      <c r="AH42" s="1396"/>
      <c r="AI42" s="1396"/>
      <c r="AJ42" s="1396"/>
      <c r="AK42" s="1396"/>
      <c r="AL42" s="1396"/>
      <c r="AM42" s="1396"/>
      <c r="AN42" s="1396"/>
      <c r="AO42" s="1396"/>
      <c r="AP42" s="1396"/>
      <c r="AQ42" s="1396"/>
      <c r="AR42" s="1396"/>
      <c r="AS42" s="1396"/>
      <c r="AT42" s="1396"/>
      <c r="AU42" s="1396"/>
      <c r="AV42" s="1396"/>
      <c r="AW42" s="1396"/>
      <c r="AX42" s="1396"/>
      <c r="AY42" s="1396"/>
      <c r="AZ42" s="1396"/>
      <c r="BA42" s="1396"/>
      <c r="BB42" s="1396"/>
      <c r="BC42" s="1396"/>
    </row>
    <row r="43" spans="1:55" x14ac:dyDescent="0.45">
      <c r="A43" s="1135"/>
      <c r="B43" s="1135"/>
      <c r="C43" s="1566" t="s">
        <v>210</v>
      </c>
      <c r="D43" s="1142">
        <v>0</v>
      </c>
      <c r="E43" s="1143">
        <v>0</v>
      </c>
      <c r="F43" s="1142">
        <v>0</v>
      </c>
      <c r="G43" s="1471">
        <v>0</v>
      </c>
      <c r="H43" s="2138">
        <v>0</v>
      </c>
      <c r="I43" s="1143">
        <v>0</v>
      </c>
      <c r="J43" s="1142">
        <f>SUM('6a_Health_full_time'!F64,'6a_Health_full_time'!I64,'6a_Health_full_time'!F66,'6a_Health_full_time'!I66)</f>
        <v>0</v>
      </c>
      <c r="K43" s="1143">
        <f>SUM('6c_Health_part_time'!F64,'6c_Health_part_time'!I64,'6c_Health_part_time'!F66,'6c_Health_part_time'!I66)</f>
        <v>0</v>
      </c>
      <c r="L43" s="1144">
        <f t="shared" si="0"/>
        <v>0</v>
      </c>
      <c r="M43" s="1144">
        <f t="shared" si="1"/>
        <v>0</v>
      </c>
      <c r="N43" s="1145">
        <f t="shared" si="2"/>
        <v>0</v>
      </c>
      <c r="O43" s="1145">
        <f t="shared" si="3"/>
        <v>0</v>
      </c>
      <c r="P43" s="1082"/>
      <c r="Q43" s="1396"/>
      <c r="R43" s="1396"/>
      <c r="S43" s="1467" t="s">
        <v>27868</v>
      </c>
      <c r="T43" s="1467" t="s">
        <v>27688</v>
      </c>
      <c r="U43" s="1396"/>
      <c r="V43" s="1946">
        <f t="shared" si="4"/>
        <v>0</v>
      </c>
      <c r="W43" s="1946">
        <f t="shared" si="5"/>
        <v>0</v>
      </c>
      <c r="X43" s="1946">
        <f t="shared" si="8"/>
        <v>0</v>
      </c>
      <c r="Y43" s="1946">
        <f t="shared" si="9"/>
        <v>0</v>
      </c>
      <c r="Z43" s="1396"/>
      <c r="AA43" s="1946">
        <f t="shared" si="6"/>
        <v>0</v>
      </c>
      <c r="AB43" s="1946">
        <f t="shared" si="7"/>
        <v>0</v>
      </c>
      <c r="AC43" s="1946">
        <f t="shared" si="10"/>
        <v>0</v>
      </c>
      <c r="AD43" s="1946">
        <f t="shared" si="11"/>
        <v>0</v>
      </c>
      <c r="AE43" s="1396"/>
      <c r="AF43" s="1396"/>
      <c r="AG43" s="1396"/>
      <c r="AH43" s="1396"/>
      <c r="AI43" s="1396"/>
      <c r="AJ43" s="1396"/>
      <c r="AK43" s="1396"/>
      <c r="AL43" s="1396"/>
      <c r="AM43" s="1396"/>
      <c r="AN43" s="1396"/>
      <c r="AO43" s="1396"/>
      <c r="AP43" s="1396"/>
      <c r="AQ43" s="1396"/>
      <c r="AR43" s="1396"/>
      <c r="AS43" s="1396"/>
      <c r="AT43" s="1396"/>
      <c r="AU43" s="1396"/>
      <c r="AV43" s="1396"/>
      <c r="AW43" s="1396"/>
      <c r="AX43" s="1396"/>
      <c r="AY43" s="1396"/>
      <c r="AZ43" s="1396"/>
      <c r="BA43" s="1396"/>
      <c r="BB43" s="1396"/>
      <c r="BC43" s="1396"/>
    </row>
    <row r="44" spans="1:55" x14ac:dyDescent="0.45">
      <c r="A44" s="1466" t="s">
        <v>27869</v>
      </c>
      <c r="B44" s="1466"/>
      <c r="C44" s="1565" t="s">
        <v>27769</v>
      </c>
      <c r="D44" s="1947">
        <v>0</v>
      </c>
      <c r="E44" s="1948">
        <v>0</v>
      </c>
      <c r="F44" s="1947">
        <v>0</v>
      </c>
      <c r="G44" s="1132">
        <v>0</v>
      </c>
      <c r="H44" s="2135">
        <v>0</v>
      </c>
      <c r="I44" s="1948">
        <v>0</v>
      </c>
      <c r="J44" s="1675">
        <f>SUM('6a_Health_full_time'!F67,'6a_Health_full_time'!I67,'6a_Health_full_time'!F69,'6a_Health_full_time'!I69)</f>
        <v>0</v>
      </c>
      <c r="K44" s="1141">
        <f>SUM('6c_Health_part_time'!F67,'6c_Health_part_time'!I67,'6c_Health_part_time'!F69,'6c_Health_part_time'!I69)</f>
        <v>0</v>
      </c>
      <c r="L44" s="1133">
        <f t="shared" si="0"/>
        <v>0</v>
      </c>
      <c r="M44" s="1133">
        <f t="shared" si="1"/>
        <v>0</v>
      </c>
      <c r="N44" s="1134">
        <f t="shared" si="2"/>
        <v>0</v>
      </c>
      <c r="O44" s="1134">
        <f t="shared" si="3"/>
        <v>0</v>
      </c>
      <c r="P44" s="1082"/>
      <c r="Q44" s="1396"/>
      <c r="R44" s="1396"/>
      <c r="S44" s="1467" t="s">
        <v>27870</v>
      </c>
      <c r="T44" s="1467" t="s">
        <v>27826</v>
      </c>
      <c r="U44" s="1396"/>
      <c r="V44" s="1946">
        <f t="shared" si="4"/>
        <v>0</v>
      </c>
      <c r="W44" s="1946">
        <f t="shared" si="5"/>
        <v>0</v>
      </c>
      <c r="X44" s="1946">
        <f t="shared" si="8"/>
        <v>0</v>
      </c>
      <c r="Y44" s="1946">
        <f t="shared" si="9"/>
        <v>0</v>
      </c>
      <c r="Z44" s="1396"/>
      <c r="AA44" s="1946">
        <f t="shared" si="6"/>
        <v>0</v>
      </c>
      <c r="AB44" s="1946">
        <f t="shared" si="7"/>
        <v>0</v>
      </c>
      <c r="AC44" s="1946">
        <f t="shared" si="10"/>
        <v>0</v>
      </c>
      <c r="AD44" s="1946">
        <f t="shared" si="11"/>
        <v>0</v>
      </c>
      <c r="AE44" s="1396"/>
      <c r="AF44" s="1396"/>
      <c r="AG44" s="1396"/>
      <c r="AH44" s="1396"/>
      <c r="AI44" s="1396"/>
      <c r="AJ44" s="1396"/>
      <c r="AK44" s="1396"/>
      <c r="AL44" s="1396"/>
      <c r="AM44" s="1396"/>
      <c r="AN44" s="1396"/>
      <c r="AO44" s="1396"/>
      <c r="AP44" s="1396"/>
      <c r="AQ44" s="1396"/>
      <c r="AR44" s="1396"/>
      <c r="AS44" s="1396"/>
      <c r="AT44" s="1396"/>
      <c r="AU44" s="1396"/>
      <c r="AV44" s="1396"/>
      <c r="AW44" s="1396"/>
      <c r="AX44" s="1396"/>
      <c r="AY44" s="1396"/>
      <c r="AZ44" s="1396"/>
      <c r="BA44" s="1396"/>
      <c r="BB44" s="1396"/>
      <c r="BC44" s="1396"/>
    </row>
    <row r="45" spans="1:55" x14ac:dyDescent="0.45">
      <c r="A45" s="1135"/>
      <c r="B45" s="1135"/>
      <c r="C45" s="1566" t="s">
        <v>210</v>
      </c>
      <c r="D45" s="1142">
        <v>0</v>
      </c>
      <c r="E45" s="1143">
        <v>0</v>
      </c>
      <c r="F45" s="1142">
        <v>0</v>
      </c>
      <c r="G45" s="1471">
        <v>0</v>
      </c>
      <c r="H45" s="2138">
        <v>0</v>
      </c>
      <c r="I45" s="1143">
        <v>0</v>
      </c>
      <c r="J45" s="1142">
        <f>SUM('6a_Health_full_time'!F68,'6a_Health_full_time'!I68,'6a_Health_full_time'!F70,'6a_Health_full_time'!I70)</f>
        <v>0</v>
      </c>
      <c r="K45" s="1143">
        <f>SUM('6c_Health_part_time'!F68,'6c_Health_part_time'!I68,'6c_Health_part_time'!F70,'6c_Health_part_time'!I70)</f>
        <v>0</v>
      </c>
      <c r="L45" s="1144">
        <f t="shared" si="0"/>
        <v>0</v>
      </c>
      <c r="M45" s="1144">
        <f t="shared" si="1"/>
        <v>0</v>
      </c>
      <c r="N45" s="1145">
        <f t="shared" si="2"/>
        <v>0</v>
      </c>
      <c r="O45" s="1145">
        <f t="shared" si="3"/>
        <v>0</v>
      </c>
      <c r="P45" s="1082"/>
      <c r="Q45" s="1396"/>
      <c r="R45" s="1396"/>
      <c r="S45" s="1467" t="s">
        <v>27870</v>
      </c>
      <c r="T45" s="1467" t="s">
        <v>27688</v>
      </c>
      <c r="U45" s="1396"/>
      <c r="V45" s="1946">
        <f t="shared" si="4"/>
        <v>0</v>
      </c>
      <c r="W45" s="1946">
        <f t="shared" si="5"/>
        <v>0</v>
      </c>
      <c r="X45" s="1946">
        <f t="shared" si="8"/>
        <v>0</v>
      </c>
      <c r="Y45" s="1946">
        <f t="shared" si="9"/>
        <v>0</v>
      </c>
      <c r="Z45" s="1396"/>
      <c r="AA45" s="1946">
        <f t="shared" si="6"/>
        <v>0</v>
      </c>
      <c r="AB45" s="1946">
        <f t="shared" si="7"/>
        <v>0</v>
      </c>
      <c r="AC45" s="1946">
        <f t="shared" si="10"/>
        <v>0</v>
      </c>
      <c r="AD45" s="1946">
        <f t="shared" si="11"/>
        <v>0</v>
      </c>
      <c r="AE45" s="1396"/>
      <c r="AF45" s="1396"/>
      <c r="AG45" s="1396"/>
      <c r="AH45" s="1396"/>
      <c r="AI45" s="1396"/>
      <c r="AJ45" s="1396"/>
      <c r="AK45" s="1396"/>
      <c r="AL45" s="1396"/>
      <c r="AM45" s="1396"/>
      <c r="AN45" s="1396"/>
      <c r="AO45" s="1396"/>
      <c r="AP45" s="1396"/>
      <c r="AQ45" s="1396"/>
      <c r="AR45" s="1396"/>
      <c r="AS45" s="1396"/>
      <c r="AT45" s="1396"/>
      <c r="AU45" s="1396"/>
      <c r="AV45" s="1396"/>
      <c r="AW45" s="1396"/>
      <c r="AX45" s="1396"/>
      <c r="AY45" s="1396"/>
      <c r="AZ45" s="1396"/>
      <c r="BA45" s="1396"/>
      <c r="BB45" s="1396"/>
      <c r="BC45" s="1396"/>
    </row>
    <row r="46" spans="1:55" x14ac:dyDescent="0.45">
      <c r="A46" s="1466" t="s">
        <v>27871</v>
      </c>
      <c r="B46" s="1466"/>
      <c r="C46" s="1565" t="s">
        <v>27769</v>
      </c>
      <c r="D46" s="1947">
        <v>0</v>
      </c>
      <c r="E46" s="1948">
        <v>0</v>
      </c>
      <c r="F46" s="1947">
        <v>0</v>
      </c>
      <c r="G46" s="1132">
        <v>0</v>
      </c>
      <c r="H46" s="2135">
        <v>0</v>
      </c>
      <c r="I46" s="1948">
        <v>0</v>
      </c>
      <c r="J46" s="1675">
        <f>SUM('6a_Health_full_time'!F71,'6a_Health_full_time'!I71,'6a_Health_full_time'!F73,'6a_Health_full_time'!I73)</f>
        <v>0</v>
      </c>
      <c r="K46" s="1141">
        <f>SUM('6c_Health_part_time'!F71,'6c_Health_part_time'!I71,'6c_Health_part_time'!F73,'6c_Health_part_time'!I73)</f>
        <v>0</v>
      </c>
      <c r="L46" s="1133">
        <f t="shared" si="0"/>
        <v>0</v>
      </c>
      <c r="M46" s="1133">
        <f t="shared" si="1"/>
        <v>0</v>
      </c>
      <c r="N46" s="1134">
        <f t="shared" si="2"/>
        <v>0</v>
      </c>
      <c r="O46" s="1134">
        <f t="shared" si="3"/>
        <v>0</v>
      </c>
      <c r="P46" s="1082"/>
      <c r="Q46" s="1396"/>
      <c r="R46" s="1396"/>
      <c r="S46" s="1467" t="s">
        <v>27872</v>
      </c>
      <c r="T46" s="1467" t="s">
        <v>27826</v>
      </c>
      <c r="U46" s="1396"/>
      <c r="V46" s="1946">
        <f t="shared" si="4"/>
        <v>0</v>
      </c>
      <c r="W46" s="1946">
        <f t="shared" si="5"/>
        <v>0</v>
      </c>
      <c r="X46" s="1946">
        <f t="shared" si="8"/>
        <v>0</v>
      </c>
      <c r="Y46" s="1946">
        <f t="shared" si="9"/>
        <v>0</v>
      </c>
      <c r="Z46" s="1396"/>
      <c r="AA46" s="1946">
        <f t="shared" si="6"/>
        <v>0</v>
      </c>
      <c r="AB46" s="1946">
        <f t="shared" si="7"/>
        <v>0</v>
      </c>
      <c r="AC46" s="1946">
        <f t="shared" si="10"/>
        <v>0</v>
      </c>
      <c r="AD46" s="1946">
        <f t="shared" si="11"/>
        <v>0</v>
      </c>
      <c r="AE46" s="1396"/>
      <c r="AF46" s="1396"/>
      <c r="AG46" s="1396"/>
      <c r="AH46" s="1396"/>
      <c r="AI46" s="1396"/>
      <c r="AJ46" s="1396"/>
      <c r="AK46" s="1396"/>
      <c r="AL46" s="1396"/>
      <c r="AM46" s="1396"/>
      <c r="AN46" s="1396"/>
      <c r="AO46" s="1396"/>
      <c r="AP46" s="1396"/>
      <c r="AQ46" s="1396"/>
      <c r="AR46" s="1396"/>
      <c r="AS46" s="1396"/>
      <c r="AT46" s="1396"/>
      <c r="AU46" s="1396"/>
      <c r="AV46" s="1396"/>
      <c r="AW46" s="1396"/>
      <c r="AX46" s="1396"/>
      <c r="AY46" s="1396"/>
      <c r="AZ46" s="1396"/>
      <c r="BA46" s="1396"/>
      <c r="BB46" s="1396"/>
      <c r="BC46" s="1396"/>
    </row>
    <row r="47" spans="1:55" x14ac:dyDescent="0.45">
      <c r="A47" s="1135"/>
      <c r="B47" s="1135"/>
      <c r="C47" s="1566" t="s">
        <v>210</v>
      </c>
      <c r="D47" s="1142">
        <v>0</v>
      </c>
      <c r="E47" s="1143">
        <v>0</v>
      </c>
      <c r="F47" s="1142">
        <v>0</v>
      </c>
      <c r="G47" s="1471">
        <v>0</v>
      </c>
      <c r="H47" s="2138">
        <v>0</v>
      </c>
      <c r="I47" s="1143">
        <v>0</v>
      </c>
      <c r="J47" s="1142">
        <f>SUM('6a_Health_full_time'!F72,'6a_Health_full_time'!I72,'6a_Health_full_time'!F74,'6a_Health_full_time'!I74)</f>
        <v>0</v>
      </c>
      <c r="K47" s="1143">
        <f>SUM('6c_Health_part_time'!F72,'6c_Health_part_time'!I72,'6c_Health_part_time'!F74,'6c_Health_part_time'!I74)</f>
        <v>0</v>
      </c>
      <c r="L47" s="1144">
        <f t="shared" si="0"/>
        <v>0</v>
      </c>
      <c r="M47" s="1144">
        <f t="shared" si="1"/>
        <v>0</v>
      </c>
      <c r="N47" s="1145">
        <f t="shared" si="2"/>
        <v>0</v>
      </c>
      <c r="O47" s="1145">
        <f t="shared" si="3"/>
        <v>0</v>
      </c>
      <c r="P47" s="1082"/>
      <c r="Q47" s="1396"/>
      <c r="R47" s="1396"/>
      <c r="S47" s="1467" t="s">
        <v>27872</v>
      </c>
      <c r="T47" s="1467" t="s">
        <v>27688</v>
      </c>
      <c r="U47" s="1396"/>
      <c r="V47" s="1946">
        <f t="shared" si="4"/>
        <v>0</v>
      </c>
      <c r="W47" s="1946">
        <f t="shared" si="5"/>
        <v>0</v>
      </c>
      <c r="X47" s="1946">
        <f t="shared" si="8"/>
        <v>0</v>
      </c>
      <c r="Y47" s="1946">
        <f t="shared" si="9"/>
        <v>0</v>
      </c>
      <c r="Z47" s="1396"/>
      <c r="AA47" s="1946">
        <f t="shared" si="6"/>
        <v>0</v>
      </c>
      <c r="AB47" s="1946">
        <f t="shared" si="7"/>
        <v>0</v>
      </c>
      <c r="AC47" s="1946">
        <f t="shared" si="10"/>
        <v>0</v>
      </c>
      <c r="AD47" s="1946">
        <f t="shared" si="11"/>
        <v>0</v>
      </c>
      <c r="AE47" s="1396"/>
      <c r="AF47" s="1396"/>
      <c r="AG47" s="1396"/>
      <c r="AH47" s="1396"/>
      <c r="AI47" s="1396"/>
      <c r="AJ47" s="1396"/>
      <c r="AK47" s="1396"/>
      <c r="AL47" s="1396"/>
      <c r="AM47" s="1396"/>
      <c r="AN47" s="1396"/>
      <c r="AO47" s="1396"/>
      <c r="AP47" s="1396"/>
      <c r="AQ47" s="1396"/>
      <c r="AR47" s="1396"/>
      <c r="AS47" s="1396"/>
      <c r="AT47" s="1396"/>
      <c r="AU47" s="1396"/>
      <c r="AV47" s="1396"/>
      <c r="AW47" s="1396"/>
      <c r="AX47" s="1396"/>
      <c r="AY47" s="1396"/>
      <c r="AZ47" s="1396"/>
      <c r="BA47" s="1396"/>
      <c r="BB47" s="1396"/>
      <c r="BC47" s="1396"/>
    </row>
    <row r="48" spans="1:55" x14ac:dyDescent="0.45">
      <c r="A48" s="1466" t="s">
        <v>27873</v>
      </c>
      <c r="B48" s="1466"/>
      <c r="C48" s="1565" t="s">
        <v>27769</v>
      </c>
      <c r="D48" s="1947">
        <v>0</v>
      </c>
      <c r="E48" s="1948">
        <v>0</v>
      </c>
      <c r="F48" s="1947">
        <v>0</v>
      </c>
      <c r="G48" s="1132">
        <v>0</v>
      </c>
      <c r="H48" s="2135">
        <v>0</v>
      </c>
      <c r="I48" s="1948">
        <v>0</v>
      </c>
      <c r="J48" s="1675">
        <f>SUM('6a_Health_full_time'!F75,'6a_Health_full_time'!I75,'6a_Health_full_time'!F77,'6a_Health_full_time'!I77)</f>
        <v>0</v>
      </c>
      <c r="K48" s="1141">
        <f>SUM('6c_Health_part_time'!F75,'6c_Health_part_time'!I75,'6c_Health_part_time'!F77,'6c_Health_part_time'!I77)</f>
        <v>0</v>
      </c>
      <c r="L48" s="1133">
        <f t="shared" si="0"/>
        <v>0</v>
      </c>
      <c r="M48" s="1133">
        <f t="shared" si="1"/>
        <v>0</v>
      </c>
      <c r="N48" s="1134">
        <f t="shared" si="2"/>
        <v>0</v>
      </c>
      <c r="O48" s="1134">
        <f t="shared" si="3"/>
        <v>0</v>
      </c>
      <c r="P48" s="1082"/>
      <c r="Q48" s="1396"/>
      <c r="R48" s="1396"/>
      <c r="S48" s="1467" t="s">
        <v>27874</v>
      </c>
      <c r="T48" s="1467" t="s">
        <v>27826</v>
      </c>
      <c r="U48" s="1396"/>
      <c r="V48" s="1946">
        <f t="shared" si="4"/>
        <v>0</v>
      </c>
      <c r="W48" s="1946">
        <f t="shared" si="5"/>
        <v>0</v>
      </c>
      <c r="X48" s="1946">
        <f t="shared" si="8"/>
        <v>0</v>
      </c>
      <c r="Y48" s="1946">
        <f t="shared" si="9"/>
        <v>0</v>
      </c>
      <c r="Z48" s="1396"/>
      <c r="AA48" s="1946">
        <f t="shared" si="6"/>
        <v>0</v>
      </c>
      <c r="AB48" s="1946">
        <f t="shared" si="7"/>
        <v>0</v>
      </c>
      <c r="AC48" s="1946">
        <f t="shared" si="10"/>
        <v>0</v>
      </c>
      <c r="AD48" s="1946">
        <f t="shared" si="11"/>
        <v>0</v>
      </c>
      <c r="AE48" s="1396"/>
      <c r="AF48" s="1396"/>
      <c r="AG48" s="1396"/>
      <c r="AH48" s="1396"/>
      <c r="AI48" s="1396"/>
      <c r="AJ48" s="1396"/>
      <c r="AK48" s="1396"/>
      <c r="AL48" s="1396"/>
      <c r="AM48" s="1396"/>
      <c r="AN48" s="1396"/>
      <c r="AO48" s="1396"/>
      <c r="AP48" s="1396"/>
      <c r="AQ48" s="1396"/>
      <c r="AR48" s="1396"/>
      <c r="AS48" s="1396"/>
      <c r="AT48" s="1396"/>
      <c r="AU48" s="1396"/>
      <c r="AV48" s="1396"/>
      <c r="AW48" s="1396"/>
      <c r="AX48" s="1396"/>
      <c r="AY48" s="1396"/>
      <c r="AZ48" s="1396"/>
      <c r="BA48" s="1396"/>
      <c r="BB48" s="1396"/>
      <c r="BC48" s="1396"/>
    </row>
    <row r="49" spans="1:55" x14ac:dyDescent="0.45">
      <c r="A49" s="1135"/>
      <c r="B49" s="1135"/>
      <c r="C49" s="1566" t="s">
        <v>210</v>
      </c>
      <c r="D49" s="1142">
        <v>0</v>
      </c>
      <c r="E49" s="1143">
        <v>0</v>
      </c>
      <c r="F49" s="1142">
        <v>0</v>
      </c>
      <c r="G49" s="1471">
        <v>0</v>
      </c>
      <c r="H49" s="2138">
        <v>0</v>
      </c>
      <c r="I49" s="1143">
        <v>0</v>
      </c>
      <c r="J49" s="1142">
        <f>SUM('6a_Health_full_time'!F76,'6a_Health_full_time'!I76,'6a_Health_full_time'!F78,'6a_Health_full_time'!I78)</f>
        <v>0</v>
      </c>
      <c r="K49" s="1143">
        <f>SUM('6c_Health_part_time'!F76,'6c_Health_part_time'!I76,'6c_Health_part_time'!F78,'6c_Health_part_time'!I78)</f>
        <v>0</v>
      </c>
      <c r="L49" s="1144">
        <f t="shared" si="0"/>
        <v>0</v>
      </c>
      <c r="M49" s="1144">
        <f t="shared" si="1"/>
        <v>0</v>
      </c>
      <c r="N49" s="1145">
        <f t="shared" si="2"/>
        <v>0</v>
      </c>
      <c r="O49" s="1145">
        <f t="shared" si="3"/>
        <v>0</v>
      </c>
      <c r="P49" s="1082"/>
      <c r="Q49" s="1396"/>
      <c r="R49" s="1396"/>
      <c r="S49" s="1467" t="s">
        <v>27874</v>
      </c>
      <c r="T49" s="1467" t="s">
        <v>27688</v>
      </c>
      <c r="U49" s="1396"/>
      <c r="V49" s="1946">
        <f t="shared" si="4"/>
        <v>0</v>
      </c>
      <c r="W49" s="1946">
        <f t="shared" si="5"/>
        <v>0</v>
      </c>
      <c r="X49" s="1946">
        <f t="shared" si="8"/>
        <v>0</v>
      </c>
      <c r="Y49" s="1946">
        <f t="shared" si="9"/>
        <v>0</v>
      </c>
      <c r="Z49" s="1396"/>
      <c r="AA49" s="1946">
        <f t="shared" si="6"/>
        <v>0</v>
      </c>
      <c r="AB49" s="1946">
        <f t="shared" si="7"/>
        <v>0</v>
      </c>
      <c r="AC49" s="1946">
        <f t="shared" si="10"/>
        <v>0</v>
      </c>
      <c r="AD49" s="1946">
        <f t="shared" si="11"/>
        <v>0</v>
      </c>
      <c r="AE49" s="1396"/>
      <c r="AF49" s="1396"/>
      <c r="AG49" s="1396"/>
      <c r="AH49" s="1396"/>
      <c r="AI49" s="1396"/>
      <c r="AJ49" s="1396"/>
      <c r="AK49" s="1396"/>
      <c r="AL49" s="1396"/>
      <c r="AM49" s="1396"/>
      <c r="AN49" s="1396"/>
      <c r="AO49" s="1396"/>
      <c r="AP49" s="1396"/>
      <c r="AQ49" s="1396"/>
      <c r="AR49" s="1396"/>
      <c r="AS49" s="1396"/>
      <c r="AT49" s="1396"/>
      <c r="AU49" s="1396"/>
      <c r="AV49" s="1396"/>
      <c r="AW49" s="1396"/>
      <c r="AX49" s="1396"/>
      <c r="AY49" s="1396"/>
      <c r="AZ49" s="1396"/>
      <c r="BA49" s="1396"/>
      <c r="BB49" s="1396"/>
      <c r="BC49" s="1396"/>
    </row>
    <row r="50" spans="1:55" x14ac:dyDescent="0.45">
      <c r="A50" s="1466" t="s">
        <v>27875</v>
      </c>
      <c r="B50" s="1466"/>
      <c r="C50" s="1565" t="s">
        <v>27769</v>
      </c>
      <c r="D50" s="1947">
        <v>0</v>
      </c>
      <c r="E50" s="1948">
        <v>0</v>
      </c>
      <c r="F50" s="1947">
        <v>0</v>
      </c>
      <c r="G50" s="1132">
        <v>0</v>
      </c>
      <c r="H50" s="2135">
        <v>0</v>
      </c>
      <c r="I50" s="1948">
        <v>0</v>
      </c>
      <c r="J50" s="1675">
        <f>SUM('6a_Health_full_time'!F79,'6a_Health_full_time'!I79,'6a_Health_full_time'!F81,'6a_Health_full_time'!I81)</f>
        <v>0</v>
      </c>
      <c r="K50" s="1141">
        <f>SUM('6c_Health_part_time'!F79,'6c_Health_part_time'!I79,'6c_Health_part_time'!F81,'6c_Health_part_time'!I81)</f>
        <v>0</v>
      </c>
      <c r="L50" s="1133">
        <f t="shared" si="0"/>
        <v>0</v>
      </c>
      <c r="M50" s="1133">
        <f t="shared" si="1"/>
        <v>0</v>
      </c>
      <c r="N50" s="1134">
        <f t="shared" si="2"/>
        <v>0</v>
      </c>
      <c r="O50" s="1134">
        <f t="shared" si="3"/>
        <v>0</v>
      </c>
      <c r="P50" s="1082"/>
      <c r="Q50" s="1396"/>
      <c r="R50" s="1396"/>
      <c r="S50" s="1467" t="s">
        <v>27876</v>
      </c>
      <c r="T50" s="1467" t="s">
        <v>27826</v>
      </c>
      <c r="U50" s="1396"/>
      <c r="V50" s="1946">
        <f t="shared" si="4"/>
        <v>0</v>
      </c>
      <c r="W50" s="1946">
        <f t="shared" si="5"/>
        <v>0</v>
      </c>
      <c r="X50" s="1946">
        <f t="shared" si="8"/>
        <v>0</v>
      </c>
      <c r="Y50" s="1946">
        <f t="shared" si="9"/>
        <v>0</v>
      </c>
      <c r="Z50" s="1396"/>
      <c r="AA50" s="1946">
        <f t="shared" si="6"/>
        <v>0</v>
      </c>
      <c r="AB50" s="1946">
        <f t="shared" si="7"/>
        <v>0</v>
      </c>
      <c r="AC50" s="1946">
        <f t="shared" si="10"/>
        <v>0</v>
      </c>
      <c r="AD50" s="1946">
        <f t="shared" si="11"/>
        <v>0</v>
      </c>
      <c r="AE50" s="1396"/>
      <c r="AF50" s="1396"/>
      <c r="AG50" s="1396"/>
      <c r="AH50" s="1396"/>
      <c r="AI50" s="1396"/>
      <c r="AJ50" s="1396"/>
      <c r="AK50" s="1396"/>
      <c r="AL50" s="1396"/>
      <c r="AM50" s="1396"/>
      <c r="AN50" s="1396"/>
      <c r="AO50" s="1396"/>
      <c r="AP50" s="1396"/>
      <c r="AQ50" s="1396"/>
      <c r="AR50" s="1396"/>
      <c r="AS50" s="1396"/>
      <c r="AT50" s="1396"/>
      <c r="AU50" s="1396"/>
      <c r="AV50" s="1396"/>
      <c r="AW50" s="1396"/>
      <c r="AX50" s="1396"/>
      <c r="AY50" s="1396"/>
      <c r="AZ50" s="1396"/>
      <c r="BA50" s="1396"/>
      <c r="BB50" s="1396"/>
      <c r="BC50" s="1396"/>
    </row>
    <row r="51" spans="1:55" x14ac:dyDescent="0.45">
      <c r="A51" s="1135"/>
      <c r="B51" s="1135"/>
      <c r="C51" s="1566" t="s">
        <v>210</v>
      </c>
      <c r="D51" s="1142">
        <v>0</v>
      </c>
      <c r="E51" s="1143">
        <v>0</v>
      </c>
      <c r="F51" s="1142">
        <v>0</v>
      </c>
      <c r="G51" s="1471">
        <v>0</v>
      </c>
      <c r="H51" s="2138">
        <v>0</v>
      </c>
      <c r="I51" s="1143">
        <v>0</v>
      </c>
      <c r="J51" s="1142">
        <f>SUM('6a_Health_full_time'!F80,'6a_Health_full_time'!I80,'6a_Health_full_time'!F82,'6a_Health_full_time'!I82)</f>
        <v>0</v>
      </c>
      <c r="K51" s="1143">
        <f>SUM('6c_Health_part_time'!F80,'6c_Health_part_time'!I80,'6c_Health_part_time'!F82,'6c_Health_part_time'!I82)</f>
        <v>0</v>
      </c>
      <c r="L51" s="1144">
        <f t="shared" si="0"/>
        <v>0</v>
      </c>
      <c r="M51" s="1144">
        <f t="shared" si="1"/>
        <v>0</v>
      </c>
      <c r="N51" s="1145">
        <f t="shared" si="2"/>
        <v>0</v>
      </c>
      <c r="O51" s="1145">
        <f t="shared" si="3"/>
        <v>0</v>
      </c>
      <c r="P51" s="1082"/>
      <c r="Q51" s="1396"/>
      <c r="R51" s="1396"/>
      <c r="S51" s="1467" t="s">
        <v>27876</v>
      </c>
      <c r="T51" s="1467" t="s">
        <v>27688</v>
      </c>
      <c r="U51" s="1396"/>
      <c r="V51" s="1946">
        <f t="shared" si="4"/>
        <v>0</v>
      </c>
      <c r="W51" s="1946">
        <f t="shared" si="5"/>
        <v>0</v>
      </c>
      <c r="X51" s="1946">
        <f t="shared" si="8"/>
        <v>0</v>
      </c>
      <c r="Y51" s="1946">
        <f t="shared" si="9"/>
        <v>0</v>
      </c>
      <c r="Z51" s="1396"/>
      <c r="AA51" s="1946">
        <f t="shared" si="6"/>
        <v>0</v>
      </c>
      <c r="AB51" s="1946">
        <f t="shared" si="7"/>
        <v>0</v>
      </c>
      <c r="AC51" s="1946">
        <f t="shared" si="10"/>
        <v>0</v>
      </c>
      <c r="AD51" s="1946">
        <f t="shared" si="11"/>
        <v>0</v>
      </c>
      <c r="AE51" s="1396"/>
      <c r="AF51" s="1396"/>
      <c r="AG51" s="1396"/>
      <c r="AH51" s="1396"/>
      <c r="AI51" s="1396"/>
      <c r="AJ51" s="1396"/>
      <c r="AK51" s="1396"/>
      <c r="AL51" s="1396"/>
      <c r="AM51" s="1396"/>
      <c r="AN51" s="1396"/>
      <c r="AO51" s="1396"/>
      <c r="AP51" s="1396"/>
      <c r="AQ51" s="1396"/>
      <c r="AR51" s="1396"/>
      <c r="AS51" s="1396"/>
      <c r="AT51" s="1396"/>
      <c r="AU51" s="1396"/>
      <c r="AV51" s="1396"/>
      <c r="AW51" s="1396"/>
      <c r="AX51" s="1396"/>
      <c r="AY51" s="1396"/>
      <c r="AZ51" s="1396"/>
      <c r="BA51" s="1396"/>
      <c r="BB51" s="1396"/>
      <c r="BC51" s="1396"/>
    </row>
    <row r="52" spans="1:55" x14ac:dyDescent="0.45">
      <c r="A52" s="1466" t="s">
        <v>27877</v>
      </c>
      <c r="B52" s="1466"/>
      <c r="C52" s="1565" t="s">
        <v>27769</v>
      </c>
      <c r="D52" s="1947">
        <v>0</v>
      </c>
      <c r="E52" s="1948">
        <v>0</v>
      </c>
      <c r="F52" s="1947">
        <v>0</v>
      </c>
      <c r="G52" s="1132">
        <v>0</v>
      </c>
      <c r="H52" s="2135">
        <v>0</v>
      </c>
      <c r="I52" s="1948">
        <v>0</v>
      </c>
      <c r="J52" s="1675">
        <f>SUM('6a_Health_full_time'!F83,'6a_Health_full_time'!I83,'6a_Health_full_time'!F85,'6a_Health_full_time'!I85)</f>
        <v>0</v>
      </c>
      <c r="K52" s="1141">
        <f>SUM('6c_Health_part_time'!F83,'6c_Health_part_time'!I83,'6c_Health_part_time'!F85,'6c_Health_part_time'!I85)</f>
        <v>0</v>
      </c>
      <c r="L52" s="1133">
        <f t="shared" si="0"/>
        <v>0</v>
      </c>
      <c r="M52" s="1133">
        <f t="shared" si="1"/>
        <v>0</v>
      </c>
      <c r="N52" s="1134">
        <f t="shared" si="2"/>
        <v>0</v>
      </c>
      <c r="O52" s="1134">
        <f t="shared" si="3"/>
        <v>0</v>
      </c>
      <c r="P52" s="1082"/>
      <c r="Q52" s="1396"/>
      <c r="R52" s="1396"/>
      <c r="S52" s="1467" t="s">
        <v>27878</v>
      </c>
      <c r="T52" s="1467" t="s">
        <v>27826</v>
      </c>
      <c r="U52" s="1396"/>
      <c r="V52" s="1946">
        <f t="shared" si="4"/>
        <v>0</v>
      </c>
      <c r="W52" s="1946">
        <f t="shared" si="5"/>
        <v>0</v>
      </c>
      <c r="X52" s="1946">
        <f t="shared" si="8"/>
        <v>0</v>
      </c>
      <c r="Y52" s="1946">
        <f t="shared" si="9"/>
        <v>0</v>
      </c>
      <c r="Z52" s="1396"/>
      <c r="AA52" s="1946">
        <f t="shared" si="6"/>
        <v>0</v>
      </c>
      <c r="AB52" s="1946">
        <f t="shared" si="7"/>
        <v>0</v>
      </c>
      <c r="AC52" s="1946">
        <f t="shared" si="10"/>
        <v>0</v>
      </c>
      <c r="AD52" s="1946">
        <f t="shared" si="11"/>
        <v>0</v>
      </c>
      <c r="AE52" s="1396"/>
      <c r="AF52" s="1396"/>
      <c r="AG52" s="1396"/>
      <c r="AH52" s="1396"/>
      <c r="AI52" s="1396"/>
      <c r="AJ52" s="1396"/>
      <c r="AK52" s="1396"/>
      <c r="AL52" s="1396"/>
      <c r="AM52" s="1396"/>
      <c r="AN52" s="1396"/>
      <c r="AO52" s="1396"/>
      <c r="AP52" s="1396"/>
      <c r="AQ52" s="1396"/>
      <c r="AR52" s="1396"/>
      <c r="AS52" s="1396"/>
      <c r="AT52" s="1396"/>
      <c r="AU52" s="1396"/>
      <c r="AV52" s="1396"/>
      <c r="AW52" s="1396"/>
      <c r="AX52" s="1396"/>
      <c r="AY52" s="1396"/>
      <c r="AZ52" s="1396"/>
      <c r="BA52" s="1396"/>
      <c r="BB52" s="1396"/>
      <c r="BC52" s="1396"/>
    </row>
    <row r="53" spans="1:55" ht="14.65" thickBot="1" x14ac:dyDescent="0.5">
      <c r="A53" s="1146"/>
      <c r="B53" s="1146"/>
      <c r="C53" s="1568" t="s">
        <v>210</v>
      </c>
      <c r="D53" s="1147">
        <v>0</v>
      </c>
      <c r="E53" s="1148">
        <v>0</v>
      </c>
      <c r="F53" s="1147">
        <v>0</v>
      </c>
      <c r="G53" s="1149">
        <v>0</v>
      </c>
      <c r="H53" s="2139">
        <v>0</v>
      </c>
      <c r="I53" s="1148">
        <v>0</v>
      </c>
      <c r="J53" s="1147">
        <f>SUM('6a_Health_full_time'!F84,'6a_Health_full_time'!I84,'6a_Health_full_time'!F86,'6a_Health_full_time'!I86)</f>
        <v>0</v>
      </c>
      <c r="K53" s="1148">
        <f>SUM('6c_Health_part_time'!F84,'6c_Health_part_time'!I84,'6c_Health_part_time'!F86,'6c_Health_part_time'!I86)</f>
        <v>0</v>
      </c>
      <c r="L53" s="1150">
        <f t="shared" si="0"/>
        <v>0</v>
      </c>
      <c r="M53" s="1150">
        <f t="shared" si="1"/>
        <v>0</v>
      </c>
      <c r="N53" s="1151">
        <f t="shared" si="2"/>
        <v>0</v>
      </c>
      <c r="O53" s="1151">
        <f t="shared" si="3"/>
        <v>0</v>
      </c>
      <c r="P53" s="1082"/>
      <c r="Q53" s="1396"/>
      <c r="R53" s="1396"/>
      <c r="S53" s="1467" t="s">
        <v>27878</v>
      </c>
      <c r="T53" s="1467" t="s">
        <v>27688</v>
      </c>
      <c r="U53" s="1396"/>
      <c r="V53" s="1946">
        <f t="shared" si="4"/>
        <v>0</v>
      </c>
      <c r="W53" s="1946">
        <f t="shared" si="5"/>
        <v>0</v>
      </c>
      <c r="X53" s="1946">
        <f t="shared" si="8"/>
        <v>0</v>
      </c>
      <c r="Y53" s="1946">
        <f t="shared" si="9"/>
        <v>0</v>
      </c>
      <c r="Z53" s="1396"/>
      <c r="AA53" s="1946">
        <f t="shared" si="6"/>
        <v>0</v>
      </c>
      <c r="AB53" s="1946">
        <f t="shared" si="7"/>
        <v>0</v>
      </c>
      <c r="AC53" s="1946">
        <f t="shared" si="10"/>
        <v>0</v>
      </c>
      <c r="AD53" s="1946">
        <f t="shared" si="11"/>
        <v>0</v>
      </c>
      <c r="AE53" s="1396"/>
      <c r="AF53" s="1396"/>
      <c r="AG53" s="1396"/>
      <c r="AH53" s="1396"/>
      <c r="AI53" s="1396"/>
      <c r="AJ53" s="1396"/>
      <c r="AK53" s="1396"/>
      <c r="AL53" s="1396"/>
      <c r="AM53" s="1396"/>
      <c r="AN53" s="1396"/>
      <c r="AO53" s="1396"/>
      <c r="AP53" s="1396"/>
      <c r="AQ53" s="1396"/>
      <c r="AR53" s="1396"/>
      <c r="AS53" s="1396"/>
      <c r="AT53" s="1396"/>
      <c r="AU53" s="1396"/>
      <c r="AV53" s="1396"/>
      <c r="AW53" s="1396"/>
      <c r="AX53" s="1396"/>
      <c r="AY53" s="1396"/>
      <c r="AZ53" s="1396"/>
      <c r="BA53" s="1396"/>
      <c r="BB53" s="1396"/>
      <c r="BC53" s="1396"/>
    </row>
    <row r="54" spans="1:55" ht="14.65" thickTop="1" x14ac:dyDescent="0.45">
      <c r="A54" s="1082" t="s">
        <v>27696</v>
      </c>
      <c r="B54" s="1082"/>
      <c r="C54" s="1567" t="s">
        <v>27769</v>
      </c>
      <c r="D54" s="1675">
        <f>SUM(D$17,D$19,SUMIF($C$21:$C$53,"="&amp;$C$54,D$21:D$53))</f>
        <v>0</v>
      </c>
      <c r="E54" s="1141">
        <f t="shared" ref="E54:K54" si="12">SUM(E$17,E$19,SUMIF($C$21:$C$53,"="&amp;$C$54,E$21:E$53))</f>
        <v>0</v>
      </c>
      <c r="F54" s="1675">
        <f t="shared" si="12"/>
        <v>0</v>
      </c>
      <c r="G54" s="1140">
        <f t="shared" si="12"/>
        <v>0</v>
      </c>
      <c r="H54" s="2140">
        <f t="shared" si="12"/>
        <v>0</v>
      </c>
      <c r="I54" s="1141">
        <f t="shared" si="12"/>
        <v>0</v>
      </c>
      <c r="J54" s="1675">
        <f t="shared" si="12"/>
        <v>0</v>
      </c>
      <c r="K54" s="1141">
        <f t="shared" si="12"/>
        <v>0</v>
      </c>
      <c r="L54" s="1153">
        <f t="shared" si="0"/>
        <v>0</v>
      </c>
      <c r="M54" s="1153">
        <f t="shared" si="1"/>
        <v>0</v>
      </c>
      <c r="N54" s="1154">
        <f t="shared" si="2"/>
        <v>0</v>
      </c>
      <c r="O54" s="1154">
        <f t="shared" si="3"/>
        <v>0</v>
      </c>
      <c r="P54" s="1396"/>
      <c r="Q54" s="1396"/>
      <c r="R54" s="1396"/>
      <c r="S54" s="1462"/>
      <c r="T54" s="1462"/>
      <c r="U54" s="1396"/>
      <c r="V54" s="1396" t="s">
        <v>27948</v>
      </c>
      <c r="W54" s="1396"/>
      <c r="X54" s="1396"/>
      <c r="Y54" s="1396"/>
      <c r="Z54" s="1396"/>
      <c r="AA54" s="1396" t="s">
        <v>27962</v>
      </c>
      <c r="AB54" s="1396"/>
      <c r="AC54" s="1396"/>
      <c r="AD54" s="1396"/>
      <c r="AE54" s="1396"/>
      <c r="AF54" s="1396"/>
      <c r="AG54" s="1396"/>
      <c r="AH54" s="1396"/>
      <c r="AI54" s="1396"/>
      <c r="AJ54" s="1396"/>
      <c r="AK54" s="1396"/>
      <c r="AL54" s="1396"/>
      <c r="AM54" s="1396"/>
      <c r="AN54" s="1396"/>
      <c r="AO54" s="1396"/>
      <c r="AP54" s="1396"/>
      <c r="AQ54" s="1396"/>
      <c r="AR54" s="1396"/>
      <c r="AS54" s="1396"/>
      <c r="AT54" s="1396"/>
      <c r="AU54" s="1396"/>
      <c r="AV54" s="1396"/>
      <c r="AW54" s="1396"/>
      <c r="AX54" s="1396"/>
      <c r="AY54" s="1396"/>
      <c r="AZ54" s="1396"/>
      <c r="BA54" s="1396"/>
      <c r="BB54" s="1396"/>
      <c r="BC54" s="1396"/>
    </row>
    <row r="55" spans="1:55" x14ac:dyDescent="0.45">
      <c r="A55" s="1082"/>
      <c r="B55" s="1082"/>
      <c r="C55" s="1566" t="s">
        <v>27880</v>
      </c>
      <c r="D55" s="1675">
        <f>SUMIF($C$17:$C$53,"&lt;&gt;"&amp;$C$54,D$17:D$53)</f>
        <v>0</v>
      </c>
      <c r="E55" s="1141">
        <f t="shared" ref="E55:K55" si="13">SUMIF($C$17:$C$53,"&lt;&gt;"&amp;$C$54,E$17:E$53)</f>
        <v>0</v>
      </c>
      <c r="F55" s="1675">
        <f t="shared" si="13"/>
        <v>0</v>
      </c>
      <c r="G55" s="1140">
        <f t="shared" si="13"/>
        <v>0</v>
      </c>
      <c r="H55" s="2140">
        <f>SUMIF($C$17:$C$53,"&lt;&gt;"&amp;$C$54,H$17:H$53)</f>
        <v>0</v>
      </c>
      <c r="I55" s="1141">
        <f t="shared" si="13"/>
        <v>0</v>
      </c>
      <c r="J55" s="1675">
        <f>SUMIF($C$17:$C$53,"&lt;&gt;"&amp;$C$54,J$17:J$53)</f>
        <v>0</v>
      </c>
      <c r="K55" s="1141">
        <f t="shared" si="13"/>
        <v>0</v>
      </c>
      <c r="L55" s="1153">
        <f t="shared" si="0"/>
        <v>0</v>
      </c>
      <c r="M55" s="1153">
        <f t="shared" si="1"/>
        <v>0</v>
      </c>
      <c r="N55" s="1154">
        <f t="shared" si="2"/>
        <v>0</v>
      </c>
      <c r="O55" s="1154">
        <f t="shared" si="3"/>
        <v>0</v>
      </c>
      <c r="P55" s="1396"/>
      <c r="Q55" s="1396"/>
      <c r="R55" s="1396"/>
      <c r="S55" s="1462"/>
      <c r="T55" s="1462"/>
      <c r="U55" s="1396"/>
      <c r="V55" s="1396"/>
      <c r="W55" s="1396"/>
      <c r="X55" s="1396"/>
      <c r="Y55" s="1396"/>
      <c r="Z55" s="1396"/>
      <c r="AA55" s="1396"/>
      <c r="AB55" s="1396"/>
      <c r="AC55" s="1396"/>
      <c r="AD55" s="1396"/>
      <c r="AE55" s="1396"/>
      <c r="AF55" s="1396"/>
      <c r="AG55" s="1396"/>
      <c r="AH55" s="1396"/>
      <c r="AI55" s="1396"/>
      <c r="AJ55" s="1396"/>
      <c r="AK55" s="1396"/>
      <c r="AL55" s="1396"/>
      <c r="AM55" s="1396"/>
      <c r="AN55" s="1396"/>
      <c r="AO55" s="1396"/>
      <c r="AP55" s="1396"/>
      <c r="AQ55" s="1396"/>
      <c r="AR55" s="1396"/>
      <c r="AS55" s="1396"/>
      <c r="AT55" s="1396"/>
      <c r="AU55" s="1396"/>
      <c r="AV55" s="1396"/>
      <c r="AW55" s="1396"/>
      <c r="AX55" s="1396"/>
      <c r="AY55" s="1396"/>
      <c r="AZ55" s="1396"/>
      <c r="BA55" s="1396"/>
      <c r="BB55" s="1396"/>
      <c r="BC55" s="1396"/>
    </row>
    <row r="56" spans="1:55" ht="14.65" thickBot="1" x14ac:dyDescent="0.5">
      <c r="A56" s="1525"/>
      <c r="B56" s="1525"/>
      <c r="C56" s="1706" t="s">
        <v>27696</v>
      </c>
      <c r="D56" s="1676">
        <f t="shared" ref="D56:K56" si="14">SUM(D54:D55)</f>
        <v>0</v>
      </c>
      <c r="E56" s="1677">
        <f t="shared" si="14"/>
        <v>0</v>
      </c>
      <c r="F56" s="1676">
        <f t="shared" si="14"/>
        <v>0</v>
      </c>
      <c r="G56" s="2134">
        <f t="shared" si="14"/>
        <v>0</v>
      </c>
      <c r="H56" s="2141">
        <f t="shared" si="14"/>
        <v>0</v>
      </c>
      <c r="I56" s="1677">
        <f t="shared" si="14"/>
        <v>0</v>
      </c>
      <c r="J56" s="1676">
        <f t="shared" si="14"/>
        <v>0</v>
      </c>
      <c r="K56" s="1677">
        <f t="shared" si="14"/>
        <v>0</v>
      </c>
      <c r="L56" s="1707">
        <f t="shared" si="0"/>
        <v>0</v>
      </c>
      <c r="M56" s="1707">
        <f t="shared" si="1"/>
        <v>0</v>
      </c>
      <c r="N56" s="1708">
        <f t="shared" si="2"/>
        <v>0</v>
      </c>
      <c r="O56" s="1708">
        <f t="shared" si="3"/>
        <v>0</v>
      </c>
      <c r="P56" s="1396"/>
      <c r="Q56" s="1396"/>
      <c r="R56" s="1396"/>
      <c r="S56" s="1462"/>
      <c r="T56" s="1462"/>
      <c r="U56" s="1396"/>
      <c r="V56" s="1396"/>
      <c r="W56" s="1396"/>
      <c r="X56" s="1396"/>
      <c r="Y56" s="1396"/>
      <c r="Z56" s="1396"/>
      <c r="AA56" s="1396"/>
      <c r="AB56" s="1396"/>
      <c r="AC56" s="1396"/>
      <c r="AD56" s="1396"/>
      <c r="AE56" s="1396"/>
      <c r="AF56" s="1396"/>
      <c r="AG56" s="1396"/>
      <c r="AH56" s="1396"/>
      <c r="AI56" s="1396"/>
      <c r="AJ56" s="1396"/>
      <c r="AK56" s="1396"/>
      <c r="AL56" s="1396"/>
      <c r="AM56" s="1396"/>
      <c r="AN56" s="1396"/>
      <c r="AO56" s="1396"/>
      <c r="AP56" s="1396"/>
      <c r="AQ56" s="1396"/>
      <c r="AR56" s="1396"/>
      <c r="AS56" s="1396"/>
      <c r="AT56" s="1396"/>
      <c r="AU56" s="1396"/>
      <c r="AV56" s="1396"/>
      <c r="AW56" s="1396"/>
      <c r="AX56" s="1396"/>
      <c r="AY56" s="1396"/>
      <c r="AZ56" s="1396"/>
      <c r="BA56" s="1396"/>
      <c r="BB56" s="1396"/>
      <c r="BC56" s="1396"/>
    </row>
    <row r="57" spans="1:55" hidden="1" x14ac:dyDescent="0.45">
      <c r="A57" s="1082"/>
      <c r="B57" s="1082"/>
      <c r="C57" s="1152"/>
      <c r="D57" s="1155"/>
      <c r="E57" s="1155"/>
      <c r="F57" s="1155"/>
      <c r="G57" s="1155"/>
      <c r="H57" s="1155"/>
      <c r="I57" s="1155"/>
      <c r="J57" s="1154"/>
      <c r="K57" s="1154"/>
      <c r="L57" s="1154"/>
      <c r="M57" s="1154"/>
      <c r="N57" s="1154"/>
      <c r="O57" s="1154"/>
      <c r="P57" s="1396"/>
      <c r="Q57" s="1396"/>
      <c r="R57" s="1396"/>
      <c r="S57" s="1462"/>
      <c r="T57" s="1462"/>
      <c r="U57" s="1396"/>
      <c r="V57" s="1396"/>
      <c r="W57" s="1396"/>
      <c r="X57" s="1396"/>
      <c r="Y57" s="1396"/>
      <c r="Z57" s="1396"/>
      <c r="AA57" s="1396"/>
      <c r="AB57" s="1396"/>
      <c r="AC57" s="1396"/>
      <c r="AD57" s="1396"/>
      <c r="AE57" s="1396"/>
      <c r="AF57" s="1396"/>
      <c r="AG57" s="1396"/>
      <c r="AH57" s="1396"/>
      <c r="AI57" s="1396"/>
      <c r="AJ57" s="1396"/>
      <c r="AK57" s="1396"/>
      <c r="AL57" s="1396"/>
      <c r="AM57" s="1396"/>
      <c r="AN57" s="1396"/>
      <c r="AO57" s="1396"/>
      <c r="AP57" s="1396"/>
      <c r="AQ57" s="1396"/>
      <c r="AR57" s="1396"/>
      <c r="AS57" s="1396"/>
      <c r="AT57" s="1396"/>
      <c r="AU57" s="1396"/>
      <c r="AV57" s="1396"/>
      <c r="AW57" s="1396"/>
      <c r="AX57" s="1396"/>
      <c r="AY57" s="1396"/>
      <c r="AZ57" s="1396"/>
      <c r="BA57" s="1396"/>
      <c r="BB57" s="1396"/>
      <c r="BC57" s="1396"/>
    </row>
    <row r="58" spans="1:55" hidden="1" x14ac:dyDescent="0.45">
      <c r="A58" s="1396"/>
      <c r="B58" s="1468"/>
      <c r="C58" s="1469" t="s">
        <v>27940</v>
      </c>
      <c r="D58" s="2213" t="s">
        <v>27924</v>
      </c>
      <c r="E58" s="2213" t="s">
        <v>27924</v>
      </c>
      <c r="F58" s="2213" t="s">
        <v>27924</v>
      </c>
      <c r="G58" s="2213" t="s">
        <v>27924</v>
      </c>
      <c r="H58" s="2213" t="s">
        <v>27924</v>
      </c>
      <c r="I58" s="2213" t="s">
        <v>27924</v>
      </c>
      <c r="J58" s="2213" t="s">
        <v>27924</v>
      </c>
      <c r="K58" s="2213" t="s">
        <v>27924</v>
      </c>
      <c r="L58" s="1396"/>
      <c r="M58" s="1396"/>
      <c r="N58" s="1396"/>
      <c r="O58" s="1396"/>
      <c r="P58" s="1396"/>
      <c r="Q58" s="1396"/>
      <c r="R58" s="1396"/>
      <c r="S58" s="1462"/>
      <c r="T58" s="1462"/>
      <c r="U58" s="1396"/>
      <c r="V58" s="1396"/>
      <c r="W58" s="1396"/>
      <c r="X58" s="1396"/>
      <c r="Y58" s="1396"/>
      <c r="Z58" s="1396"/>
      <c r="AA58" s="1396"/>
      <c r="AB58" s="1396"/>
      <c r="AC58" s="1396"/>
      <c r="AD58" s="1396"/>
      <c r="AE58" s="1396"/>
      <c r="AF58" s="1396"/>
      <c r="AG58" s="1396"/>
      <c r="AH58" s="1396"/>
      <c r="AI58" s="1396"/>
      <c r="AJ58" s="1396"/>
      <c r="AK58" s="1396"/>
      <c r="AL58" s="1396"/>
      <c r="AM58" s="1396"/>
      <c r="AN58" s="1396"/>
      <c r="AO58" s="1396"/>
      <c r="AP58" s="1396"/>
      <c r="AQ58" s="1396"/>
      <c r="AR58" s="1396"/>
      <c r="AS58" s="1396"/>
      <c r="AT58" s="1396"/>
      <c r="AU58" s="1396"/>
      <c r="AV58" s="1396"/>
      <c r="AW58" s="1396"/>
      <c r="AX58" s="1396"/>
      <c r="AY58" s="1396"/>
      <c r="AZ58" s="1396"/>
      <c r="BA58" s="1396"/>
      <c r="BB58" s="1396"/>
      <c r="BC58" s="1396"/>
    </row>
    <row r="59" spans="1:55" hidden="1" x14ac:dyDescent="0.45">
      <c r="A59" s="1396"/>
      <c r="B59" s="1468"/>
      <c r="C59" s="1468"/>
      <c r="D59" s="560" t="s">
        <v>28251</v>
      </c>
      <c r="E59" s="560" t="s">
        <v>28254</v>
      </c>
      <c r="F59" s="561" t="s">
        <v>28252</v>
      </c>
      <c r="G59" s="561" t="s">
        <v>28253</v>
      </c>
      <c r="H59" s="560" t="s">
        <v>29712</v>
      </c>
      <c r="I59" s="560" t="s">
        <v>29713</v>
      </c>
      <c r="J59" s="561" t="s">
        <v>29719</v>
      </c>
      <c r="K59" s="561" t="s">
        <v>29720</v>
      </c>
      <c r="L59" s="1396"/>
      <c r="M59" s="1396"/>
      <c r="N59" s="1396"/>
      <c r="O59" s="1396"/>
      <c r="P59" s="1396"/>
      <c r="Q59" s="1396"/>
      <c r="R59" s="1396"/>
      <c r="S59" s="1462"/>
      <c r="T59" s="1462"/>
      <c r="U59" s="1396"/>
      <c r="V59" s="1396"/>
      <c r="W59" s="1396"/>
      <c r="X59" s="1396"/>
      <c r="Y59" s="1396"/>
      <c r="Z59" s="1396"/>
      <c r="AA59" s="1396"/>
      <c r="AB59" s="1396"/>
      <c r="AC59" s="1396"/>
      <c r="AD59" s="1396"/>
      <c r="AE59" s="1396"/>
      <c r="AF59" s="1396"/>
      <c r="AG59" s="1396"/>
      <c r="AH59" s="1396"/>
      <c r="AI59" s="1396"/>
      <c r="AJ59" s="1396"/>
      <c r="AK59" s="1396"/>
      <c r="AL59" s="1396"/>
      <c r="AM59" s="1396"/>
      <c r="AN59" s="1396"/>
      <c r="AO59" s="1396"/>
      <c r="AP59" s="1396"/>
      <c r="AQ59" s="1396"/>
      <c r="AR59" s="1396"/>
      <c r="AS59" s="1396"/>
      <c r="AT59" s="1396"/>
      <c r="AU59" s="1396"/>
      <c r="AV59" s="1396"/>
      <c r="AW59" s="1396"/>
      <c r="AX59" s="1396"/>
      <c r="AY59" s="1396"/>
      <c r="AZ59" s="1396"/>
      <c r="BA59" s="1396"/>
      <c r="BB59" s="1396"/>
      <c r="BC59" s="1396"/>
    </row>
    <row r="60" spans="1:55" ht="20.45" customHeight="1" x14ac:dyDescent="0.45">
      <c r="A60" s="1396"/>
      <c r="B60" s="1396"/>
      <c r="C60" s="1396"/>
      <c r="D60" s="1396"/>
      <c r="E60" s="1396"/>
      <c r="F60" s="1396"/>
      <c r="G60" s="1396"/>
      <c r="H60" s="1396"/>
      <c r="I60" s="1396"/>
      <c r="J60" s="1396"/>
      <c r="K60" s="1396"/>
      <c r="L60" s="1396"/>
      <c r="M60" s="1396"/>
      <c r="N60" s="1396"/>
      <c r="O60" s="1396"/>
      <c r="P60" s="1396"/>
      <c r="Q60" s="1396"/>
      <c r="R60" s="1396"/>
      <c r="S60" s="1462"/>
      <c r="T60" s="1462"/>
      <c r="U60" s="1396"/>
      <c r="V60" s="1396"/>
      <c r="W60" s="1396"/>
      <c r="X60" s="1396"/>
      <c r="Y60" s="1396"/>
      <c r="Z60" s="1396"/>
      <c r="AA60" s="1396"/>
      <c r="AB60" s="1396"/>
      <c r="AC60" s="1396"/>
      <c r="AD60" s="1396"/>
      <c r="AE60" s="1396"/>
      <c r="AF60" s="1396"/>
      <c r="AG60" s="1396"/>
      <c r="AH60" s="1396"/>
      <c r="AI60" s="1396"/>
      <c r="AJ60" s="1396"/>
      <c r="AK60" s="1396"/>
      <c r="AL60" s="1396"/>
      <c r="AM60" s="1396"/>
      <c r="AN60" s="1396"/>
      <c r="AO60" s="1396"/>
      <c r="AP60" s="1396"/>
      <c r="AQ60" s="1396"/>
      <c r="AR60" s="1396"/>
      <c r="AS60" s="1396"/>
      <c r="AT60" s="1396"/>
      <c r="AU60" s="1396"/>
      <c r="AV60" s="1396"/>
      <c r="AW60" s="1396"/>
      <c r="AX60" s="1396"/>
      <c r="AY60" s="1396"/>
      <c r="AZ60" s="1396"/>
      <c r="BA60" s="1396"/>
      <c r="BB60" s="1396"/>
      <c r="BC60" s="1396"/>
    </row>
    <row r="61" spans="1:55" ht="17.649999999999999" x14ac:dyDescent="0.45">
      <c r="A61" s="637" t="s">
        <v>28328</v>
      </c>
      <c r="B61" s="1082"/>
      <c r="C61" s="1152"/>
      <c r="D61" s="1155"/>
      <c r="E61" s="1155"/>
      <c r="F61" s="1155"/>
      <c r="G61" s="1155"/>
      <c r="H61" s="1155"/>
      <c r="I61" s="1155"/>
      <c r="J61" s="1154"/>
      <c r="K61" s="1154"/>
      <c r="L61" s="1154"/>
      <c r="M61" s="1154"/>
      <c r="N61" s="1154"/>
      <c r="O61" s="1154"/>
      <c r="P61" s="1396"/>
      <c r="Q61" s="1396"/>
      <c r="R61" s="1396"/>
      <c r="S61" s="1462"/>
      <c r="T61" s="1462"/>
      <c r="U61" s="1396"/>
      <c r="V61" s="1396"/>
      <c r="W61" s="1396"/>
      <c r="X61" s="1396"/>
      <c r="Y61" s="1396"/>
      <c r="Z61" s="1396"/>
      <c r="AA61" s="1396"/>
      <c r="AB61" s="1396"/>
      <c r="AC61" s="1396"/>
      <c r="AD61" s="1396"/>
      <c r="AE61" s="1396"/>
      <c r="AF61" s="1396"/>
      <c r="AG61" s="1396"/>
      <c r="AH61" s="1396"/>
      <c r="AI61" s="1396"/>
      <c r="AJ61" s="1396"/>
      <c r="AK61" s="1396"/>
      <c r="AL61" s="1396"/>
      <c r="AM61" s="1396"/>
      <c r="AN61" s="1396"/>
      <c r="AO61" s="1396"/>
      <c r="AP61" s="1396"/>
      <c r="AQ61" s="1396"/>
      <c r="AR61" s="1396"/>
      <c r="AS61" s="1396"/>
      <c r="AT61" s="1396"/>
      <c r="AU61" s="1396"/>
      <c r="AV61" s="1396"/>
      <c r="AW61" s="1396"/>
      <c r="AX61" s="1396"/>
      <c r="AY61" s="1396"/>
      <c r="AZ61" s="1396"/>
      <c r="BA61" s="1396"/>
      <c r="BB61" s="1396"/>
      <c r="BC61" s="1396"/>
    </row>
    <row r="62" spans="1:55" ht="20.45" customHeight="1" thickBot="1" x14ac:dyDescent="0.5">
      <c r="A62" s="1030" t="s">
        <v>27970</v>
      </c>
      <c r="B62" s="1082"/>
      <c r="C62" s="1152"/>
      <c r="D62" s="1155"/>
      <c r="E62" s="1155"/>
      <c r="F62" s="1155"/>
      <c r="G62" s="1155"/>
      <c r="H62" s="1155"/>
      <c r="I62" s="1155"/>
      <c r="J62" s="1154"/>
      <c r="K62" s="1154"/>
      <c r="L62" s="1154"/>
      <c r="M62" s="1154"/>
      <c r="N62" s="1154"/>
      <c r="O62" s="1154"/>
      <c r="P62" s="1396"/>
      <c r="Q62" s="1396"/>
      <c r="R62" s="1396"/>
      <c r="S62" s="1462"/>
      <c r="T62" s="1462"/>
      <c r="U62" s="2214" t="s">
        <v>44</v>
      </c>
      <c r="V62" s="1396">
        <v>1</v>
      </c>
      <c r="W62" s="1396">
        <v>1</v>
      </c>
      <c r="X62" s="1396"/>
      <c r="Y62" s="1396"/>
      <c r="Z62" s="1396"/>
      <c r="AA62" s="1396"/>
      <c r="AB62" s="1396"/>
      <c r="AC62" s="1396">
        <v>3</v>
      </c>
      <c r="AD62" s="1396"/>
      <c r="AE62" s="1396"/>
      <c r="AF62" s="1396"/>
      <c r="AG62" s="1396"/>
      <c r="AH62" s="1396"/>
      <c r="AI62" s="1396"/>
      <c r="AJ62" s="1396"/>
      <c r="AK62" s="1396"/>
      <c r="AL62" s="1396"/>
      <c r="AM62" s="1396"/>
      <c r="AN62" s="1396"/>
      <c r="AO62" s="1396"/>
      <c r="AP62" s="1396"/>
      <c r="AQ62" s="1396"/>
      <c r="AR62" s="1396"/>
      <c r="AS62" s="1396"/>
      <c r="AT62" s="1396"/>
      <c r="AU62" s="1396"/>
      <c r="AV62" s="1396"/>
      <c r="AW62" s="1396"/>
      <c r="AX62" s="1396"/>
      <c r="AY62" s="1396"/>
      <c r="AZ62" s="1396"/>
      <c r="BA62" s="1396"/>
      <c r="BB62" s="1396"/>
      <c r="BC62" s="1396"/>
    </row>
    <row r="63" spans="1:55" x14ac:dyDescent="0.45">
      <c r="A63" s="1124"/>
      <c r="B63" s="1125"/>
      <c r="C63" s="1126"/>
      <c r="D63" s="3489" t="str">
        <f>"20"&amp;YEAR-2&amp;"-"&amp;YEAR-1&amp;" Ind. data"</f>
        <v>2022-23 Ind. data</v>
      </c>
      <c r="E63" s="3490"/>
      <c r="F63" s="3489" t="str">
        <f>"HESES"&amp;YEAR-1</f>
        <v>HESES23</v>
      </c>
      <c r="G63" s="3493"/>
      <c r="H63" s="3495" t="str">
        <f>"20"&amp;YEAR-1&amp;"-"&amp;YEAR&amp;" Ind. data"</f>
        <v>2023-24 Ind. data</v>
      </c>
      <c r="I63" s="3490"/>
      <c r="J63" s="3489" t="str">
        <f>"HESES"&amp;YEAR</f>
        <v>HESES24</v>
      </c>
      <c r="K63" s="3490"/>
      <c r="L63" s="3502" t="s">
        <v>27951</v>
      </c>
      <c r="M63" s="3503"/>
      <c r="N63" s="3503"/>
      <c r="O63" s="3503"/>
      <c r="P63" s="3503"/>
      <c r="Q63" s="3503"/>
      <c r="R63" s="1396"/>
      <c r="S63" s="1462"/>
      <c r="T63" s="1462"/>
      <c r="U63" s="1396">
        <f>IF(SUM(V66:AA102,AC66:AH102)&gt;0,1,0)</f>
        <v>0</v>
      </c>
      <c r="V63" s="1944">
        <v>0.2</v>
      </c>
      <c r="W63" s="1945">
        <v>30</v>
      </c>
      <c r="X63" s="1396"/>
      <c r="Y63" s="1396"/>
      <c r="Z63" s="1396"/>
      <c r="AA63" s="1396"/>
      <c r="AB63" s="1396"/>
      <c r="AC63" s="1946">
        <v>10</v>
      </c>
      <c r="AD63" s="1396"/>
      <c r="AE63" s="1396"/>
      <c r="AF63" s="1396"/>
      <c r="AG63" s="1396"/>
      <c r="AH63" s="1396"/>
      <c r="AI63" s="1396"/>
      <c r="AJ63" s="1396"/>
      <c r="AK63" s="1396"/>
      <c r="AL63" s="1396"/>
      <c r="AM63" s="1396"/>
      <c r="AN63" s="1396"/>
      <c r="AO63" s="1396"/>
      <c r="AP63" s="1396"/>
      <c r="AQ63" s="1396"/>
      <c r="AR63" s="1396"/>
      <c r="AS63" s="1396"/>
      <c r="AT63" s="1396"/>
      <c r="AU63" s="1396"/>
      <c r="AV63" s="1396"/>
      <c r="AW63" s="1396"/>
      <c r="AX63" s="1396"/>
      <c r="AY63" s="1396"/>
      <c r="AZ63" s="1396"/>
      <c r="BA63" s="1396"/>
      <c r="BB63" s="1396"/>
      <c r="BC63" s="1396"/>
    </row>
    <row r="64" spans="1:55" ht="42.75" customHeight="1" x14ac:dyDescent="0.45">
      <c r="A64" s="1128"/>
      <c r="B64" s="1128"/>
      <c r="C64" s="1129"/>
      <c r="D64" s="3491"/>
      <c r="E64" s="3492"/>
      <c r="F64" s="3491"/>
      <c r="G64" s="3494"/>
      <c r="H64" s="3496"/>
      <c r="I64" s="3492"/>
      <c r="J64" s="3491"/>
      <c r="K64" s="3492"/>
      <c r="L64" s="3504" t="str">
        <f>"20"&amp;YEAR-2&amp;"-"&amp;YEAR-1&amp;" Ind. data
and 
HESES"&amp;YEAR</f>
        <v>2022-23 Ind. data
and 
HESES24</v>
      </c>
      <c r="M64" s="3501"/>
      <c r="N64" s="3501" t="str">
        <f>"HESES"&amp;YEAR-1&amp;"
and 
HESES"&amp;YEAR</f>
        <v>HESES23
and 
HESES24</v>
      </c>
      <c r="O64" s="3501"/>
      <c r="P64" s="3501" t="str">
        <f>"20"&amp;YEAR-1&amp;"-"&amp;YEAR&amp;" Ind. data
and 
HESES"&amp;YEAR</f>
        <v>2023-24 Ind. data
and 
HESES24</v>
      </c>
      <c r="Q64" s="3501"/>
      <c r="R64" s="1396"/>
      <c r="S64" s="1462"/>
      <c r="T64" s="1462"/>
      <c r="U64" s="1396"/>
      <c r="V64" s="1396"/>
      <c r="W64" s="1396"/>
      <c r="X64" s="1396"/>
      <c r="Y64" s="1396"/>
      <c r="Z64" s="1396"/>
      <c r="AA64" s="1396"/>
      <c r="AB64" s="1396"/>
      <c r="AC64" s="1396"/>
      <c r="AD64" s="1396"/>
      <c r="AE64" s="1396"/>
      <c r="AF64" s="1396"/>
      <c r="AG64" s="1396"/>
      <c r="AH64" s="1396"/>
      <c r="AI64" s="1396"/>
      <c r="AJ64" s="1396"/>
      <c r="AK64" s="1396"/>
      <c r="AL64" s="1396"/>
      <c r="AM64" s="1396"/>
      <c r="AN64" s="1396"/>
      <c r="AO64" s="1396"/>
      <c r="AP64" s="1396"/>
      <c r="AQ64" s="1396"/>
      <c r="AR64" s="1396"/>
      <c r="AS64" s="1396"/>
      <c r="AT64" s="1396"/>
      <c r="AU64" s="1396"/>
      <c r="AV64" s="1396"/>
      <c r="AW64" s="1396"/>
      <c r="AX64" s="1396"/>
      <c r="AY64" s="1396"/>
      <c r="AZ64" s="1396"/>
      <c r="BA64" s="1396"/>
      <c r="BB64" s="1396"/>
      <c r="BC64" s="1396"/>
    </row>
    <row r="65" spans="1:40" ht="58.5" customHeight="1" x14ac:dyDescent="0.45">
      <c r="A65" s="1128" t="s">
        <v>27840</v>
      </c>
      <c r="B65" s="1128"/>
      <c r="C65" s="1564" t="s">
        <v>57</v>
      </c>
      <c r="D65" s="1673" t="s">
        <v>27960</v>
      </c>
      <c r="E65" s="1130" t="s">
        <v>191</v>
      </c>
      <c r="F65" s="1673" t="s">
        <v>27960</v>
      </c>
      <c r="G65" s="2131" t="s">
        <v>191</v>
      </c>
      <c r="H65" s="1158" t="s">
        <v>27960</v>
      </c>
      <c r="I65" s="1130" t="s">
        <v>191</v>
      </c>
      <c r="J65" s="1673" t="s">
        <v>27960</v>
      </c>
      <c r="K65" s="1130" t="s">
        <v>191</v>
      </c>
      <c r="L65" s="1673" t="s">
        <v>27960</v>
      </c>
      <c r="M65" s="1131" t="s">
        <v>191</v>
      </c>
      <c r="N65" s="2145" t="s">
        <v>27960</v>
      </c>
      <c r="O65" s="2142" t="s">
        <v>191</v>
      </c>
      <c r="P65" s="2145" t="s">
        <v>27960</v>
      </c>
      <c r="Q65" s="2142" t="s">
        <v>191</v>
      </c>
      <c r="R65" s="1396"/>
      <c r="S65" s="1463" t="s">
        <v>27841</v>
      </c>
      <c r="T65" s="1463" t="s">
        <v>314</v>
      </c>
      <c r="U65" s="2215" t="s">
        <v>28329</v>
      </c>
      <c r="V65" s="2147" t="s">
        <v>29722</v>
      </c>
      <c r="W65" s="2147" t="s">
        <v>29723</v>
      </c>
      <c r="X65" s="1464" t="s">
        <v>29708</v>
      </c>
      <c r="Y65" s="1464" t="s">
        <v>29709</v>
      </c>
      <c r="Z65" s="1464" t="s">
        <v>29717</v>
      </c>
      <c r="AA65" s="1464" t="s">
        <v>29718</v>
      </c>
      <c r="AB65" s="1396"/>
      <c r="AC65" s="2147" t="s">
        <v>29722</v>
      </c>
      <c r="AD65" s="2147" t="s">
        <v>29723</v>
      </c>
      <c r="AE65" s="1464" t="s">
        <v>29717</v>
      </c>
      <c r="AF65" s="1464" t="s">
        <v>29718</v>
      </c>
      <c r="AG65" s="1464" t="s">
        <v>29708</v>
      </c>
      <c r="AH65" s="1464" t="s">
        <v>29709</v>
      </c>
      <c r="AI65" s="1396"/>
      <c r="AJ65" s="1396"/>
      <c r="AK65" s="1396"/>
      <c r="AL65" s="372"/>
      <c r="AM65" s="372"/>
      <c r="AN65" s="1396"/>
    </row>
    <row r="66" spans="1:40" x14ac:dyDescent="0.45">
      <c r="A66" s="1466" t="s">
        <v>27842</v>
      </c>
      <c r="B66" s="1466"/>
      <c r="C66" s="1565" t="s">
        <v>27769</v>
      </c>
      <c r="D66" s="1947">
        <v>0</v>
      </c>
      <c r="E66" s="1948">
        <v>0</v>
      </c>
      <c r="F66" s="1132">
        <v>0</v>
      </c>
      <c r="G66" s="1132">
        <v>0</v>
      </c>
      <c r="H66" s="2135">
        <v>0</v>
      </c>
      <c r="I66" s="1948">
        <v>0</v>
      </c>
      <c r="J66" s="1947">
        <f>SUM('6a_Health_full_time'!D13:E13,'6a_Health_full_time'!D15:E15,'6a_Health_full_time'!G13:H13,'6a_Health_full_time'!G15:H15)</f>
        <v>0</v>
      </c>
      <c r="K66" s="1948">
        <f>SUM('6c_Health_part_time'!D13:E13,'6c_Health_part_time'!G13:H13, '6c_Health_part_time'!D15:E15,'6c_Health_part_time'!G15:H15)</f>
        <v>0</v>
      </c>
      <c r="L66" s="1133">
        <f>IF(D66&gt;0,(J66-D66)/D66,0)</f>
        <v>0</v>
      </c>
      <c r="M66" s="1133">
        <f>IF(E66&gt;0,(K66-E66)/E66,0)</f>
        <v>0</v>
      </c>
      <c r="N66" s="1134">
        <f>IF(F66&gt;0,(J66-F66)/F66,0)</f>
        <v>0</v>
      </c>
      <c r="O66" s="1134">
        <f>IF(G66&gt;0,(K66-G66)/G66,0)</f>
        <v>0</v>
      </c>
      <c r="P66" s="1134">
        <f>IF(H66&gt;0,(J66-H66)/H66,0)</f>
        <v>0</v>
      </c>
      <c r="Q66" s="1134">
        <f>IF(I66&gt;0,(K66-I66)/I66,0)</f>
        <v>0</v>
      </c>
      <c r="R66" s="1396"/>
      <c r="S66" s="1467" t="s">
        <v>27843</v>
      </c>
      <c r="T66" s="1467" t="s">
        <v>27826</v>
      </c>
      <c r="U66" s="1396"/>
      <c r="V66" s="2123"/>
      <c r="W66" s="2123"/>
      <c r="X66" s="1946">
        <f>IF(AND(ABS(N66)&gt;$V$63,F66&gt;0,ABS(($J66-F66))&gt;$W$63),1,0)</f>
        <v>0</v>
      </c>
      <c r="Y66" s="1946">
        <f>IF(AND(ABS(O66)&gt;$V$63,G66&gt;0,ABS(($K66-G66))&gt;$W$63),1,0)</f>
        <v>0</v>
      </c>
      <c r="Z66" s="1946">
        <f>IF(AND(DCT="Y",ABS(P66)&gt;$V$63,H66&gt;0,ABS(($J66-H66))&gt;$W$63),1,0)</f>
        <v>0</v>
      </c>
      <c r="AA66" s="1946">
        <f>IF(AND(DCT="Y",ABS(Q66)&gt;$V$63,I66&gt;0,ABS(($K66-I66))&gt;$W$63),1,0)</f>
        <v>0</v>
      </c>
      <c r="AB66" s="1396"/>
      <c r="AC66" s="2123"/>
      <c r="AD66" s="2123"/>
      <c r="AE66" s="1946">
        <f>IF(OR(AND(H66=0,$J66&gt;$AC$63),AND($J66=0,H66&gt;$AC$63)),1,0)</f>
        <v>0</v>
      </c>
      <c r="AF66" s="1946">
        <f>IF(OR(AND(I66=0,$K66&gt;$AC$63),AND($K66=0,I66&gt;$AC$63)),1,0)</f>
        <v>0</v>
      </c>
      <c r="AG66" s="1946">
        <f>IF(OR(AND(F66=0,J66&gt;$AC$63),AND(J66=0,F66&gt;$AC$63)),1,0)</f>
        <v>0</v>
      </c>
      <c r="AH66" s="1946">
        <f>IF(OR(AND(G66=0,K66&gt;$AC$63),AND(K66=0,G66&gt;$AC$63)),1,0)</f>
        <v>0</v>
      </c>
      <c r="AI66" s="1396"/>
      <c r="AJ66" s="1396"/>
      <c r="AK66" s="1396"/>
      <c r="AL66" s="1396"/>
      <c r="AM66" s="1396"/>
      <c r="AN66" s="1396"/>
    </row>
    <row r="67" spans="1:40" x14ac:dyDescent="0.45">
      <c r="A67" s="1135"/>
      <c r="B67" s="1135"/>
      <c r="C67" s="1566" t="s">
        <v>210</v>
      </c>
      <c r="D67" s="1136"/>
      <c r="E67" s="1137"/>
      <c r="F67" s="1470"/>
      <c r="G67" s="1470"/>
      <c r="H67" s="2143"/>
      <c r="I67" s="1137"/>
      <c r="J67" s="1136"/>
      <c r="K67" s="1137"/>
      <c r="L67" s="1138"/>
      <c r="M67" s="1139"/>
      <c r="N67" s="1139"/>
      <c r="O67" s="1139"/>
      <c r="P67" s="1139"/>
      <c r="Q67" s="1139"/>
      <c r="R67" s="1396"/>
      <c r="S67" s="1467" t="s">
        <v>27843</v>
      </c>
      <c r="T67" s="1467" t="s">
        <v>27688</v>
      </c>
      <c r="U67" s="1396"/>
      <c r="V67" s="2124"/>
      <c r="W67" s="2124"/>
      <c r="X67" s="1949"/>
      <c r="Y67" s="1949"/>
      <c r="Z67" s="1949"/>
      <c r="AA67" s="1949"/>
      <c r="AB67" s="1396"/>
      <c r="AC67" s="2124"/>
      <c r="AD67" s="2124"/>
      <c r="AE67" s="1949"/>
      <c r="AF67" s="1949"/>
      <c r="AG67" s="1949">
        <f t="shared" ref="AG67:AG102" si="15">IF(OR(AND(F67=0,J67&gt;$AC$63),AND(J67=0,F67&gt;$AC$63)),1,0)</f>
        <v>0</v>
      </c>
      <c r="AH67" s="1949">
        <f t="shared" ref="AH67:AH102" si="16">IF(OR(AND(G67=0,K67&gt;$AC$63),AND(K67=0,G67&gt;$AC$63)),1,0)</f>
        <v>0</v>
      </c>
      <c r="AI67" s="1396"/>
      <c r="AJ67" s="1396"/>
      <c r="AK67" s="1396"/>
      <c r="AL67" s="1396"/>
      <c r="AM67" s="1396"/>
      <c r="AN67" s="1396"/>
    </row>
    <row r="68" spans="1:40" x14ac:dyDescent="0.45">
      <c r="A68" s="1466" t="s">
        <v>27844</v>
      </c>
      <c r="B68" s="1466"/>
      <c r="C68" s="1565" t="s">
        <v>27769</v>
      </c>
      <c r="D68" s="1947">
        <v>0</v>
      </c>
      <c r="E68" s="1948">
        <v>0</v>
      </c>
      <c r="F68" s="1132">
        <v>0</v>
      </c>
      <c r="G68" s="1132">
        <v>0</v>
      </c>
      <c r="H68" s="2135">
        <v>0</v>
      </c>
      <c r="I68" s="1948">
        <v>0</v>
      </c>
      <c r="J68" s="1947">
        <f>SUM('6a_Health_full_time'!D17:E17,'6a_Health_full_time'!D19:E19,'6a_Health_full_time'!G17:H17,'6a_Health_full_time'!G19:H19)</f>
        <v>0</v>
      </c>
      <c r="K68" s="1948">
        <f>SUM('6c_Health_part_time'!D17:E17,'6c_Health_part_time'!G17:H17, '6c_Health_part_time'!D19:E19,'6c_Health_part_time'!G19:H19)</f>
        <v>0</v>
      </c>
      <c r="L68" s="1133">
        <f t="shared" ref="L68:L105" si="17">IF(D68&gt;0,(J68-D68)/D68,0)</f>
        <v>0</v>
      </c>
      <c r="M68" s="1133">
        <f t="shared" ref="M68:M105" si="18">IF(E68&gt;0,(K68-E68)/E68,0)</f>
        <v>0</v>
      </c>
      <c r="N68" s="1134">
        <f t="shared" ref="N68:N105" si="19">IF(F68&gt;0,(J68-F68)/F68,0)</f>
        <v>0</v>
      </c>
      <c r="O68" s="1134">
        <f t="shared" ref="O68:O105" si="20">IF(G68&gt;0,(K68-G68)/G68,0)</f>
        <v>0</v>
      </c>
      <c r="P68" s="1134">
        <f t="shared" ref="P68:P105" si="21">IF(H68&gt;0,(J68-H68)/H68,0)</f>
        <v>0</v>
      </c>
      <c r="Q68" s="1134">
        <f t="shared" ref="Q68:Q105" si="22">IF(I68&gt;0,(K68-I68)/I68,0)</f>
        <v>0</v>
      </c>
      <c r="R68" s="1396"/>
      <c r="S68" s="1467" t="s">
        <v>27845</v>
      </c>
      <c r="T68" s="1467" t="s">
        <v>27826</v>
      </c>
      <c r="U68" s="1396"/>
      <c r="V68" s="2123"/>
      <c r="W68" s="2123"/>
      <c r="X68" s="1946">
        <f t="shared" ref="X68:X102" si="23">IF(AND(ABS(N68)&gt;$V$63,F68&gt;0,ABS(($J68-F68))&gt;$W$63),1,0)</f>
        <v>0</v>
      </c>
      <c r="Y68" s="1946">
        <f t="shared" ref="Y68:Y102" si="24">IF(AND(ABS(O68)&gt;$V$63,G68&gt;0,ABS(($K68-G68))&gt;$W$63),1,0)</f>
        <v>0</v>
      </c>
      <c r="Z68" s="1946">
        <f>IF(AND(DCT="Y",ABS(P68)&gt;$V$63,H68&gt;0,ABS(($J68-H68))&gt;$W$63),1,0)</f>
        <v>0</v>
      </c>
      <c r="AA68" s="1946">
        <f>IF(AND(DCT="Y",ABS(Q68)&gt;$V$63,I68&gt;0,ABS(($K68-I68))&gt;$W$63),1,0)</f>
        <v>0</v>
      </c>
      <c r="AB68" s="1396"/>
      <c r="AC68" s="2123"/>
      <c r="AD68" s="2123"/>
      <c r="AE68" s="1946">
        <f>IF(OR(AND(H68=0,$J68&gt;$AC$63),AND($J68=0,H68&gt;$AC$63)),1,0)</f>
        <v>0</v>
      </c>
      <c r="AF68" s="1946">
        <f>IF(OR(AND(I68=0,$K68&gt;$AC$63),AND($K68=0,I68&gt;$AC$63)),1,0)</f>
        <v>0</v>
      </c>
      <c r="AG68" s="1946">
        <f t="shared" si="15"/>
        <v>0</v>
      </c>
      <c r="AH68" s="1946">
        <f t="shared" si="16"/>
        <v>0</v>
      </c>
      <c r="AI68" s="1396"/>
      <c r="AJ68" s="1396"/>
      <c r="AK68" s="1396"/>
      <c r="AL68" s="1396"/>
      <c r="AM68" s="1396"/>
      <c r="AN68" s="1396"/>
    </row>
    <row r="69" spans="1:40" x14ac:dyDescent="0.45">
      <c r="A69" s="1135"/>
      <c r="B69" s="1135"/>
      <c r="C69" s="1566" t="s">
        <v>210</v>
      </c>
      <c r="D69" s="1136"/>
      <c r="E69" s="1137"/>
      <c r="F69" s="1470"/>
      <c r="G69" s="1470"/>
      <c r="H69" s="2143"/>
      <c r="I69" s="1137"/>
      <c r="J69" s="1136"/>
      <c r="K69" s="1137"/>
      <c r="L69" s="1138"/>
      <c r="M69" s="1139"/>
      <c r="N69" s="1139"/>
      <c r="O69" s="1139"/>
      <c r="P69" s="1139"/>
      <c r="Q69" s="1139"/>
      <c r="R69" s="1396"/>
      <c r="S69" s="1467" t="s">
        <v>27845</v>
      </c>
      <c r="T69" s="1467" t="s">
        <v>27688</v>
      </c>
      <c r="U69" s="1396"/>
      <c r="V69" s="2124"/>
      <c r="W69" s="2124"/>
      <c r="X69" s="1949"/>
      <c r="Y69" s="1949"/>
      <c r="Z69" s="1949"/>
      <c r="AA69" s="1949"/>
      <c r="AB69" s="1396"/>
      <c r="AC69" s="2124"/>
      <c r="AD69" s="2124"/>
      <c r="AE69" s="1949"/>
      <c r="AF69" s="1949"/>
      <c r="AG69" s="1949">
        <f t="shared" si="15"/>
        <v>0</v>
      </c>
      <c r="AH69" s="1949">
        <f t="shared" si="16"/>
        <v>0</v>
      </c>
      <c r="AI69" s="1396"/>
      <c r="AJ69" s="1396"/>
      <c r="AK69" s="1396"/>
      <c r="AL69" s="1396"/>
      <c r="AM69" s="1396"/>
      <c r="AN69" s="1396"/>
    </row>
    <row r="70" spans="1:40" x14ac:dyDescent="0.45">
      <c r="A70" s="1082" t="s">
        <v>27846</v>
      </c>
      <c r="B70" s="1082"/>
      <c r="C70" s="1567" t="s">
        <v>212</v>
      </c>
      <c r="D70" s="1950">
        <v>0</v>
      </c>
      <c r="E70" s="1951">
        <v>0</v>
      </c>
      <c r="F70" s="1953">
        <v>0</v>
      </c>
      <c r="G70" s="1953">
        <v>0</v>
      </c>
      <c r="H70" s="2144">
        <v>0</v>
      </c>
      <c r="I70" s="1951">
        <v>0</v>
      </c>
      <c r="J70" s="1947">
        <f>SUM('6a_Health_full_time'!D21:E21,'6a_Health_full_time'!D22:E22,'6a_Health_full_time'!G21:H21,'6a_Health_full_time'!G22:H22)</f>
        <v>0</v>
      </c>
      <c r="K70" s="1143">
        <f>SUM('6c_Health_part_time'!D21:E21,'6c_Health_part_time'!D22:E22,'6c_Health_part_time'!G21:H21,'6c_Health_part_time'!G22:H22)</f>
        <v>0</v>
      </c>
      <c r="L70" s="1954">
        <f t="shared" si="17"/>
        <v>0</v>
      </c>
      <c r="M70" s="1954">
        <f t="shared" si="18"/>
        <v>0</v>
      </c>
      <c r="N70" s="1954">
        <f t="shared" si="19"/>
        <v>0</v>
      </c>
      <c r="O70" s="1954">
        <f t="shared" si="20"/>
        <v>0</v>
      </c>
      <c r="P70" s="1954">
        <f t="shared" si="21"/>
        <v>0</v>
      </c>
      <c r="Q70" s="1954">
        <f t="shared" si="22"/>
        <v>0</v>
      </c>
      <c r="R70" s="1396"/>
      <c r="S70" s="1353" t="s">
        <v>27845</v>
      </c>
      <c r="T70" s="1467" t="s">
        <v>27689</v>
      </c>
      <c r="U70" s="1396"/>
      <c r="V70" s="2125"/>
      <c r="W70" s="2125"/>
      <c r="X70" s="1952">
        <f t="shared" si="23"/>
        <v>0</v>
      </c>
      <c r="Y70" s="1952">
        <f t="shared" si="24"/>
        <v>0</v>
      </c>
      <c r="Z70" s="1952">
        <f t="shared" ref="Z70:Z102" si="25">IF(AND(DCT="Y",ABS(P70)&gt;$V$63,H70&gt;0,ABS(($J70-H70))&gt;$W$63),1,0)</f>
        <v>0</v>
      </c>
      <c r="AA70" s="1952">
        <f t="shared" ref="AA70:AA102" si="26">IF(AND(DCT="Y",ABS(Q70)&gt;$V$63,I70&gt;0,ABS(($K70-I70))&gt;$W$63),1,0)</f>
        <v>0</v>
      </c>
      <c r="AB70" s="1396"/>
      <c r="AC70" s="2125"/>
      <c r="AD70" s="2125"/>
      <c r="AE70" s="1952">
        <f t="shared" ref="AE70:AE102" si="27">IF(OR(AND(H70=0,$J70&gt;$AC$63),AND($J70=0,H70&gt;$AC$63)),1,0)</f>
        <v>0</v>
      </c>
      <c r="AF70" s="1952">
        <f t="shared" ref="AF70:AF102" si="28">IF(OR(AND(I70=0,$K70&gt;$AC$63),AND($K70=0,I70&gt;$AC$63)),1,0)</f>
        <v>0</v>
      </c>
      <c r="AG70" s="1952">
        <f t="shared" si="15"/>
        <v>0</v>
      </c>
      <c r="AH70" s="1952">
        <f t="shared" si="16"/>
        <v>0</v>
      </c>
      <c r="AI70" s="1396"/>
      <c r="AJ70" s="1396"/>
      <c r="AK70" s="1396"/>
      <c r="AL70" s="1396"/>
      <c r="AM70" s="1396"/>
      <c r="AN70" s="1396"/>
    </row>
    <row r="71" spans="1:40" x14ac:dyDescent="0.45">
      <c r="A71" s="1466" t="s">
        <v>27847</v>
      </c>
      <c r="B71" s="1466"/>
      <c r="C71" s="1565" t="s">
        <v>27769</v>
      </c>
      <c r="D71" s="1675">
        <v>0</v>
      </c>
      <c r="E71" s="1141">
        <v>0</v>
      </c>
      <c r="F71" s="1140">
        <v>0</v>
      </c>
      <c r="G71" s="1140">
        <v>0</v>
      </c>
      <c r="H71" s="2140">
        <v>0</v>
      </c>
      <c r="I71" s="1141">
        <v>0</v>
      </c>
      <c r="J71" s="1947">
        <f>SUM('6a_Health_full_time'!D23:E23,'6a_Health_full_time'!D25:E25,'6a_Health_full_time'!G23:H23,'6a_Health_full_time'!G25:H25)</f>
        <v>0</v>
      </c>
      <c r="K71" s="1141">
        <f>SUM('6c_Health_part_time'!D23:E23,'6c_Health_part_time'!G23:H23, '6c_Health_part_time'!D25:E25,'6c_Health_part_time'!G25:H25)</f>
        <v>0</v>
      </c>
      <c r="L71" s="1153">
        <f t="shared" si="17"/>
        <v>0</v>
      </c>
      <c r="M71" s="1153">
        <f t="shared" si="18"/>
        <v>0</v>
      </c>
      <c r="N71" s="1154">
        <f t="shared" si="19"/>
        <v>0</v>
      </c>
      <c r="O71" s="1154">
        <f t="shared" si="20"/>
        <v>0</v>
      </c>
      <c r="P71" s="1154">
        <f t="shared" si="21"/>
        <v>0</v>
      </c>
      <c r="Q71" s="1154">
        <f t="shared" si="22"/>
        <v>0</v>
      </c>
      <c r="R71" s="1396"/>
      <c r="S71" s="1467" t="s">
        <v>27848</v>
      </c>
      <c r="T71" s="1467" t="s">
        <v>27826</v>
      </c>
      <c r="U71" s="1396"/>
      <c r="V71" s="2123"/>
      <c r="W71" s="2123"/>
      <c r="X71" s="1946">
        <f t="shared" si="23"/>
        <v>0</v>
      </c>
      <c r="Y71" s="1946">
        <f t="shared" si="24"/>
        <v>0</v>
      </c>
      <c r="Z71" s="1946">
        <f t="shared" si="25"/>
        <v>0</v>
      </c>
      <c r="AA71" s="1946">
        <f t="shared" si="26"/>
        <v>0</v>
      </c>
      <c r="AB71" s="1396"/>
      <c r="AC71" s="2123"/>
      <c r="AD71" s="2123"/>
      <c r="AE71" s="1946">
        <f t="shared" si="27"/>
        <v>0</v>
      </c>
      <c r="AF71" s="1946">
        <f t="shared" si="28"/>
        <v>0</v>
      </c>
      <c r="AG71" s="1946">
        <f t="shared" si="15"/>
        <v>0</v>
      </c>
      <c r="AH71" s="1946">
        <f t="shared" si="16"/>
        <v>0</v>
      </c>
      <c r="AI71" s="1396"/>
      <c r="AJ71" s="1396"/>
      <c r="AK71" s="1396"/>
      <c r="AL71" s="1396"/>
      <c r="AM71" s="1396"/>
      <c r="AN71" s="1396"/>
    </row>
    <row r="72" spans="1:40" x14ac:dyDescent="0.45">
      <c r="A72" s="1135"/>
      <c r="B72" s="1135"/>
      <c r="C72" s="1566" t="s">
        <v>210</v>
      </c>
      <c r="D72" s="1142">
        <v>0</v>
      </c>
      <c r="E72" s="1143">
        <v>0</v>
      </c>
      <c r="F72" s="1471">
        <v>0</v>
      </c>
      <c r="G72" s="1471">
        <v>0</v>
      </c>
      <c r="H72" s="2138">
        <v>0</v>
      </c>
      <c r="I72" s="1143">
        <v>0</v>
      </c>
      <c r="J72" s="1142">
        <f>SUM('6a_Health_full_time'!D24:E24,'6a_Health_full_time'!D26:E26,'6a_Health_full_time'!G24:H24,'6a_Health_full_time'!G26:H26)</f>
        <v>0</v>
      </c>
      <c r="K72" s="1143">
        <f>SUM('6c_Health_part_time'!D24:E24,'6c_Health_part_time'!G24:H24, '6c_Health_part_time'!D26:E26,'6c_Health_part_time'!G26:H26)</f>
        <v>0</v>
      </c>
      <c r="L72" s="1144">
        <f t="shared" si="17"/>
        <v>0</v>
      </c>
      <c r="M72" s="1144">
        <f t="shared" si="18"/>
        <v>0</v>
      </c>
      <c r="N72" s="1145">
        <f t="shared" si="19"/>
        <v>0</v>
      </c>
      <c r="O72" s="1145">
        <f t="shared" si="20"/>
        <v>0</v>
      </c>
      <c r="P72" s="1145">
        <f t="shared" si="21"/>
        <v>0</v>
      </c>
      <c r="Q72" s="1145">
        <f t="shared" si="22"/>
        <v>0</v>
      </c>
      <c r="R72" s="1396"/>
      <c r="S72" s="1467" t="s">
        <v>27848</v>
      </c>
      <c r="T72" s="1467" t="s">
        <v>27688</v>
      </c>
      <c r="U72" s="1396"/>
      <c r="V72" s="2123"/>
      <c r="W72" s="2123"/>
      <c r="X72" s="1946">
        <f t="shared" si="23"/>
        <v>0</v>
      </c>
      <c r="Y72" s="1946">
        <f t="shared" si="24"/>
        <v>0</v>
      </c>
      <c r="Z72" s="1946">
        <f t="shared" si="25"/>
        <v>0</v>
      </c>
      <c r="AA72" s="1946">
        <f t="shared" si="26"/>
        <v>0</v>
      </c>
      <c r="AB72" s="1396"/>
      <c r="AC72" s="2123"/>
      <c r="AD72" s="2123"/>
      <c r="AE72" s="1946">
        <f t="shared" si="27"/>
        <v>0</v>
      </c>
      <c r="AF72" s="1946">
        <f t="shared" si="28"/>
        <v>0</v>
      </c>
      <c r="AG72" s="1946">
        <f t="shared" si="15"/>
        <v>0</v>
      </c>
      <c r="AH72" s="1946">
        <f t="shared" si="16"/>
        <v>0</v>
      </c>
      <c r="AI72" s="1396"/>
      <c r="AJ72" s="1396"/>
      <c r="AK72" s="1396"/>
      <c r="AL72" s="1396"/>
      <c r="AM72" s="1396"/>
      <c r="AN72" s="1396"/>
    </row>
    <row r="73" spans="1:40" x14ac:dyDescent="0.45">
      <c r="A73" s="1466" t="s">
        <v>27849</v>
      </c>
      <c r="B73" s="1466"/>
      <c r="C73" s="1565" t="s">
        <v>27769</v>
      </c>
      <c r="D73" s="1947">
        <v>0</v>
      </c>
      <c r="E73" s="1948">
        <v>0</v>
      </c>
      <c r="F73" s="1140">
        <v>0</v>
      </c>
      <c r="G73" s="1140">
        <v>0</v>
      </c>
      <c r="H73" s="2135">
        <v>0</v>
      </c>
      <c r="I73" s="1948">
        <v>0</v>
      </c>
      <c r="J73" s="1675">
        <f>SUM('6a_Health_full_time'!D27:E27,'6a_Health_full_time'!D29:E29,'6a_Health_full_time'!G27:H27,'6a_Health_full_time'!G29:H29)</f>
        <v>0</v>
      </c>
      <c r="K73" s="1141">
        <f>SUM('6c_Health_part_time'!D27:E27,'6c_Health_part_time'!G27:H27, '6c_Health_part_time'!D29:E29,'6c_Health_part_time'!G29:H29)</f>
        <v>0</v>
      </c>
      <c r="L73" s="1133">
        <f t="shared" si="17"/>
        <v>0</v>
      </c>
      <c r="M73" s="1133">
        <f t="shared" si="18"/>
        <v>0</v>
      </c>
      <c r="N73" s="1134">
        <f t="shared" si="19"/>
        <v>0</v>
      </c>
      <c r="O73" s="1134">
        <f t="shared" si="20"/>
        <v>0</v>
      </c>
      <c r="P73" s="1134">
        <f t="shared" si="21"/>
        <v>0</v>
      </c>
      <c r="Q73" s="1134">
        <f t="shared" si="22"/>
        <v>0</v>
      </c>
      <c r="R73" s="1396"/>
      <c r="S73" s="1467" t="s">
        <v>27850</v>
      </c>
      <c r="T73" s="1467" t="s">
        <v>27826</v>
      </c>
      <c r="U73" s="1396"/>
      <c r="V73" s="2123"/>
      <c r="W73" s="2123"/>
      <c r="X73" s="1946">
        <f t="shared" si="23"/>
        <v>0</v>
      </c>
      <c r="Y73" s="1946">
        <f t="shared" si="24"/>
        <v>0</v>
      </c>
      <c r="Z73" s="1946">
        <f t="shared" si="25"/>
        <v>0</v>
      </c>
      <c r="AA73" s="1946">
        <f t="shared" si="26"/>
        <v>0</v>
      </c>
      <c r="AB73" s="1396"/>
      <c r="AC73" s="2123"/>
      <c r="AD73" s="2123"/>
      <c r="AE73" s="1946">
        <f t="shared" si="27"/>
        <v>0</v>
      </c>
      <c r="AF73" s="1946">
        <f t="shared" si="28"/>
        <v>0</v>
      </c>
      <c r="AG73" s="1946">
        <f t="shared" si="15"/>
        <v>0</v>
      </c>
      <c r="AH73" s="1946">
        <f t="shared" si="16"/>
        <v>0</v>
      </c>
      <c r="AI73" s="1396"/>
      <c r="AJ73" s="1396"/>
      <c r="AK73" s="1396"/>
      <c r="AL73" s="1396"/>
      <c r="AM73" s="1396"/>
      <c r="AN73" s="1396"/>
    </row>
    <row r="74" spans="1:40" x14ac:dyDescent="0.45">
      <c r="A74" s="1135"/>
      <c r="B74" s="1135"/>
      <c r="C74" s="1566" t="s">
        <v>210</v>
      </c>
      <c r="D74" s="1142">
        <v>0</v>
      </c>
      <c r="E74" s="1143">
        <v>0</v>
      </c>
      <c r="F74" s="1471">
        <v>0</v>
      </c>
      <c r="G74" s="1471">
        <v>0</v>
      </c>
      <c r="H74" s="2138">
        <v>0</v>
      </c>
      <c r="I74" s="1143">
        <v>0</v>
      </c>
      <c r="J74" s="1142">
        <f>SUM('6a_Health_full_time'!D28:E28,'6a_Health_full_time'!D30:E30,'6a_Health_full_time'!G28:H28,'6a_Health_full_time'!G30:H30)</f>
        <v>0</v>
      </c>
      <c r="K74" s="1143">
        <f>SUM('6c_Health_part_time'!D28:E28,'6c_Health_part_time'!G28:H28, '6c_Health_part_time'!D30:E30,'6c_Health_part_time'!G30:H30)</f>
        <v>0</v>
      </c>
      <c r="L74" s="1144">
        <f t="shared" si="17"/>
        <v>0</v>
      </c>
      <c r="M74" s="1144">
        <f t="shared" si="18"/>
        <v>0</v>
      </c>
      <c r="N74" s="1145">
        <f t="shared" si="19"/>
        <v>0</v>
      </c>
      <c r="O74" s="1145">
        <f t="shared" si="20"/>
        <v>0</v>
      </c>
      <c r="P74" s="1145">
        <f t="shared" si="21"/>
        <v>0</v>
      </c>
      <c r="Q74" s="1145">
        <f t="shared" si="22"/>
        <v>0</v>
      </c>
      <c r="R74" s="1396"/>
      <c r="S74" s="1467" t="s">
        <v>27850</v>
      </c>
      <c r="T74" s="1467" t="s">
        <v>27688</v>
      </c>
      <c r="U74" s="1396"/>
      <c r="V74" s="2123"/>
      <c r="W74" s="2123"/>
      <c r="X74" s="1946">
        <f t="shared" si="23"/>
        <v>0</v>
      </c>
      <c r="Y74" s="1946">
        <f t="shared" si="24"/>
        <v>0</v>
      </c>
      <c r="Z74" s="1946">
        <f t="shared" si="25"/>
        <v>0</v>
      </c>
      <c r="AA74" s="1946">
        <f t="shared" si="26"/>
        <v>0</v>
      </c>
      <c r="AB74" s="1396"/>
      <c r="AC74" s="2123"/>
      <c r="AD74" s="2123"/>
      <c r="AE74" s="1946">
        <f t="shared" si="27"/>
        <v>0</v>
      </c>
      <c r="AF74" s="1946">
        <f t="shared" si="28"/>
        <v>0</v>
      </c>
      <c r="AG74" s="1946">
        <f t="shared" si="15"/>
        <v>0</v>
      </c>
      <c r="AH74" s="1946">
        <f t="shared" si="16"/>
        <v>0</v>
      </c>
      <c r="AI74" s="1396"/>
      <c r="AJ74" s="1396"/>
      <c r="AK74" s="1396"/>
      <c r="AL74" s="1396"/>
      <c r="AM74" s="1396"/>
      <c r="AN74" s="1396"/>
    </row>
    <row r="75" spans="1:40" x14ac:dyDescent="0.45">
      <c r="A75" s="1466" t="s">
        <v>27851</v>
      </c>
      <c r="B75" s="1466"/>
      <c r="C75" s="1565" t="s">
        <v>27769</v>
      </c>
      <c r="D75" s="1947">
        <v>0</v>
      </c>
      <c r="E75" s="1948">
        <v>0</v>
      </c>
      <c r="F75" s="1140">
        <v>0</v>
      </c>
      <c r="G75" s="1140">
        <v>0</v>
      </c>
      <c r="H75" s="2135">
        <v>0</v>
      </c>
      <c r="I75" s="1948">
        <v>0</v>
      </c>
      <c r="J75" s="1947">
        <f>SUM('6a_Health_full_time'!D31:E31,'6a_Health_full_time'!D33:E33,'6a_Health_full_time'!G31:H31,'6a_Health_full_time'!G33:H33)</f>
        <v>0</v>
      </c>
      <c r="K75" s="1141">
        <f>SUM('6c_Health_part_time'!D31:E31,'6c_Health_part_time'!G31:H31, '6c_Health_part_time'!D33:E33,'6c_Health_part_time'!G33:H33)</f>
        <v>0</v>
      </c>
      <c r="L75" s="1133">
        <f t="shared" si="17"/>
        <v>0</v>
      </c>
      <c r="M75" s="1133">
        <f t="shared" si="18"/>
        <v>0</v>
      </c>
      <c r="N75" s="1134">
        <f t="shared" si="19"/>
        <v>0</v>
      </c>
      <c r="O75" s="1134">
        <f t="shared" si="20"/>
        <v>0</v>
      </c>
      <c r="P75" s="1134">
        <f t="shared" si="21"/>
        <v>0</v>
      </c>
      <c r="Q75" s="1134">
        <f t="shared" si="22"/>
        <v>0</v>
      </c>
      <c r="R75" s="1082"/>
      <c r="S75" s="1467" t="s">
        <v>27852</v>
      </c>
      <c r="T75" s="1467" t="s">
        <v>27826</v>
      </c>
      <c r="U75" s="1396"/>
      <c r="V75" s="2123"/>
      <c r="W75" s="2123"/>
      <c r="X75" s="1946">
        <f t="shared" si="23"/>
        <v>0</v>
      </c>
      <c r="Y75" s="1946">
        <f t="shared" si="24"/>
        <v>0</v>
      </c>
      <c r="Z75" s="1946">
        <f t="shared" si="25"/>
        <v>0</v>
      </c>
      <c r="AA75" s="1946">
        <f t="shared" si="26"/>
        <v>0</v>
      </c>
      <c r="AB75" s="1396"/>
      <c r="AC75" s="2123"/>
      <c r="AD75" s="2123"/>
      <c r="AE75" s="1946">
        <f t="shared" si="27"/>
        <v>0</v>
      </c>
      <c r="AF75" s="1946">
        <f t="shared" si="28"/>
        <v>0</v>
      </c>
      <c r="AG75" s="1946">
        <f t="shared" si="15"/>
        <v>0</v>
      </c>
      <c r="AH75" s="1946">
        <f t="shared" si="16"/>
        <v>0</v>
      </c>
      <c r="AI75" s="1396"/>
      <c r="AJ75" s="1396"/>
      <c r="AK75" s="1396"/>
      <c r="AL75" s="1396"/>
      <c r="AM75" s="1396"/>
      <c r="AN75" s="1396"/>
    </row>
    <row r="76" spans="1:40" x14ac:dyDescent="0.45">
      <c r="A76" s="1135"/>
      <c r="B76" s="1135"/>
      <c r="C76" s="1566" t="s">
        <v>210</v>
      </c>
      <c r="D76" s="1142">
        <v>0</v>
      </c>
      <c r="E76" s="1143">
        <v>0</v>
      </c>
      <c r="F76" s="1471">
        <v>0</v>
      </c>
      <c r="G76" s="1471">
        <v>0</v>
      </c>
      <c r="H76" s="2138">
        <v>0</v>
      </c>
      <c r="I76" s="1143">
        <v>0</v>
      </c>
      <c r="J76" s="1142">
        <f>SUM('6a_Health_full_time'!D32:E32,'6a_Health_full_time'!D34:E34,'6a_Health_full_time'!G32:H32,'6a_Health_full_time'!G34:H34)</f>
        <v>0</v>
      </c>
      <c r="K76" s="1143">
        <f>SUM('6c_Health_part_time'!D32:E32,'6c_Health_part_time'!G32:H32, '6c_Health_part_time'!D34:E34,'6c_Health_part_time'!G34:H34)</f>
        <v>0</v>
      </c>
      <c r="L76" s="1144">
        <f t="shared" si="17"/>
        <v>0</v>
      </c>
      <c r="M76" s="1144">
        <f t="shared" si="18"/>
        <v>0</v>
      </c>
      <c r="N76" s="1145">
        <f t="shared" si="19"/>
        <v>0</v>
      </c>
      <c r="O76" s="1145">
        <f t="shared" si="20"/>
        <v>0</v>
      </c>
      <c r="P76" s="1145">
        <f t="shared" si="21"/>
        <v>0</v>
      </c>
      <c r="Q76" s="1145">
        <f t="shared" si="22"/>
        <v>0</v>
      </c>
      <c r="R76" s="1082"/>
      <c r="S76" s="1467" t="s">
        <v>27852</v>
      </c>
      <c r="T76" s="1467" t="s">
        <v>27688</v>
      </c>
      <c r="U76" s="1396"/>
      <c r="V76" s="2123"/>
      <c r="W76" s="2123"/>
      <c r="X76" s="1946">
        <f t="shared" si="23"/>
        <v>0</v>
      </c>
      <c r="Y76" s="1946">
        <f t="shared" si="24"/>
        <v>0</v>
      </c>
      <c r="Z76" s="1946">
        <f t="shared" si="25"/>
        <v>0</v>
      </c>
      <c r="AA76" s="1946">
        <f t="shared" si="26"/>
        <v>0</v>
      </c>
      <c r="AB76" s="1396"/>
      <c r="AC76" s="2123"/>
      <c r="AD76" s="2123"/>
      <c r="AE76" s="1946">
        <f t="shared" si="27"/>
        <v>0</v>
      </c>
      <c r="AF76" s="1946">
        <f t="shared" si="28"/>
        <v>0</v>
      </c>
      <c r="AG76" s="1946">
        <f t="shared" si="15"/>
        <v>0</v>
      </c>
      <c r="AH76" s="1946">
        <f t="shared" si="16"/>
        <v>0</v>
      </c>
      <c r="AI76" s="1396"/>
      <c r="AJ76" s="1396"/>
      <c r="AK76" s="1396"/>
      <c r="AL76" s="1396"/>
      <c r="AM76" s="1396"/>
      <c r="AN76" s="1396"/>
    </row>
    <row r="77" spans="1:40" x14ac:dyDescent="0.45">
      <c r="A77" s="1466" t="s">
        <v>27853</v>
      </c>
      <c r="B77" s="1466"/>
      <c r="C77" s="1565" t="s">
        <v>27769</v>
      </c>
      <c r="D77" s="1947">
        <v>0</v>
      </c>
      <c r="E77" s="1948">
        <v>0</v>
      </c>
      <c r="F77" s="1140">
        <v>0</v>
      </c>
      <c r="G77" s="1140">
        <v>0</v>
      </c>
      <c r="H77" s="2135">
        <v>0</v>
      </c>
      <c r="I77" s="1948">
        <v>0</v>
      </c>
      <c r="J77" s="1675">
        <f>SUM('6a_Health_full_time'!D35:E35,'6a_Health_full_time'!D37:E37,'6a_Health_full_time'!G35:H35,'6a_Health_full_time'!G37:H37)</f>
        <v>0</v>
      </c>
      <c r="K77" s="1141">
        <f>SUM('6c_Health_part_time'!D35:E35,'6c_Health_part_time'!G35:H35, '6c_Health_part_time'!D37:E37,'6c_Health_part_time'!G37:H37)</f>
        <v>0</v>
      </c>
      <c r="L77" s="1133">
        <f t="shared" si="17"/>
        <v>0</v>
      </c>
      <c r="M77" s="1133">
        <f t="shared" si="18"/>
        <v>0</v>
      </c>
      <c r="N77" s="1134">
        <f t="shared" si="19"/>
        <v>0</v>
      </c>
      <c r="O77" s="1134">
        <f t="shared" si="20"/>
        <v>0</v>
      </c>
      <c r="P77" s="1134">
        <f t="shared" si="21"/>
        <v>0</v>
      </c>
      <c r="Q77" s="1134">
        <f t="shared" si="22"/>
        <v>0</v>
      </c>
      <c r="R77" s="1082"/>
      <c r="S77" s="1467" t="s">
        <v>27854</v>
      </c>
      <c r="T77" s="1467" t="s">
        <v>27826</v>
      </c>
      <c r="U77" s="1396"/>
      <c r="V77" s="2123"/>
      <c r="W77" s="2123"/>
      <c r="X77" s="1946">
        <f t="shared" si="23"/>
        <v>0</v>
      </c>
      <c r="Y77" s="1946">
        <f t="shared" si="24"/>
        <v>0</v>
      </c>
      <c r="Z77" s="1946">
        <f t="shared" si="25"/>
        <v>0</v>
      </c>
      <c r="AA77" s="1946">
        <f t="shared" si="26"/>
        <v>0</v>
      </c>
      <c r="AB77" s="1396"/>
      <c r="AC77" s="2123"/>
      <c r="AD77" s="2123"/>
      <c r="AE77" s="1946">
        <f t="shared" si="27"/>
        <v>0</v>
      </c>
      <c r="AF77" s="1946">
        <f t="shared" si="28"/>
        <v>0</v>
      </c>
      <c r="AG77" s="1946">
        <f t="shared" si="15"/>
        <v>0</v>
      </c>
      <c r="AH77" s="1946">
        <f t="shared" si="16"/>
        <v>0</v>
      </c>
      <c r="AI77" s="1396"/>
      <c r="AJ77" s="1396"/>
      <c r="AK77" s="1396"/>
      <c r="AL77" s="1396"/>
      <c r="AM77" s="1396"/>
      <c r="AN77" s="1396"/>
    </row>
    <row r="78" spans="1:40" x14ac:dyDescent="0.45">
      <c r="A78" s="1135"/>
      <c r="B78" s="1135"/>
      <c r="C78" s="1566" t="s">
        <v>210</v>
      </c>
      <c r="D78" s="1142">
        <v>0</v>
      </c>
      <c r="E78" s="1143">
        <v>0</v>
      </c>
      <c r="F78" s="1471">
        <v>0</v>
      </c>
      <c r="G78" s="1471">
        <v>0</v>
      </c>
      <c r="H78" s="2138">
        <v>0</v>
      </c>
      <c r="I78" s="1143">
        <v>0</v>
      </c>
      <c r="J78" s="1142">
        <f>SUM('6a_Health_full_time'!D36:E36,'6a_Health_full_time'!D38:E38,'6a_Health_full_time'!G36:H36,'6a_Health_full_time'!G38:H38)</f>
        <v>0</v>
      </c>
      <c r="K78" s="1143">
        <f>SUM('6c_Health_part_time'!D36:E36,'6c_Health_part_time'!G36:H36, '6c_Health_part_time'!D38:E38,'6c_Health_part_time'!G38:H38)</f>
        <v>0</v>
      </c>
      <c r="L78" s="1144">
        <f t="shared" si="17"/>
        <v>0</v>
      </c>
      <c r="M78" s="1144">
        <f t="shared" si="18"/>
        <v>0</v>
      </c>
      <c r="N78" s="1145">
        <f t="shared" si="19"/>
        <v>0</v>
      </c>
      <c r="O78" s="1145">
        <f t="shared" si="20"/>
        <v>0</v>
      </c>
      <c r="P78" s="1145">
        <f t="shared" si="21"/>
        <v>0</v>
      </c>
      <c r="Q78" s="1145">
        <f t="shared" si="22"/>
        <v>0</v>
      </c>
      <c r="R78" s="1082"/>
      <c r="S78" s="1467" t="s">
        <v>27854</v>
      </c>
      <c r="T78" s="1467" t="s">
        <v>27688</v>
      </c>
      <c r="U78" s="1396"/>
      <c r="V78" s="2123"/>
      <c r="W78" s="2123"/>
      <c r="X78" s="1946">
        <f t="shared" si="23"/>
        <v>0</v>
      </c>
      <c r="Y78" s="1946">
        <f t="shared" si="24"/>
        <v>0</v>
      </c>
      <c r="Z78" s="1946">
        <f t="shared" si="25"/>
        <v>0</v>
      </c>
      <c r="AA78" s="1946">
        <f t="shared" si="26"/>
        <v>0</v>
      </c>
      <c r="AB78" s="1396"/>
      <c r="AC78" s="2123"/>
      <c r="AD78" s="2123"/>
      <c r="AE78" s="1946">
        <f t="shared" si="27"/>
        <v>0</v>
      </c>
      <c r="AF78" s="1946">
        <f t="shared" si="28"/>
        <v>0</v>
      </c>
      <c r="AG78" s="1946">
        <f t="shared" si="15"/>
        <v>0</v>
      </c>
      <c r="AH78" s="1946">
        <f t="shared" si="16"/>
        <v>0</v>
      </c>
      <c r="AI78" s="1396"/>
      <c r="AJ78" s="1396"/>
      <c r="AK78" s="1396"/>
      <c r="AL78" s="1396"/>
      <c r="AM78" s="1396"/>
      <c r="AN78" s="1396"/>
    </row>
    <row r="79" spans="1:40" x14ac:dyDescent="0.45">
      <c r="A79" s="1466" t="s">
        <v>27855</v>
      </c>
      <c r="B79" s="1466"/>
      <c r="C79" s="1565" t="s">
        <v>27769</v>
      </c>
      <c r="D79" s="1947">
        <v>0</v>
      </c>
      <c r="E79" s="1948">
        <v>0</v>
      </c>
      <c r="F79" s="1140">
        <v>0</v>
      </c>
      <c r="G79" s="1140">
        <v>0</v>
      </c>
      <c r="H79" s="2135">
        <v>0</v>
      </c>
      <c r="I79" s="1948">
        <v>0</v>
      </c>
      <c r="J79" s="1947">
        <f>SUM('6a_Health_full_time'!D39:E39,'6a_Health_full_time'!D41:E41,'6a_Health_full_time'!G39:H39,'6a_Health_full_time'!G41:H41)</f>
        <v>0</v>
      </c>
      <c r="K79" s="1141">
        <f>SUM('6c_Health_part_time'!D39:E39,'6c_Health_part_time'!G39:H39, '6c_Health_part_time'!D41:E41,'6c_Health_part_time'!G41:H41)</f>
        <v>0</v>
      </c>
      <c r="L79" s="1133">
        <f t="shared" si="17"/>
        <v>0</v>
      </c>
      <c r="M79" s="1133">
        <f t="shared" si="18"/>
        <v>0</v>
      </c>
      <c r="N79" s="1134">
        <f t="shared" si="19"/>
        <v>0</v>
      </c>
      <c r="O79" s="1134">
        <f t="shared" si="20"/>
        <v>0</v>
      </c>
      <c r="P79" s="1134">
        <f t="shared" si="21"/>
        <v>0</v>
      </c>
      <c r="Q79" s="1134">
        <f t="shared" si="22"/>
        <v>0</v>
      </c>
      <c r="R79" s="1082"/>
      <c r="S79" s="1467" t="s">
        <v>27856</v>
      </c>
      <c r="T79" s="1467" t="s">
        <v>27826</v>
      </c>
      <c r="U79" s="1396"/>
      <c r="V79" s="2123"/>
      <c r="W79" s="2123"/>
      <c r="X79" s="1946">
        <f t="shared" si="23"/>
        <v>0</v>
      </c>
      <c r="Y79" s="1946">
        <f t="shared" si="24"/>
        <v>0</v>
      </c>
      <c r="Z79" s="1946">
        <f t="shared" si="25"/>
        <v>0</v>
      </c>
      <c r="AA79" s="1946">
        <f t="shared" si="26"/>
        <v>0</v>
      </c>
      <c r="AB79" s="1396"/>
      <c r="AC79" s="2123"/>
      <c r="AD79" s="2123"/>
      <c r="AE79" s="1946">
        <f t="shared" si="27"/>
        <v>0</v>
      </c>
      <c r="AF79" s="1946">
        <f t="shared" si="28"/>
        <v>0</v>
      </c>
      <c r="AG79" s="1946">
        <f t="shared" si="15"/>
        <v>0</v>
      </c>
      <c r="AH79" s="1946">
        <f t="shared" si="16"/>
        <v>0</v>
      </c>
      <c r="AI79" s="1396"/>
      <c r="AJ79" s="1396"/>
      <c r="AK79" s="1396"/>
      <c r="AL79" s="1396"/>
      <c r="AM79" s="1396"/>
      <c r="AN79" s="1396"/>
    </row>
    <row r="80" spans="1:40" x14ac:dyDescent="0.45">
      <c r="A80" s="1135"/>
      <c r="B80" s="1135"/>
      <c r="C80" s="1566" t="s">
        <v>210</v>
      </c>
      <c r="D80" s="1142">
        <v>0</v>
      </c>
      <c r="E80" s="1143">
        <v>0</v>
      </c>
      <c r="F80" s="1471">
        <v>0</v>
      </c>
      <c r="G80" s="1471">
        <v>0</v>
      </c>
      <c r="H80" s="2138">
        <v>0</v>
      </c>
      <c r="I80" s="1143">
        <v>0</v>
      </c>
      <c r="J80" s="1142">
        <f>SUM('6a_Health_full_time'!D40:E40,'6a_Health_full_time'!D42:E42,'6a_Health_full_time'!G40:H40,'6a_Health_full_time'!G42:H42)</f>
        <v>0</v>
      </c>
      <c r="K80" s="1143">
        <f>SUM('6c_Health_part_time'!D40:E40,'6c_Health_part_time'!G40:H40, '6c_Health_part_time'!D42:E42,'6c_Health_part_time'!G42:H42)</f>
        <v>0</v>
      </c>
      <c r="L80" s="1144">
        <f t="shared" si="17"/>
        <v>0</v>
      </c>
      <c r="M80" s="1144">
        <f t="shared" si="18"/>
        <v>0</v>
      </c>
      <c r="N80" s="1145">
        <f t="shared" si="19"/>
        <v>0</v>
      </c>
      <c r="O80" s="1145">
        <f t="shared" si="20"/>
        <v>0</v>
      </c>
      <c r="P80" s="1145">
        <f t="shared" si="21"/>
        <v>0</v>
      </c>
      <c r="Q80" s="1145">
        <f t="shared" si="22"/>
        <v>0</v>
      </c>
      <c r="R80" s="1082"/>
      <c r="S80" s="1467" t="s">
        <v>27856</v>
      </c>
      <c r="T80" s="1467" t="s">
        <v>27688</v>
      </c>
      <c r="U80" s="1396"/>
      <c r="V80" s="2123"/>
      <c r="W80" s="2123"/>
      <c r="X80" s="1946">
        <f t="shared" si="23"/>
        <v>0</v>
      </c>
      <c r="Y80" s="1946">
        <f t="shared" si="24"/>
        <v>0</v>
      </c>
      <c r="Z80" s="1946">
        <f t="shared" si="25"/>
        <v>0</v>
      </c>
      <c r="AA80" s="1946">
        <f t="shared" si="26"/>
        <v>0</v>
      </c>
      <c r="AB80" s="1396"/>
      <c r="AC80" s="2123"/>
      <c r="AD80" s="2123"/>
      <c r="AE80" s="1946">
        <f t="shared" si="27"/>
        <v>0</v>
      </c>
      <c r="AF80" s="1946">
        <f t="shared" si="28"/>
        <v>0</v>
      </c>
      <c r="AG80" s="1946">
        <f t="shared" si="15"/>
        <v>0</v>
      </c>
      <c r="AH80" s="1946">
        <f t="shared" si="16"/>
        <v>0</v>
      </c>
      <c r="AI80" s="1396"/>
      <c r="AJ80" s="1396"/>
      <c r="AK80" s="1396"/>
      <c r="AL80" s="1396"/>
      <c r="AM80" s="1396"/>
      <c r="AN80" s="1396"/>
    </row>
    <row r="81" spans="1:40" x14ac:dyDescent="0.45">
      <c r="A81" s="1466" t="s">
        <v>27857</v>
      </c>
      <c r="B81" s="1466"/>
      <c r="C81" s="1565" t="s">
        <v>27769</v>
      </c>
      <c r="D81" s="1947">
        <v>0</v>
      </c>
      <c r="E81" s="1948">
        <v>0</v>
      </c>
      <c r="F81" s="1140">
        <v>0</v>
      </c>
      <c r="G81" s="1140">
        <v>0</v>
      </c>
      <c r="H81" s="2135">
        <v>0</v>
      </c>
      <c r="I81" s="1948">
        <v>0</v>
      </c>
      <c r="J81" s="1947">
        <f>SUM('6a_Health_full_time'!D43:E43,'6a_Health_full_time'!D45:E45,'6a_Health_full_time'!G43:H43,'6a_Health_full_time'!G45:H45)</f>
        <v>0</v>
      </c>
      <c r="K81" s="1141">
        <f>SUM('6c_Health_part_time'!D43:E43,'6c_Health_part_time'!G43:H43, '6c_Health_part_time'!D45:E45,'6c_Health_part_time'!G45:H45)</f>
        <v>0</v>
      </c>
      <c r="L81" s="1133">
        <f t="shared" si="17"/>
        <v>0</v>
      </c>
      <c r="M81" s="1133">
        <f t="shared" si="18"/>
        <v>0</v>
      </c>
      <c r="N81" s="1134">
        <f t="shared" si="19"/>
        <v>0</v>
      </c>
      <c r="O81" s="1134">
        <f t="shared" si="20"/>
        <v>0</v>
      </c>
      <c r="P81" s="1134">
        <f t="shared" si="21"/>
        <v>0</v>
      </c>
      <c r="Q81" s="1134">
        <f t="shared" si="22"/>
        <v>0</v>
      </c>
      <c r="R81" s="1082"/>
      <c r="S81" s="1467" t="s">
        <v>27858</v>
      </c>
      <c r="T81" s="1467" t="s">
        <v>27826</v>
      </c>
      <c r="U81" s="1396"/>
      <c r="V81" s="2123"/>
      <c r="W81" s="2123"/>
      <c r="X81" s="1946">
        <f t="shared" si="23"/>
        <v>0</v>
      </c>
      <c r="Y81" s="1946">
        <f t="shared" si="24"/>
        <v>0</v>
      </c>
      <c r="Z81" s="1946">
        <f t="shared" si="25"/>
        <v>0</v>
      </c>
      <c r="AA81" s="1946">
        <f t="shared" si="26"/>
        <v>0</v>
      </c>
      <c r="AB81" s="1396"/>
      <c r="AC81" s="2123"/>
      <c r="AD81" s="2123"/>
      <c r="AE81" s="1946">
        <f t="shared" si="27"/>
        <v>0</v>
      </c>
      <c r="AF81" s="1946">
        <f t="shared" si="28"/>
        <v>0</v>
      </c>
      <c r="AG81" s="1946">
        <f t="shared" si="15"/>
        <v>0</v>
      </c>
      <c r="AH81" s="1946">
        <f t="shared" si="16"/>
        <v>0</v>
      </c>
      <c r="AI81" s="1396"/>
      <c r="AJ81" s="1396"/>
      <c r="AK81" s="1396"/>
      <c r="AL81" s="1396"/>
      <c r="AM81" s="1396"/>
      <c r="AN81" s="1396"/>
    </row>
    <row r="82" spans="1:40" x14ac:dyDescent="0.45">
      <c r="A82" s="1135"/>
      <c r="B82" s="1135"/>
      <c r="C82" s="1566" t="s">
        <v>210</v>
      </c>
      <c r="D82" s="1142">
        <v>0</v>
      </c>
      <c r="E82" s="1143">
        <v>0</v>
      </c>
      <c r="F82" s="1471">
        <v>0</v>
      </c>
      <c r="G82" s="1471">
        <v>0</v>
      </c>
      <c r="H82" s="2138">
        <v>0</v>
      </c>
      <c r="I82" s="1143">
        <v>0</v>
      </c>
      <c r="J82" s="1142">
        <f>SUM('6a_Health_full_time'!D44:E44,'6a_Health_full_time'!D46:E46,'6a_Health_full_time'!G44:H44,'6a_Health_full_time'!G46:H46)</f>
        <v>0</v>
      </c>
      <c r="K82" s="1143">
        <f>SUM('6c_Health_part_time'!D44:E44,'6c_Health_part_time'!G44:H44, '6c_Health_part_time'!D46:E46,'6c_Health_part_time'!G46:H46)</f>
        <v>0</v>
      </c>
      <c r="L82" s="1144">
        <f t="shared" si="17"/>
        <v>0</v>
      </c>
      <c r="M82" s="1144">
        <f t="shared" si="18"/>
        <v>0</v>
      </c>
      <c r="N82" s="1145">
        <f t="shared" si="19"/>
        <v>0</v>
      </c>
      <c r="O82" s="1145">
        <f t="shared" si="20"/>
        <v>0</v>
      </c>
      <c r="P82" s="1145">
        <f t="shared" si="21"/>
        <v>0</v>
      </c>
      <c r="Q82" s="1145">
        <f t="shared" si="22"/>
        <v>0</v>
      </c>
      <c r="R82" s="1082"/>
      <c r="S82" s="1467" t="s">
        <v>27858</v>
      </c>
      <c r="T82" s="1467" t="s">
        <v>27688</v>
      </c>
      <c r="U82" s="1396"/>
      <c r="V82" s="2123"/>
      <c r="W82" s="2123"/>
      <c r="X82" s="1946">
        <f t="shared" si="23"/>
        <v>0</v>
      </c>
      <c r="Y82" s="1946">
        <f t="shared" si="24"/>
        <v>0</v>
      </c>
      <c r="Z82" s="1946">
        <f t="shared" si="25"/>
        <v>0</v>
      </c>
      <c r="AA82" s="1946">
        <f t="shared" si="26"/>
        <v>0</v>
      </c>
      <c r="AB82" s="1396"/>
      <c r="AC82" s="2123"/>
      <c r="AD82" s="2123"/>
      <c r="AE82" s="1946">
        <f t="shared" si="27"/>
        <v>0</v>
      </c>
      <c r="AF82" s="1946">
        <f t="shared" si="28"/>
        <v>0</v>
      </c>
      <c r="AG82" s="1946">
        <f t="shared" si="15"/>
        <v>0</v>
      </c>
      <c r="AH82" s="1946">
        <f t="shared" si="16"/>
        <v>0</v>
      </c>
      <c r="AI82" s="1396"/>
      <c r="AJ82" s="1396"/>
      <c r="AK82" s="1396"/>
      <c r="AL82" s="1396"/>
      <c r="AM82" s="1396"/>
      <c r="AN82" s="1396"/>
    </row>
    <row r="83" spans="1:40" x14ac:dyDescent="0.45">
      <c r="A83" s="1466" t="s">
        <v>27859</v>
      </c>
      <c r="B83" s="1466"/>
      <c r="C83" s="1565" t="s">
        <v>27769</v>
      </c>
      <c r="D83" s="1947">
        <v>0</v>
      </c>
      <c r="E83" s="1948">
        <v>0</v>
      </c>
      <c r="F83" s="1140">
        <v>0</v>
      </c>
      <c r="G83" s="1140">
        <v>0</v>
      </c>
      <c r="H83" s="2135">
        <v>0</v>
      </c>
      <c r="I83" s="1948">
        <v>0</v>
      </c>
      <c r="J83" s="1947">
        <f>SUM('6a_Health_full_time'!D47:E47,'6a_Health_full_time'!D49:E49,'6a_Health_full_time'!G47:H47,'6a_Health_full_time'!G49:H49)</f>
        <v>0</v>
      </c>
      <c r="K83" s="1141">
        <f>SUM('6c_Health_part_time'!D47:E47,'6c_Health_part_time'!G47:H47, '6c_Health_part_time'!D49:E49,'6c_Health_part_time'!G49:H49)</f>
        <v>0</v>
      </c>
      <c r="L83" s="1133">
        <f t="shared" si="17"/>
        <v>0</v>
      </c>
      <c r="M83" s="1133">
        <f t="shared" si="18"/>
        <v>0</v>
      </c>
      <c r="N83" s="1134">
        <f t="shared" si="19"/>
        <v>0</v>
      </c>
      <c r="O83" s="1134">
        <f t="shared" si="20"/>
        <v>0</v>
      </c>
      <c r="P83" s="1134">
        <f t="shared" si="21"/>
        <v>0</v>
      </c>
      <c r="Q83" s="1134">
        <f t="shared" si="22"/>
        <v>0</v>
      </c>
      <c r="R83" s="1082"/>
      <c r="S83" s="1467" t="s">
        <v>27860</v>
      </c>
      <c r="T83" s="1467" t="s">
        <v>27826</v>
      </c>
      <c r="U83" s="1396"/>
      <c r="V83" s="2123"/>
      <c r="W83" s="2123"/>
      <c r="X83" s="1946">
        <f t="shared" si="23"/>
        <v>0</v>
      </c>
      <c r="Y83" s="1946">
        <f t="shared" si="24"/>
        <v>0</v>
      </c>
      <c r="Z83" s="1946">
        <f t="shared" si="25"/>
        <v>0</v>
      </c>
      <c r="AA83" s="1946">
        <f t="shared" si="26"/>
        <v>0</v>
      </c>
      <c r="AB83" s="1396"/>
      <c r="AC83" s="2123"/>
      <c r="AD83" s="2123"/>
      <c r="AE83" s="1946">
        <f t="shared" si="27"/>
        <v>0</v>
      </c>
      <c r="AF83" s="1946">
        <f t="shared" si="28"/>
        <v>0</v>
      </c>
      <c r="AG83" s="1946">
        <f t="shared" si="15"/>
        <v>0</v>
      </c>
      <c r="AH83" s="1946">
        <f t="shared" si="16"/>
        <v>0</v>
      </c>
      <c r="AI83" s="1396"/>
      <c r="AJ83" s="1396"/>
      <c r="AK83" s="1396"/>
      <c r="AL83" s="1396"/>
      <c r="AM83" s="1396"/>
      <c r="AN83" s="1396"/>
    </row>
    <row r="84" spans="1:40" x14ac:dyDescent="0.45">
      <c r="A84" s="1135"/>
      <c r="B84" s="1135"/>
      <c r="C84" s="1566" t="s">
        <v>210</v>
      </c>
      <c r="D84" s="1142">
        <v>0</v>
      </c>
      <c r="E84" s="1143">
        <v>0</v>
      </c>
      <c r="F84" s="1471">
        <v>0</v>
      </c>
      <c r="G84" s="1471">
        <v>0</v>
      </c>
      <c r="H84" s="2138">
        <v>0</v>
      </c>
      <c r="I84" s="1143">
        <v>0</v>
      </c>
      <c r="J84" s="1142">
        <f>SUM('6a_Health_full_time'!D48:E48,'6a_Health_full_time'!D50:E50,'6a_Health_full_time'!G48:H48,'6a_Health_full_time'!G50:H50)</f>
        <v>0</v>
      </c>
      <c r="K84" s="1143">
        <f>SUM('6c_Health_part_time'!D48:E48,'6c_Health_part_time'!G48:H48, '6c_Health_part_time'!D50:E50,'6c_Health_part_time'!G50:H50)</f>
        <v>0</v>
      </c>
      <c r="L84" s="1144">
        <f t="shared" si="17"/>
        <v>0</v>
      </c>
      <c r="M84" s="1144">
        <f t="shared" si="18"/>
        <v>0</v>
      </c>
      <c r="N84" s="1145">
        <f t="shared" si="19"/>
        <v>0</v>
      </c>
      <c r="O84" s="1145">
        <f t="shared" si="20"/>
        <v>0</v>
      </c>
      <c r="P84" s="1145">
        <f t="shared" si="21"/>
        <v>0</v>
      </c>
      <c r="Q84" s="1145">
        <f t="shared" si="22"/>
        <v>0</v>
      </c>
      <c r="R84" s="1082"/>
      <c r="S84" s="1467" t="s">
        <v>27860</v>
      </c>
      <c r="T84" s="1467" t="s">
        <v>27688</v>
      </c>
      <c r="U84" s="1396"/>
      <c r="V84" s="2123"/>
      <c r="W84" s="2123"/>
      <c r="X84" s="1946">
        <f t="shared" si="23"/>
        <v>0</v>
      </c>
      <c r="Y84" s="1946">
        <f t="shared" si="24"/>
        <v>0</v>
      </c>
      <c r="Z84" s="1946">
        <f t="shared" si="25"/>
        <v>0</v>
      </c>
      <c r="AA84" s="1946">
        <f t="shared" si="26"/>
        <v>0</v>
      </c>
      <c r="AB84" s="1396"/>
      <c r="AC84" s="2123"/>
      <c r="AD84" s="2123"/>
      <c r="AE84" s="1946">
        <f t="shared" si="27"/>
        <v>0</v>
      </c>
      <c r="AF84" s="1946">
        <f t="shared" si="28"/>
        <v>0</v>
      </c>
      <c r="AG84" s="1946">
        <f t="shared" si="15"/>
        <v>0</v>
      </c>
      <c r="AH84" s="1946">
        <f t="shared" si="16"/>
        <v>0</v>
      </c>
      <c r="AI84" s="1396"/>
      <c r="AJ84" s="1396"/>
      <c r="AK84" s="1396"/>
      <c r="AL84" s="1396"/>
      <c r="AM84" s="1396"/>
      <c r="AN84" s="1396"/>
    </row>
    <row r="85" spans="1:40" x14ac:dyDescent="0.45">
      <c r="A85" s="1466" t="s">
        <v>27861</v>
      </c>
      <c r="B85" s="1466"/>
      <c r="C85" s="1565" t="s">
        <v>27769</v>
      </c>
      <c r="D85" s="1947">
        <v>0</v>
      </c>
      <c r="E85" s="1948">
        <v>0</v>
      </c>
      <c r="F85" s="1140">
        <v>0</v>
      </c>
      <c r="G85" s="1140">
        <v>0</v>
      </c>
      <c r="H85" s="2135">
        <v>0</v>
      </c>
      <c r="I85" s="1948">
        <v>0</v>
      </c>
      <c r="J85" s="1947">
        <f>SUM('6a_Health_full_time'!D51:E51,'6a_Health_full_time'!D53:E53,'6a_Health_full_time'!G51:H51,'6a_Health_full_time'!G53:H53)</f>
        <v>0</v>
      </c>
      <c r="K85" s="1141">
        <f>SUM('6c_Health_part_time'!D51:E51,'6c_Health_part_time'!G51:H51, '6c_Health_part_time'!D53:E53,'6c_Health_part_time'!G53:H53)</f>
        <v>0</v>
      </c>
      <c r="L85" s="1133">
        <f t="shared" si="17"/>
        <v>0</v>
      </c>
      <c r="M85" s="1133">
        <f t="shared" si="18"/>
        <v>0</v>
      </c>
      <c r="N85" s="1134">
        <f t="shared" si="19"/>
        <v>0</v>
      </c>
      <c r="O85" s="1134">
        <f t="shared" si="20"/>
        <v>0</v>
      </c>
      <c r="P85" s="1134">
        <f t="shared" si="21"/>
        <v>0</v>
      </c>
      <c r="Q85" s="1134">
        <f t="shared" si="22"/>
        <v>0</v>
      </c>
      <c r="R85" s="1082"/>
      <c r="S85" s="1467" t="s">
        <v>27862</v>
      </c>
      <c r="T85" s="1467" t="s">
        <v>27826</v>
      </c>
      <c r="U85" s="1396"/>
      <c r="V85" s="2123"/>
      <c r="W85" s="2123"/>
      <c r="X85" s="1946">
        <f t="shared" si="23"/>
        <v>0</v>
      </c>
      <c r="Y85" s="1946">
        <f t="shared" si="24"/>
        <v>0</v>
      </c>
      <c r="Z85" s="1946">
        <f t="shared" si="25"/>
        <v>0</v>
      </c>
      <c r="AA85" s="1946">
        <f t="shared" si="26"/>
        <v>0</v>
      </c>
      <c r="AB85" s="1396"/>
      <c r="AC85" s="2123"/>
      <c r="AD85" s="2123"/>
      <c r="AE85" s="1946">
        <f t="shared" si="27"/>
        <v>0</v>
      </c>
      <c r="AF85" s="1946">
        <f t="shared" si="28"/>
        <v>0</v>
      </c>
      <c r="AG85" s="1946">
        <f t="shared" si="15"/>
        <v>0</v>
      </c>
      <c r="AH85" s="1946">
        <f t="shared" si="16"/>
        <v>0</v>
      </c>
      <c r="AI85" s="1396"/>
      <c r="AJ85" s="1396"/>
      <c r="AK85" s="1396"/>
      <c r="AL85" s="1396"/>
      <c r="AM85" s="1396"/>
      <c r="AN85" s="1396"/>
    </row>
    <row r="86" spans="1:40" x14ac:dyDescent="0.45">
      <c r="A86" s="1135"/>
      <c r="B86" s="1135"/>
      <c r="C86" s="1566" t="s">
        <v>210</v>
      </c>
      <c r="D86" s="1142">
        <v>0</v>
      </c>
      <c r="E86" s="1143">
        <v>0</v>
      </c>
      <c r="F86" s="1471">
        <v>0</v>
      </c>
      <c r="G86" s="1471">
        <v>0</v>
      </c>
      <c r="H86" s="2138">
        <v>0</v>
      </c>
      <c r="I86" s="1143">
        <v>0</v>
      </c>
      <c r="J86" s="1142">
        <f>SUM('6a_Health_full_time'!D52:E52,'6a_Health_full_time'!D54:E54,'6a_Health_full_time'!G52:H52,'6a_Health_full_time'!G54:H54)</f>
        <v>0</v>
      </c>
      <c r="K86" s="1143">
        <f>SUM('6c_Health_part_time'!D52:E52,'6c_Health_part_time'!G52:H52, '6c_Health_part_time'!D54:E54,'6c_Health_part_time'!G54:H54)</f>
        <v>0</v>
      </c>
      <c r="L86" s="1144">
        <f t="shared" si="17"/>
        <v>0</v>
      </c>
      <c r="M86" s="1144">
        <f t="shared" si="18"/>
        <v>0</v>
      </c>
      <c r="N86" s="1145">
        <f t="shared" si="19"/>
        <v>0</v>
      </c>
      <c r="O86" s="1145">
        <f t="shared" si="20"/>
        <v>0</v>
      </c>
      <c r="P86" s="1145">
        <f t="shared" si="21"/>
        <v>0</v>
      </c>
      <c r="Q86" s="1145">
        <f t="shared" si="22"/>
        <v>0</v>
      </c>
      <c r="R86" s="1082"/>
      <c r="S86" s="1467" t="s">
        <v>27862</v>
      </c>
      <c r="T86" s="1467" t="s">
        <v>27688</v>
      </c>
      <c r="U86" s="1396"/>
      <c r="V86" s="2123"/>
      <c r="W86" s="2123"/>
      <c r="X86" s="1946">
        <f t="shared" si="23"/>
        <v>0</v>
      </c>
      <c r="Y86" s="1946">
        <f t="shared" si="24"/>
        <v>0</v>
      </c>
      <c r="Z86" s="1946">
        <f t="shared" si="25"/>
        <v>0</v>
      </c>
      <c r="AA86" s="1946">
        <f t="shared" si="26"/>
        <v>0</v>
      </c>
      <c r="AB86" s="1396"/>
      <c r="AC86" s="2123"/>
      <c r="AD86" s="2123"/>
      <c r="AE86" s="1946">
        <f t="shared" si="27"/>
        <v>0</v>
      </c>
      <c r="AF86" s="1946">
        <f t="shared" si="28"/>
        <v>0</v>
      </c>
      <c r="AG86" s="1946">
        <f t="shared" si="15"/>
        <v>0</v>
      </c>
      <c r="AH86" s="1946">
        <f t="shared" si="16"/>
        <v>0</v>
      </c>
      <c r="AI86" s="1396"/>
      <c r="AJ86" s="1396"/>
      <c r="AK86" s="1396"/>
      <c r="AL86" s="1396"/>
      <c r="AM86" s="1396"/>
      <c r="AN86" s="1396"/>
    </row>
    <row r="87" spans="1:40" x14ac:dyDescent="0.45">
      <c r="A87" s="1466" t="s">
        <v>27863</v>
      </c>
      <c r="B87" s="1466"/>
      <c r="C87" s="1565" t="s">
        <v>27769</v>
      </c>
      <c r="D87" s="1947">
        <v>0</v>
      </c>
      <c r="E87" s="1948">
        <v>0</v>
      </c>
      <c r="F87" s="1140">
        <v>0</v>
      </c>
      <c r="G87" s="1140">
        <v>0</v>
      </c>
      <c r="H87" s="2135">
        <v>0</v>
      </c>
      <c r="I87" s="1948">
        <v>0</v>
      </c>
      <c r="J87" s="1947">
        <f>SUM('6a_Health_full_time'!D55:E55,'6a_Health_full_time'!D57:E57,'6a_Health_full_time'!G55:H55,'6a_Health_full_time'!G57:H57)</f>
        <v>0</v>
      </c>
      <c r="K87" s="1141">
        <f>SUM('6c_Health_part_time'!D55:E55,'6c_Health_part_time'!G55:H55, '6c_Health_part_time'!D57:E57,'6c_Health_part_time'!G57:H57)</f>
        <v>0</v>
      </c>
      <c r="L87" s="1133">
        <f t="shared" si="17"/>
        <v>0</v>
      </c>
      <c r="M87" s="1133">
        <f t="shared" si="18"/>
        <v>0</v>
      </c>
      <c r="N87" s="1134">
        <f t="shared" si="19"/>
        <v>0</v>
      </c>
      <c r="O87" s="1134">
        <f t="shared" si="20"/>
        <v>0</v>
      </c>
      <c r="P87" s="1134">
        <f t="shared" si="21"/>
        <v>0</v>
      </c>
      <c r="Q87" s="1134">
        <f t="shared" si="22"/>
        <v>0</v>
      </c>
      <c r="R87" s="1082"/>
      <c r="S87" s="1467" t="s">
        <v>27864</v>
      </c>
      <c r="T87" s="1467" t="s">
        <v>27826</v>
      </c>
      <c r="U87" s="1396"/>
      <c r="V87" s="2123"/>
      <c r="W87" s="2123"/>
      <c r="X87" s="1946">
        <f t="shared" si="23"/>
        <v>0</v>
      </c>
      <c r="Y87" s="1946">
        <f t="shared" si="24"/>
        <v>0</v>
      </c>
      <c r="Z87" s="1946">
        <f t="shared" si="25"/>
        <v>0</v>
      </c>
      <c r="AA87" s="1946">
        <f t="shared" si="26"/>
        <v>0</v>
      </c>
      <c r="AB87" s="1396"/>
      <c r="AC87" s="2123"/>
      <c r="AD87" s="2123"/>
      <c r="AE87" s="1946">
        <f t="shared" si="27"/>
        <v>0</v>
      </c>
      <c r="AF87" s="1946">
        <f t="shared" si="28"/>
        <v>0</v>
      </c>
      <c r="AG87" s="1946">
        <f t="shared" si="15"/>
        <v>0</v>
      </c>
      <c r="AH87" s="1946">
        <f t="shared" si="16"/>
        <v>0</v>
      </c>
      <c r="AI87" s="1396"/>
      <c r="AJ87" s="1396"/>
      <c r="AK87" s="1396"/>
      <c r="AL87" s="1396"/>
      <c r="AM87" s="1396"/>
      <c r="AN87" s="1396"/>
    </row>
    <row r="88" spans="1:40" x14ac:dyDescent="0.45">
      <c r="A88" s="1135"/>
      <c r="B88" s="1135"/>
      <c r="C88" s="1566" t="s">
        <v>210</v>
      </c>
      <c r="D88" s="1142">
        <v>0</v>
      </c>
      <c r="E88" s="1143">
        <v>0</v>
      </c>
      <c r="F88" s="1471">
        <v>0</v>
      </c>
      <c r="G88" s="1471">
        <v>0</v>
      </c>
      <c r="H88" s="2138">
        <v>0</v>
      </c>
      <c r="I88" s="1143">
        <v>0</v>
      </c>
      <c r="J88" s="1142">
        <f>SUM('6a_Health_full_time'!D56:E56,'6a_Health_full_time'!D58:E58,'6a_Health_full_time'!G56:H56,'6a_Health_full_time'!G58:H58)</f>
        <v>0</v>
      </c>
      <c r="K88" s="1143">
        <f>SUM('6c_Health_part_time'!D56:E56,'6c_Health_part_time'!G56:H56, '6c_Health_part_time'!D58:E58,'6c_Health_part_time'!G58:H58)</f>
        <v>0</v>
      </c>
      <c r="L88" s="1144">
        <f t="shared" si="17"/>
        <v>0</v>
      </c>
      <c r="M88" s="1144">
        <f t="shared" si="18"/>
        <v>0</v>
      </c>
      <c r="N88" s="1145">
        <f t="shared" si="19"/>
        <v>0</v>
      </c>
      <c r="O88" s="1145">
        <f t="shared" si="20"/>
        <v>0</v>
      </c>
      <c r="P88" s="1145">
        <f t="shared" si="21"/>
        <v>0</v>
      </c>
      <c r="Q88" s="1145">
        <f t="shared" si="22"/>
        <v>0</v>
      </c>
      <c r="R88" s="1082"/>
      <c r="S88" s="1467" t="s">
        <v>27864</v>
      </c>
      <c r="T88" s="1467" t="s">
        <v>27688</v>
      </c>
      <c r="U88" s="1396"/>
      <c r="V88" s="2123"/>
      <c r="W88" s="2123"/>
      <c r="X88" s="1946">
        <f t="shared" si="23"/>
        <v>0</v>
      </c>
      <c r="Y88" s="1946">
        <f t="shared" si="24"/>
        <v>0</v>
      </c>
      <c r="Z88" s="1946">
        <f t="shared" si="25"/>
        <v>0</v>
      </c>
      <c r="AA88" s="1946">
        <f t="shared" si="26"/>
        <v>0</v>
      </c>
      <c r="AB88" s="1396"/>
      <c r="AC88" s="2123"/>
      <c r="AD88" s="2123"/>
      <c r="AE88" s="1946">
        <f t="shared" si="27"/>
        <v>0</v>
      </c>
      <c r="AF88" s="1946">
        <f t="shared" si="28"/>
        <v>0</v>
      </c>
      <c r="AG88" s="1946">
        <f t="shared" si="15"/>
        <v>0</v>
      </c>
      <c r="AH88" s="1946">
        <f t="shared" si="16"/>
        <v>0</v>
      </c>
      <c r="AI88" s="1396"/>
      <c r="AJ88" s="1396"/>
      <c r="AK88" s="1396"/>
      <c r="AL88" s="1396"/>
      <c r="AM88" s="1396"/>
      <c r="AN88" s="1396"/>
    </row>
    <row r="89" spans="1:40" x14ac:dyDescent="0.45">
      <c r="A89" s="1466" t="s">
        <v>27865</v>
      </c>
      <c r="B89" s="1466"/>
      <c r="C89" s="1565" t="s">
        <v>27769</v>
      </c>
      <c r="D89" s="1947">
        <v>0</v>
      </c>
      <c r="E89" s="1948">
        <v>0</v>
      </c>
      <c r="F89" s="1140">
        <v>0</v>
      </c>
      <c r="G89" s="1140">
        <v>0</v>
      </c>
      <c r="H89" s="2135">
        <v>0</v>
      </c>
      <c r="I89" s="1948">
        <v>0</v>
      </c>
      <c r="J89" s="1947">
        <f>SUM('6a_Health_full_time'!D59:E59,'6a_Health_full_time'!D61:E61,'6a_Health_full_time'!G59:H59,'6a_Health_full_time'!G61:H61)</f>
        <v>0</v>
      </c>
      <c r="K89" s="1141">
        <f>SUM('6c_Health_part_time'!D59:E59,'6c_Health_part_time'!G59:H59, '6c_Health_part_time'!D61:E61,'6c_Health_part_time'!G61:H61)</f>
        <v>0</v>
      </c>
      <c r="L89" s="1133">
        <f t="shared" si="17"/>
        <v>0</v>
      </c>
      <c r="M89" s="1133">
        <f t="shared" si="18"/>
        <v>0</v>
      </c>
      <c r="N89" s="1134">
        <f t="shared" si="19"/>
        <v>0</v>
      </c>
      <c r="O89" s="1134">
        <f t="shared" si="20"/>
        <v>0</v>
      </c>
      <c r="P89" s="1134">
        <f t="shared" si="21"/>
        <v>0</v>
      </c>
      <c r="Q89" s="1134">
        <f t="shared" si="22"/>
        <v>0</v>
      </c>
      <c r="R89" s="1082"/>
      <c r="S89" s="1467" t="s">
        <v>27866</v>
      </c>
      <c r="T89" s="1467" t="s">
        <v>27826</v>
      </c>
      <c r="U89" s="1396"/>
      <c r="V89" s="2123"/>
      <c r="W89" s="2123"/>
      <c r="X89" s="1946">
        <f t="shared" si="23"/>
        <v>0</v>
      </c>
      <c r="Y89" s="1946">
        <f t="shared" si="24"/>
        <v>0</v>
      </c>
      <c r="Z89" s="1946">
        <f t="shared" si="25"/>
        <v>0</v>
      </c>
      <c r="AA89" s="1946">
        <f t="shared" si="26"/>
        <v>0</v>
      </c>
      <c r="AB89" s="1396"/>
      <c r="AC89" s="2123"/>
      <c r="AD89" s="2123"/>
      <c r="AE89" s="1946">
        <f t="shared" si="27"/>
        <v>0</v>
      </c>
      <c r="AF89" s="1946">
        <f t="shared" si="28"/>
        <v>0</v>
      </c>
      <c r="AG89" s="1946">
        <f t="shared" si="15"/>
        <v>0</v>
      </c>
      <c r="AH89" s="1946">
        <f t="shared" si="16"/>
        <v>0</v>
      </c>
      <c r="AI89" s="1396"/>
      <c r="AJ89" s="1396"/>
      <c r="AK89" s="1396"/>
      <c r="AL89" s="1396"/>
      <c r="AM89" s="1396"/>
      <c r="AN89" s="1396"/>
    </row>
    <row r="90" spans="1:40" x14ac:dyDescent="0.45">
      <c r="A90" s="1135"/>
      <c r="B90" s="1135"/>
      <c r="C90" s="1566" t="s">
        <v>210</v>
      </c>
      <c r="D90" s="1142">
        <v>0</v>
      </c>
      <c r="E90" s="1143">
        <v>0</v>
      </c>
      <c r="F90" s="1471">
        <v>0</v>
      </c>
      <c r="G90" s="1471">
        <v>0</v>
      </c>
      <c r="H90" s="2138">
        <v>0</v>
      </c>
      <c r="I90" s="1143">
        <v>0</v>
      </c>
      <c r="J90" s="1142">
        <f>SUM('6a_Health_full_time'!D60:E60,'6a_Health_full_time'!D62:E62,'6a_Health_full_time'!G60:H60,'6a_Health_full_time'!G62:H62)</f>
        <v>0</v>
      </c>
      <c r="K90" s="1143">
        <f>SUM('6c_Health_part_time'!D60:E60,'6c_Health_part_time'!G60:H60, '6c_Health_part_time'!D62:E62,'6c_Health_part_time'!G62:H62)</f>
        <v>0</v>
      </c>
      <c r="L90" s="1144">
        <f t="shared" si="17"/>
        <v>0</v>
      </c>
      <c r="M90" s="1144">
        <f t="shared" si="18"/>
        <v>0</v>
      </c>
      <c r="N90" s="1145">
        <f t="shared" si="19"/>
        <v>0</v>
      </c>
      <c r="O90" s="1145">
        <f t="shared" si="20"/>
        <v>0</v>
      </c>
      <c r="P90" s="1145">
        <f t="shared" si="21"/>
        <v>0</v>
      </c>
      <c r="Q90" s="1145">
        <f t="shared" si="22"/>
        <v>0</v>
      </c>
      <c r="R90" s="1082"/>
      <c r="S90" s="1467" t="s">
        <v>27866</v>
      </c>
      <c r="T90" s="1467" t="s">
        <v>27688</v>
      </c>
      <c r="U90" s="1396"/>
      <c r="V90" s="2123"/>
      <c r="W90" s="2123"/>
      <c r="X90" s="1946">
        <f t="shared" si="23"/>
        <v>0</v>
      </c>
      <c r="Y90" s="1946">
        <f t="shared" si="24"/>
        <v>0</v>
      </c>
      <c r="Z90" s="1946">
        <f t="shared" si="25"/>
        <v>0</v>
      </c>
      <c r="AA90" s="1946">
        <f t="shared" si="26"/>
        <v>0</v>
      </c>
      <c r="AB90" s="1396"/>
      <c r="AC90" s="2123"/>
      <c r="AD90" s="2123"/>
      <c r="AE90" s="1946">
        <f t="shared" si="27"/>
        <v>0</v>
      </c>
      <c r="AF90" s="1946">
        <f t="shared" si="28"/>
        <v>0</v>
      </c>
      <c r="AG90" s="1946">
        <f t="shared" si="15"/>
        <v>0</v>
      </c>
      <c r="AH90" s="1946">
        <f t="shared" si="16"/>
        <v>0</v>
      </c>
      <c r="AI90" s="1396"/>
      <c r="AJ90" s="1396"/>
      <c r="AK90" s="1396"/>
      <c r="AL90" s="1396"/>
      <c r="AM90" s="1396"/>
      <c r="AN90" s="1396"/>
    </row>
    <row r="91" spans="1:40" x14ac:dyDescent="0.45">
      <c r="A91" s="1466" t="s">
        <v>27867</v>
      </c>
      <c r="B91" s="1466"/>
      <c r="C91" s="1565" t="s">
        <v>27769</v>
      </c>
      <c r="D91" s="1947">
        <v>0</v>
      </c>
      <c r="E91" s="1948">
        <v>0</v>
      </c>
      <c r="F91" s="1140">
        <v>0</v>
      </c>
      <c r="G91" s="1140">
        <v>0</v>
      </c>
      <c r="H91" s="2135">
        <v>0</v>
      </c>
      <c r="I91" s="1948">
        <v>0</v>
      </c>
      <c r="J91" s="1947">
        <f>SUM('6a_Health_full_time'!D63:E63,'6a_Health_full_time'!D65:E65,'6a_Health_full_time'!G63:H63,'6a_Health_full_time'!G65:H65)</f>
        <v>0</v>
      </c>
      <c r="K91" s="1141">
        <f>SUM('6c_Health_part_time'!D63:E63,'6c_Health_part_time'!G63:H63, '6c_Health_part_time'!D65:E65,'6c_Health_part_time'!G65:H65)</f>
        <v>0</v>
      </c>
      <c r="L91" s="1133">
        <f t="shared" si="17"/>
        <v>0</v>
      </c>
      <c r="M91" s="1133">
        <f t="shared" si="18"/>
        <v>0</v>
      </c>
      <c r="N91" s="1134">
        <f t="shared" si="19"/>
        <v>0</v>
      </c>
      <c r="O91" s="1134">
        <f t="shared" si="20"/>
        <v>0</v>
      </c>
      <c r="P91" s="1134">
        <f t="shared" si="21"/>
        <v>0</v>
      </c>
      <c r="Q91" s="1134">
        <f t="shared" si="22"/>
        <v>0</v>
      </c>
      <c r="R91" s="1082"/>
      <c r="S91" s="1467" t="s">
        <v>27868</v>
      </c>
      <c r="T91" s="1467" t="s">
        <v>27826</v>
      </c>
      <c r="U91" s="1396"/>
      <c r="V91" s="2123"/>
      <c r="W91" s="2123"/>
      <c r="X91" s="1946">
        <f t="shared" si="23"/>
        <v>0</v>
      </c>
      <c r="Y91" s="1946">
        <f t="shared" si="24"/>
        <v>0</v>
      </c>
      <c r="Z91" s="1946">
        <f t="shared" si="25"/>
        <v>0</v>
      </c>
      <c r="AA91" s="1946">
        <f t="shared" si="26"/>
        <v>0</v>
      </c>
      <c r="AB91" s="1396"/>
      <c r="AC91" s="2123"/>
      <c r="AD91" s="2123"/>
      <c r="AE91" s="1946">
        <f t="shared" si="27"/>
        <v>0</v>
      </c>
      <c r="AF91" s="1946">
        <f t="shared" si="28"/>
        <v>0</v>
      </c>
      <c r="AG91" s="1946">
        <f t="shared" si="15"/>
        <v>0</v>
      </c>
      <c r="AH91" s="1946">
        <f t="shared" si="16"/>
        <v>0</v>
      </c>
      <c r="AI91" s="1396"/>
      <c r="AJ91" s="1396"/>
      <c r="AK91" s="1396"/>
      <c r="AL91" s="1396"/>
      <c r="AM91" s="1396"/>
      <c r="AN91" s="1396"/>
    </row>
    <row r="92" spans="1:40" x14ac:dyDescent="0.45">
      <c r="A92" s="1135"/>
      <c r="B92" s="1135"/>
      <c r="C92" s="1566" t="s">
        <v>210</v>
      </c>
      <c r="D92" s="1142">
        <v>0</v>
      </c>
      <c r="E92" s="1143">
        <v>0</v>
      </c>
      <c r="F92" s="1471">
        <v>0</v>
      </c>
      <c r="G92" s="1471">
        <v>0</v>
      </c>
      <c r="H92" s="2138">
        <v>0</v>
      </c>
      <c r="I92" s="1143">
        <v>0</v>
      </c>
      <c r="J92" s="1142">
        <f>SUM('6a_Health_full_time'!D64:E64,'6a_Health_full_time'!D66:E66,'6a_Health_full_time'!G64:H64,'6a_Health_full_time'!G66:H66)</f>
        <v>0</v>
      </c>
      <c r="K92" s="1143">
        <f>SUM('6c_Health_part_time'!D64:E64,'6c_Health_part_time'!G64:H64, '6c_Health_part_time'!D66:E66,'6c_Health_part_time'!G66:H66)</f>
        <v>0</v>
      </c>
      <c r="L92" s="1144">
        <f t="shared" si="17"/>
        <v>0</v>
      </c>
      <c r="M92" s="1144">
        <f t="shared" si="18"/>
        <v>0</v>
      </c>
      <c r="N92" s="1145">
        <f t="shared" si="19"/>
        <v>0</v>
      </c>
      <c r="O92" s="1145">
        <f t="shared" si="20"/>
        <v>0</v>
      </c>
      <c r="P92" s="1145">
        <f t="shared" si="21"/>
        <v>0</v>
      </c>
      <c r="Q92" s="1145">
        <f t="shared" si="22"/>
        <v>0</v>
      </c>
      <c r="R92" s="1082"/>
      <c r="S92" s="1467" t="s">
        <v>27868</v>
      </c>
      <c r="T92" s="1467" t="s">
        <v>27688</v>
      </c>
      <c r="U92" s="1396"/>
      <c r="V92" s="2123"/>
      <c r="W92" s="2123"/>
      <c r="X92" s="1946">
        <f t="shared" si="23"/>
        <v>0</v>
      </c>
      <c r="Y92" s="1946">
        <f t="shared" si="24"/>
        <v>0</v>
      </c>
      <c r="Z92" s="1946">
        <f t="shared" si="25"/>
        <v>0</v>
      </c>
      <c r="AA92" s="1946">
        <f t="shared" si="26"/>
        <v>0</v>
      </c>
      <c r="AB92" s="1396"/>
      <c r="AC92" s="2123"/>
      <c r="AD92" s="2123"/>
      <c r="AE92" s="1946">
        <f t="shared" si="27"/>
        <v>0</v>
      </c>
      <c r="AF92" s="1946">
        <f t="shared" si="28"/>
        <v>0</v>
      </c>
      <c r="AG92" s="1946">
        <f t="shared" si="15"/>
        <v>0</v>
      </c>
      <c r="AH92" s="1946">
        <f t="shared" si="16"/>
        <v>0</v>
      </c>
      <c r="AI92" s="1396"/>
      <c r="AJ92" s="1396"/>
      <c r="AK92" s="1396"/>
      <c r="AL92" s="1396"/>
      <c r="AM92" s="1396"/>
      <c r="AN92" s="1396"/>
    </row>
    <row r="93" spans="1:40" x14ac:dyDescent="0.45">
      <c r="A93" s="1466" t="s">
        <v>27869</v>
      </c>
      <c r="B93" s="1466"/>
      <c r="C93" s="1565" t="s">
        <v>27769</v>
      </c>
      <c r="D93" s="1947">
        <v>0</v>
      </c>
      <c r="E93" s="1948">
        <v>0</v>
      </c>
      <c r="F93" s="1140">
        <v>0</v>
      </c>
      <c r="G93" s="1140">
        <v>0</v>
      </c>
      <c r="H93" s="2135">
        <v>0</v>
      </c>
      <c r="I93" s="1948">
        <v>0</v>
      </c>
      <c r="J93" s="1947">
        <f>SUM('6a_Health_full_time'!D67:E67,'6a_Health_full_time'!D69:E69,'6a_Health_full_time'!G67:H67,'6a_Health_full_time'!G69:H69)</f>
        <v>0</v>
      </c>
      <c r="K93" s="1141">
        <f>SUM('6c_Health_part_time'!D67:E67,'6c_Health_part_time'!G67:H67, '6c_Health_part_time'!D69:E69,'6c_Health_part_time'!G69:H69)</f>
        <v>0</v>
      </c>
      <c r="L93" s="1133">
        <f t="shared" si="17"/>
        <v>0</v>
      </c>
      <c r="M93" s="1133">
        <f t="shared" si="18"/>
        <v>0</v>
      </c>
      <c r="N93" s="1134">
        <f t="shared" si="19"/>
        <v>0</v>
      </c>
      <c r="O93" s="1134">
        <f t="shared" si="20"/>
        <v>0</v>
      </c>
      <c r="P93" s="1134">
        <f t="shared" si="21"/>
        <v>0</v>
      </c>
      <c r="Q93" s="1134">
        <f t="shared" si="22"/>
        <v>0</v>
      </c>
      <c r="R93" s="1082"/>
      <c r="S93" s="1467" t="s">
        <v>27870</v>
      </c>
      <c r="T93" s="1467" t="s">
        <v>27826</v>
      </c>
      <c r="U93" s="1396"/>
      <c r="V93" s="2123"/>
      <c r="W93" s="2123"/>
      <c r="X93" s="1946">
        <f t="shared" si="23"/>
        <v>0</v>
      </c>
      <c r="Y93" s="1946">
        <f t="shared" si="24"/>
        <v>0</v>
      </c>
      <c r="Z93" s="1946">
        <f t="shared" si="25"/>
        <v>0</v>
      </c>
      <c r="AA93" s="1946">
        <f t="shared" si="26"/>
        <v>0</v>
      </c>
      <c r="AB93" s="1396"/>
      <c r="AC93" s="2123"/>
      <c r="AD93" s="2123"/>
      <c r="AE93" s="1946">
        <f t="shared" si="27"/>
        <v>0</v>
      </c>
      <c r="AF93" s="1946">
        <f t="shared" si="28"/>
        <v>0</v>
      </c>
      <c r="AG93" s="1946">
        <f t="shared" si="15"/>
        <v>0</v>
      </c>
      <c r="AH93" s="1946">
        <f t="shared" si="16"/>
        <v>0</v>
      </c>
      <c r="AI93" s="1396"/>
      <c r="AJ93" s="1396"/>
      <c r="AK93" s="1396"/>
      <c r="AL93" s="1396"/>
      <c r="AM93" s="1396"/>
      <c r="AN93" s="1396"/>
    </row>
    <row r="94" spans="1:40" x14ac:dyDescent="0.45">
      <c r="A94" s="1135"/>
      <c r="B94" s="1135"/>
      <c r="C94" s="1566" t="s">
        <v>210</v>
      </c>
      <c r="D94" s="1142">
        <v>0</v>
      </c>
      <c r="E94" s="1143">
        <v>0</v>
      </c>
      <c r="F94" s="1471">
        <v>0</v>
      </c>
      <c r="G94" s="1471">
        <v>0</v>
      </c>
      <c r="H94" s="2138">
        <v>0</v>
      </c>
      <c r="I94" s="1143">
        <v>0</v>
      </c>
      <c r="J94" s="1142">
        <f>SUM('6a_Health_full_time'!D68:E68,'6a_Health_full_time'!D70:E70,'6a_Health_full_time'!G68:H68,'6a_Health_full_time'!G70:H70)</f>
        <v>0</v>
      </c>
      <c r="K94" s="1143">
        <f>SUM('6c_Health_part_time'!D68:E68,'6c_Health_part_time'!G68:H68, '6c_Health_part_time'!D70:E70,'6c_Health_part_time'!G70:H70)</f>
        <v>0</v>
      </c>
      <c r="L94" s="1144">
        <f t="shared" si="17"/>
        <v>0</v>
      </c>
      <c r="M94" s="1144">
        <f t="shared" si="18"/>
        <v>0</v>
      </c>
      <c r="N94" s="1145">
        <f t="shared" si="19"/>
        <v>0</v>
      </c>
      <c r="O94" s="1145">
        <f t="shared" si="20"/>
        <v>0</v>
      </c>
      <c r="P94" s="1145">
        <f t="shared" si="21"/>
        <v>0</v>
      </c>
      <c r="Q94" s="1145">
        <f t="shared" si="22"/>
        <v>0</v>
      </c>
      <c r="R94" s="1082"/>
      <c r="S94" s="1467" t="s">
        <v>27870</v>
      </c>
      <c r="T94" s="1467" t="s">
        <v>27688</v>
      </c>
      <c r="U94" s="1396"/>
      <c r="V94" s="2123"/>
      <c r="W94" s="2123"/>
      <c r="X94" s="1946">
        <f t="shared" si="23"/>
        <v>0</v>
      </c>
      <c r="Y94" s="1946">
        <f t="shared" si="24"/>
        <v>0</v>
      </c>
      <c r="Z94" s="1946">
        <f t="shared" si="25"/>
        <v>0</v>
      </c>
      <c r="AA94" s="1946">
        <f t="shared" si="26"/>
        <v>0</v>
      </c>
      <c r="AB94" s="1396"/>
      <c r="AC94" s="2123"/>
      <c r="AD94" s="2123"/>
      <c r="AE94" s="1946">
        <f t="shared" si="27"/>
        <v>0</v>
      </c>
      <c r="AF94" s="1946">
        <f t="shared" si="28"/>
        <v>0</v>
      </c>
      <c r="AG94" s="1946">
        <f t="shared" si="15"/>
        <v>0</v>
      </c>
      <c r="AH94" s="1946">
        <f t="shared" si="16"/>
        <v>0</v>
      </c>
      <c r="AI94" s="1396"/>
      <c r="AJ94" s="1396"/>
      <c r="AK94" s="1396"/>
      <c r="AL94" s="1396"/>
      <c r="AM94" s="1396"/>
      <c r="AN94" s="1396"/>
    </row>
    <row r="95" spans="1:40" x14ac:dyDescent="0.45">
      <c r="A95" s="1466" t="s">
        <v>27871</v>
      </c>
      <c r="B95" s="1466"/>
      <c r="C95" s="1565" t="s">
        <v>27769</v>
      </c>
      <c r="D95" s="1947">
        <v>0</v>
      </c>
      <c r="E95" s="1948">
        <v>0</v>
      </c>
      <c r="F95" s="1140">
        <v>0</v>
      </c>
      <c r="G95" s="1140">
        <v>0</v>
      </c>
      <c r="H95" s="2135">
        <v>0</v>
      </c>
      <c r="I95" s="1948">
        <v>0</v>
      </c>
      <c r="J95" s="1947">
        <f>SUM('6a_Health_full_time'!D71:E71,'6a_Health_full_time'!D73:E73,'6a_Health_full_time'!G71:H71,'6a_Health_full_time'!G73:H73)</f>
        <v>0</v>
      </c>
      <c r="K95" s="1141">
        <f>SUM('6c_Health_part_time'!D71:E71,'6c_Health_part_time'!G71:H71, '6c_Health_part_time'!D73:E73,'6c_Health_part_time'!G73:H73)</f>
        <v>0</v>
      </c>
      <c r="L95" s="1133">
        <f t="shared" si="17"/>
        <v>0</v>
      </c>
      <c r="M95" s="1133">
        <f t="shared" si="18"/>
        <v>0</v>
      </c>
      <c r="N95" s="1134">
        <f t="shared" si="19"/>
        <v>0</v>
      </c>
      <c r="O95" s="1134">
        <f t="shared" si="20"/>
        <v>0</v>
      </c>
      <c r="P95" s="1134">
        <f t="shared" si="21"/>
        <v>0</v>
      </c>
      <c r="Q95" s="1134">
        <f t="shared" si="22"/>
        <v>0</v>
      </c>
      <c r="R95" s="1082"/>
      <c r="S95" s="1467" t="s">
        <v>27872</v>
      </c>
      <c r="T95" s="1467" t="s">
        <v>27826</v>
      </c>
      <c r="U95" s="1396"/>
      <c r="V95" s="2123"/>
      <c r="W95" s="2123"/>
      <c r="X95" s="1946">
        <f t="shared" si="23"/>
        <v>0</v>
      </c>
      <c r="Y95" s="1946">
        <f t="shared" si="24"/>
        <v>0</v>
      </c>
      <c r="Z95" s="1946">
        <f t="shared" si="25"/>
        <v>0</v>
      </c>
      <c r="AA95" s="1946">
        <f t="shared" si="26"/>
        <v>0</v>
      </c>
      <c r="AB95" s="1396"/>
      <c r="AC95" s="2123"/>
      <c r="AD95" s="2123"/>
      <c r="AE95" s="1946">
        <f t="shared" si="27"/>
        <v>0</v>
      </c>
      <c r="AF95" s="1946">
        <f t="shared" si="28"/>
        <v>0</v>
      </c>
      <c r="AG95" s="1946">
        <f t="shared" si="15"/>
        <v>0</v>
      </c>
      <c r="AH95" s="1946">
        <f t="shared" si="16"/>
        <v>0</v>
      </c>
      <c r="AI95" s="1396"/>
      <c r="AJ95" s="1396"/>
      <c r="AK95" s="1396"/>
      <c r="AL95" s="1396"/>
      <c r="AM95" s="1396"/>
      <c r="AN95" s="1396"/>
    </row>
    <row r="96" spans="1:40" x14ac:dyDescent="0.45">
      <c r="A96" s="1135"/>
      <c r="B96" s="1135"/>
      <c r="C96" s="1566" t="s">
        <v>210</v>
      </c>
      <c r="D96" s="1142">
        <v>0</v>
      </c>
      <c r="E96" s="1143">
        <v>0</v>
      </c>
      <c r="F96" s="1471">
        <v>0</v>
      </c>
      <c r="G96" s="1471">
        <v>0</v>
      </c>
      <c r="H96" s="2138">
        <v>0</v>
      </c>
      <c r="I96" s="1143">
        <v>0</v>
      </c>
      <c r="J96" s="1142">
        <f>SUM('6a_Health_full_time'!D72:E72,'6a_Health_full_time'!D74:E74,'6a_Health_full_time'!G72:H72,'6a_Health_full_time'!G74:H74)</f>
        <v>0</v>
      </c>
      <c r="K96" s="1143">
        <f>SUM('6c_Health_part_time'!D72:E72,'6c_Health_part_time'!G72:H72, '6c_Health_part_time'!D74:E74,'6c_Health_part_time'!G74:H74)</f>
        <v>0</v>
      </c>
      <c r="L96" s="1144">
        <f t="shared" si="17"/>
        <v>0</v>
      </c>
      <c r="M96" s="1144">
        <f t="shared" si="18"/>
        <v>0</v>
      </c>
      <c r="N96" s="1145">
        <f t="shared" si="19"/>
        <v>0</v>
      </c>
      <c r="O96" s="1145">
        <f t="shared" si="20"/>
        <v>0</v>
      </c>
      <c r="P96" s="1145">
        <f t="shared" si="21"/>
        <v>0</v>
      </c>
      <c r="Q96" s="1145">
        <f t="shared" si="22"/>
        <v>0</v>
      </c>
      <c r="R96" s="1082"/>
      <c r="S96" s="1467" t="s">
        <v>27872</v>
      </c>
      <c r="T96" s="1467" t="s">
        <v>27688</v>
      </c>
      <c r="U96" s="1396"/>
      <c r="V96" s="2123"/>
      <c r="W96" s="2123"/>
      <c r="X96" s="1946">
        <f t="shared" si="23"/>
        <v>0</v>
      </c>
      <c r="Y96" s="1946">
        <f t="shared" si="24"/>
        <v>0</v>
      </c>
      <c r="Z96" s="1946">
        <f t="shared" si="25"/>
        <v>0</v>
      </c>
      <c r="AA96" s="1946">
        <f t="shared" si="26"/>
        <v>0</v>
      </c>
      <c r="AB96" s="1396"/>
      <c r="AC96" s="2123"/>
      <c r="AD96" s="2123"/>
      <c r="AE96" s="1946">
        <f t="shared" si="27"/>
        <v>0</v>
      </c>
      <c r="AF96" s="1946">
        <f t="shared" si="28"/>
        <v>0</v>
      </c>
      <c r="AG96" s="1946">
        <f t="shared" si="15"/>
        <v>0</v>
      </c>
      <c r="AH96" s="1946">
        <f t="shared" si="16"/>
        <v>0</v>
      </c>
      <c r="AI96" s="1396"/>
      <c r="AJ96" s="1396"/>
      <c r="AK96" s="1396"/>
      <c r="AL96" s="1396"/>
      <c r="AM96" s="1396"/>
      <c r="AN96" s="1396"/>
    </row>
    <row r="97" spans="1:40" x14ac:dyDescent="0.45">
      <c r="A97" s="1466" t="s">
        <v>27873</v>
      </c>
      <c r="B97" s="1466"/>
      <c r="C97" s="1565" t="s">
        <v>27769</v>
      </c>
      <c r="D97" s="1947">
        <v>0</v>
      </c>
      <c r="E97" s="1948">
        <v>0</v>
      </c>
      <c r="F97" s="1140">
        <v>0</v>
      </c>
      <c r="G97" s="1140">
        <v>0</v>
      </c>
      <c r="H97" s="2135">
        <v>0</v>
      </c>
      <c r="I97" s="1948">
        <v>0</v>
      </c>
      <c r="J97" s="1947">
        <f>SUM('6a_Health_full_time'!D75:E75,'6a_Health_full_time'!D77:E77,'6a_Health_full_time'!G75:H75,'6a_Health_full_time'!G77:H77)</f>
        <v>0</v>
      </c>
      <c r="K97" s="1141">
        <f>SUM('6c_Health_part_time'!D75:E75,'6c_Health_part_time'!G75:H75, '6c_Health_part_time'!D77:E77,'6c_Health_part_time'!G77:H77)</f>
        <v>0</v>
      </c>
      <c r="L97" s="1133">
        <f t="shared" si="17"/>
        <v>0</v>
      </c>
      <c r="M97" s="1133">
        <f t="shared" si="18"/>
        <v>0</v>
      </c>
      <c r="N97" s="1134">
        <f t="shared" si="19"/>
        <v>0</v>
      </c>
      <c r="O97" s="1134">
        <f t="shared" si="20"/>
        <v>0</v>
      </c>
      <c r="P97" s="1134">
        <f t="shared" si="21"/>
        <v>0</v>
      </c>
      <c r="Q97" s="1134">
        <f t="shared" si="22"/>
        <v>0</v>
      </c>
      <c r="R97" s="1082"/>
      <c r="S97" s="1467" t="s">
        <v>27874</v>
      </c>
      <c r="T97" s="1467" t="s">
        <v>27826</v>
      </c>
      <c r="U97" s="1396"/>
      <c r="V97" s="2123"/>
      <c r="W97" s="2123"/>
      <c r="X97" s="1946">
        <f t="shared" si="23"/>
        <v>0</v>
      </c>
      <c r="Y97" s="1946">
        <f t="shared" si="24"/>
        <v>0</v>
      </c>
      <c r="Z97" s="1946">
        <f t="shared" si="25"/>
        <v>0</v>
      </c>
      <c r="AA97" s="1946">
        <f t="shared" si="26"/>
        <v>0</v>
      </c>
      <c r="AB97" s="1396"/>
      <c r="AC97" s="2123"/>
      <c r="AD97" s="2123"/>
      <c r="AE97" s="1946">
        <f t="shared" si="27"/>
        <v>0</v>
      </c>
      <c r="AF97" s="1946">
        <f t="shared" si="28"/>
        <v>0</v>
      </c>
      <c r="AG97" s="1946">
        <f t="shared" si="15"/>
        <v>0</v>
      </c>
      <c r="AH97" s="1946">
        <f t="shared" si="16"/>
        <v>0</v>
      </c>
      <c r="AI97" s="1396"/>
      <c r="AJ97" s="1396"/>
      <c r="AK97" s="1396"/>
      <c r="AL97" s="1396"/>
      <c r="AM97" s="1396"/>
      <c r="AN97" s="1396"/>
    </row>
    <row r="98" spans="1:40" x14ac:dyDescent="0.45">
      <c r="A98" s="1135"/>
      <c r="B98" s="1135"/>
      <c r="C98" s="1566" t="s">
        <v>210</v>
      </c>
      <c r="D98" s="1142">
        <v>0</v>
      </c>
      <c r="E98" s="1143">
        <v>0</v>
      </c>
      <c r="F98" s="1471">
        <v>0</v>
      </c>
      <c r="G98" s="1471">
        <v>0</v>
      </c>
      <c r="H98" s="2138">
        <v>0</v>
      </c>
      <c r="I98" s="1143">
        <v>0</v>
      </c>
      <c r="J98" s="1142">
        <f>SUM('6a_Health_full_time'!D76:E76,'6a_Health_full_time'!D78:E78,'6a_Health_full_time'!G76:H76,'6a_Health_full_time'!G78:H78)</f>
        <v>0</v>
      </c>
      <c r="K98" s="1143">
        <f>SUM('6c_Health_part_time'!D76:E76,'6c_Health_part_time'!G76:H76, '6c_Health_part_time'!D78:E78,'6c_Health_part_time'!G78:H78)</f>
        <v>0</v>
      </c>
      <c r="L98" s="1144">
        <f t="shared" si="17"/>
        <v>0</v>
      </c>
      <c r="M98" s="1144">
        <f t="shared" si="18"/>
        <v>0</v>
      </c>
      <c r="N98" s="1145">
        <f t="shared" si="19"/>
        <v>0</v>
      </c>
      <c r="O98" s="1145">
        <f t="shared" si="20"/>
        <v>0</v>
      </c>
      <c r="P98" s="1145">
        <f t="shared" si="21"/>
        <v>0</v>
      </c>
      <c r="Q98" s="1145">
        <f t="shared" si="22"/>
        <v>0</v>
      </c>
      <c r="R98" s="1082"/>
      <c r="S98" s="1467" t="s">
        <v>27874</v>
      </c>
      <c r="T98" s="1467" t="s">
        <v>27688</v>
      </c>
      <c r="U98" s="1396"/>
      <c r="V98" s="2123"/>
      <c r="W98" s="2123"/>
      <c r="X98" s="1946">
        <f t="shared" si="23"/>
        <v>0</v>
      </c>
      <c r="Y98" s="1946">
        <f t="shared" si="24"/>
        <v>0</v>
      </c>
      <c r="Z98" s="1946">
        <f t="shared" si="25"/>
        <v>0</v>
      </c>
      <c r="AA98" s="1946">
        <f t="shared" si="26"/>
        <v>0</v>
      </c>
      <c r="AB98" s="1396"/>
      <c r="AC98" s="2123"/>
      <c r="AD98" s="2123"/>
      <c r="AE98" s="1946">
        <f t="shared" si="27"/>
        <v>0</v>
      </c>
      <c r="AF98" s="1946">
        <f t="shared" si="28"/>
        <v>0</v>
      </c>
      <c r="AG98" s="1946">
        <f t="shared" si="15"/>
        <v>0</v>
      </c>
      <c r="AH98" s="1946">
        <f t="shared" si="16"/>
        <v>0</v>
      </c>
      <c r="AI98" s="1396"/>
      <c r="AJ98" s="1396"/>
      <c r="AK98" s="1396"/>
      <c r="AL98" s="1396"/>
      <c r="AM98" s="1396"/>
      <c r="AN98" s="1396"/>
    </row>
    <row r="99" spans="1:40" x14ac:dyDescent="0.45">
      <c r="A99" s="1466" t="s">
        <v>27875</v>
      </c>
      <c r="B99" s="1466"/>
      <c r="C99" s="1565" t="s">
        <v>27769</v>
      </c>
      <c r="D99" s="1947">
        <v>0</v>
      </c>
      <c r="E99" s="1948">
        <v>0</v>
      </c>
      <c r="F99" s="1140">
        <v>0</v>
      </c>
      <c r="G99" s="1140">
        <v>0</v>
      </c>
      <c r="H99" s="2135">
        <v>0</v>
      </c>
      <c r="I99" s="1948">
        <v>0</v>
      </c>
      <c r="J99" s="1947">
        <f>SUM('6a_Health_full_time'!D79:E79,'6a_Health_full_time'!D81:E81,'6a_Health_full_time'!G79:H79,'6a_Health_full_time'!G81:H81)</f>
        <v>0</v>
      </c>
      <c r="K99" s="1141">
        <f>SUM('6c_Health_part_time'!D79:E79,'6c_Health_part_time'!G79:H79, '6c_Health_part_time'!D81:E81,'6c_Health_part_time'!G81:H81)</f>
        <v>0</v>
      </c>
      <c r="L99" s="1133">
        <f t="shared" si="17"/>
        <v>0</v>
      </c>
      <c r="M99" s="1133">
        <f t="shared" si="18"/>
        <v>0</v>
      </c>
      <c r="N99" s="1134">
        <f t="shared" si="19"/>
        <v>0</v>
      </c>
      <c r="O99" s="1134">
        <f t="shared" si="20"/>
        <v>0</v>
      </c>
      <c r="P99" s="1134">
        <f t="shared" si="21"/>
        <v>0</v>
      </c>
      <c r="Q99" s="1134">
        <f t="shared" si="22"/>
        <v>0</v>
      </c>
      <c r="R99" s="1082"/>
      <c r="S99" s="1467" t="s">
        <v>27876</v>
      </c>
      <c r="T99" s="1467" t="s">
        <v>27826</v>
      </c>
      <c r="U99" s="1396"/>
      <c r="V99" s="2123"/>
      <c r="W99" s="2123"/>
      <c r="X99" s="1946">
        <f t="shared" si="23"/>
        <v>0</v>
      </c>
      <c r="Y99" s="1946">
        <f t="shared" si="24"/>
        <v>0</v>
      </c>
      <c r="Z99" s="1946">
        <f t="shared" si="25"/>
        <v>0</v>
      </c>
      <c r="AA99" s="1946">
        <f t="shared" si="26"/>
        <v>0</v>
      </c>
      <c r="AB99" s="1396"/>
      <c r="AC99" s="2123"/>
      <c r="AD99" s="2123"/>
      <c r="AE99" s="1946">
        <f t="shared" si="27"/>
        <v>0</v>
      </c>
      <c r="AF99" s="1946">
        <f t="shared" si="28"/>
        <v>0</v>
      </c>
      <c r="AG99" s="1946">
        <f t="shared" si="15"/>
        <v>0</v>
      </c>
      <c r="AH99" s="1946">
        <f t="shared" si="16"/>
        <v>0</v>
      </c>
      <c r="AI99" s="1396"/>
      <c r="AJ99" s="1396"/>
      <c r="AK99" s="1396"/>
      <c r="AL99" s="1396"/>
      <c r="AM99" s="1396"/>
      <c r="AN99" s="1396"/>
    </row>
    <row r="100" spans="1:40" x14ac:dyDescent="0.45">
      <c r="A100" s="1135"/>
      <c r="B100" s="1135"/>
      <c r="C100" s="1566" t="s">
        <v>210</v>
      </c>
      <c r="D100" s="1142">
        <v>0</v>
      </c>
      <c r="E100" s="1143">
        <v>0</v>
      </c>
      <c r="F100" s="1471">
        <v>0</v>
      </c>
      <c r="G100" s="1471">
        <v>0</v>
      </c>
      <c r="H100" s="2138">
        <v>0</v>
      </c>
      <c r="I100" s="1143">
        <v>0</v>
      </c>
      <c r="J100" s="1142">
        <f>SUM('6a_Health_full_time'!D80:E80,'6a_Health_full_time'!D82:E82,'6a_Health_full_time'!G80:H80,'6a_Health_full_time'!G82:H82)</f>
        <v>0</v>
      </c>
      <c r="K100" s="1143">
        <f>SUM('6c_Health_part_time'!D80:E80,'6c_Health_part_time'!G80:H80, '6c_Health_part_time'!D82:E82,'6c_Health_part_time'!G82:H82)</f>
        <v>0</v>
      </c>
      <c r="L100" s="1144">
        <f t="shared" si="17"/>
        <v>0</v>
      </c>
      <c r="M100" s="1144">
        <f t="shared" si="18"/>
        <v>0</v>
      </c>
      <c r="N100" s="1145">
        <f t="shared" si="19"/>
        <v>0</v>
      </c>
      <c r="O100" s="1145">
        <f t="shared" si="20"/>
        <v>0</v>
      </c>
      <c r="P100" s="1145">
        <f t="shared" si="21"/>
        <v>0</v>
      </c>
      <c r="Q100" s="1145">
        <f t="shared" si="22"/>
        <v>0</v>
      </c>
      <c r="R100" s="1082"/>
      <c r="S100" s="1467" t="s">
        <v>27876</v>
      </c>
      <c r="T100" s="1467" t="s">
        <v>27688</v>
      </c>
      <c r="U100" s="1396"/>
      <c r="V100" s="2123"/>
      <c r="W100" s="2123"/>
      <c r="X100" s="1946">
        <f t="shared" si="23"/>
        <v>0</v>
      </c>
      <c r="Y100" s="1946">
        <f t="shared" si="24"/>
        <v>0</v>
      </c>
      <c r="Z100" s="1946">
        <f t="shared" si="25"/>
        <v>0</v>
      </c>
      <c r="AA100" s="1946">
        <f t="shared" si="26"/>
        <v>0</v>
      </c>
      <c r="AB100" s="1396"/>
      <c r="AC100" s="2123"/>
      <c r="AD100" s="2123"/>
      <c r="AE100" s="1946">
        <f t="shared" si="27"/>
        <v>0</v>
      </c>
      <c r="AF100" s="1946">
        <f t="shared" si="28"/>
        <v>0</v>
      </c>
      <c r="AG100" s="1946">
        <f t="shared" si="15"/>
        <v>0</v>
      </c>
      <c r="AH100" s="1946">
        <f t="shared" si="16"/>
        <v>0</v>
      </c>
      <c r="AI100" s="1396"/>
      <c r="AJ100" s="1396"/>
      <c r="AK100" s="1396"/>
      <c r="AL100" s="1396"/>
      <c r="AM100" s="1396"/>
      <c r="AN100" s="1396"/>
    </row>
    <row r="101" spans="1:40" x14ac:dyDescent="0.45">
      <c r="A101" s="1466" t="s">
        <v>27877</v>
      </c>
      <c r="B101" s="1466"/>
      <c r="C101" s="1565" t="s">
        <v>27769</v>
      </c>
      <c r="D101" s="1947">
        <v>0</v>
      </c>
      <c r="E101" s="1948">
        <v>0</v>
      </c>
      <c r="F101" s="1140">
        <v>0</v>
      </c>
      <c r="G101" s="1140">
        <v>0</v>
      </c>
      <c r="H101" s="2135">
        <v>0</v>
      </c>
      <c r="I101" s="1948">
        <v>0</v>
      </c>
      <c r="J101" s="1947">
        <f>SUM('6a_Health_full_time'!D83:E83,'6a_Health_full_time'!D85:E85,'6a_Health_full_time'!G83:H83,'6a_Health_full_time'!G85:H85)</f>
        <v>0</v>
      </c>
      <c r="K101" s="1141">
        <f>SUM('6c_Health_part_time'!D83:E83,'6c_Health_part_time'!G83:H83, '6c_Health_part_time'!D85:E85,'6c_Health_part_time'!G85:H85)</f>
        <v>0</v>
      </c>
      <c r="L101" s="1133">
        <f t="shared" si="17"/>
        <v>0</v>
      </c>
      <c r="M101" s="1133">
        <f t="shared" si="18"/>
        <v>0</v>
      </c>
      <c r="N101" s="1134">
        <f t="shared" si="19"/>
        <v>0</v>
      </c>
      <c r="O101" s="1134">
        <f t="shared" si="20"/>
        <v>0</v>
      </c>
      <c r="P101" s="1134">
        <f t="shared" si="21"/>
        <v>0</v>
      </c>
      <c r="Q101" s="1134">
        <f t="shared" si="22"/>
        <v>0</v>
      </c>
      <c r="R101" s="1082"/>
      <c r="S101" s="1467" t="s">
        <v>27878</v>
      </c>
      <c r="T101" s="1467" t="s">
        <v>27826</v>
      </c>
      <c r="U101" s="1396"/>
      <c r="V101" s="2123"/>
      <c r="W101" s="2123"/>
      <c r="X101" s="1946">
        <f t="shared" si="23"/>
        <v>0</v>
      </c>
      <c r="Y101" s="1946">
        <f t="shared" si="24"/>
        <v>0</v>
      </c>
      <c r="Z101" s="1946">
        <f t="shared" si="25"/>
        <v>0</v>
      </c>
      <c r="AA101" s="1946">
        <f t="shared" si="26"/>
        <v>0</v>
      </c>
      <c r="AB101" s="1396"/>
      <c r="AC101" s="2123"/>
      <c r="AD101" s="2123"/>
      <c r="AE101" s="1946">
        <f t="shared" si="27"/>
        <v>0</v>
      </c>
      <c r="AF101" s="1946">
        <f t="shared" si="28"/>
        <v>0</v>
      </c>
      <c r="AG101" s="1946">
        <f t="shared" si="15"/>
        <v>0</v>
      </c>
      <c r="AH101" s="1946">
        <f t="shared" si="16"/>
        <v>0</v>
      </c>
      <c r="AI101" s="1396"/>
      <c r="AJ101" s="1396"/>
      <c r="AK101" s="1396"/>
      <c r="AL101" s="1396"/>
      <c r="AM101" s="1396"/>
      <c r="AN101" s="1396"/>
    </row>
    <row r="102" spans="1:40" ht="14.65" thickBot="1" x14ac:dyDescent="0.5">
      <c r="A102" s="1146"/>
      <c r="B102" s="1146"/>
      <c r="C102" s="1568" t="s">
        <v>210</v>
      </c>
      <c r="D102" s="1147">
        <v>0</v>
      </c>
      <c r="E102" s="1148">
        <v>0</v>
      </c>
      <c r="F102" s="1149">
        <v>0</v>
      </c>
      <c r="G102" s="1149">
        <v>0</v>
      </c>
      <c r="H102" s="2139">
        <v>0</v>
      </c>
      <c r="I102" s="1148">
        <v>0</v>
      </c>
      <c r="J102" s="1147">
        <f>SUM('6a_Health_full_time'!D84:E84,'6a_Health_full_time'!D86:E86,'6a_Health_full_time'!G84:H84,'6a_Health_full_time'!G86:H86)</f>
        <v>0</v>
      </c>
      <c r="K102" s="1148">
        <f>SUM('6c_Health_part_time'!D84:E84,'6c_Health_part_time'!G84:H84, '6c_Health_part_time'!D86:E86,'6c_Health_part_time'!G86:H86)</f>
        <v>0</v>
      </c>
      <c r="L102" s="1150">
        <f t="shared" si="17"/>
        <v>0</v>
      </c>
      <c r="M102" s="1150">
        <f t="shared" si="18"/>
        <v>0</v>
      </c>
      <c r="N102" s="1151">
        <f t="shared" si="19"/>
        <v>0</v>
      </c>
      <c r="O102" s="1151">
        <f t="shared" si="20"/>
        <v>0</v>
      </c>
      <c r="P102" s="1151">
        <f t="shared" si="21"/>
        <v>0</v>
      </c>
      <c r="Q102" s="1151">
        <f t="shared" si="22"/>
        <v>0</v>
      </c>
      <c r="R102" s="1082"/>
      <c r="S102" s="1467" t="s">
        <v>27878</v>
      </c>
      <c r="T102" s="1467" t="s">
        <v>27688</v>
      </c>
      <c r="U102" s="1396"/>
      <c r="V102" s="2123"/>
      <c r="W102" s="2123"/>
      <c r="X102" s="1946">
        <f t="shared" si="23"/>
        <v>0</v>
      </c>
      <c r="Y102" s="1946">
        <f t="shared" si="24"/>
        <v>0</v>
      </c>
      <c r="Z102" s="1946">
        <f t="shared" si="25"/>
        <v>0</v>
      </c>
      <c r="AA102" s="1946">
        <f t="shared" si="26"/>
        <v>0</v>
      </c>
      <c r="AB102" s="1396"/>
      <c r="AC102" s="2123"/>
      <c r="AD102" s="2123"/>
      <c r="AE102" s="1946">
        <f t="shared" si="27"/>
        <v>0</v>
      </c>
      <c r="AF102" s="1946">
        <f t="shared" si="28"/>
        <v>0</v>
      </c>
      <c r="AG102" s="1946">
        <f t="shared" si="15"/>
        <v>0</v>
      </c>
      <c r="AH102" s="1946">
        <f t="shared" si="16"/>
        <v>0</v>
      </c>
      <c r="AI102" s="1396"/>
      <c r="AJ102" s="1396"/>
      <c r="AK102" s="1396"/>
      <c r="AL102" s="1396"/>
      <c r="AM102" s="1396"/>
      <c r="AN102" s="1396"/>
    </row>
    <row r="103" spans="1:40" ht="14.65" thickTop="1" x14ac:dyDescent="0.45">
      <c r="A103" s="1082" t="s">
        <v>27696</v>
      </c>
      <c r="B103" s="1082"/>
      <c r="C103" s="1567" t="s">
        <v>27769</v>
      </c>
      <c r="D103" s="1675">
        <f>SUM(D$66,D$68,SUMIF($C$70:$C$102,"="&amp;$C$103,D$70:D$102))</f>
        <v>0</v>
      </c>
      <c r="E103" s="1141">
        <f t="shared" ref="E103:K103" si="29">SUM(E$66,E$68,SUMIF($C$70:$C$102,"="&amp;$C$103,E$70:E$102))</f>
        <v>0</v>
      </c>
      <c r="F103" s="1675">
        <f t="shared" si="29"/>
        <v>0</v>
      </c>
      <c r="G103" s="1140">
        <f t="shared" si="29"/>
        <v>0</v>
      </c>
      <c r="H103" s="2140">
        <f t="shared" si="29"/>
        <v>0</v>
      </c>
      <c r="I103" s="1141">
        <f t="shared" si="29"/>
        <v>0</v>
      </c>
      <c r="J103" s="1140">
        <f t="shared" si="29"/>
        <v>0</v>
      </c>
      <c r="K103" s="1351">
        <f t="shared" si="29"/>
        <v>0</v>
      </c>
      <c r="L103" s="1153">
        <f t="shared" si="17"/>
        <v>0</v>
      </c>
      <c r="M103" s="1153">
        <f t="shared" si="18"/>
        <v>0</v>
      </c>
      <c r="N103" s="1154">
        <f t="shared" si="19"/>
        <v>0</v>
      </c>
      <c r="O103" s="1154">
        <f t="shared" si="20"/>
        <v>0</v>
      </c>
      <c r="P103" s="1154">
        <f t="shared" si="21"/>
        <v>0</v>
      </c>
      <c r="Q103" s="1154">
        <f t="shared" si="22"/>
        <v>0</v>
      </c>
      <c r="R103" s="1396"/>
      <c r="S103" s="1462"/>
      <c r="T103" s="1462"/>
      <c r="U103" s="1396"/>
      <c r="V103" s="1396" t="s">
        <v>27948</v>
      </c>
      <c r="W103" s="1396"/>
      <c r="X103" s="1396"/>
      <c r="Y103" s="1396"/>
      <c r="Z103" s="1396"/>
      <c r="AA103" s="1396"/>
      <c r="AB103" s="1396"/>
      <c r="AC103" s="1396" t="s">
        <v>27962</v>
      </c>
      <c r="AD103" s="1396"/>
      <c r="AE103" s="1396"/>
      <c r="AF103" s="1396"/>
      <c r="AG103" s="1396"/>
      <c r="AH103" s="1396"/>
      <c r="AI103" s="1396"/>
      <c r="AJ103" s="1396"/>
      <c r="AK103" s="1396"/>
      <c r="AL103" s="1396"/>
      <c r="AM103" s="1396"/>
      <c r="AN103" s="1396"/>
    </row>
    <row r="104" spans="1:40" x14ac:dyDescent="0.45">
      <c r="A104" s="1082"/>
      <c r="B104" s="1082"/>
      <c r="C104" s="1566" t="s">
        <v>27880</v>
      </c>
      <c r="D104" s="1675">
        <f>SUMIF($C$66:$C$102,"&lt;&gt;"&amp;$C$103,D$66:D$102)</f>
        <v>0</v>
      </c>
      <c r="E104" s="1141">
        <f t="shared" ref="E104:K104" si="30">SUMIF($C$66:$C$102,"&lt;&gt;"&amp;$C$103,E$66:E$102)</f>
        <v>0</v>
      </c>
      <c r="F104" s="1675">
        <f t="shared" si="30"/>
        <v>0</v>
      </c>
      <c r="G104" s="1140">
        <f t="shared" si="30"/>
        <v>0</v>
      </c>
      <c r="H104" s="2140">
        <f t="shared" si="30"/>
        <v>0</v>
      </c>
      <c r="I104" s="1141">
        <f t="shared" si="30"/>
        <v>0</v>
      </c>
      <c r="J104" s="1140">
        <f t="shared" si="30"/>
        <v>0</v>
      </c>
      <c r="K104" s="1143">
        <f t="shared" si="30"/>
        <v>0</v>
      </c>
      <c r="L104" s="1153">
        <f t="shared" si="17"/>
        <v>0</v>
      </c>
      <c r="M104" s="1153">
        <f t="shared" si="18"/>
        <v>0</v>
      </c>
      <c r="N104" s="1154">
        <f t="shared" si="19"/>
        <v>0</v>
      </c>
      <c r="O104" s="1154">
        <f t="shared" si="20"/>
        <v>0</v>
      </c>
      <c r="P104" s="1154">
        <f t="shared" si="21"/>
        <v>0</v>
      </c>
      <c r="Q104" s="1154">
        <f t="shared" si="22"/>
        <v>0</v>
      </c>
      <c r="R104" s="1396"/>
      <c r="S104" s="1462"/>
      <c r="T104" s="1462"/>
      <c r="U104" s="1396"/>
      <c r="V104" s="1396"/>
      <c r="W104" s="1396"/>
      <c r="X104" s="1396"/>
      <c r="Y104" s="1396"/>
      <c r="Z104" s="1396"/>
      <c r="AA104" s="1396"/>
      <c r="AB104" s="1396"/>
      <c r="AC104" s="1396"/>
      <c r="AD104" s="1396"/>
      <c r="AE104" s="1396"/>
      <c r="AF104" s="1396"/>
      <c r="AG104" s="1396"/>
      <c r="AH104" s="1396"/>
      <c r="AI104" s="1396"/>
      <c r="AJ104" s="1396"/>
      <c r="AK104" s="1396"/>
      <c r="AL104" s="1396"/>
      <c r="AM104" s="1396"/>
      <c r="AN104" s="1396"/>
    </row>
    <row r="105" spans="1:40" ht="14.65" thickBot="1" x14ac:dyDescent="0.5">
      <c r="A105" s="1525"/>
      <c r="B105" s="1525"/>
      <c r="C105" s="1706" t="s">
        <v>27696</v>
      </c>
      <c r="D105" s="1676">
        <f t="shared" ref="D105:I105" si="31">SUM(D103:D104)</f>
        <v>0</v>
      </c>
      <c r="E105" s="1677">
        <f t="shared" si="31"/>
        <v>0</v>
      </c>
      <c r="F105" s="1676">
        <f t="shared" si="31"/>
        <v>0</v>
      </c>
      <c r="G105" s="2134">
        <f t="shared" si="31"/>
        <v>0</v>
      </c>
      <c r="H105" s="2141">
        <f t="shared" si="31"/>
        <v>0</v>
      </c>
      <c r="I105" s="1677">
        <f t="shared" si="31"/>
        <v>0</v>
      </c>
      <c r="J105" s="1676">
        <f>SUM(J103:J104)</f>
        <v>0</v>
      </c>
      <c r="K105" s="1677">
        <f>SUM(K103:K104)</f>
        <v>0</v>
      </c>
      <c r="L105" s="1707">
        <f t="shared" si="17"/>
        <v>0</v>
      </c>
      <c r="M105" s="1707">
        <f t="shared" si="18"/>
        <v>0</v>
      </c>
      <c r="N105" s="1708">
        <f t="shared" si="19"/>
        <v>0</v>
      </c>
      <c r="O105" s="1708">
        <f t="shared" si="20"/>
        <v>0</v>
      </c>
      <c r="P105" s="1708">
        <f t="shared" si="21"/>
        <v>0</v>
      </c>
      <c r="Q105" s="1708">
        <f t="shared" si="22"/>
        <v>0</v>
      </c>
      <c r="R105" s="1396"/>
      <c r="S105" s="1462"/>
      <c r="T105" s="1462"/>
      <c r="U105" s="1396"/>
      <c r="V105" s="1396"/>
      <c r="W105" s="1396"/>
      <c r="X105" s="1396"/>
      <c r="Y105" s="1396"/>
      <c r="Z105" s="1396"/>
      <c r="AA105" s="1396"/>
      <c r="AB105" s="1396"/>
      <c r="AC105" s="1396"/>
      <c r="AD105" s="1396"/>
      <c r="AE105" s="1396"/>
      <c r="AF105" s="1396"/>
      <c r="AG105" s="1396"/>
      <c r="AH105" s="1396"/>
      <c r="AI105" s="1396"/>
      <c r="AJ105" s="1396"/>
      <c r="AK105" s="1396"/>
      <c r="AL105" s="1396"/>
      <c r="AM105" s="1396"/>
      <c r="AN105" s="1396"/>
    </row>
    <row r="106" spans="1:40" hidden="1" x14ac:dyDescent="0.45">
      <c r="A106" s="1082"/>
      <c r="B106" s="1082"/>
      <c r="C106" s="1152"/>
      <c r="D106" s="1155"/>
      <c r="E106" s="1155"/>
      <c r="F106" s="1155"/>
      <c r="G106" s="1155"/>
      <c r="H106" s="1155"/>
      <c r="I106" s="1155"/>
      <c r="J106" s="1155"/>
      <c r="K106" s="1155"/>
      <c r="L106" s="1154"/>
      <c r="M106" s="1154"/>
      <c r="N106" s="1154"/>
      <c r="O106" s="1154"/>
      <c r="P106" s="1154"/>
      <c r="Q106" s="1154"/>
      <c r="R106" s="1396"/>
      <c r="S106" s="1462"/>
      <c r="T106" s="1462"/>
      <c r="U106" s="1396"/>
      <c r="V106" s="1396"/>
      <c r="W106" s="1396"/>
      <c r="X106" s="1396"/>
      <c r="Y106" s="1396"/>
      <c r="Z106" s="1396"/>
      <c r="AA106" s="1396"/>
      <c r="AB106" s="1396"/>
      <c r="AC106" s="1396"/>
      <c r="AD106" s="1396"/>
      <c r="AE106" s="1396"/>
      <c r="AF106" s="1396"/>
      <c r="AG106" s="1396"/>
      <c r="AH106" s="1396"/>
      <c r="AI106" s="1396"/>
      <c r="AJ106" s="1396"/>
      <c r="AK106" s="1396"/>
      <c r="AL106" s="1396"/>
      <c r="AM106" s="1396"/>
      <c r="AN106" s="1396"/>
    </row>
    <row r="107" spans="1:40" hidden="1" x14ac:dyDescent="0.45">
      <c r="A107" s="1396"/>
      <c r="B107" s="1468"/>
      <c r="C107" s="1469" t="s">
        <v>27940</v>
      </c>
      <c r="D107" s="2213" t="s">
        <v>27925</v>
      </c>
      <c r="E107" s="2213" t="s">
        <v>27925</v>
      </c>
      <c r="F107" s="2213" t="s">
        <v>27925</v>
      </c>
      <c r="G107" s="2213" t="s">
        <v>27925</v>
      </c>
      <c r="H107" s="2213" t="s">
        <v>27925</v>
      </c>
      <c r="I107" s="2213" t="s">
        <v>27925</v>
      </c>
      <c r="J107" s="2213" t="s">
        <v>27925</v>
      </c>
      <c r="K107" s="2213" t="s">
        <v>27925</v>
      </c>
      <c r="L107" s="373"/>
      <c r="M107" s="373"/>
      <c r="N107" s="1396"/>
      <c r="O107" s="1396"/>
      <c r="P107" s="1396"/>
      <c r="Q107" s="1396"/>
      <c r="R107" s="1396"/>
      <c r="S107" s="1462"/>
      <c r="T107" s="1462"/>
      <c r="U107" s="1396"/>
      <c r="V107" s="1396"/>
      <c r="W107" s="1396"/>
      <c r="X107" s="1396"/>
      <c r="Y107" s="1396"/>
      <c r="Z107" s="1396"/>
      <c r="AA107" s="1396"/>
      <c r="AB107" s="1396"/>
      <c r="AC107" s="1396"/>
      <c r="AD107" s="1396"/>
      <c r="AE107" s="1396"/>
      <c r="AF107" s="1396"/>
      <c r="AG107" s="1396"/>
      <c r="AH107" s="1396"/>
      <c r="AI107" s="1396"/>
      <c r="AJ107" s="1396"/>
      <c r="AK107" s="1396"/>
      <c r="AL107" s="1396"/>
      <c r="AM107" s="1396"/>
      <c r="AN107" s="1396"/>
    </row>
    <row r="108" spans="1:40" hidden="1" x14ac:dyDescent="0.45">
      <c r="A108" s="1396"/>
      <c r="B108" s="1468"/>
      <c r="C108" s="1468"/>
      <c r="D108" s="560" t="s">
        <v>28251</v>
      </c>
      <c r="E108" s="560" t="s">
        <v>28254</v>
      </c>
      <c r="F108" s="561" t="s">
        <v>28252</v>
      </c>
      <c r="G108" s="561" t="s">
        <v>28253</v>
      </c>
      <c r="H108" s="560" t="s">
        <v>29712</v>
      </c>
      <c r="I108" s="560" t="s">
        <v>29713</v>
      </c>
      <c r="J108" s="561" t="s">
        <v>29719</v>
      </c>
      <c r="K108" s="561" t="s">
        <v>29720</v>
      </c>
      <c r="L108" s="373"/>
      <c r="M108" s="373"/>
      <c r="N108" s="1396"/>
      <c r="O108" s="1396"/>
      <c r="P108" s="1396"/>
      <c r="Q108" s="1396"/>
      <c r="R108" s="1396"/>
      <c r="S108" s="1462"/>
      <c r="T108" s="1462"/>
      <c r="U108" s="1396"/>
      <c r="V108" s="1396"/>
      <c r="W108" s="1396"/>
      <c r="X108" s="1396"/>
      <c r="Y108" s="1396"/>
      <c r="Z108" s="1396"/>
      <c r="AA108" s="1396"/>
      <c r="AB108" s="1396"/>
      <c r="AC108" s="1396"/>
      <c r="AD108" s="1396"/>
      <c r="AE108" s="1396"/>
      <c r="AF108" s="1396"/>
      <c r="AG108" s="1396"/>
      <c r="AH108" s="1396"/>
      <c r="AI108" s="1396"/>
      <c r="AJ108" s="1396"/>
      <c r="AK108" s="1396"/>
      <c r="AL108" s="1396"/>
      <c r="AM108" s="1396"/>
      <c r="AN108" s="1396"/>
    </row>
    <row r="109" spans="1:40" x14ac:dyDescent="0.45">
      <c r="A109" s="1396"/>
      <c r="B109" s="1396"/>
      <c r="C109" s="1396"/>
      <c r="D109" s="1396"/>
      <c r="E109" s="1396"/>
      <c r="F109" s="1396"/>
      <c r="G109" s="1396"/>
      <c r="H109" s="1396"/>
      <c r="I109" s="1396"/>
      <c r="J109" s="374"/>
      <c r="K109" s="374"/>
      <c r="L109" s="1396"/>
      <c r="M109" s="1396"/>
      <c r="N109" s="1396"/>
      <c r="O109" s="1396"/>
      <c r="P109" s="1396"/>
      <c r="Q109" s="1396"/>
      <c r="R109" s="1396"/>
      <c r="S109" s="1462"/>
      <c r="T109" s="1462"/>
      <c r="U109" s="1396"/>
      <c r="V109" s="1396"/>
      <c r="W109" s="1396"/>
      <c r="X109" s="1396"/>
      <c r="Y109" s="1396"/>
      <c r="Z109" s="1396"/>
      <c r="AA109" s="1396"/>
      <c r="AB109" s="1396"/>
      <c r="AC109" s="1396"/>
      <c r="AD109" s="1396"/>
      <c r="AE109" s="1396"/>
      <c r="AF109" s="1396"/>
      <c r="AG109" s="1396"/>
      <c r="AH109" s="1396"/>
      <c r="AI109" s="1396"/>
      <c r="AJ109" s="1396"/>
      <c r="AK109" s="1396"/>
      <c r="AL109" s="1396"/>
      <c r="AM109" s="1396"/>
      <c r="AN109" s="1396"/>
    </row>
    <row r="110" spans="1:40" x14ac:dyDescent="0.45">
      <c r="A110" s="1396"/>
      <c r="B110" s="1396"/>
      <c r="C110" s="1396"/>
      <c r="D110" s="1396"/>
      <c r="E110" s="1396"/>
      <c r="F110" s="1396"/>
      <c r="G110" s="1396"/>
      <c r="H110" s="1396"/>
      <c r="I110" s="1396"/>
      <c r="J110" s="374"/>
      <c r="K110" s="374"/>
      <c r="L110" s="1396"/>
      <c r="M110" s="1396"/>
      <c r="N110" s="1396"/>
      <c r="O110" s="1396"/>
      <c r="P110" s="1396"/>
      <c r="Q110" s="1396"/>
      <c r="R110" s="1396"/>
      <c r="S110" s="1462"/>
      <c r="T110" s="1462"/>
      <c r="U110" s="1396"/>
      <c r="V110" s="1396"/>
      <c r="W110" s="1396"/>
      <c r="X110" s="1396"/>
      <c r="Y110" s="1396"/>
      <c r="Z110" s="1396"/>
      <c r="AA110" s="1396"/>
      <c r="AB110" s="1396"/>
      <c r="AC110" s="1396"/>
      <c r="AD110" s="1396"/>
      <c r="AE110" s="1396"/>
      <c r="AF110" s="1396"/>
      <c r="AG110" s="1396"/>
      <c r="AH110" s="1396"/>
      <c r="AI110" s="1396"/>
      <c r="AJ110" s="1396"/>
      <c r="AK110" s="1396"/>
      <c r="AL110" s="1396"/>
      <c r="AM110" s="1396"/>
      <c r="AN110" s="1396"/>
    </row>
  </sheetData>
  <sheetProtection algorithmName="SHA-512" hashValue="T0M7LfgpfNq1PXcwpSQpL19MaeSXEon7Eft95kkpQr9Ho5s2bU5ee+sUm3H0p6E6YPH11pT4Uyd1Ez877PXkCg==" saltValue="QuBHfp+SHDFGw1uL9c5gEQ==" spinCount="100000" sheet="1" objects="1" scenarios="1"/>
  <mergeCells count="19">
    <mergeCell ref="P64:Q64"/>
    <mergeCell ref="L63:Q63"/>
    <mergeCell ref="L64:M64"/>
    <mergeCell ref="N64:O64"/>
    <mergeCell ref="L13:O13"/>
    <mergeCell ref="L14:M15"/>
    <mergeCell ref="N14:O15"/>
    <mergeCell ref="D13:E14"/>
    <mergeCell ref="F13:G14"/>
    <mergeCell ref="H13:I14"/>
    <mergeCell ref="J63:K64"/>
    <mergeCell ref="D15:E15"/>
    <mergeCell ref="F15:G15"/>
    <mergeCell ref="H15:I15"/>
    <mergeCell ref="D63:E64"/>
    <mergeCell ref="H63:I64"/>
    <mergeCell ref="F63:G64"/>
    <mergeCell ref="J13:K14"/>
    <mergeCell ref="J15:K15"/>
  </mergeCells>
  <conditionalFormatting sqref="D17:E56 D66:E105 L66:M105">
    <cfRule type="expression" dxfId="73" priority="2">
      <formula>IF(IND_DATA2223="N",1,0)</formula>
    </cfRule>
  </conditionalFormatting>
  <conditionalFormatting sqref="H17:H53 J17:J53">
    <cfRule type="expression" dxfId="72" priority="19">
      <formula>IF(AND(DCT="Y",$AC17=1),1,0)</formula>
    </cfRule>
  </conditionalFormatting>
  <conditionalFormatting sqref="H66:H102 J66:J102">
    <cfRule type="expression" dxfId="71" priority="389112">
      <formula>IF(AND(DCT="Y",$AE66=1),1,0)</formula>
    </cfRule>
  </conditionalFormatting>
  <conditionalFormatting sqref="H17:I56 N17:O56 H66:I105 P66:Q105">
    <cfRule type="expression" dxfId="70" priority="1">
      <formula>IF(DCT="N",1,0)</formula>
    </cfRule>
  </conditionalFormatting>
  <conditionalFormatting sqref="I17:I53 K17:K53">
    <cfRule type="expression" dxfId="69" priority="20">
      <formula>IF(AND(DCT="Y",$AD17=1),1,0)</formula>
    </cfRule>
  </conditionalFormatting>
  <conditionalFormatting sqref="I66:I102 K66:K102">
    <cfRule type="expression" dxfId="68" priority="410256">
      <formula>IF(AND(DCT="Y",$AF66=1),1,0)</formula>
    </cfRule>
  </conditionalFormatting>
  <conditionalFormatting sqref="J17:J53 F17:F53">
    <cfRule type="expression" dxfId="67" priority="23">
      <formula>IF($AA17=1,1,0)</formula>
    </cfRule>
  </conditionalFormatting>
  <conditionalFormatting sqref="J66:J102 F66:F102">
    <cfRule type="expression" dxfId="66" priority="414229">
      <formula>IF($AG66=1,1,0)</formula>
    </cfRule>
  </conditionalFormatting>
  <conditionalFormatting sqref="K17:K53 G17:G53">
    <cfRule type="expression" dxfId="65" priority="24">
      <formula>IF($AB17=1,1,0)</formula>
    </cfRule>
  </conditionalFormatting>
  <conditionalFormatting sqref="K66:K102 G66:G102">
    <cfRule type="expression" dxfId="64" priority="414234">
      <formula>IF($AH66=1,1,0)</formula>
    </cfRule>
  </conditionalFormatting>
  <conditionalFormatting sqref="L17:L53">
    <cfRule type="expression" dxfId="63" priority="21">
      <formula>IF($V17&gt;0,1,0)</formula>
    </cfRule>
  </conditionalFormatting>
  <conditionalFormatting sqref="M17:M53">
    <cfRule type="expression" dxfId="62" priority="22">
      <formula>IF($W17&gt;0,1,0)</formula>
    </cfRule>
  </conditionalFormatting>
  <conditionalFormatting sqref="N17 N19 N21:N53">
    <cfRule type="expression" dxfId="61" priority="17">
      <formula>IF(AND(DCT="Y",$X17&gt;0),1,0)</formula>
    </cfRule>
  </conditionalFormatting>
  <conditionalFormatting sqref="N66:N102">
    <cfRule type="expression" dxfId="60" priority="414223">
      <formula>IF($X66&gt;0,1,0)</formula>
    </cfRule>
  </conditionalFormatting>
  <conditionalFormatting sqref="O17 O19 O21:O53">
    <cfRule type="expression" dxfId="59" priority="18">
      <formula>IF(AND(DCT="Y",$Y17&gt;0),1,0)</formula>
    </cfRule>
  </conditionalFormatting>
  <conditionalFormatting sqref="O66:O102">
    <cfRule type="expression" dxfId="58" priority="414227">
      <formula>IF($Y66&gt;0,1,0)</formula>
    </cfRule>
  </conditionalFormatting>
  <conditionalFormatting sqref="P66:P102">
    <cfRule type="expression" dxfId="57" priority="25">
      <formula>IF(AND(DCT="Y",$Z66&gt;0),1,0)</formula>
    </cfRule>
  </conditionalFormatting>
  <conditionalFormatting sqref="Q66:Q102">
    <cfRule type="expression" dxfId="56" priority="389110">
      <formula>IF(AND(DCT="Y",$AA66&gt;0),1,0)</formula>
    </cfRule>
  </conditionalFormatting>
  <hyperlinks>
    <hyperlink ref="A8" r:id="rId1" display="Please see Appendix 4 for additional information about these tables and descriptions for any highlighting" xr:uid="{0700FAFF-2D99-4D88-9F01-336263E137E3}"/>
  </hyperlinks>
  <pageMargins left="0.70866141732283472" right="0.70866141732283472" top="0.74803149606299213" bottom="0.74803149606299213" header="0.31496062992125984" footer="0.31496062992125984"/>
  <pageSetup paperSize="9" scale="41" orientation="portrait" r:id="rId2"/>
  <rowBreaks count="1" manualBreakCount="1">
    <brk id="9" max="1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theme="4" tint="0.39997558519241921"/>
    <pageSetUpPr fitToPage="1"/>
  </sheetPr>
  <dimension ref="A1:Y60"/>
  <sheetViews>
    <sheetView showGridLines="0" workbookViewId="0"/>
  </sheetViews>
  <sheetFormatPr defaultColWidth="9" defaultRowHeight="12.75" x14ac:dyDescent="0.35"/>
  <cols>
    <col min="1" max="1" width="13" style="355" customWidth="1"/>
    <col min="2" max="2" width="12.86328125" style="355" customWidth="1"/>
    <col min="3" max="3" width="15" style="355" bestFit="1" customWidth="1"/>
    <col min="4" max="4" width="13" style="355" customWidth="1"/>
    <col min="5" max="7" width="15" style="355" customWidth="1"/>
    <col min="8" max="8" width="14" style="355" customWidth="1"/>
    <col min="9" max="10" width="13" style="355" customWidth="1"/>
    <col min="11" max="12" width="15.1328125" style="355" customWidth="1"/>
    <col min="13" max="15" width="13" style="355" customWidth="1"/>
    <col min="16" max="17" width="15.1328125" style="355" customWidth="1"/>
    <col min="18" max="20" width="13" style="355" customWidth="1"/>
    <col min="21" max="22" width="15" style="355" customWidth="1"/>
    <col min="23" max="23" width="21.265625" style="355" customWidth="1"/>
    <col min="24" max="24" width="10.1328125" style="355" hidden="1" customWidth="1"/>
    <col min="25" max="25" width="9" style="355" hidden="1" customWidth="1"/>
    <col min="26" max="26" width="9" style="355" customWidth="1"/>
    <col min="27" max="16384" width="9" style="355"/>
  </cols>
  <sheetData>
    <row r="1" spans="1:25" ht="25.15" x14ac:dyDescent="0.35">
      <c r="A1" s="636" t="s">
        <v>29795</v>
      </c>
      <c r="X1" s="1914"/>
    </row>
    <row r="2" spans="1:25" ht="25.5" customHeight="1" x14ac:dyDescent="0.35">
      <c r="A2" s="1385" t="str">
        <f>IF(PROVIDER="","Provider name",PROVIDER&amp;" ("&amp;UKPRN&amp;")")</f>
        <v>Provider name</v>
      </c>
    </row>
    <row r="3" spans="1:25" ht="15" customHeight="1" x14ac:dyDescent="0.35">
      <c r="A3" s="1503" t="str">
        <f>IF(AND(DCT_DATE&lt;&gt;"",FEC=1),"The 20"&amp;(YEAR-1)&amp;"-"&amp;YEAR&amp;" Individualised data in these comparison tables is taken from the last data checking tool submission you made on: "&amp;DCT_DATE,IF(AND(DCT_DATE&lt;&gt;"",FEC&lt;&gt;1),"The 20"&amp;(YEAR-1)&amp;"-"&amp;YEAR&amp;" Individualised data in these comparison tables is taken from the most recent data checking tool submission you made prior to: "&amp;DCT_DATE,"The 20"&amp;(YEAR-1)&amp;"-"&amp;YEAR&amp;" Individualised data in these comparison tables is taken from the last data checking tool submission. As no upload has been made these are blank."))</f>
        <v>The 2023-24 Individualised data in these comparison tables is taken from the last data checking tool submission. As no upload has been made these are blank.</v>
      </c>
      <c r="K3" s="375"/>
    </row>
    <row r="4" spans="1:25" ht="15" customHeight="1" x14ac:dyDescent="0.35">
      <c r="A4" s="1251" t="str">
        <f>IF(FEC=1,"Individualised data (Ind. data) in these tables refers to the Individualised Learner Record (ILR).","Individualised data (Ind. data) in these tables refers to the Student or Student Alternative record.")</f>
        <v>Individualised data (Ind. data) in these tables refers to the Student or Student Alternative record.</v>
      </c>
      <c r="K4" s="375"/>
    </row>
    <row r="5" spans="1:25" ht="15" customHeight="1" x14ac:dyDescent="0.35">
      <c r="A5" s="2035" t="s">
        <v>29378</v>
      </c>
      <c r="K5" s="375"/>
    </row>
    <row r="6" spans="1:25" ht="20.25" customHeight="1" x14ac:dyDescent="0.35"/>
    <row r="7" spans="1:25" ht="19.899999999999999" customHeight="1" x14ac:dyDescent="0.35">
      <c r="A7" s="637" t="s">
        <v>28330</v>
      </c>
    </row>
    <row r="8" spans="1:25" ht="13.9" customHeight="1" x14ac:dyDescent="0.35">
      <c r="A8" s="1030" t="s">
        <v>27970</v>
      </c>
    </row>
    <row r="9" spans="1:25" s="1960" customFormat="1" ht="19.5" customHeight="1" thickBot="1" x14ac:dyDescent="0.4">
      <c r="A9" s="1958" t="s">
        <v>27949</v>
      </c>
      <c r="B9" s="1959"/>
      <c r="C9" s="1959"/>
      <c r="D9" s="1959"/>
      <c r="E9" s="1959"/>
      <c r="F9" s="1959"/>
      <c r="G9" s="1959"/>
      <c r="H9" s="1959"/>
      <c r="I9" s="1959"/>
      <c r="J9" s="1959"/>
      <c r="K9" s="1959"/>
      <c r="L9" s="1959"/>
      <c r="M9" s="1959"/>
      <c r="N9" s="1959"/>
      <c r="O9" s="1961"/>
      <c r="P9" s="1961"/>
      <c r="Q9" s="1961"/>
      <c r="R9" s="1961"/>
      <c r="S9" s="1961"/>
      <c r="T9" s="1961"/>
      <c r="U9" s="1961"/>
      <c r="V9" s="1961"/>
    </row>
    <row r="10" spans="1:25" s="516" customFormat="1" ht="14.25" customHeight="1" x14ac:dyDescent="0.4">
      <c r="A10" s="2040"/>
      <c r="B10" s="2041" t="s">
        <v>55</v>
      </c>
      <c r="C10" s="3509" t="s">
        <v>189</v>
      </c>
      <c r="D10" s="3510"/>
      <c r="E10" s="3510"/>
      <c r="F10" s="3510"/>
      <c r="G10" s="3511"/>
      <c r="H10" s="3509" t="s">
        <v>190</v>
      </c>
      <c r="I10" s="3510"/>
      <c r="J10" s="3510"/>
      <c r="K10" s="3510"/>
      <c r="L10" s="3511"/>
      <c r="M10" s="3509" t="s">
        <v>191</v>
      </c>
      <c r="N10" s="3510"/>
      <c r="O10" s="3510"/>
      <c r="P10" s="3510"/>
      <c r="Q10" s="3511"/>
      <c r="R10" s="3509" t="s">
        <v>27768</v>
      </c>
      <c r="S10" s="3510"/>
      <c r="T10" s="3510"/>
      <c r="U10" s="3510"/>
      <c r="V10" s="3510"/>
    </row>
    <row r="11" spans="1:25" s="516" customFormat="1" ht="14.25" customHeight="1" x14ac:dyDescent="0.4">
      <c r="A11" s="2042"/>
      <c r="B11" s="2043"/>
      <c r="C11" s="2044"/>
      <c r="D11" s="1117"/>
      <c r="E11" s="2045"/>
      <c r="F11" s="3512" t="s">
        <v>27931</v>
      </c>
      <c r="G11" s="3513"/>
      <c r="H11" s="2044"/>
      <c r="I11" s="1117"/>
      <c r="J11" s="2045"/>
      <c r="K11" s="3514" t="s">
        <v>27931</v>
      </c>
      <c r="L11" s="3515"/>
      <c r="M11" s="2044"/>
      <c r="N11" s="1117"/>
      <c r="O11" s="2045"/>
      <c r="P11" s="3516" t="s">
        <v>27931</v>
      </c>
      <c r="Q11" s="3515"/>
      <c r="R11" s="2044"/>
      <c r="S11" s="1117"/>
      <c r="T11" s="2045"/>
      <c r="U11" s="3512" t="s">
        <v>27931</v>
      </c>
      <c r="V11" s="3517"/>
    </row>
    <row r="12" spans="1:25" s="516" customFormat="1" ht="60" customHeight="1" x14ac:dyDescent="0.45">
      <c r="A12" s="1094" t="s">
        <v>57</v>
      </c>
      <c r="B12" s="1557" t="s">
        <v>200</v>
      </c>
      <c r="C12" s="2046" t="str">
        <f>"HESES"&amp;YEAR-1</f>
        <v>HESES23</v>
      </c>
      <c r="D12" s="2047" t="str">
        <f>"20"&amp;YEAR-1&amp;"-"&amp;YEAR&amp;"
Ind. Data"</f>
        <v>2023-24
Ind. Data</v>
      </c>
      <c r="E12" s="2048" t="str">
        <f>"HESES"&amp;YEAR</f>
        <v>HESES24</v>
      </c>
      <c r="F12" s="1096" t="str">
        <f>"HESES"&amp;(YEAR-1)&amp;"
and
HESES"&amp;YEAR</f>
        <v>HESES23
and
HESES24</v>
      </c>
      <c r="G12" s="1054" t="str">
        <f>"20"&amp;(YEAR-1)&amp;"-"&amp;(YEAR)&amp;"
Ind. data
and
HESES"&amp;YEAR</f>
        <v>2023-24
Ind. data
and
HESES24</v>
      </c>
      <c r="H12" s="2047" t="str">
        <f>"HESES"&amp;YEAR-1</f>
        <v>HESES23</v>
      </c>
      <c r="I12" s="2047" t="str">
        <f>"20"&amp;YEAR-1&amp;"-"&amp;YEAR&amp;"
Ind. Data"</f>
        <v>2023-24
Ind. Data</v>
      </c>
      <c r="J12" s="2048" t="str">
        <f>"HESES"&amp;YEAR</f>
        <v>HESES24</v>
      </c>
      <c r="K12" s="1096" t="str">
        <f>"HESES"&amp;(YEAR-1)&amp;"
and
HESES"&amp;YEAR</f>
        <v>HESES23
and
HESES24</v>
      </c>
      <c r="L12" s="1054" t="str">
        <f>"20"&amp;(YEAR-1)&amp;"-"&amp;(YEAR)&amp;"
Ind. data
and
HESES"&amp;YEAR</f>
        <v>2023-24
Ind. data
and
HESES24</v>
      </c>
      <c r="M12" s="2046" t="str">
        <f>"HESES"&amp;YEAR-1</f>
        <v>HESES23</v>
      </c>
      <c r="N12" s="2047" t="str">
        <f>"20"&amp;YEAR-1&amp;"-"&amp;YEAR&amp;"
Ind. Data"</f>
        <v>2023-24
Ind. Data</v>
      </c>
      <c r="O12" s="2048" t="str">
        <f>"HESES"&amp;YEAR</f>
        <v>HESES24</v>
      </c>
      <c r="P12" s="1096" t="str">
        <f>"HESES"&amp;(YEAR-1)&amp;"
and
HESES"&amp;YEAR</f>
        <v>HESES23
and
HESES24</v>
      </c>
      <c r="Q12" s="1054" t="str">
        <f>"20"&amp;(YEAR-1)&amp;"-"&amp;(YEAR)&amp;"
Ind. data
and
HESES"&amp;YEAR</f>
        <v>2023-24
Ind. data
and
HESES24</v>
      </c>
      <c r="R12" s="2046" t="str">
        <f>"HESES"&amp;YEAR-1</f>
        <v>HESES23</v>
      </c>
      <c r="S12" s="2047" t="str">
        <f>"20"&amp;YEAR-1&amp;"-"&amp;YEAR&amp;"
Ind. Data"</f>
        <v>2023-24
Ind. Data</v>
      </c>
      <c r="T12" s="2048" t="str">
        <f>"HESES"&amp;YEAR</f>
        <v>HESES24</v>
      </c>
      <c r="U12" s="1096" t="str">
        <f>"HESES"&amp;(YEAR-1)&amp;"
and
HESES"&amp;YEAR</f>
        <v>HESES23
and
HESES24</v>
      </c>
      <c r="V12" s="1052" t="str">
        <f>"20"&amp;(YEAR-1)&amp;"-"&amp;(YEAR)&amp;"
Ind. data
and
HESES"&amp;YEAR</f>
        <v>2023-24
Ind. data
and
HESES24</v>
      </c>
      <c r="X12" s="357" t="s">
        <v>314</v>
      </c>
      <c r="Y12" s="357" t="s">
        <v>63</v>
      </c>
    </row>
    <row r="13" spans="1:25" s="516" customFormat="1" ht="14.25" x14ac:dyDescent="0.45">
      <c r="A13" s="2049" t="s">
        <v>27972</v>
      </c>
      <c r="B13" s="2049" t="s">
        <v>203</v>
      </c>
      <c r="C13" s="2050">
        <v>0</v>
      </c>
      <c r="D13" s="2051">
        <v>0</v>
      </c>
      <c r="E13" s="2052">
        <f>SUM('1_Full_time'!G12,'1_Full_time'!J12,'1_Full_time'!G18,'1_Full_time'!J18,'1_Full_time'!G13,'1_Full_time'!J13,'1_Full_time'!G19,'1_Full_time'!J19)</f>
        <v>0</v>
      </c>
      <c r="F13" s="2053">
        <f>IF(C13&gt;0,E13/C13-1,0)</f>
        <v>0</v>
      </c>
      <c r="G13" s="2054">
        <f>IF(D13&gt;0,E13/D13-1,0)</f>
        <v>0</v>
      </c>
      <c r="H13" s="2055"/>
      <c r="I13" s="2055"/>
      <c r="J13" s="2056"/>
      <c r="K13" s="2057"/>
      <c r="L13" s="2058"/>
      <c r="M13" s="2050">
        <v>0</v>
      </c>
      <c r="N13" s="2051">
        <v>0</v>
      </c>
      <c r="O13" s="2052">
        <f>SUM('3_Part_time'!G12,'3_Part_time'!J12,'3_Part_time'!G18,'3_Part_time'!J18,'3_Part_time'!G13,'3_Part_time'!J13,'3_Part_time'!G19,'3_Part_time'!J19)</f>
        <v>0</v>
      </c>
      <c r="P13" s="2059">
        <f>IF(M13&gt;0,O13/M13-1,0)</f>
        <v>0</v>
      </c>
      <c r="Q13" s="2060">
        <f t="shared" ref="Q13:Q33" si="0">IF(N13&gt;0,O13/N13-1,0)</f>
        <v>0</v>
      </c>
      <c r="R13" s="2061">
        <f>SUM(C13,M13)</f>
        <v>0</v>
      </c>
      <c r="S13" s="2061">
        <f t="shared" ref="R13:T16" si="1">SUM(D13,N13)</f>
        <v>0</v>
      </c>
      <c r="T13" s="2062">
        <f>SUM(E13,O13)</f>
        <v>0</v>
      </c>
      <c r="U13" s="1122">
        <f>IF(R13&gt;0,T13/R13-1,0)</f>
        <v>0</v>
      </c>
      <c r="V13" s="2063">
        <f>IF(S13&gt;0,T13/S13-1,0)</f>
        <v>0</v>
      </c>
      <c r="X13" s="358" t="s">
        <v>27826</v>
      </c>
      <c r="Y13" s="358" t="s">
        <v>203</v>
      </c>
    </row>
    <row r="14" spans="1:25" s="516" customFormat="1" ht="14.25" x14ac:dyDescent="0.45">
      <c r="A14" s="2064"/>
      <c r="B14" s="2049" t="s">
        <v>225</v>
      </c>
      <c r="C14" s="2050">
        <v>0</v>
      </c>
      <c r="D14" s="2051">
        <v>0</v>
      </c>
      <c r="E14" s="2052">
        <f>SUM('1_Full_time'!G24,'1_Full_time'!J24,'1_Full_time'!G30,'1_Full_time'!J30,'1_Full_time'!G25,'1_Full_time'!J25,'1_Full_time'!G31,'1_Full_time'!J31)</f>
        <v>0</v>
      </c>
      <c r="F14" s="2053">
        <f t="shared" ref="F14:F33" si="2">IF(C14&gt;0,E14/C14-1,0)</f>
        <v>0</v>
      </c>
      <c r="G14" s="2065">
        <f>IF(D14&gt;0,E14/D14-1,0)</f>
        <v>0</v>
      </c>
      <c r="H14" s="2055"/>
      <c r="I14" s="2055"/>
      <c r="J14" s="2056"/>
      <c r="K14" s="2057"/>
      <c r="L14" s="2058"/>
      <c r="M14" s="2050">
        <v>0</v>
      </c>
      <c r="N14" s="2051">
        <v>0</v>
      </c>
      <c r="O14" s="2052">
        <f>SUM('3_Part_time'!G24,'3_Part_time'!J24,'3_Part_time'!G30,'3_Part_time'!J30,'3_Part_time'!G25,'3_Part_time'!J25,'3_Part_time'!G31,'3_Part_time'!J31)</f>
        <v>0</v>
      </c>
      <c r="P14" s="2059">
        <f t="shared" ref="P14:P33" si="3">IF(M14&gt;0,O14/M14-1,0)</f>
        <v>0</v>
      </c>
      <c r="Q14" s="2060">
        <f t="shared" si="0"/>
        <v>0</v>
      </c>
      <c r="R14" s="2066">
        <f t="shared" si="1"/>
        <v>0</v>
      </c>
      <c r="S14" s="2061">
        <f t="shared" si="1"/>
        <v>0</v>
      </c>
      <c r="T14" s="2062">
        <f t="shared" si="1"/>
        <v>0</v>
      </c>
      <c r="U14" s="1122">
        <f t="shared" ref="U14:U33" si="4">IF(R14&gt;0,T14/R14-1,0)</f>
        <v>0</v>
      </c>
      <c r="V14" s="2059">
        <f t="shared" ref="V14:V33" si="5">IF(S14&gt;0,T14/S14-1,0)</f>
        <v>0</v>
      </c>
      <c r="X14" s="358" t="s">
        <v>27826</v>
      </c>
      <c r="Y14" s="358" t="s">
        <v>225</v>
      </c>
    </row>
    <row r="15" spans="1:25" s="516" customFormat="1" ht="14.25" x14ac:dyDescent="0.45">
      <c r="A15" s="2064"/>
      <c r="B15" s="2049" t="s">
        <v>238</v>
      </c>
      <c r="C15" s="2050">
        <v>0</v>
      </c>
      <c r="D15" s="2051">
        <v>0</v>
      </c>
      <c r="E15" s="2052">
        <f>SUM('1_Full_time'!G36,'1_Full_time'!J36,'1_Full_time'!G42,'1_Full_time'!J42,'1_Full_time'!G37,'1_Full_time'!J37,'1_Full_time'!G43,'1_Full_time'!J43)</f>
        <v>0</v>
      </c>
      <c r="F15" s="2053">
        <f t="shared" si="2"/>
        <v>0</v>
      </c>
      <c r="G15" s="2065">
        <f>IF(D15&gt;0,E15/D15-1,0)</f>
        <v>0</v>
      </c>
      <c r="H15" s="2055"/>
      <c r="I15" s="2055"/>
      <c r="J15" s="2056"/>
      <c r="K15" s="2057"/>
      <c r="L15" s="2058"/>
      <c r="M15" s="2050">
        <v>0</v>
      </c>
      <c r="N15" s="2051">
        <v>0</v>
      </c>
      <c r="O15" s="2052">
        <f>SUM('3_Part_time'!G36,'3_Part_time'!J36,'3_Part_time'!G42,'3_Part_time'!J42,'3_Part_time'!G37,'3_Part_time'!J37,'3_Part_time'!G43,'3_Part_time'!J43)</f>
        <v>0</v>
      </c>
      <c r="P15" s="2059">
        <f t="shared" si="3"/>
        <v>0</v>
      </c>
      <c r="Q15" s="2060">
        <f t="shared" si="0"/>
        <v>0</v>
      </c>
      <c r="R15" s="2066">
        <f t="shared" si="1"/>
        <v>0</v>
      </c>
      <c r="S15" s="2061">
        <f t="shared" si="1"/>
        <v>0</v>
      </c>
      <c r="T15" s="2062">
        <f t="shared" si="1"/>
        <v>0</v>
      </c>
      <c r="U15" s="1122">
        <f t="shared" si="4"/>
        <v>0</v>
      </c>
      <c r="V15" s="2059">
        <f t="shared" si="5"/>
        <v>0</v>
      </c>
      <c r="X15" s="358" t="s">
        <v>27826</v>
      </c>
      <c r="Y15" s="358" t="s">
        <v>27692</v>
      </c>
    </row>
    <row r="16" spans="1:25" s="516" customFormat="1" ht="14.25" x14ac:dyDescent="0.45">
      <c r="A16" s="2064"/>
      <c r="B16" s="2049" t="s">
        <v>251</v>
      </c>
      <c r="C16" s="2050">
        <v>0</v>
      </c>
      <c r="D16" s="2051">
        <v>0</v>
      </c>
      <c r="E16" s="2052">
        <f>SUM('1_Full_time'!G48,'1_Full_time'!J48,'1_Full_time'!G54,'1_Full_time'!J54,'1_Full_time'!G49,'1_Full_time'!J49,'1_Full_time'!G55,'1_Full_time'!J55)</f>
        <v>0</v>
      </c>
      <c r="F16" s="2053">
        <f t="shared" si="2"/>
        <v>0</v>
      </c>
      <c r="G16" s="2065">
        <f>IF(D16&gt;0,E16/D16-1,0)</f>
        <v>0</v>
      </c>
      <c r="H16" s="2055"/>
      <c r="I16" s="2055"/>
      <c r="J16" s="2056"/>
      <c r="K16" s="2057"/>
      <c r="L16" s="2058"/>
      <c r="M16" s="2050">
        <v>0</v>
      </c>
      <c r="N16" s="2051">
        <v>0</v>
      </c>
      <c r="O16" s="2052">
        <f>SUM('3_Part_time'!G48,'3_Part_time'!J48,'3_Part_time'!G54,'3_Part_time'!J54,'3_Part_time'!G49,'3_Part_time'!J49,'3_Part_time'!G55,'3_Part_time'!J55)</f>
        <v>0</v>
      </c>
      <c r="P16" s="2059">
        <f t="shared" si="3"/>
        <v>0</v>
      </c>
      <c r="Q16" s="2060">
        <f t="shared" si="0"/>
        <v>0</v>
      </c>
      <c r="R16" s="2066">
        <f>SUM(C16,M16)</f>
        <v>0</v>
      </c>
      <c r="S16" s="2061">
        <f t="shared" si="1"/>
        <v>0</v>
      </c>
      <c r="T16" s="2062">
        <f>SUM(E16,O16)</f>
        <v>0</v>
      </c>
      <c r="U16" s="1122">
        <f>IF(R16&gt;0,T16/R16-1,0)</f>
        <v>0</v>
      </c>
      <c r="V16" s="2059">
        <f t="shared" si="5"/>
        <v>0</v>
      </c>
      <c r="X16" s="358" t="s">
        <v>27826</v>
      </c>
      <c r="Y16" s="358" t="s">
        <v>27693</v>
      </c>
    </row>
    <row r="17" spans="1:25" s="516" customFormat="1" ht="14.25" x14ac:dyDescent="0.45">
      <c r="A17" s="2064"/>
      <c r="B17" s="2049" t="s">
        <v>264</v>
      </c>
      <c r="C17" s="2050">
        <v>0</v>
      </c>
      <c r="D17" s="2051">
        <v>0</v>
      </c>
      <c r="E17" s="2052">
        <f>SUM('1_Full_time'!G60,'1_Full_time'!J60,'1_Full_time'!G66,'1_Full_time'!J66,'1_Full_time'!G61,'1_Full_time'!J61,'1_Full_time'!G67,'1_Full_time'!J67)</f>
        <v>0</v>
      </c>
      <c r="F17" s="2053">
        <f t="shared" si="2"/>
        <v>0</v>
      </c>
      <c r="G17" s="2065">
        <f t="shared" ref="G17:G33" si="6">IF(D17&gt;0,E17/D17-1,0)</f>
        <v>0</v>
      </c>
      <c r="H17" s="2051">
        <v>0</v>
      </c>
      <c r="I17" s="2051">
        <v>0</v>
      </c>
      <c r="J17" s="2052">
        <f>SUM('2_Sandwich'!F11,'2_Sandwich'!I11,'2_Sandwich'!F12,'2_Sandwich'!I12)</f>
        <v>0</v>
      </c>
      <c r="K17" s="2067">
        <f>IF(H17&gt;0,J17/H17-1,0)</f>
        <v>0</v>
      </c>
      <c r="L17" s="2060">
        <f>IF(I17&gt;0,J17/I17-1,0)</f>
        <v>0</v>
      </c>
      <c r="M17" s="2050">
        <v>0</v>
      </c>
      <c r="N17" s="2051">
        <v>0</v>
      </c>
      <c r="O17" s="2052">
        <f>SUM('3_Part_time'!G60,'3_Part_time'!J60,'3_Part_time'!G66,'3_Part_time'!J66,'3_Part_time'!G61,'3_Part_time'!J61,'3_Part_time'!G67,'3_Part_time'!J67)</f>
        <v>0</v>
      </c>
      <c r="P17" s="2059">
        <f t="shared" si="3"/>
        <v>0</v>
      </c>
      <c r="Q17" s="2060">
        <f t="shared" si="0"/>
        <v>0</v>
      </c>
      <c r="R17" s="2066">
        <f>SUM(C17,H17,M17)</f>
        <v>0</v>
      </c>
      <c r="S17" s="2061">
        <f>SUM(D17,I17,N17)</f>
        <v>0</v>
      </c>
      <c r="T17" s="2062">
        <f>SUM(E17,J17,O17)</f>
        <v>0</v>
      </c>
      <c r="U17" s="1122">
        <f t="shared" si="4"/>
        <v>0</v>
      </c>
      <c r="V17" s="2059">
        <f t="shared" si="5"/>
        <v>0</v>
      </c>
      <c r="X17" s="358" t="s">
        <v>27826</v>
      </c>
      <c r="Y17" s="358" t="s">
        <v>264</v>
      </c>
    </row>
    <row r="18" spans="1:25" s="516" customFormat="1" ht="14.25" x14ac:dyDescent="0.45">
      <c r="A18" s="2064"/>
      <c r="B18" s="2049" t="s">
        <v>277</v>
      </c>
      <c r="C18" s="2050">
        <v>0</v>
      </c>
      <c r="D18" s="2051">
        <v>0</v>
      </c>
      <c r="E18" s="2052">
        <f>SUM('1_Full_time'!G72,'1_Full_time'!J72,'1_Full_time'!G78,'1_Full_time'!J78,'1_Full_time'!G73,'1_Full_time'!J73,'1_Full_time'!G79,'1_Full_time'!J79)</f>
        <v>0</v>
      </c>
      <c r="F18" s="2068">
        <f t="shared" si="2"/>
        <v>0</v>
      </c>
      <c r="G18" s="2069">
        <f t="shared" si="6"/>
        <v>0</v>
      </c>
      <c r="H18" s="2055"/>
      <c r="I18" s="2055"/>
      <c r="J18" s="2056"/>
      <c r="K18" s="2070"/>
      <c r="L18" s="2058"/>
      <c r="M18" s="2050">
        <v>0</v>
      </c>
      <c r="N18" s="2051">
        <v>0</v>
      </c>
      <c r="O18" s="2052">
        <f>SUM('3_Part_time'!G72,'3_Part_time'!J72,'3_Part_time'!G78,'3_Part_time'!J78,'3_Part_time'!G73,'3_Part_time'!J73,'3_Part_time'!G79,'3_Part_time'!J79)</f>
        <v>0</v>
      </c>
      <c r="P18" s="2059">
        <f t="shared" si="3"/>
        <v>0</v>
      </c>
      <c r="Q18" s="2060">
        <f t="shared" si="0"/>
        <v>0</v>
      </c>
      <c r="R18" s="2071">
        <f>SUM(C18,M18)</f>
        <v>0</v>
      </c>
      <c r="S18" s="2072">
        <f>SUM(D18,N18)</f>
        <v>0</v>
      </c>
      <c r="T18" s="2073">
        <f>SUM(E18,O18)</f>
        <v>0</v>
      </c>
      <c r="U18" s="1122">
        <f t="shared" si="4"/>
        <v>0</v>
      </c>
      <c r="V18" s="2074">
        <f t="shared" si="5"/>
        <v>0</v>
      </c>
      <c r="X18" s="358" t="s">
        <v>27826</v>
      </c>
      <c r="Y18" s="358" t="s">
        <v>277</v>
      </c>
    </row>
    <row r="19" spans="1:25" s="516" customFormat="1" ht="14.25" x14ac:dyDescent="0.45">
      <c r="A19" s="2075"/>
      <c r="B19" s="2076" t="s">
        <v>27696</v>
      </c>
      <c r="C19" s="2077">
        <f>SUM(C13:C18)</f>
        <v>0</v>
      </c>
      <c r="D19" s="2078">
        <f>SUM(D13:D18)</f>
        <v>0</v>
      </c>
      <c r="E19" s="2079">
        <f>SUM(E13:E18)</f>
        <v>0</v>
      </c>
      <c r="F19" s="2080">
        <f t="shared" si="2"/>
        <v>0</v>
      </c>
      <c r="G19" s="2065">
        <f t="shared" si="6"/>
        <v>0</v>
      </c>
      <c r="H19" s="2078">
        <f>H17</f>
        <v>0</v>
      </c>
      <c r="I19" s="2078">
        <f>I17</f>
        <v>0</v>
      </c>
      <c r="J19" s="2081">
        <f>J17</f>
        <v>0</v>
      </c>
      <c r="K19" s="2059">
        <f>IF(H19&gt;0,J19/H19-1,0)</f>
        <v>0</v>
      </c>
      <c r="L19" s="2082">
        <f>IF(I19&gt;0,J19/I19-1,0)</f>
        <v>0</v>
      </c>
      <c r="M19" s="2077">
        <f>SUM(M13:M18)</f>
        <v>0</v>
      </c>
      <c r="N19" s="2078">
        <f>SUM(N13:N18)</f>
        <v>0</v>
      </c>
      <c r="O19" s="2079">
        <f>SUM(O13:O18)</f>
        <v>0</v>
      </c>
      <c r="P19" s="2083">
        <f t="shared" si="3"/>
        <v>0</v>
      </c>
      <c r="Q19" s="2082">
        <f t="shared" si="0"/>
        <v>0</v>
      </c>
      <c r="R19" s="2071">
        <f>SUM(C19,H19,M19)</f>
        <v>0</v>
      </c>
      <c r="S19" s="2072">
        <f>SUM(D19,I19,N19)</f>
        <v>0</v>
      </c>
      <c r="T19" s="2073">
        <f>SUM(E19,J19,O19)</f>
        <v>0</v>
      </c>
      <c r="U19" s="2084">
        <f t="shared" si="4"/>
        <v>0</v>
      </c>
      <c r="V19" s="2074">
        <f t="shared" si="5"/>
        <v>0</v>
      </c>
      <c r="X19" s="359"/>
      <c r="Y19" s="359"/>
    </row>
    <row r="20" spans="1:25" s="516" customFormat="1" ht="14.25" x14ac:dyDescent="0.45">
      <c r="A20" s="2049" t="s">
        <v>27880</v>
      </c>
      <c r="B20" s="2049" t="s">
        <v>203</v>
      </c>
      <c r="C20" s="2085">
        <v>0</v>
      </c>
      <c r="D20" s="2086">
        <v>0</v>
      </c>
      <c r="E20" s="2087">
        <f>SUM('1_Full_time'!G14:G16,'1_Full_time'!J14:J16,'1_Full_time'!G20:G22,'1_Full_time'!J20:J22)</f>
        <v>0</v>
      </c>
      <c r="F20" s="2088">
        <f t="shared" si="2"/>
        <v>0</v>
      </c>
      <c r="G20" s="2054">
        <f t="shared" si="6"/>
        <v>0</v>
      </c>
      <c r="H20" s="2089"/>
      <c r="I20" s="2089"/>
      <c r="J20" s="2090"/>
      <c r="K20" s="2091"/>
      <c r="L20" s="2092"/>
      <c r="M20" s="2085">
        <v>0</v>
      </c>
      <c r="N20" s="2086">
        <v>0</v>
      </c>
      <c r="O20" s="2087">
        <f>SUM('3_Part_time'!G14:G16,'3_Part_time'!J14:J16,'3_Part_time'!G20:G22,'3_Part_time'!J20:J22)</f>
        <v>0</v>
      </c>
      <c r="P20" s="2059">
        <f t="shared" si="3"/>
        <v>0</v>
      </c>
      <c r="Q20" s="2060">
        <f t="shared" si="0"/>
        <v>0</v>
      </c>
      <c r="R20" s="2093">
        <f t="shared" ref="R20:T23" si="7">SUM(C20,M20)</f>
        <v>0</v>
      </c>
      <c r="S20" s="2094">
        <f t="shared" si="7"/>
        <v>0</v>
      </c>
      <c r="T20" s="2095">
        <f t="shared" si="7"/>
        <v>0</v>
      </c>
      <c r="U20" s="1122">
        <f t="shared" si="4"/>
        <v>0</v>
      </c>
      <c r="V20" s="2059">
        <f t="shared" si="5"/>
        <v>0</v>
      </c>
      <c r="X20" s="358" t="s">
        <v>27947</v>
      </c>
      <c r="Y20" s="358" t="s">
        <v>203</v>
      </c>
    </row>
    <row r="21" spans="1:25" s="516" customFormat="1" ht="14.25" x14ac:dyDescent="0.45">
      <c r="A21" s="2064"/>
      <c r="B21" s="2049" t="s">
        <v>225</v>
      </c>
      <c r="C21" s="2050">
        <v>0</v>
      </c>
      <c r="D21" s="2051">
        <v>0</v>
      </c>
      <c r="E21" s="2052">
        <f>SUM('1_Full_time'!G26:G28,'1_Full_time'!J26:J28,'1_Full_time'!G32:G34,'1_Full_time'!J32:J34)</f>
        <v>0</v>
      </c>
      <c r="F21" s="2053">
        <f t="shared" si="2"/>
        <v>0</v>
      </c>
      <c r="G21" s="2065">
        <f t="shared" si="6"/>
        <v>0</v>
      </c>
      <c r="H21" s="2055"/>
      <c r="I21" s="2055"/>
      <c r="J21" s="2056"/>
      <c r="K21" s="2096"/>
      <c r="L21" s="2097"/>
      <c r="M21" s="2050">
        <v>0</v>
      </c>
      <c r="N21" s="2051">
        <v>0</v>
      </c>
      <c r="O21" s="2052">
        <f>SUM('3_Part_time'!G26:G28,'3_Part_time'!J26:J28,'3_Part_time'!G32:G34,'3_Part_time'!J32:J34)</f>
        <v>0</v>
      </c>
      <c r="P21" s="2059">
        <f t="shared" si="3"/>
        <v>0</v>
      </c>
      <c r="Q21" s="2060">
        <f t="shared" si="0"/>
        <v>0</v>
      </c>
      <c r="R21" s="2061">
        <f t="shared" si="7"/>
        <v>0</v>
      </c>
      <c r="S21" s="2061">
        <f t="shared" si="7"/>
        <v>0</v>
      </c>
      <c r="T21" s="2062">
        <f t="shared" si="7"/>
        <v>0</v>
      </c>
      <c r="U21" s="1122">
        <f t="shared" si="4"/>
        <v>0</v>
      </c>
      <c r="V21" s="2059">
        <f t="shared" si="5"/>
        <v>0</v>
      </c>
      <c r="X21" s="358" t="s">
        <v>27947</v>
      </c>
      <c r="Y21" s="358" t="s">
        <v>225</v>
      </c>
    </row>
    <row r="22" spans="1:25" s="516" customFormat="1" ht="14.25" x14ac:dyDescent="0.45">
      <c r="A22" s="2064"/>
      <c r="B22" s="2049" t="s">
        <v>238</v>
      </c>
      <c r="C22" s="2050">
        <v>0</v>
      </c>
      <c r="D22" s="2051">
        <v>0</v>
      </c>
      <c r="E22" s="2052">
        <f>SUM('1_Full_time'!G38:G40,'1_Full_time'!J38:J40,'1_Full_time'!G44:G46,'1_Full_time'!J44:J46)</f>
        <v>0</v>
      </c>
      <c r="F22" s="2053">
        <f t="shared" si="2"/>
        <v>0</v>
      </c>
      <c r="G22" s="2065">
        <f t="shared" si="6"/>
        <v>0</v>
      </c>
      <c r="H22" s="2055"/>
      <c r="I22" s="2055"/>
      <c r="J22" s="2056"/>
      <c r="K22" s="2096"/>
      <c r="L22" s="2097"/>
      <c r="M22" s="2050">
        <v>0</v>
      </c>
      <c r="N22" s="2051">
        <v>0</v>
      </c>
      <c r="O22" s="2052">
        <f>SUM('3_Part_time'!G38:G40,'3_Part_time'!J38:J40,'3_Part_time'!G44:G46,'3_Part_time'!J44:J46)</f>
        <v>0</v>
      </c>
      <c r="P22" s="2059">
        <f t="shared" si="3"/>
        <v>0</v>
      </c>
      <c r="Q22" s="2098">
        <f t="shared" si="0"/>
        <v>0</v>
      </c>
      <c r="R22" s="2066">
        <f t="shared" si="7"/>
        <v>0</v>
      </c>
      <c r="S22" s="2061">
        <f t="shared" si="7"/>
        <v>0</v>
      </c>
      <c r="T22" s="2062">
        <f t="shared" si="7"/>
        <v>0</v>
      </c>
      <c r="U22" s="1122">
        <f t="shared" si="4"/>
        <v>0</v>
      </c>
      <c r="V22" s="2059">
        <f t="shared" si="5"/>
        <v>0</v>
      </c>
      <c r="X22" s="358" t="s">
        <v>27947</v>
      </c>
      <c r="Y22" s="358" t="s">
        <v>27692</v>
      </c>
    </row>
    <row r="23" spans="1:25" s="516" customFormat="1" ht="14.25" x14ac:dyDescent="0.45">
      <c r="A23" s="2064"/>
      <c r="B23" s="2049" t="s">
        <v>251</v>
      </c>
      <c r="C23" s="2050">
        <v>0</v>
      </c>
      <c r="D23" s="2051">
        <v>0</v>
      </c>
      <c r="E23" s="2052">
        <f>SUM('1_Full_time'!G50:G52,'1_Full_time'!J50:J52,'1_Full_time'!G56:G58,'1_Full_time'!J56:J58)</f>
        <v>0</v>
      </c>
      <c r="F23" s="2053">
        <f t="shared" si="2"/>
        <v>0</v>
      </c>
      <c r="G23" s="2065">
        <f t="shared" si="6"/>
        <v>0</v>
      </c>
      <c r="H23" s="2055"/>
      <c r="I23" s="2055"/>
      <c r="J23" s="2056"/>
      <c r="K23" s="2096"/>
      <c r="L23" s="2097"/>
      <c r="M23" s="2050">
        <v>0</v>
      </c>
      <c r="N23" s="2051">
        <v>0</v>
      </c>
      <c r="O23" s="2052">
        <f>SUM('3_Part_time'!G50:G52,'3_Part_time'!J50:J52,'3_Part_time'!G56:G58,'3_Part_time'!J56:J58)</f>
        <v>0</v>
      </c>
      <c r="P23" s="2059">
        <f t="shared" si="3"/>
        <v>0</v>
      </c>
      <c r="Q23" s="2098">
        <f t="shared" si="0"/>
        <v>0</v>
      </c>
      <c r="R23" s="2066">
        <f>SUM(C23,M23)</f>
        <v>0</v>
      </c>
      <c r="S23" s="2061">
        <f t="shared" si="7"/>
        <v>0</v>
      </c>
      <c r="T23" s="2062">
        <f>SUM(E23,O23)</f>
        <v>0</v>
      </c>
      <c r="U23" s="1122">
        <f>IF(R23&gt;0,T23/R23-1,0)</f>
        <v>0</v>
      </c>
      <c r="V23" s="2059">
        <f t="shared" si="5"/>
        <v>0</v>
      </c>
      <c r="X23" s="358" t="s">
        <v>27947</v>
      </c>
      <c r="Y23" s="358" t="s">
        <v>27693</v>
      </c>
    </row>
    <row r="24" spans="1:25" s="516" customFormat="1" ht="14.25" x14ac:dyDescent="0.45">
      <c r="A24" s="2064"/>
      <c r="B24" s="2049" t="s">
        <v>264</v>
      </c>
      <c r="C24" s="2050">
        <v>0</v>
      </c>
      <c r="D24" s="2051">
        <v>0</v>
      </c>
      <c r="E24" s="2052">
        <f>SUM('1_Full_time'!G62:G64,'1_Full_time'!J62:J64,'1_Full_time'!G68:G70,'1_Full_time'!J68:J70)</f>
        <v>0</v>
      </c>
      <c r="F24" s="2053">
        <f t="shared" si="2"/>
        <v>0</v>
      </c>
      <c r="G24" s="2065">
        <f t="shared" si="6"/>
        <v>0</v>
      </c>
      <c r="H24" s="2051">
        <v>0</v>
      </c>
      <c r="I24" s="2051">
        <v>0</v>
      </c>
      <c r="J24" s="2052">
        <f>SUM('2_Sandwich'!F13:F15,'2_Sandwich'!I13:I15)</f>
        <v>0</v>
      </c>
      <c r="K24" s="2067">
        <f>IF(H24&gt;0,J24/H24-1,0)</f>
        <v>0</v>
      </c>
      <c r="L24" s="2060">
        <f>IF(I24&gt;0,J24/I24-1,0)</f>
        <v>0</v>
      </c>
      <c r="M24" s="2050">
        <v>0</v>
      </c>
      <c r="N24" s="2051">
        <v>0</v>
      </c>
      <c r="O24" s="2052">
        <f>SUM('3_Part_time'!G62:G64,'3_Part_time'!J62:J64,'3_Part_time'!G68:G70,'3_Part_time'!J68:J70)</f>
        <v>0</v>
      </c>
      <c r="P24" s="2059">
        <f t="shared" si="3"/>
        <v>0</v>
      </c>
      <c r="Q24" s="2060">
        <f t="shared" si="0"/>
        <v>0</v>
      </c>
      <c r="R24" s="2066">
        <f>SUM(C24,H24,M24)</f>
        <v>0</v>
      </c>
      <c r="S24" s="2061">
        <f>SUM(D24,I24,N24)</f>
        <v>0</v>
      </c>
      <c r="T24" s="2062">
        <f>SUM(E24,J24,O24)</f>
        <v>0</v>
      </c>
      <c r="U24" s="1122">
        <f t="shared" si="4"/>
        <v>0</v>
      </c>
      <c r="V24" s="2059">
        <f t="shared" si="5"/>
        <v>0</v>
      </c>
      <c r="X24" s="358" t="s">
        <v>27947</v>
      </c>
      <c r="Y24" s="358" t="s">
        <v>264</v>
      </c>
    </row>
    <row r="25" spans="1:25" s="516" customFormat="1" ht="14.25" x14ac:dyDescent="0.45">
      <c r="A25" s="2064"/>
      <c r="B25" s="2049" t="s">
        <v>277</v>
      </c>
      <c r="C25" s="2099">
        <v>0</v>
      </c>
      <c r="D25" s="2100">
        <v>0</v>
      </c>
      <c r="E25" s="2101">
        <f>SUM('1_Full_time'!G74:G76,'1_Full_time'!J74:J76,'1_Full_time'!G80:G82,'1_Full_time'!J80:J82)</f>
        <v>0</v>
      </c>
      <c r="F25" s="2068">
        <f t="shared" si="2"/>
        <v>0</v>
      </c>
      <c r="G25" s="2065">
        <f t="shared" si="6"/>
        <v>0</v>
      </c>
      <c r="H25" s="2102"/>
      <c r="I25" s="2102"/>
      <c r="J25" s="2056"/>
      <c r="K25" s="2096"/>
      <c r="L25" s="2058"/>
      <c r="M25" s="2050">
        <v>0</v>
      </c>
      <c r="N25" s="2051">
        <v>0</v>
      </c>
      <c r="O25" s="2101">
        <f>SUM('3_Part_time'!G74:G76,'3_Part_time'!J74:J76,'3_Part_time'!G80:G82,'3_Part_time'!J80:J82)</f>
        <v>0</v>
      </c>
      <c r="P25" s="2059">
        <f t="shared" si="3"/>
        <v>0</v>
      </c>
      <c r="Q25" s="2060">
        <f t="shared" si="0"/>
        <v>0</v>
      </c>
      <c r="R25" s="2071">
        <f>SUM(C25,M25)</f>
        <v>0</v>
      </c>
      <c r="S25" s="2072">
        <f>SUM(D25,N25)</f>
        <v>0</v>
      </c>
      <c r="T25" s="2073">
        <f>SUM(E25,O25)</f>
        <v>0</v>
      </c>
      <c r="U25" s="1122">
        <f t="shared" si="4"/>
        <v>0</v>
      </c>
      <c r="V25" s="2074">
        <f t="shared" si="5"/>
        <v>0</v>
      </c>
      <c r="X25" s="358" t="s">
        <v>27947</v>
      </c>
      <c r="Y25" s="358" t="s">
        <v>277</v>
      </c>
    </row>
    <row r="26" spans="1:25" s="516" customFormat="1" ht="13.9" x14ac:dyDescent="0.4">
      <c r="A26" s="2075"/>
      <c r="B26" s="2076" t="s">
        <v>27696</v>
      </c>
      <c r="C26" s="2077">
        <f>SUM(C20:C25)</f>
        <v>0</v>
      </c>
      <c r="D26" s="2078">
        <f>SUM(D20:D25)</f>
        <v>0</v>
      </c>
      <c r="E26" s="2079">
        <f>SUM(E20:E25)</f>
        <v>0</v>
      </c>
      <c r="F26" s="2080">
        <f t="shared" si="2"/>
        <v>0</v>
      </c>
      <c r="G26" s="2103">
        <f t="shared" si="6"/>
        <v>0</v>
      </c>
      <c r="H26" s="2078">
        <f>H24</f>
        <v>0</v>
      </c>
      <c r="I26" s="2078">
        <f>I24</f>
        <v>0</v>
      </c>
      <c r="J26" s="2081">
        <f>J24</f>
        <v>0</v>
      </c>
      <c r="K26" s="2083">
        <f>IF(H26&gt;0,J26/H26-1,0)</f>
        <v>0</v>
      </c>
      <c r="L26" s="2082">
        <f>IF(I26&gt;0,J26/I26-1,0)</f>
        <v>0</v>
      </c>
      <c r="M26" s="2077">
        <f>SUM(M20:M25)</f>
        <v>0</v>
      </c>
      <c r="N26" s="2078">
        <f>SUM(N20:N25)</f>
        <v>0</v>
      </c>
      <c r="O26" s="2079">
        <f>SUM(O20:O25)</f>
        <v>0</v>
      </c>
      <c r="P26" s="2083">
        <f t="shared" si="3"/>
        <v>0</v>
      </c>
      <c r="Q26" s="2082">
        <f t="shared" si="0"/>
        <v>0</v>
      </c>
      <c r="R26" s="2077">
        <f>SUM(C26,H26,M26)</f>
        <v>0</v>
      </c>
      <c r="S26" s="2078">
        <f>SUM(D26,I26,N26)</f>
        <v>0</v>
      </c>
      <c r="T26" s="2081">
        <f>SUM(E26,J26,O26)</f>
        <v>0</v>
      </c>
      <c r="U26" s="2084">
        <f t="shared" si="4"/>
        <v>0</v>
      </c>
      <c r="V26" s="2074">
        <f t="shared" si="5"/>
        <v>0</v>
      </c>
    </row>
    <row r="27" spans="1:25" s="516" customFormat="1" ht="13.5" x14ac:dyDescent="0.35">
      <c r="A27" s="2049" t="s">
        <v>27696</v>
      </c>
      <c r="B27" s="2049" t="s">
        <v>203</v>
      </c>
      <c r="C27" s="2066">
        <f t="shared" ref="C27:E28" si="8">SUM(C13,C20)</f>
        <v>0</v>
      </c>
      <c r="D27" s="2061">
        <f t="shared" si="8"/>
        <v>0</v>
      </c>
      <c r="E27" s="2052">
        <f>SUM(E13,E20)</f>
        <v>0</v>
      </c>
      <c r="F27" s="2088">
        <f t="shared" si="2"/>
        <v>0</v>
      </c>
      <c r="G27" s="2054">
        <f t="shared" si="6"/>
        <v>0</v>
      </c>
      <c r="H27" s="2055"/>
      <c r="I27" s="2055"/>
      <c r="J27" s="2056"/>
      <c r="K27" s="2096"/>
      <c r="L27" s="2058"/>
      <c r="M27" s="2061">
        <f t="shared" ref="M27:O28" si="9">SUM(M13,M20)</f>
        <v>0</v>
      </c>
      <c r="N27" s="2061">
        <f t="shared" si="9"/>
        <v>0</v>
      </c>
      <c r="O27" s="2062">
        <f t="shared" si="9"/>
        <v>0</v>
      </c>
      <c r="P27" s="2059">
        <f t="shared" si="3"/>
        <v>0</v>
      </c>
      <c r="Q27" s="1118">
        <f t="shared" si="0"/>
        <v>0</v>
      </c>
      <c r="R27" s="2066">
        <f t="shared" ref="R27:T32" si="10">SUM(R13,R20)</f>
        <v>0</v>
      </c>
      <c r="S27" s="2061">
        <f t="shared" si="10"/>
        <v>0</v>
      </c>
      <c r="T27" s="2062">
        <f t="shared" si="10"/>
        <v>0</v>
      </c>
      <c r="U27" s="1122">
        <f t="shared" si="4"/>
        <v>0</v>
      </c>
      <c r="V27" s="2059">
        <f t="shared" si="5"/>
        <v>0</v>
      </c>
    </row>
    <row r="28" spans="1:25" s="516" customFormat="1" ht="13.5" x14ac:dyDescent="0.35">
      <c r="A28" s="2049"/>
      <c r="B28" s="2049" t="s">
        <v>225</v>
      </c>
      <c r="C28" s="2066">
        <f t="shared" si="8"/>
        <v>0</v>
      </c>
      <c r="D28" s="2061">
        <f t="shared" si="8"/>
        <v>0</v>
      </c>
      <c r="E28" s="2052">
        <f t="shared" si="8"/>
        <v>0</v>
      </c>
      <c r="F28" s="2053">
        <f t="shared" si="2"/>
        <v>0</v>
      </c>
      <c r="G28" s="2065">
        <f t="shared" si="6"/>
        <v>0</v>
      </c>
      <c r="H28" s="2055"/>
      <c r="I28" s="2055"/>
      <c r="J28" s="2056"/>
      <c r="K28" s="2096"/>
      <c r="L28" s="2058"/>
      <c r="M28" s="2061">
        <f t="shared" si="9"/>
        <v>0</v>
      </c>
      <c r="N28" s="2061">
        <f t="shared" si="9"/>
        <v>0</v>
      </c>
      <c r="O28" s="2062">
        <f t="shared" si="9"/>
        <v>0</v>
      </c>
      <c r="P28" s="2059">
        <f t="shared" si="3"/>
        <v>0</v>
      </c>
      <c r="Q28" s="1118">
        <f t="shared" si="0"/>
        <v>0</v>
      </c>
      <c r="R28" s="2066">
        <f t="shared" si="10"/>
        <v>0</v>
      </c>
      <c r="S28" s="2061">
        <f t="shared" si="10"/>
        <v>0</v>
      </c>
      <c r="T28" s="2062">
        <f t="shared" si="10"/>
        <v>0</v>
      </c>
      <c r="U28" s="1122">
        <f t="shared" si="4"/>
        <v>0</v>
      </c>
      <c r="V28" s="2059">
        <f t="shared" si="5"/>
        <v>0</v>
      </c>
    </row>
    <row r="29" spans="1:25" s="516" customFormat="1" ht="13.5" x14ac:dyDescent="0.35">
      <c r="A29" s="2049"/>
      <c r="B29" s="2049" t="s">
        <v>238</v>
      </c>
      <c r="C29" s="2066">
        <f t="shared" ref="C29:E32" si="11">SUM(C15,C22)</f>
        <v>0</v>
      </c>
      <c r="D29" s="2061">
        <f t="shared" si="11"/>
        <v>0</v>
      </c>
      <c r="E29" s="2052">
        <f t="shared" si="11"/>
        <v>0</v>
      </c>
      <c r="F29" s="2053">
        <f t="shared" si="2"/>
        <v>0</v>
      </c>
      <c r="G29" s="2065">
        <f t="shared" si="6"/>
        <v>0</v>
      </c>
      <c r="H29" s="2055"/>
      <c r="I29" s="2055"/>
      <c r="J29" s="2056"/>
      <c r="K29" s="2096"/>
      <c r="L29" s="2058"/>
      <c r="M29" s="2061">
        <f t="shared" ref="M29:O32" si="12">SUM(M15,M22)</f>
        <v>0</v>
      </c>
      <c r="N29" s="2061">
        <f t="shared" si="12"/>
        <v>0</v>
      </c>
      <c r="O29" s="2062">
        <f t="shared" si="12"/>
        <v>0</v>
      </c>
      <c r="P29" s="2059">
        <f t="shared" si="3"/>
        <v>0</v>
      </c>
      <c r="Q29" s="2098">
        <f t="shared" si="0"/>
        <v>0</v>
      </c>
      <c r="R29" s="2061">
        <f t="shared" si="10"/>
        <v>0</v>
      </c>
      <c r="S29" s="2061">
        <f t="shared" si="10"/>
        <v>0</v>
      </c>
      <c r="T29" s="2062">
        <f t="shared" si="10"/>
        <v>0</v>
      </c>
      <c r="U29" s="1122">
        <f t="shared" si="4"/>
        <v>0</v>
      </c>
      <c r="V29" s="2059">
        <f t="shared" si="5"/>
        <v>0</v>
      </c>
    </row>
    <row r="30" spans="1:25" s="516" customFormat="1" ht="13.5" x14ac:dyDescent="0.35">
      <c r="A30" s="2049"/>
      <c r="B30" s="2049" t="s">
        <v>251</v>
      </c>
      <c r="C30" s="2066">
        <f t="shared" si="11"/>
        <v>0</v>
      </c>
      <c r="D30" s="2061">
        <f t="shared" si="11"/>
        <v>0</v>
      </c>
      <c r="E30" s="2052">
        <f t="shared" si="11"/>
        <v>0</v>
      </c>
      <c r="F30" s="2053">
        <f t="shared" si="2"/>
        <v>0</v>
      </c>
      <c r="G30" s="2065">
        <f t="shared" si="6"/>
        <v>0</v>
      </c>
      <c r="H30" s="2055"/>
      <c r="I30" s="2055"/>
      <c r="J30" s="2056"/>
      <c r="K30" s="2096"/>
      <c r="L30" s="2058"/>
      <c r="M30" s="2061">
        <f t="shared" si="12"/>
        <v>0</v>
      </c>
      <c r="N30" s="2061">
        <f t="shared" si="12"/>
        <v>0</v>
      </c>
      <c r="O30" s="2062">
        <f t="shared" si="12"/>
        <v>0</v>
      </c>
      <c r="P30" s="2059">
        <f t="shared" si="3"/>
        <v>0</v>
      </c>
      <c r="Q30" s="2098">
        <f t="shared" si="0"/>
        <v>0</v>
      </c>
      <c r="R30" s="2061">
        <f t="shared" si="10"/>
        <v>0</v>
      </c>
      <c r="S30" s="2061">
        <f t="shared" si="10"/>
        <v>0</v>
      </c>
      <c r="T30" s="2062">
        <f t="shared" si="10"/>
        <v>0</v>
      </c>
      <c r="U30" s="1122">
        <f>IF(R30&gt;0,T30/R30-1,0)</f>
        <v>0</v>
      </c>
      <c r="V30" s="2059">
        <f t="shared" si="5"/>
        <v>0</v>
      </c>
    </row>
    <row r="31" spans="1:25" s="516" customFormat="1" ht="13.5" x14ac:dyDescent="0.35">
      <c r="A31" s="2049"/>
      <c r="B31" s="2049" t="s">
        <v>264</v>
      </c>
      <c r="C31" s="2066">
        <f t="shared" si="11"/>
        <v>0</v>
      </c>
      <c r="D31" s="2061">
        <f t="shared" si="11"/>
        <v>0</v>
      </c>
      <c r="E31" s="2052">
        <f t="shared" si="11"/>
        <v>0</v>
      </c>
      <c r="F31" s="2053">
        <f t="shared" si="2"/>
        <v>0</v>
      </c>
      <c r="G31" s="2065">
        <f t="shared" si="6"/>
        <v>0</v>
      </c>
      <c r="H31" s="2061">
        <f>SUM(H17,H24)</f>
        <v>0</v>
      </c>
      <c r="I31" s="2061">
        <f>SUM(I17,I24)</f>
        <v>0</v>
      </c>
      <c r="J31" s="2062">
        <f>SUM(J17,J24)</f>
        <v>0</v>
      </c>
      <c r="K31" s="2059">
        <f>IF(H31&gt;0,J31/H31-1,0)</f>
        <v>0</v>
      </c>
      <c r="L31" s="1118">
        <f>IF(I31&gt;0,J31/I31-1,0)</f>
        <v>0</v>
      </c>
      <c r="M31" s="2061">
        <f t="shared" si="12"/>
        <v>0</v>
      </c>
      <c r="N31" s="2061">
        <f t="shared" si="12"/>
        <v>0</v>
      </c>
      <c r="O31" s="2062">
        <f t="shared" si="12"/>
        <v>0</v>
      </c>
      <c r="P31" s="2059">
        <f t="shared" si="3"/>
        <v>0</v>
      </c>
      <c r="Q31" s="1118">
        <f t="shared" si="0"/>
        <v>0</v>
      </c>
      <c r="R31" s="2061">
        <f t="shared" si="10"/>
        <v>0</v>
      </c>
      <c r="S31" s="2061">
        <f t="shared" si="10"/>
        <v>0</v>
      </c>
      <c r="T31" s="2062">
        <f t="shared" si="10"/>
        <v>0</v>
      </c>
      <c r="U31" s="1122">
        <f t="shared" si="4"/>
        <v>0</v>
      </c>
      <c r="V31" s="2059">
        <f t="shared" si="5"/>
        <v>0</v>
      </c>
    </row>
    <row r="32" spans="1:25" s="516" customFormat="1" ht="13.5" x14ac:dyDescent="0.35">
      <c r="A32" s="2104"/>
      <c r="B32" s="2049" t="s">
        <v>277</v>
      </c>
      <c r="C32" s="2071">
        <f t="shared" si="11"/>
        <v>0</v>
      </c>
      <c r="D32" s="2072">
        <f t="shared" si="11"/>
        <v>0</v>
      </c>
      <c r="E32" s="2101">
        <f t="shared" si="11"/>
        <v>0</v>
      </c>
      <c r="F32" s="2068">
        <f t="shared" si="2"/>
        <v>0</v>
      </c>
      <c r="G32" s="2065">
        <f t="shared" si="6"/>
        <v>0</v>
      </c>
      <c r="H32" s="2055"/>
      <c r="I32" s="2055"/>
      <c r="J32" s="2056"/>
      <c r="K32" s="2096"/>
      <c r="L32" s="2058"/>
      <c r="M32" s="2072">
        <f t="shared" si="12"/>
        <v>0</v>
      </c>
      <c r="N32" s="2072">
        <f t="shared" si="12"/>
        <v>0</v>
      </c>
      <c r="O32" s="2062">
        <f t="shared" si="12"/>
        <v>0</v>
      </c>
      <c r="P32" s="2074">
        <f t="shared" si="3"/>
        <v>0</v>
      </c>
      <c r="Q32" s="1121">
        <f t="shared" si="0"/>
        <v>0</v>
      </c>
      <c r="R32" s="2071">
        <f t="shared" si="10"/>
        <v>0</v>
      </c>
      <c r="S32" s="2072">
        <f t="shared" si="10"/>
        <v>0</v>
      </c>
      <c r="T32" s="2062">
        <f t="shared" si="10"/>
        <v>0</v>
      </c>
      <c r="U32" s="1122">
        <f t="shared" si="4"/>
        <v>0</v>
      </c>
      <c r="V32" s="2074">
        <f t="shared" si="5"/>
        <v>0</v>
      </c>
    </row>
    <row r="33" spans="1:22" s="516" customFormat="1" ht="14.25" thickBot="1" x14ac:dyDescent="0.45">
      <c r="A33" s="2105"/>
      <c r="B33" s="2106" t="s">
        <v>27696</v>
      </c>
      <c r="C33" s="2107">
        <f>SUM(C27:C32)</f>
        <v>0</v>
      </c>
      <c r="D33" s="2108">
        <f>SUM(D27:D32)</f>
        <v>0</v>
      </c>
      <c r="E33" s="2109">
        <f>SUM(E27:E32)</f>
        <v>0</v>
      </c>
      <c r="F33" s="2110">
        <f t="shared" si="2"/>
        <v>0</v>
      </c>
      <c r="G33" s="2111">
        <f t="shared" si="6"/>
        <v>0</v>
      </c>
      <c r="H33" s="2108">
        <f>H31</f>
        <v>0</v>
      </c>
      <c r="I33" s="2108">
        <f>I31</f>
        <v>0</v>
      </c>
      <c r="J33" s="2109">
        <f>J31</f>
        <v>0</v>
      </c>
      <c r="K33" s="2112">
        <f>IF(H33&gt;0,J33/H33-1,0)</f>
        <v>0</v>
      </c>
      <c r="L33" s="2113">
        <f>IF(I33&gt;0,J33/I33-1,0)</f>
        <v>0</v>
      </c>
      <c r="M33" s="2107">
        <f>SUM(M27:M32)</f>
        <v>0</v>
      </c>
      <c r="N33" s="2108">
        <f>SUM(N27:N32)</f>
        <v>0</v>
      </c>
      <c r="O33" s="2109">
        <f>SUM(O27:O32)</f>
        <v>0</v>
      </c>
      <c r="P33" s="2114">
        <f t="shared" si="3"/>
        <v>0</v>
      </c>
      <c r="Q33" s="2115">
        <f t="shared" si="0"/>
        <v>0</v>
      </c>
      <c r="R33" s="2107">
        <f>SUM(R27:R32)</f>
        <v>0</v>
      </c>
      <c r="S33" s="2108">
        <f>SUM(S27:S32)</f>
        <v>0</v>
      </c>
      <c r="T33" s="2109">
        <f>SUM(T27:T32)</f>
        <v>0</v>
      </c>
      <c r="U33" s="2110">
        <f t="shared" si="4"/>
        <v>0</v>
      </c>
      <c r="V33" s="2116">
        <f t="shared" si="5"/>
        <v>0</v>
      </c>
    </row>
    <row r="34" spans="1:22" ht="13.15" hidden="1" x14ac:dyDescent="0.35">
      <c r="A34" s="362"/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363"/>
      <c r="U34" s="363"/>
      <c r="V34" s="363"/>
    </row>
    <row r="35" spans="1:22" ht="14.25" hidden="1" x14ac:dyDescent="0.45">
      <c r="A35" s="362"/>
      <c r="B35" s="357" t="s">
        <v>27940</v>
      </c>
      <c r="C35" s="358" t="s">
        <v>28331</v>
      </c>
      <c r="D35" s="358" t="s">
        <v>28331</v>
      </c>
      <c r="E35" s="359"/>
      <c r="F35" s="359"/>
      <c r="G35" s="359"/>
      <c r="H35" s="358" t="s">
        <v>28331</v>
      </c>
      <c r="I35" s="358" t="s">
        <v>28331</v>
      </c>
      <c r="J35" s="359"/>
      <c r="K35" s="359"/>
      <c r="L35" s="359"/>
      <c r="M35" s="358" t="s">
        <v>28331</v>
      </c>
      <c r="N35" s="358" t="s">
        <v>28331</v>
      </c>
      <c r="O35" s="363"/>
      <c r="P35" s="363"/>
      <c r="Q35" s="363"/>
      <c r="R35" s="363"/>
      <c r="S35" s="363"/>
      <c r="T35" s="363"/>
      <c r="U35" s="363"/>
      <c r="V35" s="363"/>
    </row>
    <row r="36" spans="1:22" ht="14.25" hidden="1" x14ac:dyDescent="0.45">
      <c r="A36" s="362"/>
      <c r="B36" s="357"/>
      <c r="C36" s="358" t="s">
        <v>28252</v>
      </c>
      <c r="D36" s="358" t="s">
        <v>29712</v>
      </c>
      <c r="E36" s="359"/>
      <c r="F36" s="359"/>
      <c r="G36" s="359"/>
      <c r="H36" s="358" t="s">
        <v>28253</v>
      </c>
      <c r="I36" s="358" t="s">
        <v>29713</v>
      </c>
      <c r="J36" s="359"/>
      <c r="K36" s="359"/>
      <c r="L36" s="359"/>
      <c r="M36" s="358" t="s">
        <v>29721</v>
      </c>
      <c r="N36" s="358" t="s">
        <v>29714</v>
      </c>
      <c r="O36" s="363"/>
      <c r="P36" s="363"/>
      <c r="Q36" s="363"/>
      <c r="R36" s="363"/>
      <c r="S36" s="363"/>
      <c r="T36" s="363"/>
      <c r="U36" s="363"/>
      <c r="V36" s="363"/>
    </row>
    <row r="60" spans="16:20" x14ac:dyDescent="0.35">
      <c r="P60" s="376"/>
      <c r="Q60" s="376"/>
      <c r="R60" s="376"/>
      <c r="S60" s="376"/>
      <c r="T60" s="376"/>
    </row>
  </sheetData>
  <sheetProtection algorithmName="SHA-512" hashValue="tbg8ugDSBZ2bPkpOH+E7fyrXzM+Bzw6HTMmXcqtw8/8/ApgM/0SWFZtzfwhxVJpce1MBCSPGVVVtTVbSMDHXhg==" saltValue="VATZf2Rtdtlw32kcRUFYqA==" spinCount="100000" sheet="1" objects="1" scenarios="1"/>
  <mergeCells count="8">
    <mergeCell ref="C10:G10"/>
    <mergeCell ref="H10:L10"/>
    <mergeCell ref="M10:Q10"/>
    <mergeCell ref="R10:V10"/>
    <mergeCell ref="F11:G11"/>
    <mergeCell ref="K11:L11"/>
    <mergeCell ref="P11:Q11"/>
    <mergeCell ref="U11:V11"/>
  </mergeCells>
  <phoneticPr fontId="24" type="noConversion"/>
  <conditionalFormatting sqref="D13:D33 G13:G33 I13:I33 L13:L33 Q13:Q33 V13:V33">
    <cfRule type="expression" dxfId="55" priority="5">
      <formula>IF(DCT="N",1,0)</formula>
    </cfRule>
  </conditionalFormatting>
  <conditionalFormatting sqref="N13:N33">
    <cfRule type="expression" dxfId="54" priority="2">
      <formula>IF(DCT="N",1,0)</formula>
    </cfRule>
  </conditionalFormatting>
  <conditionalFormatting sqref="S13:S33">
    <cfRule type="expression" dxfId="53" priority="1">
      <formula>IF(DCT="N",1,0)</formula>
    </cfRule>
  </conditionalFormatting>
  <pageMargins left="0.70866141732283472" right="0.70866141732283472" top="0.74803149606299213" bottom="0.74803149606299213" header="0.31496062992125984" footer="0.31496062992125984"/>
  <pageSetup paperSize="9" scale="46" fitToHeight="2" orientation="landscape" horizontalDpi="200" verticalDpi="200" r:id="rId1"/>
  <ignoredErrors>
    <ignoredError sqref="J24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F02A3-7FF3-4782-87DC-105C3B9FC7F0}">
  <sheetPr codeName="Sheet18"/>
  <dimension ref="A1:C8"/>
  <sheetViews>
    <sheetView workbookViewId="0"/>
  </sheetViews>
  <sheetFormatPr defaultColWidth="9.1328125" defaultRowHeight="14.25" x14ac:dyDescent="0.45"/>
  <cols>
    <col min="1" max="1" width="16" style="2270" customWidth="1"/>
    <col min="2" max="2" width="20.265625" style="2270" customWidth="1"/>
    <col min="3" max="16384" width="9.1328125" style="2270"/>
  </cols>
  <sheetData>
    <row r="1" spans="1:3" x14ac:dyDescent="0.45">
      <c r="A1" s="2270" t="s">
        <v>29634</v>
      </c>
      <c r="B1" s="2270" t="s">
        <v>29633</v>
      </c>
      <c r="C1" s="2270" t="s">
        <v>29632</v>
      </c>
    </row>
    <row r="2" spans="1:3" x14ac:dyDescent="0.45">
      <c r="A2" s="2270" t="s">
        <v>29631</v>
      </c>
      <c r="B2" s="2270" t="s">
        <v>29630</v>
      </c>
      <c r="C2" s="2270" t="s">
        <v>27963</v>
      </c>
    </row>
    <row r="3" spans="1:3" x14ac:dyDescent="0.45">
      <c r="A3" s="2270" t="s">
        <v>29629</v>
      </c>
      <c r="B3" s="2270" t="s">
        <v>29628</v>
      </c>
      <c r="C3" s="2270" t="s">
        <v>27964</v>
      </c>
    </row>
    <row r="4" spans="1:3" x14ac:dyDescent="0.45">
      <c r="A4" s="2270" t="s">
        <v>29626</v>
      </c>
      <c r="B4" s="2270" t="s">
        <v>29625</v>
      </c>
      <c r="C4" s="2270" t="s">
        <v>29627</v>
      </c>
    </row>
    <row r="5" spans="1:3" x14ac:dyDescent="0.45">
      <c r="A5" s="2270" t="s">
        <v>29624</v>
      </c>
      <c r="B5" s="2270" t="s">
        <v>29623</v>
      </c>
    </row>
    <row r="6" spans="1:3" x14ac:dyDescent="0.45">
      <c r="A6" s="2270" t="s">
        <v>29622</v>
      </c>
      <c r="B6" s="2270" t="s">
        <v>29621</v>
      </c>
    </row>
    <row r="7" spans="1:3" x14ac:dyDescent="0.45">
      <c r="A7" s="2270" t="s">
        <v>27964</v>
      </c>
      <c r="B7" s="2270" t="s">
        <v>29620</v>
      </c>
    </row>
    <row r="8" spans="1:3" x14ac:dyDescent="0.45">
      <c r="B8" s="2270" t="s">
        <v>29619</v>
      </c>
    </row>
  </sheetData>
  <sheetProtection algorithmName="SHA-512" hashValue="DgsCxXWgsZH97T1m51sdOjN2mu1wdNbffSfAzl9seGr7kwl8R8pB6pExLmF7vk68OkHAoO3CmYSYFEs5iXVj3g==" saltValue="EEG9iXH20XjKarxkDjPfDg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53C5E-9B0F-4AE7-8879-F9774F57CD37}">
  <sheetPr codeName="Sheet26">
    <tabColor theme="5" tint="0.39997558519241921"/>
    <pageSetUpPr autoPageBreaks="0" fitToPage="1"/>
  </sheetPr>
  <dimension ref="A1:Q114"/>
  <sheetViews>
    <sheetView showGridLines="0" workbookViewId="0"/>
  </sheetViews>
  <sheetFormatPr defaultColWidth="9" defaultRowHeight="14.25" x14ac:dyDescent="0.45"/>
  <cols>
    <col min="1" max="1" width="16.86328125" style="2269" customWidth="1"/>
    <col min="2" max="2" width="9" style="2269" customWidth="1"/>
    <col min="3" max="3" width="20" style="2269" customWidth="1"/>
    <col min="4" max="4" width="16.73046875" style="2269" customWidth="1"/>
    <col min="5" max="7" width="15" style="2269" customWidth="1"/>
    <col min="8" max="9" width="17.1328125" style="2269" customWidth="1"/>
    <col min="10" max="10" width="51.3984375" style="2269" customWidth="1"/>
    <col min="11" max="11" width="16.86328125" style="2270" customWidth="1"/>
    <col min="12" max="12" width="15" style="2270" customWidth="1"/>
    <col min="13" max="13" width="42.86328125" style="2270" customWidth="1"/>
    <col min="14" max="14" width="11" style="2269" customWidth="1"/>
    <col min="15" max="15" width="10.86328125" style="2269" hidden="1" customWidth="1"/>
    <col min="16" max="16" width="10.265625" style="2269" hidden="1" customWidth="1"/>
    <col min="17" max="17" width="0" style="2269" hidden="1" customWidth="1"/>
    <col min="18" max="16384" width="9" style="2269"/>
  </cols>
  <sheetData>
    <row r="1" spans="1:17" s="636" customFormat="1" ht="25.5" customHeight="1" x14ac:dyDescent="0.45">
      <c r="A1" s="636" t="s">
        <v>29796</v>
      </c>
      <c r="K1" s="2270"/>
      <c r="L1" s="2270"/>
      <c r="M1" s="2270"/>
    </row>
    <row r="2" spans="1:17" ht="18" customHeight="1" x14ac:dyDescent="0.45">
      <c r="A2" s="1385" t="str">
        <f>IF(PROVIDER="","Provider name",PROVIDER&amp;" ("&amp;UKPRN&amp;")")</f>
        <v>Provider name</v>
      </c>
    </row>
    <row r="3" spans="1:17" ht="14.25" customHeight="1" x14ac:dyDescent="0.45">
      <c r="A3" s="1501" t="s">
        <v>27713</v>
      </c>
    </row>
    <row r="4" spans="1:17" ht="45" customHeight="1" thickBot="1" x14ac:dyDescent="0.4">
      <c r="C4" s="2360"/>
      <c r="D4" s="2359"/>
      <c r="E4" s="2359"/>
      <c r="F4" s="2359"/>
      <c r="G4" s="2359"/>
      <c r="H4" s="2358" t="str">
        <f>'FTE Table 1 Valid'!E3</f>
        <v>Validation: OK</v>
      </c>
      <c r="I4" s="2358"/>
      <c r="J4" s="2358" t="str">
        <f>'FTE Table 1 Valid'!F3</f>
        <v>Validation: OK</v>
      </c>
      <c r="K4" s="2357"/>
      <c r="L4" s="2357"/>
      <c r="M4" s="2357"/>
    </row>
    <row r="5" spans="1:17" ht="48" customHeight="1" thickTop="1" x14ac:dyDescent="0.35">
      <c r="A5" s="2289"/>
      <c r="B5" s="2289"/>
      <c r="C5" s="2289"/>
      <c r="D5" s="3125" t="s">
        <v>29703</v>
      </c>
      <c r="E5" s="3126" t="s">
        <v>29401</v>
      </c>
      <c r="F5" s="3126" t="s">
        <v>29400</v>
      </c>
      <c r="G5" s="3127" t="s">
        <v>29670</v>
      </c>
      <c r="H5" s="3128" t="s">
        <v>29736</v>
      </c>
      <c r="I5" s="3126" t="s">
        <v>29671</v>
      </c>
      <c r="J5" s="3127" t="s">
        <v>29399</v>
      </c>
      <c r="K5" s="3212" t="s">
        <v>29398</v>
      </c>
      <c r="L5" s="3213" t="s">
        <v>29397</v>
      </c>
      <c r="M5" s="3214" t="s">
        <v>29396</v>
      </c>
      <c r="N5" s="2345"/>
    </row>
    <row r="6" spans="1:17" ht="30" customHeight="1" x14ac:dyDescent="0.35">
      <c r="D6" s="3129" t="s">
        <v>27681</v>
      </c>
      <c r="E6" s="3130" t="s">
        <v>27681</v>
      </c>
      <c r="F6" s="3130" t="s">
        <v>27681</v>
      </c>
      <c r="G6" s="3131" t="s">
        <v>27681</v>
      </c>
      <c r="H6" s="3132"/>
      <c r="I6" s="3130" t="s">
        <v>27681</v>
      </c>
      <c r="J6" s="3114"/>
      <c r="K6" s="2356"/>
      <c r="L6" s="2355"/>
      <c r="M6" s="3114"/>
      <c r="N6" s="2345"/>
    </row>
    <row r="7" spans="1:17" ht="97.5" customHeight="1" x14ac:dyDescent="0.35">
      <c r="A7" s="2354" t="s">
        <v>200</v>
      </c>
      <c r="B7" s="2353" t="s">
        <v>56</v>
      </c>
      <c r="C7" s="2352" t="s">
        <v>57</v>
      </c>
      <c r="D7" s="3133" t="str">
        <f>"Countable years in academic year 20"&amp;YEAR&amp;"-"&amp;RIGHT(YEAR+1,2)</f>
        <v>Countable years in academic year 2024-25</v>
      </c>
      <c r="E7" s="2347" t="s">
        <v>29682</v>
      </c>
      <c r="F7" s="2347" t="str">
        <f>"Aggregation level of multiplication factor used where different to last year"</f>
        <v>Aggregation level of multiplication factor used where different to last year</v>
      </c>
      <c r="G7" s="2346" t="s">
        <v>29672</v>
      </c>
      <c r="H7" s="2351" t="s">
        <v>29737</v>
      </c>
      <c r="I7" s="2350" t="s">
        <v>29752</v>
      </c>
      <c r="J7" s="2349" t="s">
        <v>29751</v>
      </c>
      <c r="K7" s="2348" t="s">
        <v>29395</v>
      </c>
      <c r="L7" s="2347" t="s">
        <v>29394</v>
      </c>
      <c r="M7" s="2346" t="s">
        <v>29393</v>
      </c>
      <c r="N7" s="2345"/>
      <c r="O7" s="2344" t="s">
        <v>63</v>
      </c>
      <c r="P7" s="2344" t="s">
        <v>315</v>
      </c>
      <c r="Q7" s="2344" t="s">
        <v>66</v>
      </c>
    </row>
    <row r="8" spans="1:17" ht="15" customHeight="1" x14ac:dyDescent="0.35">
      <c r="A8" s="2340" t="s">
        <v>203</v>
      </c>
      <c r="B8" s="2340" t="s">
        <v>204</v>
      </c>
      <c r="C8" s="2339" t="s">
        <v>205</v>
      </c>
      <c r="D8" s="3134">
        <f>'1_Full_time'!M12</f>
        <v>0</v>
      </c>
      <c r="E8" s="3135">
        <f>IF(D8=0,0,'Table 1 MF'!D2)</f>
        <v>0</v>
      </c>
      <c r="F8" s="3136" t="str">
        <f>IF(D8=0,"N/A",'Table 1 MF'!E2)</f>
        <v>N/A</v>
      </c>
      <c r="G8" s="3137">
        <f>D8*E8</f>
        <v>0</v>
      </c>
      <c r="H8" s="2338">
        <v>0</v>
      </c>
      <c r="I8" s="3138">
        <f>IF(H8&gt;0,D8*H8, 0)</f>
        <v>0</v>
      </c>
      <c r="J8" s="3139"/>
      <c r="K8" s="3192" t="s">
        <v>27964</v>
      </c>
      <c r="L8" s="3193" cm="1">
        <f t="array" ref="L8">_xlfn.IFS(K8="","",K8="Yes",H8,K8="No",E8,K8="Yes with different rate","Please enter value")</f>
        <v>0</v>
      </c>
      <c r="M8" s="3194"/>
      <c r="O8" s="2290" t="s">
        <v>203</v>
      </c>
      <c r="P8" s="2290" t="s">
        <v>27685</v>
      </c>
      <c r="Q8" s="2290" t="s">
        <v>27686</v>
      </c>
    </row>
    <row r="9" spans="1:17" s="2343" customFormat="1" ht="15" customHeight="1" x14ac:dyDescent="0.35">
      <c r="A9" s="2326" t="s">
        <v>203</v>
      </c>
      <c r="B9" s="2326" t="s">
        <v>204</v>
      </c>
      <c r="C9" s="2313" t="s">
        <v>208</v>
      </c>
      <c r="D9" s="3140">
        <f>'1_Full_time'!M13</f>
        <v>0</v>
      </c>
      <c r="E9" s="3141">
        <f>IF(D9=0,0,'Table 1 MF'!D3)</f>
        <v>0</v>
      </c>
      <c r="F9" s="3142" t="str">
        <f>IF(D9=0,"N/A",'Table 1 MF'!E3)</f>
        <v>N/A</v>
      </c>
      <c r="G9" s="3143">
        <f t="shared" ref="G9:G67" si="0">D9*E9</f>
        <v>0</v>
      </c>
      <c r="H9" s="2333">
        <v>0</v>
      </c>
      <c r="I9" s="3144">
        <f t="shared" ref="I9:I67" si="1">IF(H9&gt;0,D9*H9, 0)</f>
        <v>0</v>
      </c>
      <c r="J9" s="3145"/>
      <c r="K9" s="3195" t="s">
        <v>27964</v>
      </c>
      <c r="L9" s="3193" cm="1">
        <f t="array" ref="L9">_xlfn.IFS(K9="","",K9="Yes",H9,K9="No",E9,K9="Yes with different rate","Please enter value")</f>
        <v>0</v>
      </c>
      <c r="M9" s="3196"/>
      <c r="N9" s="3146"/>
      <c r="O9" s="2290" t="s">
        <v>203</v>
      </c>
      <c r="P9" s="2290" t="s">
        <v>27685</v>
      </c>
      <c r="Q9" s="2290" t="s">
        <v>27687</v>
      </c>
    </row>
    <row r="10" spans="1:17" ht="15" customHeight="1" x14ac:dyDescent="0.35">
      <c r="A10" s="2326" t="s">
        <v>203</v>
      </c>
      <c r="B10" s="2326" t="s">
        <v>204</v>
      </c>
      <c r="C10" s="2313" t="s">
        <v>210</v>
      </c>
      <c r="D10" s="3140">
        <f>'1_Full_time'!M14</f>
        <v>0</v>
      </c>
      <c r="E10" s="3141">
        <f>IF(D10=0,0,'Table 1 MF'!D4)</f>
        <v>0</v>
      </c>
      <c r="F10" s="3142" t="str">
        <f>IF(D10=0,"N/A",'Table 1 MF'!E4)</f>
        <v>N/A</v>
      </c>
      <c r="G10" s="3143">
        <f t="shared" si="0"/>
        <v>0</v>
      </c>
      <c r="H10" s="2333">
        <v>0</v>
      </c>
      <c r="I10" s="3144">
        <f t="shared" si="1"/>
        <v>0</v>
      </c>
      <c r="J10" s="3147"/>
      <c r="K10" s="3195" t="s">
        <v>27964</v>
      </c>
      <c r="L10" s="3193" cm="1">
        <f t="array" ref="L10">_xlfn.IFS(K10="","",K10="Yes",H10,K10="No",E10,K10="Yes with different rate","Please enter value")</f>
        <v>0</v>
      </c>
      <c r="M10" s="3196"/>
      <c r="N10" s="3148"/>
      <c r="O10" s="2290" t="s">
        <v>203</v>
      </c>
      <c r="P10" s="2290" t="s">
        <v>27685</v>
      </c>
      <c r="Q10" s="2290" t="s">
        <v>27688</v>
      </c>
    </row>
    <row r="11" spans="1:17" ht="15" customHeight="1" x14ac:dyDescent="0.35">
      <c r="A11" s="2326" t="s">
        <v>203</v>
      </c>
      <c r="B11" s="2326" t="s">
        <v>204</v>
      </c>
      <c r="C11" s="2313" t="s">
        <v>212</v>
      </c>
      <c r="D11" s="3149">
        <f>'1_Full_time'!M15</f>
        <v>0</v>
      </c>
      <c r="E11" s="3150">
        <f>IF(D11=0,0,'Table 1 MF'!D5)</f>
        <v>0</v>
      </c>
      <c r="F11" s="3151" t="str">
        <f>IF(D11=0,"N/A",'Table 1 MF'!E5)</f>
        <v>N/A</v>
      </c>
      <c r="G11" s="3152">
        <f t="shared" si="0"/>
        <v>0</v>
      </c>
      <c r="H11" s="2333">
        <v>0</v>
      </c>
      <c r="I11" s="3144">
        <f t="shared" si="1"/>
        <v>0</v>
      </c>
      <c r="J11" s="3145"/>
      <c r="K11" s="3195" t="s">
        <v>27964</v>
      </c>
      <c r="L11" s="3193" cm="1">
        <f t="array" ref="L11">_xlfn.IFS(K11="","",K11="Yes",H11,K11="No",E11,K11="Yes with different rate","Please enter value")</f>
        <v>0</v>
      </c>
      <c r="M11" s="3196"/>
      <c r="N11" s="2273"/>
      <c r="O11" s="2290" t="s">
        <v>203</v>
      </c>
      <c r="P11" s="2290" t="s">
        <v>27685</v>
      </c>
      <c r="Q11" s="2290" t="s">
        <v>27689</v>
      </c>
    </row>
    <row r="12" spans="1:17" ht="15" customHeight="1" x14ac:dyDescent="0.35">
      <c r="A12" s="2326" t="s">
        <v>203</v>
      </c>
      <c r="B12" s="2337" t="s">
        <v>204</v>
      </c>
      <c r="C12" s="2336" t="s">
        <v>214</v>
      </c>
      <c r="D12" s="3153">
        <f>'1_Full_time'!M16</f>
        <v>0</v>
      </c>
      <c r="E12" s="3154">
        <f>IF(D12=0,0,'Table 1 MF'!D6)</f>
        <v>0</v>
      </c>
      <c r="F12" s="3155" t="str">
        <f>IF(D12=0,"N/A",'Table 1 MF'!E6)</f>
        <v>N/A</v>
      </c>
      <c r="G12" s="3156">
        <f t="shared" si="0"/>
        <v>0</v>
      </c>
      <c r="H12" s="2335">
        <v>0</v>
      </c>
      <c r="I12" s="3157">
        <f t="shared" si="1"/>
        <v>0</v>
      </c>
      <c r="J12" s="3158"/>
      <c r="K12" s="3197" t="s">
        <v>27964</v>
      </c>
      <c r="L12" s="3198" cm="1">
        <f t="array" ref="L12">_xlfn.IFS(K12="","",K12="Yes",H12,K12="No",E12,K12="Yes with different rate","Please enter value")</f>
        <v>0</v>
      </c>
      <c r="M12" s="3199"/>
      <c r="N12" s="2273"/>
      <c r="O12" s="2290" t="s">
        <v>203</v>
      </c>
      <c r="P12" s="2290" t="s">
        <v>27685</v>
      </c>
      <c r="Q12" s="2290" t="s">
        <v>27690</v>
      </c>
    </row>
    <row r="13" spans="1:17" ht="15" customHeight="1" x14ac:dyDescent="0.35">
      <c r="A13" s="2326" t="s">
        <v>203</v>
      </c>
      <c r="B13" s="2313" t="s">
        <v>218</v>
      </c>
      <c r="C13" s="2313" t="s">
        <v>205</v>
      </c>
      <c r="D13" s="3159">
        <f>'1_Full_time'!M18</f>
        <v>0</v>
      </c>
      <c r="E13" s="3160">
        <f>IF(D13=0,0,'Table 1 MF'!D7)</f>
        <v>0</v>
      </c>
      <c r="F13" s="3161" t="str">
        <f>IF(D13=0,"N/A",'Table 1 MF'!E7)</f>
        <v>N/A</v>
      </c>
      <c r="G13" s="3162">
        <f t="shared" si="0"/>
        <v>0</v>
      </c>
      <c r="H13" s="2334">
        <v>0</v>
      </c>
      <c r="I13" s="3163">
        <f t="shared" si="1"/>
        <v>0</v>
      </c>
      <c r="J13" s="3164"/>
      <c r="K13" s="3200" t="s">
        <v>27964</v>
      </c>
      <c r="L13" s="3201" cm="1">
        <f t="array" ref="L13">_xlfn.IFS(K13="","",K13="Yes",H13,K13="No",E13,K13="Yes with different rate","Please enter value")</f>
        <v>0</v>
      </c>
      <c r="M13" s="3202"/>
      <c r="N13" s="2273"/>
      <c r="O13" s="2290" t="s">
        <v>203</v>
      </c>
      <c r="P13" s="2290" t="s">
        <v>27691</v>
      </c>
      <c r="Q13" s="2290" t="s">
        <v>27686</v>
      </c>
    </row>
    <row r="14" spans="1:17" ht="15" customHeight="1" x14ac:dyDescent="0.35">
      <c r="A14" s="2326" t="s">
        <v>203</v>
      </c>
      <c r="B14" s="2314" t="s">
        <v>218</v>
      </c>
      <c r="C14" s="2313" t="s">
        <v>208</v>
      </c>
      <c r="D14" s="3165">
        <f>'1_Full_time'!M19</f>
        <v>0</v>
      </c>
      <c r="E14" s="3166">
        <f>IF(D14=0,0,'Table 1 MF'!D8)</f>
        <v>0</v>
      </c>
      <c r="F14" s="3167" t="str">
        <f>IF(D14=0,"N/A",'Table 1 MF'!E8)</f>
        <v>N/A</v>
      </c>
      <c r="G14" s="3168">
        <f t="shared" si="0"/>
        <v>0</v>
      </c>
      <c r="H14" s="2333">
        <v>0</v>
      </c>
      <c r="I14" s="3144">
        <f t="shared" si="1"/>
        <v>0</v>
      </c>
      <c r="J14" s="3145"/>
      <c r="K14" s="3200" t="s">
        <v>27964</v>
      </c>
      <c r="L14" s="3201" cm="1">
        <f t="array" ref="L14">_xlfn.IFS(K14="","",K14="Yes",H14,K14="No",E14,K14="Yes with different rate","Please enter value")</f>
        <v>0</v>
      </c>
      <c r="M14" s="3202"/>
      <c r="N14" s="2273"/>
      <c r="O14" s="2290" t="s">
        <v>203</v>
      </c>
      <c r="P14" s="2290" t="s">
        <v>27691</v>
      </c>
      <c r="Q14" s="2290" t="s">
        <v>27687</v>
      </c>
    </row>
    <row r="15" spans="1:17" ht="15" customHeight="1" x14ac:dyDescent="0.35">
      <c r="A15" s="2326" t="s">
        <v>203</v>
      </c>
      <c r="B15" s="2314" t="s">
        <v>218</v>
      </c>
      <c r="C15" s="2313" t="s">
        <v>210</v>
      </c>
      <c r="D15" s="3165">
        <f>'1_Full_time'!M20</f>
        <v>0</v>
      </c>
      <c r="E15" s="3166">
        <f>IF(D15=0,0,'Table 1 MF'!D9)</f>
        <v>0</v>
      </c>
      <c r="F15" s="3167" t="str">
        <f>IF(D15=0,"N/A",'Table 1 MF'!E9)</f>
        <v>N/A</v>
      </c>
      <c r="G15" s="3168">
        <f t="shared" si="0"/>
        <v>0</v>
      </c>
      <c r="H15" s="2333">
        <v>0</v>
      </c>
      <c r="I15" s="3144">
        <f t="shared" si="1"/>
        <v>0</v>
      </c>
      <c r="J15" s="3145"/>
      <c r="K15" s="3192" t="s">
        <v>27964</v>
      </c>
      <c r="L15" s="3203" cm="1">
        <f t="array" ref="L15">_xlfn.IFS(K15="","",K15="Yes",H15,K15="No",E15,K15="Yes with different rate","Please enter value")</f>
        <v>0</v>
      </c>
      <c r="M15" s="3204"/>
      <c r="N15" s="2273"/>
      <c r="O15" s="2290" t="s">
        <v>203</v>
      </c>
      <c r="P15" s="2290" t="s">
        <v>27691</v>
      </c>
      <c r="Q15" s="2290" t="s">
        <v>27688</v>
      </c>
    </row>
    <row r="16" spans="1:17" ht="15" customHeight="1" x14ac:dyDescent="0.35">
      <c r="A16" s="2326" t="s">
        <v>203</v>
      </c>
      <c r="B16" s="2314" t="s">
        <v>218</v>
      </c>
      <c r="C16" s="2313" t="s">
        <v>212</v>
      </c>
      <c r="D16" s="3149">
        <f>'1_Full_time'!M21</f>
        <v>0</v>
      </c>
      <c r="E16" s="3150">
        <f>IF(D16=0,0,'Table 1 MF'!D10)</f>
        <v>0</v>
      </c>
      <c r="F16" s="3151" t="str">
        <f>IF(D16=0,"N/A",'Table 1 MF'!E10)</f>
        <v>N/A</v>
      </c>
      <c r="G16" s="3152">
        <f t="shared" si="0"/>
        <v>0</v>
      </c>
      <c r="H16" s="2333">
        <v>0</v>
      </c>
      <c r="I16" s="3144">
        <f t="shared" si="1"/>
        <v>0</v>
      </c>
      <c r="J16" s="3145"/>
      <c r="K16" s="3195" t="s">
        <v>27964</v>
      </c>
      <c r="L16" s="3193" cm="1">
        <f t="array" ref="L16">_xlfn.IFS(K16="","",K16="Yes",H16,K16="No",E16,K16="Yes with different rate","Please enter value")</f>
        <v>0</v>
      </c>
      <c r="M16" s="3196"/>
      <c r="N16" s="2273"/>
      <c r="O16" s="2290" t="s">
        <v>203</v>
      </c>
      <c r="P16" s="2290" t="s">
        <v>27691</v>
      </c>
      <c r="Q16" s="2290" t="s">
        <v>27689</v>
      </c>
    </row>
    <row r="17" spans="1:17" ht="15" customHeight="1" x14ac:dyDescent="0.35">
      <c r="A17" s="2326" t="s">
        <v>203</v>
      </c>
      <c r="B17" s="2314" t="s">
        <v>218</v>
      </c>
      <c r="C17" s="2313" t="s">
        <v>214</v>
      </c>
      <c r="D17" s="3149">
        <f>'1_Full_time'!M22</f>
        <v>0</v>
      </c>
      <c r="E17" s="3150">
        <f>IF(D17=0,0,'Table 1 MF'!D11)</f>
        <v>0</v>
      </c>
      <c r="F17" s="3151" t="str">
        <f>IF(D17=0,"N/A",'Table 1 MF'!E11)</f>
        <v>N/A</v>
      </c>
      <c r="G17" s="3152">
        <f t="shared" si="0"/>
        <v>0</v>
      </c>
      <c r="H17" s="2341">
        <v>0</v>
      </c>
      <c r="I17" s="3169">
        <f t="shared" si="1"/>
        <v>0</v>
      </c>
      <c r="J17" s="3170"/>
      <c r="K17" s="3205" t="s">
        <v>27964</v>
      </c>
      <c r="L17" s="3206" cm="1">
        <f t="array" ref="L17">_xlfn.IFS(K17="","",K17="Yes",H17,K17="No",E17,K17="Yes with different rate","Please enter value")</f>
        <v>0</v>
      </c>
      <c r="M17" s="3207"/>
      <c r="N17" s="2273"/>
      <c r="O17" s="2290" t="s">
        <v>203</v>
      </c>
      <c r="P17" s="2290" t="s">
        <v>27691</v>
      </c>
      <c r="Q17" s="2290" t="s">
        <v>27690</v>
      </c>
    </row>
    <row r="18" spans="1:17" ht="15" customHeight="1" x14ac:dyDescent="0.35">
      <c r="A18" s="2340" t="s">
        <v>225</v>
      </c>
      <c r="B18" s="2340" t="s">
        <v>204</v>
      </c>
      <c r="C18" s="2339" t="s">
        <v>205</v>
      </c>
      <c r="D18" s="3134">
        <f>'1_Full_time'!M24</f>
        <v>0</v>
      </c>
      <c r="E18" s="3135">
        <f>IF(D18=0,0,'Table 1 MF'!D12)</f>
        <v>0</v>
      </c>
      <c r="F18" s="3136" t="str">
        <f>IF(D18=0,"N/A",'Table 1 MF'!E12)</f>
        <v>N/A</v>
      </c>
      <c r="G18" s="3137">
        <f t="shared" si="0"/>
        <v>0</v>
      </c>
      <c r="H18" s="2338">
        <v>0</v>
      </c>
      <c r="I18" s="3138">
        <f t="shared" si="1"/>
        <v>0</v>
      </c>
      <c r="J18" s="3139"/>
      <c r="K18" s="3192" t="s">
        <v>27964</v>
      </c>
      <c r="L18" s="3208" cm="1">
        <f t="array" ref="L18">_xlfn.IFS(K18="","",K18="Yes",H18,K18="No",E18,K18="Yes with different rate","Please enter value")</f>
        <v>0</v>
      </c>
      <c r="M18" s="3194"/>
      <c r="N18" s="2273"/>
      <c r="O18" s="2290" t="s">
        <v>225</v>
      </c>
      <c r="P18" s="2290" t="s">
        <v>27685</v>
      </c>
      <c r="Q18" s="2290" t="s">
        <v>27686</v>
      </c>
    </row>
    <row r="19" spans="1:17" ht="15" customHeight="1" x14ac:dyDescent="0.35">
      <c r="A19" s="2326" t="s">
        <v>225</v>
      </c>
      <c r="B19" s="2326" t="s">
        <v>204</v>
      </c>
      <c r="C19" s="2313" t="s">
        <v>208</v>
      </c>
      <c r="D19" s="3159">
        <f>'1_Full_time'!M25</f>
        <v>0</v>
      </c>
      <c r="E19" s="3160">
        <f>IF(D19=0,0,'Table 1 MF'!D13)</f>
        <v>0</v>
      </c>
      <c r="F19" s="3161" t="str">
        <f>IF(D19=0,"N/A",'Table 1 MF'!E13)</f>
        <v>N/A</v>
      </c>
      <c r="G19" s="3162">
        <f t="shared" si="0"/>
        <v>0</v>
      </c>
      <c r="H19" s="2333">
        <v>0</v>
      </c>
      <c r="I19" s="3144">
        <f t="shared" si="1"/>
        <v>0</v>
      </c>
      <c r="J19" s="3145"/>
      <c r="K19" s="3195" t="s">
        <v>27964</v>
      </c>
      <c r="L19" s="3193" cm="1">
        <f t="array" ref="L19">_xlfn.IFS(K19="","",K19="Yes",H19,K19="No",E19,K19="Yes with different rate","Please enter value")</f>
        <v>0</v>
      </c>
      <c r="M19" s="3196"/>
      <c r="N19" s="2273"/>
      <c r="O19" s="2290" t="s">
        <v>225</v>
      </c>
      <c r="P19" s="2290" t="s">
        <v>27685</v>
      </c>
      <c r="Q19" s="2290" t="s">
        <v>27687</v>
      </c>
    </row>
    <row r="20" spans="1:17" ht="15" customHeight="1" x14ac:dyDescent="0.35">
      <c r="A20" s="2326" t="s">
        <v>225</v>
      </c>
      <c r="B20" s="2326" t="s">
        <v>204</v>
      </c>
      <c r="C20" s="2313" t="s">
        <v>210</v>
      </c>
      <c r="D20" s="3171">
        <f>'1_Full_time'!M26</f>
        <v>0</v>
      </c>
      <c r="E20" s="3172">
        <f>IF(D20=0,0,'Table 1 MF'!D14)</f>
        <v>0</v>
      </c>
      <c r="F20" s="3173" t="str">
        <f>IF(D20=0,"N/A",'Table 1 MF'!E14)</f>
        <v>N/A</v>
      </c>
      <c r="G20" s="3174">
        <f t="shared" si="0"/>
        <v>0</v>
      </c>
      <c r="H20" s="2333">
        <v>0</v>
      </c>
      <c r="I20" s="3144">
        <f t="shared" si="1"/>
        <v>0</v>
      </c>
      <c r="J20" s="3145"/>
      <c r="K20" s="3195" t="s">
        <v>27964</v>
      </c>
      <c r="L20" s="3193" cm="1">
        <f t="array" ref="L20">_xlfn.IFS(K20="","",K20="Yes",H20,K20="No",E20,K20="Yes with different rate","Please enter value")</f>
        <v>0</v>
      </c>
      <c r="M20" s="3196"/>
      <c r="N20" s="2273"/>
      <c r="O20" s="2290" t="s">
        <v>225</v>
      </c>
      <c r="P20" s="2290" t="s">
        <v>27685</v>
      </c>
      <c r="Q20" s="2290" t="s">
        <v>27688</v>
      </c>
    </row>
    <row r="21" spans="1:17" ht="15" customHeight="1" x14ac:dyDescent="0.35">
      <c r="A21" s="2326" t="s">
        <v>225</v>
      </c>
      <c r="B21" s="2326" t="s">
        <v>204</v>
      </c>
      <c r="C21" s="2313" t="s">
        <v>212</v>
      </c>
      <c r="D21" s="3149">
        <f>'1_Full_time'!M27</f>
        <v>0</v>
      </c>
      <c r="E21" s="3150">
        <f>IF(D21=0,0,'Table 1 MF'!D15)</f>
        <v>0</v>
      </c>
      <c r="F21" s="3151" t="str">
        <f>IF(D21=0,"N/A",'Table 1 MF'!E15)</f>
        <v>N/A</v>
      </c>
      <c r="G21" s="3152">
        <f t="shared" si="0"/>
        <v>0</v>
      </c>
      <c r="H21" s="2333">
        <v>0</v>
      </c>
      <c r="I21" s="3144">
        <f t="shared" si="1"/>
        <v>0</v>
      </c>
      <c r="J21" s="3145"/>
      <c r="K21" s="3195" t="s">
        <v>27964</v>
      </c>
      <c r="L21" s="3193" cm="1">
        <f t="array" ref="L21">_xlfn.IFS(K21="","",K21="Yes",H21,K21="No",E21,K21="Yes with different rate","Please enter value")</f>
        <v>0</v>
      </c>
      <c r="M21" s="3196"/>
      <c r="N21" s="2273"/>
      <c r="O21" s="2290" t="s">
        <v>225</v>
      </c>
      <c r="P21" s="2290" t="s">
        <v>27685</v>
      </c>
      <c r="Q21" s="2290" t="s">
        <v>27689</v>
      </c>
    </row>
    <row r="22" spans="1:17" ht="15" customHeight="1" x14ac:dyDescent="0.35">
      <c r="A22" s="2326" t="s">
        <v>225</v>
      </c>
      <c r="B22" s="2337" t="s">
        <v>204</v>
      </c>
      <c r="C22" s="2336" t="s">
        <v>214</v>
      </c>
      <c r="D22" s="3153">
        <f>'1_Full_time'!M28</f>
        <v>0</v>
      </c>
      <c r="E22" s="3175">
        <f>IF(D22=0,0,'Table 1 MF'!D16)</f>
        <v>0</v>
      </c>
      <c r="F22" s="3176" t="str">
        <f>IF(D22=0,"N/A",'Table 1 MF'!E16)</f>
        <v>N/A</v>
      </c>
      <c r="G22" s="3156">
        <f t="shared" si="0"/>
        <v>0</v>
      </c>
      <c r="H22" s="2335">
        <v>0</v>
      </c>
      <c r="I22" s="3157">
        <f t="shared" si="1"/>
        <v>0</v>
      </c>
      <c r="J22" s="3158"/>
      <c r="K22" s="3197" t="s">
        <v>27964</v>
      </c>
      <c r="L22" s="3198" cm="1">
        <f t="array" ref="L22">_xlfn.IFS(K22="","",K22="Yes",H22,K22="No",E22,K22="Yes with different rate","Please enter value")</f>
        <v>0</v>
      </c>
      <c r="M22" s="3199"/>
      <c r="N22" s="2273"/>
      <c r="O22" s="2290" t="s">
        <v>225</v>
      </c>
      <c r="P22" s="2290" t="s">
        <v>27685</v>
      </c>
      <c r="Q22" s="2290" t="s">
        <v>27690</v>
      </c>
    </row>
    <row r="23" spans="1:17" ht="15" customHeight="1" x14ac:dyDescent="0.35">
      <c r="A23" s="2326" t="s">
        <v>225</v>
      </c>
      <c r="B23" s="2313" t="s">
        <v>218</v>
      </c>
      <c r="C23" s="2313" t="s">
        <v>205</v>
      </c>
      <c r="D23" s="3159">
        <f>'1_Full_time'!M30</f>
        <v>0</v>
      </c>
      <c r="E23" s="3160">
        <f>IF(D23=0,0,'Table 1 MF'!D17)</f>
        <v>0</v>
      </c>
      <c r="F23" s="3161" t="str">
        <f>IF(D23=0,"N/A",'Table 1 MF'!E17)</f>
        <v>N/A</v>
      </c>
      <c r="G23" s="3162">
        <f t="shared" si="0"/>
        <v>0</v>
      </c>
      <c r="H23" s="2334">
        <v>0</v>
      </c>
      <c r="I23" s="3163">
        <f t="shared" si="1"/>
        <v>0</v>
      </c>
      <c r="J23" s="3164"/>
      <c r="K23" s="3200" t="s">
        <v>27964</v>
      </c>
      <c r="L23" s="3201" cm="1">
        <f t="array" ref="L23">_xlfn.IFS(K23="","",K23="Yes",H23,K23="No",E23,K23="Yes with different rate","Please enter value")</f>
        <v>0</v>
      </c>
      <c r="M23" s="3202"/>
      <c r="N23" s="2273"/>
      <c r="O23" s="2290" t="s">
        <v>225</v>
      </c>
      <c r="P23" s="2290" t="s">
        <v>27691</v>
      </c>
      <c r="Q23" s="2290" t="s">
        <v>27686</v>
      </c>
    </row>
    <row r="24" spans="1:17" ht="15" customHeight="1" x14ac:dyDescent="0.35">
      <c r="A24" s="2326" t="s">
        <v>225</v>
      </c>
      <c r="B24" s="2314" t="s">
        <v>218</v>
      </c>
      <c r="C24" s="2313" t="s">
        <v>208</v>
      </c>
      <c r="D24" s="3159">
        <f>'1_Full_time'!M31</f>
        <v>0</v>
      </c>
      <c r="E24" s="3160">
        <f>IF(D24=0,0,'Table 1 MF'!D18)</f>
        <v>0</v>
      </c>
      <c r="F24" s="3161" t="str">
        <f>IF(D24=0,"N/A",'Table 1 MF'!E18)</f>
        <v>N/A</v>
      </c>
      <c r="G24" s="3162">
        <f t="shared" si="0"/>
        <v>0</v>
      </c>
      <c r="H24" s="2333">
        <v>0</v>
      </c>
      <c r="I24" s="3144">
        <f t="shared" si="1"/>
        <v>0</v>
      </c>
      <c r="J24" s="3145"/>
      <c r="K24" s="3200" t="s">
        <v>27964</v>
      </c>
      <c r="L24" s="3201" cm="1">
        <f t="array" ref="L24">_xlfn.IFS(K24="","",K24="Yes",H24,K24="No",E24,K24="Yes with different rate","Please enter value")</f>
        <v>0</v>
      </c>
      <c r="M24" s="3202"/>
      <c r="N24" s="2273"/>
      <c r="O24" s="2290" t="s">
        <v>225</v>
      </c>
      <c r="P24" s="2290" t="s">
        <v>27691</v>
      </c>
      <c r="Q24" s="2290" t="s">
        <v>27687</v>
      </c>
    </row>
    <row r="25" spans="1:17" ht="15" customHeight="1" x14ac:dyDescent="0.35">
      <c r="A25" s="2326" t="s">
        <v>225</v>
      </c>
      <c r="B25" s="2314" t="s">
        <v>218</v>
      </c>
      <c r="C25" s="2313" t="s">
        <v>210</v>
      </c>
      <c r="D25" s="3171">
        <f>'1_Full_time'!M32</f>
        <v>0</v>
      </c>
      <c r="E25" s="3172">
        <f>IF(D25=0,0,'Table 1 MF'!D19)</f>
        <v>0</v>
      </c>
      <c r="F25" s="3173" t="str">
        <f>IF(D25=0,"N/A",'Table 1 MF'!E19)</f>
        <v>N/A</v>
      </c>
      <c r="G25" s="3174">
        <f t="shared" si="0"/>
        <v>0</v>
      </c>
      <c r="H25" s="2333">
        <v>0</v>
      </c>
      <c r="I25" s="3144">
        <f t="shared" si="1"/>
        <v>0</v>
      </c>
      <c r="J25" s="3145"/>
      <c r="K25" s="3192" t="s">
        <v>27964</v>
      </c>
      <c r="L25" s="3203" cm="1">
        <f t="array" ref="L25">_xlfn.IFS(K25="","",K25="Yes",H25,K25="No",E25,K25="Yes with different rate","Please enter value")</f>
        <v>0</v>
      </c>
      <c r="M25" s="3204"/>
      <c r="N25" s="2273"/>
      <c r="O25" s="2290" t="s">
        <v>225</v>
      </c>
      <c r="P25" s="2290" t="s">
        <v>27691</v>
      </c>
      <c r="Q25" s="2290" t="s">
        <v>27688</v>
      </c>
    </row>
    <row r="26" spans="1:17" ht="15" customHeight="1" x14ac:dyDescent="0.35">
      <c r="A26" s="2326" t="s">
        <v>225</v>
      </c>
      <c r="B26" s="2314" t="s">
        <v>218</v>
      </c>
      <c r="C26" s="2313" t="s">
        <v>212</v>
      </c>
      <c r="D26" s="3149">
        <f>'1_Full_time'!M33</f>
        <v>0</v>
      </c>
      <c r="E26" s="3150">
        <f>IF(D26=0,0,'Table 1 MF'!D20)</f>
        <v>0</v>
      </c>
      <c r="F26" s="3151" t="str">
        <f>IF(D26=0,"N/A",'Table 1 MF'!E20)</f>
        <v>N/A</v>
      </c>
      <c r="G26" s="3152">
        <f t="shared" si="0"/>
        <v>0</v>
      </c>
      <c r="H26" s="2333">
        <v>0</v>
      </c>
      <c r="I26" s="3144">
        <f t="shared" si="1"/>
        <v>0</v>
      </c>
      <c r="J26" s="3145"/>
      <c r="K26" s="3195" t="s">
        <v>27964</v>
      </c>
      <c r="L26" s="3193" cm="1">
        <f t="array" ref="L26">_xlfn.IFS(K26="","",K26="Yes",H26,K26="No",E26,K26="Yes with different rate","Please enter value")</f>
        <v>0</v>
      </c>
      <c r="M26" s="3196"/>
      <c r="N26" s="2273"/>
      <c r="O26" s="2290" t="s">
        <v>225</v>
      </c>
      <c r="P26" s="2290" t="s">
        <v>27691</v>
      </c>
      <c r="Q26" s="2290" t="s">
        <v>27689</v>
      </c>
    </row>
    <row r="27" spans="1:17" ht="15" customHeight="1" x14ac:dyDescent="0.35">
      <c r="A27" s="2326" t="s">
        <v>225</v>
      </c>
      <c r="B27" s="2314" t="s">
        <v>218</v>
      </c>
      <c r="C27" s="2313" t="s">
        <v>214</v>
      </c>
      <c r="D27" s="3149">
        <f>'1_Full_time'!M34</f>
        <v>0</v>
      </c>
      <c r="E27" s="3150">
        <f>IF(D27=0,0,'Table 1 MF'!D21)</f>
        <v>0</v>
      </c>
      <c r="F27" s="3151" t="str">
        <f>IF(D27=0,"N/A",'Table 1 MF'!E21)</f>
        <v>N/A</v>
      </c>
      <c r="G27" s="3152">
        <f t="shared" si="0"/>
        <v>0</v>
      </c>
      <c r="H27" s="2341">
        <v>0</v>
      </c>
      <c r="I27" s="3169">
        <f t="shared" si="1"/>
        <v>0</v>
      </c>
      <c r="J27" s="3170"/>
      <c r="K27" s="3205" t="s">
        <v>27964</v>
      </c>
      <c r="L27" s="3206" cm="1">
        <f t="array" ref="L27">_xlfn.IFS(K27="","",K27="Yes",H27,K27="No",E27,K27="Yes with different rate","Please enter value")</f>
        <v>0</v>
      </c>
      <c r="M27" s="3207"/>
      <c r="N27" s="2273"/>
      <c r="O27" s="2290" t="s">
        <v>225</v>
      </c>
      <c r="P27" s="2290" t="s">
        <v>27691</v>
      </c>
      <c r="Q27" s="2290" t="s">
        <v>27690</v>
      </c>
    </row>
    <row r="28" spans="1:17" ht="15" customHeight="1" x14ac:dyDescent="0.35">
      <c r="A28" s="2339" t="s">
        <v>238</v>
      </c>
      <c r="B28" s="2340" t="s">
        <v>204</v>
      </c>
      <c r="C28" s="2339" t="s">
        <v>205</v>
      </c>
      <c r="D28" s="3134">
        <f>'1_Full_time'!M36</f>
        <v>0</v>
      </c>
      <c r="E28" s="3135">
        <f>IF(D28=0,0,'Table 1 MF'!D22)</f>
        <v>0</v>
      </c>
      <c r="F28" s="3136" t="str">
        <f>IF(D28=0,"N/A",'Table 1 MF'!E22)</f>
        <v>N/A</v>
      </c>
      <c r="G28" s="3137">
        <f t="shared" si="0"/>
        <v>0</v>
      </c>
      <c r="H28" s="2338">
        <v>0</v>
      </c>
      <c r="I28" s="3138">
        <f t="shared" si="1"/>
        <v>0</v>
      </c>
      <c r="J28" s="3139"/>
      <c r="K28" s="3192" t="s">
        <v>27964</v>
      </c>
      <c r="L28" s="3208" cm="1">
        <f t="array" ref="L28">_xlfn.IFS(K28="","",K28="Yes",H28,K28="No",E28,K28="Yes with different rate","Please enter value")</f>
        <v>0</v>
      </c>
      <c r="M28" s="3194"/>
      <c r="N28" s="2273"/>
      <c r="O28" s="2331" t="s">
        <v>27692</v>
      </c>
      <c r="P28" s="2290" t="s">
        <v>27685</v>
      </c>
      <c r="Q28" s="2290" t="s">
        <v>27686</v>
      </c>
    </row>
    <row r="29" spans="1:17" ht="15" customHeight="1" x14ac:dyDescent="0.35">
      <c r="A29" s="2314" t="s">
        <v>238</v>
      </c>
      <c r="B29" s="2326" t="s">
        <v>204</v>
      </c>
      <c r="C29" s="2313" t="s">
        <v>208</v>
      </c>
      <c r="D29" s="3159">
        <f>'1_Full_time'!M37</f>
        <v>0</v>
      </c>
      <c r="E29" s="3160">
        <f>IF(D29=0,0,'Table 1 MF'!D23)</f>
        <v>0</v>
      </c>
      <c r="F29" s="3161" t="str">
        <f>IF(D29=0,"N/A",'Table 1 MF'!E23)</f>
        <v>N/A</v>
      </c>
      <c r="G29" s="3162">
        <f t="shared" si="0"/>
        <v>0</v>
      </c>
      <c r="H29" s="2333">
        <v>0</v>
      </c>
      <c r="I29" s="3144">
        <f t="shared" si="1"/>
        <v>0</v>
      </c>
      <c r="J29" s="3145"/>
      <c r="K29" s="3195" t="s">
        <v>27964</v>
      </c>
      <c r="L29" s="3193" cm="1">
        <f t="array" ref="L29">_xlfn.IFS(K29="","",K29="Yes",H29,K29="No",E29,K29="Yes with different rate","Please enter value")</f>
        <v>0</v>
      </c>
      <c r="M29" s="3196"/>
      <c r="N29" s="2273"/>
      <c r="O29" s="2331" t="s">
        <v>27692</v>
      </c>
      <c r="P29" s="2290" t="s">
        <v>27685</v>
      </c>
      <c r="Q29" s="2290" t="s">
        <v>27687</v>
      </c>
    </row>
    <row r="30" spans="1:17" ht="15" customHeight="1" x14ac:dyDescent="0.35">
      <c r="A30" s="2314" t="s">
        <v>238</v>
      </c>
      <c r="B30" s="2326" t="s">
        <v>204</v>
      </c>
      <c r="C30" s="2313" t="s">
        <v>210</v>
      </c>
      <c r="D30" s="3171">
        <f>'1_Full_time'!M38</f>
        <v>0</v>
      </c>
      <c r="E30" s="3172">
        <f>IF(D30=0,0,'Table 1 MF'!D24)</f>
        <v>0</v>
      </c>
      <c r="F30" s="3173" t="str">
        <f>IF(D30=0,"N/A",'Table 1 MF'!E24)</f>
        <v>N/A</v>
      </c>
      <c r="G30" s="3174">
        <f t="shared" si="0"/>
        <v>0</v>
      </c>
      <c r="H30" s="2333">
        <v>0</v>
      </c>
      <c r="I30" s="3144">
        <f t="shared" si="1"/>
        <v>0</v>
      </c>
      <c r="J30" s="3145"/>
      <c r="K30" s="3195" t="s">
        <v>27964</v>
      </c>
      <c r="L30" s="3193" cm="1">
        <f t="array" ref="L30">_xlfn.IFS(K30="","",K30="Yes",H30,K30="No",E30,K30="Yes with different rate","Please enter value")</f>
        <v>0</v>
      </c>
      <c r="M30" s="3196"/>
      <c r="N30" s="2273"/>
      <c r="O30" s="2331" t="s">
        <v>27692</v>
      </c>
      <c r="P30" s="2290" t="s">
        <v>27685</v>
      </c>
      <c r="Q30" s="2290" t="s">
        <v>27688</v>
      </c>
    </row>
    <row r="31" spans="1:17" ht="15" customHeight="1" x14ac:dyDescent="0.35">
      <c r="A31" s="2314" t="s">
        <v>238</v>
      </c>
      <c r="B31" s="2326" t="s">
        <v>204</v>
      </c>
      <c r="C31" s="2313" t="s">
        <v>212</v>
      </c>
      <c r="D31" s="3149">
        <f>'1_Full_time'!M39</f>
        <v>0</v>
      </c>
      <c r="E31" s="3150">
        <f>IF(D31=0,0,'Table 1 MF'!D25)</f>
        <v>0</v>
      </c>
      <c r="F31" s="3151" t="str">
        <f>IF(D31=0,"N/A",'Table 1 MF'!E25)</f>
        <v>N/A</v>
      </c>
      <c r="G31" s="3152">
        <f t="shared" si="0"/>
        <v>0</v>
      </c>
      <c r="H31" s="2333">
        <v>0</v>
      </c>
      <c r="I31" s="3144">
        <f t="shared" si="1"/>
        <v>0</v>
      </c>
      <c r="J31" s="3145"/>
      <c r="K31" s="3195" t="s">
        <v>27964</v>
      </c>
      <c r="L31" s="3193" cm="1">
        <f t="array" ref="L31">_xlfn.IFS(K31="","",K31="Yes",H31,K31="No",E31,K31="Yes with different rate","Please enter value")</f>
        <v>0</v>
      </c>
      <c r="M31" s="3196"/>
      <c r="N31" s="2273"/>
      <c r="O31" s="2331" t="s">
        <v>27692</v>
      </c>
      <c r="P31" s="2290" t="s">
        <v>27685</v>
      </c>
      <c r="Q31" s="2290" t="s">
        <v>27689</v>
      </c>
    </row>
    <row r="32" spans="1:17" ht="15" customHeight="1" x14ac:dyDescent="0.35">
      <c r="A32" s="2342" t="s">
        <v>238</v>
      </c>
      <c r="B32" s="2337" t="s">
        <v>204</v>
      </c>
      <c r="C32" s="2336" t="s">
        <v>214</v>
      </c>
      <c r="D32" s="3153">
        <f>'1_Full_time'!M40</f>
        <v>0</v>
      </c>
      <c r="E32" s="3154">
        <f>IF(D32=0,0,'Table 1 MF'!D26)</f>
        <v>0</v>
      </c>
      <c r="F32" s="3155" t="str">
        <f>IF(D32=0,"N/A",'Table 1 MF'!E26)</f>
        <v>N/A</v>
      </c>
      <c r="G32" s="3156">
        <f t="shared" si="0"/>
        <v>0</v>
      </c>
      <c r="H32" s="2335">
        <v>0</v>
      </c>
      <c r="I32" s="3157">
        <f t="shared" si="1"/>
        <v>0</v>
      </c>
      <c r="J32" s="3158"/>
      <c r="K32" s="3197" t="s">
        <v>27964</v>
      </c>
      <c r="L32" s="3198" cm="1">
        <f t="array" ref="L32">_xlfn.IFS(K32="","",K32="Yes",H32,K32="No",E32,K32="Yes with different rate","Please enter value")</f>
        <v>0</v>
      </c>
      <c r="M32" s="3199"/>
      <c r="N32" s="2273"/>
      <c r="O32" s="2331" t="s">
        <v>27692</v>
      </c>
      <c r="P32" s="2290" t="s">
        <v>27685</v>
      </c>
      <c r="Q32" s="2290" t="s">
        <v>27690</v>
      </c>
    </row>
    <row r="33" spans="1:17" ht="15" customHeight="1" x14ac:dyDescent="0.35">
      <c r="A33" s="2314" t="s">
        <v>238</v>
      </c>
      <c r="B33" s="2313" t="s">
        <v>218</v>
      </c>
      <c r="C33" s="2313" t="s">
        <v>205</v>
      </c>
      <c r="D33" s="3159">
        <f>'1_Full_time'!M42</f>
        <v>0</v>
      </c>
      <c r="E33" s="3160">
        <f>IF(D33=0,0,'Table 1 MF'!D27)</f>
        <v>0</v>
      </c>
      <c r="F33" s="3161" t="str">
        <f>IF(D33=0,"N/A",'Table 1 MF'!E27)</f>
        <v>N/A</v>
      </c>
      <c r="G33" s="3162">
        <f t="shared" si="0"/>
        <v>0</v>
      </c>
      <c r="H33" s="2334">
        <v>0</v>
      </c>
      <c r="I33" s="3163">
        <f t="shared" si="1"/>
        <v>0</v>
      </c>
      <c r="J33" s="3164"/>
      <c r="K33" s="3200" t="s">
        <v>27964</v>
      </c>
      <c r="L33" s="3201" cm="1">
        <f t="array" ref="L33">_xlfn.IFS(K33="","",K33="Yes",H33,K33="No",E33,K33="Yes with different rate","Please enter value")</f>
        <v>0</v>
      </c>
      <c r="M33" s="3202"/>
      <c r="N33" s="2273"/>
      <c r="O33" s="2331" t="s">
        <v>27692</v>
      </c>
      <c r="P33" s="2290" t="s">
        <v>27691</v>
      </c>
      <c r="Q33" s="2290" t="s">
        <v>27686</v>
      </c>
    </row>
    <row r="34" spans="1:17" ht="15" customHeight="1" x14ac:dyDescent="0.35">
      <c r="A34" s="2314" t="s">
        <v>238</v>
      </c>
      <c r="B34" s="2314" t="s">
        <v>218</v>
      </c>
      <c r="C34" s="2313" t="s">
        <v>208</v>
      </c>
      <c r="D34" s="3159">
        <f>'1_Full_time'!M43</f>
        <v>0</v>
      </c>
      <c r="E34" s="3160">
        <f>IF(D34=0,0,'Table 1 MF'!D28)</f>
        <v>0</v>
      </c>
      <c r="F34" s="3161" t="str">
        <f>IF(D34=0,"N/A",'Table 1 MF'!E28)</f>
        <v>N/A</v>
      </c>
      <c r="G34" s="3162">
        <f t="shared" si="0"/>
        <v>0</v>
      </c>
      <c r="H34" s="2333">
        <v>0</v>
      </c>
      <c r="I34" s="3144">
        <f t="shared" si="1"/>
        <v>0</v>
      </c>
      <c r="J34" s="3145"/>
      <c r="K34" s="3200" t="s">
        <v>27964</v>
      </c>
      <c r="L34" s="3201" cm="1">
        <f t="array" ref="L34">_xlfn.IFS(K34="","",K34="Yes",H34,K34="No",E34,K34="Yes with different rate","Please enter value")</f>
        <v>0</v>
      </c>
      <c r="M34" s="3202"/>
      <c r="N34" s="2273"/>
      <c r="O34" s="2331" t="s">
        <v>27692</v>
      </c>
      <c r="P34" s="2290" t="s">
        <v>27691</v>
      </c>
      <c r="Q34" s="2290" t="s">
        <v>27687</v>
      </c>
    </row>
    <row r="35" spans="1:17" ht="15" customHeight="1" x14ac:dyDescent="0.35">
      <c r="A35" s="2314" t="s">
        <v>238</v>
      </c>
      <c r="B35" s="2314" t="s">
        <v>218</v>
      </c>
      <c r="C35" s="2313" t="s">
        <v>210</v>
      </c>
      <c r="D35" s="3171">
        <f>'1_Full_time'!M44</f>
        <v>0</v>
      </c>
      <c r="E35" s="3172">
        <f>IF(D35=0,0,'Table 1 MF'!D29)</f>
        <v>0</v>
      </c>
      <c r="F35" s="3173" t="str">
        <f>IF(D35=0,"N/A",'Table 1 MF'!E29)</f>
        <v>N/A</v>
      </c>
      <c r="G35" s="3174">
        <f t="shared" si="0"/>
        <v>0</v>
      </c>
      <c r="H35" s="2333">
        <v>0</v>
      </c>
      <c r="I35" s="3144">
        <f t="shared" si="1"/>
        <v>0</v>
      </c>
      <c r="J35" s="3145"/>
      <c r="K35" s="3192" t="s">
        <v>27964</v>
      </c>
      <c r="L35" s="3203" cm="1">
        <f t="array" ref="L35">_xlfn.IFS(K35="","",K35="Yes",H35,K35="No",E35,K35="Yes with different rate","Please enter value")</f>
        <v>0</v>
      </c>
      <c r="M35" s="3204"/>
      <c r="N35" s="2273"/>
      <c r="O35" s="2331" t="s">
        <v>27692</v>
      </c>
      <c r="P35" s="2290" t="s">
        <v>27691</v>
      </c>
      <c r="Q35" s="2290" t="s">
        <v>27688</v>
      </c>
    </row>
    <row r="36" spans="1:17" ht="15" customHeight="1" x14ac:dyDescent="0.35">
      <c r="A36" s="2314" t="s">
        <v>238</v>
      </c>
      <c r="B36" s="2314" t="s">
        <v>218</v>
      </c>
      <c r="C36" s="2313" t="s">
        <v>212</v>
      </c>
      <c r="D36" s="3149">
        <f>'1_Full_time'!M45</f>
        <v>0</v>
      </c>
      <c r="E36" s="3150">
        <f>IF(D36=0,0,'Table 1 MF'!D30)</f>
        <v>0</v>
      </c>
      <c r="F36" s="3151" t="str">
        <f>IF(D36=0,"N/A",'Table 1 MF'!E30)</f>
        <v>N/A</v>
      </c>
      <c r="G36" s="3152">
        <f t="shared" si="0"/>
        <v>0</v>
      </c>
      <c r="H36" s="2333">
        <v>0</v>
      </c>
      <c r="I36" s="3144">
        <f t="shared" si="1"/>
        <v>0</v>
      </c>
      <c r="J36" s="3145"/>
      <c r="K36" s="3195" t="s">
        <v>27964</v>
      </c>
      <c r="L36" s="3193" cm="1">
        <f t="array" ref="L36">_xlfn.IFS(K36="","",K36="Yes",H36,K36="No",E36,K36="Yes with different rate","Please enter value")</f>
        <v>0</v>
      </c>
      <c r="M36" s="3196"/>
      <c r="N36" s="2273"/>
      <c r="O36" s="2331" t="s">
        <v>27692</v>
      </c>
      <c r="P36" s="2290" t="s">
        <v>27691</v>
      </c>
      <c r="Q36" s="2290" t="s">
        <v>27689</v>
      </c>
    </row>
    <row r="37" spans="1:17" ht="15" customHeight="1" x14ac:dyDescent="0.35">
      <c r="A37" s="2314" t="s">
        <v>238</v>
      </c>
      <c r="B37" s="2314" t="s">
        <v>218</v>
      </c>
      <c r="C37" s="2313" t="s">
        <v>214</v>
      </c>
      <c r="D37" s="3149">
        <f>'1_Full_time'!M46</f>
        <v>0</v>
      </c>
      <c r="E37" s="3150">
        <f>IF(D37=0,0,'Table 1 MF'!D31)</f>
        <v>0</v>
      </c>
      <c r="F37" s="3151" t="str">
        <f>IF(D37=0,"N/A",'Table 1 MF'!E31)</f>
        <v>N/A</v>
      </c>
      <c r="G37" s="3152">
        <f t="shared" si="0"/>
        <v>0</v>
      </c>
      <c r="H37" s="2341">
        <v>0</v>
      </c>
      <c r="I37" s="3169">
        <f t="shared" si="1"/>
        <v>0</v>
      </c>
      <c r="J37" s="3170"/>
      <c r="K37" s="3205" t="s">
        <v>27964</v>
      </c>
      <c r="L37" s="3206" cm="1">
        <f t="array" ref="L37">_xlfn.IFS(K37="","",K37="Yes",H37,K37="No",E37,K37="Yes with different rate","Please enter value")</f>
        <v>0</v>
      </c>
      <c r="M37" s="3207"/>
      <c r="N37" s="2273"/>
      <c r="O37" s="2331" t="s">
        <v>27692</v>
      </c>
      <c r="P37" s="2290" t="s">
        <v>27691</v>
      </c>
      <c r="Q37" s="2290" t="s">
        <v>27690</v>
      </c>
    </row>
    <row r="38" spans="1:17" ht="15" customHeight="1" x14ac:dyDescent="0.35">
      <c r="A38" s="2339" t="s">
        <v>251</v>
      </c>
      <c r="B38" s="2340" t="s">
        <v>204</v>
      </c>
      <c r="C38" s="2339" t="s">
        <v>205</v>
      </c>
      <c r="D38" s="3134">
        <f>'1_Full_time'!M48</f>
        <v>0</v>
      </c>
      <c r="E38" s="3135">
        <f>IF(D38=0,0,'Table 1 MF'!D32)</f>
        <v>0</v>
      </c>
      <c r="F38" s="3136" t="str">
        <f>IF(D38=0,"N/A",'Table 1 MF'!E32)</f>
        <v>N/A</v>
      </c>
      <c r="G38" s="3137">
        <f t="shared" si="0"/>
        <v>0</v>
      </c>
      <c r="H38" s="2338">
        <v>0</v>
      </c>
      <c r="I38" s="3138">
        <f t="shared" si="1"/>
        <v>0</v>
      </c>
      <c r="J38" s="3139"/>
      <c r="K38" s="3192" t="s">
        <v>27964</v>
      </c>
      <c r="L38" s="3208" cm="1">
        <f t="array" ref="L38">_xlfn.IFS(K38="","",K38="Yes",H38,K38="No",E38,K38="Yes with different rate","Please enter value")</f>
        <v>0</v>
      </c>
      <c r="M38" s="3194"/>
      <c r="N38" s="2273"/>
      <c r="O38" s="2331" t="s">
        <v>27693</v>
      </c>
      <c r="P38" s="2290" t="s">
        <v>27685</v>
      </c>
      <c r="Q38" s="2290" t="s">
        <v>27686</v>
      </c>
    </row>
    <row r="39" spans="1:17" ht="15" customHeight="1" x14ac:dyDescent="0.35">
      <c r="A39" s="2314" t="s">
        <v>251</v>
      </c>
      <c r="B39" s="2326" t="s">
        <v>204</v>
      </c>
      <c r="C39" s="2313" t="s">
        <v>208</v>
      </c>
      <c r="D39" s="3159">
        <f>'1_Full_time'!M49</f>
        <v>0</v>
      </c>
      <c r="E39" s="3160">
        <f>IF(D39=0,0,'Table 1 MF'!D33)</f>
        <v>0</v>
      </c>
      <c r="F39" s="3161" t="str">
        <f>IF(D39=0,"N/A",'Table 1 MF'!E33)</f>
        <v>N/A</v>
      </c>
      <c r="G39" s="3162">
        <f t="shared" si="0"/>
        <v>0</v>
      </c>
      <c r="H39" s="2333">
        <v>0</v>
      </c>
      <c r="I39" s="3144">
        <f t="shared" si="1"/>
        <v>0</v>
      </c>
      <c r="J39" s="3145"/>
      <c r="K39" s="3195" t="s">
        <v>27964</v>
      </c>
      <c r="L39" s="3193" cm="1">
        <f t="array" ref="L39">_xlfn.IFS(K39="","",K39="Yes",H39,K39="No",E39,K39="Yes with different rate","Please enter value")</f>
        <v>0</v>
      </c>
      <c r="M39" s="3196"/>
      <c r="N39" s="2273"/>
      <c r="O39" s="2331" t="s">
        <v>27693</v>
      </c>
      <c r="P39" s="2290" t="s">
        <v>27685</v>
      </c>
      <c r="Q39" s="2290" t="s">
        <v>27687</v>
      </c>
    </row>
    <row r="40" spans="1:17" ht="15" customHeight="1" x14ac:dyDescent="0.35">
      <c r="A40" s="2314" t="s">
        <v>251</v>
      </c>
      <c r="B40" s="2326" t="s">
        <v>204</v>
      </c>
      <c r="C40" s="2313" t="s">
        <v>210</v>
      </c>
      <c r="D40" s="3171">
        <f>'1_Full_time'!M50</f>
        <v>0</v>
      </c>
      <c r="E40" s="3172">
        <f>IF(D40=0,0,'Table 1 MF'!D34)</f>
        <v>0</v>
      </c>
      <c r="F40" s="3173" t="str">
        <f>IF(D40=0,"N/A",'Table 1 MF'!E34)</f>
        <v>N/A</v>
      </c>
      <c r="G40" s="3174">
        <f t="shared" si="0"/>
        <v>0</v>
      </c>
      <c r="H40" s="2333">
        <v>0</v>
      </c>
      <c r="I40" s="3144">
        <f t="shared" si="1"/>
        <v>0</v>
      </c>
      <c r="J40" s="3145"/>
      <c r="K40" s="3195" t="s">
        <v>27964</v>
      </c>
      <c r="L40" s="3193" cm="1">
        <f t="array" ref="L40">_xlfn.IFS(K40="","",K40="Yes",H40,K40="No",E40,K40="Yes with different rate","Please enter value")</f>
        <v>0</v>
      </c>
      <c r="M40" s="3196"/>
      <c r="N40" s="2273"/>
      <c r="O40" s="2331" t="s">
        <v>27693</v>
      </c>
      <c r="P40" s="2290" t="s">
        <v>27685</v>
      </c>
      <c r="Q40" s="2290" t="s">
        <v>27688</v>
      </c>
    </row>
    <row r="41" spans="1:17" ht="15" customHeight="1" x14ac:dyDescent="0.35">
      <c r="A41" s="2314" t="s">
        <v>251</v>
      </c>
      <c r="B41" s="2326" t="s">
        <v>204</v>
      </c>
      <c r="C41" s="2313" t="s">
        <v>212</v>
      </c>
      <c r="D41" s="3149">
        <f>'1_Full_time'!M51</f>
        <v>0</v>
      </c>
      <c r="E41" s="3150">
        <f>IF(D41=0,0,'Table 1 MF'!D35)</f>
        <v>0</v>
      </c>
      <c r="F41" s="3151" t="str">
        <f>IF(D41=0,"N/A",'Table 1 MF'!E35)</f>
        <v>N/A</v>
      </c>
      <c r="G41" s="3152">
        <f t="shared" si="0"/>
        <v>0</v>
      </c>
      <c r="H41" s="2333">
        <v>0</v>
      </c>
      <c r="I41" s="3144">
        <f t="shared" si="1"/>
        <v>0</v>
      </c>
      <c r="J41" s="3145"/>
      <c r="K41" s="3195" t="s">
        <v>27964</v>
      </c>
      <c r="L41" s="3193" cm="1">
        <f t="array" ref="L41">_xlfn.IFS(K41="","",K41="Yes",H41,K41="No",E41,K41="Yes with different rate","Please enter value")</f>
        <v>0</v>
      </c>
      <c r="M41" s="3196"/>
      <c r="N41" s="2273"/>
      <c r="O41" s="2331" t="s">
        <v>27693</v>
      </c>
      <c r="P41" s="2290" t="s">
        <v>27685</v>
      </c>
      <c r="Q41" s="2290" t="s">
        <v>27689</v>
      </c>
    </row>
    <row r="42" spans="1:17" ht="15" customHeight="1" x14ac:dyDescent="0.35">
      <c r="A42" s="2342" t="s">
        <v>251</v>
      </c>
      <c r="B42" s="2337" t="s">
        <v>204</v>
      </c>
      <c r="C42" s="2336" t="s">
        <v>214</v>
      </c>
      <c r="D42" s="3153">
        <f>'1_Full_time'!M52</f>
        <v>0</v>
      </c>
      <c r="E42" s="3154">
        <f>IF(D42=0,0,'Table 1 MF'!D36)</f>
        <v>0</v>
      </c>
      <c r="F42" s="3155" t="str">
        <f>IF(D42=0,"N/A",'Table 1 MF'!E36)</f>
        <v>N/A</v>
      </c>
      <c r="G42" s="3156">
        <f t="shared" si="0"/>
        <v>0</v>
      </c>
      <c r="H42" s="2335">
        <v>0</v>
      </c>
      <c r="I42" s="3157">
        <f t="shared" si="1"/>
        <v>0</v>
      </c>
      <c r="J42" s="3158"/>
      <c r="K42" s="3197" t="s">
        <v>27964</v>
      </c>
      <c r="L42" s="3198" cm="1">
        <f t="array" ref="L42">_xlfn.IFS(K42="","",K42="Yes",H42,K42="No",E42,K42="Yes with different rate","Please enter value")</f>
        <v>0</v>
      </c>
      <c r="M42" s="3199"/>
      <c r="N42" s="2273"/>
      <c r="O42" s="2331" t="s">
        <v>27693</v>
      </c>
      <c r="P42" s="2290" t="s">
        <v>27685</v>
      </c>
      <c r="Q42" s="2290" t="s">
        <v>27690</v>
      </c>
    </row>
    <row r="43" spans="1:17" ht="15" customHeight="1" x14ac:dyDescent="0.35">
      <c r="A43" s="2314" t="s">
        <v>251</v>
      </c>
      <c r="B43" s="2313" t="s">
        <v>218</v>
      </c>
      <c r="C43" s="2313" t="s">
        <v>205</v>
      </c>
      <c r="D43" s="3159">
        <f>'1_Full_time'!M54</f>
        <v>0</v>
      </c>
      <c r="E43" s="3160">
        <f>IF(D43=0,0,'Table 1 MF'!D37)</f>
        <v>0</v>
      </c>
      <c r="F43" s="3161" t="str">
        <f>IF(D43=0,"N/A",'Table 1 MF'!E37)</f>
        <v>N/A</v>
      </c>
      <c r="G43" s="3162">
        <f t="shared" si="0"/>
        <v>0</v>
      </c>
      <c r="H43" s="2334">
        <v>0</v>
      </c>
      <c r="I43" s="3163">
        <f t="shared" si="1"/>
        <v>0</v>
      </c>
      <c r="J43" s="3164"/>
      <c r="K43" s="3200" t="s">
        <v>27964</v>
      </c>
      <c r="L43" s="3201" cm="1">
        <f t="array" ref="L43">_xlfn.IFS(K43="","",K43="Yes",H43,K43="No",E43,K43="Yes with different rate","Please enter value")</f>
        <v>0</v>
      </c>
      <c r="M43" s="3202"/>
      <c r="N43" s="2273"/>
      <c r="O43" s="2331" t="s">
        <v>27693</v>
      </c>
      <c r="P43" s="2290" t="s">
        <v>27691</v>
      </c>
      <c r="Q43" s="2290" t="s">
        <v>27686</v>
      </c>
    </row>
    <row r="44" spans="1:17" ht="15" customHeight="1" x14ac:dyDescent="0.35">
      <c r="A44" s="2314" t="s">
        <v>251</v>
      </c>
      <c r="B44" s="2314" t="s">
        <v>218</v>
      </c>
      <c r="C44" s="2313" t="s">
        <v>208</v>
      </c>
      <c r="D44" s="3159">
        <f>'1_Full_time'!M55</f>
        <v>0</v>
      </c>
      <c r="E44" s="3160">
        <f>IF(D44=0,0,'Table 1 MF'!D38)</f>
        <v>0</v>
      </c>
      <c r="F44" s="3161" t="str">
        <f>IF(D44=0,"N/A",'Table 1 MF'!E38)</f>
        <v>N/A</v>
      </c>
      <c r="G44" s="3162">
        <f t="shared" si="0"/>
        <v>0</v>
      </c>
      <c r="H44" s="2333">
        <v>0</v>
      </c>
      <c r="I44" s="3144">
        <f t="shared" si="1"/>
        <v>0</v>
      </c>
      <c r="J44" s="3145"/>
      <c r="K44" s="3200" t="s">
        <v>27964</v>
      </c>
      <c r="L44" s="3201" cm="1">
        <f t="array" ref="L44">_xlfn.IFS(K44="","",K44="Yes",H44,K44="No",E44,K44="Yes with different rate","Please enter value")</f>
        <v>0</v>
      </c>
      <c r="M44" s="3202"/>
      <c r="N44" s="2273"/>
      <c r="O44" s="2331" t="s">
        <v>27693</v>
      </c>
      <c r="P44" s="2290" t="s">
        <v>27691</v>
      </c>
      <c r="Q44" s="2290" t="s">
        <v>27687</v>
      </c>
    </row>
    <row r="45" spans="1:17" ht="15" customHeight="1" x14ac:dyDescent="0.35">
      <c r="A45" s="2314" t="s">
        <v>251</v>
      </c>
      <c r="B45" s="2314" t="s">
        <v>218</v>
      </c>
      <c r="C45" s="2313" t="s">
        <v>210</v>
      </c>
      <c r="D45" s="3171">
        <f>'1_Full_time'!M56</f>
        <v>0</v>
      </c>
      <c r="E45" s="3172">
        <f>IF(D45=0,0,'Table 1 MF'!D39)</f>
        <v>0</v>
      </c>
      <c r="F45" s="3173" t="str">
        <f>IF(D45=0,"N/A",'Table 1 MF'!E39)</f>
        <v>N/A</v>
      </c>
      <c r="G45" s="3174">
        <f t="shared" si="0"/>
        <v>0</v>
      </c>
      <c r="H45" s="2333">
        <v>0</v>
      </c>
      <c r="I45" s="3144">
        <f t="shared" si="1"/>
        <v>0</v>
      </c>
      <c r="J45" s="3145"/>
      <c r="K45" s="3192" t="s">
        <v>27964</v>
      </c>
      <c r="L45" s="3203" cm="1">
        <f t="array" ref="L45">_xlfn.IFS(K45="","",K45="Yes",H45,K45="No",E45,K45="Yes with different rate","Please enter value")</f>
        <v>0</v>
      </c>
      <c r="M45" s="3204"/>
      <c r="N45" s="2273"/>
      <c r="O45" s="2331" t="s">
        <v>27693</v>
      </c>
      <c r="P45" s="2290" t="s">
        <v>27691</v>
      </c>
      <c r="Q45" s="2290" t="s">
        <v>27688</v>
      </c>
    </row>
    <row r="46" spans="1:17" ht="15" customHeight="1" x14ac:dyDescent="0.35">
      <c r="A46" s="2314" t="s">
        <v>251</v>
      </c>
      <c r="B46" s="2314" t="s">
        <v>218</v>
      </c>
      <c r="C46" s="2313" t="s">
        <v>212</v>
      </c>
      <c r="D46" s="3149">
        <f>'1_Full_time'!M57</f>
        <v>0</v>
      </c>
      <c r="E46" s="3150">
        <f>IF(D46=0,0,'Table 1 MF'!D40)</f>
        <v>0</v>
      </c>
      <c r="F46" s="3151" t="str">
        <f>IF(D46=0,"N/A",'Table 1 MF'!E40)</f>
        <v>N/A</v>
      </c>
      <c r="G46" s="3152">
        <f t="shared" si="0"/>
        <v>0</v>
      </c>
      <c r="H46" s="2333">
        <v>0</v>
      </c>
      <c r="I46" s="3144">
        <f t="shared" si="1"/>
        <v>0</v>
      </c>
      <c r="J46" s="3145"/>
      <c r="K46" s="3195" t="s">
        <v>27964</v>
      </c>
      <c r="L46" s="3193" cm="1">
        <f t="array" ref="L46">_xlfn.IFS(K46="","",K46="Yes",H46,K46="No",E46,K46="Yes with different rate","Please enter value")</f>
        <v>0</v>
      </c>
      <c r="M46" s="3196"/>
      <c r="N46" s="2273"/>
      <c r="O46" s="2331" t="s">
        <v>27693</v>
      </c>
      <c r="P46" s="2290" t="s">
        <v>27691</v>
      </c>
      <c r="Q46" s="2290" t="s">
        <v>27689</v>
      </c>
    </row>
    <row r="47" spans="1:17" ht="15" customHeight="1" x14ac:dyDescent="0.35">
      <c r="A47" s="2314" t="s">
        <v>251</v>
      </c>
      <c r="B47" s="2314" t="s">
        <v>218</v>
      </c>
      <c r="C47" s="2313" t="s">
        <v>214</v>
      </c>
      <c r="D47" s="3149">
        <f>'1_Full_time'!M58</f>
        <v>0</v>
      </c>
      <c r="E47" s="3150">
        <f>IF(D47=0,0,'Table 1 MF'!D41)</f>
        <v>0</v>
      </c>
      <c r="F47" s="3151" t="str">
        <f>IF(D47=0,"N/A",'Table 1 MF'!E41)</f>
        <v>N/A</v>
      </c>
      <c r="G47" s="3152">
        <f t="shared" si="0"/>
        <v>0</v>
      </c>
      <c r="H47" s="2341">
        <v>0</v>
      </c>
      <c r="I47" s="3169">
        <f t="shared" si="1"/>
        <v>0</v>
      </c>
      <c r="J47" s="3170"/>
      <c r="K47" s="3205" t="s">
        <v>27964</v>
      </c>
      <c r="L47" s="3206" cm="1">
        <f t="array" ref="L47">_xlfn.IFS(K47="","",K47="Yes",H47,K47="No",E47,K47="Yes with different rate","Please enter value")</f>
        <v>0</v>
      </c>
      <c r="M47" s="3207"/>
      <c r="N47" s="2273"/>
      <c r="O47" s="2331" t="s">
        <v>27693</v>
      </c>
      <c r="P47" s="2290" t="s">
        <v>27691</v>
      </c>
      <c r="Q47" s="2290" t="s">
        <v>27690</v>
      </c>
    </row>
    <row r="48" spans="1:17" ht="15" customHeight="1" x14ac:dyDescent="0.35">
      <c r="A48" s="2339" t="s">
        <v>264</v>
      </c>
      <c r="B48" s="2340" t="s">
        <v>204</v>
      </c>
      <c r="C48" s="2339" t="s">
        <v>205</v>
      </c>
      <c r="D48" s="3134">
        <f>'1_Full_time'!M60</f>
        <v>0</v>
      </c>
      <c r="E48" s="3135">
        <f>IF(D48=0,0,'Table 1 MF'!D42)</f>
        <v>0</v>
      </c>
      <c r="F48" s="3136" t="str">
        <f>IF(D48=0,"N/A",'Table 1 MF'!E42)</f>
        <v>N/A</v>
      </c>
      <c r="G48" s="3137">
        <f t="shared" si="0"/>
        <v>0</v>
      </c>
      <c r="H48" s="2338">
        <v>0</v>
      </c>
      <c r="I48" s="3138">
        <f t="shared" si="1"/>
        <v>0</v>
      </c>
      <c r="J48" s="3139"/>
      <c r="K48" s="3192" t="s">
        <v>27964</v>
      </c>
      <c r="L48" s="3208" cm="1">
        <f t="array" ref="L48">_xlfn.IFS(K48="","",K48="Yes",H48,K48="No",E48,K48="Yes with different rate","Please enter value")</f>
        <v>0</v>
      </c>
      <c r="M48" s="3194"/>
      <c r="N48" s="2273"/>
      <c r="O48" s="2331" t="s">
        <v>264</v>
      </c>
      <c r="P48" s="2290" t="s">
        <v>27685</v>
      </c>
      <c r="Q48" s="2290" t="s">
        <v>27686</v>
      </c>
    </row>
    <row r="49" spans="1:17" ht="15" customHeight="1" x14ac:dyDescent="0.35">
      <c r="A49" s="2314" t="s">
        <v>264</v>
      </c>
      <c r="B49" s="2326" t="s">
        <v>204</v>
      </c>
      <c r="C49" s="2313" t="s">
        <v>208</v>
      </c>
      <c r="D49" s="3159">
        <f>'1_Full_time'!M61</f>
        <v>0</v>
      </c>
      <c r="E49" s="3160">
        <f>IF(D49=0,0,'Table 1 MF'!D43)</f>
        <v>0</v>
      </c>
      <c r="F49" s="3161" t="str">
        <f>IF(D49=0,"N/A",'Table 1 MF'!E43)</f>
        <v>N/A</v>
      </c>
      <c r="G49" s="3162">
        <f t="shared" si="0"/>
        <v>0</v>
      </c>
      <c r="H49" s="2333">
        <v>0</v>
      </c>
      <c r="I49" s="3144">
        <f t="shared" si="1"/>
        <v>0</v>
      </c>
      <c r="J49" s="3145"/>
      <c r="K49" s="3195" t="s">
        <v>27964</v>
      </c>
      <c r="L49" s="3193" cm="1">
        <f t="array" ref="L49">_xlfn.IFS(K49="","",K49="Yes",H49,K49="No",E49,K49="Yes with different rate","Please enter value")</f>
        <v>0</v>
      </c>
      <c r="M49" s="3196"/>
      <c r="N49" s="2273"/>
      <c r="O49" s="2331" t="s">
        <v>264</v>
      </c>
      <c r="P49" s="2290" t="s">
        <v>27685</v>
      </c>
      <c r="Q49" s="2290" t="s">
        <v>27687</v>
      </c>
    </row>
    <row r="50" spans="1:17" ht="15" customHeight="1" x14ac:dyDescent="0.35">
      <c r="A50" s="2314" t="s">
        <v>264</v>
      </c>
      <c r="B50" s="2326" t="s">
        <v>204</v>
      </c>
      <c r="C50" s="2313" t="s">
        <v>210</v>
      </c>
      <c r="D50" s="3171">
        <f>'1_Full_time'!M62</f>
        <v>0</v>
      </c>
      <c r="E50" s="3172">
        <f>IF(D50=0,0,'Table 1 MF'!D44)</f>
        <v>0</v>
      </c>
      <c r="F50" s="3173" t="str">
        <f>IF(D50=0,"N/A",'Table 1 MF'!E44)</f>
        <v>N/A</v>
      </c>
      <c r="G50" s="3174">
        <f t="shared" si="0"/>
        <v>0</v>
      </c>
      <c r="H50" s="2333">
        <v>0</v>
      </c>
      <c r="I50" s="3144">
        <f t="shared" si="1"/>
        <v>0</v>
      </c>
      <c r="J50" s="3145"/>
      <c r="K50" s="3195" t="s">
        <v>27964</v>
      </c>
      <c r="L50" s="3193" cm="1">
        <f t="array" ref="L50">_xlfn.IFS(K50="","",K50="Yes",H50,K50="No",E50,K50="Yes with different rate","Please enter value")</f>
        <v>0</v>
      </c>
      <c r="M50" s="3196"/>
      <c r="N50" s="2273"/>
      <c r="O50" s="2331" t="s">
        <v>264</v>
      </c>
      <c r="P50" s="2290" t="s">
        <v>27685</v>
      </c>
      <c r="Q50" s="2290" t="s">
        <v>27688</v>
      </c>
    </row>
    <row r="51" spans="1:17" ht="15" customHeight="1" x14ac:dyDescent="0.35">
      <c r="A51" s="2314" t="s">
        <v>264</v>
      </c>
      <c r="B51" s="2326" t="s">
        <v>204</v>
      </c>
      <c r="C51" s="2313" t="s">
        <v>212</v>
      </c>
      <c r="D51" s="3149">
        <f>'1_Full_time'!M63</f>
        <v>0</v>
      </c>
      <c r="E51" s="3150">
        <f>IF(D51=0,0,'Table 1 MF'!D45)</f>
        <v>0</v>
      </c>
      <c r="F51" s="3151" t="str">
        <f>IF(D51=0,"N/A",'Table 1 MF'!E45)</f>
        <v>N/A</v>
      </c>
      <c r="G51" s="3152">
        <f t="shared" si="0"/>
        <v>0</v>
      </c>
      <c r="H51" s="2333">
        <v>0</v>
      </c>
      <c r="I51" s="3144">
        <f t="shared" si="1"/>
        <v>0</v>
      </c>
      <c r="J51" s="3145"/>
      <c r="K51" s="3195" t="s">
        <v>27964</v>
      </c>
      <c r="L51" s="3193" cm="1">
        <f t="array" ref="L51">_xlfn.IFS(K51="","",K51="Yes",H51,K51="No",E51,K51="Yes with different rate","Please enter value")</f>
        <v>0</v>
      </c>
      <c r="M51" s="3196"/>
      <c r="N51" s="2273"/>
      <c r="O51" s="2331" t="s">
        <v>264</v>
      </c>
      <c r="P51" s="2290" t="s">
        <v>27685</v>
      </c>
      <c r="Q51" s="2290" t="s">
        <v>27689</v>
      </c>
    </row>
    <row r="52" spans="1:17" ht="15" customHeight="1" x14ac:dyDescent="0.35">
      <c r="A52" s="2342" t="s">
        <v>264</v>
      </c>
      <c r="B52" s="2337" t="s">
        <v>204</v>
      </c>
      <c r="C52" s="2336" t="s">
        <v>214</v>
      </c>
      <c r="D52" s="3153">
        <f>'1_Full_time'!M64</f>
        <v>0</v>
      </c>
      <c r="E52" s="3154">
        <f>IF(D52=0,0,'Table 1 MF'!D46)</f>
        <v>0</v>
      </c>
      <c r="F52" s="3155" t="str">
        <f>IF(D52=0,"N/A",'Table 1 MF'!E46)</f>
        <v>N/A</v>
      </c>
      <c r="G52" s="3156">
        <f t="shared" si="0"/>
        <v>0</v>
      </c>
      <c r="H52" s="2335">
        <v>0</v>
      </c>
      <c r="I52" s="3157">
        <f t="shared" si="1"/>
        <v>0</v>
      </c>
      <c r="J52" s="3158"/>
      <c r="K52" s="3197" t="s">
        <v>27964</v>
      </c>
      <c r="L52" s="3198" cm="1">
        <f t="array" ref="L52">_xlfn.IFS(K52="","",K52="Yes",H52,K52="No",E52,K52="Yes with different rate","Please enter value")</f>
        <v>0</v>
      </c>
      <c r="M52" s="3199"/>
      <c r="N52" s="2273"/>
      <c r="O52" s="2331" t="s">
        <v>264</v>
      </c>
      <c r="P52" s="2290" t="s">
        <v>27685</v>
      </c>
      <c r="Q52" s="2290" t="s">
        <v>27690</v>
      </c>
    </row>
    <row r="53" spans="1:17" ht="15" customHeight="1" x14ac:dyDescent="0.35">
      <c r="A53" s="2314" t="s">
        <v>264</v>
      </c>
      <c r="B53" s="2313" t="s">
        <v>218</v>
      </c>
      <c r="C53" s="2313" t="s">
        <v>205</v>
      </c>
      <c r="D53" s="3159">
        <f>'1_Full_time'!M66</f>
        <v>0</v>
      </c>
      <c r="E53" s="3160">
        <f>IF(D53=0,0,'Table 1 MF'!D47)</f>
        <v>0</v>
      </c>
      <c r="F53" s="3161" t="str">
        <f>IF(D53=0,"N/A",'Table 1 MF'!E47)</f>
        <v>N/A</v>
      </c>
      <c r="G53" s="3162">
        <f t="shared" si="0"/>
        <v>0</v>
      </c>
      <c r="H53" s="2334">
        <v>0</v>
      </c>
      <c r="I53" s="3163">
        <f t="shared" si="1"/>
        <v>0</v>
      </c>
      <c r="J53" s="3164"/>
      <c r="K53" s="3200" t="s">
        <v>27964</v>
      </c>
      <c r="L53" s="3201" cm="1">
        <f t="array" ref="L53">_xlfn.IFS(K53="","",K53="Yes",H53,K53="No",E53,K53="Yes with different rate","Please enter value")</f>
        <v>0</v>
      </c>
      <c r="M53" s="3202"/>
      <c r="N53" s="2273"/>
      <c r="O53" s="2331" t="s">
        <v>264</v>
      </c>
      <c r="P53" s="2290" t="s">
        <v>27691</v>
      </c>
      <c r="Q53" s="2290" t="s">
        <v>27686</v>
      </c>
    </row>
    <row r="54" spans="1:17" ht="15" customHeight="1" x14ac:dyDescent="0.35">
      <c r="A54" s="2314" t="s">
        <v>264</v>
      </c>
      <c r="B54" s="2314" t="s">
        <v>218</v>
      </c>
      <c r="C54" s="2313" t="s">
        <v>208</v>
      </c>
      <c r="D54" s="3159">
        <f>'1_Full_time'!M67</f>
        <v>0</v>
      </c>
      <c r="E54" s="3160">
        <f>IF(D54=0,0,'Table 1 MF'!D48)</f>
        <v>0</v>
      </c>
      <c r="F54" s="3161" t="str">
        <f>IF(D54=0,"N/A",'Table 1 MF'!E48)</f>
        <v>N/A</v>
      </c>
      <c r="G54" s="3162">
        <f t="shared" si="0"/>
        <v>0</v>
      </c>
      <c r="H54" s="2333">
        <v>0</v>
      </c>
      <c r="I54" s="3144">
        <f t="shared" si="1"/>
        <v>0</v>
      </c>
      <c r="J54" s="3145"/>
      <c r="K54" s="3200" t="s">
        <v>27964</v>
      </c>
      <c r="L54" s="3201" cm="1">
        <f t="array" ref="L54">_xlfn.IFS(K54="","",K54="Yes",H54,K54="No",E54,K54="Yes with different rate","Please enter value")</f>
        <v>0</v>
      </c>
      <c r="M54" s="3202"/>
      <c r="N54" s="2273"/>
      <c r="O54" s="2331" t="s">
        <v>264</v>
      </c>
      <c r="P54" s="2290" t="s">
        <v>27691</v>
      </c>
      <c r="Q54" s="2290" t="s">
        <v>27687</v>
      </c>
    </row>
    <row r="55" spans="1:17" ht="15" customHeight="1" x14ac:dyDescent="0.35">
      <c r="A55" s="2314" t="s">
        <v>264</v>
      </c>
      <c r="B55" s="2314" t="s">
        <v>218</v>
      </c>
      <c r="C55" s="2313" t="s">
        <v>210</v>
      </c>
      <c r="D55" s="3171">
        <f>'1_Full_time'!M68</f>
        <v>0</v>
      </c>
      <c r="E55" s="3172">
        <f>IF(D55=0,0,'Table 1 MF'!D49)</f>
        <v>0</v>
      </c>
      <c r="F55" s="3173" t="str">
        <f>IF(D55=0,"N/A",'Table 1 MF'!E49)</f>
        <v>N/A</v>
      </c>
      <c r="G55" s="3174">
        <f t="shared" si="0"/>
        <v>0</v>
      </c>
      <c r="H55" s="2333">
        <v>0</v>
      </c>
      <c r="I55" s="3144">
        <f t="shared" si="1"/>
        <v>0</v>
      </c>
      <c r="J55" s="3145"/>
      <c r="K55" s="3192" t="s">
        <v>27964</v>
      </c>
      <c r="L55" s="3203" cm="1">
        <f t="array" ref="L55">_xlfn.IFS(K55="","",K55="Yes",H55,K55="No",E55,K55="Yes with different rate","Please enter value")</f>
        <v>0</v>
      </c>
      <c r="M55" s="3204"/>
      <c r="N55" s="2273"/>
      <c r="O55" s="2331" t="s">
        <v>264</v>
      </c>
      <c r="P55" s="2290" t="s">
        <v>27691</v>
      </c>
      <c r="Q55" s="2290" t="s">
        <v>27688</v>
      </c>
    </row>
    <row r="56" spans="1:17" ht="15" customHeight="1" x14ac:dyDescent="0.35">
      <c r="A56" s="2314" t="s">
        <v>264</v>
      </c>
      <c r="B56" s="2314" t="s">
        <v>218</v>
      </c>
      <c r="C56" s="2313" t="s">
        <v>212</v>
      </c>
      <c r="D56" s="3149">
        <f>'1_Full_time'!M69</f>
        <v>0</v>
      </c>
      <c r="E56" s="3150">
        <f>IF(D56=0,0,'Table 1 MF'!D50)</f>
        <v>0</v>
      </c>
      <c r="F56" s="3151" t="str">
        <f>IF(D56=0,"N/A",'Table 1 MF'!E50)</f>
        <v>N/A</v>
      </c>
      <c r="G56" s="3152">
        <f t="shared" si="0"/>
        <v>0</v>
      </c>
      <c r="H56" s="2333">
        <v>0</v>
      </c>
      <c r="I56" s="3144">
        <f t="shared" si="1"/>
        <v>0</v>
      </c>
      <c r="J56" s="3145"/>
      <c r="K56" s="3195" t="s">
        <v>27964</v>
      </c>
      <c r="L56" s="3193" cm="1">
        <f t="array" ref="L56">_xlfn.IFS(K56="","",K56="Yes",H56,K56="No",E56,K56="Yes with different rate","Please enter value")</f>
        <v>0</v>
      </c>
      <c r="M56" s="3196"/>
      <c r="N56" s="2273"/>
      <c r="O56" s="2331" t="s">
        <v>264</v>
      </c>
      <c r="P56" s="2290" t="s">
        <v>27691</v>
      </c>
      <c r="Q56" s="2290" t="s">
        <v>27689</v>
      </c>
    </row>
    <row r="57" spans="1:17" ht="15" customHeight="1" x14ac:dyDescent="0.35">
      <c r="A57" s="2314" t="s">
        <v>264</v>
      </c>
      <c r="B57" s="2314" t="s">
        <v>218</v>
      </c>
      <c r="C57" s="2313" t="s">
        <v>214</v>
      </c>
      <c r="D57" s="3149">
        <f>'1_Full_time'!M70</f>
        <v>0</v>
      </c>
      <c r="E57" s="3150">
        <f>IF(D57=0,0,'Table 1 MF'!D51)</f>
        <v>0</v>
      </c>
      <c r="F57" s="3151" t="str">
        <f>IF(D57=0,"N/A",'Table 1 MF'!E51)</f>
        <v>N/A</v>
      </c>
      <c r="G57" s="3152">
        <f t="shared" si="0"/>
        <v>0</v>
      </c>
      <c r="H57" s="2341">
        <v>0</v>
      </c>
      <c r="I57" s="3169">
        <f t="shared" si="1"/>
        <v>0</v>
      </c>
      <c r="J57" s="3170"/>
      <c r="K57" s="3205" t="s">
        <v>27964</v>
      </c>
      <c r="L57" s="3206" cm="1">
        <f t="array" ref="L57">_xlfn.IFS(K57="","",K57="Yes",H57,K57="No",E57,K57="Yes with different rate","Please enter value")</f>
        <v>0</v>
      </c>
      <c r="M57" s="3207"/>
      <c r="N57" s="2273"/>
      <c r="O57" s="2331" t="s">
        <v>264</v>
      </c>
      <c r="P57" s="2290" t="s">
        <v>27691</v>
      </c>
      <c r="Q57" s="2290" t="s">
        <v>27690</v>
      </c>
    </row>
    <row r="58" spans="1:17" ht="15" customHeight="1" x14ac:dyDescent="0.35">
      <c r="A58" s="2339" t="s">
        <v>277</v>
      </c>
      <c r="B58" s="2340" t="s">
        <v>204</v>
      </c>
      <c r="C58" s="2339" t="s">
        <v>205</v>
      </c>
      <c r="D58" s="3134">
        <f>'1_Full_time'!M72</f>
        <v>0</v>
      </c>
      <c r="E58" s="3135">
        <f>IF(D58=0,0,'Table 1 MF'!D52)</f>
        <v>0</v>
      </c>
      <c r="F58" s="3136" t="str">
        <f>IF(D58=0,"N/A",'Table 1 MF'!E52)</f>
        <v>N/A</v>
      </c>
      <c r="G58" s="3137">
        <f t="shared" si="0"/>
        <v>0</v>
      </c>
      <c r="H58" s="2338">
        <v>0</v>
      </c>
      <c r="I58" s="3138">
        <f t="shared" si="1"/>
        <v>0</v>
      </c>
      <c r="J58" s="3139"/>
      <c r="K58" s="3192" t="s">
        <v>27964</v>
      </c>
      <c r="L58" s="3208" cm="1">
        <f t="array" ref="L58">_xlfn.IFS(K58="","",K58="Yes",H58,K58="No",E58,K58="Yes with different rate","Please enter value")</f>
        <v>0</v>
      </c>
      <c r="M58" s="3194"/>
      <c r="N58" s="2273"/>
      <c r="O58" s="2331" t="s">
        <v>277</v>
      </c>
      <c r="P58" s="2290" t="s">
        <v>27685</v>
      </c>
      <c r="Q58" s="2290" t="s">
        <v>27686</v>
      </c>
    </row>
    <row r="59" spans="1:17" ht="15" customHeight="1" x14ac:dyDescent="0.35">
      <c r="A59" s="2314" t="s">
        <v>277</v>
      </c>
      <c r="B59" s="2326" t="s">
        <v>204</v>
      </c>
      <c r="C59" s="2313" t="s">
        <v>208</v>
      </c>
      <c r="D59" s="3159">
        <f>'1_Full_time'!M73</f>
        <v>0</v>
      </c>
      <c r="E59" s="3160">
        <f>IF(D59=0,0,'Table 1 MF'!D53)</f>
        <v>0</v>
      </c>
      <c r="F59" s="3161" t="str">
        <f>IF(D59=0,"N/A",'Table 1 MF'!E53)</f>
        <v>N/A</v>
      </c>
      <c r="G59" s="3162">
        <f t="shared" si="0"/>
        <v>0</v>
      </c>
      <c r="H59" s="2333">
        <v>0</v>
      </c>
      <c r="I59" s="3144">
        <f t="shared" si="1"/>
        <v>0</v>
      </c>
      <c r="J59" s="3145"/>
      <c r="K59" s="3195" t="s">
        <v>27964</v>
      </c>
      <c r="L59" s="3193" cm="1">
        <f t="array" ref="L59">_xlfn.IFS(K59="","",K59="Yes",H59,K59="No",E59,K59="Yes with different rate","Please enter value")</f>
        <v>0</v>
      </c>
      <c r="M59" s="3196"/>
      <c r="N59" s="2273"/>
      <c r="O59" s="2331" t="s">
        <v>277</v>
      </c>
      <c r="P59" s="2290" t="s">
        <v>27685</v>
      </c>
      <c r="Q59" s="2290" t="s">
        <v>27687</v>
      </c>
    </row>
    <row r="60" spans="1:17" ht="15" customHeight="1" x14ac:dyDescent="0.35">
      <c r="A60" s="2314" t="s">
        <v>277</v>
      </c>
      <c r="B60" s="2326" t="s">
        <v>204</v>
      </c>
      <c r="C60" s="2313" t="s">
        <v>210</v>
      </c>
      <c r="D60" s="3171">
        <f>'1_Full_time'!M74</f>
        <v>0</v>
      </c>
      <c r="E60" s="3172">
        <f>IF(D60=0,0,'Table 1 MF'!D54)</f>
        <v>0</v>
      </c>
      <c r="F60" s="3173" t="str">
        <f>IF(D60=0,"N/A",'Table 1 MF'!E54)</f>
        <v>N/A</v>
      </c>
      <c r="G60" s="3174">
        <f t="shared" si="0"/>
        <v>0</v>
      </c>
      <c r="H60" s="2333">
        <v>0</v>
      </c>
      <c r="I60" s="3144">
        <f t="shared" si="1"/>
        <v>0</v>
      </c>
      <c r="J60" s="3145"/>
      <c r="K60" s="3195" t="s">
        <v>27964</v>
      </c>
      <c r="L60" s="3193" cm="1">
        <f t="array" ref="L60">_xlfn.IFS(K60="","",K60="Yes",H60,K60="No",E60,K60="Yes with different rate","Please enter value")</f>
        <v>0</v>
      </c>
      <c r="M60" s="3196"/>
      <c r="N60" s="2273"/>
      <c r="O60" s="2331" t="s">
        <v>277</v>
      </c>
      <c r="P60" s="2290" t="s">
        <v>27685</v>
      </c>
      <c r="Q60" s="2290" t="s">
        <v>27688</v>
      </c>
    </row>
    <row r="61" spans="1:17" ht="15" customHeight="1" x14ac:dyDescent="0.35">
      <c r="A61" s="2314" t="s">
        <v>277</v>
      </c>
      <c r="B61" s="2326" t="s">
        <v>204</v>
      </c>
      <c r="C61" s="2313" t="s">
        <v>212</v>
      </c>
      <c r="D61" s="3149">
        <f>'1_Full_time'!M75</f>
        <v>0</v>
      </c>
      <c r="E61" s="3150">
        <f>IF(D61=0,0,'Table 1 MF'!D55)</f>
        <v>0</v>
      </c>
      <c r="F61" s="3151" t="str">
        <f>IF(D61=0,"N/A",'Table 1 MF'!E55)</f>
        <v>N/A</v>
      </c>
      <c r="G61" s="3152">
        <f t="shared" si="0"/>
        <v>0</v>
      </c>
      <c r="H61" s="2333">
        <v>0</v>
      </c>
      <c r="I61" s="3144">
        <f t="shared" si="1"/>
        <v>0</v>
      </c>
      <c r="J61" s="3145"/>
      <c r="K61" s="3195" t="s">
        <v>27964</v>
      </c>
      <c r="L61" s="3193" cm="1">
        <f t="array" ref="L61">_xlfn.IFS(K61="","",K61="Yes",H61,K61="No",E61,K61="Yes with different rate","Please enter value")</f>
        <v>0</v>
      </c>
      <c r="M61" s="3196"/>
      <c r="N61" s="2273"/>
      <c r="O61" s="2331" t="s">
        <v>277</v>
      </c>
      <c r="P61" s="2290" t="s">
        <v>27685</v>
      </c>
      <c r="Q61" s="2290" t="s">
        <v>27689</v>
      </c>
    </row>
    <row r="62" spans="1:17" ht="15" customHeight="1" x14ac:dyDescent="0.35">
      <c r="A62" s="2314" t="s">
        <v>277</v>
      </c>
      <c r="B62" s="2337" t="s">
        <v>204</v>
      </c>
      <c r="C62" s="2336" t="s">
        <v>214</v>
      </c>
      <c r="D62" s="3153">
        <f>'1_Full_time'!M76</f>
        <v>0</v>
      </c>
      <c r="E62" s="3154">
        <f>IF(D62=0,0,'Table 1 MF'!D56)</f>
        <v>0</v>
      </c>
      <c r="F62" s="3155" t="str">
        <f>IF(D62=0,"N/A",'Table 1 MF'!E56)</f>
        <v>N/A</v>
      </c>
      <c r="G62" s="3156">
        <f t="shared" si="0"/>
        <v>0</v>
      </c>
      <c r="H62" s="2335">
        <v>0</v>
      </c>
      <c r="I62" s="3157">
        <f t="shared" si="1"/>
        <v>0</v>
      </c>
      <c r="J62" s="3158"/>
      <c r="K62" s="3197" t="s">
        <v>27964</v>
      </c>
      <c r="L62" s="3198" cm="1">
        <f t="array" ref="L62">_xlfn.IFS(K62="","",K62="Yes",H62,K62="No",E62,K62="Yes with different rate","Please enter value")</f>
        <v>0</v>
      </c>
      <c r="M62" s="3199"/>
      <c r="N62" s="2273"/>
      <c r="O62" s="2331" t="s">
        <v>277</v>
      </c>
      <c r="P62" s="2290" t="s">
        <v>27685</v>
      </c>
      <c r="Q62" s="2290" t="s">
        <v>27690</v>
      </c>
    </row>
    <row r="63" spans="1:17" ht="15" customHeight="1" x14ac:dyDescent="0.35">
      <c r="A63" s="2314" t="s">
        <v>277</v>
      </c>
      <c r="B63" s="2313" t="s">
        <v>218</v>
      </c>
      <c r="C63" s="2313" t="s">
        <v>205</v>
      </c>
      <c r="D63" s="3159">
        <f>'1_Full_time'!M78</f>
        <v>0</v>
      </c>
      <c r="E63" s="3160">
        <f>IF(D63=0,0,'Table 1 MF'!D57)</f>
        <v>0</v>
      </c>
      <c r="F63" s="3161" t="str">
        <f>IF(D63=0,"N/A",'Table 1 MF'!E57)</f>
        <v>N/A</v>
      </c>
      <c r="G63" s="3162">
        <f t="shared" si="0"/>
        <v>0</v>
      </c>
      <c r="H63" s="2334">
        <v>0</v>
      </c>
      <c r="I63" s="3163">
        <f t="shared" si="1"/>
        <v>0</v>
      </c>
      <c r="J63" s="3164"/>
      <c r="K63" s="3200" t="s">
        <v>27964</v>
      </c>
      <c r="L63" s="3201" cm="1">
        <f t="array" ref="L63">_xlfn.IFS(K63="","",K63="Yes",H63,K63="No",E63,K63="Yes with different rate","Please enter value")</f>
        <v>0</v>
      </c>
      <c r="M63" s="3202"/>
      <c r="N63" s="2273"/>
      <c r="O63" s="2331" t="s">
        <v>277</v>
      </c>
      <c r="P63" s="2290" t="s">
        <v>27691</v>
      </c>
      <c r="Q63" s="2290" t="s">
        <v>27686</v>
      </c>
    </row>
    <row r="64" spans="1:17" ht="15" customHeight="1" x14ac:dyDescent="0.35">
      <c r="A64" s="2314" t="s">
        <v>277</v>
      </c>
      <c r="B64" s="2314" t="s">
        <v>218</v>
      </c>
      <c r="C64" s="2313" t="s">
        <v>208</v>
      </c>
      <c r="D64" s="3159">
        <f>'1_Full_time'!M79</f>
        <v>0</v>
      </c>
      <c r="E64" s="3160">
        <f>IF(D64=0,0,'Table 1 MF'!D58)</f>
        <v>0</v>
      </c>
      <c r="F64" s="3161" t="str">
        <f>IF(D64=0,"N/A",'Table 1 MF'!E58)</f>
        <v>N/A</v>
      </c>
      <c r="G64" s="3162">
        <f t="shared" si="0"/>
        <v>0</v>
      </c>
      <c r="H64" s="2333">
        <v>0</v>
      </c>
      <c r="I64" s="3144">
        <f t="shared" si="1"/>
        <v>0</v>
      </c>
      <c r="J64" s="3145"/>
      <c r="K64" s="3200" t="s">
        <v>27964</v>
      </c>
      <c r="L64" s="3201" cm="1">
        <f t="array" ref="L64">_xlfn.IFS(K64="","",K64="Yes",H64,K64="No",E64,K64="Yes with different rate","Please enter value")</f>
        <v>0</v>
      </c>
      <c r="M64" s="3202"/>
      <c r="N64" s="2273"/>
      <c r="O64" s="2331" t="s">
        <v>277</v>
      </c>
      <c r="P64" s="2290" t="s">
        <v>27691</v>
      </c>
      <c r="Q64" s="2290" t="s">
        <v>27687</v>
      </c>
    </row>
    <row r="65" spans="1:17" ht="15" customHeight="1" x14ac:dyDescent="0.35">
      <c r="A65" s="2314" t="s">
        <v>277</v>
      </c>
      <c r="B65" s="2314" t="s">
        <v>218</v>
      </c>
      <c r="C65" s="2313" t="s">
        <v>210</v>
      </c>
      <c r="D65" s="3171">
        <f>'1_Full_time'!M80</f>
        <v>0</v>
      </c>
      <c r="E65" s="3172">
        <f>IF(D65=0,0,'Table 1 MF'!D59)</f>
        <v>0</v>
      </c>
      <c r="F65" s="3173" t="str">
        <f>IF(D65=0,"N/A",'Table 1 MF'!E59)</f>
        <v>N/A</v>
      </c>
      <c r="G65" s="3174">
        <f t="shared" si="0"/>
        <v>0</v>
      </c>
      <c r="H65" s="2333">
        <v>0</v>
      </c>
      <c r="I65" s="3144">
        <f t="shared" si="1"/>
        <v>0</v>
      </c>
      <c r="J65" s="3145"/>
      <c r="K65" s="3192" t="s">
        <v>27964</v>
      </c>
      <c r="L65" s="3203" cm="1">
        <f t="array" ref="L65">_xlfn.IFS(K65="","",K65="Yes",H65,K65="No",E65,K65="Yes with different rate","Please enter value")</f>
        <v>0</v>
      </c>
      <c r="M65" s="3204"/>
      <c r="N65" s="2273"/>
      <c r="O65" s="2331" t="s">
        <v>277</v>
      </c>
      <c r="P65" s="2290" t="s">
        <v>27691</v>
      </c>
      <c r="Q65" s="2290" t="s">
        <v>27688</v>
      </c>
    </row>
    <row r="66" spans="1:17" ht="15" customHeight="1" x14ac:dyDescent="0.35">
      <c r="A66" s="2314" t="s">
        <v>277</v>
      </c>
      <c r="B66" s="2314" t="s">
        <v>218</v>
      </c>
      <c r="C66" s="2313" t="s">
        <v>212</v>
      </c>
      <c r="D66" s="3149">
        <f>'1_Full_time'!M81</f>
        <v>0</v>
      </c>
      <c r="E66" s="3150">
        <f>IF(D66=0,0,'Table 1 MF'!D60)</f>
        <v>0</v>
      </c>
      <c r="F66" s="3151" t="str">
        <f>IF(D66=0,"N/A",'Table 1 MF'!E60)</f>
        <v>N/A</v>
      </c>
      <c r="G66" s="3152">
        <f t="shared" si="0"/>
        <v>0</v>
      </c>
      <c r="H66" s="2333">
        <v>0</v>
      </c>
      <c r="I66" s="3144">
        <f t="shared" si="1"/>
        <v>0</v>
      </c>
      <c r="J66" s="3145"/>
      <c r="K66" s="3195" t="s">
        <v>27964</v>
      </c>
      <c r="L66" s="3193" cm="1">
        <f t="array" ref="L66">_xlfn.IFS(K66="","",K66="Yes",H66,K66="No",E66,K66="Yes with different rate","Please enter value")</f>
        <v>0</v>
      </c>
      <c r="M66" s="3196"/>
      <c r="N66" s="2273"/>
      <c r="O66" s="2331" t="s">
        <v>277</v>
      </c>
      <c r="P66" s="2290" t="s">
        <v>27691</v>
      </c>
      <c r="Q66" s="2290" t="s">
        <v>27689</v>
      </c>
    </row>
    <row r="67" spans="1:17" ht="15" customHeight="1" thickBot="1" x14ac:dyDescent="0.4">
      <c r="A67" s="2314" t="s">
        <v>277</v>
      </c>
      <c r="B67" s="2314" t="s">
        <v>218</v>
      </c>
      <c r="C67" s="2313" t="s">
        <v>214</v>
      </c>
      <c r="D67" s="3149">
        <f>'1_Full_time'!M82</f>
        <v>0</v>
      </c>
      <c r="E67" s="3177">
        <f>IF(D67=0,0,'Table 1 MF'!D61)</f>
        <v>0</v>
      </c>
      <c r="F67" s="3151" t="str">
        <f>IF(D67=0,"N/A",'Table 1 MF'!E61)</f>
        <v>N/A</v>
      </c>
      <c r="G67" s="3152">
        <f t="shared" si="0"/>
        <v>0</v>
      </c>
      <c r="H67" s="2332">
        <v>0</v>
      </c>
      <c r="I67" s="3178">
        <f t="shared" si="1"/>
        <v>0</v>
      </c>
      <c r="J67" s="3179"/>
      <c r="K67" s="3209" t="s">
        <v>27964</v>
      </c>
      <c r="L67" s="3210" cm="1">
        <f t="array" ref="L67">_xlfn.IFS(K67="","",K67="Yes",H67,K67="No",E67,K67="Yes with different rate","Please enter value")</f>
        <v>0</v>
      </c>
      <c r="M67" s="3211"/>
      <c r="N67" s="2273"/>
      <c r="O67" s="2331" t="s">
        <v>277</v>
      </c>
      <c r="P67" s="2290" t="s">
        <v>27691</v>
      </c>
      <c r="Q67" s="2290" t="s">
        <v>27690</v>
      </c>
    </row>
    <row r="68" spans="1:17" ht="15" customHeight="1" thickTop="1" x14ac:dyDescent="0.35">
      <c r="A68" s="2330" t="s">
        <v>27694</v>
      </c>
      <c r="B68" s="2329" t="s">
        <v>204</v>
      </c>
      <c r="C68" s="2328" t="s">
        <v>205</v>
      </c>
      <c r="D68" s="3180">
        <f>'1_Full_time'!M84</f>
        <v>0</v>
      </c>
      <c r="E68" s="3181"/>
      <c r="F68" s="2327"/>
      <c r="G68" s="3182">
        <f>SUM(G8,G18,G28,G38,G48,G58)</f>
        <v>0</v>
      </c>
      <c r="H68" s="2316"/>
      <c r="I68" s="2316"/>
      <c r="J68" s="2315"/>
      <c r="K68" s="2304"/>
      <c r="L68" s="2303"/>
      <c r="M68" s="2303"/>
      <c r="N68" s="2291"/>
      <c r="O68" s="2290" t="s">
        <v>28321</v>
      </c>
      <c r="P68" s="2290" t="s">
        <v>27685</v>
      </c>
      <c r="Q68" s="2290" t="s">
        <v>27686</v>
      </c>
    </row>
    <row r="69" spans="1:17" ht="15" customHeight="1" x14ac:dyDescent="0.35">
      <c r="A69" s="2301" t="s">
        <v>27694</v>
      </c>
      <c r="B69" s="2326" t="s">
        <v>204</v>
      </c>
      <c r="C69" s="2313" t="s">
        <v>208</v>
      </c>
      <c r="D69" s="3159">
        <f>'1_Full_time'!M85</f>
        <v>0</v>
      </c>
      <c r="E69" s="3183"/>
      <c r="F69" s="2317"/>
      <c r="G69" s="3162">
        <f t="shared" ref="G69:G77" si="2">SUM(G9,G19,G29,G39,G49,G59)</f>
        <v>0</v>
      </c>
      <c r="H69" s="2316"/>
      <c r="I69" s="2316"/>
      <c r="J69" s="2315"/>
      <c r="K69" s="2304"/>
      <c r="L69" s="2303"/>
      <c r="M69" s="2303"/>
      <c r="N69" s="2291"/>
      <c r="O69" s="2290" t="s">
        <v>28321</v>
      </c>
      <c r="P69" s="2290" t="s">
        <v>27685</v>
      </c>
      <c r="Q69" s="2290" t="s">
        <v>27687</v>
      </c>
    </row>
    <row r="70" spans="1:17" ht="15" customHeight="1" x14ac:dyDescent="0.35">
      <c r="A70" s="2301" t="s">
        <v>27694</v>
      </c>
      <c r="B70" s="2326" t="s">
        <v>204</v>
      </c>
      <c r="C70" s="2313" t="s">
        <v>210</v>
      </c>
      <c r="D70" s="3159">
        <f>'1_Full_time'!M86</f>
        <v>0</v>
      </c>
      <c r="E70" s="3183"/>
      <c r="F70" s="2317"/>
      <c r="G70" s="3162">
        <f t="shared" si="2"/>
        <v>0</v>
      </c>
      <c r="H70" s="2316"/>
      <c r="I70" s="2316"/>
      <c r="J70" s="2315"/>
      <c r="K70" s="2304"/>
      <c r="L70" s="2303"/>
      <c r="M70" s="2303"/>
      <c r="N70" s="2291"/>
      <c r="O70" s="2290" t="s">
        <v>28321</v>
      </c>
      <c r="P70" s="2290" t="s">
        <v>27685</v>
      </c>
      <c r="Q70" s="2290" t="s">
        <v>27688</v>
      </c>
    </row>
    <row r="71" spans="1:17" ht="15" customHeight="1" x14ac:dyDescent="0.35">
      <c r="A71" s="2301" t="s">
        <v>27694</v>
      </c>
      <c r="B71" s="2326" t="s">
        <v>204</v>
      </c>
      <c r="C71" s="2313" t="s">
        <v>212</v>
      </c>
      <c r="D71" s="3149">
        <f>'1_Full_time'!M87</f>
        <v>0</v>
      </c>
      <c r="E71" s="3184"/>
      <c r="F71" s="2307"/>
      <c r="G71" s="3152">
        <f t="shared" si="2"/>
        <v>0</v>
      </c>
      <c r="H71" s="2306"/>
      <c r="I71" s="2306"/>
      <c r="J71" s="2312"/>
      <c r="K71" s="2304"/>
      <c r="L71" s="2303"/>
      <c r="M71" s="2303"/>
      <c r="N71" s="2291"/>
      <c r="O71" s="2290" t="s">
        <v>28321</v>
      </c>
      <c r="P71" s="2290" t="s">
        <v>27685</v>
      </c>
      <c r="Q71" s="2290" t="s">
        <v>27689</v>
      </c>
    </row>
    <row r="72" spans="1:17" ht="15" customHeight="1" x14ac:dyDescent="0.35">
      <c r="A72" s="2301" t="s">
        <v>27694</v>
      </c>
      <c r="B72" s="2326" t="s">
        <v>204</v>
      </c>
      <c r="C72" s="2313" t="s">
        <v>214</v>
      </c>
      <c r="D72" s="3149">
        <f>'1_Full_time'!M88</f>
        <v>0</v>
      </c>
      <c r="E72" s="3185"/>
      <c r="F72" s="2308"/>
      <c r="G72" s="3152">
        <f t="shared" si="2"/>
        <v>0</v>
      </c>
      <c r="H72" s="2306"/>
      <c r="I72" s="2306"/>
      <c r="J72" s="2305"/>
      <c r="K72" s="2304"/>
      <c r="L72" s="2303"/>
      <c r="M72" s="2302"/>
      <c r="N72" s="2291"/>
      <c r="O72" s="2290" t="s">
        <v>28321</v>
      </c>
      <c r="P72" s="2290" t="s">
        <v>27685</v>
      </c>
      <c r="Q72" s="2290" t="s">
        <v>27690</v>
      </c>
    </row>
    <row r="73" spans="1:17" ht="15" customHeight="1" x14ac:dyDescent="0.35">
      <c r="A73" s="2301" t="s">
        <v>27694</v>
      </c>
      <c r="B73" s="2325" t="s">
        <v>218</v>
      </c>
      <c r="C73" s="2325" t="s">
        <v>205</v>
      </c>
      <c r="D73" s="3186">
        <f>'1_Full_time'!M90</f>
        <v>0</v>
      </c>
      <c r="E73" s="3187"/>
      <c r="F73" s="2324"/>
      <c r="G73" s="3188">
        <f t="shared" si="2"/>
        <v>0</v>
      </c>
      <c r="H73" s="2323"/>
      <c r="I73" s="2323"/>
      <c r="J73" s="2322"/>
      <c r="K73" s="2321"/>
      <c r="L73" s="2320"/>
      <c r="M73" s="2319"/>
      <c r="N73" s="2291"/>
      <c r="O73" s="2290" t="s">
        <v>28321</v>
      </c>
      <c r="P73" s="2290" t="s">
        <v>27691</v>
      </c>
      <c r="Q73" s="2290" t="s">
        <v>27686</v>
      </c>
    </row>
    <row r="74" spans="1:17" ht="15" customHeight="1" x14ac:dyDescent="0.35">
      <c r="A74" s="2301" t="s">
        <v>27694</v>
      </c>
      <c r="B74" s="2314" t="s">
        <v>218</v>
      </c>
      <c r="C74" s="2313" t="s">
        <v>208</v>
      </c>
      <c r="D74" s="3159">
        <f>'1_Full_time'!M91</f>
        <v>0</v>
      </c>
      <c r="E74" s="3183"/>
      <c r="F74" s="2317"/>
      <c r="G74" s="3162">
        <f t="shared" si="2"/>
        <v>0</v>
      </c>
      <c r="H74" s="2316"/>
      <c r="I74" s="2316"/>
      <c r="J74" s="2315"/>
      <c r="K74" s="2304"/>
      <c r="L74" s="2303"/>
      <c r="M74" s="2303"/>
      <c r="N74" s="2291"/>
      <c r="O74" s="2290" t="s">
        <v>28321</v>
      </c>
      <c r="P74" s="2290" t="s">
        <v>27691</v>
      </c>
      <c r="Q74" s="2290" t="s">
        <v>27687</v>
      </c>
    </row>
    <row r="75" spans="1:17" ht="15" customHeight="1" x14ac:dyDescent="0.35">
      <c r="A75" s="2301" t="s">
        <v>27694</v>
      </c>
      <c r="B75" s="2314" t="s">
        <v>218</v>
      </c>
      <c r="C75" s="2313" t="s">
        <v>210</v>
      </c>
      <c r="D75" s="3159">
        <f>'1_Full_time'!M92</f>
        <v>0</v>
      </c>
      <c r="E75" s="3183"/>
      <c r="F75" s="2317"/>
      <c r="G75" s="3162">
        <f t="shared" si="2"/>
        <v>0</v>
      </c>
      <c r="H75" s="2316"/>
      <c r="I75" s="2316"/>
      <c r="J75" s="2315"/>
      <c r="K75" s="2304"/>
      <c r="L75" s="2303"/>
      <c r="M75" s="2303"/>
      <c r="N75" s="2291"/>
      <c r="O75" s="2290" t="s">
        <v>28321</v>
      </c>
      <c r="P75" s="2290" t="s">
        <v>27691</v>
      </c>
      <c r="Q75" s="2290" t="s">
        <v>27688</v>
      </c>
    </row>
    <row r="76" spans="1:17" ht="15" customHeight="1" x14ac:dyDescent="0.35">
      <c r="A76" s="2301" t="s">
        <v>27694</v>
      </c>
      <c r="B76" s="2314" t="s">
        <v>218</v>
      </c>
      <c r="C76" s="2313" t="s">
        <v>212</v>
      </c>
      <c r="D76" s="3149">
        <f>'1_Full_time'!M93</f>
        <v>0</v>
      </c>
      <c r="E76" s="3184"/>
      <c r="F76" s="2307"/>
      <c r="G76" s="3152">
        <f t="shared" si="2"/>
        <v>0</v>
      </c>
      <c r="H76" s="2306"/>
      <c r="I76" s="2306"/>
      <c r="J76" s="2312"/>
      <c r="K76" s="2304"/>
      <c r="L76" s="2303"/>
      <c r="M76" s="2303"/>
      <c r="N76" s="2291"/>
      <c r="O76" s="2290" t="s">
        <v>28321</v>
      </c>
      <c r="P76" s="2290" t="s">
        <v>27691</v>
      </c>
      <c r="Q76" s="2290" t="s">
        <v>27689</v>
      </c>
    </row>
    <row r="77" spans="1:17" ht="15" customHeight="1" thickBot="1" x14ac:dyDescent="0.4">
      <c r="A77" s="2311" t="s">
        <v>27694</v>
      </c>
      <c r="B77" s="2310" t="s">
        <v>218</v>
      </c>
      <c r="C77" s="2309" t="s">
        <v>214</v>
      </c>
      <c r="D77" s="3149">
        <f>'1_Full_time'!M94</f>
        <v>0</v>
      </c>
      <c r="E77" s="3185"/>
      <c r="F77" s="2308"/>
      <c r="G77" s="3152">
        <f t="shared" si="2"/>
        <v>0</v>
      </c>
      <c r="H77" s="2306"/>
      <c r="I77" s="2306"/>
      <c r="J77" s="2305"/>
      <c r="K77" s="2304"/>
      <c r="L77" s="2303"/>
      <c r="M77" s="2302"/>
      <c r="N77" s="2291"/>
      <c r="O77" s="2290" t="s">
        <v>28321</v>
      </c>
      <c r="P77" s="2290" t="s">
        <v>27691</v>
      </c>
      <c r="Q77" s="2290" t="s">
        <v>27690</v>
      </c>
    </row>
    <row r="78" spans="1:17" ht="15" customHeight="1" thickBot="1" x14ac:dyDescent="0.4">
      <c r="A78" s="2311" t="s">
        <v>27694</v>
      </c>
      <c r="B78" s="2300" t="s">
        <v>27695</v>
      </c>
      <c r="C78" s="2299" t="s">
        <v>27696</v>
      </c>
      <c r="D78" s="3189">
        <f>'1_Full_time'!M96</f>
        <v>0</v>
      </c>
      <c r="E78" s="3190"/>
      <c r="F78" s="2297"/>
      <c r="G78" s="3191">
        <f>SUM(G68:G77)</f>
        <v>0</v>
      </c>
      <c r="H78" s="2296"/>
      <c r="I78" s="2296"/>
      <c r="J78" s="2295"/>
      <c r="K78" s="2294"/>
      <c r="L78" s="2293"/>
      <c r="M78" s="2292"/>
      <c r="N78" s="2291"/>
      <c r="O78" s="2290" t="s">
        <v>28321</v>
      </c>
      <c r="P78" s="2290" t="s">
        <v>203</v>
      </c>
      <c r="Q78" s="2290" t="s">
        <v>28321</v>
      </c>
    </row>
    <row r="79" spans="1:17" ht="14.65" hidden="1" customHeight="1" x14ac:dyDescent="0.35">
      <c r="A79" s="2289"/>
      <c r="B79" s="2289"/>
      <c r="C79" s="2288"/>
      <c r="D79" s="2287"/>
      <c r="E79" s="2273"/>
      <c r="F79" s="2273"/>
      <c r="G79" s="2273"/>
      <c r="H79" s="2273"/>
      <c r="I79" s="2273"/>
      <c r="J79" s="2273"/>
      <c r="K79" s="2273"/>
      <c r="L79" s="2273"/>
      <c r="M79" s="2273"/>
    </row>
    <row r="80" spans="1:17" ht="14.65" hidden="1" customHeight="1" x14ac:dyDescent="0.45">
      <c r="C80" s="2286"/>
      <c r="D80"/>
      <c r="E80"/>
      <c r="F80"/>
      <c r="G80" s="3104" t="s">
        <v>29724</v>
      </c>
      <c r="H80" s="2282" t="s">
        <v>29390</v>
      </c>
      <c r="I80" s="2284"/>
      <c r="J80" s="2283" t="s">
        <v>29389</v>
      </c>
      <c r="K80" s="2282" t="s">
        <v>29388</v>
      </c>
      <c r="L80" s="2282" t="s">
        <v>29387</v>
      </c>
      <c r="M80" s="2282" t="s">
        <v>29386</v>
      </c>
      <c r="O80" s="2270"/>
      <c r="P80" s="2270"/>
      <c r="Q80" s="2270"/>
    </row>
    <row r="81" spans="1:16" ht="14.65" customHeight="1" x14ac:dyDescent="0.35">
      <c r="D81" s="773"/>
      <c r="J81" s="2273"/>
      <c r="K81" s="2273"/>
      <c r="L81" s="2273"/>
      <c r="M81" s="2273"/>
      <c r="N81" s="2281"/>
      <c r="O81" s="2281"/>
    </row>
    <row r="82" spans="1:16" ht="14.65" customHeight="1" x14ac:dyDescent="0.35">
      <c r="A82" s="657" t="s">
        <v>29385</v>
      </c>
      <c r="B82" s="657"/>
      <c r="C82" s="657"/>
      <c r="D82" s="1250"/>
      <c r="E82" s="657"/>
      <c r="F82" s="657"/>
      <c r="G82" s="657"/>
      <c r="H82" s="657"/>
      <c r="I82" s="657"/>
      <c r="J82" s="2273"/>
      <c r="K82" s="2273"/>
      <c r="L82" s="2273"/>
      <c r="M82" s="2273"/>
      <c r="N82" s="2281"/>
      <c r="O82" s="2281"/>
    </row>
    <row r="83" spans="1:16" ht="14.65" customHeight="1" x14ac:dyDescent="0.35">
      <c r="A83" s="2269" t="s">
        <v>29753</v>
      </c>
      <c r="D83" s="781"/>
      <c r="J83" s="2273"/>
      <c r="K83" s="2273"/>
      <c r="L83" s="2273"/>
      <c r="M83" s="2273"/>
      <c r="N83" s="2271"/>
      <c r="O83" s="2271"/>
    </row>
    <row r="84" spans="1:16" ht="14.65" customHeight="1" x14ac:dyDescent="0.35">
      <c r="A84" s="2278" t="str">
        <f>'FTE Table 1 Valid'!E75</f>
        <v/>
      </c>
      <c r="D84" s="781"/>
      <c r="J84" s="2273"/>
      <c r="K84" s="2273"/>
      <c r="L84" s="2273"/>
      <c r="M84" s="2273"/>
      <c r="N84" s="2271"/>
      <c r="O84" s="2271"/>
    </row>
    <row r="85" spans="1:16" ht="14.65" customHeight="1" x14ac:dyDescent="0.35">
      <c r="A85" s="2280" t="s">
        <v>29757</v>
      </c>
      <c r="J85" s="2273"/>
      <c r="K85" s="2273"/>
      <c r="L85" s="2273"/>
      <c r="M85" s="2273"/>
    </row>
    <row r="86" spans="1:16" ht="14.65" customHeight="1" x14ac:dyDescent="0.35">
      <c r="A86" s="2279" t="str">
        <f>'FTE Table 1 Valid'!F75</f>
        <v/>
      </c>
      <c r="J86" s="2273"/>
      <c r="K86" s="2273"/>
      <c r="L86" s="2273"/>
      <c r="M86" s="2273"/>
    </row>
    <row r="87" spans="1:16" ht="14.65" customHeight="1" x14ac:dyDescent="0.35">
      <c r="A87" s="2269" t="s">
        <v>29749</v>
      </c>
      <c r="B87" s="1035"/>
      <c r="C87" s="1035"/>
      <c r="D87" s="1035"/>
      <c r="E87" s="1035"/>
      <c r="F87" s="1035"/>
      <c r="G87" s="1035"/>
      <c r="H87" s="1035"/>
      <c r="I87" s="1035"/>
      <c r="J87" s="2273"/>
      <c r="K87" s="2273"/>
      <c r="L87" s="2273"/>
      <c r="M87" s="2273"/>
      <c r="N87" s="1035"/>
      <c r="O87" s="657"/>
      <c r="P87" s="657"/>
    </row>
    <row r="88" spans="1:16" ht="14.25" customHeight="1" x14ac:dyDescent="0.35">
      <c r="A88" s="2274" t="str">
        <f>'FTE Table 1 Valid'!G75</f>
        <v/>
      </c>
      <c r="B88" s="1035"/>
      <c r="C88" s="1035"/>
      <c r="D88" s="1035"/>
      <c r="E88" s="1035"/>
      <c r="F88" s="1035"/>
      <c r="G88" s="1035"/>
      <c r="H88" s="1035"/>
      <c r="I88" s="1035"/>
      <c r="J88" s="2273"/>
      <c r="K88" s="2272"/>
      <c r="L88" s="2272"/>
      <c r="M88" s="2272"/>
      <c r="N88" s="1035"/>
      <c r="O88" s="1035"/>
      <c r="P88" s="1035"/>
    </row>
    <row r="89" spans="1:16" ht="14.65" customHeight="1" x14ac:dyDescent="0.45">
      <c r="A89" s="2269" t="s">
        <v>29750</v>
      </c>
      <c r="C89" s="3148"/>
      <c r="D89" s="1035"/>
      <c r="E89" s="1035"/>
      <c r="F89" s="1035"/>
      <c r="G89" s="1035"/>
      <c r="H89" s="1035"/>
      <c r="I89" s="1035"/>
      <c r="J89" s="2273"/>
    </row>
    <row r="90" spans="1:16" ht="14.65" customHeight="1" x14ac:dyDescent="0.35">
      <c r="A90" s="2278" t="str">
        <f>'FTE Table 1 Valid'!H75</f>
        <v/>
      </c>
      <c r="C90" s="3148"/>
      <c r="D90" s="1035"/>
      <c r="E90" s="1035"/>
      <c r="F90" s="1035"/>
      <c r="G90" s="1035"/>
      <c r="H90" s="1035"/>
      <c r="I90" s="1035"/>
      <c r="J90" s="2273"/>
      <c r="K90" s="2273"/>
      <c r="L90" s="2273"/>
      <c r="M90" s="2273"/>
    </row>
    <row r="91" spans="1:16" ht="14.65" customHeight="1" x14ac:dyDescent="0.35">
      <c r="A91" s="1035" t="s">
        <v>29754</v>
      </c>
      <c r="B91" s="1035"/>
      <c r="C91" s="1035"/>
      <c r="D91" s="1035"/>
      <c r="E91" s="1035"/>
      <c r="F91" s="1035"/>
      <c r="G91" s="1035"/>
      <c r="H91" s="1035"/>
      <c r="I91" s="1035"/>
      <c r="J91" s="2273"/>
      <c r="K91" s="2273"/>
      <c r="L91" s="2273"/>
      <c r="M91" s="2273"/>
    </row>
    <row r="92" spans="1:16" ht="14.65" customHeight="1" x14ac:dyDescent="0.35">
      <c r="A92" s="2278" t="str">
        <f>'FTE Table 1 Valid'!I75</f>
        <v/>
      </c>
      <c r="B92" s="657"/>
      <c r="C92" s="657"/>
      <c r="D92" s="657"/>
      <c r="E92" s="657"/>
      <c r="F92" s="657"/>
      <c r="G92" s="657"/>
      <c r="H92" s="657"/>
      <c r="I92" s="657"/>
      <c r="J92" s="2273"/>
      <c r="K92" s="2273"/>
      <c r="L92" s="2273"/>
      <c r="M92" s="2273"/>
    </row>
    <row r="93" spans="1:16" ht="14.65" customHeight="1" x14ac:dyDescent="0.35">
      <c r="A93" s="2275"/>
      <c r="B93" s="1035"/>
      <c r="C93" s="1035"/>
      <c r="D93" s="1035"/>
      <c r="E93" s="1035"/>
      <c r="F93" s="1035"/>
      <c r="G93" s="1035"/>
      <c r="H93" s="1035"/>
      <c r="I93" s="1035"/>
      <c r="J93" s="2273"/>
      <c r="K93" s="2273"/>
      <c r="L93" s="2273"/>
      <c r="M93" s="2273"/>
      <c r="N93" s="1035"/>
      <c r="O93" s="1035"/>
      <c r="P93" s="1035"/>
    </row>
    <row r="94" spans="1:16" ht="12.75" customHeight="1" x14ac:dyDescent="0.35">
      <c r="B94" s="1035"/>
      <c r="C94" s="1035"/>
      <c r="D94" s="1035"/>
      <c r="E94" s="1035"/>
      <c r="F94" s="1035"/>
      <c r="G94" s="1035"/>
      <c r="H94" s="1035"/>
      <c r="I94" s="1035"/>
      <c r="J94" s="2272"/>
      <c r="K94" s="2272"/>
      <c r="L94" s="2272"/>
      <c r="M94" s="2272"/>
      <c r="N94" s="1035"/>
      <c r="O94" s="1035"/>
      <c r="P94" s="1035"/>
    </row>
    <row r="95" spans="1:16" ht="12.75" customHeight="1" x14ac:dyDescent="0.35">
      <c r="B95" s="1035"/>
      <c r="C95" s="1035"/>
      <c r="D95" s="1035"/>
      <c r="E95" s="1035"/>
      <c r="F95" s="1035"/>
      <c r="G95" s="1035"/>
      <c r="H95" s="1035"/>
      <c r="I95" s="1035"/>
      <c r="J95" s="2272"/>
      <c r="K95" s="2271"/>
      <c r="L95" s="2271"/>
      <c r="M95" s="2271"/>
      <c r="N95" s="1035"/>
      <c r="O95" s="1035"/>
      <c r="P95" s="1035"/>
    </row>
    <row r="96" spans="1:16" ht="12.75" customHeight="1" x14ac:dyDescent="0.45">
      <c r="A96" s="1035"/>
      <c r="B96" s="1035"/>
      <c r="C96" s="1035"/>
      <c r="D96" s="1035"/>
      <c r="E96" s="1035"/>
      <c r="F96" s="1035"/>
      <c r="G96" s="1035"/>
      <c r="H96" s="1035"/>
      <c r="I96" s="1035"/>
      <c r="J96" s="2271"/>
      <c r="N96" s="1035"/>
      <c r="O96" s="1035"/>
      <c r="P96" s="1035"/>
    </row>
    <row r="97" spans="1:16" x14ac:dyDescent="0.45">
      <c r="A97" s="1035"/>
      <c r="B97" s="1035"/>
      <c r="C97" s="1035"/>
      <c r="D97" s="1035"/>
      <c r="E97" s="1035"/>
      <c r="F97" s="1035"/>
      <c r="G97" s="1035"/>
      <c r="H97" s="1035"/>
      <c r="I97" s="1035"/>
      <c r="N97" s="1035"/>
      <c r="O97" s="1035"/>
      <c r="P97" s="1035"/>
    </row>
    <row r="98" spans="1:16" s="657" customFormat="1" ht="20.65" customHeight="1" x14ac:dyDescent="0.45">
      <c r="A98" s="2269"/>
      <c r="B98" s="2269"/>
      <c r="C98" s="2269"/>
      <c r="D98" s="2269"/>
      <c r="E98" s="2269"/>
      <c r="F98" s="2269"/>
      <c r="G98" s="2269"/>
      <c r="H98" s="2269"/>
      <c r="I98" s="2269"/>
      <c r="K98" s="2270"/>
      <c r="L98" s="2270"/>
      <c r="M98" s="2270"/>
      <c r="N98" s="1035"/>
      <c r="O98" s="1035"/>
      <c r="P98" s="1035"/>
    </row>
    <row r="99" spans="1:16" ht="14.65" customHeight="1" x14ac:dyDescent="0.45">
      <c r="N99" s="1035"/>
      <c r="O99" s="1035"/>
      <c r="P99" s="1035"/>
    </row>
    <row r="100" spans="1:16" ht="14.65" customHeight="1" x14ac:dyDescent="0.45">
      <c r="N100" s="1035"/>
      <c r="O100" s="1035"/>
      <c r="P100" s="1035"/>
    </row>
    <row r="101" spans="1:16" ht="14.65" customHeight="1" x14ac:dyDescent="0.45">
      <c r="J101" s="1035"/>
    </row>
    <row r="102" spans="1:16" ht="14.65" customHeight="1" x14ac:dyDescent="0.45">
      <c r="J102" s="1035"/>
    </row>
    <row r="103" spans="1:16" ht="14.65" customHeight="1" x14ac:dyDescent="0.45">
      <c r="J103" s="1035"/>
    </row>
    <row r="104" spans="1:16" x14ac:dyDescent="0.45">
      <c r="J104" s="1035"/>
    </row>
    <row r="105" spans="1:16" s="1035" customFormat="1" x14ac:dyDescent="0.45">
      <c r="A105" s="2269"/>
      <c r="B105" s="2269"/>
      <c r="C105" s="2269"/>
      <c r="D105" s="2269"/>
      <c r="E105" s="2269"/>
      <c r="F105" s="2269"/>
      <c r="G105" s="2269"/>
      <c r="H105" s="2269"/>
      <c r="I105" s="2269"/>
      <c r="K105" s="2270"/>
      <c r="L105" s="2270"/>
      <c r="M105" s="2270"/>
      <c r="N105" s="2269"/>
      <c r="O105" s="2269"/>
      <c r="P105" s="2269"/>
    </row>
    <row r="106" spans="1:16" s="657" customFormat="1" ht="20.65" customHeight="1" x14ac:dyDescent="0.45">
      <c r="A106" s="2269"/>
      <c r="B106" s="2269"/>
      <c r="C106" s="2269"/>
      <c r="D106" s="2269"/>
      <c r="E106" s="2269"/>
      <c r="F106" s="2269"/>
      <c r="G106" s="2269"/>
      <c r="H106" s="2269"/>
      <c r="I106" s="2269"/>
      <c r="K106" s="2270"/>
      <c r="L106" s="2270"/>
      <c r="M106" s="2270"/>
      <c r="N106" s="2269"/>
      <c r="O106" s="2269"/>
      <c r="P106" s="2269"/>
    </row>
    <row r="107" spans="1:16" s="1035" customFormat="1" ht="14.65" customHeight="1" x14ac:dyDescent="0.45">
      <c r="A107" s="2269"/>
      <c r="B107" s="2269"/>
      <c r="C107" s="2269"/>
      <c r="D107" s="2269"/>
      <c r="E107" s="2269"/>
      <c r="F107" s="2269"/>
      <c r="G107" s="2269"/>
      <c r="H107" s="2269"/>
      <c r="I107" s="2269"/>
      <c r="K107" s="2270"/>
      <c r="L107" s="2270"/>
      <c r="M107" s="2270"/>
      <c r="N107" s="2269"/>
      <c r="O107" s="2269"/>
      <c r="P107" s="2269"/>
    </row>
    <row r="108" spans="1:16" s="1035" customFormat="1" ht="14.65" customHeight="1" x14ac:dyDescent="0.45">
      <c r="A108" s="2269"/>
      <c r="B108" s="2269"/>
      <c r="C108" s="2269"/>
      <c r="D108" s="2269"/>
      <c r="E108" s="2269"/>
      <c r="F108" s="2269"/>
      <c r="G108" s="2269"/>
      <c r="H108" s="2269"/>
      <c r="I108" s="2269"/>
      <c r="K108" s="2270"/>
      <c r="L108" s="2270"/>
      <c r="M108" s="2270"/>
      <c r="N108" s="2269"/>
      <c r="O108" s="2269"/>
      <c r="P108" s="2269"/>
    </row>
    <row r="109" spans="1:16" s="1035" customFormat="1" ht="14.65" customHeight="1" x14ac:dyDescent="0.45">
      <c r="A109" s="2269"/>
      <c r="B109" s="2269"/>
      <c r="C109" s="2269"/>
      <c r="D109" s="2269"/>
      <c r="E109" s="2269"/>
      <c r="F109" s="2269"/>
      <c r="G109" s="2269"/>
      <c r="H109" s="2269"/>
      <c r="I109" s="2269"/>
      <c r="K109" s="2270"/>
      <c r="L109" s="2270"/>
      <c r="M109" s="2270"/>
      <c r="N109" s="2269"/>
      <c r="O109" s="2269"/>
      <c r="P109" s="2269"/>
    </row>
    <row r="110" spans="1:16" s="1035" customFormat="1" x14ac:dyDescent="0.45">
      <c r="A110" s="2269"/>
      <c r="B110" s="2269"/>
      <c r="C110" s="2269"/>
      <c r="D110" s="2269"/>
      <c r="E110" s="2269"/>
      <c r="F110" s="2269"/>
      <c r="G110" s="2269"/>
      <c r="H110" s="2269"/>
      <c r="I110" s="2269"/>
      <c r="K110" s="2270"/>
      <c r="L110" s="2270"/>
      <c r="M110" s="2270"/>
      <c r="N110" s="2269"/>
      <c r="O110" s="2269"/>
      <c r="P110" s="2269"/>
    </row>
    <row r="111" spans="1:16" s="1035" customFormat="1" x14ac:dyDescent="0.45">
      <c r="A111" s="2269"/>
      <c r="B111" s="2269"/>
      <c r="C111" s="2269"/>
      <c r="D111" s="2269"/>
      <c r="E111" s="2269"/>
      <c r="F111" s="2269"/>
      <c r="G111" s="2269"/>
      <c r="H111" s="2269"/>
      <c r="I111" s="2269"/>
      <c r="K111" s="2270"/>
      <c r="L111" s="2270"/>
      <c r="M111" s="2270"/>
      <c r="N111" s="2269"/>
      <c r="O111" s="2269"/>
      <c r="P111" s="2269"/>
    </row>
    <row r="112" spans="1:16" s="1035" customFormat="1" x14ac:dyDescent="0.45">
      <c r="A112" s="2269"/>
      <c r="B112" s="2269"/>
      <c r="C112" s="2269"/>
      <c r="D112" s="2269"/>
      <c r="E112" s="2269"/>
      <c r="F112" s="2269"/>
      <c r="G112" s="2269"/>
      <c r="H112" s="2269"/>
      <c r="I112" s="2269"/>
      <c r="K112" s="2270"/>
      <c r="L112" s="2270"/>
      <c r="M112" s="2270"/>
      <c r="N112" s="2269"/>
      <c r="O112" s="2269"/>
      <c r="P112" s="2269"/>
    </row>
    <row r="113" spans="1:16" s="1035" customFormat="1" ht="12.75" customHeight="1" x14ac:dyDescent="0.45">
      <c r="A113" s="2269"/>
      <c r="B113" s="2269"/>
      <c r="C113" s="2269"/>
      <c r="D113" s="2269"/>
      <c r="E113" s="2269"/>
      <c r="F113" s="2269"/>
      <c r="G113" s="2269"/>
      <c r="H113" s="2269"/>
      <c r="I113" s="2269"/>
      <c r="K113" s="2270"/>
      <c r="L113" s="2270"/>
      <c r="M113" s="2270"/>
      <c r="N113" s="2269"/>
      <c r="O113" s="2269"/>
      <c r="P113" s="2269"/>
    </row>
    <row r="114" spans="1:16" s="1035" customFormat="1" x14ac:dyDescent="0.45">
      <c r="A114" s="2269"/>
      <c r="B114" s="2269"/>
      <c r="C114" s="2269"/>
      <c r="D114" s="2269"/>
      <c r="E114" s="2269"/>
      <c r="F114" s="2269"/>
      <c r="G114" s="2269"/>
      <c r="H114" s="2269"/>
      <c r="I114" s="2269"/>
      <c r="K114" s="2270"/>
      <c r="L114" s="2270"/>
      <c r="M114" s="2270"/>
      <c r="N114" s="2269"/>
      <c r="O114" s="2269"/>
      <c r="P114" s="2269"/>
    </row>
  </sheetData>
  <sheetProtection algorithmName="SHA-512" hashValue="L7qJCuZnLxu8RNxMMHBSAeWSiQVhyG3SPED8oYuSkt/iDw+U35yHOyj5JxhJpCgYUB0K2wqS/m2b1f6Sdqjh2Q==" saltValue="LkjRoSDjWFeFXv8RE7aONg==" spinCount="100000" sheet="1" objects="1" scenarios="1"/>
  <protectedRanges>
    <protectedRange sqref="J8:J67" name="FullTime"/>
    <protectedRange sqref="K8:M78" name="PartTime_60"/>
  </protectedRanges>
  <conditionalFormatting sqref="D8:M78">
    <cfRule type="cellIs" dxfId="52" priority="3" operator="equal">
      <formula>0</formula>
    </cfRule>
  </conditionalFormatting>
  <conditionalFormatting sqref="F8:F78">
    <cfRule type="expression" dxfId="51" priority="11">
      <formula>IF(AND(F8="N/A",D8=0),1,0)</formula>
    </cfRule>
  </conditionalFormatting>
  <conditionalFormatting sqref="H4">
    <cfRule type="cellIs" dxfId="50" priority="1" operator="notEqual">
      <formula>"Validation: OK"</formula>
    </cfRule>
  </conditionalFormatting>
  <conditionalFormatting sqref="H8:H67">
    <cfRule type="expression" dxfId="49" priority="2">
      <formula>IF($G8=0, 1, 0)</formula>
    </cfRule>
  </conditionalFormatting>
  <conditionalFormatting sqref="I8:J67">
    <cfRule type="expression" dxfId="48" priority="414562">
      <formula>IF($H8=0,1,0)</formula>
    </cfRule>
  </conditionalFormatting>
  <conditionalFormatting sqref="J4">
    <cfRule type="cellIs" dxfId="47" priority="9" operator="notEqual">
      <formula>"Validation: OK"</formula>
    </cfRule>
  </conditionalFormatting>
  <conditionalFormatting sqref="K8:K67">
    <cfRule type="cellIs" dxfId="46" priority="10" operator="equal">
      <formula>"No"</formula>
    </cfRule>
  </conditionalFormatting>
  <dataValidations count="4">
    <dataValidation type="custom" allowBlank="1" showInputMessage="1" showErrorMessage="1" errorTitle="Validation check" error="This cell can only contain numbers between 0 and 1 to two decimal places." sqref="H8:H67" xr:uid="{A6CB5D35-C313-4AA8-BD40-1A23DDAD0669}">
      <formula1>AND(H8&lt;=1,H8&gt;=0,ROUND(H8,2)=H8)</formula1>
    </dataValidation>
    <dataValidation type="custom" allowBlank="1" showInputMessage="1" showErrorMessage="1" errorTitle="Validation check" error="Table 1, Column 1 can only contain postive values up to two decimal places or zero." sqref="D8:E67 G8:G77" xr:uid="{7D878507-556D-4DEE-A382-A102F9484B36}">
      <formula1>AND(D8&gt;=0,ROUND(D8,2)=D8)</formula1>
    </dataValidation>
    <dataValidation type="custom" allowBlank="1" showInputMessage="1" showErrorMessage="1" errorTitle="Validation check" error="This cell can only contain numbers between 0 and 1 to two decimal places" sqref="I8:I67 L8:L67" xr:uid="{03A29D12-CA9E-4B81-9A0E-C8C071D42B0C}">
      <formula1>AND(I8&lt;=1,I8&gt;=0,ROUND(I8,2)=I8)</formula1>
    </dataValidation>
    <dataValidation type="custom" allowBlank="1" showInputMessage="1" showErrorMessage="1" errorTitle="Please check the following:" error="1. A representation multiplication factor has been entered._x000a_2. The explanation is within 2000 characters." sqref="J8:J67" xr:uid="{017C7D5C-9AE4-4240-86F3-0E71CB8B909A}">
      <formula1>AND($H8&lt;&gt;0, LEN($J8)&lt;=2000)</formula1>
    </dataValidation>
  </dataValidations>
  <pageMargins left="0.70866141732283472" right="0.70866141732283472" top="0.74803149606299213" bottom="0.74803149606299213" header="0.31496062992125984" footer="0.31496062992125984"/>
  <pageSetup paperSize="8" scale="57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98B07-4878-4CD8-B49E-46238EB80309}">
  <sheetPr codeName="Sheet27"/>
  <dimension ref="A1:I63"/>
  <sheetViews>
    <sheetView workbookViewId="0"/>
  </sheetViews>
  <sheetFormatPr defaultColWidth="9.1328125" defaultRowHeight="14.25" x14ac:dyDescent="0.45"/>
  <cols>
    <col min="1" max="3" width="18" style="2270" customWidth="1"/>
    <col min="4" max="5" width="21.86328125" style="2270" customWidth="1"/>
    <col min="6" max="6" width="9.1328125" style="2270"/>
    <col min="7" max="7" width="11.86328125" style="2270" customWidth="1"/>
    <col min="8" max="8" width="10.73046875" style="2270" customWidth="1"/>
    <col min="9" max="16384" width="9.1328125" style="2270"/>
  </cols>
  <sheetData>
    <row r="1" spans="1:9" x14ac:dyDescent="0.45">
      <c r="A1" s="2354" t="s">
        <v>200</v>
      </c>
      <c r="B1" s="2353" t="s">
        <v>56</v>
      </c>
      <c r="C1" s="3007" t="s">
        <v>57</v>
      </c>
      <c r="D1" s="3006" t="s">
        <v>29392</v>
      </c>
      <c r="E1" s="3006" t="s">
        <v>29735</v>
      </c>
      <c r="G1" s="2344" t="s">
        <v>63</v>
      </c>
      <c r="H1" s="2344" t="s">
        <v>315</v>
      </c>
      <c r="I1" s="2344" t="s">
        <v>66</v>
      </c>
    </row>
    <row r="2" spans="1:9" x14ac:dyDescent="0.45">
      <c r="A2" s="2340" t="s">
        <v>203</v>
      </c>
      <c r="B2" s="2340" t="s">
        <v>204</v>
      </c>
      <c r="C2" s="3005" t="s">
        <v>205</v>
      </c>
      <c r="D2" s="3004">
        <v>0</v>
      </c>
      <c r="E2" s="3105"/>
      <c r="G2" s="2290" t="s">
        <v>203</v>
      </c>
      <c r="H2" s="2290" t="s">
        <v>27685</v>
      </c>
      <c r="I2" s="2290" t="s">
        <v>27686</v>
      </c>
    </row>
    <row r="3" spans="1:9" x14ac:dyDescent="0.45">
      <c r="A3" s="2326" t="s">
        <v>203</v>
      </c>
      <c r="B3" s="2326" t="s">
        <v>204</v>
      </c>
      <c r="C3" s="2998" t="s">
        <v>208</v>
      </c>
      <c r="D3" s="3002">
        <v>0</v>
      </c>
      <c r="E3" s="3106"/>
      <c r="G3" s="2290" t="s">
        <v>203</v>
      </c>
      <c r="H3" s="2290" t="s">
        <v>27685</v>
      </c>
      <c r="I3" s="2290" t="s">
        <v>27687</v>
      </c>
    </row>
    <row r="4" spans="1:9" x14ac:dyDescent="0.45">
      <c r="A4" s="2326" t="s">
        <v>203</v>
      </c>
      <c r="B4" s="2326" t="s">
        <v>204</v>
      </c>
      <c r="C4" s="2998" t="s">
        <v>210</v>
      </c>
      <c r="D4" s="3002">
        <v>0</v>
      </c>
      <c r="E4" s="3106"/>
      <c r="G4" s="2290" t="s">
        <v>203</v>
      </c>
      <c r="H4" s="2290" t="s">
        <v>27685</v>
      </c>
      <c r="I4" s="2290" t="s">
        <v>27688</v>
      </c>
    </row>
    <row r="5" spans="1:9" x14ac:dyDescent="0.45">
      <c r="A5" s="2326" t="s">
        <v>203</v>
      </c>
      <c r="B5" s="2326" t="s">
        <v>204</v>
      </c>
      <c r="C5" s="2998" t="s">
        <v>212</v>
      </c>
      <c r="D5" s="2997">
        <v>0</v>
      </c>
      <c r="E5" s="3109"/>
      <c r="G5" s="2290" t="s">
        <v>203</v>
      </c>
      <c r="H5" s="2290" t="s">
        <v>27685</v>
      </c>
      <c r="I5" s="2290" t="s">
        <v>27689</v>
      </c>
    </row>
    <row r="6" spans="1:9" x14ac:dyDescent="0.45">
      <c r="A6" s="2326" t="s">
        <v>203</v>
      </c>
      <c r="B6" s="2337" t="s">
        <v>204</v>
      </c>
      <c r="C6" s="3003" t="s">
        <v>214</v>
      </c>
      <c r="D6" s="3002">
        <v>0</v>
      </c>
      <c r="E6" s="3106"/>
      <c r="G6" s="2290" t="s">
        <v>203</v>
      </c>
      <c r="H6" s="2290" t="s">
        <v>27685</v>
      </c>
      <c r="I6" s="2290" t="s">
        <v>27690</v>
      </c>
    </row>
    <row r="7" spans="1:9" x14ac:dyDescent="0.45">
      <c r="A7" s="2326" t="s">
        <v>203</v>
      </c>
      <c r="B7" s="2313" t="s">
        <v>218</v>
      </c>
      <c r="C7" s="2998" t="s">
        <v>205</v>
      </c>
      <c r="D7" s="3001">
        <v>0</v>
      </c>
      <c r="E7" s="3110"/>
      <c r="G7" s="2290" t="s">
        <v>203</v>
      </c>
      <c r="H7" s="2290" t="s">
        <v>27691</v>
      </c>
      <c r="I7" s="2290" t="s">
        <v>27686</v>
      </c>
    </row>
    <row r="8" spans="1:9" x14ac:dyDescent="0.45">
      <c r="A8" s="2326" t="s">
        <v>203</v>
      </c>
      <c r="B8" s="2314" t="s">
        <v>218</v>
      </c>
      <c r="C8" s="2998" t="s">
        <v>208</v>
      </c>
      <c r="D8" s="3001">
        <v>0</v>
      </c>
      <c r="E8" s="3110"/>
      <c r="G8" s="2290" t="s">
        <v>203</v>
      </c>
      <c r="H8" s="2290" t="s">
        <v>27691</v>
      </c>
      <c r="I8" s="2290" t="s">
        <v>27687</v>
      </c>
    </row>
    <row r="9" spans="1:9" x14ac:dyDescent="0.45">
      <c r="A9" s="2326" t="s">
        <v>203</v>
      </c>
      <c r="B9" s="2314" t="s">
        <v>218</v>
      </c>
      <c r="C9" s="2998" t="s">
        <v>210</v>
      </c>
      <c r="D9" s="3001">
        <v>0</v>
      </c>
      <c r="E9" s="3110"/>
      <c r="G9" s="2290" t="s">
        <v>203</v>
      </c>
      <c r="H9" s="2290" t="s">
        <v>27691</v>
      </c>
      <c r="I9" s="2290" t="s">
        <v>27688</v>
      </c>
    </row>
    <row r="10" spans="1:9" x14ac:dyDescent="0.45">
      <c r="A10" s="2326" t="s">
        <v>203</v>
      </c>
      <c r="B10" s="2314" t="s">
        <v>218</v>
      </c>
      <c r="C10" s="2998" t="s">
        <v>212</v>
      </c>
      <c r="D10" s="2997">
        <v>0</v>
      </c>
      <c r="E10" s="3109"/>
      <c r="G10" s="2290" t="s">
        <v>203</v>
      </c>
      <c r="H10" s="2290" t="s">
        <v>27691</v>
      </c>
      <c r="I10" s="2290" t="s">
        <v>27689</v>
      </c>
    </row>
    <row r="11" spans="1:9" x14ac:dyDescent="0.45">
      <c r="A11" s="2326" t="s">
        <v>203</v>
      </c>
      <c r="B11" s="2314" t="s">
        <v>218</v>
      </c>
      <c r="C11" s="2998" t="s">
        <v>214</v>
      </c>
      <c r="D11" s="2997">
        <v>0</v>
      </c>
      <c r="E11" s="3109"/>
      <c r="G11" s="2290" t="s">
        <v>203</v>
      </c>
      <c r="H11" s="2290" t="s">
        <v>27691</v>
      </c>
      <c r="I11" s="2290" t="s">
        <v>27690</v>
      </c>
    </row>
    <row r="12" spans="1:9" x14ac:dyDescent="0.45">
      <c r="A12" s="2340" t="s">
        <v>225</v>
      </c>
      <c r="B12" s="2340" t="s">
        <v>204</v>
      </c>
      <c r="C12" s="3005" t="s">
        <v>205</v>
      </c>
      <c r="D12" s="3004">
        <v>0</v>
      </c>
      <c r="E12" s="3105"/>
      <c r="G12" s="2290" t="s">
        <v>225</v>
      </c>
      <c r="H12" s="2290" t="s">
        <v>27685</v>
      </c>
      <c r="I12" s="2290" t="s">
        <v>27686</v>
      </c>
    </row>
    <row r="13" spans="1:9" x14ac:dyDescent="0.45">
      <c r="A13" s="2326" t="s">
        <v>225</v>
      </c>
      <c r="B13" s="2326" t="s">
        <v>204</v>
      </c>
      <c r="C13" s="2998" t="s">
        <v>208</v>
      </c>
      <c r="D13" s="3000">
        <v>0</v>
      </c>
      <c r="E13" s="3111"/>
      <c r="G13" s="2290" t="s">
        <v>225</v>
      </c>
      <c r="H13" s="2290" t="s">
        <v>27685</v>
      </c>
      <c r="I13" s="2290" t="s">
        <v>27687</v>
      </c>
    </row>
    <row r="14" spans="1:9" x14ac:dyDescent="0.45">
      <c r="A14" s="2326" t="s">
        <v>225</v>
      </c>
      <c r="B14" s="2326" t="s">
        <v>204</v>
      </c>
      <c r="C14" s="2998" t="s">
        <v>210</v>
      </c>
      <c r="D14" s="2999">
        <v>0</v>
      </c>
      <c r="E14" s="3112"/>
      <c r="G14" s="2290" t="s">
        <v>225</v>
      </c>
      <c r="H14" s="2290" t="s">
        <v>27685</v>
      </c>
      <c r="I14" s="2290" t="s">
        <v>27688</v>
      </c>
    </row>
    <row r="15" spans="1:9" x14ac:dyDescent="0.45">
      <c r="A15" s="2326" t="s">
        <v>225</v>
      </c>
      <c r="B15" s="2326" t="s">
        <v>204</v>
      </c>
      <c r="C15" s="2998" t="s">
        <v>212</v>
      </c>
      <c r="D15" s="2997">
        <v>0</v>
      </c>
      <c r="E15" s="3109"/>
      <c r="G15" s="2290" t="s">
        <v>225</v>
      </c>
      <c r="H15" s="2290" t="s">
        <v>27685</v>
      </c>
      <c r="I15" s="2290" t="s">
        <v>27689</v>
      </c>
    </row>
    <row r="16" spans="1:9" x14ac:dyDescent="0.45">
      <c r="A16" s="2326" t="s">
        <v>225</v>
      </c>
      <c r="B16" s="2337" t="s">
        <v>204</v>
      </c>
      <c r="C16" s="3003" t="s">
        <v>214</v>
      </c>
      <c r="D16" s="3002">
        <v>0</v>
      </c>
      <c r="E16" s="3106"/>
      <c r="G16" s="2290" t="s">
        <v>225</v>
      </c>
      <c r="H16" s="2290" t="s">
        <v>27685</v>
      </c>
      <c r="I16" s="2290" t="s">
        <v>27690</v>
      </c>
    </row>
    <row r="17" spans="1:9" x14ac:dyDescent="0.45">
      <c r="A17" s="2326" t="s">
        <v>225</v>
      </c>
      <c r="B17" s="2313" t="s">
        <v>218</v>
      </c>
      <c r="C17" s="2998" t="s">
        <v>205</v>
      </c>
      <c r="D17" s="3001">
        <v>0</v>
      </c>
      <c r="E17" s="3110"/>
      <c r="G17" s="2290" t="s">
        <v>225</v>
      </c>
      <c r="H17" s="2290" t="s">
        <v>27691</v>
      </c>
      <c r="I17" s="2290" t="s">
        <v>27686</v>
      </c>
    </row>
    <row r="18" spans="1:9" x14ac:dyDescent="0.45">
      <c r="A18" s="2326" t="s">
        <v>225</v>
      </c>
      <c r="B18" s="2314" t="s">
        <v>218</v>
      </c>
      <c r="C18" s="2998" t="s">
        <v>208</v>
      </c>
      <c r="D18" s="3000">
        <v>0</v>
      </c>
      <c r="E18" s="3111"/>
      <c r="G18" s="2290" t="s">
        <v>225</v>
      </c>
      <c r="H18" s="2290" t="s">
        <v>27691</v>
      </c>
      <c r="I18" s="2290" t="s">
        <v>27687</v>
      </c>
    </row>
    <row r="19" spans="1:9" x14ac:dyDescent="0.45">
      <c r="A19" s="2326" t="s">
        <v>225</v>
      </c>
      <c r="B19" s="2314" t="s">
        <v>218</v>
      </c>
      <c r="C19" s="2998" t="s">
        <v>210</v>
      </c>
      <c r="D19" s="2999">
        <v>0</v>
      </c>
      <c r="E19" s="3112"/>
      <c r="G19" s="2290" t="s">
        <v>225</v>
      </c>
      <c r="H19" s="2290" t="s">
        <v>27691</v>
      </c>
      <c r="I19" s="2290" t="s">
        <v>27688</v>
      </c>
    </row>
    <row r="20" spans="1:9" x14ac:dyDescent="0.45">
      <c r="A20" s="2326" t="s">
        <v>225</v>
      </c>
      <c r="B20" s="2314" t="s">
        <v>218</v>
      </c>
      <c r="C20" s="2998" t="s">
        <v>212</v>
      </c>
      <c r="D20" s="2997">
        <v>0</v>
      </c>
      <c r="E20" s="3109"/>
      <c r="G20" s="2290" t="s">
        <v>225</v>
      </c>
      <c r="H20" s="2290" t="s">
        <v>27691</v>
      </c>
      <c r="I20" s="2290" t="s">
        <v>27689</v>
      </c>
    </row>
    <row r="21" spans="1:9" x14ac:dyDescent="0.45">
      <c r="A21" s="2326" t="s">
        <v>225</v>
      </c>
      <c r="B21" s="2314" t="s">
        <v>218</v>
      </c>
      <c r="C21" s="2998" t="s">
        <v>214</v>
      </c>
      <c r="D21" s="2997">
        <v>0</v>
      </c>
      <c r="E21" s="3109"/>
      <c r="G21" s="2290" t="s">
        <v>225</v>
      </c>
      <c r="H21" s="2290" t="s">
        <v>27691</v>
      </c>
      <c r="I21" s="2290" t="s">
        <v>27690</v>
      </c>
    </row>
    <row r="22" spans="1:9" x14ac:dyDescent="0.45">
      <c r="A22" s="2339" t="s">
        <v>238</v>
      </c>
      <c r="B22" s="2340" t="s">
        <v>204</v>
      </c>
      <c r="C22" s="3005" t="s">
        <v>205</v>
      </c>
      <c r="D22" s="3004">
        <v>0</v>
      </c>
      <c r="E22" s="3105"/>
      <c r="G22" s="2331" t="s">
        <v>27692</v>
      </c>
      <c r="H22" s="2290" t="s">
        <v>27685</v>
      </c>
      <c r="I22" s="2290" t="s">
        <v>27686</v>
      </c>
    </row>
    <row r="23" spans="1:9" x14ac:dyDescent="0.45">
      <c r="A23" s="2314" t="s">
        <v>238</v>
      </c>
      <c r="B23" s="2326" t="s">
        <v>204</v>
      </c>
      <c r="C23" s="2998" t="s">
        <v>208</v>
      </c>
      <c r="D23" s="3000">
        <v>0</v>
      </c>
      <c r="E23" s="3111"/>
      <c r="G23" s="2331" t="s">
        <v>27692</v>
      </c>
      <c r="H23" s="2290" t="s">
        <v>27685</v>
      </c>
      <c r="I23" s="2290" t="s">
        <v>27687</v>
      </c>
    </row>
    <row r="24" spans="1:9" x14ac:dyDescent="0.45">
      <c r="A24" s="2314" t="s">
        <v>238</v>
      </c>
      <c r="B24" s="2326" t="s">
        <v>204</v>
      </c>
      <c r="C24" s="2998" t="s">
        <v>210</v>
      </c>
      <c r="D24" s="2999">
        <v>0</v>
      </c>
      <c r="E24" s="3112"/>
      <c r="G24" s="2331" t="s">
        <v>27692</v>
      </c>
      <c r="H24" s="2290" t="s">
        <v>27685</v>
      </c>
      <c r="I24" s="2290" t="s">
        <v>27688</v>
      </c>
    </row>
    <row r="25" spans="1:9" x14ac:dyDescent="0.45">
      <c r="A25" s="2314" t="s">
        <v>238</v>
      </c>
      <c r="B25" s="2326" t="s">
        <v>204</v>
      </c>
      <c r="C25" s="2998" t="s">
        <v>212</v>
      </c>
      <c r="D25" s="2997">
        <v>0</v>
      </c>
      <c r="E25" s="3109"/>
      <c r="G25" s="2331" t="s">
        <v>27692</v>
      </c>
      <c r="H25" s="2290" t="s">
        <v>27685</v>
      </c>
      <c r="I25" s="2290" t="s">
        <v>27689</v>
      </c>
    </row>
    <row r="26" spans="1:9" x14ac:dyDescent="0.45">
      <c r="A26" s="2342" t="s">
        <v>238</v>
      </c>
      <c r="B26" s="2337" t="s">
        <v>204</v>
      </c>
      <c r="C26" s="3003" t="s">
        <v>214</v>
      </c>
      <c r="D26" s="3002">
        <v>0</v>
      </c>
      <c r="E26" s="3106"/>
      <c r="G26" s="2331" t="s">
        <v>27692</v>
      </c>
      <c r="H26" s="2290" t="s">
        <v>27685</v>
      </c>
      <c r="I26" s="2290" t="s">
        <v>27690</v>
      </c>
    </row>
    <row r="27" spans="1:9" x14ac:dyDescent="0.45">
      <c r="A27" s="2314" t="s">
        <v>238</v>
      </c>
      <c r="B27" s="2313" t="s">
        <v>218</v>
      </c>
      <c r="C27" s="2998" t="s">
        <v>205</v>
      </c>
      <c r="D27" s="3001">
        <v>0</v>
      </c>
      <c r="E27" s="3110"/>
      <c r="G27" s="2331" t="s">
        <v>27692</v>
      </c>
      <c r="H27" s="2290" t="s">
        <v>27691</v>
      </c>
      <c r="I27" s="2290" t="s">
        <v>27686</v>
      </c>
    </row>
    <row r="28" spans="1:9" x14ac:dyDescent="0.45">
      <c r="A28" s="2314" t="s">
        <v>238</v>
      </c>
      <c r="B28" s="2314" t="s">
        <v>218</v>
      </c>
      <c r="C28" s="2998" t="s">
        <v>208</v>
      </c>
      <c r="D28" s="3000">
        <v>0</v>
      </c>
      <c r="E28" s="3111"/>
      <c r="G28" s="2331" t="s">
        <v>27692</v>
      </c>
      <c r="H28" s="2290" t="s">
        <v>27691</v>
      </c>
      <c r="I28" s="2290" t="s">
        <v>27687</v>
      </c>
    </row>
    <row r="29" spans="1:9" x14ac:dyDescent="0.45">
      <c r="A29" s="2314" t="s">
        <v>238</v>
      </c>
      <c r="B29" s="2314" t="s">
        <v>218</v>
      </c>
      <c r="C29" s="2998" t="s">
        <v>210</v>
      </c>
      <c r="D29" s="2999">
        <v>0</v>
      </c>
      <c r="E29" s="3112"/>
      <c r="G29" s="2331" t="s">
        <v>27692</v>
      </c>
      <c r="H29" s="2290" t="s">
        <v>27691</v>
      </c>
      <c r="I29" s="2290" t="s">
        <v>27688</v>
      </c>
    </row>
    <row r="30" spans="1:9" x14ac:dyDescent="0.45">
      <c r="A30" s="2314" t="s">
        <v>238</v>
      </c>
      <c r="B30" s="2314" t="s">
        <v>218</v>
      </c>
      <c r="C30" s="2998" t="s">
        <v>212</v>
      </c>
      <c r="D30" s="2997">
        <v>0</v>
      </c>
      <c r="E30" s="3109"/>
      <c r="G30" s="2331" t="s">
        <v>27692</v>
      </c>
      <c r="H30" s="2290" t="s">
        <v>27691</v>
      </c>
      <c r="I30" s="2290" t="s">
        <v>27689</v>
      </c>
    </row>
    <row r="31" spans="1:9" x14ac:dyDescent="0.45">
      <c r="A31" s="2314" t="s">
        <v>238</v>
      </c>
      <c r="B31" s="2314" t="s">
        <v>218</v>
      </c>
      <c r="C31" s="2998" t="s">
        <v>214</v>
      </c>
      <c r="D31" s="2997">
        <v>0</v>
      </c>
      <c r="E31" s="3109"/>
      <c r="G31" s="2331" t="s">
        <v>27692</v>
      </c>
      <c r="H31" s="2290" t="s">
        <v>27691</v>
      </c>
      <c r="I31" s="2290" t="s">
        <v>27690</v>
      </c>
    </row>
    <row r="32" spans="1:9" x14ac:dyDescent="0.45">
      <c r="A32" s="2339" t="s">
        <v>251</v>
      </c>
      <c r="B32" s="2340" t="s">
        <v>204</v>
      </c>
      <c r="C32" s="3005" t="s">
        <v>205</v>
      </c>
      <c r="D32" s="3004">
        <v>0</v>
      </c>
      <c r="E32" s="3105"/>
      <c r="G32" s="2331" t="s">
        <v>27693</v>
      </c>
      <c r="H32" s="2290" t="s">
        <v>27685</v>
      </c>
      <c r="I32" s="2290" t="s">
        <v>27686</v>
      </c>
    </row>
    <row r="33" spans="1:9" x14ac:dyDescent="0.45">
      <c r="A33" s="2314" t="s">
        <v>251</v>
      </c>
      <c r="B33" s="2326" t="s">
        <v>204</v>
      </c>
      <c r="C33" s="2998" t="s">
        <v>208</v>
      </c>
      <c r="D33" s="3000">
        <v>0</v>
      </c>
      <c r="E33" s="3111"/>
      <c r="G33" s="2331" t="s">
        <v>27693</v>
      </c>
      <c r="H33" s="2290" t="s">
        <v>27685</v>
      </c>
      <c r="I33" s="2290" t="s">
        <v>27687</v>
      </c>
    </row>
    <row r="34" spans="1:9" x14ac:dyDescent="0.45">
      <c r="A34" s="2314" t="s">
        <v>251</v>
      </c>
      <c r="B34" s="2326" t="s">
        <v>204</v>
      </c>
      <c r="C34" s="2998" t="s">
        <v>210</v>
      </c>
      <c r="D34" s="2999">
        <v>0</v>
      </c>
      <c r="E34" s="3112"/>
      <c r="G34" s="2331" t="s">
        <v>27693</v>
      </c>
      <c r="H34" s="2290" t="s">
        <v>27685</v>
      </c>
      <c r="I34" s="2290" t="s">
        <v>27688</v>
      </c>
    </row>
    <row r="35" spans="1:9" x14ac:dyDescent="0.45">
      <c r="A35" s="2314" t="s">
        <v>251</v>
      </c>
      <c r="B35" s="2326" t="s">
        <v>204</v>
      </c>
      <c r="C35" s="2998" t="s">
        <v>212</v>
      </c>
      <c r="D35" s="2997">
        <v>0</v>
      </c>
      <c r="E35" s="3109"/>
      <c r="G35" s="2331" t="s">
        <v>27693</v>
      </c>
      <c r="H35" s="2290" t="s">
        <v>27685</v>
      </c>
      <c r="I35" s="2290" t="s">
        <v>27689</v>
      </c>
    </row>
    <row r="36" spans="1:9" x14ac:dyDescent="0.45">
      <c r="A36" s="2342" t="s">
        <v>251</v>
      </c>
      <c r="B36" s="2337" t="s">
        <v>204</v>
      </c>
      <c r="C36" s="3003" t="s">
        <v>214</v>
      </c>
      <c r="D36" s="3002">
        <v>0</v>
      </c>
      <c r="E36" s="3106"/>
      <c r="G36" s="2331" t="s">
        <v>27693</v>
      </c>
      <c r="H36" s="2290" t="s">
        <v>27685</v>
      </c>
      <c r="I36" s="2290" t="s">
        <v>27690</v>
      </c>
    </row>
    <row r="37" spans="1:9" x14ac:dyDescent="0.45">
      <c r="A37" s="2314" t="s">
        <v>251</v>
      </c>
      <c r="B37" s="2313" t="s">
        <v>218</v>
      </c>
      <c r="C37" s="2998" t="s">
        <v>205</v>
      </c>
      <c r="D37" s="3001">
        <v>0</v>
      </c>
      <c r="E37" s="3110"/>
      <c r="G37" s="2331" t="s">
        <v>27693</v>
      </c>
      <c r="H37" s="2290" t="s">
        <v>27691</v>
      </c>
      <c r="I37" s="2290" t="s">
        <v>27686</v>
      </c>
    </row>
    <row r="38" spans="1:9" x14ac:dyDescent="0.45">
      <c r="A38" s="2314" t="s">
        <v>251</v>
      </c>
      <c r="B38" s="2314" t="s">
        <v>218</v>
      </c>
      <c r="C38" s="2998" t="s">
        <v>208</v>
      </c>
      <c r="D38" s="3000">
        <v>0</v>
      </c>
      <c r="E38" s="3111"/>
      <c r="G38" s="2331" t="s">
        <v>27693</v>
      </c>
      <c r="H38" s="2290" t="s">
        <v>27691</v>
      </c>
      <c r="I38" s="2290" t="s">
        <v>27687</v>
      </c>
    </row>
    <row r="39" spans="1:9" x14ac:dyDescent="0.45">
      <c r="A39" s="2314" t="s">
        <v>251</v>
      </c>
      <c r="B39" s="2314" t="s">
        <v>218</v>
      </c>
      <c r="C39" s="2998" t="s">
        <v>210</v>
      </c>
      <c r="D39" s="2999">
        <v>0</v>
      </c>
      <c r="E39" s="3112"/>
      <c r="G39" s="2331" t="s">
        <v>27693</v>
      </c>
      <c r="H39" s="2290" t="s">
        <v>27691</v>
      </c>
      <c r="I39" s="2290" t="s">
        <v>27688</v>
      </c>
    </row>
    <row r="40" spans="1:9" x14ac:dyDescent="0.45">
      <c r="A40" s="2314" t="s">
        <v>251</v>
      </c>
      <c r="B40" s="2314" t="s">
        <v>218</v>
      </c>
      <c r="C40" s="2998" t="s">
        <v>212</v>
      </c>
      <c r="D40" s="2997">
        <v>0</v>
      </c>
      <c r="E40" s="3109"/>
      <c r="G40" s="2331" t="s">
        <v>27693</v>
      </c>
      <c r="H40" s="2290" t="s">
        <v>27691</v>
      </c>
      <c r="I40" s="2290" t="s">
        <v>27689</v>
      </c>
    </row>
    <row r="41" spans="1:9" x14ac:dyDescent="0.45">
      <c r="A41" s="2314" t="s">
        <v>251</v>
      </c>
      <c r="B41" s="2314" t="s">
        <v>218</v>
      </c>
      <c r="C41" s="2998" t="s">
        <v>214</v>
      </c>
      <c r="D41" s="2997">
        <v>0</v>
      </c>
      <c r="E41" s="3109"/>
      <c r="G41" s="2331" t="s">
        <v>27693</v>
      </c>
      <c r="H41" s="2290" t="s">
        <v>27691</v>
      </c>
      <c r="I41" s="2290" t="s">
        <v>27690</v>
      </c>
    </row>
    <row r="42" spans="1:9" x14ac:dyDescent="0.45">
      <c r="A42" s="2339" t="s">
        <v>264</v>
      </c>
      <c r="B42" s="2340" t="s">
        <v>204</v>
      </c>
      <c r="C42" s="3005" t="s">
        <v>205</v>
      </c>
      <c r="D42" s="3004">
        <v>0</v>
      </c>
      <c r="E42" s="3105"/>
      <c r="G42" s="2331" t="s">
        <v>264</v>
      </c>
      <c r="H42" s="2290" t="s">
        <v>27685</v>
      </c>
      <c r="I42" s="2290" t="s">
        <v>27686</v>
      </c>
    </row>
    <row r="43" spans="1:9" x14ac:dyDescent="0.45">
      <c r="A43" s="2314" t="s">
        <v>264</v>
      </c>
      <c r="B43" s="2326" t="s">
        <v>204</v>
      </c>
      <c r="C43" s="2998" t="s">
        <v>208</v>
      </c>
      <c r="D43" s="3000">
        <v>0</v>
      </c>
      <c r="E43" s="3111"/>
      <c r="G43" s="2331" t="s">
        <v>264</v>
      </c>
      <c r="H43" s="2290" t="s">
        <v>27685</v>
      </c>
      <c r="I43" s="2290" t="s">
        <v>27687</v>
      </c>
    </row>
    <row r="44" spans="1:9" x14ac:dyDescent="0.45">
      <c r="A44" s="2314" t="s">
        <v>264</v>
      </c>
      <c r="B44" s="2326" t="s">
        <v>204</v>
      </c>
      <c r="C44" s="2998" t="s">
        <v>210</v>
      </c>
      <c r="D44" s="2999">
        <v>0</v>
      </c>
      <c r="E44" s="3112"/>
      <c r="G44" s="2331" t="s">
        <v>264</v>
      </c>
      <c r="H44" s="2290" t="s">
        <v>27685</v>
      </c>
      <c r="I44" s="2290" t="s">
        <v>27688</v>
      </c>
    </row>
    <row r="45" spans="1:9" x14ac:dyDescent="0.45">
      <c r="A45" s="2314" t="s">
        <v>264</v>
      </c>
      <c r="B45" s="2326" t="s">
        <v>204</v>
      </c>
      <c r="C45" s="2998" t="s">
        <v>212</v>
      </c>
      <c r="D45" s="2997">
        <v>0</v>
      </c>
      <c r="E45" s="3109"/>
      <c r="G45" s="2331" t="s">
        <v>264</v>
      </c>
      <c r="H45" s="2290" t="s">
        <v>27685</v>
      </c>
      <c r="I45" s="2290" t="s">
        <v>27689</v>
      </c>
    </row>
    <row r="46" spans="1:9" x14ac:dyDescent="0.45">
      <c r="A46" s="2342" t="s">
        <v>264</v>
      </c>
      <c r="B46" s="2337" t="s">
        <v>204</v>
      </c>
      <c r="C46" s="3003" t="s">
        <v>214</v>
      </c>
      <c r="D46" s="3002">
        <v>0</v>
      </c>
      <c r="E46" s="3106"/>
      <c r="G46" s="2331" t="s">
        <v>264</v>
      </c>
      <c r="H46" s="2290" t="s">
        <v>27685</v>
      </c>
      <c r="I46" s="2290" t="s">
        <v>27690</v>
      </c>
    </row>
    <row r="47" spans="1:9" x14ac:dyDescent="0.45">
      <c r="A47" s="2314" t="s">
        <v>264</v>
      </c>
      <c r="B47" s="2313" t="s">
        <v>218</v>
      </c>
      <c r="C47" s="2998" t="s">
        <v>205</v>
      </c>
      <c r="D47" s="3001">
        <v>0</v>
      </c>
      <c r="E47" s="3110"/>
      <c r="G47" s="2331" t="s">
        <v>264</v>
      </c>
      <c r="H47" s="2290" t="s">
        <v>27691</v>
      </c>
      <c r="I47" s="2290" t="s">
        <v>27686</v>
      </c>
    </row>
    <row r="48" spans="1:9" x14ac:dyDescent="0.45">
      <c r="A48" s="2314" t="s">
        <v>264</v>
      </c>
      <c r="B48" s="2314" t="s">
        <v>218</v>
      </c>
      <c r="C48" s="2998" t="s">
        <v>208</v>
      </c>
      <c r="D48" s="3000">
        <v>0</v>
      </c>
      <c r="E48" s="3111"/>
      <c r="G48" s="2331" t="s">
        <v>264</v>
      </c>
      <c r="H48" s="2290" t="s">
        <v>27691</v>
      </c>
      <c r="I48" s="2290" t="s">
        <v>27687</v>
      </c>
    </row>
    <row r="49" spans="1:9" x14ac:dyDescent="0.45">
      <c r="A49" s="2314" t="s">
        <v>264</v>
      </c>
      <c r="B49" s="2314" t="s">
        <v>218</v>
      </c>
      <c r="C49" s="2998" t="s">
        <v>210</v>
      </c>
      <c r="D49" s="2999">
        <v>0</v>
      </c>
      <c r="E49" s="3112"/>
      <c r="G49" s="2331" t="s">
        <v>264</v>
      </c>
      <c r="H49" s="2290" t="s">
        <v>27691</v>
      </c>
      <c r="I49" s="2290" t="s">
        <v>27688</v>
      </c>
    </row>
    <row r="50" spans="1:9" x14ac:dyDescent="0.45">
      <c r="A50" s="2314" t="s">
        <v>264</v>
      </c>
      <c r="B50" s="2314" t="s">
        <v>218</v>
      </c>
      <c r="C50" s="2998" t="s">
        <v>212</v>
      </c>
      <c r="D50" s="2997">
        <v>0</v>
      </c>
      <c r="E50" s="3109"/>
      <c r="G50" s="2331" t="s">
        <v>264</v>
      </c>
      <c r="H50" s="2290" t="s">
        <v>27691</v>
      </c>
      <c r="I50" s="2290" t="s">
        <v>27689</v>
      </c>
    </row>
    <row r="51" spans="1:9" x14ac:dyDescent="0.45">
      <c r="A51" s="2314" t="s">
        <v>264</v>
      </c>
      <c r="B51" s="2314" t="s">
        <v>218</v>
      </c>
      <c r="C51" s="2998" t="s">
        <v>214</v>
      </c>
      <c r="D51" s="2997">
        <v>0</v>
      </c>
      <c r="E51" s="3109"/>
      <c r="G51" s="2331" t="s">
        <v>264</v>
      </c>
      <c r="H51" s="2290" t="s">
        <v>27691</v>
      </c>
      <c r="I51" s="2290" t="s">
        <v>27690</v>
      </c>
    </row>
    <row r="52" spans="1:9" x14ac:dyDescent="0.45">
      <c r="A52" s="2339" t="s">
        <v>277</v>
      </c>
      <c r="B52" s="2340" t="s">
        <v>204</v>
      </c>
      <c r="C52" s="3005" t="s">
        <v>205</v>
      </c>
      <c r="D52" s="3004">
        <v>0</v>
      </c>
      <c r="E52" s="3105"/>
      <c r="G52" s="2331" t="s">
        <v>277</v>
      </c>
      <c r="H52" s="2290" t="s">
        <v>27685</v>
      </c>
      <c r="I52" s="2290" t="s">
        <v>27686</v>
      </c>
    </row>
    <row r="53" spans="1:9" x14ac:dyDescent="0.45">
      <c r="A53" s="2314" t="s">
        <v>277</v>
      </c>
      <c r="B53" s="2326" t="s">
        <v>204</v>
      </c>
      <c r="C53" s="2998" t="s">
        <v>208</v>
      </c>
      <c r="D53" s="3000">
        <v>0</v>
      </c>
      <c r="E53" s="3111"/>
      <c r="G53" s="2331" t="s">
        <v>277</v>
      </c>
      <c r="H53" s="2290" t="s">
        <v>27685</v>
      </c>
      <c r="I53" s="2290" t="s">
        <v>27687</v>
      </c>
    </row>
    <row r="54" spans="1:9" x14ac:dyDescent="0.45">
      <c r="A54" s="2314" t="s">
        <v>277</v>
      </c>
      <c r="B54" s="2326" t="s">
        <v>204</v>
      </c>
      <c r="C54" s="2998" t="s">
        <v>210</v>
      </c>
      <c r="D54" s="2999">
        <v>0</v>
      </c>
      <c r="E54" s="3112"/>
      <c r="G54" s="2331" t="s">
        <v>277</v>
      </c>
      <c r="H54" s="2290" t="s">
        <v>27685</v>
      </c>
      <c r="I54" s="2290" t="s">
        <v>27688</v>
      </c>
    </row>
    <row r="55" spans="1:9" x14ac:dyDescent="0.45">
      <c r="A55" s="2314" t="s">
        <v>277</v>
      </c>
      <c r="B55" s="2326" t="s">
        <v>204</v>
      </c>
      <c r="C55" s="2998" t="s">
        <v>212</v>
      </c>
      <c r="D55" s="2997">
        <v>0</v>
      </c>
      <c r="E55" s="3109"/>
      <c r="G55" s="2331" t="s">
        <v>277</v>
      </c>
      <c r="H55" s="2290" t="s">
        <v>27685</v>
      </c>
      <c r="I55" s="2290" t="s">
        <v>27689</v>
      </c>
    </row>
    <row r="56" spans="1:9" x14ac:dyDescent="0.45">
      <c r="A56" s="2314" t="s">
        <v>277</v>
      </c>
      <c r="B56" s="2337" t="s">
        <v>204</v>
      </c>
      <c r="C56" s="3003" t="s">
        <v>214</v>
      </c>
      <c r="D56" s="3002">
        <v>0</v>
      </c>
      <c r="E56" s="3106"/>
      <c r="G56" s="2331" t="s">
        <v>277</v>
      </c>
      <c r="H56" s="2290" t="s">
        <v>27685</v>
      </c>
      <c r="I56" s="2290" t="s">
        <v>27690</v>
      </c>
    </row>
    <row r="57" spans="1:9" x14ac:dyDescent="0.45">
      <c r="A57" s="2314" t="s">
        <v>277</v>
      </c>
      <c r="B57" s="2313" t="s">
        <v>218</v>
      </c>
      <c r="C57" s="2998" t="s">
        <v>205</v>
      </c>
      <c r="D57" s="3001">
        <v>0</v>
      </c>
      <c r="E57" s="3110"/>
      <c r="G57" s="2331" t="s">
        <v>277</v>
      </c>
      <c r="H57" s="2290" t="s">
        <v>27691</v>
      </c>
      <c r="I57" s="2290" t="s">
        <v>27686</v>
      </c>
    </row>
    <row r="58" spans="1:9" x14ac:dyDescent="0.45">
      <c r="A58" s="2314" t="s">
        <v>277</v>
      </c>
      <c r="B58" s="2314" t="s">
        <v>218</v>
      </c>
      <c r="C58" s="2998" t="s">
        <v>208</v>
      </c>
      <c r="D58" s="3000">
        <v>0</v>
      </c>
      <c r="E58" s="3111"/>
      <c r="G58" s="2331" t="s">
        <v>277</v>
      </c>
      <c r="H58" s="2290" t="s">
        <v>27691</v>
      </c>
      <c r="I58" s="2290" t="s">
        <v>27687</v>
      </c>
    </row>
    <row r="59" spans="1:9" x14ac:dyDescent="0.45">
      <c r="A59" s="2314" t="s">
        <v>277</v>
      </c>
      <c r="B59" s="2314" t="s">
        <v>218</v>
      </c>
      <c r="C59" s="2998" t="s">
        <v>210</v>
      </c>
      <c r="D59" s="2999">
        <v>0</v>
      </c>
      <c r="E59" s="3112"/>
      <c r="G59" s="2331" t="s">
        <v>277</v>
      </c>
      <c r="H59" s="2290" t="s">
        <v>27691</v>
      </c>
      <c r="I59" s="2290" t="s">
        <v>27688</v>
      </c>
    </row>
    <row r="60" spans="1:9" x14ac:dyDescent="0.45">
      <c r="A60" s="2314" t="s">
        <v>277</v>
      </c>
      <c r="B60" s="2314" t="s">
        <v>218</v>
      </c>
      <c r="C60" s="2998" t="s">
        <v>212</v>
      </c>
      <c r="D60" s="2997">
        <v>0</v>
      </c>
      <c r="E60" s="3109"/>
      <c r="G60" s="2331" t="s">
        <v>277</v>
      </c>
      <c r="H60" s="2290" t="s">
        <v>27691</v>
      </c>
      <c r="I60" s="2290" t="s">
        <v>27689</v>
      </c>
    </row>
    <row r="61" spans="1:9" x14ac:dyDescent="0.45">
      <c r="A61" s="3307" t="s">
        <v>277</v>
      </c>
      <c r="B61" s="3307" t="s">
        <v>218</v>
      </c>
      <c r="C61" s="3007" t="s">
        <v>214</v>
      </c>
      <c r="D61" s="3062">
        <v>0</v>
      </c>
      <c r="E61" s="3107"/>
      <c r="G61" s="2331" t="s">
        <v>277</v>
      </c>
      <c r="H61" s="2290" t="s">
        <v>27691</v>
      </c>
      <c r="I61" s="2290" t="s">
        <v>27690</v>
      </c>
    </row>
    <row r="63" spans="1:9" x14ac:dyDescent="0.45">
      <c r="D63" s="3113" t="s">
        <v>29392</v>
      </c>
      <c r="E63" s="3113" t="s">
        <v>29735</v>
      </c>
    </row>
  </sheetData>
  <sheetProtection algorithmName="SHA-512" hashValue="GTS8LEPQYDE5DVJ6H3NJFgy8i1MkDOG0oDAxYBXM5fxGV3sfIwPd7nxFyF82U1lAoR4uHbgIquEN0f+ToIB4FQ==" saltValue="ZcPunzQIrCpxhaKTNliZDg==" spinCount="100000" sheet="1" objects="1" scenarios="1"/>
  <conditionalFormatting sqref="D2:E61">
    <cfRule type="cellIs" dxfId="45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D2:D61" xr:uid="{2154E923-09AB-4783-9ADC-A8C7C7C29D80}">
      <formula1>AND(D2&gt;=0,ROUND(D2,2)=D2)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6"/>
  <dimension ref="A1:I61"/>
  <sheetViews>
    <sheetView showGridLines="0" workbookViewId="0"/>
  </sheetViews>
  <sheetFormatPr defaultRowHeight="12.75" x14ac:dyDescent="0.35"/>
  <cols>
    <col min="1" max="1" width="5.1328125" bestFit="1" customWidth="1"/>
    <col min="2" max="2" width="67.86328125" bestFit="1" customWidth="1"/>
    <col min="5" max="5" width="26.1328125" bestFit="1" customWidth="1"/>
    <col min="6" max="6" width="25.86328125" bestFit="1" customWidth="1"/>
    <col min="7" max="9" width="40.1328125" style="182" customWidth="1"/>
  </cols>
  <sheetData>
    <row r="1" spans="1:9" x14ac:dyDescent="0.35">
      <c r="F1" s="183"/>
    </row>
    <row r="2" spans="1:9" x14ac:dyDescent="0.35">
      <c r="F2" s="183"/>
    </row>
    <row r="3" spans="1:9" ht="13.15" x14ac:dyDescent="0.4">
      <c r="A3" s="3365" t="s">
        <v>70</v>
      </c>
      <c r="B3" s="3365"/>
      <c r="C3" s="3365"/>
      <c r="D3" s="3365"/>
      <c r="E3" s="3365"/>
      <c r="F3" s="3366"/>
      <c r="G3"/>
      <c r="H3"/>
      <c r="I3"/>
    </row>
    <row r="4" spans="1:9" x14ac:dyDescent="0.35">
      <c r="A4" t="s">
        <v>71</v>
      </c>
      <c r="B4" t="s">
        <v>72</v>
      </c>
      <c r="E4" s="11" t="s">
        <v>73</v>
      </c>
      <c r="F4" s="54" t="s">
        <v>74</v>
      </c>
      <c r="G4" s="184" t="s">
        <v>75</v>
      </c>
    </row>
    <row r="5" spans="1:9" x14ac:dyDescent="0.35">
      <c r="E5" s="11"/>
      <c r="F5" s="54"/>
    </row>
    <row r="6" spans="1:9" ht="13.15" x14ac:dyDescent="0.4">
      <c r="A6" s="3365" t="s">
        <v>76</v>
      </c>
      <c r="B6" s="3365"/>
      <c r="C6" s="3365"/>
      <c r="D6" s="3365"/>
      <c r="E6" s="3365"/>
      <c r="F6" s="3366"/>
    </row>
    <row r="7" spans="1:9" ht="27" x14ac:dyDescent="0.4">
      <c r="A7" t="s">
        <v>77</v>
      </c>
      <c r="B7" t="s">
        <v>78</v>
      </c>
      <c r="E7" s="11" t="s">
        <v>79</v>
      </c>
      <c r="F7" s="54" t="s">
        <v>28</v>
      </c>
      <c r="G7" s="174" t="s">
        <v>80</v>
      </c>
    </row>
    <row r="8" spans="1:9" ht="27" x14ac:dyDescent="0.4">
      <c r="A8" t="s">
        <v>81</v>
      </c>
      <c r="B8" t="s">
        <v>82</v>
      </c>
      <c r="E8" s="11" t="s">
        <v>83</v>
      </c>
      <c r="F8" s="54" t="s">
        <v>28</v>
      </c>
      <c r="G8" s="174" t="s">
        <v>84</v>
      </c>
    </row>
    <row r="9" spans="1:9" ht="40.5" x14ac:dyDescent="0.4">
      <c r="A9" t="s">
        <v>85</v>
      </c>
      <c r="B9" t="s">
        <v>86</v>
      </c>
      <c r="E9" s="11" t="s">
        <v>87</v>
      </c>
      <c r="F9" s="54" t="s">
        <v>28</v>
      </c>
      <c r="G9" s="174" t="s">
        <v>88</v>
      </c>
    </row>
    <row r="10" spans="1:9" ht="27" x14ac:dyDescent="0.4">
      <c r="A10" t="s">
        <v>89</v>
      </c>
      <c r="B10" t="s">
        <v>90</v>
      </c>
      <c r="E10" t="s">
        <v>91</v>
      </c>
      <c r="F10" s="54" t="s">
        <v>28</v>
      </c>
      <c r="G10" s="174" t="s">
        <v>92</v>
      </c>
    </row>
    <row r="11" spans="1:9" ht="40.5" x14ac:dyDescent="0.4">
      <c r="A11" t="s">
        <v>93</v>
      </c>
      <c r="B11" t="s">
        <v>94</v>
      </c>
      <c r="E11" s="11" t="s">
        <v>95</v>
      </c>
      <c r="F11" s="54" t="s">
        <v>28</v>
      </c>
      <c r="G11" s="174" t="s">
        <v>96</v>
      </c>
    </row>
    <row r="12" spans="1:9" ht="27" x14ac:dyDescent="0.4">
      <c r="A12" t="s">
        <v>97</v>
      </c>
      <c r="B12" t="s">
        <v>98</v>
      </c>
      <c r="E12" s="11" t="s">
        <v>99</v>
      </c>
      <c r="F12" s="54" t="s">
        <v>28</v>
      </c>
      <c r="G12" s="174" t="s">
        <v>100</v>
      </c>
    </row>
    <row r="13" spans="1:9" ht="54" x14ac:dyDescent="0.4">
      <c r="A13" t="s">
        <v>101</v>
      </c>
      <c r="B13" t="s">
        <v>102</v>
      </c>
      <c r="E13" s="11" t="s">
        <v>103</v>
      </c>
      <c r="F13" s="54" t="s">
        <v>28</v>
      </c>
      <c r="G13" s="174" t="s">
        <v>104</v>
      </c>
    </row>
    <row r="14" spans="1:9" ht="27" x14ac:dyDescent="0.4">
      <c r="A14" t="s">
        <v>105</v>
      </c>
      <c r="B14" t="s">
        <v>106</v>
      </c>
      <c r="E14" t="s">
        <v>107</v>
      </c>
      <c r="F14" s="54" t="s">
        <v>28</v>
      </c>
      <c r="G14" s="174" t="s">
        <v>108</v>
      </c>
    </row>
    <row r="15" spans="1:9" ht="27" x14ac:dyDescent="0.4">
      <c r="A15" t="s">
        <v>109</v>
      </c>
      <c r="B15" t="s">
        <v>110</v>
      </c>
      <c r="E15" t="s">
        <v>111</v>
      </c>
      <c r="F15" s="54" t="s">
        <v>28</v>
      </c>
      <c r="G15" s="174" t="s">
        <v>112</v>
      </c>
    </row>
    <row r="16" spans="1:9" ht="27" x14ac:dyDescent="0.4">
      <c r="A16" t="s">
        <v>113</v>
      </c>
      <c r="B16" t="s">
        <v>114</v>
      </c>
      <c r="E16" s="11" t="s">
        <v>115</v>
      </c>
      <c r="F16" s="54" t="s">
        <v>28</v>
      </c>
      <c r="G16" s="174" t="s">
        <v>116</v>
      </c>
    </row>
    <row r="17" spans="1:9" ht="27" x14ac:dyDescent="0.4">
      <c r="A17" t="s">
        <v>117</v>
      </c>
      <c r="B17" t="s">
        <v>118</v>
      </c>
      <c r="E17" t="s">
        <v>119</v>
      </c>
      <c r="F17" s="54" t="s">
        <v>28</v>
      </c>
      <c r="G17" s="174" t="s">
        <v>120</v>
      </c>
    </row>
    <row r="18" spans="1:9" ht="27" x14ac:dyDescent="0.4">
      <c r="A18" s="310" t="s">
        <v>121</v>
      </c>
      <c r="B18" s="310" t="s">
        <v>122</v>
      </c>
      <c r="E18" t="s">
        <v>123</v>
      </c>
      <c r="F18" s="54" t="s">
        <v>28</v>
      </c>
      <c r="G18" s="174" t="s">
        <v>124</v>
      </c>
    </row>
    <row r="19" spans="1:9" x14ac:dyDescent="0.35">
      <c r="A19" s="310"/>
      <c r="B19" s="310"/>
      <c r="F19" s="54"/>
    </row>
    <row r="20" spans="1:9" s="534" customFormat="1" ht="13.15" x14ac:dyDescent="0.4">
      <c r="A20" s="3365" t="s">
        <v>125</v>
      </c>
      <c r="B20" s="3365"/>
      <c r="C20" s="3365"/>
      <c r="D20" s="3365"/>
      <c r="E20" s="3365"/>
      <c r="F20" s="3366"/>
      <c r="G20" s="535" t="s">
        <v>126</v>
      </c>
      <c r="H20" s="535" t="s">
        <v>127</v>
      </c>
      <c r="I20" s="535" t="s">
        <v>128</v>
      </c>
    </row>
    <row r="21" spans="1:9" ht="27" x14ac:dyDescent="0.4">
      <c r="A21" t="s">
        <v>129</v>
      </c>
      <c r="B21" t="s">
        <v>130</v>
      </c>
      <c r="E21" t="s">
        <v>131</v>
      </c>
      <c r="F21" s="54" t="s">
        <v>132</v>
      </c>
      <c r="G21" s="533" t="s">
        <v>133</v>
      </c>
      <c r="H21" s="536"/>
      <c r="I21" s="533" t="s">
        <v>133</v>
      </c>
    </row>
    <row r="22" spans="1:9" ht="27" x14ac:dyDescent="0.4">
      <c r="A22" t="s">
        <v>134</v>
      </c>
      <c r="B22" t="s">
        <v>136</v>
      </c>
      <c r="E22" t="s">
        <v>137</v>
      </c>
      <c r="F22" s="54" t="s">
        <v>138</v>
      </c>
      <c r="G22" s="533" t="s">
        <v>28263</v>
      </c>
      <c r="H22" s="536"/>
      <c r="I22" s="533" t="s">
        <v>28263</v>
      </c>
    </row>
    <row r="23" spans="1:9" ht="27" x14ac:dyDescent="0.4">
      <c r="A23" t="s">
        <v>135</v>
      </c>
      <c r="B23" t="s">
        <v>110</v>
      </c>
      <c r="E23" t="s">
        <v>140</v>
      </c>
      <c r="F23" s="54" t="s">
        <v>132</v>
      </c>
      <c r="G23" s="533" t="s">
        <v>28278</v>
      </c>
      <c r="H23" s="533" t="s">
        <v>28279</v>
      </c>
      <c r="I23" s="533" t="s">
        <v>28278</v>
      </c>
    </row>
    <row r="24" spans="1:9" ht="27" x14ac:dyDescent="0.4">
      <c r="A24" t="s">
        <v>139</v>
      </c>
      <c r="B24" t="s">
        <v>106</v>
      </c>
      <c r="E24" s="11" t="s">
        <v>137</v>
      </c>
      <c r="F24" s="183" t="s">
        <v>127</v>
      </c>
      <c r="G24" s="536"/>
      <c r="H24" s="533" t="s">
        <v>146</v>
      </c>
      <c r="I24" s="536"/>
    </row>
    <row r="25" spans="1:9" x14ac:dyDescent="0.35">
      <c r="F25" s="54"/>
    </row>
    <row r="26" spans="1:9" ht="13.15" x14ac:dyDescent="0.4">
      <c r="A26" s="3365" t="s">
        <v>142</v>
      </c>
      <c r="B26" s="3365"/>
      <c r="C26" s="3365"/>
      <c r="D26" s="3365"/>
      <c r="E26" s="3365"/>
      <c r="F26" s="3366"/>
      <c r="G26" s="535" t="s">
        <v>126</v>
      </c>
      <c r="H26" s="535"/>
      <c r="I26" s="535"/>
    </row>
    <row r="27" spans="1:9" ht="27" x14ac:dyDescent="0.4">
      <c r="A27" t="s">
        <v>143</v>
      </c>
      <c r="B27" t="s">
        <v>106</v>
      </c>
      <c r="E27" s="11" t="s">
        <v>144</v>
      </c>
      <c r="F27" s="54" t="s">
        <v>145</v>
      </c>
      <c r="G27" s="174" t="s">
        <v>146</v>
      </c>
    </row>
    <row r="28" spans="1:9" ht="27" x14ac:dyDescent="0.4">
      <c r="A28" t="s">
        <v>147</v>
      </c>
      <c r="B28" t="s">
        <v>110</v>
      </c>
      <c r="E28" t="s">
        <v>148</v>
      </c>
      <c r="F28" s="54" t="s">
        <v>145</v>
      </c>
      <c r="G28" s="174" t="s">
        <v>149</v>
      </c>
    </row>
    <row r="29" spans="1:9" ht="40.5" x14ac:dyDescent="0.4">
      <c r="A29" t="s">
        <v>150</v>
      </c>
      <c r="B29" t="s">
        <v>151</v>
      </c>
      <c r="E29" s="11" t="s">
        <v>152</v>
      </c>
      <c r="F29" s="54" t="s">
        <v>145</v>
      </c>
      <c r="G29" s="174" t="s">
        <v>153</v>
      </c>
    </row>
    <row r="30" spans="1:9" x14ac:dyDescent="0.35">
      <c r="E30" s="11"/>
      <c r="F30" s="54"/>
    </row>
    <row r="31" spans="1:9" ht="13.15" x14ac:dyDescent="0.4">
      <c r="A31" s="3365" t="s">
        <v>154</v>
      </c>
      <c r="B31" s="3365"/>
      <c r="C31" s="3365"/>
      <c r="D31" s="3365"/>
      <c r="E31" s="3365"/>
      <c r="F31" s="3366"/>
      <c r="G31" s="535" t="s">
        <v>126</v>
      </c>
      <c r="H31" s="535"/>
      <c r="I31" s="535"/>
    </row>
    <row r="32" spans="1:9" ht="27" x14ac:dyDescent="0.4">
      <c r="A32" t="s">
        <v>155</v>
      </c>
      <c r="B32" t="s">
        <v>106</v>
      </c>
      <c r="E32" s="11" t="s">
        <v>156</v>
      </c>
      <c r="F32" s="183" t="s">
        <v>157</v>
      </c>
      <c r="G32" s="174" t="s">
        <v>158</v>
      </c>
    </row>
    <row r="33" spans="1:9" ht="27" x14ac:dyDescent="0.4">
      <c r="A33" t="s">
        <v>159</v>
      </c>
      <c r="B33" t="s">
        <v>110</v>
      </c>
      <c r="E33" t="s">
        <v>160</v>
      </c>
      <c r="F33" s="183" t="s">
        <v>157</v>
      </c>
      <c r="G33" s="174" t="s">
        <v>149</v>
      </c>
    </row>
    <row r="34" spans="1:9" ht="54" x14ac:dyDescent="0.4">
      <c r="A34" t="s">
        <v>161</v>
      </c>
      <c r="B34" t="s">
        <v>162</v>
      </c>
      <c r="E34" s="11" t="s">
        <v>163</v>
      </c>
      <c r="F34" s="183" t="s">
        <v>157</v>
      </c>
      <c r="G34" s="174" t="s">
        <v>164</v>
      </c>
    </row>
    <row r="35" spans="1:9" ht="40.5" x14ac:dyDescent="0.4">
      <c r="A35" t="s">
        <v>165</v>
      </c>
      <c r="B35" t="s">
        <v>166</v>
      </c>
      <c r="E35" t="s">
        <v>167</v>
      </c>
      <c r="F35" s="183" t="s">
        <v>157</v>
      </c>
      <c r="G35" s="537" t="s">
        <v>168</v>
      </c>
    </row>
    <row r="36" spans="1:9" ht="40.5" x14ac:dyDescent="0.4">
      <c r="A36" t="s">
        <v>169</v>
      </c>
      <c r="B36" t="s">
        <v>166</v>
      </c>
      <c r="E36" t="s">
        <v>28342</v>
      </c>
      <c r="F36" s="183" t="s">
        <v>157</v>
      </c>
      <c r="G36" s="537" t="s">
        <v>28286</v>
      </c>
    </row>
    <row r="37" spans="1:9" x14ac:dyDescent="0.35">
      <c r="F37" s="183"/>
    </row>
    <row r="38" spans="1:9" ht="13.15" x14ac:dyDescent="0.4">
      <c r="A38" s="3365" t="s">
        <v>171</v>
      </c>
      <c r="B38" s="3365"/>
      <c r="C38" s="3365"/>
      <c r="D38" s="3365"/>
      <c r="E38" s="3365"/>
      <c r="F38" s="3366"/>
      <c r="G38" s="535" t="s">
        <v>126</v>
      </c>
      <c r="H38" s="535" t="s">
        <v>127</v>
      </c>
      <c r="I38" s="535"/>
    </row>
    <row r="39" spans="1:9" ht="27" x14ac:dyDescent="0.35">
      <c r="A39" t="s">
        <v>172</v>
      </c>
      <c r="B39" s="11" t="s">
        <v>110</v>
      </c>
      <c r="E39" t="s">
        <v>175</v>
      </c>
      <c r="F39" s="183" t="s">
        <v>173</v>
      </c>
      <c r="G39" s="539" t="s">
        <v>28340</v>
      </c>
      <c r="H39" s="539" t="s">
        <v>28340</v>
      </c>
    </row>
    <row r="40" spans="1:9" ht="27" x14ac:dyDescent="0.35">
      <c r="A40" t="s">
        <v>174</v>
      </c>
      <c r="B40" t="s">
        <v>106</v>
      </c>
      <c r="E40" s="11" t="s">
        <v>179</v>
      </c>
      <c r="F40" s="183" t="s">
        <v>173</v>
      </c>
      <c r="G40" s="539" t="s">
        <v>141</v>
      </c>
      <c r="H40" s="539" t="s">
        <v>141</v>
      </c>
    </row>
    <row r="41" spans="1:9" ht="27" x14ac:dyDescent="0.35">
      <c r="A41" t="s">
        <v>176</v>
      </c>
      <c r="B41" t="s">
        <v>180</v>
      </c>
      <c r="E41" s="11" t="s">
        <v>181</v>
      </c>
      <c r="F41" s="183" t="s">
        <v>173</v>
      </c>
      <c r="G41" s="539" t="s">
        <v>28305</v>
      </c>
      <c r="H41" s="539" t="s">
        <v>28305</v>
      </c>
    </row>
    <row r="42" spans="1:9" ht="54" x14ac:dyDescent="0.35">
      <c r="A42" t="s">
        <v>177</v>
      </c>
      <c r="B42" s="11" t="s">
        <v>182</v>
      </c>
      <c r="E42" s="11" t="s">
        <v>27967</v>
      </c>
      <c r="F42" s="183" t="s">
        <v>173</v>
      </c>
      <c r="G42" s="539" t="s">
        <v>28306</v>
      </c>
      <c r="H42" s="539" t="s">
        <v>28313</v>
      </c>
    </row>
    <row r="43" spans="1:9" ht="54" x14ac:dyDescent="0.35">
      <c r="A43" t="s">
        <v>177</v>
      </c>
      <c r="B43" s="11" t="s">
        <v>183</v>
      </c>
      <c r="E43" s="11" t="s">
        <v>27967</v>
      </c>
      <c r="F43" s="183" t="s">
        <v>173</v>
      </c>
      <c r="G43" s="539" t="s">
        <v>28307</v>
      </c>
      <c r="H43" s="539" t="s">
        <v>28314</v>
      </c>
    </row>
    <row r="44" spans="1:9" ht="67.5" x14ac:dyDescent="0.35">
      <c r="A44" s="11" t="s">
        <v>178</v>
      </c>
      <c r="B44" t="s">
        <v>184</v>
      </c>
      <c r="E44" s="11" t="s">
        <v>28343</v>
      </c>
      <c r="F44" s="183" t="s">
        <v>173</v>
      </c>
      <c r="G44" s="539" t="s">
        <v>29683</v>
      </c>
      <c r="H44" s="539" t="s">
        <v>29683</v>
      </c>
    </row>
    <row r="45" spans="1:9" x14ac:dyDescent="0.35">
      <c r="E45" s="11"/>
      <c r="F45" s="183"/>
    </row>
    <row r="46" spans="1:9" ht="14.25" x14ac:dyDescent="0.45">
      <c r="A46" s="3367" t="s">
        <v>70</v>
      </c>
      <c r="B46" s="3367"/>
      <c r="C46" s="3367"/>
      <c r="D46" s="3367"/>
      <c r="E46" s="3367"/>
      <c r="F46" s="3368"/>
      <c r="G46" s="2270"/>
      <c r="H46" s="2270"/>
      <c r="I46" s="2270"/>
    </row>
    <row r="47" spans="1:9" ht="14.25" x14ac:dyDescent="0.45">
      <c r="A47" s="2270" t="s">
        <v>29684</v>
      </c>
      <c r="B47" s="2270" t="s">
        <v>29618</v>
      </c>
      <c r="C47" s="2270"/>
      <c r="D47" s="2270"/>
      <c r="E47" s="2995" t="s">
        <v>29685</v>
      </c>
      <c r="F47" s="2994" t="s">
        <v>74</v>
      </c>
      <c r="G47" s="2996" t="s">
        <v>29617</v>
      </c>
      <c r="H47" s="2993"/>
      <c r="I47" s="2993"/>
    </row>
    <row r="48" spans="1:9" ht="14.25" x14ac:dyDescent="0.45">
      <c r="A48" s="2270"/>
      <c r="B48" s="2270"/>
      <c r="C48" s="2270"/>
      <c r="D48" s="2270"/>
      <c r="E48" s="2995"/>
      <c r="F48" s="2994"/>
      <c r="G48" s="2993"/>
      <c r="H48" s="2993"/>
      <c r="I48" s="2993"/>
    </row>
    <row r="49" spans="1:9" ht="13.15" x14ac:dyDescent="0.4">
      <c r="A49" s="3363" t="s">
        <v>29661</v>
      </c>
      <c r="B49" s="3363"/>
      <c r="C49" s="3363"/>
      <c r="D49" s="3363"/>
      <c r="E49" s="3363"/>
      <c r="F49" s="3364"/>
      <c r="G49" s="2992" t="s">
        <v>126</v>
      </c>
      <c r="H49" s="2992" t="s">
        <v>127</v>
      </c>
      <c r="I49" s="2992" t="s">
        <v>128</v>
      </c>
    </row>
    <row r="50" spans="1:9" ht="27" x14ac:dyDescent="0.35">
      <c r="A50" s="2988" t="s">
        <v>29656</v>
      </c>
      <c r="B50" s="2988" t="s">
        <v>29616</v>
      </c>
      <c r="C50" s="2988"/>
      <c r="D50" s="2988"/>
      <c r="E50" s="2988" t="s">
        <v>29691</v>
      </c>
      <c r="F50" s="2989" t="s">
        <v>29694</v>
      </c>
      <c r="G50" s="2990" t="s">
        <v>29753</v>
      </c>
      <c r="H50" s="2990" t="s">
        <v>29753</v>
      </c>
      <c r="I50" s="2990" t="s">
        <v>29753</v>
      </c>
    </row>
    <row r="51" spans="1:9" ht="54" x14ac:dyDescent="0.35">
      <c r="A51" s="2988" t="s">
        <v>29657</v>
      </c>
      <c r="B51" s="2988" t="s">
        <v>29764</v>
      </c>
      <c r="C51" s="2988"/>
      <c r="D51" s="2988"/>
      <c r="E51" s="2988" t="s">
        <v>29692</v>
      </c>
      <c r="F51" s="2989" t="s">
        <v>29694</v>
      </c>
      <c r="G51" s="2991" t="s">
        <v>29757</v>
      </c>
      <c r="H51" s="2991" t="s">
        <v>29757</v>
      </c>
      <c r="I51" s="2991" t="s">
        <v>29757</v>
      </c>
    </row>
    <row r="52" spans="1:9" ht="27" x14ac:dyDescent="0.35">
      <c r="A52" s="2988" t="s">
        <v>29658</v>
      </c>
      <c r="B52" s="2988" t="s">
        <v>29614</v>
      </c>
      <c r="C52" s="2988"/>
      <c r="D52" s="2988"/>
      <c r="E52" s="2988" t="s">
        <v>29687</v>
      </c>
      <c r="F52" s="2989" t="s">
        <v>29694</v>
      </c>
      <c r="G52" s="2343" t="s">
        <v>29749</v>
      </c>
      <c r="H52" s="2343" t="s">
        <v>29749</v>
      </c>
      <c r="I52" s="2343" t="s">
        <v>29749</v>
      </c>
    </row>
    <row r="53" spans="1:9" ht="40.5" x14ac:dyDescent="0.35">
      <c r="A53" s="2988" t="s">
        <v>29659</v>
      </c>
      <c r="B53" s="2988" t="s">
        <v>29615</v>
      </c>
      <c r="C53" s="2988"/>
      <c r="D53" s="2988"/>
      <c r="E53" s="2988" t="s">
        <v>29686</v>
      </c>
      <c r="F53" s="2989" t="s">
        <v>29694</v>
      </c>
      <c r="G53" s="2343" t="s">
        <v>29750</v>
      </c>
      <c r="H53" s="2343" t="s">
        <v>29750</v>
      </c>
      <c r="I53" s="2343" t="s">
        <v>29750</v>
      </c>
    </row>
    <row r="54" spans="1:9" ht="40.5" x14ac:dyDescent="0.35">
      <c r="A54" s="2988" t="s">
        <v>29660</v>
      </c>
      <c r="B54" s="2988" t="s">
        <v>29766</v>
      </c>
      <c r="E54" s="2988" t="s">
        <v>29765</v>
      </c>
      <c r="F54" s="2989" t="s">
        <v>29694</v>
      </c>
      <c r="G54" s="2991" t="s">
        <v>29754</v>
      </c>
      <c r="H54" s="2991" t="s">
        <v>29754</v>
      </c>
      <c r="I54" s="2991" t="s">
        <v>29754</v>
      </c>
    </row>
    <row r="56" spans="1:9" ht="13.15" x14ac:dyDescent="0.4">
      <c r="A56" s="3363" t="s">
        <v>29662</v>
      </c>
      <c r="B56" s="3363"/>
      <c r="C56" s="3363"/>
      <c r="D56" s="3363"/>
      <c r="E56" s="3363"/>
      <c r="F56" s="3364"/>
      <c r="G56" s="2992" t="s">
        <v>126</v>
      </c>
      <c r="H56" s="2992" t="s">
        <v>127</v>
      </c>
      <c r="I56" s="2992"/>
    </row>
    <row r="57" spans="1:9" ht="27.75" x14ac:dyDescent="0.45">
      <c r="A57" s="2988" t="s">
        <v>29663</v>
      </c>
      <c r="B57" s="2988" t="s">
        <v>29616</v>
      </c>
      <c r="C57" s="2988"/>
      <c r="D57" s="2988"/>
      <c r="E57" s="2988" t="s">
        <v>29690</v>
      </c>
      <c r="F57" s="2989" t="s">
        <v>29695</v>
      </c>
      <c r="G57" s="2990" t="s">
        <v>29753</v>
      </c>
      <c r="H57" s="2990" t="s">
        <v>29753</v>
      </c>
      <c r="I57" s="2270"/>
    </row>
    <row r="58" spans="1:9" ht="54.75" x14ac:dyDescent="0.45">
      <c r="A58" s="2988" t="s">
        <v>29664</v>
      </c>
      <c r="B58" s="2988" t="s">
        <v>29764</v>
      </c>
      <c r="C58" s="2988"/>
      <c r="D58" s="2988"/>
      <c r="E58" s="2988" t="s">
        <v>29693</v>
      </c>
      <c r="F58" s="2989" t="s">
        <v>29695</v>
      </c>
      <c r="G58" s="2991" t="s">
        <v>29757</v>
      </c>
      <c r="H58" s="2991" t="s">
        <v>29757</v>
      </c>
      <c r="I58" s="2270"/>
    </row>
    <row r="59" spans="1:9" ht="27.75" x14ac:dyDescent="0.45">
      <c r="A59" s="2988" t="s">
        <v>29665</v>
      </c>
      <c r="B59" s="2988" t="s">
        <v>29614</v>
      </c>
      <c r="C59" s="2988"/>
      <c r="D59" s="2988"/>
      <c r="E59" s="2988" t="s">
        <v>29689</v>
      </c>
      <c r="F59" s="2989" t="s">
        <v>29695</v>
      </c>
      <c r="G59" s="2343" t="s">
        <v>29749</v>
      </c>
      <c r="H59" s="2343" t="s">
        <v>29749</v>
      </c>
      <c r="I59" s="2270"/>
    </row>
    <row r="60" spans="1:9" ht="41.25" x14ac:dyDescent="0.45">
      <c r="A60" s="2988" t="s">
        <v>29666</v>
      </c>
      <c r="B60" s="2988" t="s">
        <v>29615</v>
      </c>
      <c r="C60" s="2988"/>
      <c r="D60" s="2988"/>
      <c r="E60" s="2988" t="s">
        <v>29688</v>
      </c>
      <c r="F60" s="2989" t="s">
        <v>29695</v>
      </c>
      <c r="G60" s="2343" t="s">
        <v>29750</v>
      </c>
      <c r="H60" s="2343" t="s">
        <v>29750</v>
      </c>
      <c r="I60" s="2270"/>
    </row>
    <row r="61" spans="1:9" ht="41.25" x14ac:dyDescent="0.45">
      <c r="A61" s="2988" t="s">
        <v>29667</v>
      </c>
      <c r="B61" s="2988" t="s">
        <v>29766</v>
      </c>
      <c r="E61" s="2988" t="s">
        <v>29767</v>
      </c>
      <c r="F61" s="2989" t="s">
        <v>29695</v>
      </c>
      <c r="G61" s="2991" t="s">
        <v>29754</v>
      </c>
      <c r="H61" s="2991" t="s">
        <v>29754</v>
      </c>
      <c r="I61" s="2270"/>
    </row>
  </sheetData>
  <sheetProtection algorithmName="SHA-512" hashValue="5Z1F+HjCAdyS4Z3t3D6BsvvK4oaXCMeUfidhba2xwtZRdoYwZ0asW7pY2VHeVARfk/iVycTQqhEM2p+P/JzxkQ==" saltValue="kLFImUbYSTbXLQa22+V+dA==" spinCount="100000" sheet="1" objects="1" scenarios="1"/>
  <mergeCells count="9">
    <mergeCell ref="A56:F56"/>
    <mergeCell ref="A38:F38"/>
    <mergeCell ref="A20:F20"/>
    <mergeCell ref="A26:F26"/>
    <mergeCell ref="A3:F3"/>
    <mergeCell ref="A6:F6"/>
    <mergeCell ref="A31:F31"/>
    <mergeCell ref="A46:F46"/>
    <mergeCell ref="A49:F49"/>
  </mergeCells>
  <phoneticPr fontId="24" type="noConversion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57C4C-489E-49B6-BE03-D6F2E653FA12}">
  <sheetPr codeName="Sheet29"/>
  <dimension ref="A1:AS431"/>
  <sheetViews>
    <sheetView workbookViewId="0"/>
  </sheetViews>
  <sheetFormatPr defaultColWidth="9" defaultRowHeight="14.25" x14ac:dyDescent="0.45"/>
  <cols>
    <col min="1" max="2" width="9" style="2270"/>
    <col min="3" max="3" width="18.265625" style="2270" customWidth="1"/>
    <col min="4" max="4" width="17" style="2270" bestFit="1" customWidth="1"/>
    <col min="5" max="6" width="12" style="2270" customWidth="1"/>
    <col min="7" max="7" width="12.86328125" style="2270" customWidth="1"/>
    <col min="8" max="8" width="12.265625" style="2270" customWidth="1"/>
    <col min="9" max="9" width="12" style="2270" customWidth="1"/>
    <col min="10" max="11" width="13" style="2270" customWidth="1"/>
    <col min="12" max="12" width="17" style="2270" customWidth="1"/>
    <col min="13" max="14" width="14" style="2270" customWidth="1"/>
    <col min="15" max="15" width="12" style="2270" bestFit="1" customWidth="1"/>
    <col min="16" max="18" width="9" style="2270"/>
    <col min="19" max="19" width="14" style="2270" customWidth="1"/>
    <col min="20" max="16384" width="9" style="2270"/>
  </cols>
  <sheetData>
    <row r="1" spans="1:35" ht="15.4" x14ac:dyDescent="0.45">
      <c r="A1" s="3057" t="s">
        <v>29650</v>
      </c>
    </row>
    <row r="2" spans="1:35" x14ac:dyDescent="0.45">
      <c r="D2" s="2995" t="s">
        <v>28277</v>
      </c>
      <c r="E2" s="3056" t="s">
        <v>29649</v>
      </c>
      <c r="F2" s="3036" t="s">
        <v>29399</v>
      </c>
      <c r="I2" s="3036"/>
      <c r="J2" s="3036"/>
      <c r="K2" s="3036"/>
      <c r="L2" s="3036"/>
      <c r="M2" s="3036"/>
      <c r="N2" s="3036"/>
    </row>
    <row r="3" spans="1:35" ht="26.25" x14ac:dyDescent="0.45">
      <c r="B3" s="3055" t="s">
        <v>343</v>
      </c>
      <c r="D3" s="2377">
        <f>IF(AND(E3="Validation: OK",F3="Validation: OK"),0,1)</f>
        <v>0</v>
      </c>
      <c r="E3" s="3119" t="str">
        <f>IF(AND(E75="",F75="",H75="",I75=""),"Validation: OK","Validation: Failure (see below table)")</f>
        <v>Validation: OK</v>
      </c>
      <c r="F3" s="3120" t="str">
        <f>IF(AND(G75="",H75="",I75=""),"Validation: OK","Validation: Failure (see below table)")</f>
        <v>Validation: OK</v>
      </c>
      <c r="I3"/>
    </row>
    <row r="4" spans="1:35" x14ac:dyDescent="0.45">
      <c r="B4" s="3055"/>
      <c r="C4" s="2995"/>
      <c r="D4" s="2995"/>
      <c r="E4" s="2995"/>
      <c r="F4" s="2995"/>
      <c r="G4" s="2995"/>
      <c r="H4" s="2995"/>
      <c r="I4" s="2995"/>
      <c r="J4" s="2995"/>
      <c r="K4" s="2995"/>
      <c r="L4" s="2995"/>
      <c r="M4" s="2995"/>
      <c r="N4" s="2995"/>
      <c r="O4" s="2995"/>
      <c r="P4" s="2995"/>
      <c r="Q4" s="2995"/>
      <c r="R4" s="2995"/>
      <c r="S4" s="2995"/>
      <c r="T4" s="2995"/>
    </row>
    <row r="5" spans="1:35" ht="112.5" customHeight="1" x14ac:dyDescent="0.45">
      <c r="B5" s="3054" t="s">
        <v>346</v>
      </c>
      <c r="C5" s="3053"/>
      <c r="D5" s="3023"/>
      <c r="E5" s="3052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J5" s="3049"/>
      <c r="K5" s="3049"/>
      <c r="L5" s="2995"/>
      <c r="Q5" s="2995"/>
      <c r="R5" s="2995"/>
      <c r="S5" s="2995"/>
      <c r="T5" s="2995"/>
    </row>
    <row r="6" spans="1:35" x14ac:dyDescent="0.45">
      <c r="B6" s="3048" t="s">
        <v>363</v>
      </c>
      <c r="C6" s="2995"/>
      <c r="E6" s="2270">
        <v>1</v>
      </c>
      <c r="F6" s="2377">
        <v>1</v>
      </c>
      <c r="G6" s="2377">
        <v>1</v>
      </c>
      <c r="H6" s="2377">
        <v>1</v>
      </c>
      <c r="I6" s="3047">
        <v>1</v>
      </c>
      <c r="J6" s="3043"/>
      <c r="K6" s="3043"/>
      <c r="L6" s="2995"/>
      <c r="Q6" s="2995"/>
      <c r="R6" s="2995"/>
      <c r="S6" s="2995"/>
    </row>
    <row r="7" spans="1:35" s="2993" customFormat="1" ht="12.75" customHeight="1" x14ac:dyDescent="0.45">
      <c r="B7" s="3046"/>
      <c r="C7" s="3044"/>
      <c r="D7" s="3044"/>
      <c r="E7" s="3045"/>
      <c r="F7" s="3045"/>
      <c r="G7" s="3044"/>
      <c r="H7" s="3044"/>
      <c r="I7" s="3117"/>
      <c r="J7" s="3043"/>
      <c r="K7" s="3043"/>
      <c r="L7" s="2996"/>
      <c r="M7" s="2270"/>
      <c r="N7" s="2270"/>
      <c r="O7" s="2270"/>
      <c r="Q7" s="2996"/>
      <c r="R7" s="2996"/>
      <c r="S7" s="2996"/>
      <c r="AH7" s="2270"/>
      <c r="AI7" s="2270"/>
    </row>
    <row r="8" spans="1:35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J8" s="3220"/>
      <c r="K8" s="2996"/>
      <c r="L8" s="2996"/>
      <c r="M8" s="2996"/>
      <c r="N8" s="2996"/>
      <c r="O8" s="2996"/>
      <c r="P8" s="2996"/>
      <c r="Q8" s="2996"/>
      <c r="R8" s="2996"/>
      <c r="S8" s="2996"/>
      <c r="AH8" s="2270"/>
      <c r="AI8" s="2270"/>
    </row>
    <row r="9" spans="1:35" s="2993" customFormat="1" ht="26.25" x14ac:dyDescent="0.45">
      <c r="B9" s="3221"/>
      <c r="C9" s="3217"/>
      <c r="D9" s="3217"/>
      <c r="E9" s="3217"/>
      <c r="F9" s="3218">
        <v>0.02</v>
      </c>
      <c r="G9" s="3217" t="s">
        <v>29755</v>
      </c>
      <c r="H9" s="3217"/>
      <c r="I9" s="3217"/>
      <c r="J9" s="2996"/>
      <c r="K9" s="3219"/>
      <c r="L9" s="2996"/>
      <c r="M9" s="2996"/>
      <c r="N9" s="2996"/>
      <c r="O9" s="2996"/>
      <c r="P9" s="2996"/>
      <c r="Q9" s="2996"/>
      <c r="R9" s="2996"/>
      <c r="S9" s="2996"/>
      <c r="AH9" s="2270"/>
      <c r="AI9" s="2270"/>
    </row>
    <row r="10" spans="1:35" s="2993" customFormat="1" ht="26.25" x14ac:dyDescent="0.45">
      <c r="B10" s="3215"/>
      <c r="C10" s="3011"/>
      <c r="D10" s="3059"/>
      <c r="E10" s="3011"/>
      <c r="F10" s="3216">
        <v>0.05</v>
      </c>
      <c r="G10" s="3059" t="s">
        <v>29756</v>
      </c>
      <c r="H10" s="3059"/>
      <c r="I10" s="3216"/>
      <c r="J10" s="2996"/>
      <c r="K10" s="3219"/>
      <c r="L10" s="3036" t="s">
        <v>27709</v>
      </c>
      <c r="M10" s="3036"/>
      <c r="N10" s="3036"/>
      <c r="O10" s="2270"/>
      <c r="P10" s="2270"/>
      <c r="Q10" s="2270"/>
      <c r="R10" s="2270"/>
      <c r="S10" s="2270"/>
      <c r="T10" s="2270"/>
      <c r="AA10" s="2270"/>
      <c r="AB10" s="2270"/>
    </row>
    <row r="11" spans="1:35" x14ac:dyDescent="0.45">
      <c r="B11" s="3035"/>
      <c r="C11" s="2377"/>
      <c r="D11" s="3009"/>
      <c r="E11" s="2377" t="s">
        <v>29639</v>
      </c>
      <c r="F11" s="2377" t="s">
        <v>29638</v>
      </c>
      <c r="G11" s="2377" t="s">
        <v>29637</v>
      </c>
      <c r="H11" s="2377" t="s">
        <v>29636</v>
      </c>
      <c r="I11" s="2377" t="s">
        <v>29635</v>
      </c>
      <c r="K11" s="3016"/>
      <c r="L11" s="2377" t="s">
        <v>29648</v>
      </c>
      <c r="M11" s="3118" t="s">
        <v>29747</v>
      </c>
      <c r="N11" s="3034"/>
      <c r="O11" s="3118" t="s">
        <v>29746</v>
      </c>
    </row>
    <row r="12" spans="1:35" ht="27.75" x14ac:dyDescent="0.45">
      <c r="A12" s="3021"/>
      <c r="B12" s="2354" t="s">
        <v>200</v>
      </c>
      <c r="C12" s="2353" t="s">
        <v>56</v>
      </c>
      <c r="D12" s="2352" t="s">
        <v>57</v>
      </c>
      <c r="E12" s="3115" t="s">
        <v>29740</v>
      </c>
      <c r="F12" s="3115" t="s">
        <v>29741</v>
      </c>
      <c r="G12" s="2270" t="s">
        <v>29644</v>
      </c>
      <c r="H12" s="3115" t="s">
        <v>29745</v>
      </c>
      <c r="I12" s="3115" t="s">
        <v>389</v>
      </c>
      <c r="K12" s="3016"/>
      <c r="L12" s="2995"/>
      <c r="M12" s="3116" t="s">
        <v>29738</v>
      </c>
      <c r="N12" s="2993" t="s">
        <v>29641</v>
      </c>
      <c r="O12" s="2993" t="s">
        <v>29399</v>
      </c>
    </row>
    <row r="13" spans="1:35" x14ac:dyDescent="0.45">
      <c r="B13" s="3020" t="s">
        <v>203</v>
      </c>
      <c r="C13" s="2377" t="s">
        <v>204</v>
      </c>
      <c r="D13" s="3008" t="s">
        <v>205</v>
      </c>
      <c r="E13" s="3029" t="str">
        <f>IF(AND($E$6=1, ROUND(FTE_1_Full_time!$H8, 2)&lt;&gt;FTE_1_Full_time!$H8), CONCATENATE("Price group", " ", $B13, ", ", $C13, " ", "Length", ", Level ", $D13, "; "), "")</f>
        <v/>
      </c>
      <c r="F13" s="3028" t="str">
        <f>IF(AND($F$6=1,FTE_1_Full_time!$E8&lt;&gt;0,ABS(FTE_1_Full_time!$H8-FTE_1_Full_time!$E8)&lt;$F$9),CONCATENATE("Price group"," ",$B13,", ",$C13," ","Length",", Level ",$D13,"; "),"")</f>
        <v/>
      </c>
      <c r="G13" s="3027" t="str">
        <f>IF(AND($G$6=1,LEN(FTE_1_Full_time!$J8)&gt;2000), CONCATENATE("Price group", " ", $B13, ", ", $C13, " ", "Length", ", Level ", $D13, "; "), "")</f>
        <v/>
      </c>
      <c r="H13" s="3028" t="str">
        <f>IF(AND($H$6=1,OR(AND(FTE_1_Full_time!$H8=0,FTE_1_Full_time!$J8&lt;&gt;""),AND(FTE_1_Full_time!$H8&lt;&gt;0,FTE_1_Full_time!$J8=""))),CONCATENATE("Price group"," ",$B13,", ",$C13," ","Length",", Level ",$D13,"; "),"")</f>
        <v/>
      </c>
      <c r="I13" s="3029" t="str">
        <f>IF(AND($I$6=1,FTE_1_Full_time!$G8=0,OR(FTE_1_Full_time!$H8&lt;&gt;0,FTE_1_Full_time!$J8&lt;&gt;"")),CONCATENATE("Price group"," ",$B13,", ",$C13," ","Length",", Level ",$D13,"; "),"")</f>
        <v/>
      </c>
      <c r="K13" s="3016"/>
      <c r="L13" s="3033" t="s">
        <v>203</v>
      </c>
      <c r="M13" s="3024">
        <f>IF(OR(E13&lt;&gt;"",F13&lt;&gt;"",H13&lt;&gt;"",I13&lt;&gt;""),1,0)</f>
        <v>0</v>
      </c>
      <c r="N13" s="3025"/>
      <c r="O13" s="3024">
        <f>IF(OR(G13&lt;&gt;"",H13&lt;&gt;"",I13&lt;&gt;""),1,0)</f>
        <v>0</v>
      </c>
      <c r="R13" s="3115"/>
    </row>
    <row r="14" spans="1:35" x14ac:dyDescent="0.45">
      <c r="B14" s="3020" t="s">
        <v>203</v>
      </c>
      <c r="C14" s="2377" t="s">
        <v>204</v>
      </c>
      <c r="D14" s="3008" t="s">
        <v>208</v>
      </c>
      <c r="E14" s="3029" t="str">
        <f>IF(AND($E$6=1, ROUND(FTE_1_Full_time!$H9, 2)&lt;&gt;FTE_1_Full_time!$H9), CONCATENATE("Price group", " ", $B14, ", ", $C14, " ", "Length", ", Level ", $D14, "; "), "")</f>
        <v/>
      </c>
      <c r="F14" s="3028" t="str">
        <f>IF(AND($F$6=1,FTE_1_Full_time!$E9&lt;&gt;0,ABS(FTE_1_Full_time!$H9-FTE_1_Full_time!$E9)&lt;$F$9),CONCATENATE("Price group"," ",$B14,", ",$C14," ","Length",", Level ",$D14,"; "),"")</f>
        <v/>
      </c>
      <c r="G14" s="3027" t="str">
        <f>IF(AND($G$6=1,LEN(FTE_1_Full_time!$J9)&gt;2000), CONCATENATE("Price group", " ", $B14, ", ", $C14, " ", "Length", ", Level ", $D14, "; "), "")</f>
        <v/>
      </c>
      <c r="H14" s="3028" t="str">
        <f>IF(AND($H$6=1,OR(AND(FTE_1_Full_time!$H9=0,FTE_1_Full_time!$J9&lt;&gt;""),AND(FTE_1_Full_time!$H9&lt;&gt;0,FTE_1_Full_time!$J9=""))),CONCATENATE("Price group"," ",$B14,", ",$C14," ","Length",", Level ",$D14,"; "),"")</f>
        <v/>
      </c>
      <c r="I14" s="3029" t="str">
        <f>IF(AND($I$6=1,FTE_1_Full_time!$G9=0,OR(FTE_1_Full_time!$H9&lt;&gt;0,FTE_1_Full_time!$J9&lt;&gt;"")),CONCATENATE("Price group"," ",$B14,", ",$C14," ","Length",", Level ",$D14,"; "),"")</f>
        <v/>
      </c>
      <c r="K14" s="3016"/>
      <c r="L14" s="3026" t="s">
        <v>203</v>
      </c>
      <c r="M14" s="3024">
        <f t="shared" ref="M14:M72" si="0">IF(OR(E14&lt;&gt;"",F14&lt;&gt;"",H14&lt;&gt;"",I14&lt;&gt;""),1,0)</f>
        <v>0</v>
      </c>
      <c r="N14" s="3025"/>
      <c r="O14" s="3024">
        <f t="shared" ref="O14:O72" si="1">IF(OR(G14&lt;&gt;"",H14&lt;&gt;"",I14&lt;&gt;""),1,0)</f>
        <v>0</v>
      </c>
      <c r="R14" s="3115"/>
    </row>
    <row r="15" spans="1:35" x14ac:dyDescent="0.45">
      <c r="B15" s="3020" t="s">
        <v>203</v>
      </c>
      <c r="C15" s="2377" t="s">
        <v>204</v>
      </c>
      <c r="D15" s="3008" t="s">
        <v>210</v>
      </c>
      <c r="E15" s="3029" t="str">
        <f>IF(AND($E$6=1, ROUND(FTE_1_Full_time!$H10, 2)&lt;&gt;FTE_1_Full_time!$H10), CONCATENATE("Price group", " ", $B15, ", ", $C15, " ", "Length", ", Level ", $D15, "; "), "")</f>
        <v/>
      </c>
      <c r="F15" s="3028" t="str">
        <f>IF(AND($F$6=1,FTE_1_Full_time!$E10&lt;&gt;0,ABS(FTE_1_Full_time!$H10-FTE_1_Full_time!$E10)&lt;$F$9),CONCATENATE("Price group"," ",$B15,", ",$C15," ","Length",", Level ",$D15,"; "),"")</f>
        <v/>
      </c>
      <c r="G15" s="3027" t="str">
        <f>IF(AND($G$6=1,LEN(FTE_1_Full_time!$J10)&gt;2000), CONCATENATE("Price group", " ", $B15, ", ", $C15, " ", "Length", ", Level ", $D15, "; "), "")</f>
        <v/>
      </c>
      <c r="H15" s="3028" t="str">
        <f>IF(AND($H$6=1,OR(AND(FTE_1_Full_time!$H10=0,FTE_1_Full_time!$J10&lt;&gt;""),AND(FTE_1_Full_time!$H10&lt;&gt;0,FTE_1_Full_time!$J10=""))),CONCATENATE("Price group"," ",$B15,", ",$C15," ","Length",", Level ",$D15,"; "),"")</f>
        <v/>
      </c>
      <c r="I15" s="3029" t="str">
        <f>IF(AND($I$6=1,FTE_1_Full_time!$G10=0,OR(FTE_1_Full_time!$H10&lt;&gt;0,FTE_1_Full_time!$J10&lt;&gt;"")),CONCATENATE("Price group"," ",$B15,", ",$C15," ","Length",", Level ",$D15,"; "),"")</f>
        <v/>
      </c>
      <c r="K15" s="3016"/>
      <c r="L15" s="3026" t="s">
        <v>203</v>
      </c>
      <c r="M15" s="3024">
        <f t="shared" si="0"/>
        <v>0</v>
      </c>
      <c r="N15" s="3025"/>
      <c r="O15" s="3024">
        <f t="shared" si="1"/>
        <v>0</v>
      </c>
      <c r="R15" s="3115"/>
    </row>
    <row r="16" spans="1:35" x14ac:dyDescent="0.45">
      <c r="B16" s="3020" t="s">
        <v>203</v>
      </c>
      <c r="C16" s="2377" t="s">
        <v>204</v>
      </c>
      <c r="D16" s="3008" t="s">
        <v>212</v>
      </c>
      <c r="E16" s="3029" t="str">
        <f>IF(AND($E$6=1, ROUND(FTE_1_Full_time!$H11, 2)&lt;&gt;FTE_1_Full_time!$H11), CONCATENATE("Price group", " ", $B16, ", ", $C16, " ", "Length", ", Level ", $D16, "; "), "")</f>
        <v/>
      </c>
      <c r="F16" s="3028" t="str">
        <f>IF(AND($F$6=1,FTE_1_Full_time!$E11&lt;&gt;0,ABS(FTE_1_Full_time!$H11-FTE_1_Full_time!$E11)&lt;$F$9),CONCATENATE("Price group"," ",$B16,", ",$C16," ","Length",", Level ",$D16,"; "),"")</f>
        <v/>
      </c>
      <c r="G16" s="3027" t="str">
        <f>IF(AND($G$6=1,LEN(FTE_1_Full_time!$J11)&gt;2000), CONCATENATE("Price group", " ", $B16, ", ", $C16, " ", "Length", ", Level ", $D16, "; "), "")</f>
        <v/>
      </c>
      <c r="H16" s="3028" t="str">
        <f>IF(AND($H$6=1,OR(AND(FTE_1_Full_time!$H11=0,FTE_1_Full_time!$J11&lt;&gt;""),AND(FTE_1_Full_time!$H11&lt;&gt;0,FTE_1_Full_time!$J11=""))),CONCATENATE("Price group"," ",$B16,", ",$C16," ","Length",", Level ",$D16,"; "),"")</f>
        <v/>
      </c>
      <c r="I16" s="3029" t="str">
        <f>IF(AND($I$6=1,FTE_1_Full_time!$G11=0,OR(FTE_1_Full_time!$H11&lt;&gt;0,FTE_1_Full_time!$J11&lt;&gt;"")),CONCATENATE("Price group"," ",$B16,", ",$C16," ","Length",", Level ",$D16,"; "),"")</f>
        <v/>
      </c>
      <c r="K16" s="3016"/>
      <c r="L16" s="3026" t="s">
        <v>203</v>
      </c>
      <c r="M16" s="3024">
        <f t="shared" si="0"/>
        <v>0</v>
      </c>
      <c r="N16" s="3025"/>
      <c r="O16" s="3024">
        <f t="shared" si="1"/>
        <v>0</v>
      </c>
      <c r="R16" s="3115"/>
    </row>
    <row r="17" spans="2:18" x14ac:dyDescent="0.45">
      <c r="B17" s="3020" t="s">
        <v>203</v>
      </c>
      <c r="C17" s="2377" t="s">
        <v>204</v>
      </c>
      <c r="D17" s="3008" t="s">
        <v>214</v>
      </c>
      <c r="E17" s="3029" t="str">
        <f>IF(AND($E$6=1, ROUND(FTE_1_Full_time!$H12, 2)&lt;&gt;FTE_1_Full_time!$H12), CONCATENATE("Price group", " ", $B17, ", ", $C17, " ", "Length", ", Level ", $D17, "; "), "")</f>
        <v/>
      </c>
      <c r="F17" s="3028" t="str">
        <f>IF(AND($F$6=1,FTE_1_Full_time!$E12&lt;&gt;0,ABS(FTE_1_Full_time!$H12-FTE_1_Full_time!$E12)&lt;$F$9),CONCATENATE("Price group"," ",$B17,", ",$C17," ","Length",", Level ",$D17,"; "),"")</f>
        <v/>
      </c>
      <c r="G17" s="3027" t="str">
        <f>IF(AND($G$6=1,LEN(FTE_1_Full_time!$J12)&gt;2000), CONCATENATE("Price group", " ", $B17, ", ", $C17, " ", "Length", ", Level ", $D17, "; "), "")</f>
        <v/>
      </c>
      <c r="H17" s="3028" t="str">
        <f>IF(AND($H$6=1,OR(AND(FTE_1_Full_time!$H12=0,FTE_1_Full_time!$J12&lt;&gt;""),AND(FTE_1_Full_time!$H12&lt;&gt;0,FTE_1_Full_time!$J12=""))),CONCATENATE("Price group"," ",$B17,", ",$C17," ","Length",", Level ",$D17,"; "),"")</f>
        <v/>
      </c>
      <c r="I17" s="3029" t="str">
        <f>IF(AND($I$6=1,FTE_1_Full_time!$G12=0,OR(FTE_1_Full_time!$H12&lt;&gt;0,FTE_1_Full_time!$J12&lt;&gt;"")),CONCATENATE("Price group"," ",$B17,", ",$C17," ","Length",", Level ",$D17,"; "),"")</f>
        <v/>
      </c>
      <c r="K17" s="3016"/>
      <c r="L17" s="3026" t="s">
        <v>203</v>
      </c>
      <c r="M17" s="3024">
        <f t="shared" si="0"/>
        <v>0</v>
      </c>
      <c r="N17" s="3025"/>
      <c r="O17" s="3024">
        <f t="shared" si="1"/>
        <v>0</v>
      </c>
      <c r="R17" s="3115"/>
    </row>
    <row r="18" spans="2:18" x14ac:dyDescent="0.45">
      <c r="B18" s="3020" t="s">
        <v>203</v>
      </c>
      <c r="C18" s="2377" t="s">
        <v>218</v>
      </c>
      <c r="D18" s="3008" t="s">
        <v>205</v>
      </c>
      <c r="E18" s="3029" t="str">
        <f>IF(AND($E$6=1, ROUND(FTE_1_Full_time!$H13, 2)&lt;&gt;FTE_1_Full_time!$H13), CONCATENATE("Price group", " ", $B18, ", ", $C18, " ", "Length", ", Level ", $D18, "; "), "")</f>
        <v/>
      </c>
      <c r="F18" s="3028" t="str">
        <f>IF(AND($F$6=1,FTE_1_Full_time!$E13&lt;&gt;0,ABS(FTE_1_Full_time!$H13-FTE_1_Full_time!$E13)&lt;$F$9),CONCATENATE("Price group"," ",$B18,", ",$C18," ","Length",", Level ",$D18,"; "),"")</f>
        <v/>
      </c>
      <c r="G18" s="3027" t="str">
        <f>IF(AND($G$6=1,LEN(FTE_1_Full_time!$J13)&gt;2000), CONCATENATE("Price group", " ", $B18, ", ", $C18, " ", "Length", ", Level ", $D18, "; "), "")</f>
        <v/>
      </c>
      <c r="H18" s="3028" t="str">
        <f>IF(AND($H$6=1,OR(AND(FTE_1_Full_time!$H13=0,FTE_1_Full_time!$J13&lt;&gt;""),AND(FTE_1_Full_time!$H13&lt;&gt;0,FTE_1_Full_time!$J13=""))),CONCATENATE("Price group"," ",$B18,", ",$C18," ","Length",", Level ",$D18,"; "),"")</f>
        <v/>
      </c>
      <c r="I18" s="3029" t="str">
        <f>IF(AND($I$6=1,FTE_1_Full_time!$G13=0,OR(FTE_1_Full_time!$H13&lt;&gt;0,FTE_1_Full_time!$J13&lt;&gt;"")),CONCATENATE("Price group"," ",$B18,", ",$C18," ","Length",", Level ",$D18,"; "),"")</f>
        <v/>
      </c>
      <c r="K18" s="3016"/>
      <c r="L18" s="3026" t="s">
        <v>203</v>
      </c>
      <c r="M18" s="3024">
        <f t="shared" si="0"/>
        <v>0</v>
      </c>
      <c r="N18" s="3025"/>
      <c r="O18" s="3024">
        <f t="shared" si="1"/>
        <v>0</v>
      </c>
      <c r="R18" s="3115"/>
    </row>
    <row r="19" spans="2:18" x14ac:dyDescent="0.45">
      <c r="B19" s="3020" t="s">
        <v>203</v>
      </c>
      <c r="C19" s="2377" t="s">
        <v>218</v>
      </c>
      <c r="D19" s="3008" t="s">
        <v>208</v>
      </c>
      <c r="E19" s="3029" t="str">
        <f>IF(AND($E$6=1, ROUND(FTE_1_Full_time!$H14, 2)&lt;&gt;FTE_1_Full_time!$H14), CONCATENATE("Price group", " ", $B19, ", ", $C19, " ", "Length", ", Level ", $D19, "; "), "")</f>
        <v/>
      </c>
      <c r="F19" s="3028" t="str">
        <f>IF(AND($F$6=1,FTE_1_Full_time!$E14&lt;&gt;0,ABS(FTE_1_Full_time!$H14-FTE_1_Full_time!$E14)&lt;$F$9),CONCATENATE("Price group"," ",$B19,", ",$C19," ","Length",", Level ",$D19,"; "),"")</f>
        <v/>
      </c>
      <c r="G19" s="3027" t="str">
        <f>IF(AND($G$6=1,LEN(FTE_1_Full_time!$J14)&gt;2000), CONCATENATE("Price group", " ", $B19, ", ", $C19, " ", "Length", ", Level ", $D19, "; "), "")</f>
        <v/>
      </c>
      <c r="H19" s="3028" t="str">
        <f>IF(AND($H$6=1,OR(AND(FTE_1_Full_time!$H14=0,FTE_1_Full_time!$J14&lt;&gt;""),AND(FTE_1_Full_time!$H14&lt;&gt;0,FTE_1_Full_time!$J14=""))),CONCATENATE("Price group"," ",$B19,", ",$C19," ","Length",", Level ",$D19,"; "),"")</f>
        <v/>
      </c>
      <c r="I19" s="3029" t="str">
        <f>IF(AND($I$6=1,FTE_1_Full_time!$G14=0,OR(FTE_1_Full_time!$H14&lt;&gt;0,FTE_1_Full_time!$J14&lt;&gt;"")),CONCATENATE("Price group"," ",$B19,", ",$C19," ","Length",", Level ",$D19,"; "),"")</f>
        <v/>
      </c>
      <c r="K19" s="3016"/>
      <c r="L19" s="3026" t="s">
        <v>203</v>
      </c>
      <c r="M19" s="3024">
        <f t="shared" si="0"/>
        <v>0</v>
      </c>
      <c r="N19" s="3025"/>
      <c r="O19" s="3024">
        <f t="shared" si="1"/>
        <v>0</v>
      </c>
      <c r="R19" s="3115"/>
    </row>
    <row r="20" spans="2:18" x14ac:dyDescent="0.45">
      <c r="B20" s="3020" t="s">
        <v>203</v>
      </c>
      <c r="C20" s="2377" t="s">
        <v>218</v>
      </c>
      <c r="D20" s="3008" t="s">
        <v>210</v>
      </c>
      <c r="E20" s="3029" t="str">
        <f>IF(AND($E$6=1, ROUND(FTE_1_Full_time!$H15, 2)&lt;&gt;FTE_1_Full_time!$H15), CONCATENATE("Price group", " ", $B20, ", ", $C20, " ", "Length", ", Level ", $D20, "; "), "")</f>
        <v/>
      </c>
      <c r="F20" s="3028" t="str">
        <f>IF(AND($F$6=1,FTE_1_Full_time!$E15&lt;&gt;0,ABS(FTE_1_Full_time!$H15-FTE_1_Full_time!$E15)&lt;$F$9),CONCATENATE("Price group"," ",$B20,", ",$C20," ","Length",", Level ",$D20,"; "),"")</f>
        <v/>
      </c>
      <c r="G20" s="3027" t="str">
        <f>IF(AND($G$6=1,LEN(FTE_1_Full_time!$J15)&gt;2000), CONCATENATE("Price group", " ", $B20, ", ", $C20, " ", "Length", ", Level ", $D20, "; "), "")</f>
        <v/>
      </c>
      <c r="H20" s="3028" t="str">
        <f>IF(AND($H$6=1,OR(AND(FTE_1_Full_time!$H15=0,FTE_1_Full_time!$J15&lt;&gt;""),AND(FTE_1_Full_time!$H15&lt;&gt;0,FTE_1_Full_time!$J15=""))),CONCATENATE("Price group"," ",$B20,", ",$C20," ","Length",", Level ",$D20,"; "),"")</f>
        <v/>
      </c>
      <c r="I20" s="3029" t="str">
        <f>IF(AND($I$6=1,FTE_1_Full_time!$G15=0,OR(FTE_1_Full_time!$H15&lt;&gt;0,FTE_1_Full_time!$J15&lt;&gt;"")),CONCATENATE("Price group"," ",$B20,", ",$C20," ","Length",", Level ",$D20,"; "),"")</f>
        <v/>
      </c>
      <c r="K20" s="3016"/>
      <c r="L20" s="3026" t="s">
        <v>203</v>
      </c>
      <c r="M20" s="3024">
        <f t="shared" si="0"/>
        <v>0</v>
      </c>
      <c r="N20" s="3025"/>
      <c r="O20" s="3024">
        <f t="shared" si="1"/>
        <v>0</v>
      </c>
      <c r="R20" s="3115"/>
    </row>
    <row r="21" spans="2:18" x14ac:dyDescent="0.45">
      <c r="B21" s="3020" t="s">
        <v>203</v>
      </c>
      <c r="C21" s="2377" t="s">
        <v>218</v>
      </c>
      <c r="D21" s="3008" t="s">
        <v>212</v>
      </c>
      <c r="E21" s="3029" t="str">
        <f>IF(AND($E$6=1, ROUND(FTE_1_Full_time!$H16, 2)&lt;&gt;FTE_1_Full_time!$H16), CONCATENATE("Price group", " ", $B21, ", ", $C21, " ", "Length", ", Level ", $D21, "; "), "")</f>
        <v/>
      </c>
      <c r="F21" s="3028" t="str">
        <f>IF(AND($F$6=1,FTE_1_Full_time!$E16&lt;&gt;0,ABS(FTE_1_Full_time!$H16-FTE_1_Full_time!$E16)&lt;$F$9),CONCATENATE("Price group"," ",$B21,", ",$C21," ","Length",", Level ",$D21,"; "),"")</f>
        <v/>
      </c>
      <c r="G21" s="3027" t="str">
        <f>IF(AND($G$6=1,LEN(FTE_1_Full_time!$J16)&gt;2000), CONCATENATE("Price group", " ", $B21, ", ", $C21, " ", "Length", ", Level ", $D21, "; "), "")</f>
        <v/>
      </c>
      <c r="H21" s="3028" t="str">
        <f>IF(AND($H$6=1,OR(AND(FTE_1_Full_time!$H16=0,FTE_1_Full_time!$J16&lt;&gt;""),AND(FTE_1_Full_time!$H16&lt;&gt;0,FTE_1_Full_time!$J16=""))),CONCATENATE("Price group"," ",$B21,", ",$C21," ","Length",", Level ",$D21,"; "),"")</f>
        <v/>
      </c>
      <c r="I21" s="3029" t="str">
        <f>IF(AND($I$6=1,FTE_1_Full_time!$G16=0,OR(FTE_1_Full_time!$H16&lt;&gt;0,FTE_1_Full_time!$J16&lt;&gt;"")),CONCATENATE("Price group"," ",$B21,", ",$C21," ","Length",", Level ",$D21,"; "),"")</f>
        <v/>
      </c>
      <c r="K21" s="3016"/>
      <c r="L21" s="3026" t="s">
        <v>203</v>
      </c>
      <c r="M21" s="3024">
        <f t="shared" si="0"/>
        <v>0</v>
      </c>
      <c r="N21" s="3025"/>
      <c r="O21" s="3024">
        <f t="shared" si="1"/>
        <v>0</v>
      </c>
      <c r="R21" s="3115"/>
    </row>
    <row r="22" spans="2:18" x14ac:dyDescent="0.45">
      <c r="B22" s="3032" t="s">
        <v>203</v>
      </c>
      <c r="C22" s="3031" t="s">
        <v>218</v>
      </c>
      <c r="D22" s="3030" t="s">
        <v>214</v>
      </c>
      <c r="E22" s="3029" t="str">
        <f>IF(AND($E$6=1, ROUND(FTE_1_Full_time!$H17, 2)&lt;&gt;FTE_1_Full_time!$H17), CONCATENATE("Price group", " ", $B22, ", ", $C22, " ", "Length", ", Level ", $D22, "; "), "")</f>
        <v/>
      </c>
      <c r="F22" s="3223" t="str">
        <f>IF(AND($F$6=1,FTE_1_Full_time!$E17&lt;&gt;0,ABS(FTE_1_Full_time!$H17-FTE_1_Full_time!$E17)&lt;$F$9),CONCATENATE("Price group"," ",$B22,", ",$C22," ","Length",", Level ",$D22,"; "),"")</f>
        <v/>
      </c>
      <c r="G22" s="3027" t="str">
        <f>IF(AND($G$6=1,LEN(FTE_1_Full_time!$J17)&gt;2000), CONCATENATE("Price group", " ", $B22, ", ", $C22, " ", "Length", ", Level ", $D22, "; "), "")</f>
        <v/>
      </c>
      <c r="H22" s="3028" t="str">
        <f>IF(AND($H$6=1,OR(AND(FTE_1_Full_time!$H17=0,FTE_1_Full_time!$J17&lt;&gt;""),AND(FTE_1_Full_time!$H17&lt;&gt;0,FTE_1_Full_time!$J17=""))),CONCATENATE("Price group"," ",$B22,", ",$C22," ","Length",", Level ",$D22,"; "),"")</f>
        <v/>
      </c>
      <c r="I22" s="3029" t="str">
        <f>IF(AND($I$6=1,FTE_1_Full_time!$G17=0,OR(FTE_1_Full_time!$H17&lt;&gt;0,FTE_1_Full_time!$J17&lt;&gt;"")),CONCATENATE("Price group"," ",$B22,", ",$C22," ","Length",", Level ",$D22,"; "),"")</f>
        <v/>
      </c>
      <c r="K22" s="3016"/>
      <c r="L22" s="3026" t="s">
        <v>203</v>
      </c>
      <c r="M22" s="3024">
        <f t="shared" si="0"/>
        <v>0</v>
      </c>
      <c r="N22" s="3025"/>
      <c r="O22" s="3024">
        <f t="shared" si="1"/>
        <v>0</v>
      </c>
      <c r="R22" s="3115"/>
    </row>
    <row r="23" spans="2:18" x14ac:dyDescent="0.45">
      <c r="B23" s="3020" t="s">
        <v>225</v>
      </c>
      <c r="C23" s="2377" t="s">
        <v>204</v>
      </c>
      <c r="D23" s="3008" t="s">
        <v>205</v>
      </c>
      <c r="E23" s="3029" t="str">
        <f>IF(AND($E$6=1, ROUND(FTE_1_Full_time!$H18, 2)&lt;&gt;FTE_1_Full_time!$H18), CONCATENATE("Price group", " ", $B23, ", ", $C23, " ", "Length", ", Level ", $D23, "; "), "")</f>
        <v/>
      </c>
      <c r="F23" s="3222" t="str">
        <f>IF(AND($F$6=1,FTE_1_Full_time!$G18&lt;&gt;0,ABS(FTE_1_Full_time!$H18-FTE_1_Full_time!$G18)&lt;$F$10),CONCATENATE("Price group"," ",$B23,", ",$C23," ","Length",", Level ",$D23,"; "),"")</f>
        <v/>
      </c>
      <c r="G23" s="3027" t="str">
        <f>IF(AND($G$6=1,LEN(FTE_1_Full_time!$J18)&gt;2000), CONCATENATE("Price group", " ", $B23, ", ", $C23, " ", "Length", ", Level ", $D23, "; "), "")</f>
        <v/>
      </c>
      <c r="H23" s="3028" t="str">
        <f>IF(AND($H$6=1,OR(AND(FTE_1_Full_time!$H18=0,FTE_1_Full_time!$J18&lt;&gt;""),AND(FTE_1_Full_time!$H18&lt;&gt;0,FTE_1_Full_time!$J18=""))),CONCATENATE("Price group"," ",$B23,", ",$C23," ","Length",", Level ",$D23,"; "),"")</f>
        <v/>
      </c>
      <c r="I23" s="3029" t="str">
        <f>IF(AND($I$6=1,FTE_1_Full_time!$G18=0,OR(FTE_1_Full_time!$H18&lt;&gt;0,FTE_1_Full_time!$J18&lt;&gt;"")),CONCATENATE("Price group"," ",$B23,", ",$C23," ","Length",", Level ",$D23,"; "),"")</f>
        <v/>
      </c>
      <c r="K23" s="3016"/>
      <c r="L23" s="3026" t="s">
        <v>225</v>
      </c>
      <c r="M23" s="3024">
        <f t="shared" si="0"/>
        <v>0</v>
      </c>
      <c r="N23" s="3025"/>
      <c r="O23" s="3024">
        <f t="shared" si="1"/>
        <v>0</v>
      </c>
      <c r="R23" s="3115"/>
    </row>
    <row r="24" spans="2:18" x14ac:dyDescent="0.45">
      <c r="B24" s="3020" t="s">
        <v>225</v>
      </c>
      <c r="C24" s="2377" t="s">
        <v>204</v>
      </c>
      <c r="D24" s="3008" t="s">
        <v>208</v>
      </c>
      <c r="E24" s="3029" t="str">
        <f>IF(AND($E$6=1, ROUND(FTE_1_Full_time!$H19, 2)&lt;&gt;FTE_1_Full_time!$H19), CONCATENATE("Price group", " ", $B24, ", ", $C24, " ", "Length", ", Level ", $D24, "; "), "")</f>
        <v/>
      </c>
      <c r="F24" s="3028" t="str">
        <f>IF(AND($F$6=1,FTE_1_Full_time!$G19&lt;&gt;0,ABS(FTE_1_Full_time!$H19-FTE_1_Full_time!$G19)&lt;$F$10),CONCATENATE("Price group"," ",$B24,", ",$C24," ","Length",", Level ",$D24,"; "),"")</f>
        <v/>
      </c>
      <c r="G24" s="3027" t="str">
        <f>IF(AND($G$6=1,LEN(FTE_1_Full_time!$J19)&gt;2000), CONCATENATE("Price group", " ", $B24, ", ", $C24, " ", "Length", ", Level ", $D24, "; "), "")</f>
        <v/>
      </c>
      <c r="H24" s="3028" t="str">
        <f>IF(AND($H$6=1,OR(AND(FTE_1_Full_time!$H19=0,FTE_1_Full_time!$J19&lt;&gt;""),AND(FTE_1_Full_time!$H19&lt;&gt;0,FTE_1_Full_time!$J19=""))),CONCATENATE("Price group"," ",$B24,", ",$C24," ","Length",", Level ",$D24,"; "),"")</f>
        <v/>
      </c>
      <c r="I24" s="3029" t="str">
        <f>IF(AND($I$6=1,FTE_1_Full_time!$G19=0,OR(FTE_1_Full_time!$H19&lt;&gt;0,FTE_1_Full_time!$J19&lt;&gt;"")),CONCATENATE("Price group"," ",$B24,", ",$C24," ","Length",", Level ",$D24,"; "),"")</f>
        <v/>
      </c>
      <c r="K24" s="3016"/>
      <c r="L24" s="3026" t="s">
        <v>225</v>
      </c>
      <c r="M24" s="3024">
        <f t="shared" si="0"/>
        <v>0</v>
      </c>
      <c r="N24" s="3025"/>
      <c r="O24" s="3024">
        <f t="shared" si="1"/>
        <v>0</v>
      </c>
      <c r="R24" s="3115"/>
    </row>
    <row r="25" spans="2:18" x14ac:dyDescent="0.45">
      <c r="B25" s="3020" t="s">
        <v>225</v>
      </c>
      <c r="C25" s="2377" t="s">
        <v>204</v>
      </c>
      <c r="D25" s="3008" t="s">
        <v>210</v>
      </c>
      <c r="E25" s="3029" t="str">
        <f>IF(AND($E$6=1, ROUND(FTE_1_Full_time!$H20, 2)&lt;&gt;FTE_1_Full_time!$H20), CONCATENATE("Price group", " ", $B25, ", ", $C25, " ", "Length", ", Level ", $D25, "; "), "")</f>
        <v/>
      </c>
      <c r="F25" s="3028" t="str">
        <f>IF(AND($F$6=1,FTE_1_Full_time!$G20&lt;&gt;0,ABS(FTE_1_Full_time!$H20-FTE_1_Full_time!$G20)&lt;$F$10),CONCATENATE("Price group"," ",$B25,", ",$C25," ","Length",", Level ",$D25,"; "),"")</f>
        <v/>
      </c>
      <c r="G25" s="3027" t="str">
        <f>IF(AND($G$6=1,LEN(FTE_1_Full_time!$J20)&gt;2000), CONCATENATE("Price group", " ", $B25, ", ", $C25, " ", "Length", ", Level ", $D25, "; "), "")</f>
        <v/>
      </c>
      <c r="H25" s="3028" t="str">
        <f>IF(AND($H$6=1,OR(AND(FTE_1_Full_time!$H20=0,FTE_1_Full_time!$J20&lt;&gt;""),AND(FTE_1_Full_time!$H20&lt;&gt;0,FTE_1_Full_time!$J20=""))),CONCATENATE("Price group"," ",$B25,", ",$C25," ","Length",", Level ",$D25,"; "),"")</f>
        <v/>
      </c>
      <c r="I25" s="3029" t="str">
        <f>IF(AND($I$6=1,FTE_1_Full_time!$G20=0,OR(FTE_1_Full_time!$H20&lt;&gt;0,FTE_1_Full_time!$J20&lt;&gt;"")),CONCATENATE("Price group"," ",$B25,", ",$C25," ","Length",", Level ",$D25,"; "),"")</f>
        <v/>
      </c>
      <c r="K25" s="3016"/>
      <c r="L25" s="3026" t="s">
        <v>225</v>
      </c>
      <c r="M25" s="3024">
        <f t="shared" si="0"/>
        <v>0</v>
      </c>
      <c r="N25" s="3025"/>
      <c r="O25" s="3024">
        <f t="shared" si="1"/>
        <v>0</v>
      </c>
      <c r="R25" s="3115"/>
    </row>
    <row r="26" spans="2:18" x14ac:dyDescent="0.45">
      <c r="B26" s="3020" t="s">
        <v>225</v>
      </c>
      <c r="C26" s="2377" t="s">
        <v>204</v>
      </c>
      <c r="D26" s="3008" t="s">
        <v>212</v>
      </c>
      <c r="E26" s="3029" t="str">
        <f>IF(AND($E$6=1, ROUND(FTE_1_Full_time!$H21, 2)&lt;&gt;FTE_1_Full_time!$H21), CONCATENATE("Price group", " ", $B26, ", ", $C26, " ", "Length", ", Level ", $D26, "; "), "")</f>
        <v/>
      </c>
      <c r="F26" s="3028" t="str">
        <f>IF(AND($F$6=1,FTE_1_Full_time!$G21&lt;&gt;0,ABS(FTE_1_Full_time!$H21-FTE_1_Full_time!$G21)&lt;$F$10),CONCATENATE("Price group"," ",$B26,", ",$C26," ","Length",", Level ",$D26,"; "),"")</f>
        <v/>
      </c>
      <c r="G26" s="3027" t="str">
        <f>IF(AND($G$6=1,LEN(FTE_1_Full_time!$J21)&gt;2000), CONCATENATE("Price group", " ", $B26, ", ", $C26, " ", "Length", ", Level ", $D26, "; "), "")</f>
        <v/>
      </c>
      <c r="H26" s="3028" t="str">
        <f>IF(AND($H$6=1,OR(AND(FTE_1_Full_time!$H21=0,FTE_1_Full_time!$J21&lt;&gt;""),AND(FTE_1_Full_time!$H21&lt;&gt;0,FTE_1_Full_time!$J21=""))),CONCATENATE("Price group"," ",$B26,", ",$C26," ","Length",", Level ",$D26,"; "),"")</f>
        <v/>
      </c>
      <c r="I26" s="3029" t="str">
        <f>IF(AND($I$6=1,FTE_1_Full_time!$G21=0,OR(FTE_1_Full_time!$H21&lt;&gt;0,FTE_1_Full_time!$J21&lt;&gt;"")),CONCATENATE("Price group"," ",$B26,", ",$C26," ","Length",", Level ",$D26,"; "),"")</f>
        <v/>
      </c>
      <c r="K26" s="3016"/>
      <c r="L26" s="3026" t="s">
        <v>225</v>
      </c>
      <c r="M26" s="3024">
        <f t="shared" si="0"/>
        <v>0</v>
      </c>
      <c r="N26" s="3025"/>
      <c r="O26" s="3024">
        <f t="shared" si="1"/>
        <v>0</v>
      </c>
      <c r="R26" s="3115"/>
    </row>
    <row r="27" spans="2:18" x14ac:dyDescent="0.45">
      <c r="B27" s="3020" t="s">
        <v>225</v>
      </c>
      <c r="C27" s="2377" t="s">
        <v>204</v>
      </c>
      <c r="D27" s="3008" t="s">
        <v>214</v>
      </c>
      <c r="E27" s="3029" t="str">
        <f>IF(AND($E$6=1, ROUND(FTE_1_Full_time!$H22, 2)&lt;&gt;FTE_1_Full_time!$H22), CONCATENATE("Price group", " ", $B27, ", ", $C27, " ", "Length", ", Level ", $D27, "; "), "")</f>
        <v/>
      </c>
      <c r="F27" s="3028" t="str">
        <f>IF(AND($F$6=1,FTE_1_Full_time!$G22&lt;&gt;0,ABS(FTE_1_Full_time!$H22-FTE_1_Full_time!$G22)&lt;$F$10),CONCATENATE("Price group"," ",$B27,", ",$C27," ","Length",", Level ",$D27,"; "),"")</f>
        <v/>
      </c>
      <c r="G27" s="3027" t="str">
        <f>IF(AND($G$6=1,LEN(FTE_1_Full_time!$J22)&gt;2000), CONCATENATE("Price group", " ", $B27, ", ", $C27, " ", "Length", ", Level ", $D27, "; "), "")</f>
        <v/>
      </c>
      <c r="H27" s="3028" t="str">
        <f>IF(AND($H$6=1,OR(AND(FTE_1_Full_time!$H22=0,FTE_1_Full_time!$J22&lt;&gt;""),AND(FTE_1_Full_time!$H22&lt;&gt;0,FTE_1_Full_time!$J22=""))),CONCATENATE("Price group"," ",$B27,", ",$C27," ","Length",", Level ",$D27,"; "),"")</f>
        <v/>
      </c>
      <c r="I27" s="3029" t="str">
        <f>IF(AND($I$6=1,FTE_1_Full_time!$G22=0,OR(FTE_1_Full_time!$H22&lt;&gt;0,FTE_1_Full_time!$J22&lt;&gt;"")),CONCATENATE("Price group"," ",$B27,", ",$C27," ","Length",", Level ",$D27,"; "),"")</f>
        <v/>
      </c>
      <c r="K27" s="3016"/>
      <c r="L27" s="3026" t="s">
        <v>225</v>
      </c>
      <c r="M27" s="3024">
        <f t="shared" si="0"/>
        <v>0</v>
      </c>
      <c r="N27" s="3025"/>
      <c r="O27" s="3024">
        <f t="shared" si="1"/>
        <v>0</v>
      </c>
      <c r="R27" s="3115"/>
    </row>
    <row r="28" spans="2:18" x14ac:dyDescent="0.45">
      <c r="B28" s="3020" t="s">
        <v>225</v>
      </c>
      <c r="C28" s="2377" t="s">
        <v>218</v>
      </c>
      <c r="D28" s="3008" t="s">
        <v>205</v>
      </c>
      <c r="E28" s="3029" t="str">
        <f>IF(AND($E$6=1, ROUND(FTE_1_Full_time!$H23, 2)&lt;&gt;FTE_1_Full_time!$H23), CONCATENATE("Price group", " ", $B28, ", ", $C28, " ", "Length", ", Level ", $D28, "; "), "")</f>
        <v/>
      </c>
      <c r="F28" s="3028" t="str">
        <f>IF(AND($F$6=1,FTE_1_Full_time!$G23&lt;&gt;0,ABS(FTE_1_Full_time!$H23-FTE_1_Full_time!$G23)&lt;$F$10),CONCATENATE("Price group"," ",$B28,", ",$C28," ","Length",", Level ",$D28,"; "),"")</f>
        <v/>
      </c>
      <c r="G28" s="3027" t="str">
        <f>IF(AND($G$6=1,LEN(FTE_1_Full_time!$J23)&gt;2000), CONCATENATE("Price group", " ", $B28, ", ", $C28, " ", "Length", ", Level ", $D28, "; "), "")</f>
        <v/>
      </c>
      <c r="H28" s="3028" t="str">
        <f>IF(AND($H$6=1,OR(AND(FTE_1_Full_time!$H23=0,FTE_1_Full_time!$J23&lt;&gt;""),AND(FTE_1_Full_time!$H23&lt;&gt;0,FTE_1_Full_time!$J23=""))),CONCATENATE("Price group"," ",$B28,", ",$C28," ","Length",", Level ",$D28,"; "),"")</f>
        <v/>
      </c>
      <c r="I28" s="3029" t="str">
        <f>IF(AND($I$6=1,FTE_1_Full_time!$G23=0,OR(FTE_1_Full_time!$H23&lt;&gt;0,FTE_1_Full_time!$J23&lt;&gt;"")),CONCATENATE("Price group"," ",$B28,", ",$C28," ","Length",", Level ",$D28,"; "),"")</f>
        <v/>
      </c>
      <c r="K28" s="3016"/>
      <c r="L28" s="3026" t="s">
        <v>225</v>
      </c>
      <c r="M28" s="3024">
        <f t="shared" si="0"/>
        <v>0</v>
      </c>
      <c r="N28" s="3025"/>
      <c r="O28" s="3024">
        <f t="shared" si="1"/>
        <v>0</v>
      </c>
      <c r="R28" s="3115"/>
    </row>
    <row r="29" spans="2:18" x14ac:dyDescent="0.45">
      <c r="B29" s="3020" t="s">
        <v>225</v>
      </c>
      <c r="C29" s="2377" t="s">
        <v>218</v>
      </c>
      <c r="D29" s="3008" t="s">
        <v>208</v>
      </c>
      <c r="E29" s="3029" t="str">
        <f>IF(AND($E$6=1, ROUND(FTE_1_Full_time!$H24, 2)&lt;&gt;FTE_1_Full_time!$H24), CONCATENATE("Price group", " ", $B29, ", ", $C29, " ", "Length", ", Level ", $D29, "; "), "")</f>
        <v/>
      </c>
      <c r="F29" s="3028" t="str">
        <f>IF(AND($F$6=1,FTE_1_Full_time!$G24&lt;&gt;0,ABS(FTE_1_Full_time!$H24-FTE_1_Full_time!$G24)&lt;$F$10),CONCATENATE("Price group"," ",$B29,", ",$C29," ","Length",", Level ",$D29,"; "),"")</f>
        <v/>
      </c>
      <c r="G29" s="3027" t="str">
        <f>IF(AND($G$6=1,LEN(FTE_1_Full_time!$J24)&gt;2000), CONCATENATE("Price group", " ", $B29, ", ", $C29, " ", "Length", ", Level ", $D29, "; "), "")</f>
        <v/>
      </c>
      <c r="H29" s="3028" t="str">
        <f>IF(AND($H$6=1,OR(AND(FTE_1_Full_time!$H24=0,FTE_1_Full_time!$J24&lt;&gt;""),AND(FTE_1_Full_time!$H24&lt;&gt;0,FTE_1_Full_time!$J24=""))),CONCATENATE("Price group"," ",$B29,", ",$C29," ","Length",", Level ",$D29,"; "),"")</f>
        <v/>
      </c>
      <c r="I29" s="3029" t="str">
        <f>IF(AND($I$6=1,FTE_1_Full_time!$G24=0,OR(FTE_1_Full_time!$H24&lt;&gt;0,FTE_1_Full_time!$J24&lt;&gt;"")),CONCATENATE("Price group"," ",$B29,", ",$C29," ","Length",", Level ",$D29,"; "),"")</f>
        <v/>
      </c>
      <c r="K29" s="3016"/>
      <c r="L29" s="3026" t="s">
        <v>225</v>
      </c>
      <c r="M29" s="3024">
        <f t="shared" si="0"/>
        <v>0</v>
      </c>
      <c r="N29" s="3025"/>
      <c r="O29" s="3024">
        <f t="shared" si="1"/>
        <v>0</v>
      </c>
      <c r="R29" s="3115"/>
    </row>
    <row r="30" spans="2:18" x14ac:dyDescent="0.45">
      <c r="B30" s="3020" t="s">
        <v>225</v>
      </c>
      <c r="C30" s="2377" t="s">
        <v>218</v>
      </c>
      <c r="D30" s="3008" t="s">
        <v>210</v>
      </c>
      <c r="E30" s="3029" t="str">
        <f>IF(AND($E$6=1, ROUND(FTE_1_Full_time!$H25, 2)&lt;&gt;FTE_1_Full_time!$H25), CONCATENATE("Price group", " ", $B30, ", ", $C30, " ", "Length", ", Level ", $D30, "; "), "")</f>
        <v/>
      </c>
      <c r="F30" s="3028" t="str">
        <f>IF(AND($F$6=1,FTE_1_Full_time!$G25&lt;&gt;0,ABS(FTE_1_Full_time!$H25-FTE_1_Full_time!$G25)&lt;$F$10),CONCATENATE("Price group"," ",$B30,", ",$C30," ","Length",", Level ",$D30,"; "),"")</f>
        <v/>
      </c>
      <c r="G30" s="3027" t="str">
        <f>IF(AND($G$6=1,LEN(FTE_1_Full_time!$J25)&gt;2000), CONCATENATE("Price group", " ", $B30, ", ", $C30, " ", "Length", ", Level ", $D30, "; "), "")</f>
        <v/>
      </c>
      <c r="H30" s="3028" t="str">
        <f>IF(AND($H$6=1,OR(AND(FTE_1_Full_time!$H25=0,FTE_1_Full_time!$J25&lt;&gt;""),AND(FTE_1_Full_time!$H25&lt;&gt;0,FTE_1_Full_time!$J25=""))),CONCATENATE("Price group"," ",$B30,", ",$C30," ","Length",", Level ",$D30,"; "),"")</f>
        <v/>
      </c>
      <c r="I30" s="3029" t="str">
        <f>IF(AND($I$6=1,FTE_1_Full_time!$G25=0,OR(FTE_1_Full_time!$H25&lt;&gt;0,FTE_1_Full_time!$J25&lt;&gt;"")),CONCATENATE("Price group"," ",$B30,", ",$C30," ","Length",", Level ",$D30,"; "),"")</f>
        <v/>
      </c>
      <c r="K30" s="3016"/>
      <c r="L30" s="3026" t="s">
        <v>225</v>
      </c>
      <c r="M30" s="3024">
        <f t="shared" si="0"/>
        <v>0</v>
      </c>
      <c r="N30" s="3025"/>
      <c r="O30" s="3024">
        <f t="shared" si="1"/>
        <v>0</v>
      </c>
      <c r="R30" s="3115"/>
    </row>
    <row r="31" spans="2:18" x14ac:dyDescent="0.45">
      <c r="B31" s="3020" t="s">
        <v>225</v>
      </c>
      <c r="C31" s="2377" t="s">
        <v>218</v>
      </c>
      <c r="D31" s="3008" t="s">
        <v>212</v>
      </c>
      <c r="E31" s="3029" t="str">
        <f>IF(AND($E$6=1, ROUND(FTE_1_Full_time!$H26, 2)&lt;&gt;FTE_1_Full_time!$H26), CONCATENATE("Price group", " ", $B31, ", ", $C31, " ", "Length", ", Level ", $D31, "; "), "")</f>
        <v/>
      </c>
      <c r="F31" s="3028" t="str">
        <f>IF(AND($F$6=1,FTE_1_Full_time!$G26&lt;&gt;0,ABS(FTE_1_Full_time!$H26-FTE_1_Full_time!$G26)&lt;$F$10),CONCATENATE("Price group"," ",$B31,", ",$C31," ","Length",", Level ",$D31,"; "),"")</f>
        <v/>
      </c>
      <c r="G31" s="3027" t="str">
        <f>IF(AND($G$6=1,LEN(FTE_1_Full_time!$J26)&gt;2000), CONCATENATE("Price group", " ", $B31, ", ", $C31, " ", "Length", ", Level ", $D31, "; "), "")</f>
        <v/>
      </c>
      <c r="H31" s="3028" t="str">
        <f>IF(AND($H$6=1,OR(AND(FTE_1_Full_time!$H26=0,FTE_1_Full_time!$J26&lt;&gt;""),AND(FTE_1_Full_time!$H26&lt;&gt;0,FTE_1_Full_time!$J26=""))),CONCATENATE("Price group"," ",$B31,", ",$C31," ","Length",", Level ",$D31,"; "),"")</f>
        <v/>
      </c>
      <c r="I31" s="3029" t="str">
        <f>IF(AND($I$6=1,FTE_1_Full_time!$G26=0,OR(FTE_1_Full_time!$H26&lt;&gt;0,FTE_1_Full_time!$J26&lt;&gt;"")),CONCATENATE("Price group"," ",$B31,", ",$C31," ","Length",", Level ",$D31,"; "),"")</f>
        <v/>
      </c>
      <c r="K31" s="3016"/>
      <c r="L31" s="3026" t="s">
        <v>225</v>
      </c>
      <c r="M31" s="3024">
        <f t="shared" si="0"/>
        <v>0</v>
      </c>
      <c r="N31" s="3025"/>
      <c r="O31" s="3024">
        <f t="shared" si="1"/>
        <v>0</v>
      </c>
      <c r="R31" s="3115"/>
    </row>
    <row r="32" spans="2:18" x14ac:dyDescent="0.45">
      <c r="B32" s="3032" t="s">
        <v>225</v>
      </c>
      <c r="C32" s="3031" t="s">
        <v>218</v>
      </c>
      <c r="D32" s="3030" t="s">
        <v>214</v>
      </c>
      <c r="E32" s="3029" t="str">
        <f>IF(AND($E$6=1, ROUND(FTE_1_Full_time!$H27, 2)&lt;&gt;FTE_1_Full_time!$H27), CONCATENATE("Price group", " ", $B32, ", ", $C32, " ", "Length", ", Level ", $D32, "; "), "")</f>
        <v/>
      </c>
      <c r="F32" s="3028" t="str">
        <f>IF(AND($F$6=1,FTE_1_Full_time!$G27&lt;&gt;0,ABS(FTE_1_Full_time!$H27-FTE_1_Full_time!$G27)&lt;$F$10),CONCATENATE("Price group"," ",$B32,", ",$C32," ","Length",", Level ",$D32,"; "),"")</f>
        <v/>
      </c>
      <c r="G32" s="3027" t="str">
        <f>IF(AND($G$6=1,LEN(FTE_1_Full_time!$J27)&gt;2000), CONCATENATE("Price group", " ", $B32, ", ", $C32, " ", "Length", ", Level ", $D32, "; "), "")</f>
        <v/>
      </c>
      <c r="H32" s="3028" t="str">
        <f>IF(AND($H$6=1,OR(AND(FTE_1_Full_time!$H27=0,FTE_1_Full_time!$J27&lt;&gt;""),AND(FTE_1_Full_time!$H27&lt;&gt;0,FTE_1_Full_time!$J27=""))),CONCATENATE("Price group"," ",$B32,", ",$C32," ","Length",", Level ",$D32,"; "),"")</f>
        <v/>
      </c>
      <c r="I32" s="3029" t="str">
        <f>IF(AND($I$6=1,FTE_1_Full_time!$G27=0,OR(FTE_1_Full_time!$H27&lt;&gt;0,FTE_1_Full_time!$J27&lt;&gt;"")),CONCATENATE("Price group"," ",$B32,", ",$C32," ","Length",", Level ",$D32,"; "),"")</f>
        <v/>
      </c>
      <c r="K32" s="3016"/>
      <c r="L32" s="3026" t="s">
        <v>225</v>
      </c>
      <c r="M32" s="3024">
        <f t="shared" si="0"/>
        <v>0</v>
      </c>
      <c r="N32" s="3025"/>
      <c r="O32" s="3024">
        <f t="shared" si="1"/>
        <v>0</v>
      </c>
      <c r="R32" s="3115"/>
    </row>
    <row r="33" spans="2:18" x14ac:dyDescent="0.45">
      <c r="B33" s="3020" t="s">
        <v>238</v>
      </c>
      <c r="C33" s="2377" t="s">
        <v>204</v>
      </c>
      <c r="D33" s="3008" t="s">
        <v>205</v>
      </c>
      <c r="E33" s="3029" t="str">
        <f>IF(AND($E$6=1, ROUND(FTE_1_Full_time!$H28, 2)&lt;&gt;FTE_1_Full_time!$H28), CONCATENATE("Price group", " ", $B33, ", ", $C33, " ", "Length", ", Level ", $D33, "; "), "")</f>
        <v/>
      </c>
      <c r="F33" s="3028" t="str">
        <f>IF(AND($F$6=1,FTE_1_Full_time!$G28&lt;&gt;0,ABS(FTE_1_Full_time!$H28-FTE_1_Full_time!$G28)&lt;$F$10),CONCATENATE("Price group"," ",$B33,", ",$C33," ","Length",", Level ",$D33,"; "),"")</f>
        <v/>
      </c>
      <c r="G33" s="3027" t="str">
        <f>IF(AND($G$6=1,LEN(FTE_1_Full_time!$J28)&gt;2000), CONCATENATE("Price group", " ", $B33, ", ", $C33, " ", "Length", ", Level ", $D33, "; "), "")</f>
        <v/>
      </c>
      <c r="H33" s="3028" t="str">
        <f>IF(AND($H$6=1,OR(AND(FTE_1_Full_time!$H28=0,FTE_1_Full_time!$J28&lt;&gt;""),AND(FTE_1_Full_time!$H28&lt;&gt;0,FTE_1_Full_time!$J28=""))),CONCATENATE("Price group"," ",$B33,", ",$C33," ","Length",", Level ",$D33,"; "),"")</f>
        <v/>
      </c>
      <c r="I33" s="3029" t="str">
        <f>IF(AND($I$6=1,FTE_1_Full_time!$G28=0,OR(FTE_1_Full_time!$H28&lt;&gt;0,FTE_1_Full_time!$J28&lt;&gt;"")),CONCATENATE("Price group"," ",$B33,", ",$C33," ","Length",", Level ",$D33,"; "),"")</f>
        <v/>
      </c>
      <c r="K33" s="3016"/>
      <c r="L33" s="3026" t="s">
        <v>238</v>
      </c>
      <c r="M33" s="3024">
        <f t="shared" si="0"/>
        <v>0</v>
      </c>
      <c r="N33" s="3025"/>
      <c r="O33" s="3024">
        <f t="shared" si="1"/>
        <v>0</v>
      </c>
      <c r="R33" s="3115"/>
    </row>
    <row r="34" spans="2:18" x14ac:dyDescent="0.45">
      <c r="B34" s="3020" t="s">
        <v>238</v>
      </c>
      <c r="C34" s="2377" t="s">
        <v>204</v>
      </c>
      <c r="D34" s="3008" t="s">
        <v>208</v>
      </c>
      <c r="E34" s="3029" t="str">
        <f>IF(AND($E$6=1, ROUND(FTE_1_Full_time!$H29, 2)&lt;&gt;FTE_1_Full_time!$H29), CONCATENATE("Price group", " ", $B34, ", ", $C34, " ", "Length", ", Level ", $D34, "; "), "")</f>
        <v/>
      </c>
      <c r="F34" s="3028" t="str">
        <f>IF(AND($F$6=1,FTE_1_Full_time!$G29&lt;&gt;0,ABS(FTE_1_Full_time!$H29-FTE_1_Full_time!$G29)&lt;$F$10),CONCATENATE("Price group"," ",$B34,", ",$C34," ","Length",", Level ",$D34,"; "),"")</f>
        <v/>
      </c>
      <c r="G34" s="3027" t="str">
        <f>IF(AND($G$6=1,LEN(FTE_1_Full_time!$J29)&gt;2000), CONCATENATE("Price group", " ", $B34, ", ", $C34, " ", "Length", ", Level ", $D34, "; "), "")</f>
        <v/>
      </c>
      <c r="H34" s="3028" t="str">
        <f>IF(AND($H$6=1,OR(AND(FTE_1_Full_time!$H29=0,FTE_1_Full_time!$J29&lt;&gt;""),AND(FTE_1_Full_time!$H29&lt;&gt;0,FTE_1_Full_time!$J29=""))),CONCATENATE("Price group"," ",$B34,", ",$C34," ","Length",", Level ",$D34,"; "),"")</f>
        <v/>
      </c>
      <c r="I34" s="3029" t="str">
        <f>IF(AND($I$6=1,FTE_1_Full_time!$G29=0,OR(FTE_1_Full_time!$H29&lt;&gt;0,FTE_1_Full_time!$J29&lt;&gt;"")),CONCATENATE("Price group"," ",$B34,", ",$C34," ","Length",", Level ",$D34,"; "),"")</f>
        <v/>
      </c>
      <c r="K34" s="3016"/>
      <c r="L34" s="3026" t="s">
        <v>238</v>
      </c>
      <c r="M34" s="3024">
        <f t="shared" si="0"/>
        <v>0</v>
      </c>
      <c r="N34" s="3025"/>
      <c r="O34" s="3024">
        <f t="shared" si="1"/>
        <v>0</v>
      </c>
      <c r="R34" s="3115"/>
    </row>
    <row r="35" spans="2:18" x14ac:dyDescent="0.45">
      <c r="B35" s="3020" t="s">
        <v>238</v>
      </c>
      <c r="C35" s="2377" t="s">
        <v>204</v>
      </c>
      <c r="D35" s="3008" t="s">
        <v>210</v>
      </c>
      <c r="E35" s="3029" t="str">
        <f>IF(AND($E$6=1, ROUND(FTE_1_Full_time!$H30, 2)&lt;&gt;FTE_1_Full_time!$H30), CONCATENATE("Price group", " ", $B35, ", ", $C35, " ", "Length", ", Level ", $D35, "; "), "")</f>
        <v/>
      </c>
      <c r="F35" s="3028" t="str">
        <f>IF(AND($F$6=1,FTE_1_Full_time!$G30&lt;&gt;0,ABS(FTE_1_Full_time!$H30-FTE_1_Full_time!$G30)&lt;$F$10),CONCATENATE("Price group"," ",$B35,", ",$C35," ","Length",", Level ",$D35,"; "),"")</f>
        <v/>
      </c>
      <c r="G35" s="3027" t="str">
        <f>IF(AND($G$6=1,LEN(FTE_1_Full_time!$J30)&gt;2000), CONCATENATE("Price group", " ", $B35, ", ", $C35, " ", "Length", ", Level ", $D35, "; "), "")</f>
        <v/>
      </c>
      <c r="H35" s="3028" t="str">
        <f>IF(AND($H$6=1,OR(AND(FTE_1_Full_time!$H30=0,FTE_1_Full_time!$J30&lt;&gt;""),AND(FTE_1_Full_time!$H30&lt;&gt;0,FTE_1_Full_time!$J30=""))),CONCATENATE("Price group"," ",$B35,", ",$C35," ","Length",", Level ",$D35,"; "),"")</f>
        <v/>
      </c>
      <c r="I35" s="3029" t="str">
        <f>IF(AND($I$6=1,FTE_1_Full_time!$G30=0,OR(FTE_1_Full_time!$H30&lt;&gt;0,FTE_1_Full_time!$J30&lt;&gt;"")),CONCATENATE("Price group"," ",$B35,", ",$C35," ","Length",", Level ",$D35,"; "),"")</f>
        <v/>
      </c>
      <c r="K35" s="3016"/>
      <c r="L35" s="3026" t="s">
        <v>238</v>
      </c>
      <c r="M35" s="3024">
        <f t="shared" si="0"/>
        <v>0</v>
      </c>
      <c r="N35" s="3025"/>
      <c r="O35" s="3024">
        <f t="shared" si="1"/>
        <v>0</v>
      </c>
      <c r="R35" s="3115"/>
    </row>
    <row r="36" spans="2:18" x14ac:dyDescent="0.45">
      <c r="B36" s="3020" t="s">
        <v>238</v>
      </c>
      <c r="C36" s="2377" t="s">
        <v>204</v>
      </c>
      <c r="D36" s="3008" t="s">
        <v>212</v>
      </c>
      <c r="E36" s="3029" t="str">
        <f>IF(AND($E$6=1, ROUND(FTE_1_Full_time!$H31, 2)&lt;&gt;FTE_1_Full_time!$H31), CONCATENATE("Price group", " ", $B36, ", ", $C36, " ", "Length", ", Level ", $D36, "; "), "")</f>
        <v/>
      </c>
      <c r="F36" s="3028" t="str">
        <f>IF(AND($F$6=1,FTE_1_Full_time!$G31&lt;&gt;0,ABS(FTE_1_Full_time!$H31-FTE_1_Full_time!$G31)&lt;$F$10),CONCATENATE("Price group"," ",$B36,", ",$C36," ","Length",", Level ",$D36,"; "),"")</f>
        <v/>
      </c>
      <c r="G36" s="3027" t="str">
        <f>IF(AND($G$6=1,LEN(FTE_1_Full_time!$J31)&gt;2000), CONCATENATE("Price group", " ", $B36, ", ", $C36, " ", "Length", ", Level ", $D36, "; "), "")</f>
        <v/>
      </c>
      <c r="H36" s="3028" t="str">
        <f>IF(AND($H$6=1,OR(AND(FTE_1_Full_time!$H31=0,FTE_1_Full_time!$J31&lt;&gt;""),AND(FTE_1_Full_time!$H31&lt;&gt;0,FTE_1_Full_time!$J31=""))),CONCATENATE("Price group"," ",$B36,", ",$C36," ","Length",", Level ",$D36,"; "),"")</f>
        <v/>
      </c>
      <c r="I36" s="3029" t="str">
        <f>IF(AND($I$6=1,FTE_1_Full_time!$G31=0,OR(FTE_1_Full_time!$H31&lt;&gt;0,FTE_1_Full_time!$J31&lt;&gt;"")),CONCATENATE("Price group"," ",$B36,", ",$C36," ","Length",", Level ",$D36,"; "),"")</f>
        <v/>
      </c>
      <c r="K36" s="3016"/>
      <c r="L36" s="3026" t="s">
        <v>238</v>
      </c>
      <c r="M36" s="3024">
        <f t="shared" si="0"/>
        <v>0</v>
      </c>
      <c r="N36" s="3025"/>
      <c r="O36" s="3024">
        <f t="shared" si="1"/>
        <v>0</v>
      </c>
      <c r="R36" s="3115"/>
    </row>
    <row r="37" spans="2:18" x14ac:dyDescent="0.45">
      <c r="B37" s="3020" t="s">
        <v>238</v>
      </c>
      <c r="C37" s="2377" t="s">
        <v>204</v>
      </c>
      <c r="D37" s="3008" t="s">
        <v>214</v>
      </c>
      <c r="E37" s="3029" t="str">
        <f>IF(AND($E$6=1, ROUND(FTE_1_Full_time!$H32, 2)&lt;&gt;FTE_1_Full_time!$H32), CONCATENATE("Price group", " ", $B37, ", ", $C37, " ", "Length", ", Level ", $D37, "; "), "")</f>
        <v/>
      </c>
      <c r="F37" s="3028" t="str">
        <f>IF(AND($F$6=1,FTE_1_Full_time!$G32&lt;&gt;0,ABS(FTE_1_Full_time!$H32-FTE_1_Full_time!$G32)&lt;$F$10),CONCATENATE("Price group"," ",$B37,", ",$C37," ","Length",", Level ",$D37,"; "),"")</f>
        <v/>
      </c>
      <c r="G37" s="3027" t="str">
        <f>IF(AND($G$6=1,LEN(FTE_1_Full_time!$J32)&gt;2000), CONCATENATE("Price group", " ", $B37, ", ", $C37, " ", "Length", ", Level ", $D37, "; "), "")</f>
        <v/>
      </c>
      <c r="H37" s="3028" t="str">
        <f>IF(AND($H$6=1,OR(AND(FTE_1_Full_time!$H32=0,FTE_1_Full_time!$J32&lt;&gt;""),AND(FTE_1_Full_time!$H32&lt;&gt;0,FTE_1_Full_time!$J32=""))),CONCATENATE("Price group"," ",$B37,", ",$C37," ","Length",", Level ",$D37,"; "),"")</f>
        <v/>
      </c>
      <c r="I37" s="3029" t="str">
        <f>IF(AND($I$6=1,FTE_1_Full_time!$G32=0,OR(FTE_1_Full_time!$H32&lt;&gt;0,FTE_1_Full_time!$J32&lt;&gt;"")),CONCATENATE("Price group"," ",$B37,", ",$C37," ","Length",", Level ",$D37,"; "),"")</f>
        <v/>
      </c>
      <c r="K37" s="3016"/>
      <c r="L37" s="3026" t="s">
        <v>238</v>
      </c>
      <c r="M37" s="3024">
        <f t="shared" si="0"/>
        <v>0</v>
      </c>
      <c r="N37" s="3025"/>
      <c r="O37" s="3024">
        <f t="shared" si="1"/>
        <v>0</v>
      </c>
      <c r="R37" s="3115"/>
    </row>
    <row r="38" spans="2:18" x14ac:dyDescent="0.45">
      <c r="B38" s="3020" t="s">
        <v>238</v>
      </c>
      <c r="C38" s="2377" t="s">
        <v>218</v>
      </c>
      <c r="D38" s="3008" t="s">
        <v>205</v>
      </c>
      <c r="E38" s="3029" t="str">
        <f>IF(AND($E$6=1, ROUND(FTE_1_Full_time!$H33, 2)&lt;&gt;FTE_1_Full_time!$H33), CONCATENATE("Price group", " ", $B38, ", ", $C38, " ", "Length", ", Level ", $D38, "; "), "")</f>
        <v/>
      </c>
      <c r="F38" s="3028" t="str">
        <f>IF(AND($F$6=1,FTE_1_Full_time!$G33&lt;&gt;0,ABS(FTE_1_Full_time!$H33-FTE_1_Full_time!$G33)&lt;$F$10),CONCATENATE("Price group"," ",$B38,", ",$C38," ","Length",", Level ",$D38,"; "),"")</f>
        <v/>
      </c>
      <c r="G38" s="3027" t="str">
        <f>IF(AND($G$6=1,LEN(FTE_1_Full_time!$J33)&gt;2000), CONCATENATE("Price group", " ", $B38, ", ", $C38, " ", "Length", ", Level ", $D38, "; "), "")</f>
        <v/>
      </c>
      <c r="H38" s="3028" t="str">
        <f>IF(AND($H$6=1,OR(AND(FTE_1_Full_time!$H33=0,FTE_1_Full_time!$J33&lt;&gt;""),AND(FTE_1_Full_time!$H33&lt;&gt;0,FTE_1_Full_time!$J33=""))),CONCATENATE("Price group"," ",$B38,", ",$C38," ","Length",", Level ",$D38,"; "),"")</f>
        <v/>
      </c>
      <c r="I38" s="3029" t="str">
        <f>IF(AND($I$6=1,FTE_1_Full_time!$G33=0,OR(FTE_1_Full_time!$H33&lt;&gt;0,FTE_1_Full_time!$J33&lt;&gt;"")),CONCATENATE("Price group"," ",$B38,", ",$C38," ","Length",", Level ",$D38,"; "),"")</f>
        <v/>
      </c>
      <c r="K38" s="3016"/>
      <c r="L38" s="3026" t="s">
        <v>238</v>
      </c>
      <c r="M38" s="3024">
        <f t="shared" si="0"/>
        <v>0</v>
      </c>
      <c r="N38" s="3025"/>
      <c r="O38" s="3024">
        <f t="shared" si="1"/>
        <v>0</v>
      </c>
      <c r="R38" s="3115"/>
    </row>
    <row r="39" spans="2:18" x14ac:dyDescent="0.45">
      <c r="B39" s="3020" t="s">
        <v>238</v>
      </c>
      <c r="C39" s="2377" t="s">
        <v>218</v>
      </c>
      <c r="D39" s="3008" t="s">
        <v>208</v>
      </c>
      <c r="E39" s="3029" t="str">
        <f>IF(AND($E$6=1, ROUND(FTE_1_Full_time!$H34, 2)&lt;&gt;FTE_1_Full_time!$H34), CONCATENATE("Price group", " ", $B39, ", ", $C39, " ", "Length", ", Level ", $D39, "; "), "")</f>
        <v/>
      </c>
      <c r="F39" s="3028" t="str">
        <f>IF(AND($F$6=1,FTE_1_Full_time!$G34&lt;&gt;0,ABS(FTE_1_Full_time!$H34-FTE_1_Full_time!$G34)&lt;$F$10),CONCATENATE("Price group"," ",$B39,", ",$C39," ","Length",", Level ",$D39,"; "),"")</f>
        <v/>
      </c>
      <c r="G39" s="3027" t="str">
        <f>IF(AND($G$6=1,LEN(FTE_1_Full_time!$J34)&gt;2000), CONCATENATE("Price group", " ", $B39, ", ", $C39, " ", "Length", ", Level ", $D39, "; "), "")</f>
        <v/>
      </c>
      <c r="H39" s="3028" t="str">
        <f>IF(AND($H$6=1,OR(AND(FTE_1_Full_time!$H34=0,FTE_1_Full_time!$J34&lt;&gt;""),AND(FTE_1_Full_time!$H34&lt;&gt;0,FTE_1_Full_time!$J34=""))),CONCATENATE("Price group"," ",$B39,", ",$C39," ","Length",", Level ",$D39,"; "),"")</f>
        <v/>
      </c>
      <c r="I39" s="3029" t="str">
        <f>IF(AND($I$6=1,FTE_1_Full_time!$G34=0,OR(FTE_1_Full_time!$H34&lt;&gt;0,FTE_1_Full_time!$J34&lt;&gt;"")),CONCATENATE("Price group"," ",$B39,", ",$C39," ","Length",", Level ",$D39,"; "),"")</f>
        <v/>
      </c>
      <c r="K39" s="3016"/>
      <c r="L39" s="3026" t="s">
        <v>238</v>
      </c>
      <c r="M39" s="3024">
        <f t="shared" si="0"/>
        <v>0</v>
      </c>
      <c r="N39" s="3025"/>
      <c r="O39" s="3024">
        <f t="shared" si="1"/>
        <v>0</v>
      </c>
      <c r="R39" s="3115"/>
    </row>
    <row r="40" spans="2:18" x14ac:dyDescent="0.45">
      <c r="B40" s="3020" t="s">
        <v>238</v>
      </c>
      <c r="C40" s="2377" t="s">
        <v>218</v>
      </c>
      <c r="D40" s="3008" t="s">
        <v>210</v>
      </c>
      <c r="E40" s="3029" t="str">
        <f>IF(AND($E$6=1, ROUND(FTE_1_Full_time!$H35, 2)&lt;&gt;FTE_1_Full_time!$H35), CONCATENATE("Price group", " ", $B40, ", ", $C40, " ", "Length", ", Level ", $D40, "; "), "")</f>
        <v/>
      </c>
      <c r="F40" s="3028" t="str">
        <f>IF(AND($F$6=1,FTE_1_Full_time!$G35&lt;&gt;0,ABS(FTE_1_Full_time!$H35-FTE_1_Full_time!$G35)&lt;$F$10),CONCATENATE("Price group"," ",$B40,", ",$C40," ","Length",", Level ",$D40,"; "),"")</f>
        <v/>
      </c>
      <c r="G40" s="3027" t="str">
        <f>IF(AND($G$6=1,LEN(FTE_1_Full_time!$J35)&gt;2000), CONCATENATE("Price group", " ", $B40, ", ", $C40, " ", "Length", ", Level ", $D40, "; "), "")</f>
        <v/>
      </c>
      <c r="H40" s="3028" t="str">
        <f>IF(AND($H$6=1,OR(AND(FTE_1_Full_time!$H35=0,FTE_1_Full_time!$J35&lt;&gt;""),AND(FTE_1_Full_time!$H35&lt;&gt;0,FTE_1_Full_time!$J35=""))),CONCATENATE("Price group"," ",$B40,", ",$C40," ","Length",", Level ",$D40,"; "),"")</f>
        <v/>
      </c>
      <c r="I40" s="3029" t="str">
        <f>IF(AND($I$6=1,FTE_1_Full_time!$G35=0,OR(FTE_1_Full_time!$H35&lt;&gt;0,FTE_1_Full_time!$J35&lt;&gt;"")),CONCATENATE("Price group"," ",$B40,", ",$C40," ","Length",", Level ",$D40,"; "),"")</f>
        <v/>
      </c>
      <c r="K40" s="3016"/>
      <c r="L40" s="3026" t="s">
        <v>238</v>
      </c>
      <c r="M40" s="3024">
        <f t="shared" si="0"/>
        <v>0</v>
      </c>
      <c r="N40" s="3025"/>
      <c r="O40" s="3024">
        <f t="shared" si="1"/>
        <v>0</v>
      </c>
      <c r="R40" s="3115"/>
    </row>
    <row r="41" spans="2:18" x14ac:dyDescent="0.45">
      <c r="B41" s="3020" t="s">
        <v>238</v>
      </c>
      <c r="C41" s="2377" t="s">
        <v>218</v>
      </c>
      <c r="D41" s="3008" t="s">
        <v>212</v>
      </c>
      <c r="E41" s="3029" t="str">
        <f>IF(AND($E$6=1, ROUND(FTE_1_Full_time!$H36, 2)&lt;&gt;FTE_1_Full_time!$H36), CONCATENATE("Price group", " ", $B41, ", ", $C41, " ", "Length", ", Level ", $D41, "; "), "")</f>
        <v/>
      </c>
      <c r="F41" s="3028" t="str">
        <f>IF(AND($F$6=1,FTE_1_Full_time!$G36&lt;&gt;0,ABS(FTE_1_Full_time!$H36-FTE_1_Full_time!$G36)&lt;$F$10),CONCATENATE("Price group"," ",$B41,", ",$C41," ","Length",", Level ",$D41,"; "),"")</f>
        <v/>
      </c>
      <c r="G41" s="3027" t="str">
        <f>IF(AND($G$6=1,LEN(FTE_1_Full_time!$J36)&gt;2000), CONCATENATE("Price group", " ", $B41, ", ", $C41, " ", "Length", ", Level ", $D41, "; "), "")</f>
        <v/>
      </c>
      <c r="H41" s="3028" t="str">
        <f>IF(AND($H$6=1,OR(AND(FTE_1_Full_time!$H36=0,FTE_1_Full_time!$J36&lt;&gt;""),AND(FTE_1_Full_time!$H36&lt;&gt;0,FTE_1_Full_time!$J36=""))),CONCATENATE("Price group"," ",$B41,", ",$C41," ","Length",", Level ",$D41,"; "),"")</f>
        <v/>
      </c>
      <c r="I41" s="3029" t="str">
        <f>IF(AND($I$6=1,FTE_1_Full_time!$G36=0,OR(FTE_1_Full_time!$H36&lt;&gt;0,FTE_1_Full_time!$J36&lt;&gt;"")),CONCATENATE("Price group"," ",$B41,", ",$C41," ","Length",", Level ",$D41,"; "),"")</f>
        <v/>
      </c>
      <c r="K41" s="3016"/>
      <c r="L41" s="3026" t="s">
        <v>238</v>
      </c>
      <c r="M41" s="3024">
        <f t="shared" si="0"/>
        <v>0</v>
      </c>
      <c r="N41" s="3025"/>
      <c r="O41" s="3024">
        <f t="shared" si="1"/>
        <v>0</v>
      </c>
      <c r="R41" s="3115"/>
    </row>
    <row r="42" spans="2:18" x14ac:dyDescent="0.45">
      <c r="B42" s="3032" t="s">
        <v>238</v>
      </c>
      <c r="C42" s="3031" t="s">
        <v>218</v>
      </c>
      <c r="D42" s="3030" t="s">
        <v>214</v>
      </c>
      <c r="E42" s="3029" t="str">
        <f>IF(AND($E$6=1, ROUND(FTE_1_Full_time!$H37, 2)&lt;&gt;FTE_1_Full_time!$H37), CONCATENATE("Price group", " ", $B42, ", ", $C42, " ", "Length", ", Level ", $D42, "; "), "")</f>
        <v/>
      </c>
      <c r="F42" s="3028" t="str">
        <f>IF(AND($F$6=1,FTE_1_Full_time!$G37&lt;&gt;0,ABS(FTE_1_Full_time!$H37-FTE_1_Full_time!$G37)&lt;$F$10),CONCATENATE("Price group"," ",$B42,", ",$C42," ","Length",", Level ",$D42,"; "),"")</f>
        <v/>
      </c>
      <c r="G42" s="3027" t="str">
        <f>IF(AND($G$6=1,LEN(FTE_1_Full_time!$J37)&gt;2000), CONCATENATE("Price group", " ", $B42, ", ", $C42, " ", "Length", ", Level ", $D42, "; "), "")</f>
        <v/>
      </c>
      <c r="H42" s="3028" t="str">
        <f>IF(AND($H$6=1,OR(AND(FTE_1_Full_time!$H37=0,FTE_1_Full_time!$J37&lt;&gt;""),AND(FTE_1_Full_time!$H37&lt;&gt;0,FTE_1_Full_time!$J37=""))),CONCATENATE("Price group"," ",$B42,", ",$C42," ","Length",", Level ",$D42,"; "),"")</f>
        <v/>
      </c>
      <c r="I42" s="3029" t="str">
        <f>IF(AND($I$6=1,FTE_1_Full_time!$G37=0,OR(FTE_1_Full_time!$H37&lt;&gt;0,FTE_1_Full_time!$J37&lt;&gt;"")),CONCATENATE("Price group"," ",$B42,", ",$C42," ","Length",", Level ",$D42,"; "),"")</f>
        <v/>
      </c>
      <c r="K42" s="3016"/>
      <c r="L42" s="3026" t="s">
        <v>238</v>
      </c>
      <c r="M42" s="3024">
        <f t="shared" si="0"/>
        <v>0</v>
      </c>
      <c r="N42" s="3025"/>
      <c r="O42" s="3024">
        <f t="shared" si="1"/>
        <v>0</v>
      </c>
      <c r="R42" s="3115"/>
    </row>
    <row r="43" spans="2:18" x14ac:dyDescent="0.45">
      <c r="B43" s="3020" t="s">
        <v>251</v>
      </c>
      <c r="C43" s="2377" t="s">
        <v>204</v>
      </c>
      <c r="D43" s="3008" t="s">
        <v>205</v>
      </c>
      <c r="E43" s="3029" t="str">
        <f>IF(AND($E$6=1, ROUND(FTE_1_Full_time!$H38, 2)&lt;&gt;FTE_1_Full_time!$H38), CONCATENATE("Price group", " ", $B43, ", ", $C43, " ", "Length", ", Level ", $D43, "; "), "")</f>
        <v/>
      </c>
      <c r="F43" s="3028" t="str">
        <f>IF(AND($F$6=1,FTE_1_Full_time!$G38&lt;&gt;0,ABS(FTE_1_Full_time!$H38-FTE_1_Full_time!$G38)&lt;$F$10),CONCATENATE("Price group"," ",$B43,", ",$C43," ","Length",", Level ",$D43,"; "),"")</f>
        <v/>
      </c>
      <c r="G43" s="3027" t="str">
        <f>IF(AND($G$6=1,LEN(FTE_1_Full_time!$J38)&gt;2000), CONCATENATE("Price group", " ", $B43, ", ", $C43, " ", "Length", ", Level ", $D43, "; "), "")</f>
        <v/>
      </c>
      <c r="H43" s="3028" t="str">
        <f>IF(AND($H$6=1,OR(AND(FTE_1_Full_time!$H38=0,FTE_1_Full_time!$J38&lt;&gt;""),AND(FTE_1_Full_time!$H38&lt;&gt;0,FTE_1_Full_time!$J38=""))),CONCATENATE("Price group"," ",$B43,", ",$C43," ","Length",", Level ",$D43,"; "),"")</f>
        <v/>
      </c>
      <c r="I43" s="3029" t="str">
        <f>IF(AND($I$6=1,FTE_1_Full_time!$G38=0,OR(FTE_1_Full_time!$H38&lt;&gt;0,FTE_1_Full_time!$J38&lt;&gt;"")),CONCATENATE("Price group"," ",$B43,", ",$C43," ","Length",", Level ",$D43,"; "),"")</f>
        <v/>
      </c>
      <c r="K43" s="3016"/>
      <c r="L43" s="3026" t="s">
        <v>251</v>
      </c>
      <c r="M43" s="3024">
        <f t="shared" si="0"/>
        <v>0</v>
      </c>
      <c r="N43" s="3025"/>
      <c r="O43" s="3024">
        <f t="shared" si="1"/>
        <v>0</v>
      </c>
      <c r="R43" s="3115"/>
    </row>
    <row r="44" spans="2:18" x14ac:dyDescent="0.45">
      <c r="B44" s="3020" t="s">
        <v>251</v>
      </c>
      <c r="C44" s="2377" t="s">
        <v>204</v>
      </c>
      <c r="D44" s="3008" t="s">
        <v>208</v>
      </c>
      <c r="E44" s="3029" t="str">
        <f>IF(AND($E$6=1, ROUND(FTE_1_Full_time!$H39, 2)&lt;&gt;FTE_1_Full_time!$H39), CONCATENATE("Price group", " ", $B44, ", ", $C44, " ", "Length", ", Level ", $D44, "; "), "")</f>
        <v/>
      </c>
      <c r="F44" s="3028" t="str">
        <f>IF(AND($F$6=1,FTE_1_Full_time!$G39&lt;&gt;0,ABS(FTE_1_Full_time!$H39-FTE_1_Full_time!$G39)&lt;$F$10),CONCATENATE("Price group"," ",$B44,", ",$C44," ","Length",", Level ",$D44,"; "),"")</f>
        <v/>
      </c>
      <c r="G44" s="3027" t="str">
        <f>IF(AND($G$6=1,LEN(FTE_1_Full_time!$J39)&gt;2000), CONCATENATE("Price group", " ", $B44, ", ", $C44, " ", "Length", ", Level ", $D44, "; "), "")</f>
        <v/>
      </c>
      <c r="H44" s="3028" t="str">
        <f>IF(AND($H$6=1,OR(AND(FTE_1_Full_time!$H39=0,FTE_1_Full_time!$J39&lt;&gt;""),AND(FTE_1_Full_time!$H39&lt;&gt;0,FTE_1_Full_time!$J39=""))),CONCATENATE("Price group"," ",$B44,", ",$C44," ","Length",", Level ",$D44,"; "),"")</f>
        <v/>
      </c>
      <c r="I44" s="3029" t="str">
        <f>IF(AND($I$6=1,FTE_1_Full_time!$G39=0,OR(FTE_1_Full_time!$H39&lt;&gt;0,FTE_1_Full_time!$J39&lt;&gt;"")),CONCATENATE("Price group"," ",$B44,", ",$C44," ","Length",", Level ",$D44,"; "),"")</f>
        <v/>
      </c>
      <c r="K44" s="3016"/>
      <c r="L44" s="3026" t="s">
        <v>251</v>
      </c>
      <c r="M44" s="3024">
        <f t="shared" si="0"/>
        <v>0</v>
      </c>
      <c r="N44" s="3025"/>
      <c r="O44" s="3024">
        <f t="shared" si="1"/>
        <v>0</v>
      </c>
      <c r="R44" s="3115"/>
    </row>
    <row r="45" spans="2:18" x14ac:dyDescent="0.45">
      <c r="B45" s="3020" t="s">
        <v>251</v>
      </c>
      <c r="C45" s="2377" t="s">
        <v>204</v>
      </c>
      <c r="D45" s="3008" t="s">
        <v>210</v>
      </c>
      <c r="E45" s="3029" t="str">
        <f>IF(AND($E$6=1, ROUND(FTE_1_Full_time!$H40, 2)&lt;&gt;FTE_1_Full_time!$H40), CONCATENATE("Price group", " ", $B45, ", ", $C45, " ", "Length", ", Level ", $D45, "; "), "")</f>
        <v/>
      </c>
      <c r="F45" s="3028" t="str">
        <f>IF(AND($F$6=1,FTE_1_Full_time!$G40&lt;&gt;0,ABS(FTE_1_Full_time!$H40-FTE_1_Full_time!$G40)&lt;$F$10),CONCATENATE("Price group"," ",$B45,", ",$C45," ","Length",", Level ",$D45,"; "),"")</f>
        <v/>
      </c>
      <c r="G45" s="3027" t="str">
        <f>IF(AND($G$6=1,LEN(FTE_1_Full_time!$J40)&gt;2000), CONCATENATE("Price group", " ", $B45, ", ", $C45, " ", "Length", ", Level ", $D45, "; "), "")</f>
        <v/>
      </c>
      <c r="H45" s="3028" t="str">
        <f>IF(AND($H$6=1,OR(AND(FTE_1_Full_time!$H40=0,FTE_1_Full_time!$J40&lt;&gt;""),AND(FTE_1_Full_time!$H40&lt;&gt;0,FTE_1_Full_time!$J40=""))),CONCATENATE("Price group"," ",$B45,", ",$C45," ","Length",", Level ",$D45,"; "),"")</f>
        <v/>
      </c>
      <c r="I45" s="3029" t="str">
        <f>IF(AND($I$6=1,FTE_1_Full_time!$G40=0,OR(FTE_1_Full_time!$H40&lt;&gt;0,FTE_1_Full_time!$J40&lt;&gt;"")),CONCATENATE("Price group"," ",$B45,", ",$C45," ","Length",", Level ",$D45,"; "),"")</f>
        <v/>
      </c>
      <c r="K45" s="3016"/>
      <c r="L45" s="3026" t="s">
        <v>251</v>
      </c>
      <c r="M45" s="3024">
        <f t="shared" si="0"/>
        <v>0</v>
      </c>
      <c r="N45" s="3025"/>
      <c r="O45" s="3024">
        <f t="shared" si="1"/>
        <v>0</v>
      </c>
      <c r="R45" s="3115"/>
    </row>
    <row r="46" spans="2:18" x14ac:dyDescent="0.45">
      <c r="B46" s="3020" t="s">
        <v>251</v>
      </c>
      <c r="C46" s="2377" t="s">
        <v>204</v>
      </c>
      <c r="D46" s="3008" t="s">
        <v>212</v>
      </c>
      <c r="E46" s="3029" t="str">
        <f>IF(AND($E$6=1, ROUND(FTE_1_Full_time!$H41, 2)&lt;&gt;FTE_1_Full_time!$H41), CONCATENATE("Price group", " ", $B46, ", ", $C46, " ", "Length", ", Level ", $D46, "; "), "")</f>
        <v/>
      </c>
      <c r="F46" s="3028" t="str">
        <f>IF(AND($F$6=1,FTE_1_Full_time!$G41&lt;&gt;0,ABS(FTE_1_Full_time!$H41-FTE_1_Full_time!$G41)&lt;$F$10),CONCATENATE("Price group"," ",$B46,", ",$C46," ","Length",", Level ",$D46,"; "),"")</f>
        <v/>
      </c>
      <c r="G46" s="3027" t="str">
        <f>IF(AND($G$6=1,LEN(FTE_1_Full_time!$J41)&gt;2000), CONCATENATE("Price group", " ", $B46, ", ", $C46, " ", "Length", ", Level ", $D46, "; "), "")</f>
        <v/>
      </c>
      <c r="H46" s="3028" t="str">
        <f>IF(AND($H$6=1,OR(AND(FTE_1_Full_time!$H41=0,FTE_1_Full_time!$J41&lt;&gt;""),AND(FTE_1_Full_time!$H41&lt;&gt;0,FTE_1_Full_time!$J41=""))),CONCATENATE("Price group"," ",$B46,", ",$C46," ","Length",", Level ",$D46,"; "),"")</f>
        <v/>
      </c>
      <c r="I46" s="3029" t="str">
        <f>IF(AND($I$6=1,FTE_1_Full_time!$G41=0,OR(FTE_1_Full_time!$H41&lt;&gt;0,FTE_1_Full_time!$J41&lt;&gt;"")),CONCATENATE("Price group"," ",$B46,", ",$C46," ","Length",", Level ",$D46,"; "),"")</f>
        <v/>
      </c>
      <c r="K46" s="3016"/>
      <c r="L46" s="3026" t="s">
        <v>251</v>
      </c>
      <c r="M46" s="3024">
        <f t="shared" si="0"/>
        <v>0</v>
      </c>
      <c r="N46" s="3025"/>
      <c r="O46" s="3024">
        <f t="shared" si="1"/>
        <v>0</v>
      </c>
      <c r="R46" s="3115"/>
    </row>
    <row r="47" spans="2:18" x14ac:dyDescent="0.45">
      <c r="B47" s="3020" t="s">
        <v>251</v>
      </c>
      <c r="C47" s="2377" t="s">
        <v>204</v>
      </c>
      <c r="D47" s="3008" t="s">
        <v>214</v>
      </c>
      <c r="E47" s="3029" t="str">
        <f>IF(AND($E$6=1, ROUND(FTE_1_Full_time!$H42, 2)&lt;&gt;FTE_1_Full_time!$H42), CONCATENATE("Price group", " ", $B47, ", ", $C47, " ", "Length", ", Level ", $D47, "; "), "")</f>
        <v/>
      </c>
      <c r="F47" s="3028" t="str">
        <f>IF(AND($F$6=1,FTE_1_Full_time!$G42&lt;&gt;0,ABS(FTE_1_Full_time!$H42-FTE_1_Full_time!$G42)&lt;$F$10),CONCATENATE("Price group"," ",$B47,", ",$C47," ","Length",", Level ",$D47,"; "),"")</f>
        <v/>
      </c>
      <c r="G47" s="3027" t="str">
        <f>IF(AND($G$6=1,LEN(FTE_1_Full_time!$J42)&gt;2000), CONCATENATE("Price group", " ", $B47, ", ", $C47, " ", "Length", ", Level ", $D47, "; "), "")</f>
        <v/>
      </c>
      <c r="H47" s="3028" t="str">
        <f>IF(AND($H$6=1,OR(AND(FTE_1_Full_time!$H42=0,FTE_1_Full_time!$J42&lt;&gt;""),AND(FTE_1_Full_time!$H42&lt;&gt;0,FTE_1_Full_time!$J42=""))),CONCATENATE("Price group"," ",$B47,", ",$C47," ","Length",", Level ",$D47,"; "),"")</f>
        <v/>
      </c>
      <c r="I47" s="3029" t="str">
        <f>IF(AND($I$6=1,FTE_1_Full_time!$G42=0,OR(FTE_1_Full_time!$H42&lt;&gt;0,FTE_1_Full_time!$J42&lt;&gt;"")),CONCATENATE("Price group"," ",$B47,", ",$C47," ","Length",", Level ",$D47,"; "),"")</f>
        <v/>
      </c>
      <c r="K47" s="3016"/>
      <c r="L47" s="3026" t="s">
        <v>251</v>
      </c>
      <c r="M47" s="3024">
        <f t="shared" si="0"/>
        <v>0</v>
      </c>
      <c r="N47" s="3025"/>
      <c r="O47" s="3024">
        <f t="shared" si="1"/>
        <v>0</v>
      </c>
      <c r="R47" s="3115"/>
    </row>
    <row r="48" spans="2:18" x14ac:dyDescent="0.45">
      <c r="B48" s="3020" t="s">
        <v>251</v>
      </c>
      <c r="C48" s="2377" t="s">
        <v>218</v>
      </c>
      <c r="D48" s="3008" t="s">
        <v>205</v>
      </c>
      <c r="E48" s="3029" t="str">
        <f>IF(AND($E$6=1, ROUND(FTE_1_Full_time!$H43, 2)&lt;&gt;FTE_1_Full_time!$H43), CONCATENATE("Price group", " ", $B48, ", ", $C48, " ", "Length", ", Level ", $D48, "; "), "")</f>
        <v/>
      </c>
      <c r="F48" s="3028" t="str">
        <f>IF(AND($F$6=1,FTE_1_Full_time!$G43&lt;&gt;0,ABS(FTE_1_Full_time!$H43-FTE_1_Full_time!$G43)&lt;$F$10),CONCATENATE("Price group"," ",$B48,", ",$C48," ","Length",", Level ",$D48,"; "),"")</f>
        <v/>
      </c>
      <c r="G48" s="3027" t="str">
        <f>IF(AND($G$6=1,LEN(FTE_1_Full_time!$J43)&gt;2000), CONCATENATE("Price group", " ", $B48, ", ", $C48, " ", "Length", ", Level ", $D48, "; "), "")</f>
        <v/>
      </c>
      <c r="H48" s="3028" t="str">
        <f>IF(AND($H$6=1,OR(AND(FTE_1_Full_time!$H43=0,FTE_1_Full_time!$J43&lt;&gt;""),AND(FTE_1_Full_time!$H43&lt;&gt;0,FTE_1_Full_time!$J43=""))),CONCATENATE("Price group"," ",$B48,", ",$C48," ","Length",", Level ",$D48,"; "),"")</f>
        <v/>
      </c>
      <c r="I48" s="3029" t="str">
        <f>IF(AND($I$6=1,FTE_1_Full_time!$G43=0,OR(FTE_1_Full_time!$H43&lt;&gt;0,FTE_1_Full_time!$J43&lt;&gt;"")),CONCATENATE("Price group"," ",$B48,", ",$C48," ","Length",", Level ",$D48,"; "),"")</f>
        <v/>
      </c>
      <c r="K48" s="3016"/>
      <c r="L48" s="3026" t="s">
        <v>251</v>
      </c>
      <c r="M48" s="3024">
        <f t="shared" si="0"/>
        <v>0</v>
      </c>
      <c r="N48" s="3025"/>
      <c r="O48" s="3024">
        <f t="shared" si="1"/>
        <v>0</v>
      </c>
      <c r="R48" s="3115"/>
    </row>
    <row r="49" spans="2:18" x14ac:dyDescent="0.45">
      <c r="B49" s="3020" t="s">
        <v>251</v>
      </c>
      <c r="C49" s="2377" t="s">
        <v>218</v>
      </c>
      <c r="D49" s="3008" t="s">
        <v>208</v>
      </c>
      <c r="E49" s="3029" t="str">
        <f>IF(AND($E$6=1, ROUND(FTE_1_Full_time!$H44, 2)&lt;&gt;FTE_1_Full_time!$H44), CONCATENATE("Price group", " ", $B49, ", ", $C49, " ", "Length", ", Level ", $D49, "; "), "")</f>
        <v/>
      </c>
      <c r="F49" s="3028" t="str">
        <f>IF(AND($F$6=1,FTE_1_Full_time!$G44&lt;&gt;0,ABS(FTE_1_Full_time!$H44-FTE_1_Full_time!$G44)&lt;$F$10),CONCATENATE("Price group"," ",$B49,", ",$C49," ","Length",", Level ",$D49,"; "),"")</f>
        <v/>
      </c>
      <c r="G49" s="3027" t="str">
        <f>IF(AND($G$6=1,LEN(FTE_1_Full_time!$J44)&gt;2000), CONCATENATE("Price group", " ", $B49, ", ", $C49, " ", "Length", ", Level ", $D49, "; "), "")</f>
        <v/>
      </c>
      <c r="H49" s="3028" t="str">
        <f>IF(AND($H$6=1,OR(AND(FTE_1_Full_time!$H44=0,FTE_1_Full_time!$J44&lt;&gt;""),AND(FTE_1_Full_time!$H44&lt;&gt;0,FTE_1_Full_time!$J44=""))),CONCATENATE("Price group"," ",$B49,", ",$C49," ","Length",", Level ",$D49,"; "),"")</f>
        <v/>
      </c>
      <c r="I49" s="3029" t="str">
        <f>IF(AND($I$6=1,FTE_1_Full_time!$G44=0,OR(FTE_1_Full_time!$H44&lt;&gt;0,FTE_1_Full_time!$J44&lt;&gt;"")),CONCATENATE("Price group"," ",$B49,", ",$C49," ","Length",", Level ",$D49,"; "),"")</f>
        <v/>
      </c>
      <c r="K49" s="3016"/>
      <c r="L49" s="3026" t="s">
        <v>251</v>
      </c>
      <c r="M49" s="3024">
        <f t="shared" si="0"/>
        <v>0</v>
      </c>
      <c r="N49" s="3025"/>
      <c r="O49" s="3024">
        <f t="shared" si="1"/>
        <v>0</v>
      </c>
      <c r="R49" s="3115"/>
    </row>
    <row r="50" spans="2:18" x14ac:dyDescent="0.45">
      <c r="B50" s="3020" t="s">
        <v>251</v>
      </c>
      <c r="C50" s="2377" t="s">
        <v>218</v>
      </c>
      <c r="D50" s="3008" t="s">
        <v>210</v>
      </c>
      <c r="E50" s="3029" t="str">
        <f>IF(AND($E$6=1, ROUND(FTE_1_Full_time!$H45, 2)&lt;&gt;FTE_1_Full_time!$H45), CONCATENATE("Price group", " ", $B50, ", ", $C50, " ", "Length", ", Level ", $D50, "; "), "")</f>
        <v/>
      </c>
      <c r="F50" s="3028" t="str">
        <f>IF(AND($F$6=1,FTE_1_Full_time!$G45&lt;&gt;0,ABS(FTE_1_Full_time!$H45-FTE_1_Full_time!$G45)&lt;$F$10),CONCATENATE("Price group"," ",$B50,", ",$C50," ","Length",", Level ",$D50,"; "),"")</f>
        <v/>
      </c>
      <c r="G50" s="3027" t="str">
        <f>IF(AND($G$6=1,LEN(FTE_1_Full_time!$J45)&gt;2000), CONCATENATE("Price group", " ", $B50, ", ", $C50, " ", "Length", ", Level ", $D50, "; "), "")</f>
        <v/>
      </c>
      <c r="H50" s="3028" t="str">
        <f>IF(AND($H$6=1,OR(AND(FTE_1_Full_time!$H45=0,FTE_1_Full_time!$J45&lt;&gt;""),AND(FTE_1_Full_time!$H45&lt;&gt;0,FTE_1_Full_time!$J45=""))),CONCATENATE("Price group"," ",$B50,", ",$C50," ","Length",", Level ",$D50,"; "),"")</f>
        <v/>
      </c>
      <c r="I50" s="3029" t="str">
        <f>IF(AND($I$6=1,FTE_1_Full_time!$G45=0,OR(FTE_1_Full_time!$H45&lt;&gt;0,FTE_1_Full_time!$J45&lt;&gt;"")),CONCATENATE("Price group"," ",$B50,", ",$C50," ","Length",", Level ",$D50,"; "),"")</f>
        <v/>
      </c>
      <c r="K50" s="3016"/>
      <c r="L50" s="3026" t="s">
        <v>251</v>
      </c>
      <c r="M50" s="3024">
        <f t="shared" si="0"/>
        <v>0</v>
      </c>
      <c r="N50" s="3025"/>
      <c r="O50" s="3024">
        <f t="shared" si="1"/>
        <v>0</v>
      </c>
      <c r="R50" s="3115"/>
    </row>
    <row r="51" spans="2:18" x14ac:dyDescent="0.45">
      <c r="B51" s="3020" t="s">
        <v>251</v>
      </c>
      <c r="C51" s="2377" t="s">
        <v>218</v>
      </c>
      <c r="D51" s="3008" t="s">
        <v>212</v>
      </c>
      <c r="E51" s="3029" t="str">
        <f>IF(AND($E$6=1, ROUND(FTE_1_Full_time!$H46, 2)&lt;&gt;FTE_1_Full_time!$H46), CONCATENATE("Price group", " ", $B51, ", ", $C51, " ", "Length", ", Level ", $D51, "; "), "")</f>
        <v/>
      </c>
      <c r="F51" s="3028" t="str">
        <f>IF(AND($F$6=1,FTE_1_Full_time!$G46&lt;&gt;0,ABS(FTE_1_Full_time!$H46-FTE_1_Full_time!$G46)&lt;$F$10),CONCATENATE("Price group"," ",$B51,", ",$C51," ","Length",", Level ",$D51,"; "),"")</f>
        <v/>
      </c>
      <c r="G51" s="3027" t="str">
        <f>IF(AND($G$6=1,LEN(FTE_1_Full_time!$J46)&gt;2000), CONCATENATE("Price group", " ", $B51, ", ", $C51, " ", "Length", ", Level ", $D51, "; "), "")</f>
        <v/>
      </c>
      <c r="H51" s="3028" t="str">
        <f>IF(AND($H$6=1,OR(AND(FTE_1_Full_time!$H46=0,FTE_1_Full_time!$J46&lt;&gt;""),AND(FTE_1_Full_time!$H46&lt;&gt;0,FTE_1_Full_time!$J46=""))),CONCATENATE("Price group"," ",$B51,", ",$C51," ","Length",", Level ",$D51,"; "),"")</f>
        <v/>
      </c>
      <c r="I51" s="3029" t="str">
        <f>IF(AND($I$6=1,FTE_1_Full_time!$G46=0,OR(FTE_1_Full_time!$H46&lt;&gt;0,FTE_1_Full_time!$J46&lt;&gt;"")),CONCATENATE("Price group"," ",$B51,", ",$C51," ","Length",", Level ",$D51,"; "),"")</f>
        <v/>
      </c>
      <c r="K51" s="3016"/>
      <c r="L51" s="3026" t="s">
        <v>251</v>
      </c>
      <c r="M51" s="3024">
        <f t="shared" si="0"/>
        <v>0</v>
      </c>
      <c r="N51" s="3025"/>
      <c r="O51" s="3024">
        <f t="shared" si="1"/>
        <v>0</v>
      </c>
      <c r="R51" s="3115"/>
    </row>
    <row r="52" spans="2:18" x14ac:dyDescent="0.45">
      <c r="B52" s="3032" t="s">
        <v>251</v>
      </c>
      <c r="C52" s="3031" t="s">
        <v>218</v>
      </c>
      <c r="D52" s="3030" t="s">
        <v>214</v>
      </c>
      <c r="E52" s="3029" t="str">
        <f>IF(AND($E$6=1, ROUND(FTE_1_Full_time!$H47, 2)&lt;&gt;FTE_1_Full_time!$H47), CONCATENATE("Price group", " ", $B52, ", ", $C52, " ", "Length", ", Level ", $D52, "; "), "")</f>
        <v/>
      </c>
      <c r="F52" s="3028" t="str">
        <f>IF(AND($F$6=1,FTE_1_Full_time!$G47&lt;&gt;0,ABS(FTE_1_Full_time!$H47-FTE_1_Full_time!$G47)&lt;$F$10),CONCATENATE("Price group"," ",$B52,", ",$C52," ","Length",", Level ",$D52,"; "),"")</f>
        <v/>
      </c>
      <c r="G52" s="3027" t="str">
        <f>IF(AND($G$6=1,LEN(FTE_1_Full_time!$J47)&gt;2000), CONCATENATE("Price group", " ", $B52, ", ", $C52, " ", "Length", ", Level ", $D52, "; "), "")</f>
        <v/>
      </c>
      <c r="H52" s="3028" t="str">
        <f>IF(AND($H$6=1,OR(AND(FTE_1_Full_time!$H47=0,FTE_1_Full_time!$J47&lt;&gt;""),AND(FTE_1_Full_time!$H47&lt;&gt;0,FTE_1_Full_time!$J47=""))),CONCATENATE("Price group"," ",$B52,", ",$C52," ","Length",", Level ",$D52,"; "),"")</f>
        <v/>
      </c>
      <c r="I52" s="3029" t="str">
        <f>IF(AND($I$6=1,FTE_1_Full_time!$G47=0,OR(FTE_1_Full_time!$H47&lt;&gt;0,FTE_1_Full_time!$J47&lt;&gt;"")),CONCATENATE("Price group"," ",$B52,", ",$C52," ","Length",", Level ",$D52,"; "),"")</f>
        <v/>
      </c>
      <c r="K52" s="3016"/>
      <c r="L52" s="3026" t="s">
        <v>251</v>
      </c>
      <c r="M52" s="3024">
        <f t="shared" si="0"/>
        <v>0</v>
      </c>
      <c r="N52" s="3025"/>
      <c r="O52" s="3024">
        <f t="shared" si="1"/>
        <v>0</v>
      </c>
      <c r="R52" s="3115"/>
    </row>
    <row r="53" spans="2:18" x14ac:dyDescent="0.45">
      <c r="B53" s="3020" t="s">
        <v>264</v>
      </c>
      <c r="C53" s="2377" t="s">
        <v>204</v>
      </c>
      <c r="D53" s="3008" t="s">
        <v>205</v>
      </c>
      <c r="E53" s="3029" t="str">
        <f>IF(AND($E$6=1, ROUND(FTE_1_Full_time!$H48, 2)&lt;&gt;FTE_1_Full_time!$H48), CONCATENATE("Price group", " ", $B53, ", ", $C53, " ", "Length", ", Level ", $D53, "; "), "")</f>
        <v/>
      </c>
      <c r="F53" s="3028" t="str">
        <f>IF(AND($F$6=1,FTE_1_Full_time!$G48&lt;&gt;0,ABS(FTE_1_Full_time!$H48-FTE_1_Full_time!$G48)&lt;$F$10),CONCATENATE("Price group"," ",$B53,", ",$C53," ","Length",", Level ",$D53,"; "),"")</f>
        <v/>
      </c>
      <c r="G53" s="3027" t="str">
        <f>IF(AND($G$6=1,LEN(FTE_1_Full_time!$J48)&gt;2000), CONCATENATE("Price group", " ", $B53, ", ", $C53, " ", "Length", ", Level ", $D53, "; "), "")</f>
        <v/>
      </c>
      <c r="H53" s="3028" t="str">
        <f>IF(AND($H$6=1,OR(AND(FTE_1_Full_time!$H48=0,FTE_1_Full_time!$J48&lt;&gt;""),AND(FTE_1_Full_time!$H48&lt;&gt;0,FTE_1_Full_time!$J48=""))),CONCATENATE("Price group"," ",$B53,", ",$C53," ","Length",", Level ",$D53,"; "),"")</f>
        <v/>
      </c>
      <c r="I53" s="3029" t="str">
        <f>IF(AND($I$6=1,FTE_1_Full_time!$G48=0,OR(FTE_1_Full_time!$H48&lt;&gt;0,FTE_1_Full_time!$J48&lt;&gt;"")),CONCATENATE("Price group"," ",$B53,", ",$C53," ","Length",", Level ",$D53,"; "),"")</f>
        <v/>
      </c>
      <c r="K53" s="3016"/>
      <c r="L53" s="3026" t="s">
        <v>264</v>
      </c>
      <c r="M53" s="3024">
        <f t="shared" si="0"/>
        <v>0</v>
      </c>
      <c r="N53" s="3025"/>
      <c r="O53" s="3024">
        <f t="shared" si="1"/>
        <v>0</v>
      </c>
      <c r="R53" s="3115"/>
    </row>
    <row r="54" spans="2:18" x14ac:dyDescent="0.45">
      <c r="B54" s="3020" t="s">
        <v>264</v>
      </c>
      <c r="C54" s="2377" t="s">
        <v>204</v>
      </c>
      <c r="D54" s="3008" t="s">
        <v>208</v>
      </c>
      <c r="E54" s="3029" t="str">
        <f>IF(AND($E$6=1, ROUND(FTE_1_Full_time!$H49, 2)&lt;&gt;FTE_1_Full_time!$H49), CONCATENATE("Price group", " ", $B54, ", ", $C54, " ", "Length", ", Level ", $D54, "; "), "")</f>
        <v/>
      </c>
      <c r="F54" s="3028" t="str">
        <f>IF(AND($F$6=1,FTE_1_Full_time!$G49&lt;&gt;0,ABS(FTE_1_Full_time!$H49-FTE_1_Full_time!$G49)&lt;$F$10),CONCATENATE("Price group"," ",$B54,", ",$C54," ","Length",", Level ",$D54,"; "),"")</f>
        <v/>
      </c>
      <c r="G54" s="3027" t="str">
        <f>IF(AND($G$6=1,LEN(FTE_1_Full_time!$J49)&gt;2000), CONCATENATE("Price group", " ", $B54, ", ", $C54, " ", "Length", ", Level ", $D54, "; "), "")</f>
        <v/>
      </c>
      <c r="H54" s="3028" t="str">
        <f>IF(AND($H$6=1,OR(AND(FTE_1_Full_time!$H49=0,FTE_1_Full_time!$J49&lt;&gt;""),AND(FTE_1_Full_time!$H49&lt;&gt;0,FTE_1_Full_time!$J49=""))),CONCATENATE("Price group"," ",$B54,", ",$C54," ","Length",", Level ",$D54,"; "),"")</f>
        <v/>
      </c>
      <c r="I54" s="3029" t="str">
        <f>IF(AND($I$6=1,FTE_1_Full_time!$G49=0,OR(FTE_1_Full_time!$H49&lt;&gt;0,FTE_1_Full_time!$J49&lt;&gt;"")),CONCATENATE("Price group"," ",$B54,", ",$C54," ","Length",", Level ",$D54,"; "),"")</f>
        <v/>
      </c>
      <c r="K54" s="3016"/>
      <c r="L54" s="3026" t="s">
        <v>264</v>
      </c>
      <c r="M54" s="3024">
        <f t="shared" si="0"/>
        <v>0</v>
      </c>
      <c r="N54" s="3025"/>
      <c r="O54" s="3024">
        <f t="shared" si="1"/>
        <v>0</v>
      </c>
      <c r="R54" s="3115"/>
    </row>
    <row r="55" spans="2:18" x14ac:dyDescent="0.45">
      <c r="B55" s="3020" t="s">
        <v>264</v>
      </c>
      <c r="C55" s="2377" t="s">
        <v>204</v>
      </c>
      <c r="D55" s="3008" t="s">
        <v>210</v>
      </c>
      <c r="E55" s="3029" t="str">
        <f>IF(AND($E$6=1, ROUND(FTE_1_Full_time!$H50, 2)&lt;&gt;FTE_1_Full_time!$H50), CONCATENATE("Price group", " ", $B55, ", ", $C55, " ", "Length", ", Level ", $D55, "; "), "")</f>
        <v/>
      </c>
      <c r="F55" s="3028" t="str">
        <f>IF(AND($F$6=1,FTE_1_Full_time!$G50&lt;&gt;0,ABS(FTE_1_Full_time!$H50-FTE_1_Full_time!$G50)&lt;$F$10),CONCATENATE("Price group"," ",$B55,", ",$C55," ","Length",", Level ",$D55,"; "),"")</f>
        <v/>
      </c>
      <c r="G55" s="3027" t="str">
        <f>IF(AND($G$6=1,LEN(FTE_1_Full_time!$J50)&gt;2000), CONCATENATE("Price group", " ", $B55, ", ", $C55, " ", "Length", ", Level ", $D55, "; "), "")</f>
        <v/>
      </c>
      <c r="H55" s="3028" t="str">
        <f>IF(AND($H$6=1,OR(AND(FTE_1_Full_time!$H50=0,FTE_1_Full_time!$J50&lt;&gt;""),AND(FTE_1_Full_time!$H50&lt;&gt;0,FTE_1_Full_time!$J50=""))),CONCATENATE("Price group"," ",$B55,", ",$C55," ","Length",", Level ",$D55,"; "),"")</f>
        <v/>
      </c>
      <c r="I55" s="3029" t="str">
        <f>IF(AND($I$6=1,FTE_1_Full_time!$G50=0,OR(FTE_1_Full_time!$H50&lt;&gt;0,FTE_1_Full_time!$J50&lt;&gt;"")),CONCATENATE("Price group"," ",$B55,", ",$C55," ","Length",", Level ",$D55,"; "),"")</f>
        <v/>
      </c>
      <c r="K55" s="3016"/>
      <c r="L55" s="3026" t="s">
        <v>264</v>
      </c>
      <c r="M55" s="3024">
        <f t="shared" si="0"/>
        <v>0</v>
      </c>
      <c r="N55" s="3025"/>
      <c r="O55" s="3024">
        <f t="shared" si="1"/>
        <v>0</v>
      </c>
      <c r="R55" s="3115"/>
    </row>
    <row r="56" spans="2:18" x14ac:dyDescent="0.45">
      <c r="B56" s="3020" t="s">
        <v>264</v>
      </c>
      <c r="C56" s="2377" t="s">
        <v>204</v>
      </c>
      <c r="D56" s="3008" t="s">
        <v>212</v>
      </c>
      <c r="E56" s="3029" t="str">
        <f>IF(AND($E$6=1, ROUND(FTE_1_Full_time!$H51, 2)&lt;&gt;FTE_1_Full_time!$H51), CONCATENATE("Price group", " ", $B56, ", ", $C56, " ", "Length", ", Level ", $D56, "; "), "")</f>
        <v/>
      </c>
      <c r="F56" s="3028" t="str">
        <f>IF(AND($F$6=1,FTE_1_Full_time!$G51&lt;&gt;0,ABS(FTE_1_Full_time!$H51-FTE_1_Full_time!$G51)&lt;$F$10),CONCATENATE("Price group"," ",$B56,", ",$C56," ","Length",", Level ",$D56,"; "),"")</f>
        <v/>
      </c>
      <c r="G56" s="3027" t="str">
        <f>IF(AND($G$6=1,LEN(FTE_1_Full_time!$J51)&gt;2000), CONCATENATE("Price group", " ", $B56, ", ", $C56, " ", "Length", ", Level ", $D56, "; "), "")</f>
        <v/>
      </c>
      <c r="H56" s="3028" t="str">
        <f>IF(AND($H$6=1,OR(AND(FTE_1_Full_time!$H51=0,FTE_1_Full_time!$J51&lt;&gt;""),AND(FTE_1_Full_time!$H51&lt;&gt;0,FTE_1_Full_time!$J51=""))),CONCATENATE("Price group"," ",$B56,", ",$C56," ","Length",", Level ",$D56,"; "),"")</f>
        <v/>
      </c>
      <c r="I56" s="3029" t="str">
        <f>IF(AND($I$6=1,FTE_1_Full_time!$G51=0,OR(FTE_1_Full_time!$H51&lt;&gt;0,FTE_1_Full_time!$J51&lt;&gt;"")),CONCATENATE("Price group"," ",$B56,", ",$C56," ","Length",", Level ",$D56,"; "),"")</f>
        <v/>
      </c>
      <c r="K56" s="3016"/>
      <c r="L56" s="3026" t="s">
        <v>264</v>
      </c>
      <c r="M56" s="3024">
        <f t="shared" si="0"/>
        <v>0</v>
      </c>
      <c r="N56" s="3025"/>
      <c r="O56" s="3024">
        <f t="shared" si="1"/>
        <v>0</v>
      </c>
      <c r="R56" s="3115"/>
    </row>
    <row r="57" spans="2:18" x14ac:dyDescent="0.45">
      <c r="B57" s="3020" t="s">
        <v>264</v>
      </c>
      <c r="C57" s="2377" t="s">
        <v>204</v>
      </c>
      <c r="D57" s="3008" t="s">
        <v>214</v>
      </c>
      <c r="E57" s="3029" t="str">
        <f>IF(AND($E$6=1, ROUND(FTE_1_Full_time!$H52, 2)&lt;&gt;FTE_1_Full_time!$H52), CONCATENATE("Price group", " ", $B57, ", ", $C57, " ", "Length", ", Level ", $D57, "; "), "")</f>
        <v/>
      </c>
      <c r="F57" s="3028" t="str">
        <f>IF(AND($F$6=1,FTE_1_Full_time!$G52&lt;&gt;0,ABS(FTE_1_Full_time!$H52-FTE_1_Full_time!$G52)&lt;$F$10),CONCATENATE("Price group"," ",$B57,", ",$C57," ","Length",", Level ",$D57,"; "),"")</f>
        <v/>
      </c>
      <c r="G57" s="3027" t="str">
        <f>IF(AND($G$6=1,LEN(FTE_1_Full_time!$J52)&gt;2000), CONCATENATE("Price group", " ", $B57, ", ", $C57, " ", "Length", ", Level ", $D57, "; "), "")</f>
        <v/>
      </c>
      <c r="H57" s="3028" t="str">
        <f>IF(AND($H$6=1,OR(AND(FTE_1_Full_time!$H52=0,FTE_1_Full_time!$J52&lt;&gt;""),AND(FTE_1_Full_time!$H52&lt;&gt;0,FTE_1_Full_time!$J52=""))),CONCATENATE("Price group"," ",$B57,", ",$C57," ","Length",", Level ",$D57,"; "),"")</f>
        <v/>
      </c>
      <c r="I57" s="3029" t="str">
        <f>IF(AND($I$6=1,FTE_1_Full_time!$G52=0,OR(FTE_1_Full_time!$H52&lt;&gt;0,FTE_1_Full_time!$J52&lt;&gt;"")),CONCATENATE("Price group"," ",$B57,", ",$C57," ","Length",", Level ",$D57,"; "),"")</f>
        <v/>
      </c>
      <c r="K57" s="3016"/>
      <c r="L57" s="3026" t="s">
        <v>264</v>
      </c>
      <c r="M57" s="3024">
        <f t="shared" si="0"/>
        <v>0</v>
      </c>
      <c r="N57" s="3025"/>
      <c r="O57" s="3024">
        <f t="shared" si="1"/>
        <v>0</v>
      </c>
      <c r="R57" s="3115"/>
    </row>
    <row r="58" spans="2:18" x14ac:dyDescent="0.45">
      <c r="B58" s="3020" t="s">
        <v>264</v>
      </c>
      <c r="C58" s="2377" t="s">
        <v>218</v>
      </c>
      <c r="D58" s="3008" t="s">
        <v>205</v>
      </c>
      <c r="E58" s="3029" t="str">
        <f>IF(AND($E$6=1, ROUND(FTE_1_Full_time!$H53, 2)&lt;&gt;FTE_1_Full_time!$H53), CONCATENATE("Price group", " ", $B58, ", ", $C58, " ", "Length", ", Level ", $D58, "; "), "")</f>
        <v/>
      </c>
      <c r="F58" s="3028" t="str">
        <f>IF(AND($F$6=1,FTE_1_Full_time!$G53&lt;&gt;0,ABS(FTE_1_Full_time!$H53-FTE_1_Full_time!$G53)&lt;$F$10),CONCATENATE("Price group"," ",$B58,", ",$C58," ","Length",", Level ",$D58,"; "),"")</f>
        <v/>
      </c>
      <c r="G58" s="3027" t="str">
        <f>IF(AND($G$6=1,LEN(FTE_1_Full_time!$J53)&gt;2000), CONCATENATE("Price group", " ", $B58, ", ", $C58, " ", "Length", ", Level ", $D58, "; "), "")</f>
        <v/>
      </c>
      <c r="H58" s="3028" t="str">
        <f>IF(AND($H$6=1,OR(AND(FTE_1_Full_time!$H53=0,FTE_1_Full_time!$J53&lt;&gt;""),AND(FTE_1_Full_time!$H53&lt;&gt;0,FTE_1_Full_time!$J53=""))),CONCATENATE("Price group"," ",$B58,", ",$C58," ","Length",", Level ",$D58,"; "),"")</f>
        <v/>
      </c>
      <c r="I58" s="3029" t="str">
        <f>IF(AND($I$6=1,FTE_1_Full_time!$G53=0,OR(FTE_1_Full_time!$H53&lt;&gt;0,FTE_1_Full_time!$J53&lt;&gt;"")),CONCATENATE("Price group"," ",$B58,", ",$C58," ","Length",", Level ",$D58,"; "),"")</f>
        <v/>
      </c>
      <c r="K58" s="3016"/>
      <c r="L58" s="3026" t="s">
        <v>264</v>
      </c>
      <c r="M58" s="3024">
        <f t="shared" si="0"/>
        <v>0</v>
      </c>
      <c r="N58" s="3025"/>
      <c r="O58" s="3024">
        <f t="shared" si="1"/>
        <v>0</v>
      </c>
      <c r="R58" s="3115"/>
    </row>
    <row r="59" spans="2:18" x14ac:dyDescent="0.45">
      <c r="B59" s="3020" t="s">
        <v>264</v>
      </c>
      <c r="C59" s="2377" t="s">
        <v>218</v>
      </c>
      <c r="D59" s="3008" t="s">
        <v>208</v>
      </c>
      <c r="E59" s="3029" t="str">
        <f>IF(AND($E$6=1, ROUND(FTE_1_Full_time!$H54, 2)&lt;&gt;FTE_1_Full_time!$H54), CONCATENATE("Price group", " ", $B59, ", ", $C59, " ", "Length", ", Level ", $D59, "; "), "")</f>
        <v/>
      </c>
      <c r="F59" s="3028" t="str">
        <f>IF(AND($F$6=1,FTE_1_Full_time!$G54&lt;&gt;0,ABS(FTE_1_Full_time!$H54-FTE_1_Full_time!$G54)&lt;$F$10),CONCATENATE("Price group"," ",$B59,", ",$C59," ","Length",", Level ",$D59,"; "),"")</f>
        <v/>
      </c>
      <c r="G59" s="3027" t="str">
        <f>IF(AND($G$6=1,LEN(FTE_1_Full_time!$J54)&gt;2000), CONCATENATE("Price group", " ", $B59, ", ", $C59, " ", "Length", ", Level ", $D59, "; "), "")</f>
        <v/>
      </c>
      <c r="H59" s="3028" t="str">
        <f>IF(AND($H$6=1,OR(AND(FTE_1_Full_time!$H54=0,FTE_1_Full_time!$J54&lt;&gt;""),AND(FTE_1_Full_time!$H54&lt;&gt;0,FTE_1_Full_time!$J54=""))),CONCATENATE("Price group"," ",$B59,", ",$C59," ","Length",", Level ",$D59,"; "),"")</f>
        <v/>
      </c>
      <c r="I59" s="3029" t="str">
        <f>IF(AND($I$6=1,FTE_1_Full_time!$G54=0,OR(FTE_1_Full_time!$H54&lt;&gt;0,FTE_1_Full_time!$J54&lt;&gt;"")),CONCATENATE("Price group"," ",$B59,", ",$C59," ","Length",", Level ",$D59,"; "),"")</f>
        <v/>
      </c>
      <c r="K59" s="3016"/>
      <c r="L59" s="3026" t="s">
        <v>264</v>
      </c>
      <c r="M59" s="3024">
        <f t="shared" si="0"/>
        <v>0</v>
      </c>
      <c r="N59" s="3025"/>
      <c r="O59" s="3024">
        <f t="shared" si="1"/>
        <v>0</v>
      </c>
      <c r="R59" s="3115"/>
    </row>
    <row r="60" spans="2:18" x14ac:dyDescent="0.45">
      <c r="B60" s="3020" t="s">
        <v>264</v>
      </c>
      <c r="C60" s="2377" t="s">
        <v>218</v>
      </c>
      <c r="D60" s="3008" t="s">
        <v>210</v>
      </c>
      <c r="E60" s="3029" t="str">
        <f>IF(AND($E$6=1, ROUND(FTE_1_Full_time!$H55, 2)&lt;&gt;FTE_1_Full_time!$H55), CONCATENATE("Price group", " ", $B60, ", ", $C60, " ", "Length", ", Level ", $D60, "; "), "")</f>
        <v/>
      </c>
      <c r="F60" s="3028" t="str">
        <f>IF(AND($F$6=1,FTE_1_Full_time!$G55&lt;&gt;0,ABS(FTE_1_Full_time!$H55-FTE_1_Full_time!$G55)&lt;$F$10),CONCATENATE("Price group"," ",$B60,", ",$C60," ","Length",", Level ",$D60,"; "),"")</f>
        <v/>
      </c>
      <c r="G60" s="3027" t="str">
        <f>IF(AND($G$6=1,LEN(FTE_1_Full_time!$J55)&gt;2000), CONCATENATE("Price group", " ", $B60, ", ", $C60, " ", "Length", ", Level ", $D60, "; "), "")</f>
        <v/>
      </c>
      <c r="H60" s="3028" t="str">
        <f>IF(AND($H$6=1,OR(AND(FTE_1_Full_time!$H55=0,FTE_1_Full_time!$J55&lt;&gt;""),AND(FTE_1_Full_time!$H55&lt;&gt;0,FTE_1_Full_time!$J55=""))),CONCATENATE("Price group"," ",$B60,", ",$C60," ","Length",", Level ",$D60,"; "),"")</f>
        <v/>
      </c>
      <c r="I60" s="3029" t="str">
        <f>IF(AND($I$6=1,FTE_1_Full_time!$G55=0,OR(FTE_1_Full_time!$H55&lt;&gt;0,FTE_1_Full_time!$J55&lt;&gt;"")),CONCATENATE("Price group"," ",$B60,", ",$C60," ","Length",", Level ",$D60,"; "),"")</f>
        <v/>
      </c>
      <c r="K60" s="3016"/>
      <c r="L60" s="3026" t="s">
        <v>264</v>
      </c>
      <c r="M60" s="3024">
        <f t="shared" si="0"/>
        <v>0</v>
      </c>
      <c r="N60" s="3025"/>
      <c r="O60" s="3024">
        <f t="shared" si="1"/>
        <v>0</v>
      </c>
      <c r="R60" s="3115"/>
    </row>
    <row r="61" spans="2:18" x14ac:dyDescent="0.45">
      <c r="B61" s="3020" t="s">
        <v>264</v>
      </c>
      <c r="C61" s="2377" t="s">
        <v>218</v>
      </c>
      <c r="D61" s="3008" t="s">
        <v>212</v>
      </c>
      <c r="E61" s="3029" t="str">
        <f>IF(AND($E$6=1, ROUND(FTE_1_Full_time!$H56, 2)&lt;&gt;FTE_1_Full_time!$H56), CONCATENATE("Price group", " ", $B61, ", ", $C61, " ", "Length", ", Level ", $D61, "; "), "")</f>
        <v/>
      </c>
      <c r="F61" s="3028" t="str">
        <f>IF(AND($F$6=1,FTE_1_Full_time!$G56&lt;&gt;0,ABS(FTE_1_Full_time!$H56-FTE_1_Full_time!$G56)&lt;$F$10),CONCATENATE("Price group"," ",$B61,", ",$C61," ","Length",", Level ",$D61,"; "),"")</f>
        <v/>
      </c>
      <c r="G61" s="3027" t="str">
        <f>IF(AND($G$6=1,LEN(FTE_1_Full_time!$J56)&gt;2000), CONCATENATE("Price group", " ", $B61, ", ", $C61, " ", "Length", ", Level ", $D61, "; "), "")</f>
        <v/>
      </c>
      <c r="H61" s="3028" t="str">
        <f>IF(AND($H$6=1,OR(AND(FTE_1_Full_time!$H56=0,FTE_1_Full_time!$J56&lt;&gt;""),AND(FTE_1_Full_time!$H56&lt;&gt;0,FTE_1_Full_time!$J56=""))),CONCATENATE("Price group"," ",$B61,", ",$C61," ","Length",", Level ",$D61,"; "),"")</f>
        <v/>
      </c>
      <c r="I61" s="3029" t="str">
        <f>IF(AND($I$6=1,FTE_1_Full_time!$G56=0,OR(FTE_1_Full_time!$H56&lt;&gt;0,FTE_1_Full_time!$J56&lt;&gt;"")),CONCATENATE("Price group"," ",$B61,", ",$C61," ","Length",", Level ",$D61,"; "),"")</f>
        <v/>
      </c>
      <c r="K61" s="3016"/>
      <c r="L61" s="3026" t="s">
        <v>264</v>
      </c>
      <c r="M61" s="3024">
        <f t="shared" si="0"/>
        <v>0</v>
      </c>
      <c r="N61" s="3025"/>
      <c r="O61" s="3024">
        <f t="shared" si="1"/>
        <v>0</v>
      </c>
      <c r="R61" s="3115"/>
    </row>
    <row r="62" spans="2:18" x14ac:dyDescent="0.45">
      <c r="B62" s="3032" t="s">
        <v>264</v>
      </c>
      <c r="C62" s="3031" t="s">
        <v>218</v>
      </c>
      <c r="D62" s="3030" t="s">
        <v>214</v>
      </c>
      <c r="E62" s="3029" t="str">
        <f>IF(AND($E$6=1, ROUND(FTE_1_Full_time!$H57, 2)&lt;&gt;FTE_1_Full_time!$H57), CONCATENATE("Price group", " ", $B62, ", ", $C62, " ", "Length", ", Level ", $D62, "; "), "")</f>
        <v/>
      </c>
      <c r="F62" s="3028" t="str">
        <f>IF(AND($F$6=1,FTE_1_Full_time!$G57&lt;&gt;0,ABS(FTE_1_Full_time!$H57-FTE_1_Full_time!$G57)&lt;$F$10),CONCATENATE("Price group"," ",$B62,", ",$C62," ","Length",", Level ",$D62,"; "),"")</f>
        <v/>
      </c>
      <c r="G62" s="3027" t="str">
        <f>IF(AND($G$6=1,LEN(FTE_1_Full_time!$J57)&gt;2000), CONCATENATE("Price group", " ", $B62, ", ", $C62, " ", "Length", ", Level ", $D62, "; "), "")</f>
        <v/>
      </c>
      <c r="H62" s="3028" t="str">
        <f>IF(AND($H$6=1,OR(AND(FTE_1_Full_time!$H57=0,FTE_1_Full_time!$J57&lt;&gt;""),AND(FTE_1_Full_time!$H57&lt;&gt;0,FTE_1_Full_time!$J57=""))),CONCATENATE("Price group"," ",$B62,", ",$C62," ","Length",", Level ",$D62,"; "),"")</f>
        <v/>
      </c>
      <c r="I62" s="3029" t="str">
        <f>IF(AND($I$6=1,FTE_1_Full_time!$G57=0,OR(FTE_1_Full_time!$H57&lt;&gt;0,FTE_1_Full_time!$J57&lt;&gt;"")),CONCATENATE("Price group"," ",$B62,", ",$C62," ","Length",", Level ",$D62,"; "),"")</f>
        <v/>
      </c>
      <c r="K62" s="3016"/>
      <c r="L62" s="3026" t="s">
        <v>264</v>
      </c>
      <c r="M62" s="3024">
        <f t="shared" si="0"/>
        <v>0</v>
      </c>
      <c r="N62" s="3025"/>
      <c r="O62" s="3024">
        <f t="shared" si="1"/>
        <v>0</v>
      </c>
      <c r="R62" s="3115"/>
    </row>
    <row r="63" spans="2:18" x14ac:dyDescent="0.45">
      <c r="B63" s="3020" t="s">
        <v>277</v>
      </c>
      <c r="C63" s="2377" t="s">
        <v>204</v>
      </c>
      <c r="D63" s="3008" t="s">
        <v>205</v>
      </c>
      <c r="E63" s="3029" t="str">
        <f>IF(AND($E$6=1, ROUND(FTE_1_Full_time!$H58, 2)&lt;&gt;FTE_1_Full_time!$H58), CONCATENATE("Price group", " ", $B63, ", ", $C63, " ", "Length", ", Level ", $D63, "; "), "")</f>
        <v/>
      </c>
      <c r="F63" s="3028" t="str">
        <f>IF(AND($F$6=1,FTE_1_Full_time!$G58&lt;&gt;0,ABS(FTE_1_Full_time!$H58-FTE_1_Full_time!$G58)&lt;$F$10),CONCATENATE("Price group"," ",$B63,", ",$C63," ","Length",", Level ",$D63,"; "),"")</f>
        <v/>
      </c>
      <c r="G63" s="3027" t="str">
        <f>IF(AND($G$6=1,LEN(FTE_1_Full_time!$J58)&gt;2000), CONCATENATE("Price group", " ", $B63, ", ", $C63, " ", "Length", ", Level ", $D63, "; "), "")</f>
        <v/>
      </c>
      <c r="H63" s="3028" t="str">
        <f>IF(AND($H$6=1,OR(AND(FTE_1_Full_time!$H58=0,FTE_1_Full_time!$J58&lt;&gt;""),AND(FTE_1_Full_time!$H58&lt;&gt;0,FTE_1_Full_time!$J58=""))),CONCATENATE("Price group"," ",$B63,", ",$C63," ","Length",", Level ",$D63,"; "),"")</f>
        <v/>
      </c>
      <c r="I63" s="3029" t="str">
        <f>IF(AND($I$6=1,FTE_1_Full_time!$G58=0,OR(FTE_1_Full_time!$H58&lt;&gt;0,FTE_1_Full_time!$J58&lt;&gt;"")),CONCATENATE("Price group"," ",$B63,", ",$C63," ","Length",", Level ",$D63,"; "),"")</f>
        <v/>
      </c>
      <c r="K63" s="3016"/>
      <c r="L63" s="3026" t="s">
        <v>277</v>
      </c>
      <c r="M63" s="3024">
        <f t="shared" si="0"/>
        <v>0</v>
      </c>
      <c r="N63" s="3025"/>
      <c r="O63" s="3024">
        <f t="shared" si="1"/>
        <v>0</v>
      </c>
      <c r="R63" s="3115"/>
    </row>
    <row r="64" spans="2:18" x14ac:dyDescent="0.45">
      <c r="B64" s="3020" t="s">
        <v>277</v>
      </c>
      <c r="C64" s="2377" t="s">
        <v>204</v>
      </c>
      <c r="D64" s="3008" t="s">
        <v>208</v>
      </c>
      <c r="E64" s="3029" t="str">
        <f>IF(AND($E$6=1, ROUND(FTE_1_Full_time!$H59, 2)&lt;&gt;FTE_1_Full_time!$H59), CONCATENATE("Price group", " ", $B64, ", ", $C64, " ", "Length", ", Level ", $D64, "; "), "")</f>
        <v/>
      </c>
      <c r="F64" s="3028" t="str">
        <f>IF(AND($F$6=1,FTE_1_Full_time!$G59&lt;&gt;0,ABS(FTE_1_Full_time!$H59-FTE_1_Full_time!$G59)&lt;$F$10),CONCATENATE("Price group"," ",$B64,", ",$C64," ","Length",", Level ",$D64,"; "),"")</f>
        <v/>
      </c>
      <c r="G64" s="3027" t="str">
        <f>IF(AND($G$6=1,LEN(FTE_1_Full_time!$J59)&gt;2000), CONCATENATE("Price group", " ", $B64, ", ", $C64, " ", "Length", ", Level ", $D64, "; "), "")</f>
        <v/>
      </c>
      <c r="H64" s="3028" t="str">
        <f>IF(AND($H$6=1,OR(AND(FTE_1_Full_time!$H59=0,FTE_1_Full_time!$J59&lt;&gt;""),AND(FTE_1_Full_time!$H59&lt;&gt;0,FTE_1_Full_time!$J59=""))),CONCATENATE("Price group"," ",$B64,", ",$C64," ","Length",", Level ",$D64,"; "),"")</f>
        <v/>
      </c>
      <c r="I64" s="3029" t="str">
        <f>IF(AND($I$6=1,FTE_1_Full_time!$G59=0,OR(FTE_1_Full_time!$H59&lt;&gt;0,FTE_1_Full_time!$J59&lt;&gt;"")),CONCATENATE("Price group"," ",$B64,", ",$C64," ","Length",", Level ",$D64,"; "),"")</f>
        <v/>
      </c>
      <c r="K64" s="3016"/>
      <c r="L64" s="3026" t="s">
        <v>277</v>
      </c>
      <c r="M64" s="3024">
        <f t="shared" si="0"/>
        <v>0</v>
      </c>
      <c r="N64" s="3025"/>
      <c r="O64" s="3024">
        <f t="shared" si="1"/>
        <v>0</v>
      </c>
      <c r="R64" s="3115"/>
    </row>
    <row r="65" spans="1:18" x14ac:dyDescent="0.45">
      <c r="B65" s="3020" t="s">
        <v>277</v>
      </c>
      <c r="C65" s="2377" t="s">
        <v>204</v>
      </c>
      <c r="D65" s="3008" t="s">
        <v>210</v>
      </c>
      <c r="E65" s="3029" t="str">
        <f>IF(AND($E$6=1, ROUND(FTE_1_Full_time!$H60, 2)&lt;&gt;FTE_1_Full_time!$H60), CONCATENATE("Price group", " ", $B65, ", ", $C65, " ", "Length", ", Level ", $D65, "; "), "")</f>
        <v/>
      </c>
      <c r="F65" s="3028" t="str">
        <f>IF(AND($F$6=1,FTE_1_Full_time!$G60&lt;&gt;0,ABS(FTE_1_Full_time!$H60-FTE_1_Full_time!$G60)&lt;$F$10),CONCATENATE("Price group"," ",$B65,", ",$C65," ","Length",", Level ",$D65,"; "),"")</f>
        <v/>
      </c>
      <c r="G65" s="3027" t="str">
        <f>IF(AND($G$6=1,LEN(FTE_1_Full_time!$J60)&gt;2000), CONCATENATE("Price group", " ", $B65, ", ", $C65, " ", "Length", ", Level ", $D65, "; "), "")</f>
        <v/>
      </c>
      <c r="H65" s="3028" t="str">
        <f>IF(AND($H$6=1,OR(AND(FTE_1_Full_time!$H60=0,FTE_1_Full_time!$J60&lt;&gt;""),AND(FTE_1_Full_time!$H60&lt;&gt;0,FTE_1_Full_time!$J60=""))),CONCATENATE("Price group"," ",$B65,", ",$C65," ","Length",", Level ",$D65,"; "),"")</f>
        <v/>
      </c>
      <c r="I65" s="3029" t="str">
        <f>IF(AND($I$6=1,FTE_1_Full_time!$G60=0,OR(FTE_1_Full_time!$H60&lt;&gt;0,FTE_1_Full_time!$J60&lt;&gt;"")),CONCATENATE("Price group"," ",$B65,", ",$C65," ","Length",", Level ",$D65,"; "),"")</f>
        <v/>
      </c>
      <c r="K65" s="3016"/>
      <c r="L65" s="3026" t="s">
        <v>277</v>
      </c>
      <c r="M65" s="3024">
        <f t="shared" si="0"/>
        <v>0</v>
      </c>
      <c r="N65" s="3025"/>
      <c r="O65" s="3024">
        <f t="shared" si="1"/>
        <v>0</v>
      </c>
      <c r="R65" s="3115"/>
    </row>
    <row r="66" spans="1:18" x14ac:dyDescent="0.45">
      <c r="B66" s="3020" t="s">
        <v>277</v>
      </c>
      <c r="C66" s="2377" t="s">
        <v>204</v>
      </c>
      <c r="D66" s="3008" t="s">
        <v>212</v>
      </c>
      <c r="E66" s="3029" t="str">
        <f>IF(AND($E$6=1, ROUND(FTE_1_Full_time!$H61, 2)&lt;&gt;FTE_1_Full_time!$H61), CONCATENATE("Price group", " ", $B66, ", ", $C66, " ", "Length", ", Level ", $D66, "; "), "")</f>
        <v/>
      </c>
      <c r="F66" s="3028" t="str">
        <f>IF(AND($F$6=1,FTE_1_Full_time!$G61&lt;&gt;0,ABS(FTE_1_Full_time!$H61-FTE_1_Full_time!$G61)&lt;$F$10),CONCATENATE("Price group"," ",$B66,", ",$C66," ","Length",", Level ",$D66,"; "),"")</f>
        <v/>
      </c>
      <c r="G66" s="3027" t="str">
        <f>IF(AND($G$6=1,LEN(FTE_1_Full_time!$J61)&gt;2000), CONCATENATE("Price group", " ", $B66, ", ", $C66, " ", "Length", ", Level ", $D66, "; "), "")</f>
        <v/>
      </c>
      <c r="H66" s="3028" t="str">
        <f>IF(AND($H$6=1,OR(AND(FTE_1_Full_time!$H61=0,FTE_1_Full_time!$J61&lt;&gt;""),AND(FTE_1_Full_time!$H61&lt;&gt;0,FTE_1_Full_time!$J61=""))),CONCATENATE("Price group"," ",$B66,", ",$C66," ","Length",", Level ",$D66,"; "),"")</f>
        <v/>
      </c>
      <c r="I66" s="3029" t="str">
        <f>IF(AND($I$6=1,FTE_1_Full_time!$G61=0,OR(FTE_1_Full_time!$H61&lt;&gt;0,FTE_1_Full_time!$J61&lt;&gt;"")),CONCATENATE("Price group"," ",$B66,", ",$C66," ","Length",", Level ",$D66,"; "),"")</f>
        <v/>
      </c>
      <c r="K66" s="3016"/>
      <c r="L66" s="3026" t="s">
        <v>277</v>
      </c>
      <c r="M66" s="3024">
        <f t="shared" si="0"/>
        <v>0</v>
      </c>
      <c r="N66" s="3025"/>
      <c r="O66" s="3024">
        <f t="shared" si="1"/>
        <v>0</v>
      </c>
      <c r="R66" s="3115"/>
    </row>
    <row r="67" spans="1:18" x14ac:dyDescent="0.45">
      <c r="B67" s="3020" t="s">
        <v>277</v>
      </c>
      <c r="C67" s="2377" t="s">
        <v>204</v>
      </c>
      <c r="D67" s="3008" t="s">
        <v>214</v>
      </c>
      <c r="E67" s="3029" t="str">
        <f>IF(AND($E$6=1, ROUND(FTE_1_Full_time!$H62, 2)&lt;&gt;FTE_1_Full_time!$H62), CONCATENATE("Price group", " ", $B67, ", ", $C67, " ", "Length", ", Level ", $D67, "; "), "")</f>
        <v/>
      </c>
      <c r="F67" s="3028" t="str">
        <f>IF(AND($F$6=1,FTE_1_Full_time!$G62&lt;&gt;0,ABS(FTE_1_Full_time!$H62-FTE_1_Full_time!$G62)&lt;$F$10),CONCATENATE("Price group"," ",$B67,", ",$C67," ","Length",", Level ",$D67,"; "),"")</f>
        <v/>
      </c>
      <c r="G67" s="3027" t="str">
        <f>IF(AND($G$6=1,LEN(FTE_1_Full_time!$J62)&gt;2000), CONCATENATE("Price group", " ", $B67, ", ", $C67, " ", "Length", ", Level ", $D67, "; "), "")</f>
        <v/>
      </c>
      <c r="H67" s="3028" t="str">
        <f>IF(AND($H$6=1,OR(AND(FTE_1_Full_time!$H62=0,FTE_1_Full_time!$J62&lt;&gt;""),AND(FTE_1_Full_time!$H62&lt;&gt;0,FTE_1_Full_time!$J62=""))),CONCATENATE("Price group"," ",$B67,", ",$C67," ","Length",", Level ",$D67,"; "),"")</f>
        <v/>
      </c>
      <c r="I67" s="3029" t="str">
        <f>IF(AND($I$6=1,FTE_1_Full_time!$G62=0,OR(FTE_1_Full_time!$H62&lt;&gt;0,FTE_1_Full_time!$J62&lt;&gt;"")),CONCATENATE("Price group"," ",$B67,", ",$C67," ","Length",", Level ",$D67,"; "),"")</f>
        <v/>
      </c>
      <c r="K67" s="3016"/>
      <c r="L67" s="3026" t="s">
        <v>277</v>
      </c>
      <c r="M67" s="3024">
        <f t="shared" si="0"/>
        <v>0</v>
      </c>
      <c r="N67" s="3025"/>
      <c r="O67" s="3024">
        <f t="shared" si="1"/>
        <v>0</v>
      </c>
      <c r="R67" s="3115"/>
    </row>
    <row r="68" spans="1:18" x14ac:dyDescent="0.45">
      <c r="B68" s="3020" t="s">
        <v>277</v>
      </c>
      <c r="C68" s="2377" t="s">
        <v>218</v>
      </c>
      <c r="D68" s="3008" t="s">
        <v>205</v>
      </c>
      <c r="E68" s="3029" t="str">
        <f>IF(AND($E$6=1, ROUND(FTE_1_Full_time!$H63, 2)&lt;&gt;FTE_1_Full_time!$H63), CONCATENATE("Price group", " ", $B68, ", ", $C68, " ", "Length", ", Level ", $D68, "; "), "")</f>
        <v/>
      </c>
      <c r="F68" s="3028" t="str">
        <f>IF(AND($F$6=1,FTE_1_Full_time!$G63&lt;&gt;0,ABS(FTE_1_Full_time!$H63-FTE_1_Full_time!$G63)&lt;$F$10),CONCATENATE("Price group"," ",$B68,", ",$C68," ","Length",", Level ",$D68,"; "),"")</f>
        <v/>
      </c>
      <c r="G68" s="3027" t="str">
        <f>IF(AND($G$6=1,LEN(FTE_1_Full_time!$J63)&gt;2000), CONCATENATE("Price group", " ", $B68, ", ", $C68, " ", "Length", ", Level ", $D68, "; "), "")</f>
        <v/>
      </c>
      <c r="H68" s="3028" t="str">
        <f>IF(AND($H$6=1,OR(AND(FTE_1_Full_time!$H63=0,FTE_1_Full_time!$J63&lt;&gt;""),AND(FTE_1_Full_time!$H63&lt;&gt;0,FTE_1_Full_time!$J63=""))),CONCATENATE("Price group"," ",$B68,", ",$C68," ","Length",", Level ",$D68,"; "),"")</f>
        <v/>
      </c>
      <c r="I68" s="3029" t="str">
        <f>IF(AND($I$6=1,FTE_1_Full_time!$G63=0,OR(FTE_1_Full_time!$H63&lt;&gt;0,FTE_1_Full_time!$J63&lt;&gt;"")),CONCATENATE("Price group"," ",$B68,", ",$C68," ","Length",", Level ",$D68,"; "),"")</f>
        <v/>
      </c>
      <c r="K68" s="3016"/>
      <c r="L68" s="3026" t="s">
        <v>277</v>
      </c>
      <c r="M68" s="3024">
        <f t="shared" si="0"/>
        <v>0</v>
      </c>
      <c r="N68" s="3025"/>
      <c r="O68" s="3024">
        <f t="shared" si="1"/>
        <v>0</v>
      </c>
      <c r="R68" s="3115"/>
    </row>
    <row r="69" spans="1:18" x14ac:dyDescent="0.45">
      <c r="B69" s="3020" t="s">
        <v>277</v>
      </c>
      <c r="C69" s="2377" t="s">
        <v>218</v>
      </c>
      <c r="D69" s="3008" t="s">
        <v>208</v>
      </c>
      <c r="E69" s="3029" t="str">
        <f>IF(AND($E$6=1, ROUND(FTE_1_Full_time!$H64, 2)&lt;&gt;FTE_1_Full_time!$H64), CONCATENATE("Price group", " ", $B69, ", ", $C69, " ", "Length", ", Level ", $D69, "; "), "")</f>
        <v/>
      </c>
      <c r="F69" s="3028" t="str">
        <f>IF(AND($F$6=1,FTE_1_Full_time!$G64&lt;&gt;0,ABS(FTE_1_Full_time!$H64-FTE_1_Full_time!$G64)&lt;$F$10),CONCATENATE("Price group"," ",$B69,", ",$C69," ","Length",", Level ",$D69,"; "),"")</f>
        <v/>
      </c>
      <c r="G69" s="3027" t="str">
        <f>IF(AND($G$6=1,LEN(FTE_1_Full_time!$J64)&gt;2000), CONCATENATE("Price group", " ", $B69, ", ", $C69, " ", "Length", ", Level ", $D69, "; "), "")</f>
        <v/>
      </c>
      <c r="H69" s="3028" t="str">
        <f>IF(AND($H$6=1,OR(AND(FTE_1_Full_time!$H64=0,FTE_1_Full_time!$J64&lt;&gt;""),AND(FTE_1_Full_time!$H64&lt;&gt;0,FTE_1_Full_time!$J64=""))),CONCATENATE("Price group"," ",$B69,", ",$C69," ","Length",", Level ",$D69,"; "),"")</f>
        <v/>
      </c>
      <c r="I69" s="3029" t="str">
        <f>IF(AND($I$6=1,FTE_1_Full_time!$G64=0,OR(FTE_1_Full_time!$H64&lt;&gt;0,FTE_1_Full_time!$J64&lt;&gt;"")),CONCATENATE("Price group"," ",$B69,", ",$C69," ","Length",", Level ",$D69,"; "),"")</f>
        <v/>
      </c>
      <c r="K69" s="3016"/>
      <c r="L69" s="3026" t="s">
        <v>277</v>
      </c>
      <c r="M69" s="3024">
        <f t="shared" si="0"/>
        <v>0</v>
      </c>
      <c r="N69" s="3025"/>
      <c r="O69" s="3024">
        <f t="shared" si="1"/>
        <v>0</v>
      </c>
      <c r="R69" s="3115"/>
    </row>
    <row r="70" spans="1:18" x14ac:dyDescent="0.45">
      <c r="B70" s="3020" t="s">
        <v>277</v>
      </c>
      <c r="C70" s="2377" t="s">
        <v>218</v>
      </c>
      <c r="D70" s="3008" t="s">
        <v>210</v>
      </c>
      <c r="E70" s="3029" t="str">
        <f>IF(AND($E$6=1, ROUND(FTE_1_Full_time!$H65, 2)&lt;&gt;FTE_1_Full_time!$H65), CONCATENATE("Price group", " ", $B70, ", ", $C70, " ", "Length", ", Level ", $D70, "; "), "")</f>
        <v/>
      </c>
      <c r="F70" s="3028" t="str">
        <f>IF(AND($F$6=1,FTE_1_Full_time!$G65&lt;&gt;0,ABS(FTE_1_Full_time!$H65-FTE_1_Full_time!$G65)&lt;$F$10),CONCATENATE("Price group"," ",$B70,", ",$C70," ","Length",", Level ",$D70,"; "),"")</f>
        <v/>
      </c>
      <c r="G70" s="3027" t="str">
        <f>IF(AND($G$6=1,LEN(FTE_1_Full_time!$J65)&gt;2000), CONCATENATE("Price group", " ", $B70, ", ", $C70, " ", "Length", ", Level ", $D70, "; "), "")</f>
        <v/>
      </c>
      <c r="H70" s="3028" t="str">
        <f>IF(AND($H$6=1,OR(AND(FTE_1_Full_time!$H65=0,FTE_1_Full_time!$J65&lt;&gt;""),AND(FTE_1_Full_time!$H65&lt;&gt;0,FTE_1_Full_time!$J65=""))),CONCATENATE("Price group"," ",$B70,", ",$C70," ","Length",", Level ",$D70,"; "),"")</f>
        <v/>
      </c>
      <c r="I70" s="3029" t="str">
        <f>IF(AND($I$6=1,FTE_1_Full_time!$G65=0,OR(FTE_1_Full_time!$H65&lt;&gt;0,FTE_1_Full_time!$J65&lt;&gt;"")),CONCATENATE("Price group"," ",$B70,", ",$C70," ","Length",", Level ",$D70,"; "),"")</f>
        <v/>
      </c>
      <c r="K70" s="3016"/>
      <c r="L70" s="3026" t="s">
        <v>277</v>
      </c>
      <c r="M70" s="3024">
        <f t="shared" si="0"/>
        <v>0</v>
      </c>
      <c r="N70" s="3025"/>
      <c r="O70" s="3024">
        <f t="shared" si="1"/>
        <v>0</v>
      </c>
      <c r="R70" s="3115"/>
    </row>
    <row r="71" spans="1:18" x14ac:dyDescent="0.45">
      <c r="B71" s="3020" t="s">
        <v>277</v>
      </c>
      <c r="C71" s="2377" t="s">
        <v>218</v>
      </c>
      <c r="D71" s="3008" t="s">
        <v>212</v>
      </c>
      <c r="E71" s="3029" t="str">
        <f>IF(AND($E$6=1, ROUND(FTE_1_Full_time!$H66, 2)&lt;&gt;FTE_1_Full_time!$H66), CONCATENATE("Price group", " ", $B71, ", ", $C71, " ", "Length", ", Level ", $D71, "; "), "")</f>
        <v/>
      </c>
      <c r="F71" s="3028" t="str">
        <f>IF(AND($F$6=1,FTE_1_Full_time!$G66&lt;&gt;0,ABS(FTE_1_Full_time!$H66-FTE_1_Full_time!$G66)&lt;$F$10),CONCATENATE("Price group"," ",$B71,", ",$C71," ","Length",", Level ",$D71,"; "),"")</f>
        <v/>
      </c>
      <c r="G71" s="3027" t="str">
        <f>IF(AND($G$6=1,LEN(FTE_1_Full_time!$J66)&gt;2000), CONCATENATE("Price group", " ", $B71, ", ", $C71, " ", "Length", ", Level ", $D71, "; "), "")</f>
        <v/>
      </c>
      <c r="H71" s="3028" t="str">
        <f>IF(AND($H$6=1,OR(AND(FTE_1_Full_time!$H66=0,FTE_1_Full_time!$J66&lt;&gt;""),AND(FTE_1_Full_time!$H66&lt;&gt;0,FTE_1_Full_time!$J66=""))),CONCATENATE("Price group"," ",$B71,", ",$C71," ","Length",", Level ",$D71,"; "),"")</f>
        <v/>
      </c>
      <c r="I71" s="3029" t="str">
        <f>IF(AND($I$6=1,FTE_1_Full_time!$G66=0,OR(FTE_1_Full_time!$H66&lt;&gt;0,FTE_1_Full_time!$J66&lt;&gt;"")),CONCATENATE("Price group"," ",$B71,", ",$C71," ","Length",", Level ",$D71,"; "),"")</f>
        <v/>
      </c>
      <c r="K71" s="3016"/>
      <c r="L71" s="3026" t="s">
        <v>277</v>
      </c>
      <c r="M71" s="3024">
        <f t="shared" si="0"/>
        <v>0</v>
      </c>
      <c r="N71" s="3025"/>
      <c r="O71" s="3024">
        <f t="shared" si="1"/>
        <v>0</v>
      </c>
      <c r="R71" s="3115"/>
    </row>
    <row r="72" spans="1:18" x14ac:dyDescent="0.45">
      <c r="B72" s="3032" t="s">
        <v>277</v>
      </c>
      <c r="C72" s="3031" t="s">
        <v>218</v>
      </c>
      <c r="D72" s="3030" t="s">
        <v>214</v>
      </c>
      <c r="E72" s="3027" t="str">
        <f>IF(AND($E$6=1, ROUND(FTE_1_Full_time!$H67, 2)&lt;&gt;FTE_1_Full_time!$H67), CONCATENATE("Price group", " ", $B72, ", ", $C72, " ", "Length", ", Level ", $D72, "; "), "")</f>
        <v/>
      </c>
      <c r="F72" s="3027" t="str">
        <f>IF(AND($F$6=1,FTE_1_Full_time!$G67&lt;&gt;0,ABS(FTE_1_Full_time!$H67-FTE_1_Full_time!$G67)&lt;$F$10),CONCATENATE("Price group"," ",$B72,", ",$C72," ","Length",", Level ",$D72,"; "),"")</f>
        <v/>
      </c>
      <c r="G72" s="3027" t="str">
        <f>IF(AND($G$6=1,LEN(FTE_1_Full_time!$J67)&gt;2000), CONCATENATE("Price group", " ", $B72, ", ", $C72, " ", "Length", ", Level ", $D72, "; "), "")</f>
        <v/>
      </c>
      <c r="H72" s="3028" t="str">
        <f>IF(AND($H$6=1,OR(AND(FTE_1_Full_time!$H67=0,FTE_1_Full_time!$J67&lt;&gt;""),AND(FTE_1_Full_time!$H67&lt;&gt;0,FTE_1_Full_time!$J67=""))),CONCATENATE("Price group"," ",$B72,", ",$C72," ","Length",", Level ",$D72,"; "),"")</f>
        <v/>
      </c>
      <c r="I72" s="3027" t="str">
        <f>IF(AND($I$6=1,FTE_1_Full_time!$G67=0,OR(FTE_1_Full_time!$H67&lt;&gt;0,FTE_1_Full_time!$J67&lt;&gt;"")),CONCATENATE("Price group"," ",$B72,", ",$C72," ","Length",", Level ",$D72,"; "),"")</f>
        <v/>
      </c>
      <c r="K72" s="3016"/>
      <c r="L72" s="3026" t="s">
        <v>277</v>
      </c>
      <c r="M72" s="3024">
        <f t="shared" si="0"/>
        <v>0</v>
      </c>
      <c r="N72" s="3025"/>
      <c r="O72" s="3024">
        <f t="shared" si="1"/>
        <v>0</v>
      </c>
      <c r="R72" s="3115"/>
    </row>
    <row r="73" spans="1:18" x14ac:dyDescent="0.45">
      <c r="A73" s="3021"/>
      <c r="G73" s="2377"/>
      <c r="H73" s="3022"/>
      <c r="K73" s="3016"/>
      <c r="L73" s="2377"/>
    </row>
    <row r="74" spans="1:18" x14ac:dyDescent="0.45">
      <c r="A74" s="3021"/>
      <c r="B74" s="3016"/>
      <c r="E74" s="2377" t="s">
        <v>29639</v>
      </c>
      <c r="F74" s="2377" t="s">
        <v>29638</v>
      </c>
      <c r="G74" s="2377" t="s">
        <v>29637</v>
      </c>
      <c r="H74" s="2377" t="s">
        <v>29636</v>
      </c>
      <c r="I74" s="2377" t="s">
        <v>29635</v>
      </c>
      <c r="K74" s="3016"/>
      <c r="L74" s="2377"/>
    </row>
    <row r="75" spans="1:18" x14ac:dyDescent="0.45">
      <c r="A75" s="3021"/>
      <c r="B75" s="3020"/>
      <c r="E75" s="3121" t="str">
        <f>CONCATENATE(E13,E14,E15,E16,E17,E18,E19,E20,E21,E22,E23,E24,E25,E26,E27,E28,E29,E30,E31,E32,E33,E34,E35,E36,E37,E38,E39,E40,E41,E42,E43,E44,E45,E46,E47,E48,E49,E50,E51,E52,E53,E54,E55,E56,E57,E58,E59,E60,E61,E62,E63,E64,E65,E66,E67,E68,E69,E70,E71,E72)</f>
        <v/>
      </c>
      <c r="F75" s="3121" t="str">
        <f t="shared" ref="F75:I75" si="2">CONCATENATE(F13,F14,F15,F16,F17,F18,F19,F20,F21,F22,F23,F24,F25,F26,F27,F28,F29,F30,F31,F32,F33,F34,F35,F36,F37,F38,F39,F40,F41,F42,F43,F44,F45,F46,F47,F48,F49,F50,F51,F52,F53,F54,F55,F56,F57,F58,F59,F60,F61,F62,F63,F64,F65,F66,F67,F68,F69,F70,F71,F72)</f>
        <v/>
      </c>
      <c r="G75" s="3122" t="str">
        <f t="shared" si="2"/>
        <v/>
      </c>
      <c r="H75" s="3123" t="str">
        <f t="shared" si="2"/>
        <v/>
      </c>
      <c r="I75" s="3124" t="str">
        <f t="shared" si="2"/>
        <v/>
      </c>
      <c r="K75" s="3016"/>
    </row>
    <row r="76" spans="1:18" x14ac:dyDescent="0.45">
      <c r="B76" s="3019"/>
      <c r="C76" s="3017"/>
      <c r="D76" s="3017"/>
      <c r="E76" s="3018"/>
      <c r="F76" s="3018"/>
      <c r="G76" s="3017"/>
      <c r="H76" s="3017"/>
      <c r="I76" s="3018"/>
      <c r="J76" s="3018"/>
      <c r="K76" s="3016"/>
      <c r="P76" s="2377"/>
    </row>
    <row r="77" spans="1:18" x14ac:dyDescent="0.45">
      <c r="P77" s="2377"/>
    </row>
    <row r="78" spans="1:18" x14ac:dyDescent="0.45">
      <c r="B78" s="2377"/>
      <c r="C78" s="2377"/>
      <c r="D78" s="3009"/>
      <c r="E78" s="3013"/>
      <c r="F78" s="3013"/>
      <c r="G78" s="3013"/>
      <c r="H78" s="3013"/>
      <c r="I78" s="3013"/>
      <c r="P78" s="2377"/>
    </row>
    <row r="79" spans="1:18" x14ac:dyDescent="0.45">
      <c r="B79" s="2343"/>
      <c r="C79" s="2269"/>
      <c r="D79" s="2313"/>
      <c r="P79" s="2377"/>
    </row>
    <row r="80" spans="1:18" x14ac:dyDescent="0.45">
      <c r="B80" s="3008"/>
      <c r="C80" s="2377"/>
      <c r="D80" s="3008"/>
      <c r="E80" s="3015"/>
      <c r="F80" s="3015"/>
      <c r="G80" s="3015"/>
      <c r="H80" s="3015"/>
      <c r="I80" s="3015"/>
      <c r="P80" s="2377"/>
    </row>
    <row r="81" spans="2:16" x14ac:dyDescent="0.45">
      <c r="B81" s="3008"/>
      <c r="C81" s="2377"/>
      <c r="D81" s="3008"/>
      <c r="E81" s="3015"/>
      <c r="F81" s="3015"/>
      <c r="G81" s="3015"/>
      <c r="H81" s="3015"/>
      <c r="I81" s="3015"/>
      <c r="P81" s="2377"/>
    </row>
    <row r="82" spans="2:16" x14ac:dyDescent="0.45">
      <c r="B82" s="3008"/>
      <c r="C82" s="2377"/>
      <c r="D82" s="3008"/>
      <c r="E82" s="3015"/>
      <c r="F82" s="3015"/>
      <c r="G82" s="3015"/>
      <c r="H82" s="3015"/>
      <c r="I82" s="3015"/>
      <c r="P82" s="2377"/>
    </row>
    <row r="83" spans="2:16" x14ac:dyDescent="0.45">
      <c r="B83" s="3008"/>
      <c r="C83" s="2377"/>
      <c r="D83" s="3008"/>
      <c r="E83" s="3015"/>
      <c r="F83" s="3015"/>
      <c r="G83" s="3015"/>
      <c r="H83" s="3015"/>
      <c r="I83" s="3015"/>
      <c r="P83" s="2377"/>
    </row>
    <row r="84" spans="2:16" x14ac:dyDescent="0.45">
      <c r="B84" s="3008"/>
      <c r="C84" s="2377"/>
      <c r="D84" s="3008"/>
      <c r="E84" s="3015"/>
      <c r="F84" s="3015"/>
      <c r="G84" s="3015"/>
      <c r="H84" s="3015"/>
      <c r="I84" s="3015"/>
      <c r="P84" s="2377"/>
    </row>
    <row r="85" spans="2:16" x14ac:dyDescent="0.45">
      <c r="E85" s="2377"/>
      <c r="F85" s="2377"/>
      <c r="G85" s="2377"/>
      <c r="H85" s="2377"/>
      <c r="I85" s="2377"/>
      <c r="P85" s="2377"/>
    </row>
    <row r="86" spans="2:16" x14ac:dyDescent="0.45">
      <c r="G86" s="2377"/>
      <c r="H86" s="2377"/>
      <c r="P86" s="2377"/>
    </row>
    <row r="87" spans="2:16" x14ac:dyDescent="0.45">
      <c r="C87" s="3009"/>
      <c r="D87" s="3008"/>
      <c r="E87" s="2377"/>
      <c r="F87" s="2377"/>
      <c r="G87" s="2377"/>
      <c r="H87" s="2377"/>
      <c r="I87" s="2377"/>
      <c r="P87" s="2377"/>
    </row>
    <row r="88" spans="2:16" x14ac:dyDescent="0.45">
      <c r="C88" s="2377"/>
      <c r="D88" s="2377"/>
      <c r="E88" s="3009"/>
      <c r="F88" s="3009"/>
      <c r="G88" s="2377"/>
      <c r="H88" s="2377"/>
      <c r="I88" s="3009"/>
      <c r="P88" s="2377"/>
    </row>
    <row r="89" spans="2:16" x14ac:dyDescent="0.45">
      <c r="C89" s="2377"/>
      <c r="D89" s="2377"/>
      <c r="E89" s="3009"/>
      <c r="F89" s="3009"/>
      <c r="G89" s="2377"/>
      <c r="H89" s="2377"/>
      <c r="I89" s="3009"/>
      <c r="P89" s="2377"/>
    </row>
    <row r="90" spans="2:16" x14ac:dyDescent="0.45">
      <c r="B90" s="3008"/>
      <c r="C90" s="2377"/>
      <c r="D90" s="2377"/>
      <c r="E90" s="2377"/>
      <c r="F90" s="2377"/>
      <c r="G90" s="2377"/>
      <c r="H90" s="2377"/>
      <c r="I90" s="2377"/>
      <c r="P90" s="2377"/>
    </row>
    <row r="91" spans="2:16" x14ac:dyDescent="0.45">
      <c r="B91" s="3008"/>
      <c r="C91" s="2377"/>
      <c r="D91" s="3008"/>
      <c r="E91" s="2377"/>
      <c r="F91" s="2377"/>
      <c r="G91" s="2377"/>
      <c r="H91" s="2377"/>
      <c r="I91" s="2377"/>
      <c r="P91" s="2377"/>
    </row>
    <row r="92" spans="2:16" x14ac:dyDescent="0.45">
      <c r="B92" s="3008"/>
      <c r="C92" s="2377"/>
      <c r="D92" s="3008"/>
      <c r="E92" s="2377"/>
      <c r="F92" s="2377"/>
      <c r="G92" s="2377"/>
      <c r="H92" s="2377"/>
      <c r="I92" s="2377"/>
      <c r="P92" s="2377"/>
    </row>
    <row r="93" spans="2:16" x14ac:dyDescent="0.45">
      <c r="B93" s="3008"/>
      <c r="C93" s="2377"/>
      <c r="D93" s="3008"/>
      <c r="E93" s="2377"/>
      <c r="F93" s="2377"/>
      <c r="G93" s="2377"/>
      <c r="H93" s="2377"/>
      <c r="I93" s="2377"/>
      <c r="P93" s="2377"/>
    </row>
    <row r="94" spans="2:16" x14ac:dyDescent="0.45">
      <c r="B94" s="3008"/>
      <c r="C94" s="2377"/>
      <c r="D94" s="3008"/>
      <c r="E94" s="2377"/>
      <c r="F94" s="2377"/>
      <c r="G94" s="2377"/>
      <c r="H94" s="2377"/>
      <c r="I94" s="2377"/>
      <c r="P94" s="2377"/>
    </row>
    <row r="95" spans="2:16" x14ac:dyDescent="0.45">
      <c r="B95" s="3008"/>
      <c r="C95" s="2377"/>
      <c r="D95" s="3008"/>
      <c r="E95" s="2377"/>
      <c r="F95" s="2377"/>
      <c r="G95" s="2377"/>
      <c r="H95" s="2377"/>
      <c r="I95" s="2377"/>
      <c r="P95" s="2377"/>
    </row>
    <row r="96" spans="2:16" x14ac:dyDescent="0.45">
      <c r="B96" s="3008"/>
      <c r="C96" s="2377"/>
      <c r="D96" s="3008"/>
      <c r="E96" s="2377"/>
      <c r="F96" s="2377"/>
      <c r="G96" s="2377"/>
      <c r="H96" s="2377"/>
      <c r="I96" s="2377"/>
      <c r="P96" s="2377"/>
    </row>
    <row r="97" spans="2:16" x14ac:dyDescent="0.45">
      <c r="B97" s="3008"/>
      <c r="C97" s="2377"/>
      <c r="D97" s="3008"/>
      <c r="E97" s="2377"/>
      <c r="F97" s="2377"/>
      <c r="G97" s="2377"/>
      <c r="H97" s="2377"/>
      <c r="I97" s="2377"/>
      <c r="P97" s="2377"/>
    </row>
    <row r="98" spans="2:16" x14ac:dyDescent="0.45">
      <c r="B98" s="3008"/>
      <c r="C98" s="2377"/>
      <c r="D98" s="3008"/>
      <c r="E98" s="2377"/>
      <c r="F98" s="2377"/>
      <c r="G98" s="2377"/>
      <c r="H98" s="2377"/>
      <c r="I98" s="2377"/>
      <c r="P98" s="2377"/>
    </row>
    <row r="99" spans="2:16" x14ac:dyDescent="0.45">
      <c r="B99" s="3008"/>
      <c r="C99" s="2377"/>
      <c r="D99" s="3008"/>
      <c r="E99" s="2377"/>
      <c r="F99" s="2377"/>
      <c r="G99" s="2377"/>
      <c r="H99" s="2377"/>
      <c r="I99" s="2377"/>
      <c r="P99" s="2377"/>
    </row>
    <row r="100" spans="2:16" x14ac:dyDescent="0.45">
      <c r="B100" s="3008"/>
      <c r="C100" s="2377"/>
      <c r="D100" s="3008"/>
      <c r="E100" s="2377"/>
      <c r="F100" s="2377"/>
      <c r="G100" s="2377"/>
      <c r="H100" s="2377"/>
      <c r="I100" s="2377"/>
      <c r="P100" s="2377"/>
    </row>
    <row r="101" spans="2:16" x14ac:dyDescent="0.45">
      <c r="B101" s="3008"/>
      <c r="C101" s="2377"/>
      <c r="D101" s="3008"/>
      <c r="E101" s="2377"/>
      <c r="F101" s="2377"/>
      <c r="G101" s="2377"/>
      <c r="H101" s="2377"/>
      <c r="I101" s="2377"/>
      <c r="P101" s="2377"/>
    </row>
    <row r="102" spans="2:16" x14ac:dyDescent="0.45">
      <c r="B102" s="3008"/>
      <c r="C102" s="2377"/>
      <c r="D102" s="3008"/>
      <c r="E102" s="2377"/>
      <c r="F102" s="2377"/>
      <c r="G102" s="2377"/>
      <c r="H102" s="2377"/>
      <c r="I102" s="2377"/>
      <c r="P102" s="2377"/>
    </row>
    <row r="103" spans="2:16" x14ac:dyDescent="0.45">
      <c r="B103" s="3008"/>
      <c r="C103" s="2377"/>
      <c r="D103" s="3008"/>
      <c r="E103" s="2377"/>
      <c r="F103" s="2377"/>
      <c r="G103" s="2377"/>
      <c r="H103" s="2377"/>
      <c r="I103" s="2377"/>
      <c r="P103" s="2377"/>
    </row>
    <row r="104" spans="2:16" x14ac:dyDescent="0.45">
      <c r="B104" s="3008"/>
      <c r="C104" s="2377"/>
      <c r="D104" s="3008"/>
      <c r="E104" s="2377"/>
      <c r="F104" s="2377"/>
      <c r="G104" s="2377"/>
      <c r="H104" s="2377"/>
      <c r="I104" s="2377"/>
      <c r="P104" s="2377"/>
    </row>
    <row r="105" spans="2:16" x14ac:dyDescent="0.45">
      <c r="B105" s="3008"/>
      <c r="C105" s="2377"/>
      <c r="D105" s="3008"/>
      <c r="E105" s="2377"/>
      <c r="F105" s="2377"/>
      <c r="G105" s="2377"/>
      <c r="H105" s="2377"/>
      <c r="I105" s="2377"/>
      <c r="P105" s="2377"/>
    </row>
    <row r="106" spans="2:16" x14ac:dyDescent="0.45">
      <c r="B106" s="3008"/>
      <c r="C106" s="2377"/>
      <c r="D106" s="3008"/>
      <c r="E106" s="2377"/>
      <c r="F106" s="2377"/>
      <c r="G106" s="2377"/>
      <c r="H106" s="2377"/>
      <c r="I106" s="2377"/>
      <c r="P106" s="2377"/>
    </row>
    <row r="107" spans="2:16" x14ac:dyDescent="0.45">
      <c r="B107" s="3008"/>
      <c r="C107" s="2377"/>
      <c r="D107" s="3008"/>
      <c r="E107" s="2377"/>
      <c r="F107" s="2377"/>
      <c r="G107" s="2377"/>
      <c r="H107" s="2377"/>
      <c r="I107" s="2377"/>
      <c r="P107" s="2377"/>
    </row>
    <row r="108" spans="2:16" x14ac:dyDescent="0.45">
      <c r="B108" s="3008"/>
      <c r="C108" s="2377"/>
      <c r="D108" s="3008"/>
      <c r="E108" s="2377"/>
      <c r="F108" s="2377"/>
      <c r="G108" s="2377"/>
      <c r="H108" s="2377"/>
      <c r="I108" s="2377"/>
      <c r="P108" s="2377"/>
    </row>
    <row r="109" spans="2:16" x14ac:dyDescent="0.45">
      <c r="B109" s="3008"/>
      <c r="C109" s="2377"/>
      <c r="D109" s="3008"/>
      <c r="E109" s="2377"/>
      <c r="F109" s="2377"/>
      <c r="G109" s="2377"/>
      <c r="H109" s="2377"/>
      <c r="I109" s="2377"/>
      <c r="P109" s="2377"/>
    </row>
    <row r="110" spans="2:16" x14ac:dyDescent="0.45">
      <c r="B110" s="3008"/>
      <c r="C110" s="2377"/>
      <c r="D110" s="3008"/>
      <c r="E110" s="2377"/>
      <c r="F110" s="2377"/>
      <c r="G110" s="2377"/>
      <c r="H110" s="2377"/>
      <c r="I110" s="2377"/>
      <c r="P110" s="2377"/>
    </row>
    <row r="111" spans="2:16" x14ac:dyDescent="0.45">
      <c r="B111" s="3008"/>
      <c r="C111" s="2377"/>
      <c r="D111" s="3008"/>
      <c r="E111" s="2377"/>
      <c r="F111" s="2377"/>
      <c r="G111" s="2377"/>
      <c r="H111" s="2377"/>
      <c r="I111" s="2377"/>
      <c r="P111" s="2377"/>
    </row>
    <row r="112" spans="2:16" x14ac:dyDescent="0.45">
      <c r="B112" s="3008"/>
      <c r="C112" s="2377"/>
      <c r="D112" s="3008"/>
      <c r="E112" s="2377"/>
      <c r="F112" s="2377"/>
      <c r="G112" s="2377"/>
      <c r="H112" s="2377"/>
      <c r="I112" s="2377"/>
      <c r="P112" s="2377"/>
    </row>
    <row r="113" spans="2:16" x14ac:dyDescent="0.45">
      <c r="B113" s="3008"/>
      <c r="C113" s="2377"/>
      <c r="D113" s="3008"/>
      <c r="E113" s="2377"/>
      <c r="F113" s="2377"/>
      <c r="G113" s="2377"/>
      <c r="H113" s="2377"/>
      <c r="I113" s="2377"/>
      <c r="P113" s="2377"/>
    </row>
    <row r="114" spans="2:16" x14ac:dyDescent="0.45">
      <c r="B114" s="3008"/>
      <c r="C114" s="2377"/>
      <c r="D114" s="3008"/>
      <c r="E114" s="2377"/>
      <c r="F114" s="2377"/>
      <c r="G114" s="2377"/>
      <c r="H114" s="2377"/>
      <c r="I114" s="2377"/>
      <c r="P114" s="2377"/>
    </row>
    <row r="115" spans="2:16" x14ac:dyDescent="0.45">
      <c r="B115" s="3008"/>
      <c r="C115" s="2377"/>
      <c r="D115" s="3008"/>
      <c r="E115" s="2377"/>
      <c r="F115" s="2377"/>
      <c r="G115" s="2377"/>
      <c r="H115" s="2377"/>
      <c r="I115" s="2377"/>
      <c r="P115" s="2377"/>
    </row>
    <row r="116" spans="2:16" x14ac:dyDescent="0.45">
      <c r="B116" s="3008"/>
      <c r="C116" s="2377"/>
      <c r="D116" s="3008"/>
      <c r="E116" s="2377"/>
      <c r="F116" s="2377"/>
      <c r="G116" s="2377"/>
      <c r="H116" s="2377"/>
      <c r="I116" s="2377"/>
      <c r="P116" s="2377"/>
    </row>
    <row r="117" spans="2:16" x14ac:dyDescent="0.45">
      <c r="B117" s="3008"/>
      <c r="C117" s="2377"/>
      <c r="D117" s="3008"/>
      <c r="E117" s="2377"/>
      <c r="F117" s="2377"/>
      <c r="G117" s="2377"/>
      <c r="H117" s="2377"/>
      <c r="I117" s="2377"/>
      <c r="P117" s="2377"/>
    </row>
    <row r="118" spans="2:16" x14ac:dyDescent="0.45">
      <c r="B118" s="3008"/>
      <c r="C118" s="2377"/>
      <c r="D118" s="3008"/>
      <c r="E118" s="2377"/>
      <c r="F118" s="2377"/>
      <c r="G118" s="2377"/>
      <c r="H118" s="2377"/>
      <c r="I118" s="2377"/>
      <c r="P118" s="2377"/>
    </row>
    <row r="119" spans="2:16" x14ac:dyDescent="0.45">
      <c r="B119" s="3008"/>
      <c r="C119" s="2377"/>
      <c r="D119" s="3008"/>
      <c r="E119" s="2377"/>
      <c r="F119" s="2377"/>
      <c r="G119" s="2377"/>
      <c r="H119" s="2377"/>
      <c r="I119" s="2377"/>
      <c r="P119" s="2377"/>
    </row>
    <row r="120" spans="2:16" x14ac:dyDescent="0.45">
      <c r="B120" s="3008"/>
      <c r="C120" s="2377"/>
      <c r="D120" s="3008"/>
      <c r="E120" s="2377"/>
      <c r="F120" s="2377"/>
      <c r="G120" s="2377"/>
      <c r="H120" s="2377"/>
      <c r="I120" s="2377"/>
      <c r="P120" s="2377"/>
    </row>
    <row r="121" spans="2:16" x14ac:dyDescent="0.45">
      <c r="B121" s="3008"/>
      <c r="C121" s="2377"/>
      <c r="D121" s="3008"/>
      <c r="E121" s="2377"/>
      <c r="F121" s="2377"/>
      <c r="G121" s="2377"/>
      <c r="H121" s="2377"/>
      <c r="I121" s="2377"/>
      <c r="P121" s="2377"/>
    </row>
    <row r="122" spans="2:16" x14ac:dyDescent="0.45">
      <c r="B122" s="3008"/>
      <c r="C122" s="2377"/>
      <c r="D122" s="3008"/>
      <c r="E122" s="2377"/>
      <c r="F122" s="2377"/>
      <c r="G122" s="2377"/>
      <c r="H122" s="2377"/>
      <c r="I122" s="2377"/>
      <c r="P122" s="2377"/>
    </row>
    <row r="123" spans="2:16" x14ac:dyDescent="0.45">
      <c r="B123" s="3008"/>
      <c r="C123" s="2377"/>
      <c r="D123" s="3008"/>
      <c r="E123" s="2377"/>
      <c r="F123" s="2377"/>
      <c r="G123" s="2377"/>
      <c r="H123" s="2377"/>
      <c r="I123" s="2377"/>
      <c r="P123" s="2377"/>
    </row>
    <row r="124" spans="2:16" x14ac:dyDescent="0.45">
      <c r="B124" s="3008"/>
      <c r="C124" s="2377"/>
      <c r="D124" s="3008"/>
      <c r="E124" s="2377"/>
      <c r="F124" s="2377"/>
      <c r="G124" s="2377"/>
      <c r="H124" s="2377"/>
      <c r="I124" s="2377"/>
      <c r="P124" s="2377"/>
    </row>
    <row r="125" spans="2:16" x14ac:dyDescent="0.45">
      <c r="B125" s="3008"/>
      <c r="C125" s="2377"/>
      <c r="D125" s="3008"/>
      <c r="E125" s="2377"/>
      <c r="F125" s="2377"/>
      <c r="G125" s="2377"/>
      <c r="H125" s="2377"/>
      <c r="I125" s="2377"/>
      <c r="P125" s="2377"/>
    </row>
    <row r="126" spans="2:16" x14ac:dyDescent="0.45">
      <c r="B126" s="3008"/>
      <c r="C126" s="2377"/>
      <c r="D126" s="3008"/>
      <c r="E126" s="2377"/>
      <c r="F126" s="2377"/>
      <c r="G126" s="2377"/>
      <c r="H126" s="2377"/>
      <c r="I126" s="2377"/>
      <c r="P126" s="2377"/>
    </row>
    <row r="127" spans="2:16" x14ac:dyDescent="0.45">
      <c r="B127" s="3008"/>
      <c r="C127" s="2377"/>
      <c r="D127" s="3008"/>
      <c r="E127" s="2377"/>
      <c r="F127" s="2377"/>
      <c r="G127" s="2377"/>
      <c r="H127" s="2377"/>
      <c r="I127" s="2377"/>
      <c r="P127" s="2377"/>
    </row>
    <row r="128" spans="2:16" x14ac:dyDescent="0.45">
      <c r="B128" s="3008"/>
      <c r="C128" s="2377"/>
      <c r="D128" s="3008"/>
      <c r="E128" s="2377"/>
      <c r="F128" s="2377"/>
      <c r="G128" s="2377"/>
      <c r="H128" s="2377"/>
      <c r="I128" s="2377"/>
      <c r="P128" s="2377"/>
    </row>
    <row r="129" spans="2:16" x14ac:dyDescent="0.45">
      <c r="B129" s="3008"/>
      <c r="C129" s="2377"/>
      <c r="D129" s="3008"/>
      <c r="E129" s="2377"/>
      <c r="F129" s="2377"/>
      <c r="G129" s="2377"/>
      <c r="H129" s="2377"/>
      <c r="I129" s="2377"/>
      <c r="P129" s="2377"/>
    </row>
    <row r="130" spans="2:16" x14ac:dyDescent="0.45">
      <c r="B130" s="3008"/>
      <c r="C130" s="2377"/>
      <c r="D130" s="3008"/>
      <c r="E130" s="2377"/>
      <c r="F130" s="2377"/>
      <c r="G130" s="2377"/>
      <c r="H130" s="2377"/>
      <c r="I130" s="2377"/>
      <c r="P130" s="2377"/>
    </row>
    <row r="131" spans="2:16" x14ac:dyDescent="0.45">
      <c r="B131" s="3008"/>
      <c r="C131" s="2377"/>
      <c r="D131" s="3008"/>
      <c r="E131" s="2377"/>
      <c r="F131" s="2377"/>
      <c r="G131" s="2377"/>
      <c r="H131" s="2377"/>
      <c r="I131" s="2377"/>
      <c r="P131" s="2377"/>
    </row>
    <row r="132" spans="2:16" x14ac:dyDescent="0.45">
      <c r="B132" s="3008"/>
      <c r="C132" s="2377"/>
      <c r="D132" s="3008"/>
      <c r="E132" s="2377"/>
      <c r="F132" s="2377"/>
      <c r="G132" s="2377"/>
      <c r="H132" s="2377"/>
      <c r="I132" s="2377"/>
      <c r="P132" s="2377"/>
    </row>
    <row r="133" spans="2:16" x14ac:dyDescent="0.45">
      <c r="B133" s="3008"/>
      <c r="C133" s="2377"/>
      <c r="D133" s="3008"/>
      <c r="E133" s="2377"/>
      <c r="F133" s="2377"/>
      <c r="G133" s="2377"/>
      <c r="H133" s="2377"/>
      <c r="I133" s="2377"/>
      <c r="P133" s="2377"/>
    </row>
    <row r="134" spans="2:16" x14ac:dyDescent="0.45">
      <c r="B134" s="3008"/>
      <c r="C134" s="2377"/>
      <c r="D134" s="3008"/>
      <c r="E134" s="2377"/>
      <c r="F134" s="2377"/>
      <c r="G134" s="2377"/>
      <c r="H134" s="2377"/>
      <c r="I134" s="2377"/>
      <c r="P134" s="2377"/>
    </row>
    <row r="135" spans="2:16" x14ac:dyDescent="0.45">
      <c r="B135" s="3008"/>
      <c r="C135" s="2377"/>
      <c r="D135" s="3008"/>
      <c r="E135" s="2377"/>
      <c r="F135" s="2377"/>
      <c r="G135" s="2377"/>
      <c r="H135" s="2377"/>
      <c r="I135" s="2377"/>
      <c r="P135" s="2377"/>
    </row>
    <row r="136" spans="2:16" x14ac:dyDescent="0.45">
      <c r="B136" s="3008"/>
      <c r="C136" s="2377"/>
      <c r="D136" s="3008"/>
      <c r="E136" s="2377"/>
      <c r="F136" s="2377"/>
      <c r="G136" s="2377"/>
      <c r="H136" s="2377"/>
      <c r="I136" s="2377"/>
      <c r="P136" s="2377"/>
    </row>
    <row r="137" spans="2:16" x14ac:dyDescent="0.45">
      <c r="B137" s="3008"/>
      <c r="C137" s="2377"/>
      <c r="D137" s="3008"/>
      <c r="E137" s="2377"/>
      <c r="F137" s="2377"/>
      <c r="G137" s="2377"/>
      <c r="H137" s="2377"/>
      <c r="I137" s="2377"/>
      <c r="P137" s="2377"/>
    </row>
    <row r="138" spans="2:16" x14ac:dyDescent="0.45">
      <c r="B138" s="3008"/>
      <c r="C138" s="2377"/>
      <c r="D138" s="3008"/>
      <c r="E138" s="2377"/>
      <c r="F138" s="2377"/>
      <c r="G138" s="2377"/>
      <c r="H138" s="2377"/>
      <c r="I138" s="2377"/>
      <c r="P138" s="2377"/>
    </row>
    <row r="139" spans="2:16" x14ac:dyDescent="0.45">
      <c r="B139" s="3008"/>
      <c r="C139" s="2377"/>
      <c r="D139" s="3008"/>
      <c r="E139" s="2377"/>
      <c r="F139" s="2377"/>
      <c r="G139" s="2377"/>
      <c r="H139" s="2377"/>
      <c r="I139" s="2377"/>
      <c r="P139" s="2377"/>
    </row>
    <row r="140" spans="2:16" x14ac:dyDescent="0.45">
      <c r="E140" s="2377"/>
      <c r="F140" s="2377"/>
      <c r="G140" s="2377"/>
      <c r="H140" s="2377"/>
      <c r="I140" s="2377"/>
      <c r="P140" s="2377"/>
    </row>
    <row r="141" spans="2:16" x14ac:dyDescent="0.45">
      <c r="G141" s="2377"/>
      <c r="P141" s="2377"/>
    </row>
    <row r="142" spans="2:16" x14ac:dyDescent="0.45">
      <c r="B142" s="3009"/>
      <c r="C142" s="2377"/>
      <c r="D142" s="3008"/>
      <c r="E142" s="2377"/>
      <c r="F142" s="2377"/>
      <c r="G142" s="2377"/>
      <c r="H142" s="2377"/>
      <c r="I142" s="2377"/>
      <c r="P142" s="2377"/>
    </row>
    <row r="143" spans="2:16" x14ac:dyDescent="0.45">
      <c r="C143" s="2377"/>
      <c r="D143" s="2377"/>
      <c r="E143" s="3009"/>
      <c r="F143" s="3009"/>
      <c r="G143" s="2377"/>
      <c r="H143" s="3009"/>
      <c r="I143" s="3009"/>
      <c r="P143" s="2377"/>
    </row>
    <row r="144" spans="2:16" x14ac:dyDescent="0.45">
      <c r="C144" s="2377"/>
      <c r="D144" s="2377"/>
      <c r="E144" s="3009"/>
      <c r="F144" s="3009"/>
      <c r="G144" s="2377"/>
      <c r="H144" s="3009"/>
      <c r="I144" s="3009"/>
      <c r="P144" s="2377"/>
    </row>
    <row r="145" spans="2:16" x14ac:dyDescent="0.45">
      <c r="B145" s="3008"/>
      <c r="C145" s="2377"/>
      <c r="D145" s="2377"/>
      <c r="E145" s="2377"/>
      <c r="F145" s="2377"/>
      <c r="G145" s="2377"/>
      <c r="H145" s="2377"/>
      <c r="I145" s="2377"/>
      <c r="P145" s="2377"/>
    </row>
    <row r="146" spans="2:16" x14ac:dyDescent="0.45">
      <c r="B146" s="3008"/>
      <c r="C146" s="2377"/>
      <c r="D146" s="2377"/>
      <c r="E146" s="2377"/>
      <c r="F146" s="2377"/>
      <c r="G146" s="2377"/>
      <c r="H146" s="2377"/>
      <c r="I146" s="2377"/>
      <c r="P146" s="2377"/>
    </row>
    <row r="147" spans="2:16" x14ac:dyDescent="0.45">
      <c r="B147" s="3008"/>
      <c r="C147" s="2377"/>
      <c r="D147" s="2377"/>
      <c r="E147" s="2377"/>
      <c r="F147" s="2377"/>
      <c r="G147" s="2377"/>
      <c r="H147" s="2377"/>
      <c r="I147" s="2377"/>
      <c r="P147" s="2377"/>
    </row>
    <row r="148" spans="2:16" x14ac:dyDescent="0.45">
      <c r="B148" s="3008"/>
      <c r="C148" s="2377"/>
      <c r="D148" s="2377"/>
      <c r="E148" s="2377"/>
      <c r="F148" s="2377"/>
      <c r="G148" s="2377"/>
      <c r="H148" s="2377"/>
      <c r="I148" s="2377"/>
      <c r="P148" s="2377"/>
    </row>
    <row r="149" spans="2:16" x14ac:dyDescent="0.45">
      <c r="B149" s="3008"/>
      <c r="C149" s="2377"/>
      <c r="D149" s="2377"/>
      <c r="E149" s="2377"/>
      <c r="F149" s="2377"/>
      <c r="G149" s="2377"/>
      <c r="H149" s="2377"/>
      <c r="I149" s="2377"/>
      <c r="P149" s="2377"/>
    </row>
    <row r="150" spans="2:16" x14ac:dyDescent="0.45">
      <c r="B150" s="3008"/>
      <c r="C150" s="2377"/>
      <c r="D150" s="2377"/>
      <c r="E150" s="2377"/>
      <c r="F150" s="2377"/>
      <c r="G150" s="2377"/>
      <c r="H150" s="2377"/>
      <c r="I150" s="2377"/>
      <c r="P150" s="2377"/>
    </row>
    <row r="151" spans="2:16" x14ac:dyDescent="0.45">
      <c r="B151" s="3008"/>
      <c r="C151" s="2377"/>
      <c r="D151" s="2377"/>
      <c r="E151" s="2377"/>
      <c r="F151" s="2377"/>
      <c r="G151" s="2377"/>
      <c r="H151" s="2377"/>
      <c r="I151" s="2377"/>
      <c r="P151" s="2377"/>
    </row>
    <row r="152" spans="2:16" x14ac:dyDescent="0.45">
      <c r="B152" s="3008"/>
      <c r="C152" s="2377"/>
      <c r="D152" s="2377"/>
      <c r="E152" s="2377"/>
      <c r="F152" s="2377"/>
      <c r="G152" s="2377"/>
      <c r="H152" s="2377"/>
      <c r="I152" s="2377"/>
      <c r="P152" s="2377"/>
    </row>
    <row r="153" spans="2:16" x14ac:dyDescent="0.45">
      <c r="B153" s="3008"/>
      <c r="C153" s="2377"/>
      <c r="D153" s="2377"/>
      <c r="E153" s="2377"/>
      <c r="F153" s="2377"/>
      <c r="G153" s="2377"/>
      <c r="H153" s="2377"/>
      <c r="I153" s="2377"/>
      <c r="P153" s="2377"/>
    </row>
    <row r="154" spans="2:16" x14ac:dyDescent="0.45">
      <c r="B154" s="3008"/>
      <c r="C154" s="2377"/>
      <c r="D154" s="2377"/>
      <c r="E154" s="2377"/>
      <c r="F154" s="2377"/>
      <c r="G154" s="2377"/>
      <c r="H154" s="2377"/>
      <c r="I154" s="2377"/>
      <c r="P154" s="2377"/>
    </row>
    <row r="155" spans="2:16" x14ac:dyDescent="0.45">
      <c r="B155" s="3008"/>
      <c r="C155" s="2377"/>
      <c r="D155" s="2377"/>
      <c r="E155" s="2377"/>
      <c r="F155" s="2377"/>
      <c r="G155" s="2377"/>
      <c r="H155" s="2377"/>
      <c r="I155" s="2377"/>
      <c r="P155" s="2377"/>
    </row>
    <row r="156" spans="2:16" x14ac:dyDescent="0.45">
      <c r="B156" s="3008"/>
      <c r="C156" s="2377"/>
      <c r="D156" s="2377"/>
      <c r="E156" s="2377"/>
      <c r="F156" s="2377"/>
      <c r="G156" s="2377"/>
      <c r="H156" s="2377"/>
      <c r="I156" s="2377"/>
      <c r="P156" s="2377"/>
    </row>
    <row r="157" spans="2:16" x14ac:dyDescent="0.45">
      <c r="B157" s="3008"/>
      <c r="C157" s="2377"/>
      <c r="D157" s="2377"/>
      <c r="E157" s="2377"/>
      <c r="F157" s="2377"/>
      <c r="G157" s="2377"/>
      <c r="H157" s="2377"/>
      <c r="I157" s="2377"/>
      <c r="P157" s="2377"/>
    </row>
    <row r="158" spans="2:16" x14ac:dyDescent="0.45">
      <c r="B158" s="3008"/>
      <c r="C158" s="2377"/>
      <c r="D158" s="2377"/>
      <c r="E158" s="2377"/>
      <c r="F158" s="2377"/>
      <c r="G158" s="2377"/>
      <c r="H158" s="2377"/>
      <c r="I158" s="2377"/>
      <c r="P158" s="2377"/>
    </row>
    <row r="159" spans="2:16" x14ac:dyDescent="0.45">
      <c r="B159" s="3008"/>
      <c r="C159" s="2377"/>
      <c r="D159" s="2377"/>
      <c r="E159" s="2377"/>
      <c r="F159" s="2377"/>
      <c r="G159" s="2377"/>
      <c r="H159" s="2377"/>
      <c r="I159" s="2377"/>
      <c r="P159" s="2377"/>
    </row>
    <row r="160" spans="2:16" x14ac:dyDescent="0.45">
      <c r="B160" s="3008"/>
      <c r="C160" s="2377"/>
      <c r="D160" s="2377"/>
      <c r="E160" s="2377"/>
      <c r="F160" s="2377"/>
      <c r="G160" s="2377"/>
      <c r="H160" s="2377"/>
      <c r="I160" s="2377"/>
      <c r="P160" s="2377"/>
    </row>
    <row r="161" spans="1:16" x14ac:dyDescent="0.45">
      <c r="B161" s="3008"/>
      <c r="C161" s="2377"/>
      <c r="D161" s="2377"/>
      <c r="E161" s="2377"/>
      <c r="F161" s="2377"/>
      <c r="G161" s="2377"/>
      <c r="H161" s="2377"/>
      <c r="I161" s="2377"/>
      <c r="P161" s="2377"/>
    </row>
    <row r="162" spans="1:16" x14ac:dyDescent="0.45">
      <c r="B162" s="3008"/>
      <c r="C162" s="2377"/>
      <c r="D162" s="2377"/>
      <c r="E162" s="2377"/>
      <c r="F162" s="2377"/>
      <c r="G162" s="2377"/>
      <c r="H162" s="2377"/>
      <c r="I162" s="2377"/>
      <c r="P162" s="2377"/>
    </row>
    <row r="163" spans="1:16" x14ac:dyDescent="0.45">
      <c r="B163" s="3008"/>
      <c r="C163" s="2377"/>
      <c r="D163" s="2377"/>
      <c r="E163" s="2377"/>
      <c r="F163" s="2377"/>
      <c r="G163" s="2377"/>
      <c r="H163" s="2377"/>
      <c r="I163" s="2377"/>
      <c r="P163" s="2377"/>
    </row>
    <row r="164" spans="1:16" x14ac:dyDescent="0.45">
      <c r="B164" s="3008"/>
      <c r="C164" s="2377"/>
      <c r="D164" s="2377"/>
      <c r="E164" s="2377"/>
      <c r="F164" s="2377"/>
      <c r="G164" s="2377"/>
      <c r="H164" s="2377"/>
      <c r="I164" s="2377"/>
      <c r="P164" s="2377"/>
    </row>
    <row r="165" spans="1:16" x14ac:dyDescent="0.45">
      <c r="B165" s="3008"/>
      <c r="C165" s="2377"/>
      <c r="D165" s="2377"/>
      <c r="E165" s="2377"/>
      <c r="F165" s="2377"/>
      <c r="G165" s="2377"/>
      <c r="H165" s="2377"/>
      <c r="I165" s="2377"/>
      <c r="P165" s="2377"/>
    </row>
    <row r="166" spans="1:16" x14ac:dyDescent="0.45">
      <c r="B166" s="3008"/>
      <c r="C166" s="2377"/>
      <c r="D166" s="2377"/>
      <c r="E166" s="2377"/>
      <c r="F166" s="2377"/>
      <c r="G166" s="2377"/>
      <c r="H166" s="2377"/>
      <c r="I166" s="2377"/>
      <c r="P166" s="2377"/>
    </row>
    <row r="167" spans="1:16" x14ac:dyDescent="0.45">
      <c r="A167" s="2993"/>
      <c r="B167" s="3008"/>
      <c r="C167" s="2377"/>
      <c r="D167" s="2377"/>
      <c r="E167" s="2377"/>
      <c r="F167" s="2377"/>
      <c r="G167" s="2377"/>
      <c r="H167" s="2377"/>
      <c r="I167" s="2377"/>
      <c r="P167" s="2377"/>
    </row>
    <row r="168" spans="1:16" x14ac:dyDescent="0.45">
      <c r="B168" s="3009"/>
      <c r="C168" s="3011"/>
      <c r="D168" s="3010"/>
      <c r="E168" s="3010"/>
      <c r="F168" s="3010"/>
      <c r="G168" s="3010"/>
      <c r="H168" s="3010"/>
      <c r="I168" s="3010"/>
      <c r="P168" s="2377"/>
    </row>
    <row r="169" spans="1:16" x14ac:dyDescent="0.45">
      <c r="B169" s="2377"/>
      <c r="C169" s="2377"/>
      <c r="D169" s="3009"/>
      <c r="E169" s="3013"/>
      <c r="F169" s="3013"/>
      <c r="G169" s="3013"/>
      <c r="H169" s="3013"/>
      <c r="I169" s="3013"/>
      <c r="P169" s="2377"/>
    </row>
    <row r="170" spans="1:16" x14ac:dyDescent="0.45">
      <c r="B170" s="2343"/>
      <c r="C170" s="2269"/>
      <c r="D170" s="2313"/>
      <c r="P170" s="2377"/>
    </row>
    <row r="171" spans="1:16" x14ac:dyDescent="0.45">
      <c r="B171" s="3008"/>
      <c r="C171" s="2377"/>
      <c r="D171" s="3008"/>
      <c r="E171" s="2377"/>
      <c r="F171" s="2377"/>
      <c r="G171" s="2377"/>
      <c r="H171" s="2377"/>
      <c r="I171" s="2377"/>
      <c r="P171" s="2377"/>
    </row>
    <row r="172" spans="1:16" x14ac:dyDescent="0.45">
      <c r="B172" s="3008"/>
      <c r="C172" s="2377"/>
      <c r="D172" s="3008"/>
      <c r="E172" s="2377"/>
      <c r="F172" s="2377"/>
      <c r="G172" s="2377"/>
      <c r="H172" s="2377"/>
      <c r="I172" s="2377"/>
      <c r="P172" s="2377"/>
    </row>
    <row r="173" spans="1:16" x14ac:dyDescent="0.45">
      <c r="B173" s="3008"/>
      <c r="C173" s="2377"/>
      <c r="D173" s="3008"/>
      <c r="E173" s="2377"/>
      <c r="F173" s="2377"/>
      <c r="G173" s="2377"/>
      <c r="H173" s="2377"/>
      <c r="I173" s="2377"/>
      <c r="P173" s="2377"/>
    </row>
    <row r="174" spans="1:16" x14ac:dyDescent="0.45">
      <c r="B174" s="3008"/>
      <c r="C174" s="2377"/>
      <c r="D174" s="3008"/>
      <c r="E174" s="2377"/>
      <c r="F174" s="2377"/>
      <c r="G174" s="2377"/>
      <c r="H174" s="2377"/>
      <c r="I174" s="2377"/>
      <c r="P174" s="2377"/>
    </row>
    <row r="175" spans="1:16" x14ac:dyDescent="0.45">
      <c r="B175" s="3008"/>
      <c r="C175" s="2377"/>
      <c r="D175" s="3008"/>
      <c r="E175" s="2377"/>
      <c r="F175" s="2377"/>
      <c r="G175" s="2377"/>
      <c r="H175" s="2377"/>
      <c r="I175" s="2377"/>
      <c r="P175" s="2377"/>
    </row>
    <row r="176" spans="1:16" x14ac:dyDescent="0.45">
      <c r="B176" s="3008"/>
      <c r="C176" s="2377"/>
      <c r="D176" s="3008"/>
      <c r="E176" s="2377"/>
      <c r="F176" s="2377"/>
      <c r="G176" s="2377"/>
      <c r="H176" s="2377"/>
      <c r="I176" s="2377"/>
      <c r="P176" s="2377"/>
    </row>
    <row r="177" spans="2:20" x14ac:dyDescent="0.45">
      <c r="B177" s="3008"/>
      <c r="C177" s="2377"/>
      <c r="D177" s="3008"/>
      <c r="E177" s="2377"/>
      <c r="F177" s="2377"/>
      <c r="G177" s="2377"/>
      <c r="H177" s="2377"/>
      <c r="I177" s="2377"/>
      <c r="P177" s="2377"/>
    </row>
    <row r="178" spans="2:20" x14ac:dyDescent="0.45">
      <c r="B178" s="3008"/>
      <c r="C178" s="2377"/>
      <c r="D178" s="3008"/>
      <c r="E178" s="2377"/>
      <c r="F178" s="2377"/>
      <c r="G178" s="2377"/>
      <c r="H178" s="2377"/>
      <c r="I178" s="2377"/>
      <c r="P178" s="2377"/>
    </row>
    <row r="179" spans="2:20" x14ac:dyDescent="0.45">
      <c r="B179" s="3008"/>
      <c r="C179" s="2377"/>
      <c r="D179" s="3008"/>
      <c r="E179" s="2377"/>
      <c r="F179" s="2377"/>
      <c r="G179" s="2377"/>
      <c r="H179" s="2377"/>
      <c r="I179" s="2377"/>
      <c r="P179" s="2377"/>
    </row>
    <row r="180" spans="2:20" x14ac:dyDescent="0.45">
      <c r="B180" s="3008"/>
      <c r="C180" s="2377"/>
      <c r="D180" s="3008"/>
      <c r="E180" s="2377"/>
      <c r="F180" s="2377"/>
      <c r="G180" s="2377"/>
      <c r="H180" s="2377"/>
      <c r="I180" s="2377"/>
      <c r="P180" s="2377"/>
    </row>
    <row r="181" spans="2:20" x14ac:dyDescent="0.45">
      <c r="B181" s="3008"/>
      <c r="C181" s="2377"/>
      <c r="D181" s="3008"/>
      <c r="E181" s="2377"/>
      <c r="F181" s="2377"/>
      <c r="G181" s="2377"/>
      <c r="H181" s="2377"/>
      <c r="I181" s="2377"/>
      <c r="P181" s="2377"/>
    </row>
    <row r="182" spans="2:20" x14ac:dyDescent="0.45">
      <c r="B182" s="3008"/>
      <c r="C182" s="2377"/>
      <c r="D182" s="3008"/>
      <c r="E182" s="2377"/>
      <c r="F182" s="2377"/>
      <c r="G182" s="2377"/>
      <c r="H182" s="2377"/>
      <c r="I182" s="2377"/>
      <c r="P182" s="2377"/>
    </row>
    <row r="183" spans="2:20" x14ac:dyDescent="0.45">
      <c r="B183" s="3008"/>
      <c r="C183" s="2377"/>
      <c r="D183" s="3008"/>
      <c r="E183" s="2377"/>
      <c r="F183" s="2377"/>
      <c r="G183" s="2377"/>
      <c r="H183" s="2377"/>
      <c r="I183" s="2377"/>
      <c r="P183" s="2377"/>
    </row>
    <row r="184" spans="2:20" x14ac:dyDescent="0.45">
      <c r="B184" s="3008"/>
      <c r="C184" s="2377"/>
      <c r="D184" s="3008"/>
      <c r="E184" s="2377"/>
      <c r="F184" s="2377"/>
      <c r="G184" s="2377"/>
      <c r="H184" s="2377"/>
      <c r="I184" s="2377"/>
      <c r="P184" s="2377"/>
    </row>
    <row r="185" spans="2:20" x14ac:dyDescent="0.45">
      <c r="B185" s="3008"/>
      <c r="C185" s="2377"/>
      <c r="D185" s="3008"/>
      <c r="E185" s="2377"/>
      <c r="F185" s="2377"/>
      <c r="G185" s="2377"/>
      <c r="H185" s="2377"/>
      <c r="I185" s="2377"/>
      <c r="P185" s="2377"/>
    </row>
    <row r="186" spans="2:20" x14ac:dyDescent="0.45">
      <c r="B186" s="3008"/>
      <c r="C186" s="2377"/>
      <c r="D186" s="3008"/>
      <c r="E186" s="2377"/>
      <c r="F186" s="2377"/>
      <c r="G186" s="2377"/>
      <c r="H186" s="2377"/>
      <c r="I186" s="2377"/>
      <c r="P186" s="2377"/>
    </row>
    <row r="187" spans="2:20" x14ac:dyDescent="0.45">
      <c r="B187" s="3008"/>
      <c r="C187" s="2377"/>
      <c r="D187" s="3008"/>
      <c r="E187" s="2377"/>
      <c r="F187" s="2377"/>
      <c r="G187" s="2377"/>
      <c r="H187" s="2377"/>
      <c r="I187" s="2377"/>
      <c r="P187" s="2377"/>
    </row>
    <row r="188" spans="2:20" x14ac:dyDescent="0.45">
      <c r="B188" s="3008"/>
      <c r="C188" s="2377"/>
      <c r="D188" s="3008"/>
      <c r="E188" s="2377"/>
      <c r="F188" s="2377"/>
      <c r="G188" s="2377"/>
      <c r="H188" s="2377"/>
      <c r="I188" s="2377"/>
      <c r="P188" s="2377"/>
    </row>
    <row r="189" spans="2:20" x14ac:dyDescent="0.45">
      <c r="B189" s="3008"/>
      <c r="C189" s="2377"/>
      <c r="D189" s="3008"/>
      <c r="E189" s="2377"/>
      <c r="F189" s="2377"/>
      <c r="G189" s="2377"/>
      <c r="H189" s="2377"/>
      <c r="I189" s="2377"/>
      <c r="P189" s="2377"/>
      <c r="S189" s="3014"/>
      <c r="T189" s="3014"/>
    </row>
    <row r="190" spans="2:20" x14ac:dyDescent="0.45">
      <c r="B190" s="3008"/>
      <c r="C190" s="2377"/>
      <c r="D190" s="3008"/>
      <c r="E190" s="2377"/>
      <c r="F190" s="2377"/>
      <c r="G190" s="2377"/>
      <c r="H190" s="2377"/>
      <c r="I190" s="2377"/>
      <c r="P190" s="2377"/>
      <c r="S190" s="3014"/>
      <c r="T190" s="3014"/>
    </row>
    <row r="191" spans="2:20" x14ac:dyDescent="0.45">
      <c r="B191" s="3008"/>
      <c r="C191" s="2377"/>
      <c r="D191" s="3008"/>
      <c r="E191" s="2377"/>
      <c r="F191" s="2377"/>
      <c r="G191" s="2377"/>
      <c r="H191" s="2377"/>
      <c r="I191" s="2377"/>
      <c r="P191" s="2377"/>
      <c r="S191" s="3014"/>
      <c r="T191" s="3014"/>
    </row>
    <row r="192" spans="2:20" x14ac:dyDescent="0.45">
      <c r="B192" s="3008"/>
      <c r="C192" s="2377"/>
      <c r="D192" s="3008"/>
      <c r="E192" s="2377"/>
      <c r="F192" s="2377"/>
      <c r="G192" s="2377"/>
      <c r="H192" s="2377"/>
      <c r="I192" s="2377"/>
      <c r="P192" s="2377"/>
      <c r="S192" s="3014"/>
      <c r="T192" s="3014"/>
    </row>
    <row r="193" spans="2:20" x14ac:dyDescent="0.45">
      <c r="B193" s="3008"/>
      <c r="C193" s="2377"/>
      <c r="D193" s="3008"/>
      <c r="E193" s="2377"/>
      <c r="F193" s="2377"/>
      <c r="G193" s="2377"/>
      <c r="H193" s="2377"/>
      <c r="I193" s="2377"/>
      <c r="P193" s="2377"/>
      <c r="S193" s="3014"/>
      <c r="T193" s="3014"/>
    </row>
    <row r="194" spans="2:20" x14ac:dyDescent="0.45">
      <c r="B194" s="3008"/>
      <c r="C194" s="2377"/>
      <c r="D194" s="3008"/>
      <c r="E194" s="2377"/>
      <c r="F194" s="2377"/>
      <c r="G194" s="2377"/>
      <c r="H194" s="2377"/>
      <c r="I194" s="2377"/>
      <c r="P194" s="2377"/>
      <c r="S194" s="3014"/>
      <c r="T194" s="3014"/>
    </row>
    <row r="195" spans="2:20" x14ac:dyDescent="0.45">
      <c r="B195" s="3008"/>
      <c r="C195" s="2377"/>
      <c r="D195" s="3008"/>
      <c r="E195" s="2377"/>
      <c r="F195" s="2377"/>
      <c r="G195" s="2377"/>
      <c r="H195" s="2377"/>
      <c r="I195" s="2377"/>
      <c r="P195" s="2377"/>
      <c r="S195" s="3014"/>
      <c r="T195" s="3014"/>
    </row>
    <row r="196" spans="2:20" x14ac:dyDescent="0.45">
      <c r="B196" s="3008"/>
      <c r="C196" s="2377"/>
      <c r="D196" s="3008"/>
      <c r="E196" s="2377"/>
      <c r="F196" s="2377"/>
      <c r="G196" s="2377"/>
      <c r="H196" s="2377"/>
      <c r="I196" s="2377"/>
      <c r="P196" s="2377"/>
      <c r="S196" s="3014"/>
      <c r="T196" s="3014"/>
    </row>
    <row r="197" spans="2:20" x14ac:dyDescent="0.45">
      <c r="B197" s="3008"/>
      <c r="C197" s="2377"/>
      <c r="D197" s="3008"/>
      <c r="E197" s="2377"/>
      <c r="F197" s="2377"/>
      <c r="G197" s="2377"/>
      <c r="H197" s="2377"/>
      <c r="I197" s="2377"/>
      <c r="P197" s="2377"/>
      <c r="S197" s="3014"/>
      <c r="T197" s="3014"/>
    </row>
    <row r="198" spans="2:20" x14ac:dyDescent="0.45">
      <c r="B198" s="3008"/>
      <c r="C198" s="2377"/>
      <c r="D198" s="3008"/>
      <c r="E198" s="2377"/>
      <c r="F198" s="2377"/>
      <c r="G198" s="2377"/>
      <c r="H198" s="2377"/>
      <c r="I198" s="2377"/>
      <c r="P198" s="2377"/>
      <c r="S198" s="3014"/>
      <c r="T198" s="3014"/>
    </row>
    <row r="199" spans="2:20" x14ac:dyDescent="0.45">
      <c r="B199" s="3008"/>
      <c r="C199" s="2377"/>
      <c r="D199" s="3008"/>
      <c r="E199" s="2377"/>
      <c r="F199" s="2377"/>
      <c r="G199" s="2377"/>
      <c r="H199" s="2377"/>
      <c r="I199" s="2377"/>
      <c r="P199" s="2377"/>
      <c r="S199" s="3014"/>
      <c r="T199" s="3014"/>
    </row>
    <row r="200" spans="2:20" x14ac:dyDescent="0.45">
      <c r="B200" s="3008"/>
      <c r="C200" s="2377"/>
      <c r="D200" s="3008"/>
      <c r="E200" s="2377"/>
      <c r="F200" s="2377"/>
      <c r="G200" s="2377"/>
      <c r="H200" s="2377"/>
      <c r="I200" s="2377"/>
      <c r="P200" s="2377"/>
      <c r="S200" s="3014"/>
      <c r="T200" s="3014"/>
    </row>
    <row r="201" spans="2:20" x14ac:dyDescent="0.45">
      <c r="B201" s="3008"/>
      <c r="C201" s="2377"/>
      <c r="D201" s="3008"/>
      <c r="E201" s="2377"/>
      <c r="F201" s="2377"/>
      <c r="G201" s="2377"/>
      <c r="H201" s="2377"/>
      <c r="I201" s="2377"/>
      <c r="P201" s="2377"/>
      <c r="S201" s="3014"/>
      <c r="T201" s="3014"/>
    </row>
    <row r="202" spans="2:20" x14ac:dyDescent="0.45">
      <c r="B202" s="3008"/>
      <c r="C202" s="2377"/>
      <c r="D202" s="3008"/>
      <c r="E202" s="2377"/>
      <c r="F202" s="2377"/>
      <c r="G202" s="2377"/>
      <c r="H202" s="2377"/>
      <c r="I202" s="2377"/>
      <c r="P202" s="2377"/>
      <c r="S202" s="3014"/>
      <c r="T202" s="3014"/>
    </row>
    <row r="203" spans="2:20" x14ac:dyDescent="0.45">
      <c r="B203" s="3008"/>
      <c r="C203" s="2377"/>
      <c r="D203" s="3008"/>
      <c r="E203" s="2377"/>
      <c r="F203" s="2377"/>
      <c r="G203" s="2377"/>
      <c r="H203" s="2377"/>
      <c r="I203" s="2377"/>
      <c r="P203" s="2377"/>
      <c r="S203" s="3014"/>
      <c r="T203" s="3014"/>
    </row>
    <row r="204" spans="2:20" x14ac:dyDescent="0.45">
      <c r="B204" s="3008"/>
      <c r="C204" s="2377"/>
      <c r="D204" s="3008"/>
      <c r="E204" s="2377"/>
      <c r="F204" s="2377"/>
      <c r="G204" s="2377"/>
      <c r="H204" s="2377"/>
      <c r="I204" s="2377"/>
      <c r="P204" s="2377"/>
      <c r="S204" s="3014"/>
      <c r="T204" s="3014"/>
    </row>
    <row r="205" spans="2:20" x14ac:dyDescent="0.45">
      <c r="B205" s="3008"/>
      <c r="C205" s="2377"/>
      <c r="D205" s="3008"/>
      <c r="E205" s="2377"/>
      <c r="F205" s="2377"/>
      <c r="G205" s="2377"/>
      <c r="H205" s="2377"/>
      <c r="I205" s="2377"/>
      <c r="P205" s="2377"/>
      <c r="S205" s="3014"/>
      <c r="T205" s="3014"/>
    </row>
    <row r="206" spans="2:20" x14ac:dyDescent="0.45">
      <c r="B206" s="3008"/>
      <c r="C206" s="2377"/>
      <c r="D206" s="3008"/>
      <c r="E206" s="2377"/>
      <c r="F206" s="2377"/>
      <c r="G206" s="2377"/>
      <c r="H206" s="2377"/>
      <c r="I206" s="2377"/>
      <c r="P206" s="2377"/>
      <c r="S206" s="3014"/>
      <c r="T206" s="3014"/>
    </row>
    <row r="207" spans="2:20" x14ac:dyDescent="0.45">
      <c r="B207" s="3008"/>
      <c r="C207" s="2377"/>
      <c r="D207" s="3008"/>
      <c r="E207" s="2377"/>
      <c r="F207" s="2377"/>
      <c r="G207" s="2377"/>
      <c r="H207" s="2377"/>
      <c r="I207" s="2377"/>
      <c r="P207" s="2377"/>
      <c r="S207" s="3014"/>
      <c r="T207" s="3014"/>
    </row>
    <row r="208" spans="2:20" x14ac:dyDescent="0.45">
      <c r="B208" s="3008"/>
      <c r="C208" s="2377"/>
      <c r="D208" s="3008"/>
      <c r="E208" s="2377"/>
      <c r="F208" s="2377"/>
      <c r="G208" s="2377"/>
      <c r="H208" s="2377"/>
      <c r="I208" s="2377"/>
      <c r="P208" s="2377"/>
      <c r="S208" s="3014"/>
      <c r="T208" s="3014"/>
    </row>
    <row r="209" spans="2:20" x14ac:dyDescent="0.45">
      <c r="B209" s="3008"/>
      <c r="C209" s="2377"/>
      <c r="D209" s="3008"/>
      <c r="E209" s="2377"/>
      <c r="F209" s="2377"/>
      <c r="G209" s="2377"/>
      <c r="H209" s="2377"/>
      <c r="I209" s="2377"/>
      <c r="P209" s="2377"/>
      <c r="S209" s="3014"/>
      <c r="T209" s="3014"/>
    </row>
    <row r="210" spans="2:20" x14ac:dyDescent="0.45">
      <c r="B210" s="3008"/>
      <c r="C210" s="2377"/>
      <c r="D210" s="3008"/>
      <c r="E210" s="2377"/>
      <c r="F210" s="2377"/>
      <c r="G210" s="2377"/>
      <c r="H210" s="2377"/>
      <c r="I210" s="2377"/>
      <c r="P210" s="2377"/>
      <c r="S210" s="3014"/>
      <c r="T210" s="3014"/>
    </row>
    <row r="211" spans="2:20" x14ac:dyDescent="0.45">
      <c r="B211" s="3008"/>
      <c r="C211" s="2377"/>
      <c r="D211" s="3008"/>
      <c r="E211" s="2377"/>
      <c r="F211" s="2377"/>
      <c r="G211" s="2377"/>
      <c r="H211" s="2377"/>
      <c r="I211" s="2377"/>
      <c r="P211" s="2377"/>
      <c r="S211" s="3014"/>
      <c r="T211" s="3014"/>
    </row>
    <row r="212" spans="2:20" x14ac:dyDescent="0.45">
      <c r="B212" s="3008"/>
      <c r="C212" s="2377"/>
      <c r="D212" s="3008"/>
      <c r="E212" s="2377"/>
      <c r="F212" s="2377"/>
      <c r="G212" s="2377"/>
      <c r="H212" s="2377"/>
      <c r="I212" s="2377"/>
      <c r="P212" s="2377"/>
      <c r="S212" s="3014"/>
      <c r="T212" s="3014"/>
    </row>
    <row r="213" spans="2:20" x14ac:dyDescent="0.45">
      <c r="B213" s="3008"/>
      <c r="C213" s="2377"/>
      <c r="D213" s="3008"/>
      <c r="E213" s="2377"/>
      <c r="F213" s="2377"/>
      <c r="G213" s="2377"/>
      <c r="H213" s="2377"/>
      <c r="I213" s="2377"/>
      <c r="P213" s="2377"/>
      <c r="S213" s="3014"/>
      <c r="T213" s="3014"/>
    </row>
    <row r="214" spans="2:20" x14ac:dyDescent="0.45">
      <c r="B214" s="3008"/>
      <c r="C214" s="2377"/>
      <c r="D214" s="3008"/>
      <c r="E214" s="2377"/>
      <c r="F214" s="2377"/>
      <c r="G214" s="2377"/>
      <c r="H214" s="2377"/>
      <c r="I214" s="2377"/>
      <c r="P214" s="2377"/>
      <c r="S214" s="3014"/>
      <c r="T214" s="3014"/>
    </row>
    <row r="215" spans="2:20" x14ac:dyDescent="0.45">
      <c r="B215" s="3008"/>
      <c r="C215" s="2377"/>
      <c r="D215" s="3008"/>
      <c r="E215" s="2377"/>
      <c r="F215" s="2377"/>
      <c r="G215" s="2377"/>
      <c r="H215" s="2377"/>
      <c r="I215" s="2377"/>
      <c r="P215" s="2377"/>
      <c r="S215" s="3014"/>
      <c r="T215" s="3014"/>
    </row>
    <row r="216" spans="2:20" x14ac:dyDescent="0.45">
      <c r="B216" s="3008"/>
      <c r="C216" s="2377"/>
      <c r="D216" s="3008"/>
      <c r="E216" s="2377"/>
      <c r="F216" s="2377"/>
      <c r="G216" s="2377"/>
      <c r="H216" s="2377"/>
      <c r="I216" s="2377"/>
      <c r="P216" s="2377"/>
      <c r="S216" s="3014"/>
      <c r="T216" s="3014"/>
    </row>
    <row r="217" spans="2:20" x14ac:dyDescent="0.45">
      <c r="B217" s="3008"/>
      <c r="C217" s="2377"/>
      <c r="D217" s="3008"/>
      <c r="E217" s="2377"/>
      <c r="F217" s="2377"/>
      <c r="G217" s="2377"/>
      <c r="H217" s="2377"/>
      <c r="I217" s="2377"/>
      <c r="P217" s="2377"/>
      <c r="S217" s="3014"/>
      <c r="T217" s="3014"/>
    </row>
    <row r="218" spans="2:20" x14ac:dyDescent="0.45">
      <c r="B218" s="3008"/>
      <c r="C218" s="2377"/>
      <c r="D218" s="3008"/>
      <c r="E218" s="2377"/>
      <c r="F218" s="2377"/>
      <c r="G218" s="2377"/>
      <c r="H218" s="2377"/>
      <c r="I218" s="2377"/>
      <c r="P218" s="2377"/>
      <c r="S218" s="3014"/>
      <c r="T218" s="3014"/>
    </row>
    <row r="219" spans="2:20" x14ac:dyDescent="0.45">
      <c r="B219" s="3008"/>
      <c r="C219" s="2377"/>
      <c r="D219" s="3008"/>
      <c r="E219" s="2377"/>
      <c r="F219" s="2377"/>
      <c r="G219" s="2377"/>
      <c r="H219" s="2377"/>
      <c r="I219" s="2377"/>
      <c r="P219" s="2377"/>
      <c r="S219" s="3014"/>
      <c r="T219" s="3014"/>
    </row>
    <row r="220" spans="2:20" x14ac:dyDescent="0.45">
      <c r="B220" s="3008"/>
      <c r="C220" s="2377"/>
      <c r="D220" s="3008"/>
      <c r="E220" s="2377"/>
      <c r="F220" s="2377"/>
      <c r="G220" s="2377"/>
      <c r="H220" s="2377"/>
      <c r="I220" s="2377"/>
      <c r="P220" s="2377"/>
      <c r="S220" s="2377"/>
      <c r="T220" s="2377"/>
    </row>
    <row r="221" spans="2:20" x14ac:dyDescent="0.45">
      <c r="B221" s="3008"/>
      <c r="C221" s="2377"/>
      <c r="D221" s="3008"/>
      <c r="E221" s="2377"/>
      <c r="F221" s="2377"/>
      <c r="G221" s="2377"/>
      <c r="H221" s="2377"/>
      <c r="I221" s="2377"/>
      <c r="P221" s="2377"/>
      <c r="S221" s="2377"/>
      <c r="T221" s="2377"/>
    </row>
    <row r="222" spans="2:20" x14ac:dyDescent="0.45">
      <c r="B222" s="3008"/>
      <c r="C222" s="2377"/>
      <c r="D222" s="3008"/>
      <c r="E222" s="2377"/>
      <c r="F222" s="2377"/>
      <c r="G222" s="2377"/>
      <c r="H222" s="2377"/>
      <c r="I222" s="2377"/>
      <c r="P222" s="2377"/>
      <c r="S222" s="3014"/>
      <c r="T222" s="3014"/>
    </row>
    <row r="223" spans="2:20" x14ac:dyDescent="0.45">
      <c r="B223" s="3008"/>
      <c r="C223" s="2377"/>
      <c r="D223" s="3008"/>
      <c r="E223" s="2377"/>
      <c r="F223" s="2377"/>
      <c r="G223" s="2377"/>
      <c r="H223" s="2377"/>
      <c r="I223" s="2377"/>
      <c r="P223" s="2377"/>
      <c r="S223" s="3014"/>
      <c r="T223" s="3014"/>
    </row>
    <row r="224" spans="2:20" x14ac:dyDescent="0.45">
      <c r="B224" s="3008"/>
      <c r="C224" s="2377"/>
      <c r="D224" s="3008"/>
      <c r="E224" s="2377"/>
      <c r="F224" s="2377"/>
      <c r="G224" s="2377"/>
      <c r="H224" s="2377"/>
      <c r="I224" s="2377"/>
      <c r="P224" s="2377"/>
      <c r="S224" s="3014"/>
      <c r="T224" s="3014"/>
    </row>
    <row r="225" spans="2:20" x14ac:dyDescent="0.45">
      <c r="B225" s="3008"/>
      <c r="C225" s="2377"/>
      <c r="D225" s="3008"/>
      <c r="E225" s="2377"/>
      <c r="F225" s="2377"/>
      <c r="G225" s="2377"/>
      <c r="H225" s="2377"/>
      <c r="I225" s="2377"/>
      <c r="P225" s="2377"/>
      <c r="S225" s="3014"/>
      <c r="T225" s="3014"/>
    </row>
    <row r="226" spans="2:20" x14ac:dyDescent="0.45">
      <c r="B226" s="3008"/>
      <c r="C226" s="2377"/>
      <c r="D226" s="3008"/>
      <c r="E226" s="2377"/>
      <c r="F226" s="2377"/>
      <c r="G226" s="2377"/>
      <c r="H226" s="2377"/>
      <c r="I226" s="2377"/>
      <c r="P226" s="2377"/>
      <c r="S226" s="3014"/>
      <c r="T226" s="3014"/>
    </row>
    <row r="227" spans="2:20" x14ac:dyDescent="0.45">
      <c r="B227" s="3008"/>
      <c r="C227" s="2377"/>
      <c r="D227" s="3008"/>
      <c r="E227" s="2377"/>
      <c r="F227" s="2377"/>
      <c r="G227" s="2377"/>
      <c r="H227" s="2377"/>
      <c r="I227" s="2377"/>
      <c r="P227" s="2377"/>
      <c r="S227" s="3014"/>
      <c r="T227" s="3014"/>
    </row>
    <row r="228" spans="2:20" x14ac:dyDescent="0.45">
      <c r="B228" s="3008"/>
      <c r="C228" s="2377"/>
      <c r="D228" s="3008"/>
      <c r="E228" s="2377"/>
      <c r="F228" s="2377"/>
      <c r="G228" s="2377"/>
      <c r="H228" s="2377"/>
      <c r="I228" s="2377"/>
      <c r="P228" s="2377"/>
      <c r="S228" s="3014"/>
      <c r="T228" s="3014"/>
    </row>
    <row r="229" spans="2:20" x14ac:dyDescent="0.45">
      <c r="B229" s="3008"/>
      <c r="C229" s="2377"/>
      <c r="D229" s="3008"/>
      <c r="E229" s="2377"/>
      <c r="F229" s="2377"/>
      <c r="G229" s="2377"/>
      <c r="H229" s="2377"/>
      <c r="I229" s="2377"/>
      <c r="P229" s="2377"/>
      <c r="S229" s="3014"/>
      <c r="T229" s="3014"/>
    </row>
    <row r="230" spans="2:20" x14ac:dyDescent="0.45">
      <c r="B230" s="3008"/>
      <c r="C230" s="2377"/>
      <c r="D230" s="3008"/>
      <c r="E230" s="2377"/>
      <c r="F230" s="2377"/>
      <c r="G230" s="2377"/>
      <c r="H230" s="2377"/>
      <c r="I230" s="2377"/>
      <c r="P230" s="2377"/>
      <c r="S230" s="3014"/>
      <c r="T230" s="3014"/>
    </row>
    <row r="231" spans="2:20" x14ac:dyDescent="0.45">
      <c r="E231" s="2377"/>
      <c r="F231" s="2377"/>
      <c r="G231" s="2377"/>
      <c r="H231" s="2377"/>
      <c r="I231" s="2377"/>
      <c r="P231" s="2377"/>
      <c r="S231" s="3014"/>
      <c r="T231" s="3014"/>
    </row>
    <row r="232" spans="2:20" x14ac:dyDescent="0.45">
      <c r="G232" s="2377"/>
      <c r="P232" s="2377"/>
      <c r="S232" s="2377"/>
      <c r="T232" s="2377"/>
    </row>
    <row r="233" spans="2:20" x14ac:dyDescent="0.45">
      <c r="B233" s="3009"/>
      <c r="C233" s="2377"/>
      <c r="D233" s="3008"/>
      <c r="E233" s="2377"/>
      <c r="F233" s="2377"/>
      <c r="G233" s="2377"/>
      <c r="H233" s="2377"/>
      <c r="I233" s="2377"/>
      <c r="P233" s="2377"/>
      <c r="S233" s="2377"/>
      <c r="T233" s="2377"/>
    </row>
    <row r="234" spans="2:20" x14ac:dyDescent="0.45">
      <c r="C234" s="2377"/>
      <c r="D234" s="2377"/>
      <c r="E234" s="3009"/>
      <c r="F234" s="3009"/>
      <c r="G234" s="2377"/>
      <c r="H234" s="3009"/>
      <c r="I234" s="3009"/>
      <c r="P234" s="2377"/>
      <c r="S234" s="2995"/>
      <c r="T234" s="2995"/>
    </row>
    <row r="235" spans="2:20" x14ac:dyDescent="0.45">
      <c r="C235" s="2377"/>
      <c r="D235" s="2377"/>
      <c r="E235" s="3009"/>
      <c r="F235" s="3009"/>
      <c r="G235" s="2377"/>
      <c r="H235" s="3009"/>
      <c r="I235" s="3009"/>
      <c r="P235" s="2377"/>
      <c r="S235" s="2995"/>
      <c r="T235" s="2995"/>
    </row>
    <row r="236" spans="2:20" x14ac:dyDescent="0.45">
      <c r="B236" s="3008"/>
      <c r="C236" s="2377"/>
      <c r="D236" s="2377"/>
      <c r="E236" s="2377"/>
      <c r="F236" s="2377"/>
      <c r="G236" s="2377"/>
      <c r="H236" s="2377"/>
      <c r="I236" s="2377"/>
      <c r="P236" s="2377"/>
      <c r="S236" s="2995"/>
      <c r="T236" s="2995"/>
    </row>
    <row r="237" spans="2:20" x14ac:dyDescent="0.45">
      <c r="C237" s="2377"/>
      <c r="D237" s="2377"/>
      <c r="E237" s="2377"/>
      <c r="F237" s="2377"/>
      <c r="G237" s="2377"/>
      <c r="H237" s="2377"/>
      <c r="I237" s="2377"/>
      <c r="P237" s="2377"/>
      <c r="S237" s="2995"/>
      <c r="T237" s="2995"/>
    </row>
    <row r="238" spans="2:20" x14ac:dyDescent="0.45">
      <c r="B238" s="3009"/>
      <c r="C238" s="3011"/>
      <c r="D238" s="3010"/>
      <c r="E238" s="3010"/>
      <c r="F238" s="3010"/>
      <c r="G238" s="3010"/>
      <c r="H238" s="3010"/>
      <c r="I238" s="3010"/>
      <c r="P238" s="2377"/>
      <c r="S238" s="2995"/>
      <c r="T238" s="2995"/>
    </row>
    <row r="239" spans="2:20" x14ac:dyDescent="0.45">
      <c r="B239" s="2377"/>
      <c r="C239" s="2377"/>
      <c r="D239" s="3009"/>
      <c r="E239" s="3013"/>
      <c r="F239" s="3013"/>
      <c r="G239" s="3013"/>
      <c r="H239" s="3013"/>
      <c r="I239" s="3013"/>
      <c r="P239" s="2377"/>
      <c r="S239" s="2995"/>
      <c r="T239" s="2995"/>
    </row>
    <row r="240" spans="2:20" x14ac:dyDescent="0.45">
      <c r="B240" s="2343"/>
      <c r="C240" s="2269"/>
      <c r="D240" s="2313"/>
      <c r="P240" s="2377"/>
      <c r="S240" s="2995"/>
      <c r="T240" s="2995"/>
    </row>
    <row r="241" spans="2:20" x14ac:dyDescent="0.45">
      <c r="B241" s="3008"/>
      <c r="C241" s="2377"/>
      <c r="D241" s="3008"/>
      <c r="E241" s="2377"/>
      <c r="F241" s="2377"/>
      <c r="G241" s="2377"/>
      <c r="H241" s="2377"/>
      <c r="I241" s="2377"/>
      <c r="P241" s="2377"/>
      <c r="S241" s="2995"/>
      <c r="T241" s="2995"/>
    </row>
    <row r="242" spans="2:20" x14ac:dyDescent="0.45">
      <c r="B242" s="3008"/>
      <c r="C242" s="2377"/>
      <c r="D242" s="3008"/>
      <c r="E242" s="2377"/>
      <c r="F242" s="2377"/>
      <c r="G242" s="2377"/>
      <c r="H242" s="2377"/>
      <c r="I242" s="2377"/>
      <c r="P242" s="2377"/>
      <c r="S242" s="2995"/>
      <c r="T242" s="2995"/>
    </row>
    <row r="243" spans="2:20" x14ac:dyDescent="0.45">
      <c r="B243" s="3008"/>
      <c r="C243" s="2377"/>
      <c r="D243" s="3008"/>
      <c r="E243" s="2377"/>
      <c r="F243" s="2377"/>
      <c r="G243" s="2377"/>
      <c r="H243" s="2377"/>
      <c r="I243" s="2377"/>
      <c r="P243" s="2377"/>
      <c r="S243" s="2995"/>
      <c r="T243" s="2995"/>
    </row>
    <row r="244" spans="2:20" x14ac:dyDescent="0.45">
      <c r="B244" s="3008"/>
      <c r="C244" s="2377"/>
      <c r="D244" s="3008"/>
      <c r="E244" s="2377"/>
      <c r="F244" s="2377"/>
      <c r="G244" s="2377"/>
      <c r="H244" s="2377"/>
      <c r="I244" s="2377"/>
      <c r="P244" s="2377"/>
      <c r="S244" s="2995"/>
      <c r="T244" s="2995"/>
    </row>
    <row r="245" spans="2:20" x14ac:dyDescent="0.45">
      <c r="B245" s="3008"/>
      <c r="C245" s="2377"/>
      <c r="D245" s="3008"/>
      <c r="E245" s="2377"/>
      <c r="F245" s="2377"/>
      <c r="G245" s="2377"/>
      <c r="H245" s="2377"/>
      <c r="I245" s="2377"/>
      <c r="P245" s="2377"/>
      <c r="S245" s="2995"/>
      <c r="T245" s="2995"/>
    </row>
    <row r="246" spans="2:20" x14ac:dyDescent="0.45">
      <c r="B246" s="3008"/>
      <c r="C246" s="2377"/>
      <c r="D246" s="3008"/>
      <c r="E246" s="2377"/>
      <c r="F246" s="2377"/>
      <c r="G246" s="2377"/>
      <c r="H246" s="2377"/>
      <c r="I246" s="2377"/>
      <c r="P246" s="2377"/>
      <c r="S246" s="2995"/>
      <c r="T246" s="2995"/>
    </row>
    <row r="247" spans="2:20" x14ac:dyDescent="0.45">
      <c r="B247" s="3008"/>
      <c r="C247" s="2377"/>
      <c r="D247" s="3008"/>
      <c r="E247" s="2377"/>
      <c r="F247" s="2377"/>
      <c r="G247" s="2377"/>
      <c r="H247" s="2377"/>
      <c r="I247" s="2377"/>
      <c r="P247" s="2377"/>
      <c r="S247" s="2995"/>
      <c r="T247" s="2995"/>
    </row>
    <row r="248" spans="2:20" x14ac:dyDescent="0.45">
      <c r="B248" s="3008"/>
      <c r="C248" s="2377"/>
      <c r="D248" s="3008"/>
      <c r="E248" s="2377"/>
      <c r="F248" s="2377"/>
      <c r="G248" s="2377"/>
      <c r="H248" s="2377"/>
      <c r="I248" s="2377"/>
      <c r="P248" s="2377"/>
      <c r="S248" s="2995"/>
      <c r="T248" s="2995"/>
    </row>
    <row r="249" spans="2:20" x14ac:dyDescent="0.45">
      <c r="B249" s="3008"/>
      <c r="C249" s="2377"/>
      <c r="D249" s="3008"/>
      <c r="E249" s="2377"/>
      <c r="F249" s="2377"/>
      <c r="G249" s="2377"/>
      <c r="H249" s="2377"/>
      <c r="I249" s="2377"/>
      <c r="P249" s="2377"/>
      <c r="S249" s="2995"/>
      <c r="T249" s="2995"/>
    </row>
    <row r="250" spans="2:20" x14ac:dyDescent="0.45">
      <c r="B250" s="3008"/>
      <c r="C250" s="2377"/>
      <c r="D250" s="3008"/>
      <c r="E250" s="2377"/>
      <c r="F250" s="2377"/>
      <c r="G250" s="2377"/>
      <c r="H250" s="2377"/>
      <c r="I250" s="2377"/>
      <c r="P250" s="2377"/>
      <c r="S250" s="2995"/>
      <c r="T250" s="2995"/>
    </row>
    <row r="251" spans="2:20" x14ac:dyDescent="0.45">
      <c r="B251" s="3008"/>
      <c r="C251" s="2377"/>
      <c r="D251" s="3008"/>
      <c r="E251" s="2377"/>
      <c r="F251" s="2377"/>
      <c r="G251" s="2377"/>
      <c r="H251" s="2377"/>
      <c r="I251" s="2377"/>
      <c r="P251" s="2377"/>
      <c r="S251" s="2995"/>
      <c r="T251" s="2995"/>
    </row>
    <row r="252" spans="2:20" x14ac:dyDescent="0.45">
      <c r="B252" s="3008"/>
      <c r="C252" s="2377"/>
      <c r="D252" s="3008"/>
      <c r="E252" s="2377"/>
      <c r="F252" s="2377"/>
      <c r="G252" s="2377"/>
      <c r="H252" s="2377"/>
      <c r="I252" s="2377"/>
      <c r="P252" s="2377"/>
      <c r="S252" s="2995"/>
      <c r="T252" s="2995"/>
    </row>
    <row r="253" spans="2:20" x14ac:dyDescent="0.45">
      <c r="B253" s="3008"/>
      <c r="C253" s="2377"/>
      <c r="D253" s="3008"/>
      <c r="E253" s="2377"/>
      <c r="F253" s="2377"/>
      <c r="G253" s="2377"/>
      <c r="H253" s="2377"/>
      <c r="I253" s="2377"/>
      <c r="P253" s="2377"/>
      <c r="S253" s="2995"/>
      <c r="T253" s="2995"/>
    </row>
    <row r="254" spans="2:20" x14ac:dyDescent="0.45">
      <c r="B254" s="3008"/>
      <c r="C254" s="2377"/>
      <c r="D254" s="3008"/>
      <c r="E254" s="2377"/>
      <c r="F254" s="2377"/>
      <c r="G254" s="2377"/>
      <c r="H254" s="2377"/>
      <c r="I254" s="2377"/>
      <c r="O254" s="2995"/>
      <c r="P254" s="2377"/>
      <c r="S254" s="2995"/>
      <c r="T254" s="2995"/>
    </row>
    <row r="255" spans="2:20" x14ac:dyDescent="0.45">
      <c r="B255" s="3008"/>
      <c r="C255" s="2377"/>
      <c r="D255" s="3008"/>
      <c r="E255" s="2377"/>
      <c r="F255" s="2377"/>
      <c r="G255" s="2377"/>
      <c r="H255" s="2377"/>
      <c r="I255" s="2377"/>
      <c r="M255" s="2993"/>
      <c r="N255" s="2993"/>
      <c r="S255" s="2995"/>
      <c r="T255" s="2995"/>
    </row>
    <row r="256" spans="2:20" x14ac:dyDescent="0.45">
      <c r="B256" s="3008"/>
      <c r="C256" s="2377"/>
      <c r="D256" s="3008"/>
      <c r="E256" s="2377"/>
      <c r="F256" s="2377"/>
      <c r="G256" s="2377"/>
      <c r="H256" s="2377"/>
      <c r="I256" s="2377"/>
      <c r="M256" s="2993"/>
      <c r="N256" s="2993"/>
      <c r="O256" s="2996"/>
      <c r="P256" s="2995"/>
      <c r="S256" s="2995"/>
      <c r="T256" s="2995"/>
    </row>
    <row r="257" spans="2:20" x14ac:dyDescent="0.45">
      <c r="B257" s="3008"/>
      <c r="C257" s="2377"/>
      <c r="D257" s="3008"/>
      <c r="E257" s="2377"/>
      <c r="F257" s="2377"/>
      <c r="G257" s="2377"/>
      <c r="H257" s="2377"/>
      <c r="I257" s="2377"/>
      <c r="L257" s="2993"/>
      <c r="O257" s="2995"/>
      <c r="S257" s="2995"/>
      <c r="T257" s="2995"/>
    </row>
    <row r="258" spans="2:20" x14ac:dyDescent="0.45">
      <c r="B258" s="3008"/>
      <c r="C258" s="2377"/>
      <c r="D258" s="3008"/>
      <c r="E258" s="2377"/>
      <c r="F258" s="2377"/>
      <c r="G258" s="2377"/>
      <c r="H258" s="2377"/>
      <c r="I258" s="2377"/>
      <c r="L258" s="2993"/>
      <c r="O258" s="2995"/>
      <c r="P258" s="2993"/>
      <c r="S258" s="2995"/>
      <c r="T258" s="2995"/>
    </row>
    <row r="259" spans="2:20" x14ac:dyDescent="0.45">
      <c r="B259" s="3008"/>
      <c r="C259" s="2377"/>
      <c r="D259" s="3008"/>
      <c r="E259" s="2377"/>
      <c r="F259" s="2377"/>
      <c r="G259" s="2377"/>
      <c r="H259" s="2377"/>
      <c r="I259" s="2377"/>
      <c r="O259" s="2995"/>
      <c r="S259" s="2995"/>
      <c r="T259" s="2995"/>
    </row>
    <row r="260" spans="2:20" x14ac:dyDescent="0.45">
      <c r="B260" s="3008"/>
      <c r="C260" s="2377"/>
      <c r="D260" s="3008"/>
      <c r="E260" s="2377"/>
      <c r="F260" s="2377"/>
      <c r="G260" s="2377"/>
      <c r="H260" s="2377"/>
      <c r="I260" s="2377"/>
      <c r="O260" s="2995"/>
      <c r="S260" s="2995"/>
      <c r="T260" s="2995"/>
    </row>
    <row r="261" spans="2:20" x14ac:dyDescent="0.45">
      <c r="B261" s="3008"/>
      <c r="C261" s="2377"/>
      <c r="D261" s="3008"/>
      <c r="E261" s="2377"/>
      <c r="F261" s="2377"/>
      <c r="G261" s="2377"/>
      <c r="H261" s="2377"/>
      <c r="I261" s="2377"/>
      <c r="O261" s="2995"/>
      <c r="S261" s="2995"/>
      <c r="T261" s="2995"/>
    </row>
    <row r="262" spans="2:20" x14ac:dyDescent="0.45">
      <c r="B262" s="3008"/>
      <c r="C262" s="2377"/>
      <c r="D262" s="3008"/>
      <c r="E262" s="2377"/>
      <c r="F262" s="2377"/>
      <c r="G262" s="2377"/>
      <c r="H262" s="2377"/>
      <c r="I262" s="2377"/>
      <c r="O262" s="2995"/>
      <c r="S262" s="2995"/>
      <c r="T262" s="2995"/>
    </row>
    <row r="263" spans="2:20" x14ac:dyDescent="0.45">
      <c r="B263" s="3008"/>
      <c r="C263" s="2377"/>
      <c r="D263" s="3008"/>
      <c r="E263" s="2377"/>
      <c r="F263" s="2377"/>
      <c r="G263" s="2377"/>
      <c r="H263" s="2377"/>
      <c r="I263" s="2377"/>
      <c r="O263" s="2995"/>
      <c r="P263" s="2995"/>
      <c r="S263" s="2995"/>
      <c r="T263" s="2995"/>
    </row>
    <row r="264" spans="2:20" x14ac:dyDescent="0.45">
      <c r="B264" s="3008"/>
      <c r="C264" s="2377"/>
      <c r="D264" s="3008"/>
      <c r="E264" s="2377"/>
      <c r="F264" s="2377"/>
      <c r="G264" s="2377"/>
      <c r="H264" s="2377"/>
      <c r="I264" s="2377"/>
      <c r="O264" s="2995"/>
      <c r="S264" s="2995"/>
      <c r="T264" s="2995"/>
    </row>
    <row r="265" spans="2:20" x14ac:dyDescent="0.45">
      <c r="B265" s="3008"/>
      <c r="C265" s="2377"/>
      <c r="D265" s="3008"/>
      <c r="E265" s="2377"/>
      <c r="F265" s="2377"/>
      <c r="G265" s="2377"/>
      <c r="H265" s="2377"/>
      <c r="I265" s="2377"/>
      <c r="O265" s="2995"/>
      <c r="S265" s="2995"/>
      <c r="T265" s="2995"/>
    </row>
    <row r="266" spans="2:20" x14ac:dyDescent="0.45">
      <c r="B266" s="3008"/>
      <c r="C266" s="2377"/>
      <c r="D266" s="3008"/>
      <c r="E266" s="2377"/>
      <c r="F266" s="2377"/>
      <c r="G266" s="2377"/>
      <c r="H266" s="2377"/>
      <c r="I266" s="2377"/>
      <c r="O266" s="2995"/>
      <c r="S266" s="2995"/>
      <c r="T266" s="2995"/>
    </row>
    <row r="267" spans="2:20" x14ac:dyDescent="0.45">
      <c r="B267" s="3008"/>
      <c r="C267" s="2377"/>
      <c r="D267" s="3008"/>
      <c r="E267" s="2377"/>
      <c r="F267" s="2377"/>
      <c r="G267" s="2377"/>
      <c r="H267" s="2377"/>
      <c r="I267" s="2377"/>
      <c r="O267" s="2995"/>
      <c r="S267" s="2377"/>
      <c r="T267" s="2377"/>
    </row>
    <row r="268" spans="2:20" x14ac:dyDescent="0.45">
      <c r="B268" s="3008"/>
      <c r="C268" s="2377"/>
      <c r="D268" s="3008"/>
      <c r="E268" s="2377"/>
      <c r="F268" s="2377"/>
      <c r="G268" s="2377"/>
      <c r="H268" s="2377"/>
      <c r="I268" s="2377"/>
      <c r="O268" s="2995"/>
      <c r="S268" s="2377"/>
      <c r="T268" s="2377"/>
    </row>
    <row r="269" spans="2:20" x14ac:dyDescent="0.45">
      <c r="B269" s="3008"/>
      <c r="C269" s="2377"/>
      <c r="D269" s="3008"/>
      <c r="E269" s="2377"/>
      <c r="F269" s="2377"/>
      <c r="G269" s="2377"/>
      <c r="H269" s="2377"/>
      <c r="I269" s="2377"/>
      <c r="O269" s="2995"/>
      <c r="P269" s="2995"/>
      <c r="S269" s="2377"/>
      <c r="T269" s="2377"/>
    </row>
    <row r="270" spans="2:20" x14ac:dyDescent="0.45">
      <c r="B270" s="3008"/>
      <c r="C270" s="2377"/>
      <c r="D270" s="3008"/>
      <c r="E270" s="2377"/>
      <c r="F270" s="2377"/>
      <c r="G270" s="2377"/>
      <c r="H270" s="2377"/>
      <c r="I270" s="2377"/>
      <c r="O270" s="2995"/>
      <c r="S270" s="2377"/>
      <c r="T270" s="2377"/>
    </row>
    <row r="271" spans="2:20" x14ac:dyDescent="0.45">
      <c r="B271" s="3008"/>
      <c r="C271" s="2377"/>
      <c r="D271" s="3008"/>
      <c r="E271" s="2377"/>
      <c r="F271" s="2377"/>
      <c r="G271" s="2377"/>
      <c r="H271" s="2377"/>
      <c r="I271" s="2377"/>
      <c r="O271" s="2995"/>
      <c r="S271" s="2377"/>
      <c r="T271" s="2377"/>
    </row>
    <row r="272" spans="2:20" x14ac:dyDescent="0.45">
      <c r="B272" s="3008"/>
      <c r="C272" s="2377"/>
      <c r="D272" s="3008"/>
      <c r="E272" s="2377"/>
      <c r="F272" s="2377"/>
      <c r="G272" s="2377"/>
      <c r="H272" s="2377"/>
      <c r="I272" s="2377"/>
      <c r="O272" s="2995"/>
      <c r="S272" s="2377"/>
      <c r="T272" s="2377"/>
    </row>
    <row r="273" spans="2:21" x14ac:dyDescent="0.45">
      <c r="B273" s="3008"/>
      <c r="C273" s="2377"/>
      <c r="D273" s="3008"/>
      <c r="E273" s="2377"/>
      <c r="F273" s="2377"/>
      <c r="G273" s="2377"/>
      <c r="H273" s="2377"/>
      <c r="I273" s="2377"/>
      <c r="O273" s="2995"/>
      <c r="S273" s="2377"/>
      <c r="T273" s="2377"/>
    </row>
    <row r="274" spans="2:21" x14ac:dyDescent="0.45">
      <c r="B274" s="3008"/>
      <c r="C274" s="2377"/>
      <c r="D274" s="3008"/>
      <c r="E274" s="2377"/>
      <c r="F274" s="2377"/>
      <c r="G274" s="2377"/>
      <c r="H274" s="2377"/>
      <c r="I274" s="2377"/>
      <c r="O274" s="2995"/>
      <c r="S274" s="2377"/>
      <c r="T274" s="2377"/>
    </row>
    <row r="275" spans="2:21" x14ac:dyDescent="0.45">
      <c r="B275" s="3008"/>
      <c r="C275" s="2377"/>
      <c r="D275" s="3008"/>
      <c r="E275" s="2377"/>
      <c r="F275" s="2377"/>
      <c r="G275" s="2377"/>
      <c r="H275" s="2377"/>
      <c r="I275" s="2377"/>
      <c r="O275" s="2995"/>
      <c r="P275" s="2995"/>
      <c r="S275" s="2377"/>
      <c r="T275" s="2377"/>
    </row>
    <row r="276" spans="2:21" x14ac:dyDescent="0.45">
      <c r="B276" s="3008"/>
      <c r="C276" s="2377"/>
      <c r="D276" s="3008"/>
      <c r="E276" s="2377"/>
      <c r="F276" s="2377"/>
      <c r="G276" s="2377"/>
      <c r="H276" s="2377"/>
      <c r="I276" s="2377"/>
      <c r="O276" s="2995"/>
      <c r="S276" s="2377"/>
      <c r="T276" s="2377"/>
    </row>
    <row r="277" spans="2:21" x14ac:dyDescent="0.45">
      <c r="B277" s="3008"/>
      <c r="C277" s="2377"/>
      <c r="D277" s="3008"/>
      <c r="E277" s="2377"/>
      <c r="F277" s="2377"/>
      <c r="G277" s="2377"/>
      <c r="H277" s="2377"/>
      <c r="I277" s="2377"/>
      <c r="O277" s="2995"/>
      <c r="S277" s="2377"/>
      <c r="T277" s="2377"/>
    </row>
    <row r="278" spans="2:21" x14ac:dyDescent="0.45">
      <c r="B278" s="3008"/>
      <c r="C278" s="2377"/>
      <c r="D278" s="3008"/>
      <c r="E278" s="2377"/>
      <c r="F278" s="2377"/>
      <c r="G278" s="2377"/>
      <c r="H278" s="2377"/>
      <c r="I278" s="2377"/>
      <c r="O278" s="2995"/>
    </row>
    <row r="279" spans="2:21" x14ac:dyDescent="0.45">
      <c r="B279" s="3008"/>
      <c r="C279" s="2377"/>
      <c r="D279" s="3008"/>
      <c r="E279" s="2377"/>
      <c r="F279" s="2377"/>
      <c r="G279" s="2377"/>
      <c r="H279" s="2377"/>
      <c r="I279" s="2377"/>
      <c r="O279" s="2995"/>
      <c r="Q279" s="2995"/>
      <c r="R279" s="2995"/>
      <c r="S279" s="2995"/>
      <c r="T279" s="2995"/>
    </row>
    <row r="280" spans="2:21" x14ac:dyDescent="0.45">
      <c r="B280" s="3008"/>
      <c r="C280" s="2377"/>
      <c r="D280" s="3008"/>
      <c r="E280" s="2377"/>
      <c r="F280" s="2377"/>
      <c r="G280" s="2377"/>
      <c r="H280" s="2377"/>
      <c r="I280" s="2377"/>
      <c r="J280" s="2995"/>
      <c r="K280" s="2995"/>
      <c r="O280" s="2995"/>
      <c r="U280" s="2993"/>
    </row>
    <row r="281" spans="2:21" x14ac:dyDescent="0.45">
      <c r="B281" s="3008"/>
      <c r="C281" s="2377"/>
      <c r="D281" s="3008"/>
      <c r="E281" s="2377"/>
      <c r="F281" s="2377"/>
      <c r="G281" s="2377"/>
      <c r="H281" s="2377"/>
      <c r="I281" s="2377"/>
      <c r="O281" s="2995"/>
      <c r="P281" s="2995"/>
      <c r="Q281" s="2993"/>
      <c r="R281" s="2996"/>
      <c r="S281" s="2993"/>
      <c r="T281" s="2993"/>
      <c r="U281" s="2993"/>
    </row>
    <row r="282" spans="2:21" x14ac:dyDescent="0.45">
      <c r="B282" s="3008"/>
      <c r="C282" s="2377"/>
      <c r="D282" s="3008"/>
      <c r="E282" s="2377"/>
      <c r="F282" s="2377"/>
      <c r="G282" s="2377"/>
      <c r="H282" s="2377"/>
      <c r="I282" s="2377"/>
      <c r="J282" s="2993"/>
      <c r="K282" s="2993"/>
      <c r="O282" s="2995"/>
      <c r="R282" s="2995"/>
    </row>
    <row r="283" spans="2:21" x14ac:dyDescent="0.45">
      <c r="B283" s="3008"/>
      <c r="C283" s="2377"/>
      <c r="D283" s="3008"/>
      <c r="E283" s="2377"/>
      <c r="F283" s="2377"/>
      <c r="G283" s="2377"/>
      <c r="H283" s="2377"/>
      <c r="I283" s="2377"/>
      <c r="J283" s="3012"/>
      <c r="K283" s="3012"/>
      <c r="O283" s="2995"/>
      <c r="R283" s="2995"/>
    </row>
    <row r="284" spans="2:21" x14ac:dyDescent="0.45">
      <c r="B284" s="3008"/>
      <c r="C284" s="2377"/>
      <c r="D284" s="3008"/>
      <c r="E284" s="2377"/>
      <c r="F284" s="2377"/>
      <c r="G284" s="2377"/>
      <c r="H284" s="2377"/>
      <c r="I284" s="2377"/>
      <c r="J284" s="3008"/>
      <c r="K284" s="3008"/>
      <c r="O284" s="2995"/>
      <c r="R284" s="2995"/>
    </row>
    <row r="285" spans="2:21" x14ac:dyDescent="0.45">
      <c r="B285" s="3008"/>
      <c r="C285" s="2377"/>
      <c r="D285" s="3008"/>
      <c r="E285" s="2377"/>
      <c r="F285" s="2377"/>
      <c r="G285" s="2377"/>
      <c r="H285" s="2377"/>
      <c r="I285" s="2377"/>
      <c r="J285" s="3008"/>
      <c r="K285" s="3008"/>
      <c r="O285" s="2995"/>
      <c r="R285" s="2995"/>
    </row>
    <row r="286" spans="2:21" x14ac:dyDescent="0.45">
      <c r="B286" s="3008"/>
      <c r="C286" s="2377"/>
      <c r="D286" s="3008"/>
      <c r="E286" s="2377"/>
      <c r="F286" s="2377"/>
      <c r="G286" s="2377"/>
      <c r="H286" s="2377"/>
      <c r="I286" s="2377"/>
      <c r="J286" s="3008"/>
      <c r="K286" s="3008"/>
      <c r="O286" s="2995"/>
      <c r="Q286" s="2995"/>
    </row>
    <row r="287" spans="2:21" x14ac:dyDescent="0.45">
      <c r="B287" s="3008"/>
      <c r="C287" s="2377"/>
      <c r="D287" s="3008"/>
      <c r="E287" s="2377"/>
      <c r="F287" s="2377"/>
      <c r="G287" s="2377"/>
      <c r="H287" s="2377"/>
      <c r="I287" s="2377"/>
      <c r="J287" s="3008"/>
      <c r="K287" s="3008"/>
      <c r="O287" s="2995"/>
      <c r="P287" s="2995"/>
      <c r="R287" s="2995"/>
    </row>
    <row r="288" spans="2:21" x14ac:dyDescent="0.45">
      <c r="B288" s="3008"/>
      <c r="C288" s="2377"/>
      <c r="D288" s="3008"/>
      <c r="E288" s="2377"/>
      <c r="F288" s="2377"/>
      <c r="G288" s="2377"/>
      <c r="H288" s="2377"/>
      <c r="I288" s="2377"/>
      <c r="J288" s="3008"/>
      <c r="K288" s="3008"/>
      <c r="O288" s="2995"/>
      <c r="R288" s="2995"/>
    </row>
    <row r="289" spans="2:18" x14ac:dyDescent="0.45">
      <c r="B289" s="3008"/>
      <c r="C289" s="2377"/>
      <c r="D289" s="3008"/>
      <c r="E289" s="2377"/>
      <c r="F289" s="2377"/>
      <c r="G289" s="2377"/>
      <c r="H289" s="2377"/>
      <c r="I289" s="2377"/>
      <c r="J289" s="3008"/>
      <c r="K289" s="3008"/>
      <c r="O289" s="2995"/>
      <c r="R289" s="2995"/>
    </row>
    <row r="290" spans="2:18" x14ac:dyDescent="0.45">
      <c r="B290" s="3008"/>
      <c r="C290" s="2377"/>
      <c r="D290" s="3008"/>
      <c r="E290" s="2377"/>
      <c r="F290" s="2377"/>
      <c r="G290" s="2377"/>
      <c r="H290" s="2377"/>
      <c r="I290" s="2377"/>
      <c r="J290" s="3008"/>
      <c r="K290" s="3008"/>
      <c r="O290" s="2995"/>
      <c r="R290" s="2995"/>
    </row>
    <row r="291" spans="2:18" x14ac:dyDescent="0.45">
      <c r="B291" s="3008"/>
      <c r="C291" s="2377"/>
      <c r="D291" s="3008"/>
      <c r="E291" s="2377"/>
      <c r="F291" s="2377"/>
      <c r="G291" s="2377"/>
      <c r="H291" s="2377"/>
      <c r="I291" s="2377"/>
      <c r="J291" s="3008"/>
      <c r="K291" s="3008"/>
      <c r="O291" s="2995"/>
      <c r="R291" s="2995"/>
    </row>
    <row r="292" spans="2:18" x14ac:dyDescent="0.45">
      <c r="B292" s="3008"/>
      <c r="C292" s="2377"/>
      <c r="D292" s="3008"/>
      <c r="E292" s="2377"/>
      <c r="F292" s="2377"/>
      <c r="G292" s="2377"/>
      <c r="H292" s="2377"/>
      <c r="I292" s="2377"/>
      <c r="J292" s="3008"/>
      <c r="K292" s="3008"/>
      <c r="O292" s="2995"/>
      <c r="Q292" s="2995"/>
    </row>
    <row r="293" spans="2:18" x14ac:dyDescent="0.45">
      <c r="B293" s="3008"/>
      <c r="C293" s="2377"/>
      <c r="D293" s="3008"/>
      <c r="E293" s="2377"/>
      <c r="F293" s="2377"/>
      <c r="G293" s="2377"/>
      <c r="H293" s="2377"/>
      <c r="I293" s="2377"/>
      <c r="J293" s="3008"/>
      <c r="K293" s="3008"/>
      <c r="O293" s="2995"/>
      <c r="P293" s="2995"/>
      <c r="R293" s="2995"/>
    </row>
    <row r="294" spans="2:18" x14ac:dyDescent="0.45">
      <c r="B294" s="3008"/>
      <c r="C294" s="2377"/>
      <c r="D294" s="3008"/>
      <c r="E294" s="2377"/>
      <c r="F294" s="2377"/>
      <c r="G294" s="2377"/>
      <c r="H294" s="2377"/>
      <c r="I294" s="2377"/>
      <c r="J294" s="3008"/>
      <c r="K294" s="3008"/>
      <c r="O294" s="2995"/>
      <c r="R294" s="2995"/>
    </row>
    <row r="295" spans="2:18" x14ac:dyDescent="0.45">
      <c r="B295" s="3008"/>
      <c r="C295" s="2377"/>
      <c r="D295" s="3008"/>
      <c r="E295" s="2377"/>
      <c r="F295" s="2377"/>
      <c r="G295" s="2377"/>
      <c r="H295" s="2377"/>
      <c r="I295" s="2377"/>
      <c r="J295" s="3008"/>
      <c r="K295" s="3008"/>
      <c r="O295" s="2995"/>
      <c r="R295" s="2995"/>
    </row>
    <row r="296" spans="2:18" x14ac:dyDescent="0.45">
      <c r="B296" s="3008"/>
      <c r="C296" s="2377"/>
      <c r="D296" s="3008"/>
      <c r="E296" s="2377"/>
      <c r="F296" s="2377"/>
      <c r="G296" s="2377"/>
      <c r="H296" s="2377"/>
      <c r="I296" s="2377"/>
      <c r="J296" s="3008"/>
      <c r="K296" s="3008"/>
      <c r="O296" s="2995"/>
      <c r="R296" s="2995"/>
    </row>
    <row r="297" spans="2:18" x14ac:dyDescent="0.45">
      <c r="B297" s="3008"/>
      <c r="C297" s="2377"/>
      <c r="D297" s="3008"/>
      <c r="E297" s="2377"/>
      <c r="F297" s="2377"/>
      <c r="G297" s="2377"/>
      <c r="H297" s="2377"/>
      <c r="I297" s="2377"/>
      <c r="J297" s="3008"/>
      <c r="K297" s="3008"/>
      <c r="O297" s="2995"/>
      <c r="R297" s="2995"/>
    </row>
    <row r="298" spans="2:18" x14ac:dyDescent="0.45">
      <c r="B298" s="3008"/>
      <c r="C298" s="2377"/>
      <c r="D298" s="3008"/>
      <c r="E298" s="2377"/>
      <c r="F298" s="2377"/>
      <c r="G298" s="2377"/>
      <c r="H298" s="2377"/>
      <c r="I298" s="2377"/>
      <c r="J298" s="3008"/>
      <c r="K298" s="3008"/>
      <c r="O298" s="2995"/>
      <c r="Q298" s="2995"/>
      <c r="R298" s="2995"/>
    </row>
    <row r="299" spans="2:18" x14ac:dyDescent="0.45">
      <c r="B299" s="3008"/>
      <c r="C299" s="2377"/>
      <c r="D299" s="3008"/>
      <c r="E299" s="2377"/>
      <c r="F299" s="2377"/>
      <c r="G299" s="2377"/>
      <c r="H299" s="2377"/>
      <c r="I299" s="2377"/>
      <c r="O299" s="2995"/>
      <c r="P299" s="2995"/>
      <c r="R299" s="2995"/>
    </row>
    <row r="300" spans="2:18" x14ac:dyDescent="0.45">
      <c r="B300" s="3008"/>
      <c r="C300" s="2377"/>
      <c r="D300" s="3008"/>
      <c r="E300" s="2377"/>
      <c r="F300" s="2377"/>
      <c r="G300" s="2377"/>
      <c r="H300" s="2377"/>
      <c r="I300" s="2377"/>
      <c r="J300" s="3008"/>
      <c r="K300" s="3008"/>
      <c r="O300" s="2995"/>
      <c r="R300" s="2995"/>
    </row>
    <row r="301" spans="2:18" x14ac:dyDescent="0.45">
      <c r="E301" s="2377"/>
      <c r="F301" s="2377"/>
      <c r="G301" s="2377"/>
      <c r="H301" s="2377"/>
      <c r="I301" s="2377"/>
      <c r="J301" s="3008"/>
      <c r="K301" s="3008"/>
      <c r="O301" s="2995"/>
      <c r="R301" s="2995"/>
    </row>
    <row r="302" spans="2:18" x14ac:dyDescent="0.45">
      <c r="G302" s="2377"/>
      <c r="J302" s="3008"/>
      <c r="K302" s="3008"/>
      <c r="O302" s="2995"/>
      <c r="R302" s="2995"/>
    </row>
    <row r="303" spans="2:18" x14ac:dyDescent="0.45">
      <c r="B303" s="3009"/>
      <c r="C303" s="2377"/>
      <c r="D303" s="3008"/>
      <c r="E303" s="2377"/>
      <c r="F303" s="2377"/>
      <c r="G303" s="2377"/>
      <c r="H303" s="2377"/>
      <c r="I303" s="2377"/>
      <c r="J303" s="3008"/>
      <c r="K303" s="3008"/>
      <c r="O303" s="2995"/>
      <c r="R303" s="2995"/>
    </row>
    <row r="304" spans="2:18" x14ac:dyDescent="0.45">
      <c r="C304" s="2377"/>
      <c r="D304" s="2377"/>
      <c r="E304" s="3009"/>
      <c r="F304" s="3009"/>
      <c r="G304" s="2377"/>
      <c r="H304" s="3009"/>
      <c r="I304" s="3009"/>
      <c r="J304" s="3008"/>
      <c r="K304" s="3008"/>
      <c r="O304" s="2995"/>
      <c r="Q304" s="2995"/>
    </row>
    <row r="305" spans="2:18" x14ac:dyDescent="0.45">
      <c r="C305" s="2377"/>
      <c r="D305" s="2377"/>
      <c r="E305" s="3009"/>
      <c r="F305" s="3009"/>
      <c r="G305" s="2377"/>
      <c r="H305" s="3009"/>
      <c r="I305" s="3009"/>
      <c r="J305" s="3008"/>
      <c r="K305" s="3008"/>
      <c r="O305" s="2995"/>
      <c r="P305" s="2995"/>
      <c r="R305" s="2995"/>
    </row>
    <row r="306" spans="2:18" x14ac:dyDescent="0.45">
      <c r="B306" s="3008"/>
      <c r="C306" s="2377"/>
      <c r="D306" s="2377"/>
      <c r="E306" s="2377"/>
      <c r="F306" s="2377"/>
      <c r="G306" s="2377"/>
      <c r="H306" s="2377"/>
      <c r="I306" s="2377"/>
      <c r="J306" s="3008"/>
      <c r="K306" s="3008"/>
      <c r="O306" s="2995"/>
      <c r="R306" s="2995"/>
    </row>
    <row r="307" spans="2:18" x14ac:dyDescent="0.45">
      <c r="B307" s="3009"/>
      <c r="C307" s="3011"/>
      <c r="D307" s="3010"/>
      <c r="O307" s="2995"/>
      <c r="R307" s="2995"/>
    </row>
    <row r="308" spans="2:18" x14ac:dyDescent="0.45">
      <c r="B308" s="2377"/>
      <c r="C308" s="2377"/>
      <c r="D308" s="3009"/>
      <c r="J308" s="3008"/>
      <c r="K308" s="3008"/>
      <c r="O308" s="2995"/>
      <c r="R308" s="2995"/>
    </row>
    <row r="309" spans="2:18" x14ac:dyDescent="0.45">
      <c r="B309" s="2343"/>
      <c r="C309" s="2269"/>
      <c r="D309" s="2313"/>
      <c r="J309" s="3008"/>
      <c r="K309" s="3008"/>
      <c r="O309" s="2995"/>
      <c r="R309" s="2995"/>
    </row>
    <row r="310" spans="2:18" x14ac:dyDescent="0.45">
      <c r="B310" s="3008"/>
      <c r="C310" s="2377"/>
      <c r="D310" s="3008"/>
      <c r="J310" s="3008"/>
      <c r="K310" s="3008"/>
      <c r="O310" s="2995"/>
      <c r="Q310" s="2995"/>
      <c r="R310" s="2995"/>
    </row>
    <row r="311" spans="2:18" x14ac:dyDescent="0.45">
      <c r="B311" s="3008"/>
      <c r="C311" s="2377"/>
      <c r="D311" s="3008"/>
      <c r="J311" s="3008"/>
      <c r="K311" s="3008"/>
      <c r="O311" s="2995"/>
      <c r="P311" s="2995"/>
      <c r="R311" s="2995"/>
    </row>
    <row r="312" spans="2:18" x14ac:dyDescent="0.45">
      <c r="B312" s="3008"/>
      <c r="C312" s="2377"/>
      <c r="D312" s="3008"/>
      <c r="J312" s="3008"/>
      <c r="K312" s="3008"/>
      <c r="O312" s="2995"/>
      <c r="R312" s="2995"/>
    </row>
    <row r="313" spans="2:18" x14ac:dyDescent="0.45">
      <c r="B313" s="3008"/>
      <c r="C313" s="2377"/>
      <c r="D313" s="3008"/>
      <c r="O313" s="2995"/>
      <c r="R313" s="2995"/>
    </row>
    <row r="314" spans="2:18" x14ac:dyDescent="0.45">
      <c r="B314" s="3008"/>
      <c r="C314" s="2377"/>
      <c r="D314" s="3008"/>
      <c r="J314" s="3008"/>
      <c r="K314" s="3008"/>
      <c r="O314" s="2995"/>
      <c r="R314" s="2995"/>
    </row>
    <row r="315" spans="2:18" x14ac:dyDescent="0.45">
      <c r="B315" s="3008"/>
      <c r="C315" s="2377"/>
      <c r="D315" s="3008"/>
      <c r="J315" s="3008"/>
      <c r="K315" s="3008"/>
      <c r="O315" s="2995"/>
      <c r="R315" s="2995"/>
    </row>
    <row r="316" spans="2:18" x14ac:dyDescent="0.45">
      <c r="B316" s="3008"/>
      <c r="C316" s="2377"/>
      <c r="D316" s="3008"/>
      <c r="J316" s="3008"/>
      <c r="K316" s="3008"/>
      <c r="O316" s="2995"/>
      <c r="Q316" s="2995"/>
    </row>
    <row r="317" spans="2:18" x14ac:dyDescent="0.45">
      <c r="B317" s="3008"/>
      <c r="C317" s="2377"/>
      <c r="D317" s="3008"/>
      <c r="J317" s="3008"/>
      <c r="K317" s="3008"/>
      <c r="O317" s="2995"/>
      <c r="P317" s="2995"/>
      <c r="R317" s="2995"/>
    </row>
    <row r="318" spans="2:18" x14ac:dyDescent="0.45">
      <c r="B318" s="3008"/>
      <c r="C318" s="2377"/>
      <c r="D318" s="3008"/>
      <c r="J318" s="3008"/>
      <c r="K318" s="3008"/>
      <c r="O318" s="2995"/>
      <c r="R318" s="2995"/>
    </row>
    <row r="319" spans="2:18" x14ac:dyDescent="0.45">
      <c r="B319" s="3008"/>
      <c r="C319" s="2377"/>
      <c r="D319" s="3008"/>
      <c r="O319" s="2995"/>
      <c r="R319" s="2995"/>
    </row>
    <row r="320" spans="2:18" x14ac:dyDescent="0.45">
      <c r="B320" s="3008"/>
      <c r="C320" s="2377"/>
      <c r="D320" s="3008"/>
      <c r="J320" s="3008"/>
      <c r="K320" s="3008"/>
      <c r="O320" s="2995"/>
      <c r="R320" s="2995"/>
    </row>
    <row r="321" spans="2:18" x14ac:dyDescent="0.45">
      <c r="B321" s="3008"/>
      <c r="C321" s="2377"/>
      <c r="D321" s="3008"/>
      <c r="J321" s="3008"/>
      <c r="K321" s="3008"/>
      <c r="O321" s="2995"/>
      <c r="R321" s="2995"/>
    </row>
    <row r="322" spans="2:18" x14ac:dyDescent="0.45">
      <c r="B322" s="3008"/>
      <c r="C322" s="2377"/>
      <c r="D322" s="3008"/>
      <c r="J322" s="3008"/>
      <c r="K322" s="3008"/>
      <c r="O322" s="2995"/>
      <c r="Q322" s="2995"/>
    </row>
    <row r="323" spans="2:18" x14ac:dyDescent="0.45">
      <c r="B323" s="3008"/>
      <c r="C323" s="2377"/>
      <c r="D323" s="3008"/>
      <c r="J323" s="3008"/>
      <c r="K323" s="3008"/>
      <c r="O323" s="2995"/>
      <c r="P323" s="2995"/>
      <c r="R323" s="2995"/>
    </row>
    <row r="324" spans="2:18" x14ac:dyDescent="0.45">
      <c r="B324" s="3008"/>
      <c r="C324" s="2377"/>
      <c r="D324" s="3008"/>
      <c r="J324" s="3008"/>
      <c r="K324" s="3008"/>
      <c r="O324" s="2995"/>
      <c r="R324" s="2995"/>
    </row>
    <row r="325" spans="2:18" x14ac:dyDescent="0.45">
      <c r="B325" s="3008"/>
      <c r="C325" s="2377"/>
      <c r="D325" s="3008"/>
      <c r="O325" s="2995"/>
      <c r="R325" s="2995"/>
    </row>
    <row r="326" spans="2:18" x14ac:dyDescent="0.45">
      <c r="B326" s="3008"/>
      <c r="C326" s="2377"/>
      <c r="D326" s="3008"/>
      <c r="J326" s="3008"/>
      <c r="K326" s="3008"/>
      <c r="O326" s="2995"/>
      <c r="R326" s="2995"/>
    </row>
    <row r="327" spans="2:18" x14ac:dyDescent="0.45">
      <c r="B327" s="3008"/>
      <c r="C327" s="2377"/>
      <c r="D327" s="3008"/>
      <c r="J327" s="3008"/>
      <c r="K327" s="3008"/>
      <c r="O327" s="2995"/>
      <c r="R327" s="2995"/>
    </row>
    <row r="328" spans="2:18" x14ac:dyDescent="0.45">
      <c r="B328" s="3008"/>
      <c r="C328" s="2377"/>
      <c r="D328" s="3008"/>
      <c r="J328" s="3008"/>
      <c r="K328" s="3008"/>
      <c r="Q328" s="2995"/>
    </row>
    <row r="329" spans="2:18" x14ac:dyDescent="0.45">
      <c r="B329" s="3008"/>
      <c r="C329" s="2377"/>
      <c r="D329" s="3008"/>
      <c r="J329" s="3008"/>
      <c r="K329" s="3008"/>
      <c r="P329" s="2995"/>
      <c r="R329" s="2995"/>
    </row>
    <row r="330" spans="2:18" x14ac:dyDescent="0.45">
      <c r="B330" s="3008"/>
      <c r="C330" s="2377"/>
      <c r="D330" s="3008"/>
      <c r="E330" s="2995"/>
      <c r="F330" s="2995"/>
      <c r="G330" s="2993"/>
      <c r="H330" s="2993"/>
      <c r="I330" s="2995"/>
      <c r="J330" s="3008"/>
      <c r="K330" s="3008"/>
      <c r="R330" s="2995"/>
    </row>
    <row r="331" spans="2:18" x14ac:dyDescent="0.45">
      <c r="B331" s="3008"/>
      <c r="C331" s="2377"/>
      <c r="D331" s="3008"/>
      <c r="R331" s="2995"/>
    </row>
    <row r="332" spans="2:18" x14ac:dyDescent="0.45">
      <c r="B332" s="3008"/>
      <c r="C332" s="2377"/>
      <c r="D332" s="3008"/>
      <c r="J332" s="3008"/>
      <c r="K332" s="3008"/>
      <c r="R332" s="2995"/>
    </row>
    <row r="333" spans="2:18" x14ac:dyDescent="0.45">
      <c r="B333" s="3008"/>
      <c r="C333" s="2377"/>
      <c r="D333" s="3008"/>
      <c r="J333" s="3008"/>
      <c r="K333" s="3008"/>
      <c r="R333" s="2995"/>
    </row>
    <row r="334" spans="2:18" x14ac:dyDescent="0.45">
      <c r="B334" s="3008"/>
      <c r="C334" s="2377"/>
      <c r="D334" s="3008"/>
      <c r="J334" s="3008"/>
      <c r="K334" s="3008"/>
      <c r="Q334" s="2995"/>
    </row>
    <row r="335" spans="2:18" x14ac:dyDescent="0.45">
      <c r="B335" s="3008"/>
      <c r="C335" s="2377"/>
      <c r="D335" s="3008"/>
      <c r="J335" s="3008"/>
      <c r="K335" s="3008"/>
      <c r="M335" s="2377"/>
      <c r="N335" s="2377"/>
      <c r="O335" s="2377"/>
      <c r="R335" s="2995"/>
    </row>
    <row r="336" spans="2:18" x14ac:dyDescent="0.45">
      <c r="B336" s="3008"/>
      <c r="C336" s="2377"/>
      <c r="D336" s="3008"/>
      <c r="J336" s="3008"/>
      <c r="K336" s="3008"/>
      <c r="R336" s="2995"/>
    </row>
    <row r="337" spans="2:18" x14ac:dyDescent="0.45">
      <c r="B337" s="3008"/>
      <c r="C337" s="2377"/>
      <c r="D337" s="3008"/>
      <c r="L337" s="2993"/>
      <c r="P337" s="2377"/>
      <c r="R337" s="2995"/>
    </row>
    <row r="338" spans="2:18" x14ac:dyDescent="0.45">
      <c r="B338" s="3008"/>
      <c r="C338" s="2377"/>
      <c r="D338" s="3008"/>
      <c r="J338" s="3008"/>
      <c r="K338" s="3008"/>
      <c r="R338" s="2995"/>
    </row>
    <row r="339" spans="2:18" x14ac:dyDescent="0.45">
      <c r="B339" s="3008"/>
      <c r="C339" s="2377"/>
      <c r="D339" s="3008"/>
      <c r="J339" s="3008"/>
      <c r="K339" s="3008"/>
      <c r="R339" s="2995"/>
    </row>
    <row r="340" spans="2:18" x14ac:dyDescent="0.45">
      <c r="B340" s="3008"/>
      <c r="C340" s="2377"/>
      <c r="D340" s="3008"/>
      <c r="J340" s="3008"/>
      <c r="K340" s="3008"/>
      <c r="Q340" s="2995"/>
    </row>
    <row r="341" spans="2:18" x14ac:dyDescent="0.45">
      <c r="B341" s="3008"/>
      <c r="C341" s="2377"/>
      <c r="D341" s="3008"/>
      <c r="J341" s="3008"/>
      <c r="K341" s="3008"/>
      <c r="R341" s="2995"/>
    </row>
    <row r="342" spans="2:18" x14ac:dyDescent="0.45">
      <c r="B342" s="3008"/>
      <c r="C342" s="2377"/>
      <c r="D342" s="3008"/>
      <c r="J342" s="3008"/>
      <c r="K342" s="3008"/>
      <c r="R342" s="2995"/>
    </row>
    <row r="343" spans="2:18" x14ac:dyDescent="0.45">
      <c r="B343" s="3008"/>
      <c r="C343" s="2377"/>
      <c r="D343" s="3008"/>
      <c r="R343" s="2995"/>
    </row>
    <row r="344" spans="2:18" x14ac:dyDescent="0.45">
      <c r="B344" s="3008"/>
      <c r="C344" s="2377"/>
      <c r="D344" s="3008"/>
      <c r="J344" s="3008"/>
      <c r="K344" s="3008"/>
      <c r="R344" s="2995"/>
    </row>
    <row r="345" spans="2:18" x14ac:dyDescent="0.45">
      <c r="B345" s="3008"/>
      <c r="C345" s="2377"/>
      <c r="D345" s="3008"/>
      <c r="J345" s="3008"/>
      <c r="K345" s="3008"/>
      <c r="R345" s="2995"/>
    </row>
    <row r="346" spans="2:18" x14ac:dyDescent="0.45">
      <c r="B346" s="3008"/>
      <c r="C346" s="2377"/>
      <c r="D346" s="3008"/>
      <c r="J346" s="3008"/>
      <c r="K346" s="3008"/>
      <c r="Q346" s="2995"/>
    </row>
    <row r="347" spans="2:18" x14ac:dyDescent="0.45">
      <c r="B347" s="3008"/>
      <c r="C347" s="2377"/>
      <c r="D347" s="3008"/>
      <c r="J347" s="3008"/>
      <c r="K347" s="3008"/>
      <c r="R347" s="2995"/>
    </row>
    <row r="348" spans="2:18" x14ac:dyDescent="0.45">
      <c r="B348" s="3008"/>
      <c r="C348" s="2377"/>
      <c r="D348" s="3008"/>
      <c r="J348" s="3008"/>
      <c r="K348" s="3008"/>
      <c r="R348" s="2995"/>
    </row>
    <row r="349" spans="2:18" x14ac:dyDescent="0.45">
      <c r="B349" s="3008"/>
      <c r="C349" s="2377"/>
      <c r="D349" s="3008"/>
      <c r="R349" s="2995"/>
    </row>
    <row r="350" spans="2:18" x14ac:dyDescent="0.45">
      <c r="B350" s="3008"/>
      <c r="C350" s="2377"/>
      <c r="D350" s="3008"/>
      <c r="J350" s="3008"/>
      <c r="K350" s="3008"/>
      <c r="R350" s="2995"/>
    </row>
    <row r="351" spans="2:18" x14ac:dyDescent="0.45">
      <c r="B351" s="3008"/>
      <c r="C351" s="2377"/>
      <c r="D351" s="3008"/>
      <c r="J351" s="3008"/>
      <c r="K351" s="3008"/>
      <c r="R351" s="2995"/>
    </row>
    <row r="352" spans="2:18" x14ac:dyDescent="0.45">
      <c r="B352" s="3008"/>
      <c r="C352" s="2377"/>
      <c r="D352" s="3008"/>
      <c r="J352" s="3008"/>
      <c r="K352" s="3008"/>
      <c r="Q352" s="2995"/>
    </row>
    <row r="353" spans="1:45" x14ac:dyDescent="0.45">
      <c r="B353" s="3008"/>
      <c r="C353" s="2377"/>
      <c r="D353" s="3008"/>
      <c r="J353" s="3008"/>
      <c r="K353" s="3008"/>
    </row>
    <row r="354" spans="1:45" x14ac:dyDescent="0.45">
      <c r="B354" s="3008"/>
      <c r="C354" s="2377"/>
      <c r="D354" s="3008"/>
      <c r="J354" s="3008"/>
      <c r="K354" s="3008"/>
    </row>
    <row r="355" spans="1:45" x14ac:dyDescent="0.45">
      <c r="B355" s="3008"/>
      <c r="C355" s="2377"/>
      <c r="D355" s="3008"/>
    </row>
    <row r="356" spans="1:45" x14ac:dyDescent="0.45">
      <c r="B356" s="3008"/>
      <c r="C356" s="2377"/>
      <c r="D356" s="3008"/>
    </row>
    <row r="357" spans="1:45" x14ac:dyDescent="0.45">
      <c r="B357" s="3008"/>
      <c r="C357" s="2377"/>
      <c r="D357" s="3008"/>
    </row>
    <row r="358" spans="1:45" x14ac:dyDescent="0.45">
      <c r="B358" s="3008"/>
      <c r="C358" s="2377"/>
      <c r="D358" s="3008"/>
    </row>
    <row r="359" spans="1:45" x14ac:dyDescent="0.45">
      <c r="B359" s="3008"/>
      <c r="C359" s="2377"/>
      <c r="D359" s="3008"/>
      <c r="V359" s="2993"/>
      <c r="W359" s="2993"/>
      <c r="X359" s="2993"/>
      <c r="Y359" s="2993"/>
    </row>
    <row r="360" spans="1:45" x14ac:dyDescent="0.45">
      <c r="B360" s="3008"/>
      <c r="C360" s="2377"/>
      <c r="D360" s="3008"/>
      <c r="Q360" s="2993"/>
      <c r="R360" s="2993"/>
      <c r="S360" s="2993"/>
      <c r="T360" s="2993"/>
      <c r="U360" s="2993"/>
      <c r="V360" s="2993"/>
      <c r="W360" s="2993"/>
      <c r="X360" s="2993"/>
      <c r="Y360" s="2993"/>
    </row>
    <row r="361" spans="1:45" s="2993" customFormat="1" x14ac:dyDescent="0.45">
      <c r="A361" s="2270"/>
      <c r="B361" s="3008"/>
      <c r="C361" s="2377"/>
      <c r="D361" s="3008"/>
      <c r="E361" s="2270"/>
      <c r="F361" s="2270"/>
      <c r="G361" s="2270"/>
      <c r="H361" s="2270"/>
      <c r="I361" s="2270"/>
      <c r="J361" s="2270"/>
      <c r="K361" s="2270"/>
      <c r="L361" s="2270"/>
      <c r="M361" s="2270"/>
      <c r="N361" s="2270"/>
      <c r="O361" s="2270"/>
      <c r="P361" s="2270"/>
      <c r="Q361" s="2270"/>
      <c r="R361" s="2270"/>
      <c r="S361" s="2270"/>
      <c r="T361" s="2270"/>
      <c r="U361" s="2270"/>
      <c r="V361" s="2270"/>
      <c r="W361" s="2270"/>
      <c r="X361" s="2270"/>
      <c r="Y361" s="2270"/>
      <c r="AB361" s="2270"/>
      <c r="AC361" s="2270"/>
      <c r="AD361" s="2270"/>
      <c r="AE361" s="2270"/>
      <c r="AF361" s="2270"/>
      <c r="AG361" s="2270"/>
      <c r="AH361" s="2270"/>
      <c r="AI361" s="2270"/>
      <c r="AJ361" s="2270"/>
      <c r="AK361" s="2270"/>
      <c r="AL361" s="2270"/>
      <c r="AM361" s="2270"/>
      <c r="AN361" s="2270"/>
      <c r="AO361" s="2270"/>
      <c r="AP361" s="2270"/>
      <c r="AQ361" s="2270"/>
      <c r="AR361" s="2270"/>
      <c r="AS361" s="2270"/>
    </row>
    <row r="362" spans="1:45" s="2993" customFormat="1" x14ac:dyDescent="0.45">
      <c r="A362" s="2270"/>
      <c r="B362" s="3008"/>
      <c r="C362" s="2377"/>
      <c r="D362" s="3008"/>
      <c r="E362" s="2270"/>
      <c r="F362" s="2270"/>
      <c r="G362" s="2270"/>
      <c r="H362" s="2270"/>
      <c r="I362" s="2270"/>
      <c r="L362" s="2270"/>
      <c r="M362" s="2270"/>
      <c r="N362" s="2270"/>
      <c r="O362" s="2270"/>
      <c r="P362" s="2270"/>
      <c r="Q362" s="2270"/>
      <c r="R362" s="2270"/>
      <c r="S362" s="2270"/>
      <c r="T362" s="2270"/>
      <c r="U362" s="2270"/>
      <c r="V362" s="2270"/>
      <c r="W362" s="2270"/>
      <c r="X362" s="2270"/>
      <c r="Y362" s="2270"/>
      <c r="AB362" s="2270"/>
      <c r="AC362" s="2270"/>
      <c r="AD362" s="2270"/>
      <c r="AE362" s="2270"/>
      <c r="AF362" s="2270"/>
      <c r="AG362" s="2270"/>
      <c r="AH362" s="2270"/>
      <c r="AI362" s="2270"/>
      <c r="AJ362" s="2270"/>
      <c r="AK362" s="2270"/>
      <c r="AL362" s="2270"/>
      <c r="AM362" s="2270"/>
      <c r="AN362" s="2270"/>
      <c r="AO362" s="2270"/>
      <c r="AP362" s="2270"/>
      <c r="AQ362" s="2270"/>
      <c r="AR362" s="2270"/>
      <c r="AS362" s="2270"/>
    </row>
    <row r="363" spans="1:45" ht="13.5" customHeight="1" x14ac:dyDescent="0.45">
      <c r="B363" s="3008"/>
      <c r="C363" s="2377"/>
      <c r="D363" s="3008"/>
    </row>
    <row r="364" spans="1:45" ht="13.5" customHeight="1" x14ac:dyDescent="0.45">
      <c r="B364" s="3008"/>
      <c r="C364" s="2377"/>
      <c r="D364" s="3008"/>
    </row>
    <row r="365" spans="1:45" x14ac:dyDescent="0.45">
      <c r="B365" s="3008"/>
      <c r="C365" s="2377"/>
      <c r="D365" s="3008"/>
    </row>
    <row r="366" spans="1:45" x14ac:dyDescent="0.45">
      <c r="B366" s="3008"/>
      <c r="C366" s="2377"/>
      <c r="D366" s="3008"/>
    </row>
    <row r="367" spans="1:45" x14ac:dyDescent="0.45">
      <c r="B367" s="3008"/>
      <c r="C367" s="2377"/>
      <c r="D367" s="3008"/>
    </row>
    <row r="368" spans="1:45" x14ac:dyDescent="0.45">
      <c r="B368" s="3008"/>
      <c r="C368" s="2377"/>
      <c r="D368" s="3008"/>
    </row>
    <row r="369" spans="2:4" x14ac:dyDescent="0.45">
      <c r="B369" s="3008"/>
      <c r="C369" s="2377"/>
      <c r="D369" s="3008"/>
    </row>
    <row r="372" spans="2:4" x14ac:dyDescent="0.45">
      <c r="B372" s="3009"/>
      <c r="C372" s="2377"/>
      <c r="D372" s="3008"/>
    </row>
    <row r="373" spans="2:4" x14ac:dyDescent="0.45">
      <c r="C373" s="2377"/>
      <c r="D373" s="2377"/>
    </row>
    <row r="374" spans="2:4" x14ac:dyDescent="0.45">
      <c r="C374" s="2377"/>
      <c r="D374" s="2377"/>
    </row>
    <row r="375" spans="2:4" x14ac:dyDescent="0.45">
      <c r="B375" s="3008"/>
      <c r="C375" s="2377"/>
      <c r="D375" s="2377"/>
    </row>
    <row r="430" spans="1:1" x14ac:dyDescent="0.45">
      <c r="A430" s="2993"/>
    </row>
    <row r="431" spans="1:1" x14ac:dyDescent="0.45">
      <c r="A431" s="2993"/>
    </row>
  </sheetData>
  <sheetProtection algorithmName="SHA-512" hashValue="kjl/T+kBMW7k+OU7tp+hF6mzJ8dhhpmr1GsYlWXaXivNzNJHGXqkRA4SOjchHKN2pJ+3fajzF9kQkd0pCmBeqw==" saltValue="F3vSLTm3bimKVjXx2HL8iQ==" spinCount="100000" sheet="1" objects="1" scenarios="1"/>
  <phoneticPr fontId="24" type="noConversion"/>
  <conditionalFormatting sqref="M13:O72">
    <cfRule type="cellIs" dxfId="44" priority="1" operator="equal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6E4C5-E20A-4041-AB59-5C7AEB3A0F44}">
  <sheetPr codeName="Sheet30">
    <tabColor theme="5" tint="0.39997558519241921"/>
    <pageSetUpPr autoPageBreaks="0" fitToPage="1"/>
  </sheetPr>
  <dimension ref="A1:P33"/>
  <sheetViews>
    <sheetView showGridLines="0" workbookViewId="0"/>
  </sheetViews>
  <sheetFormatPr defaultColWidth="9" defaultRowHeight="13.5" x14ac:dyDescent="0.35"/>
  <cols>
    <col min="1" max="1" width="16.86328125" style="2361" customWidth="1"/>
    <col min="2" max="2" width="20" style="2361" customWidth="1"/>
    <col min="3" max="3" width="16.73046875" style="2361" customWidth="1"/>
    <col min="4" max="6" width="15" style="2361" customWidth="1"/>
    <col min="7" max="8" width="17.1328125" style="2361" customWidth="1"/>
    <col min="9" max="9" width="51.3984375" style="2361" customWidth="1"/>
    <col min="10" max="10" width="14" style="2361" customWidth="1"/>
    <col min="11" max="11" width="15" style="2361" customWidth="1"/>
    <col min="12" max="12" width="42.86328125" style="2361" customWidth="1"/>
    <col min="13" max="13" width="11.86328125" style="2361" customWidth="1"/>
    <col min="14" max="14" width="11" style="2361" customWidth="1"/>
    <col min="15" max="16384" width="9" style="2361"/>
  </cols>
  <sheetData>
    <row r="1" spans="1:16" s="2377" customFormat="1" ht="25.5" customHeight="1" x14ac:dyDescent="0.35">
      <c r="A1" s="636" t="s">
        <v>29797</v>
      </c>
    </row>
    <row r="2" spans="1:16" ht="18" customHeight="1" x14ac:dyDescent="0.35">
      <c r="A2" s="1385" t="str">
        <f>IF(PROVIDER="","Provider name",PROVIDER&amp;" ("&amp;UKPRN&amp;")")</f>
        <v>Provider name</v>
      </c>
    </row>
    <row r="3" spans="1:16" s="1276" customFormat="1" ht="14.25" customHeight="1" x14ac:dyDescent="0.35">
      <c r="A3" s="1501" t="s">
        <v>27713</v>
      </c>
    </row>
    <row r="4" spans="1:16" ht="45" customHeight="1" thickBot="1" x14ac:dyDescent="0.4">
      <c r="A4" s="2368"/>
      <c r="B4" s="2368"/>
      <c r="C4" s="2376"/>
      <c r="D4" s="2376"/>
      <c r="E4" s="2376"/>
      <c r="F4" s="2376"/>
      <c r="G4" s="2375" t="str">
        <f>'FTE Table 2 Valid'!E3</f>
        <v>Validation: OK</v>
      </c>
      <c r="H4" s="2375"/>
      <c r="I4" s="2375" t="str">
        <f>'FTE Table 2 Valid'!F3</f>
        <v>Validation: OK</v>
      </c>
      <c r="J4" s="2368"/>
      <c r="K4" s="2368"/>
      <c r="L4" s="2368"/>
    </row>
    <row r="5" spans="1:16" ht="48" customHeight="1" thickTop="1" x14ac:dyDescent="0.35">
      <c r="A5" s="2374"/>
      <c r="B5" s="2269"/>
      <c r="C5" s="3125" t="s">
        <v>29703</v>
      </c>
      <c r="D5" s="3126" t="s">
        <v>29401</v>
      </c>
      <c r="E5" s="3126" t="s">
        <v>29400</v>
      </c>
      <c r="F5" s="3127" t="s">
        <v>29670</v>
      </c>
      <c r="G5" s="3128" t="s">
        <v>29736</v>
      </c>
      <c r="H5" s="3126" t="s">
        <v>29671</v>
      </c>
      <c r="I5" s="3127" t="s">
        <v>29399</v>
      </c>
      <c r="J5" s="3212" t="s">
        <v>29398</v>
      </c>
      <c r="K5" s="3213" t="s">
        <v>29397</v>
      </c>
      <c r="L5" s="3214" t="s">
        <v>29396</v>
      </c>
    </row>
    <row r="6" spans="1:16" ht="30" customHeight="1" x14ac:dyDescent="0.35">
      <c r="B6" s="2269"/>
      <c r="C6" s="3129" t="s">
        <v>27681</v>
      </c>
      <c r="D6" s="3130" t="s">
        <v>27681</v>
      </c>
      <c r="E6" s="3130" t="s">
        <v>27681</v>
      </c>
      <c r="F6" s="3131" t="s">
        <v>27681</v>
      </c>
      <c r="G6" s="3132"/>
      <c r="H6" s="3130" t="s">
        <v>27681</v>
      </c>
      <c r="I6" s="3114"/>
      <c r="J6" s="2356"/>
      <c r="K6" s="2355"/>
      <c r="L6" s="3114"/>
    </row>
    <row r="7" spans="1:16" ht="97.5" customHeight="1" x14ac:dyDescent="0.35">
      <c r="A7" s="2373" t="s">
        <v>29403</v>
      </c>
      <c r="B7" s="2352" t="s">
        <v>57</v>
      </c>
      <c r="C7" s="3133" t="str">
        <f>"Countable years in academic year 20"&amp;YEAR&amp;"-"&amp;RIGHT(YEAR+1,2)</f>
        <v>Countable years in academic year 2024-25</v>
      </c>
      <c r="D7" s="2347" t="s">
        <v>29682</v>
      </c>
      <c r="E7" s="2347" t="str">
        <f>"Aggregation level of multiplication factor used where different to last year"</f>
        <v>Aggregation level of multiplication factor used where different to last year</v>
      </c>
      <c r="F7" s="2346" t="s">
        <v>29672</v>
      </c>
      <c r="G7" s="2351" t="s">
        <v>29737</v>
      </c>
      <c r="H7" s="2350" t="s">
        <v>29758</v>
      </c>
      <c r="I7" s="2349" t="s">
        <v>29751</v>
      </c>
      <c r="J7" s="2348" t="s">
        <v>29395</v>
      </c>
      <c r="K7" s="2347" t="s">
        <v>29394</v>
      </c>
      <c r="L7" s="2346" t="s">
        <v>29393</v>
      </c>
      <c r="N7" s="2372" t="s">
        <v>63</v>
      </c>
      <c r="O7" s="2372" t="s">
        <v>65</v>
      </c>
      <c r="P7" s="2372" t="s">
        <v>66</v>
      </c>
    </row>
    <row r="8" spans="1:16" ht="15" customHeight="1" x14ac:dyDescent="0.35">
      <c r="A8" s="2371" t="s">
        <v>264</v>
      </c>
      <c r="B8" s="2339" t="s">
        <v>205</v>
      </c>
      <c r="C8" s="3134">
        <v>0</v>
      </c>
      <c r="D8" s="3135">
        <v>0</v>
      </c>
      <c r="E8" s="3136" t="str">
        <f>IF(C8=0,"N/A",'Table 2 MF'!D2)</f>
        <v>N/A</v>
      </c>
      <c r="F8" s="3137">
        <v>0</v>
      </c>
      <c r="G8" s="3237">
        <v>0</v>
      </c>
      <c r="H8" s="3138">
        <f>IF(G8&gt;0,C8*G8,0)</f>
        <v>0</v>
      </c>
      <c r="I8" s="3224"/>
      <c r="J8" s="3225" t="s">
        <v>27964</v>
      </c>
      <c r="K8" s="3226" cm="1">
        <f t="array" ref="K8">_xlfn.IFS(J8="","",J8="Yes",G8,J8="No",D8,J8="Yes with different rate","Please enter value")</f>
        <v>0</v>
      </c>
      <c r="L8" s="3227"/>
      <c r="N8" s="2367" t="s">
        <v>264</v>
      </c>
      <c r="O8" s="2366" t="s">
        <v>27685</v>
      </c>
      <c r="P8" s="2366" t="s">
        <v>27686</v>
      </c>
    </row>
    <row r="9" spans="1:16" ht="15" customHeight="1" x14ac:dyDescent="0.35">
      <c r="A9" s="2370" t="s">
        <v>264</v>
      </c>
      <c r="B9" s="2313" t="s">
        <v>208</v>
      </c>
      <c r="C9" s="3159">
        <f>'2_Sandwich'!L12</f>
        <v>0</v>
      </c>
      <c r="D9" s="3160">
        <f>IF(C9=0,0,'Table 2 MF'!C3)</f>
        <v>0</v>
      </c>
      <c r="E9" s="3142" t="str">
        <f>IF(C9=0,"N/A",'Table 2 MF'!D3)</f>
        <v>N/A</v>
      </c>
      <c r="F9" s="3162">
        <f t="shared" ref="F9:F12" si="0">C9*D9</f>
        <v>0</v>
      </c>
      <c r="G9" s="3238">
        <v>0</v>
      </c>
      <c r="H9" s="3144">
        <f t="shared" ref="H9:H12" si="1">IF(G9&gt;0,C9*G9,0)</f>
        <v>0</v>
      </c>
      <c r="I9" s="3228"/>
      <c r="J9" s="3229" t="s">
        <v>27964</v>
      </c>
      <c r="K9" s="3230" cm="1">
        <f t="array" ref="K9">_xlfn.IFS(J9="","",J9="Yes",G9,J9="No",D9,J9="Yes with different rate","Please enter value")</f>
        <v>0</v>
      </c>
      <c r="L9" s="3231"/>
      <c r="N9" s="2367" t="s">
        <v>264</v>
      </c>
      <c r="O9" s="2366" t="s">
        <v>27685</v>
      </c>
      <c r="P9" s="2366" t="s">
        <v>27687</v>
      </c>
    </row>
    <row r="10" spans="1:16" ht="15" customHeight="1" x14ac:dyDescent="0.35">
      <c r="A10" s="2370" t="s">
        <v>264</v>
      </c>
      <c r="B10" s="2313" t="s">
        <v>210</v>
      </c>
      <c r="C10" s="3171">
        <f>'2_Sandwich'!L13</f>
        <v>0</v>
      </c>
      <c r="D10" s="3172">
        <f>IF(C10=0,0,'Table 2 MF'!C4)</f>
        <v>0</v>
      </c>
      <c r="E10" s="3142" t="str">
        <f>IF(C10=0,"N/A",'Table 2 MF'!D4)</f>
        <v>N/A</v>
      </c>
      <c r="F10" s="3174">
        <f t="shared" si="0"/>
        <v>0</v>
      </c>
      <c r="G10" s="3238">
        <v>0</v>
      </c>
      <c r="H10" s="3144">
        <f t="shared" si="1"/>
        <v>0</v>
      </c>
      <c r="I10" s="3232"/>
      <c r="J10" s="3229" t="s">
        <v>27964</v>
      </c>
      <c r="K10" s="3230" cm="1">
        <f t="array" ref="K10">_xlfn.IFS(J10="","",J10="Yes",G10,J10="No",D10,J10="Yes with different rate","Please enter value")</f>
        <v>0</v>
      </c>
      <c r="L10" s="3231"/>
      <c r="N10" s="2367" t="s">
        <v>264</v>
      </c>
      <c r="O10" s="2366" t="s">
        <v>27685</v>
      </c>
      <c r="P10" s="2366" t="s">
        <v>27688</v>
      </c>
    </row>
    <row r="11" spans="1:16" ht="15" customHeight="1" x14ac:dyDescent="0.35">
      <c r="A11" s="2370" t="s">
        <v>264</v>
      </c>
      <c r="B11" s="2313" t="s">
        <v>212</v>
      </c>
      <c r="C11" s="3149">
        <f>'2_Sandwich'!L14</f>
        <v>0</v>
      </c>
      <c r="D11" s="3150">
        <f>IF(C11=0,0,'Table 2 MF'!C5)</f>
        <v>0</v>
      </c>
      <c r="E11" s="3151" t="str">
        <f>IF(C11=0,"N/A",'Table 2 MF'!D5)</f>
        <v>N/A</v>
      </c>
      <c r="F11" s="3152">
        <f t="shared" si="0"/>
        <v>0</v>
      </c>
      <c r="G11" s="3238">
        <v>0</v>
      </c>
      <c r="H11" s="3144">
        <f t="shared" si="1"/>
        <v>0</v>
      </c>
      <c r="I11" s="3228"/>
      <c r="J11" s="3229" t="s">
        <v>27964</v>
      </c>
      <c r="K11" s="3230" cm="1">
        <f t="array" ref="K11">_xlfn.IFS(J11="","",J11="Yes",G11,J11="No",D11,J11="Yes with different rate","Please enter value")</f>
        <v>0</v>
      </c>
      <c r="L11" s="3231"/>
      <c r="N11" s="2367" t="s">
        <v>264</v>
      </c>
      <c r="O11" s="2366" t="s">
        <v>27685</v>
      </c>
      <c r="P11" s="2366" t="s">
        <v>27689</v>
      </c>
    </row>
    <row r="12" spans="1:16" ht="15" customHeight="1" thickBot="1" x14ac:dyDescent="0.4">
      <c r="A12" s="2369" t="s">
        <v>264</v>
      </c>
      <c r="B12" s="2309" t="s">
        <v>214</v>
      </c>
      <c r="C12" s="3153">
        <f>'2_Sandwich'!L15</f>
        <v>0</v>
      </c>
      <c r="D12" s="3154">
        <f>IF(C12=0,0,'Table 2 MF'!C6)</f>
        <v>0</v>
      </c>
      <c r="E12" s="3155" t="str">
        <f>IF(C12=0,"N/A",'Table 2 MF'!D6)</f>
        <v>N/A</v>
      </c>
      <c r="F12" s="3156">
        <f t="shared" si="0"/>
        <v>0</v>
      </c>
      <c r="G12" s="3239">
        <v>0</v>
      </c>
      <c r="H12" s="3157">
        <f t="shared" si="1"/>
        <v>0</v>
      </c>
      <c r="I12" s="3233"/>
      <c r="J12" s="3234" t="s">
        <v>27964</v>
      </c>
      <c r="K12" s="3235" cm="1">
        <f t="array" ref="K12">_xlfn.IFS(J12="","",J12="Yes",G12,J12="No",D12,J12="Yes with different rate","Please enter value")</f>
        <v>0</v>
      </c>
      <c r="L12" s="3236"/>
      <c r="N12" s="2367" t="s">
        <v>264</v>
      </c>
      <c r="O12" s="2366" t="s">
        <v>27685</v>
      </c>
      <c r="P12" s="2366" t="s">
        <v>27690</v>
      </c>
    </row>
    <row r="13" spans="1:16" ht="15" customHeight="1" thickBot="1" x14ac:dyDescent="0.4">
      <c r="A13" s="2368"/>
      <c r="B13" s="2309" t="s">
        <v>27696</v>
      </c>
      <c r="C13" s="3240">
        <f>'2_Sandwich'!L16</f>
        <v>0</v>
      </c>
      <c r="D13" s="2298"/>
      <c r="E13" s="2297"/>
      <c r="F13" s="3191">
        <f>SUM(F8:F12)</f>
        <v>0</v>
      </c>
      <c r="G13" s="2296"/>
      <c r="H13" s="2296"/>
      <c r="I13" s="2295"/>
      <c r="J13" s="2294"/>
      <c r="K13" s="2293"/>
      <c r="L13" s="2292"/>
      <c r="N13" s="2367" t="s">
        <v>28321</v>
      </c>
      <c r="O13" s="2366" t="s">
        <v>203</v>
      </c>
      <c r="P13" s="2366" t="s">
        <v>28321</v>
      </c>
    </row>
    <row r="14" spans="1:16" ht="15" hidden="1" customHeight="1" x14ac:dyDescent="0.35">
      <c r="B14" s="2364"/>
    </row>
    <row r="15" spans="1:16" ht="14.25" hidden="1" x14ac:dyDescent="0.45">
      <c r="B15" s="2362"/>
      <c r="C15"/>
      <c r="D15"/>
      <c r="E15"/>
      <c r="F15" s="3104" t="s">
        <v>29724</v>
      </c>
      <c r="G15" s="2282" t="s">
        <v>29390</v>
      </c>
      <c r="H15" s="2285"/>
      <c r="I15" s="2283" t="s">
        <v>29389</v>
      </c>
      <c r="J15" s="2282" t="s">
        <v>29388</v>
      </c>
      <c r="K15" s="2282" t="s">
        <v>29387</v>
      </c>
      <c r="L15" s="2282" t="s">
        <v>29386</v>
      </c>
    </row>
    <row r="16" spans="1:16" x14ac:dyDescent="0.35">
      <c r="G16" s="779"/>
      <c r="H16" s="779"/>
      <c r="I16" s="731"/>
      <c r="J16" s="2365"/>
      <c r="K16" s="781"/>
    </row>
    <row r="17" spans="1:13" s="657" customFormat="1" ht="15" x14ac:dyDescent="0.35">
      <c r="A17" s="657" t="s">
        <v>29402</v>
      </c>
      <c r="M17" s="1250"/>
    </row>
    <row r="18" spans="1:13" x14ac:dyDescent="0.35">
      <c r="A18" s="2269" t="s">
        <v>29753</v>
      </c>
      <c r="M18" s="2363"/>
    </row>
    <row r="19" spans="1:13" x14ac:dyDescent="0.35">
      <c r="A19" s="2278" t="str">
        <f>'FTE Table 1 Valid'!E19</f>
        <v/>
      </c>
      <c r="G19" s="2362"/>
      <c r="H19" s="2362"/>
      <c r="I19" s="2362"/>
      <c r="J19" s="2363"/>
      <c r="K19" s="784"/>
      <c r="L19" s="2362"/>
      <c r="M19" s="2363"/>
    </row>
    <row r="20" spans="1:13" s="2362" customFormat="1" x14ac:dyDescent="0.35">
      <c r="A20" s="2280" t="s">
        <v>29759</v>
      </c>
      <c r="B20" s="2361"/>
      <c r="C20" s="2361"/>
      <c r="D20" s="2364"/>
      <c r="E20" s="2364"/>
      <c r="F20" s="2364"/>
      <c r="J20" s="2363"/>
    </row>
    <row r="21" spans="1:13" s="2362" customFormat="1" x14ac:dyDescent="0.35">
      <c r="A21" s="2278" t="str">
        <f>'FTE Table 1 Valid'!F19</f>
        <v/>
      </c>
    </row>
    <row r="22" spans="1:13" s="2362" customFormat="1" x14ac:dyDescent="0.35">
      <c r="A22" s="2269" t="s">
        <v>29749</v>
      </c>
    </row>
    <row r="23" spans="1:13" s="2362" customFormat="1" x14ac:dyDescent="0.35">
      <c r="A23" s="2278" t="str">
        <f>'FTE Table 1 Valid'!G19</f>
        <v/>
      </c>
    </row>
    <row r="24" spans="1:13" s="2362" customFormat="1" x14ac:dyDescent="0.35">
      <c r="A24" s="2269" t="s">
        <v>29750</v>
      </c>
    </row>
    <row r="25" spans="1:13" s="2362" customFormat="1" x14ac:dyDescent="0.35">
      <c r="A25" s="2278" t="str">
        <f>'FTE Table 1 Valid'!H19</f>
        <v/>
      </c>
    </row>
    <row r="26" spans="1:13" s="2362" customFormat="1" x14ac:dyDescent="0.35">
      <c r="A26" s="1035" t="s">
        <v>29754</v>
      </c>
    </row>
    <row r="27" spans="1:13" x14ac:dyDescent="0.35">
      <c r="A27" s="2278" t="str">
        <f>'FTE Table 1 Valid'!I19</f>
        <v/>
      </c>
      <c r="B27" s="2362"/>
      <c r="C27" s="2362"/>
      <c r="D27" s="2362"/>
      <c r="E27" s="2362"/>
      <c r="F27" s="2362"/>
      <c r="G27" s="2362"/>
      <c r="H27" s="2362"/>
      <c r="I27" s="2362"/>
      <c r="J27" s="2362"/>
      <c r="K27" s="2362"/>
      <c r="L27" s="2362"/>
    </row>
    <row r="28" spans="1:13" x14ac:dyDescent="0.35">
      <c r="A28" s="2277"/>
      <c r="B28" s="2362"/>
      <c r="C28" s="2362"/>
      <c r="D28" s="2362"/>
      <c r="E28" s="2362"/>
      <c r="F28" s="2362"/>
      <c r="G28" s="2362"/>
      <c r="H28" s="2362"/>
      <c r="I28" s="2362"/>
      <c r="J28" s="2362"/>
      <c r="K28" s="2362"/>
      <c r="L28" s="2362"/>
    </row>
    <row r="29" spans="1:13" x14ac:dyDescent="0.35">
      <c r="A29" s="2276"/>
      <c r="B29" s="2362"/>
      <c r="C29" s="2362"/>
      <c r="D29" s="2362"/>
      <c r="E29" s="2362"/>
      <c r="F29" s="2362"/>
      <c r="G29" s="2362"/>
      <c r="H29" s="2362"/>
      <c r="I29" s="2362"/>
      <c r="J29" s="2362"/>
      <c r="K29" s="2362"/>
      <c r="L29" s="2362"/>
    </row>
    <row r="30" spans="1:13" x14ac:dyDescent="0.35">
      <c r="A30" s="2269"/>
    </row>
    <row r="31" spans="1:13" x14ac:dyDescent="0.35">
      <c r="A31" s="2278"/>
    </row>
    <row r="32" spans="1:13" x14ac:dyDescent="0.35">
      <c r="A32" s="2269"/>
    </row>
    <row r="33" spans="1:1" x14ac:dyDescent="0.35">
      <c r="A33" s="2278"/>
    </row>
  </sheetData>
  <sheetProtection algorithmName="SHA-512" hashValue="TSiM43njm2rcUk7tkt9falBXV1sPplHwNXrsK63ypL0b0AFhRtvf35sLlEPeUZZf47yyPjI6HVuI0bB+m8lm4Q==" saltValue="l36fPpIuKdA2QZPZ44BkIQ==" spinCount="100000" sheet="1" objects="1" scenarios="1"/>
  <protectedRanges>
    <protectedRange sqref="I8:I12" name="FullTime_1"/>
    <protectedRange sqref="J8:L12" name="PartTime_60_16"/>
    <protectedRange sqref="J13:L13" name="PartTime_60_17"/>
  </protectedRanges>
  <conditionalFormatting sqref="C8:L13">
    <cfRule type="cellIs" dxfId="43" priority="4" operator="equal">
      <formula>0</formula>
    </cfRule>
  </conditionalFormatting>
  <conditionalFormatting sqref="E8:E13">
    <cfRule type="expression" dxfId="42" priority="11">
      <formula>IF(AND(E8="N/A",C8=0),1,0)</formula>
    </cfRule>
  </conditionalFormatting>
  <conditionalFormatting sqref="G4">
    <cfRule type="cellIs" dxfId="41" priority="1" operator="notEqual">
      <formula>"Validation: OK"</formula>
    </cfRule>
  </conditionalFormatting>
  <conditionalFormatting sqref="G8:G12">
    <cfRule type="expression" dxfId="40" priority="3">
      <formula>IF($F8=0, 1, 0)</formula>
    </cfRule>
  </conditionalFormatting>
  <conditionalFormatting sqref="H8:I12">
    <cfRule type="expression" dxfId="39" priority="414581">
      <formula>IF($G8=0,1,0)</formula>
    </cfRule>
  </conditionalFormatting>
  <conditionalFormatting sqref="I4">
    <cfRule type="cellIs" dxfId="38" priority="2" operator="notEqual">
      <formula>"Validation: OK"</formula>
    </cfRule>
  </conditionalFormatting>
  <conditionalFormatting sqref="J8:J12">
    <cfRule type="cellIs" dxfId="37" priority="10" operator="equal">
      <formula>"No"</formula>
    </cfRule>
  </conditionalFormatting>
  <dataValidations count="3">
    <dataValidation type="custom" allowBlank="1" showInputMessage="1" showErrorMessage="1" errorTitle="Validation check" error="This cell can only contain numbers between 0 and 1 to two decimal places" sqref="H8:H12" xr:uid="{6BCF5D8C-869E-46F0-AD15-5D3AD35E74AD}">
      <formula1>AND(H8&lt;=1,H8&gt;=0,ROUND(H8,2)=H8)</formula1>
    </dataValidation>
    <dataValidation type="custom" allowBlank="1" showInputMessage="1" showErrorMessage="1" errorTitle="Please check the following:" error="1. Previous columns are filled in._x000a_2. The explanation is within 2000 characters." sqref="I8:I12" xr:uid="{C80874F2-CDE9-4592-A006-70E65C907B53}">
      <formula1>AND(#REF!&lt;&gt;"", #REF!&lt;&gt;"", OR(#REF!&lt;&gt;"", $G8&lt;&gt;""), LEN($I8)&lt;=2000)</formula1>
    </dataValidation>
    <dataValidation type="custom" allowBlank="1" showInputMessage="1" showErrorMessage="1" errorTitle="Error" error="This cell can only contain numbers between 0 and 1 to two decimal places." sqref="G8:G12" xr:uid="{A5E3075B-D194-45B1-9029-41A402AEEF68}">
      <formula1>AND($G8&lt;=1,$G8&gt;=0,ROUND($G8,2)=$G8)</formula1>
    </dataValidation>
  </dataValidations>
  <pageMargins left="0.7" right="0.7" top="0.75" bottom="0.75" header="0.3" footer="0.3"/>
  <pageSetup paperSize="8" scale="66" orientation="landscape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502B0-D683-4685-8470-39E9BDAADB05}">
  <sheetPr codeName="Sheet31"/>
  <dimension ref="A1:H8"/>
  <sheetViews>
    <sheetView workbookViewId="0"/>
  </sheetViews>
  <sheetFormatPr defaultColWidth="9.1328125" defaultRowHeight="14.25" x14ac:dyDescent="0.45"/>
  <cols>
    <col min="1" max="4" width="20" style="2270" customWidth="1"/>
    <col min="5" max="5" width="9.1328125" style="2270"/>
    <col min="6" max="6" width="12" style="2270" customWidth="1"/>
    <col min="7" max="16384" width="9.1328125" style="2270"/>
  </cols>
  <sheetData>
    <row r="1" spans="1:8" x14ac:dyDescent="0.45">
      <c r="A1" s="2373"/>
      <c r="B1" s="2466" t="s">
        <v>57</v>
      </c>
      <c r="C1" s="3006" t="s">
        <v>29392</v>
      </c>
      <c r="D1" s="3006" t="s">
        <v>29735</v>
      </c>
      <c r="F1" s="2372" t="s">
        <v>63</v>
      </c>
      <c r="G1" s="2372" t="s">
        <v>65</v>
      </c>
      <c r="H1" s="2372" t="s">
        <v>66</v>
      </c>
    </row>
    <row r="2" spans="1:8" x14ac:dyDescent="0.45">
      <c r="A2" s="2371" t="s">
        <v>264</v>
      </c>
      <c r="B2" s="3058" t="s">
        <v>205</v>
      </c>
      <c r="C2" s="3004">
        <v>0</v>
      </c>
      <c r="D2" s="3105"/>
      <c r="F2" s="2367" t="s">
        <v>264</v>
      </c>
      <c r="G2" s="2366" t="s">
        <v>27685</v>
      </c>
      <c r="H2" s="2366" t="s">
        <v>27686</v>
      </c>
    </row>
    <row r="3" spans="1:8" x14ac:dyDescent="0.45">
      <c r="A3" s="2370" t="s">
        <v>264</v>
      </c>
      <c r="B3" s="2472" t="s">
        <v>208</v>
      </c>
      <c r="C3" s="3002">
        <v>0</v>
      </c>
      <c r="D3" s="3106"/>
      <c r="F3" s="2367" t="s">
        <v>264</v>
      </c>
      <c r="G3" s="2366" t="s">
        <v>27685</v>
      </c>
      <c r="H3" s="2366" t="s">
        <v>27687</v>
      </c>
    </row>
    <row r="4" spans="1:8" x14ac:dyDescent="0.45">
      <c r="A4" s="2370" t="s">
        <v>264</v>
      </c>
      <c r="B4" s="2472" t="s">
        <v>210</v>
      </c>
      <c r="C4" s="3002">
        <v>0</v>
      </c>
      <c r="D4" s="3106"/>
      <c r="F4" s="2367" t="s">
        <v>264</v>
      </c>
      <c r="G4" s="2366" t="s">
        <v>27685</v>
      </c>
      <c r="H4" s="2366" t="s">
        <v>27688</v>
      </c>
    </row>
    <row r="5" spans="1:8" x14ac:dyDescent="0.45">
      <c r="A5" s="2370" t="s">
        <v>264</v>
      </c>
      <c r="B5" s="2472" t="s">
        <v>212</v>
      </c>
      <c r="C5" s="2997">
        <v>0</v>
      </c>
      <c r="D5" s="3109"/>
      <c r="F5" s="2367" t="s">
        <v>264</v>
      </c>
      <c r="G5" s="2366" t="s">
        <v>27685</v>
      </c>
      <c r="H5" s="2366" t="s">
        <v>27689</v>
      </c>
    </row>
    <row r="6" spans="1:8" ht="14.65" thickBot="1" x14ac:dyDescent="0.5">
      <c r="A6" s="2369" t="s">
        <v>264</v>
      </c>
      <c r="B6" s="2400" t="s">
        <v>214</v>
      </c>
      <c r="C6" s="3002">
        <v>0</v>
      </c>
      <c r="D6" s="3106"/>
      <c r="F6" s="2367" t="s">
        <v>264</v>
      </c>
      <c r="G6" s="2366" t="s">
        <v>27685</v>
      </c>
      <c r="H6" s="2366" t="s">
        <v>27690</v>
      </c>
    </row>
    <row r="8" spans="1:8" x14ac:dyDescent="0.45">
      <c r="C8" s="3113" t="s">
        <v>29392</v>
      </c>
      <c r="D8" s="3113" t="s">
        <v>29735</v>
      </c>
    </row>
  </sheetData>
  <sheetProtection algorithmName="SHA-512" hashValue="QApIZEEzM0eTITOqlC+HQvtTNZ2jsCkXTtxTusxZPhEzudfuuvUXX5Q6GSSSPrY72NRPJEFOOb8PXDb0Imjbig==" saltValue="nziVBb0qqtn/FbVHr4iGyg==" spinCount="100000" sheet="1" objects="1" scenarios="1"/>
  <conditionalFormatting sqref="C2:D6">
    <cfRule type="cellIs" dxfId="36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C2:C6" xr:uid="{49B5E88E-BF8F-4FD7-AE94-E80F368BB93B}">
      <formula1>AND(C2&gt;=0,ROUND(C2,2)=C2)</formula1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540CA-844D-4CBF-8FF4-272C123C653D}">
  <sheetPr codeName="Sheet32"/>
  <dimension ref="A1:AH219"/>
  <sheetViews>
    <sheetView workbookViewId="0"/>
  </sheetViews>
  <sheetFormatPr defaultColWidth="9" defaultRowHeight="14.25" x14ac:dyDescent="0.45"/>
  <cols>
    <col min="1" max="2" width="9" style="2270"/>
    <col min="3" max="3" width="18.265625" style="2270" customWidth="1"/>
    <col min="4" max="4" width="17" style="2270" bestFit="1" customWidth="1"/>
    <col min="5" max="7" width="12" style="2270" customWidth="1"/>
    <col min="8" max="8" width="12.265625" style="2270" customWidth="1"/>
    <col min="9" max="9" width="12.86328125" style="2270" customWidth="1"/>
    <col min="10" max="10" width="13" style="2270" customWidth="1"/>
    <col min="11" max="11" width="17" style="2270" customWidth="1"/>
    <col min="12" max="16" width="14" style="2270" customWidth="1"/>
    <col min="17" max="17" width="12" style="2270" bestFit="1" customWidth="1"/>
    <col min="18" max="20" width="9" style="2270"/>
    <col min="21" max="21" width="14" style="2270" customWidth="1"/>
    <col min="22" max="16384" width="9" style="2270"/>
  </cols>
  <sheetData>
    <row r="1" spans="1:34" ht="15.4" x14ac:dyDescent="0.45">
      <c r="A1" s="3057" t="s">
        <v>29652</v>
      </c>
    </row>
    <row r="2" spans="1:34" x14ac:dyDescent="0.45">
      <c r="D2" s="2995" t="s">
        <v>28277</v>
      </c>
      <c r="E2" s="3056" t="s">
        <v>29649</v>
      </c>
      <c r="F2" s="3036" t="s">
        <v>29399</v>
      </c>
      <c r="G2" s="3036"/>
      <c r="I2" s="3036"/>
      <c r="J2" s="3036"/>
      <c r="K2" s="3036"/>
    </row>
    <row r="3" spans="1:34" ht="26.25" x14ac:dyDescent="0.45">
      <c r="B3" s="3055" t="s">
        <v>343</v>
      </c>
      <c r="D3" s="2377">
        <f>IF(AND(E3="Validation: OK",F3="Validation: OK"),0,1)</f>
        <v>0</v>
      </c>
      <c r="E3" s="3241" t="str">
        <f>IF(AND(E19="",F19="",H19="",I19=""),"Validation: OK","Validation: Failure (see below table)")</f>
        <v>Validation: OK</v>
      </c>
      <c r="F3" s="3242" t="str">
        <f>IF(AND(H19="",I19=""),"Validation: OK","Validation: Failure (see below table)")</f>
        <v>Validation: OK</v>
      </c>
      <c r="G3" s="3061"/>
    </row>
    <row r="4" spans="1:34" x14ac:dyDescent="0.45">
      <c r="B4" s="3055"/>
      <c r="C4" s="2995"/>
      <c r="D4" s="2995"/>
      <c r="E4" s="2995"/>
      <c r="F4" s="2995"/>
      <c r="G4" s="2995"/>
      <c r="H4" s="2995"/>
      <c r="I4" s="2995"/>
      <c r="J4" s="2995"/>
      <c r="K4" s="2995"/>
      <c r="L4" s="2995"/>
      <c r="M4" s="2995"/>
      <c r="N4" s="2995"/>
      <c r="O4" s="2995"/>
      <c r="P4" s="2995"/>
      <c r="Q4" s="2995"/>
      <c r="R4" s="2995"/>
    </row>
    <row r="5" spans="1:34" ht="139.5" customHeight="1" x14ac:dyDescent="0.45">
      <c r="B5" s="3054" t="s">
        <v>346</v>
      </c>
      <c r="C5" s="3053"/>
      <c r="D5" s="3023"/>
      <c r="E5" s="3243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J5" s="3049"/>
      <c r="K5" s="2995"/>
      <c r="O5" s="2995"/>
      <c r="P5" s="2995"/>
      <c r="Q5" s="2995"/>
      <c r="R5" s="2995"/>
      <c r="S5" s="2995"/>
    </row>
    <row r="6" spans="1:34" x14ac:dyDescent="0.45">
      <c r="B6" s="3048" t="s">
        <v>363</v>
      </c>
      <c r="C6" s="2995"/>
      <c r="E6" s="2377">
        <v>1</v>
      </c>
      <c r="F6" s="2377">
        <v>1</v>
      </c>
      <c r="G6" s="3047">
        <v>1</v>
      </c>
      <c r="H6" s="2377">
        <v>1</v>
      </c>
      <c r="I6" s="2377">
        <v>1</v>
      </c>
      <c r="J6" s="3043"/>
      <c r="K6" s="2995"/>
      <c r="O6" s="2995"/>
      <c r="P6" s="2995"/>
      <c r="Q6" s="2995"/>
      <c r="R6" s="2995"/>
    </row>
    <row r="7" spans="1:34" s="2993" customFormat="1" ht="12.75" customHeight="1" x14ac:dyDescent="0.45">
      <c r="B7" s="3046"/>
      <c r="C7" s="3044"/>
      <c r="D7" s="3044"/>
      <c r="E7" s="3044"/>
      <c r="F7" s="3044"/>
      <c r="G7" s="3044"/>
      <c r="H7" s="3044"/>
      <c r="I7" s="3044"/>
      <c r="J7" s="3043"/>
      <c r="K7" s="2996"/>
      <c r="L7" s="2270"/>
      <c r="M7" s="2270"/>
      <c r="O7" s="2996"/>
      <c r="P7" s="2996"/>
      <c r="Q7" s="2996"/>
      <c r="R7" s="2996"/>
      <c r="AG7" s="2270"/>
      <c r="AH7" s="2270"/>
    </row>
    <row r="8" spans="1:34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J8" s="2996"/>
      <c r="K8" s="2996"/>
      <c r="L8" s="2996"/>
      <c r="M8" s="2996"/>
      <c r="N8" s="2996"/>
      <c r="O8" s="2996"/>
      <c r="P8" s="2996"/>
      <c r="Q8" s="2996"/>
      <c r="R8" s="2996"/>
      <c r="AG8" s="2270"/>
      <c r="AH8" s="2270"/>
    </row>
    <row r="9" spans="1:34" s="2993" customFormat="1" x14ac:dyDescent="0.45">
      <c r="B9" s="3041"/>
      <c r="C9" s="3039"/>
      <c r="D9" s="3037"/>
      <c r="E9" s="3038"/>
      <c r="F9" s="3038">
        <v>0.05</v>
      </c>
      <c r="G9" s="3038"/>
      <c r="H9" s="3037"/>
      <c r="I9" s="3037"/>
      <c r="J9" s="2996"/>
      <c r="K9" s="2996"/>
      <c r="L9" s="3036" t="s">
        <v>27709</v>
      </c>
      <c r="M9" s="3036"/>
      <c r="N9" s="3036"/>
      <c r="O9" s="3036"/>
      <c r="P9" s="3036"/>
      <c r="Q9" s="2270"/>
      <c r="U9" s="2270" t="s">
        <v>29631</v>
      </c>
      <c r="V9" s="2270" t="s">
        <v>29630</v>
      </c>
      <c r="Z9" s="2270"/>
      <c r="AA9" s="2270"/>
    </row>
    <row r="10" spans="1:34" x14ac:dyDescent="0.45">
      <c r="B10" s="3035"/>
      <c r="C10" s="2377"/>
      <c r="D10" s="3009"/>
      <c r="E10" s="2377" t="s">
        <v>29639</v>
      </c>
      <c r="F10" s="2377" t="s">
        <v>29638</v>
      </c>
      <c r="G10" s="2377" t="s">
        <v>29637</v>
      </c>
      <c r="H10" s="2377" t="s">
        <v>29636</v>
      </c>
      <c r="I10" s="2377" t="s">
        <v>29635</v>
      </c>
      <c r="K10" s="2377" t="s">
        <v>29648</v>
      </c>
      <c r="L10" s="3245" t="s">
        <v>29760</v>
      </c>
      <c r="M10" s="3034"/>
      <c r="N10" s="3245" t="s">
        <v>29761</v>
      </c>
      <c r="U10" s="2270" t="s">
        <v>29629</v>
      </c>
      <c r="V10" s="2270" t="s">
        <v>29628</v>
      </c>
    </row>
    <row r="11" spans="1:34" ht="27.75" x14ac:dyDescent="0.45">
      <c r="A11" s="3021"/>
      <c r="B11" s="2354" t="s">
        <v>200</v>
      </c>
      <c r="C11" s="2353" t="s">
        <v>56</v>
      </c>
      <c r="D11" s="2352" t="s">
        <v>57</v>
      </c>
      <c r="E11" s="3115" t="s">
        <v>29740</v>
      </c>
      <c r="F11" s="3115" t="s">
        <v>29741</v>
      </c>
      <c r="G11" s="2270" t="s">
        <v>29644</v>
      </c>
      <c r="H11" s="3115" t="s">
        <v>29745</v>
      </c>
      <c r="I11" s="3115" t="s">
        <v>389</v>
      </c>
      <c r="K11" s="2995"/>
      <c r="L11" s="2993" t="s">
        <v>29642</v>
      </c>
      <c r="M11" s="2993" t="s">
        <v>29651</v>
      </c>
      <c r="N11" s="2993" t="s">
        <v>29399</v>
      </c>
      <c r="U11" s="2270" t="s">
        <v>29626</v>
      </c>
      <c r="V11" s="2270" t="s">
        <v>29625</v>
      </c>
    </row>
    <row r="12" spans="1:34" x14ac:dyDescent="0.45">
      <c r="B12" s="3020" t="s">
        <v>264</v>
      </c>
      <c r="C12" s="2377" t="s">
        <v>204</v>
      </c>
      <c r="D12" s="3008" t="s">
        <v>205</v>
      </c>
      <c r="E12" s="3060" t="str">
        <f>IF(AND($E$6=1, ROUND(FTE_2_Sandwich!$G8, 2)&lt;&gt;FTE_2_Sandwich!$G8), CONCATENATE("Price group", " ", $B12, ", ", $C12, " ", "Length", ", Level ", $D12, "; "), "")</f>
        <v/>
      </c>
      <c r="F12" s="3027" t="str">
        <f>IF(AND($F$6=1,FTE_2_Sandwich!$D8&lt;&gt;0,ABS(FTE_2_Sandwich!$G8-FTE_2_Sandwich!$D8)&lt;$F$9),CONCATENATE("Price group"," ",$B13,", ",$C13," ","Length",", Level ",$D13,"; "),"")</f>
        <v/>
      </c>
      <c r="G12" s="3060" t="str">
        <f>IF(AND($G$6=1,LEN(FTE_2_Sandwich!$I8)&gt;2000), CONCATENATE("Price group", " ", $B12, ", ", $C12, " ", "Length", ", Level ", $D12, "; "), "")</f>
        <v/>
      </c>
      <c r="H12" s="3028" t="str">
        <f>IF(AND($H$6=1, OR(AND(FTE_2_Sandwich!$G8=0,FTE_2_Sandwich!$I8&lt;&gt;""),AND(FTE_2_Sandwich!$G8&lt;&gt;0,FTE_2_Sandwich!$I8=""))), CONCATENATE("Price group", " ", $B12, ", ", $C12, " ", "Length", ", Level ", $D12, "; "), "")</f>
        <v/>
      </c>
      <c r="I12" s="3027" t="str">
        <f>IF(AND($I$6=1,LEN(FTE_2_Sandwich!$I8)&gt;2000), CONCATENATE("Price group", " ", $B12, ", ", $C12, " ", "Length", ", Level ", $D12, "; "), "")</f>
        <v/>
      </c>
      <c r="J12" s="3016"/>
      <c r="K12" s="3026" t="s">
        <v>264</v>
      </c>
      <c r="L12" s="3024">
        <f>IF(OR(E12&lt;&gt;"",F12&lt;&gt;"", H12&lt;&gt;"", I12&lt;&gt;""),1,0)</f>
        <v>0</v>
      </c>
      <c r="M12" s="3025"/>
      <c r="N12" s="3024">
        <f>IF(OR(G12&lt;&gt;"",H12&lt;&gt;"",I12&lt;&gt;""),1,0)</f>
        <v>0</v>
      </c>
      <c r="U12" s="2270" t="s">
        <v>29624</v>
      </c>
      <c r="V12" s="2270" t="s">
        <v>29623</v>
      </c>
    </row>
    <row r="13" spans="1:34" x14ac:dyDescent="0.45">
      <c r="B13" s="3020" t="s">
        <v>264</v>
      </c>
      <c r="C13" s="2377" t="s">
        <v>204</v>
      </c>
      <c r="D13" s="3008" t="s">
        <v>208</v>
      </c>
      <c r="E13" s="3060" t="str">
        <f>IF(AND($E$6=1, ROUND(FTE_2_Sandwich!$G9, 2)&lt;&gt;FTE_2_Sandwich!$G9), CONCATENATE("Price group", " ", $B13, ", ", $C13, " ", "Length", ", Level ", $D13, "; "), "")</f>
        <v/>
      </c>
      <c r="F13" s="3027" t="str">
        <f>IF(AND($F$6=1,FTE_2_Sandwich!$D9&lt;&gt;0,ABS(FTE_2_Sandwich!$G9-FTE_2_Sandwich!$D9)&lt;$F$9),CONCATENATE("Price group"," ",$B14,", ",$C14," ","Length",", Level ",$D14,"; "),"")</f>
        <v/>
      </c>
      <c r="G13" s="3060" t="str">
        <f>IF(AND($G$6=1,LEN(FTE_2_Sandwich!$I9)&gt;2000), CONCATENATE("Price group", " ", $B13, ", ", $C13, " ", "Length", ", Level ", $D13, "; "), "")</f>
        <v/>
      </c>
      <c r="H13" s="3028" t="str">
        <f>IF(AND($H$6=1, OR(AND(FTE_2_Sandwich!$G9=0,FTE_2_Sandwich!$I9&lt;&gt;""),AND(FTE_2_Sandwich!$G9&lt;&gt;0,FTE_2_Sandwich!$I9=""))), CONCATENATE("Price group", " ", $B13, ", ", $C13, " ", "Length", ", Level ", $D13, "; "), "")</f>
        <v/>
      </c>
      <c r="I13" s="3027" t="str">
        <f>IF(AND($I$6=1,LEN(FTE_2_Sandwich!$I9)&gt;2000), CONCATENATE("Price group", " ", $B13, ", ", $C13, " ", "Length", ", Level ", $D13, "; "), "")</f>
        <v/>
      </c>
      <c r="J13" s="3016"/>
      <c r="K13" s="3026" t="s">
        <v>264</v>
      </c>
      <c r="L13" s="3024">
        <f t="shared" ref="L13:L16" si="0">IF(OR(E13&lt;&gt;"",F13&lt;&gt;"", H13&lt;&gt;"", I13&lt;&gt;""),1,0)</f>
        <v>0</v>
      </c>
      <c r="M13" s="3025"/>
      <c r="N13" s="3024">
        <f>IF(OR(H13&lt;&gt;"",I13&lt;&gt;""),1,0)</f>
        <v>0</v>
      </c>
      <c r="U13" s="2270" t="s">
        <v>29622</v>
      </c>
      <c r="V13" s="2270" t="s">
        <v>29621</v>
      </c>
    </row>
    <row r="14" spans="1:34" x14ac:dyDescent="0.45">
      <c r="B14" s="3020" t="s">
        <v>264</v>
      </c>
      <c r="C14" s="2377" t="s">
        <v>204</v>
      </c>
      <c r="D14" s="3008" t="s">
        <v>210</v>
      </c>
      <c r="E14" s="3060" t="str">
        <f>IF(AND($E$6=1, ROUND(FTE_2_Sandwich!$G10, 2)&lt;&gt;FTE_2_Sandwich!$G10), CONCATENATE("Price group", " ", $B14, ", ", $C14, " ", "Length", ", Level ", $D14, "; "), "")</f>
        <v/>
      </c>
      <c r="F14" s="3027" t="str">
        <f>IF(AND($F$6=1,FTE_2_Sandwich!$D10&lt;&gt;0,ABS(FTE_2_Sandwich!$G10-FTE_2_Sandwich!$D10)&lt;$F$9),CONCATENATE("Price group"," ",$B15,", ",$C15," ","Length",", Level ",$D15,"; "),"")</f>
        <v/>
      </c>
      <c r="G14" s="3060" t="str">
        <f>IF(AND($G$6=1,LEN(FTE_2_Sandwich!$I10)&gt;2000), CONCATENATE("Price group", " ", $B14, ", ", $C14, " ", "Length", ", Level ", $D14, "; "), "")</f>
        <v/>
      </c>
      <c r="H14" s="3028" t="str">
        <f>IF(AND($H$6=1, OR(AND(FTE_2_Sandwich!$G10=0,FTE_2_Sandwich!$I10&lt;&gt;""),AND(FTE_2_Sandwich!$G10&lt;&gt;0,FTE_2_Sandwich!$I10=""))), CONCATENATE("Price group", " ", $B14, ", ", $C14, " ", "Length", ", Level ", $D14, "; "), "")</f>
        <v/>
      </c>
      <c r="I14" s="3027" t="str">
        <f>IF(AND($I$6=1,LEN(FTE_2_Sandwich!$I10)&gt;2000), CONCATENATE("Price group", " ", $B14, ", ", $C14, " ", "Length", ", Level ", $D14, "; "), "")</f>
        <v/>
      </c>
      <c r="J14" s="3016"/>
      <c r="K14" s="3026" t="s">
        <v>264</v>
      </c>
      <c r="L14" s="3024">
        <f t="shared" si="0"/>
        <v>0</v>
      </c>
      <c r="M14" s="3025"/>
      <c r="N14" s="3024">
        <f>IF(OR(H14&lt;&gt;"",I14&lt;&gt;""),1,0)</f>
        <v>0</v>
      </c>
      <c r="U14" s="2270" t="s">
        <v>29640</v>
      </c>
      <c r="V14" s="2270" t="s">
        <v>29620</v>
      </c>
    </row>
    <row r="15" spans="1:34" x14ac:dyDescent="0.45">
      <c r="B15" s="3020" t="s">
        <v>264</v>
      </c>
      <c r="C15" s="2377" t="s">
        <v>204</v>
      </c>
      <c r="D15" s="3008" t="s">
        <v>212</v>
      </c>
      <c r="E15" s="3060" t="str">
        <f>IF(AND($E$6=1, ROUND(FTE_2_Sandwich!$G11, 2)&lt;&gt;FTE_2_Sandwich!$G11), CONCATENATE("Price group", " ", $B15, ", ", $C15, " ", "Length", ", Level ", $D15, "; "), "")</f>
        <v/>
      </c>
      <c r="F15" s="3027" t="str">
        <f>IF(AND($F$6=1,FTE_2_Sandwich!$D11&lt;&gt;0,ABS(FTE_2_Sandwich!$G11-FTE_2_Sandwich!$D11)&lt;$F$9),CONCATENATE("Price group"," ",$B16,", ",$C16," ","Length",", Level ",$D16,"; "),"")</f>
        <v/>
      </c>
      <c r="G15" s="3060" t="str">
        <f>IF(AND($G$6=1,LEN(FTE_2_Sandwich!$I11)&gt;2000), CONCATENATE("Price group", " ", $B15, ", ", $C15, " ", "Length", ", Level ", $D15, "; "), "")</f>
        <v/>
      </c>
      <c r="H15" s="3028" t="str">
        <f>IF(AND($H$6=1, OR(AND(FTE_2_Sandwich!$G11=0,FTE_2_Sandwich!$I11&lt;&gt;""),AND(FTE_2_Sandwich!$G11&lt;&gt;0,FTE_2_Sandwich!$I11=""))), CONCATENATE("Price group", " ", $B15, ", ", $C15, " ", "Length", ", Level ", $D15, "; "), "")</f>
        <v/>
      </c>
      <c r="I15" s="3027" t="str">
        <f>IF(AND($I$6=1,LEN(FTE_2_Sandwich!$I11)&gt;2000), CONCATENATE("Price group", " ", $B15, ", ", $C15, " ", "Length", ", Level ", $D15, "; "), "")</f>
        <v/>
      </c>
      <c r="J15" s="3016"/>
      <c r="K15" s="3026" t="s">
        <v>264</v>
      </c>
      <c r="L15" s="3024">
        <f t="shared" si="0"/>
        <v>0</v>
      </c>
      <c r="M15" s="3025"/>
      <c r="N15" s="3024">
        <f>IF(OR(H15&lt;&gt;"",I15&lt;&gt;""),1,0)</f>
        <v>0</v>
      </c>
      <c r="U15" s="2270" t="s">
        <v>27964</v>
      </c>
      <c r="V15" s="2270" t="s">
        <v>29619</v>
      </c>
    </row>
    <row r="16" spans="1:34" x14ac:dyDescent="0.45">
      <c r="B16" s="3020" t="s">
        <v>264</v>
      </c>
      <c r="C16" s="2377" t="s">
        <v>204</v>
      </c>
      <c r="D16" s="3008" t="s">
        <v>214</v>
      </c>
      <c r="E16" s="3060" t="str">
        <f>IF(AND($E$6=1, ROUND(FTE_2_Sandwich!$G12, 2)&lt;&gt;FTE_2_Sandwich!$G12), CONCATENATE("Price group", " ", $B16, ", ", $C16, " ", "Length", ", Level ", $D16, "; "), "")</f>
        <v/>
      </c>
      <c r="F16" s="3027" t="str">
        <f>IF(AND($F$6=1,FTE_2_Sandwich!$D12&lt;&gt;0,ABS(FTE_2_Sandwich!$G12-FTE_2_Sandwich!$D12)&lt;$F$9),CONCATENATE("Price group"," ",$B17,", ",$C17," ","Length",", Level ",$D17,"; "),"")</f>
        <v/>
      </c>
      <c r="G16" s="3060" t="str">
        <f>IF(AND($G$6=1,LEN(FTE_2_Sandwich!$I12)&gt;2000), CONCATENATE("Price group", " ", $B16, ", ", $C16, " ", "Length", ", Level ", $D16, "; "), "")</f>
        <v/>
      </c>
      <c r="H16" s="3028" t="str">
        <f>IF(AND($H$6=1, OR(AND(FTE_2_Sandwich!$G12=0,FTE_2_Sandwich!$I12&lt;&gt;""),AND(FTE_2_Sandwich!$G12&lt;&gt;0,FTE_2_Sandwich!$I12=""))), CONCATENATE("Price group", " ", $B16, ", ", $C16, " ", "Length", ", Level ", $D16, "; "), "")</f>
        <v/>
      </c>
      <c r="I16" s="3027" t="str">
        <f>IF(AND($I$6=1,LEN(FTE_2_Sandwich!$I12)&gt;2000), CONCATENATE("Price group", " ", $B16, ", ", $C16, " ", "Length", ", Level ", $D16, "; "), "")</f>
        <v/>
      </c>
      <c r="J16" s="3016"/>
      <c r="K16" s="3026" t="s">
        <v>264</v>
      </c>
      <c r="L16" s="3024">
        <f t="shared" si="0"/>
        <v>0</v>
      </c>
      <c r="M16" s="3025"/>
      <c r="N16" s="3024">
        <f>IF(OR(H16&lt;&gt;"",I16&lt;&gt;""),1,0)</f>
        <v>0</v>
      </c>
    </row>
    <row r="17" spans="1:10" x14ac:dyDescent="0.45">
      <c r="A17" s="3021"/>
      <c r="E17" s="2377"/>
      <c r="F17" s="2377"/>
      <c r="G17" s="2377"/>
      <c r="H17" s="3022"/>
      <c r="I17" s="2377"/>
      <c r="J17" s="3016"/>
    </row>
    <row r="18" spans="1:10" x14ac:dyDescent="0.45">
      <c r="A18" s="3021"/>
      <c r="B18" s="3016"/>
      <c r="E18" s="2377" t="s">
        <v>29639</v>
      </c>
      <c r="F18" s="2377" t="s">
        <v>29638</v>
      </c>
      <c r="G18" s="2377" t="s">
        <v>29637</v>
      </c>
      <c r="H18" s="2377" t="s">
        <v>29636</v>
      </c>
      <c r="I18" s="2377" t="s">
        <v>29635</v>
      </c>
      <c r="J18" s="3016"/>
    </row>
    <row r="19" spans="1:10" x14ac:dyDescent="0.45">
      <c r="A19" s="3021"/>
      <c r="B19" s="3020"/>
      <c r="E19" s="3121" t="str">
        <f>CONCATENATE(E12,E13,E14,E15,E16)</f>
        <v/>
      </c>
      <c r="F19" s="3121" t="str">
        <f t="shared" ref="F19:I19" si="1">CONCATENATE(F12,F13,F14,F15,F16)</f>
        <v/>
      </c>
      <c r="G19" s="3244" t="str">
        <f t="shared" si="1"/>
        <v/>
      </c>
      <c r="H19" s="3246" t="str">
        <f t="shared" si="1"/>
        <v/>
      </c>
      <c r="I19" s="3246" t="str">
        <f t="shared" si="1"/>
        <v/>
      </c>
      <c r="J19" s="3016"/>
    </row>
    <row r="20" spans="1:10" x14ac:dyDescent="0.45">
      <c r="B20" s="3019"/>
      <c r="C20" s="3017"/>
      <c r="D20" s="3017"/>
      <c r="E20" s="3018"/>
      <c r="F20" s="3017"/>
      <c r="G20" s="3017"/>
      <c r="H20" s="3017"/>
      <c r="I20" s="3017"/>
    </row>
    <row r="21" spans="1:10" x14ac:dyDescent="0.45">
      <c r="E21" s="2377"/>
      <c r="F21" s="3009"/>
      <c r="G21" s="3009"/>
      <c r="H21" s="2377"/>
    </row>
    <row r="22" spans="1:10" x14ac:dyDescent="0.45">
      <c r="E22" s="2377"/>
      <c r="F22" s="2377"/>
      <c r="G22" s="2377"/>
      <c r="H22" s="2377"/>
    </row>
    <row r="23" spans="1:10" x14ac:dyDescent="0.45">
      <c r="E23" s="2377"/>
      <c r="F23" s="2377"/>
      <c r="G23" s="2377"/>
      <c r="H23" s="2377"/>
    </row>
    <row r="24" spans="1:10" x14ac:dyDescent="0.45">
      <c r="E24" s="2377"/>
      <c r="F24" s="3059"/>
      <c r="G24" s="3059"/>
      <c r="H24" s="3059"/>
      <c r="I24" s="2377"/>
    </row>
    <row r="25" spans="1:10" x14ac:dyDescent="0.45">
      <c r="E25" s="2377"/>
      <c r="F25" s="3013"/>
      <c r="G25" s="3013"/>
      <c r="H25" s="3013"/>
    </row>
    <row r="26" spans="1:10" x14ac:dyDescent="0.45">
      <c r="E26" s="2377"/>
    </row>
    <row r="27" spans="1:10" x14ac:dyDescent="0.45">
      <c r="E27" s="2377"/>
      <c r="F27" s="2377"/>
      <c r="G27" s="2377"/>
      <c r="H27" s="2377"/>
    </row>
    <row r="28" spans="1:10" x14ac:dyDescent="0.45">
      <c r="E28" s="2377"/>
      <c r="F28" s="2377"/>
      <c r="G28" s="2377"/>
      <c r="H28" s="2377"/>
    </row>
    <row r="29" spans="1:10" x14ac:dyDescent="0.45">
      <c r="E29" s="2377"/>
      <c r="F29" s="2377"/>
      <c r="G29" s="2377"/>
      <c r="H29" s="2377"/>
    </row>
    <row r="30" spans="1:10" x14ac:dyDescent="0.45">
      <c r="E30" s="2377"/>
      <c r="F30" s="2377"/>
      <c r="G30" s="2377"/>
      <c r="H30" s="2377"/>
    </row>
    <row r="31" spans="1:10" x14ac:dyDescent="0.45">
      <c r="E31" s="2377"/>
      <c r="F31" s="2377"/>
      <c r="G31" s="2377"/>
      <c r="H31" s="2377"/>
    </row>
    <row r="32" spans="1:10" x14ac:dyDescent="0.45">
      <c r="E32" s="2377"/>
      <c r="F32" s="2377"/>
      <c r="G32" s="2377"/>
      <c r="H32" s="2377"/>
    </row>
    <row r="33" spans="5:8" x14ac:dyDescent="0.45">
      <c r="F33" s="2377"/>
      <c r="G33" s="2377"/>
      <c r="H33" s="2377"/>
    </row>
    <row r="34" spans="5:8" x14ac:dyDescent="0.45">
      <c r="E34" s="2377"/>
      <c r="F34" s="2377"/>
      <c r="G34" s="2377"/>
      <c r="H34" s="2377"/>
    </row>
    <row r="35" spans="5:8" x14ac:dyDescent="0.45">
      <c r="E35" s="3009"/>
      <c r="F35" s="2377"/>
      <c r="G35" s="2377"/>
      <c r="H35" s="2377"/>
    </row>
    <row r="36" spans="5:8" x14ac:dyDescent="0.45">
      <c r="E36" s="3009"/>
      <c r="F36" s="2377"/>
      <c r="G36" s="2377"/>
      <c r="H36" s="2377"/>
    </row>
    <row r="37" spans="5:8" x14ac:dyDescent="0.45">
      <c r="E37" s="2377"/>
      <c r="F37" s="2377"/>
      <c r="G37" s="2377"/>
      <c r="H37" s="2377"/>
    </row>
    <row r="38" spans="5:8" x14ac:dyDescent="0.45">
      <c r="F38" s="2377"/>
      <c r="G38" s="2377"/>
      <c r="H38" s="2377"/>
    </row>
    <row r="39" spans="5:8" x14ac:dyDescent="0.45">
      <c r="F39" s="2377"/>
      <c r="G39" s="2377"/>
      <c r="H39" s="2377"/>
    </row>
    <row r="40" spans="5:8" x14ac:dyDescent="0.45">
      <c r="F40" s="2377"/>
      <c r="G40" s="2377"/>
      <c r="H40" s="2377"/>
    </row>
    <row r="41" spans="5:8" x14ac:dyDescent="0.45">
      <c r="F41" s="2377"/>
      <c r="G41" s="2377"/>
      <c r="H41" s="2377"/>
    </row>
    <row r="42" spans="5:8" x14ac:dyDescent="0.45">
      <c r="F42" s="2377"/>
      <c r="G42" s="2377"/>
      <c r="H42" s="2377"/>
    </row>
    <row r="43" spans="5:8" x14ac:dyDescent="0.45">
      <c r="F43" s="2377"/>
      <c r="G43" s="2377"/>
      <c r="H43" s="2377"/>
    </row>
    <row r="44" spans="5:8" x14ac:dyDescent="0.45">
      <c r="F44" s="2377"/>
      <c r="G44" s="2377"/>
      <c r="H44" s="2377"/>
    </row>
    <row r="45" spans="5:8" x14ac:dyDescent="0.45">
      <c r="F45" s="2377"/>
      <c r="G45" s="2377"/>
      <c r="H45" s="2377"/>
    </row>
    <row r="46" spans="5:8" x14ac:dyDescent="0.45">
      <c r="F46" s="2377"/>
      <c r="G46" s="2377"/>
      <c r="H46" s="2377"/>
    </row>
    <row r="47" spans="5:8" x14ac:dyDescent="0.45">
      <c r="F47" s="2377"/>
      <c r="G47" s="2377"/>
      <c r="H47" s="2377"/>
    </row>
    <row r="48" spans="5:8" x14ac:dyDescent="0.45">
      <c r="F48" s="2377"/>
      <c r="G48" s="2377"/>
      <c r="H48" s="2377"/>
    </row>
    <row r="49" spans="5:8" x14ac:dyDescent="0.45">
      <c r="F49" s="2377"/>
      <c r="G49" s="2377"/>
      <c r="H49" s="2377"/>
    </row>
    <row r="50" spans="5:8" x14ac:dyDescent="0.45">
      <c r="F50" s="2377"/>
      <c r="G50" s="2377"/>
      <c r="H50" s="2377"/>
    </row>
    <row r="51" spans="5:8" x14ac:dyDescent="0.45">
      <c r="F51" s="2377"/>
      <c r="G51" s="2377"/>
      <c r="H51" s="2377"/>
    </row>
    <row r="52" spans="5:8" x14ac:dyDescent="0.45">
      <c r="F52" s="2377"/>
      <c r="G52" s="2377"/>
      <c r="H52" s="2377"/>
    </row>
    <row r="53" spans="5:8" x14ac:dyDescent="0.45">
      <c r="F53" s="2377"/>
      <c r="G53" s="2377"/>
      <c r="H53" s="2377"/>
    </row>
    <row r="54" spans="5:8" x14ac:dyDescent="0.45">
      <c r="F54" s="2377"/>
      <c r="G54" s="2377"/>
      <c r="H54" s="2377"/>
    </row>
    <row r="55" spans="5:8" x14ac:dyDescent="0.45">
      <c r="F55" s="2377"/>
      <c r="G55" s="2377"/>
      <c r="H55" s="2377"/>
    </row>
    <row r="56" spans="5:8" x14ac:dyDescent="0.45">
      <c r="F56" s="2377"/>
      <c r="G56" s="2377"/>
      <c r="H56" s="2377"/>
    </row>
    <row r="57" spans="5:8" x14ac:dyDescent="0.45">
      <c r="F57" s="2377"/>
      <c r="G57" s="2377"/>
      <c r="H57" s="2377"/>
    </row>
    <row r="58" spans="5:8" x14ac:dyDescent="0.45">
      <c r="F58" s="2377"/>
      <c r="G58" s="2377"/>
      <c r="H58" s="2377"/>
    </row>
    <row r="59" spans="5:8" x14ac:dyDescent="0.45">
      <c r="F59" s="2377"/>
      <c r="G59" s="2377"/>
      <c r="H59" s="2377"/>
    </row>
    <row r="60" spans="5:8" x14ac:dyDescent="0.45">
      <c r="F60" s="2377"/>
      <c r="G60" s="2377"/>
      <c r="H60" s="2377"/>
    </row>
    <row r="61" spans="5:8" x14ac:dyDescent="0.45">
      <c r="E61" s="2995"/>
      <c r="F61" s="2377"/>
      <c r="G61" s="2377"/>
      <c r="H61" s="2377"/>
    </row>
    <row r="62" spans="5:8" x14ac:dyDescent="0.45">
      <c r="F62" s="2377"/>
      <c r="G62" s="2377"/>
      <c r="H62" s="2377"/>
    </row>
    <row r="63" spans="5:8" x14ac:dyDescent="0.45">
      <c r="F63" s="2377"/>
      <c r="G63" s="2377"/>
      <c r="H63" s="2377"/>
    </row>
    <row r="64" spans="5:8" x14ac:dyDescent="0.45">
      <c r="F64" s="2377"/>
      <c r="G64" s="2377"/>
      <c r="H64" s="2377"/>
    </row>
    <row r="65" spans="6:8" x14ac:dyDescent="0.45">
      <c r="F65" s="2377"/>
      <c r="G65" s="2377"/>
      <c r="H65" s="2377"/>
    </row>
    <row r="66" spans="6:8" x14ac:dyDescent="0.45">
      <c r="F66" s="2377"/>
      <c r="G66" s="2377"/>
      <c r="H66" s="2377"/>
    </row>
    <row r="67" spans="6:8" x14ac:dyDescent="0.45">
      <c r="F67" s="2377"/>
      <c r="G67" s="2377"/>
      <c r="H67" s="2377"/>
    </row>
    <row r="68" spans="6:8" x14ac:dyDescent="0.45">
      <c r="F68" s="2377"/>
      <c r="G68" s="2377"/>
      <c r="H68" s="2377"/>
    </row>
    <row r="69" spans="6:8" x14ac:dyDescent="0.45">
      <c r="F69" s="2377"/>
      <c r="G69" s="2377"/>
      <c r="H69" s="2377"/>
    </row>
    <row r="70" spans="6:8" x14ac:dyDescent="0.45">
      <c r="F70" s="2377"/>
      <c r="G70" s="2377"/>
      <c r="H70" s="2377"/>
    </row>
    <row r="71" spans="6:8" x14ac:dyDescent="0.45">
      <c r="F71" s="2377"/>
      <c r="G71" s="2377"/>
      <c r="H71" s="2377"/>
    </row>
    <row r="72" spans="6:8" x14ac:dyDescent="0.45">
      <c r="F72" s="2377"/>
      <c r="G72" s="2377"/>
      <c r="H72" s="2377"/>
    </row>
    <row r="73" spans="6:8" x14ac:dyDescent="0.45">
      <c r="F73" s="2377"/>
      <c r="G73" s="2377"/>
      <c r="H73" s="2377"/>
    </row>
    <row r="74" spans="6:8" x14ac:dyDescent="0.45">
      <c r="F74" s="2377"/>
      <c r="G74" s="2377"/>
      <c r="H74" s="2377"/>
    </row>
    <row r="75" spans="6:8" x14ac:dyDescent="0.45">
      <c r="F75" s="2377"/>
      <c r="G75" s="2377"/>
      <c r="H75" s="2377"/>
    </row>
    <row r="76" spans="6:8" x14ac:dyDescent="0.45">
      <c r="F76" s="2377"/>
      <c r="G76" s="2377"/>
      <c r="H76" s="2377"/>
    </row>
    <row r="77" spans="6:8" x14ac:dyDescent="0.45">
      <c r="F77" s="2377"/>
      <c r="G77" s="2377"/>
      <c r="H77" s="2377"/>
    </row>
    <row r="78" spans="6:8" x14ac:dyDescent="0.45">
      <c r="F78" s="2377"/>
      <c r="G78" s="2377"/>
      <c r="H78" s="2377"/>
    </row>
    <row r="79" spans="6:8" x14ac:dyDescent="0.45">
      <c r="F79" s="2377"/>
      <c r="G79" s="2377"/>
      <c r="H79" s="2377"/>
    </row>
    <row r="80" spans="6:8" x14ac:dyDescent="0.45">
      <c r="F80" s="2377"/>
      <c r="G80" s="2377"/>
      <c r="H80" s="2377"/>
    </row>
    <row r="81" spans="6:8" x14ac:dyDescent="0.45">
      <c r="F81" s="2377"/>
      <c r="G81" s="2377"/>
      <c r="H81" s="2377"/>
    </row>
    <row r="82" spans="6:8" x14ac:dyDescent="0.45">
      <c r="F82" s="2377"/>
      <c r="G82" s="2377"/>
      <c r="H82" s="2377"/>
    </row>
    <row r="83" spans="6:8" x14ac:dyDescent="0.45">
      <c r="F83" s="2377"/>
      <c r="G83" s="2377"/>
      <c r="H83" s="2377"/>
    </row>
    <row r="84" spans="6:8" x14ac:dyDescent="0.45">
      <c r="F84" s="2377"/>
      <c r="G84" s="2377"/>
      <c r="H84" s="2377"/>
    </row>
    <row r="85" spans="6:8" x14ac:dyDescent="0.45">
      <c r="F85" s="2377"/>
      <c r="G85" s="2377"/>
      <c r="H85" s="2377"/>
    </row>
    <row r="86" spans="6:8" x14ac:dyDescent="0.45">
      <c r="F86" s="2377"/>
      <c r="G86" s="2377"/>
      <c r="H86" s="2377"/>
    </row>
    <row r="87" spans="6:8" x14ac:dyDescent="0.45">
      <c r="F87" s="2377"/>
      <c r="G87" s="2377"/>
      <c r="H87" s="2377"/>
    </row>
    <row r="88" spans="6:8" x14ac:dyDescent="0.45">
      <c r="H88" s="2377"/>
    </row>
    <row r="89" spans="6:8" x14ac:dyDescent="0.45">
      <c r="F89" s="2377"/>
      <c r="G89" s="2377"/>
      <c r="H89" s="2377"/>
    </row>
    <row r="90" spans="6:8" x14ac:dyDescent="0.45">
      <c r="F90" s="3009"/>
      <c r="G90" s="3009"/>
      <c r="H90" s="2377"/>
    </row>
    <row r="91" spans="6:8" x14ac:dyDescent="0.45">
      <c r="F91" s="3009"/>
      <c r="G91" s="3009"/>
      <c r="H91" s="2377"/>
    </row>
    <row r="92" spans="6:8" x14ac:dyDescent="0.45">
      <c r="F92" s="2377"/>
      <c r="G92" s="2377"/>
      <c r="H92" s="2377"/>
    </row>
    <row r="116" spans="6:9" x14ac:dyDescent="0.45">
      <c r="F116" s="2993"/>
      <c r="G116" s="2993"/>
      <c r="H116" s="2993"/>
      <c r="I116" s="2993"/>
    </row>
    <row r="216" spans="2:30" s="2993" customFormat="1" x14ac:dyDescent="0.45">
      <c r="B216" s="2270"/>
      <c r="C216" s="2270"/>
      <c r="D216" s="2270"/>
      <c r="E216" s="2270"/>
      <c r="F216" s="2270"/>
      <c r="G216" s="2270"/>
      <c r="H216" s="2270"/>
      <c r="I216" s="2270"/>
      <c r="L216" s="2270"/>
      <c r="M216" s="2270"/>
      <c r="N216" s="2270"/>
      <c r="O216" s="2270"/>
      <c r="P216" s="2270"/>
      <c r="Q216" s="2270"/>
      <c r="R216" s="2270"/>
      <c r="S216" s="2270"/>
      <c r="T216" s="2270"/>
      <c r="U216" s="2270"/>
      <c r="V216" s="2270"/>
      <c r="W216" s="2270"/>
      <c r="X216" s="2270"/>
      <c r="Y216" s="2270"/>
      <c r="Z216" s="2270"/>
      <c r="AA216" s="2270"/>
      <c r="AB216" s="2270"/>
      <c r="AC216" s="2270"/>
      <c r="AD216" s="2270"/>
    </row>
    <row r="217" spans="2:30" s="2993" customFormat="1" x14ac:dyDescent="0.45">
      <c r="B217" s="2270"/>
      <c r="C217" s="2270"/>
      <c r="D217" s="2270"/>
      <c r="E217" s="2270"/>
      <c r="F217" s="2270"/>
      <c r="G217" s="2270"/>
      <c r="H217" s="2270"/>
      <c r="I217" s="2270"/>
      <c r="L217" s="2270"/>
      <c r="M217" s="2270"/>
      <c r="N217" s="2270"/>
      <c r="O217" s="2270"/>
      <c r="P217" s="2270"/>
      <c r="Q217" s="2270"/>
      <c r="R217" s="2270"/>
      <c r="S217" s="2270"/>
      <c r="T217" s="2270"/>
      <c r="U217" s="2270"/>
      <c r="V217" s="2270"/>
      <c r="W217" s="2270"/>
      <c r="X217" s="2270"/>
      <c r="Y217" s="2270"/>
      <c r="Z217" s="2270"/>
      <c r="AA217" s="2270"/>
      <c r="AB217" s="2270"/>
      <c r="AC217" s="2270"/>
      <c r="AD217" s="2270"/>
    </row>
    <row r="218" spans="2:30" ht="13.5" customHeight="1" x14ac:dyDescent="0.45"/>
    <row r="219" spans="2:30" ht="13.5" customHeight="1" x14ac:dyDescent="0.45"/>
  </sheetData>
  <sheetProtection algorithmName="SHA-512" hashValue="hXaZq2JVuCvhoXx5QS8FLys5YqBWxQ2VIVadVD3YLm8WKoDTIGnh0pC9bixJwsIAaVK0Xj1IWrpIdg2EdpbpVQ==" saltValue="2wUD35LUHZ3+dPlBrMJKWQ==" spinCount="100000" sheet="1" objects="1" scenarios="1"/>
  <phoneticPr fontId="24" type="noConversion"/>
  <conditionalFormatting sqref="L12:N16">
    <cfRule type="cellIs" dxfId="35" priority="1" operator="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5FFEA-FE63-4A2B-8FD6-539F480C6C17}">
  <sheetPr codeName="Sheet33">
    <tabColor theme="5" tint="0.39997558519241921"/>
    <pageSetUpPr autoPageBreaks="0" fitToPage="1"/>
  </sheetPr>
  <dimension ref="A1:Q98"/>
  <sheetViews>
    <sheetView showGridLines="0" workbookViewId="0"/>
  </sheetViews>
  <sheetFormatPr defaultColWidth="9" defaultRowHeight="14.25" x14ac:dyDescent="0.45"/>
  <cols>
    <col min="1" max="1" width="16.86328125" style="2270" customWidth="1"/>
    <col min="2" max="2" width="9" style="2270" customWidth="1"/>
    <col min="3" max="3" width="20" style="2270" customWidth="1"/>
    <col min="4" max="4" width="16.73046875" style="2270" customWidth="1"/>
    <col min="5" max="7" width="15" style="2270" customWidth="1"/>
    <col min="8" max="9" width="17.1328125" style="2270" customWidth="1"/>
    <col min="10" max="10" width="50" style="2270" customWidth="1"/>
    <col min="11" max="11" width="14" style="2270" customWidth="1"/>
    <col min="12" max="12" width="15" style="2270" customWidth="1"/>
    <col min="13" max="13" width="42.86328125" style="2270" customWidth="1"/>
    <col min="14" max="14" width="11" style="2270" customWidth="1"/>
    <col min="15" max="15" width="9.86328125" style="2270" hidden="1" customWidth="1"/>
    <col min="16" max="16" width="10.265625" style="2270" hidden="1" customWidth="1"/>
    <col min="17" max="17" width="0" style="2270" hidden="1" customWidth="1"/>
    <col min="18" max="16384" width="9" style="2270"/>
  </cols>
  <sheetData>
    <row r="1" spans="1:17" ht="25.5" customHeight="1" x14ac:dyDescent="0.45">
      <c r="A1" s="636" t="s">
        <v>29798</v>
      </c>
      <c r="B1" s="2377"/>
      <c r="C1" s="2377"/>
      <c r="D1" s="2377"/>
      <c r="E1" s="2377"/>
      <c r="G1" s="2377"/>
    </row>
    <row r="2" spans="1:17" ht="17.649999999999999" x14ac:dyDescent="0.45">
      <c r="A2" s="1385" t="str">
        <f>IF(PROVIDER="","Provider name",PROVIDER&amp;" ("&amp;UKPRN&amp;")")</f>
        <v>Provider name</v>
      </c>
      <c r="B2" s="2361"/>
      <c r="C2" s="2361"/>
      <c r="D2" s="2362"/>
      <c r="E2" s="2362"/>
      <c r="G2" s="2362"/>
    </row>
    <row r="3" spans="1:17" ht="14.25" customHeight="1" x14ac:dyDescent="0.45">
      <c r="A3" s="1501" t="s">
        <v>27713</v>
      </c>
      <c r="B3" s="2361"/>
      <c r="C3" s="2361"/>
      <c r="D3" s="2362"/>
      <c r="E3" s="2362"/>
      <c r="G3" s="2362"/>
    </row>
    <row r="4" spans="1:17" s="2269" customFormat="1" ht="45" customHeight="1" thickBot="1" x14ac:dyDescent="0.4">
      <c r="C4" s="2360"/>
      <c r="D4" s="2358"/>
      <c r="E4" s="2359"/>
      <c r="F4" s="2359"/>
      <c r="G4" s="2359"/>
      <c r="H4" s="2358" t="str">
        <f>'FTE Table 3 Valid'!E3</f>
        <v>Validation: OK</v>
      </c>
      <c r="I4" s="2358"/>
      <c r="J4" s="2358" t="str">
        <f>'FTE Table 3 Valid'!F3</f>
        <v>Validation: OK</v>
      </c>
      <c r="K4" s="2357"/>
      <c r="L4" s="2357"/>
      <c r="M4" s="2357"/>
    </row>
    <row r="5" spans="1:17" s="2269" customFormat="1" ht="48" customHeight="1" thickTop="1" x14ac:dyDescent="0.35">
      <c r="A5" s="2289"/>
      <c r="B5" s="2289"/>
      <c r="C5" s="2289"/>
      <c r="D5" s="3125" t="s">
        <v>29703</v>
      </c>
      <c r="E5" s="3126" t="s">
        <v>29401</v>
      </c>
      <c r="F5" s="3126" t="s">
        <v>29400</v>
      </c>
      <c r="G5" s="3127" t="s">
        <v>29670</v>
      </c>
      <c r="H5" s="3128" t="s">
        <v>29736</v>
      </c>
      <c r="I5" s="3126" t="s">
        <v>29671</v>
      </c>
      <c r="J5" s="3127" t="s">
        <v>29399</v>
      </c>
      <c r="K5" s="3212" t="s">
        <v>29398</v>
      </c>
      <c r="L5" s="3213" t="s">
        <v>29397</v>
      </c>
      <c r="M5" s="3214" t="s">
        <v>29396</v>
      </c>
      <c r="N5" s="2345"/>
    </row>
    <row r="6" spans="1:17" s="2269" customFormat="1" ht="30" customHeight="1" x14ac:dyDescent="0.35">
      <c r="D6" s="3129" t="s">
        <v>27681</v>
      </c>
      <c r="E6" s="3130" t="s">
        <v>27681</v>
      </c>
      <c r="F6" s="3130" t="s">
        <v>27681</v>
      </c>
      <c r="G6" s="3131" t="s">
        <v>27681</v>
      </c>
      <c r="H6" s="3132"/>
      <c r="I6" s="3130" t="s">
        <v>27681</v>
      </c>
      <c r="J6" s="3114"/>
      <c r="K6" s="2356"/>
      <c r="L6" s="2355"/>
      <c r="M6" s="3114"/>
      <c r="N6" s="2345"/>
    </row>
    <row r="7" spans="1:17" s="2269" customFormat="1" ht="97.15" customHeight="1" x14ac:dyDescent="0.35">
      <c r="A7" s="2354" t="s">
        <v>200</v>
      </c>
      <c r="B7" s="2353" t="s">
        <v>56</v>
      </c>
      <c r="C7" s="2352" t="s">
        <v>57</v>
      </c>
      <c r="D7" s="3133" t="str">
        <f>"Countable years in academic year 20"&amp;YEAR&amp;"-"&amp;RIGHT(YEAR+1,2)</f>
        <v>Countable years in academic year 2024-25</v>
      </c>
      <c r="E7" s="2347" t="s">
        <v>29682</v>
      </c>
      <c r="F7" s="2347" t="str">
        <f>"Aggregation level of multiplication factor used where different to last year"</f>
        <v>Aggregation level of multiplication factor used where different to last year</v>
      </c>
      <c r="G7" s="2346" t="s">
        <v>29672</v>
      </c>
      <c r="H7" s="2351" t="s">
        <v>29737</v>
      </c>
      <c r="I7" s="2350" t="s">
        <v>29752</v>
      </c>
      <c r="J7" s="2349" t="s">
        <v>29751</v>
      </c>
      <c r="K7" s="2348" t="s">
        <v>29395</v>
      </c>
      <c r="L7" s="2347" t="s">
        <v>29394</v>
      </c>
      <c r="M7" s="2346" t="s">
        <v>29393</v>
      </c>
      <c r="N7" s="2345"/>
      <c r="O7" s="2344" t="s">
        <v>63</v>
      </c>
      <c r="P7" s="2344" t="s">
        <v>315</v>
      </c>
      <c r="Q7" s="2344" t="s">
        <v>66</v>
      </c>
    </row>
    <row r="8" spans="1:17" s="2269" customFormat="1" ht="15" customHeight="1" x14ac:dyDescent="0.35">
      <c r="A8" s="2340" t="s">
        <v>203</v>
      </c>
      <c r="B8" s="2340" t="s">
        <v>204</v>
      </c>
      <c r="C8" s="2339" t="s">
        <v>205</v>
      </c>
      <c r="D8" s="3134">
        <v>0</v>
      </c>
      <c r="E8" s="3135">
        <v>0</v>
      </c>
      <c r="F8" s="3136" t="str">
        <f>IF(D8=0,"N/A",'Table 1 MF'!E2)</f>
        <v>N/A</v>
      </c>
      <c r="G8" s="3143">
        <f t="shared" ref="G8:G67" si="0">D8*E8</f>
        <v>0</v>
      </c>
      <c r="H8" s="2338">
        <v>0</v>
      </c>
      <c r="I8" s="3138">
        <f>IF(H8&gt;0,D8*H8, 0)</f>
        <v>0</v>
      </c>
      <c r="J8" s="3139"/>
      <c r="K8" s="3192" t="s">
        <v>27964</v>
      </c>
      <c r="L8" s="3193" cm="1">
        <f t="array" ref="L8">_xlfn.IFS(K8="","",K8="Yes",H8,K8="No",E8,K8="Yes with different rate","Please enter value")</f>
        <v>0</v>
      </c>
      <c r="M8" s="3194"/>
      <c r="N8" s="2381"/>
      <c r="O8" s="2290" t="s">
        <v>203</v>
      </c>
      <c r="P8" s="2290" t="s">
        <v>27685</v>
      </c>
      <c r="Q8" s="2290" t="s">
        <v>27686</v>
      </c>
    </row>
    <row r="9" spans="1:17" s="2343" customFormat="1" ht="15" customHeight="1" x14ac:dyDescent="0.35">
      <c r="A9" s="2326" t="s">
        <v>203</v>
      </c>
      <c r="B9" s="2326" t="s">
        <v>204</v>
      </c>
      <c r="C9" s="2313" t="s">
        <v>208</v>
      </c>
      <c r="D9" s="3140">
        <f>'3_Part_time'!M13</f>
        <v>0</v>
      </c>
      <c r="E9" s="3141">
        <f>IF(D9=0,0,'Table 1 MF'!D3)</f>
        <v>0</v>
      </c>
      <c r="F9" s="3142" t="str">
        <f>IF(D9=0,"N/A",'Table 1 MF'!E3)</f>
        <v>N/A</v>
      </c>
      <c r="G9" s="3143">
        <f t="shared" si="0"/>
        <v>0</v>
      </c>
      <c r="H9" s="2333">
        <v>0</v>
      </c>
      <c r="I9" s="3144">
        <f t="shared" ref="I9:I67" si="1">IF(H9&gt;0,D9*H9, 0)</f>
        <v>0</v>
      </c>
      <c r="J9" s="3145"/>
      <c r="K9" s="3195" t="s">
        <v>27964</v>
      </c>
      <c r="L9" s="3193" cm="1">
        <f t="array" ref="L9">_xlfn.IFS(K9="","",K9="Yes",H9,K9="No",E9,K9="Yes with different rate","Please enter value")</f>
        <v>0</v>
      </c>
      <c r="M9" s="3196"/>
      <c r="N9" s="2380"/>
      <c r="O9" s="2290" t="s">
        <v>203</v>
      </c>
      <c r="P9" s="2290" t="s">
        <v>27685</v>
      </c>
      <c r="Q9" s="2290" t="s">
        <v>27687</v>
      </c>
    </row>
    <row r="10" spans="1:17" s="2269" customFormat="1" ht="15" customHeight="1" x14ac:dyDescent="0.35">
      <c r="A10" s="2326" t="s">
        <v>203</v>
      </c>
      <c r="B10" s="2326" t="s">
        <v>204</v>
      </c>
      <c r="C10" s="2313" t="s">
        <v>210</v>
      </c>
      <c r="D10" s="3140">
        <f>'3_Part_time'!M14</f>
        <v>0</v>
      </c>
      <c r="E10" s="3141">
        <f>IF(D10=0,0,'Table 1 MF'!D4)</f>
        <v>0</v>
      </c>
      <c r="F10" s="3142" t="str">
        <f>IF(D10=0,"N/A",'Table 1 MF'!E4)</f>
        <v>N/A</v>
      </c>
      <c r="G10" s="3143">
        <f t="shared" si="0"/>
        <v>0</v>
      </c>
      <c r="H10" s="2333">
        <v>0</v>
      </c>
      <c r="I10" s="3144">
        <f t="shared" si="1"/>
        <v>0</v>
      </c>
      <c r="J10" s="3147"/>
      <c r="K10" s="3195" t="s">
        <v>27964</v>
      </c>
      <c r="L10" s="3193" cm="1">
        <f t="array" ref="L10">_xlfn.IFS(K10="","",K10="Yes",H10,K10="No",E10,K10="Yes with different rate","Please enter value")</f>
        <v>0</v>
      </c>
      <c r="M10" s="3196"/>
      <c r="N10" s="2379"/>
      <c r="O10" s="2290" t="s">
        <v>203</v>
      </c>
      <c r="P10" s="2290" t="s">
        <v>27685</v>
      </c>
      <c r="Q10" s="2290" t="s">
        <v>27688</v>
      </c>
    </row>
    <row r="11" spans="1:17" s="2269" customFormat="1" ht="15" customHeight="1" x14ac:dyDescent="0.35">
      <c r="A11" s="2326" t="s">
        <v>203</v>
      </c>
      <c r="B11" s="2326" t="s">
        <v>204</v>
      </c>
      <c r="C11" s="2313" t="s">
        <v>212</v>
      </c>
      <c r="D11" s="3149">
        <f>'3_Part_time'!M15</f>
        <v>0</v>
      </c>
      <c r="E11" s="3150">
        <f>IF(D11=0,0,'Table 1 MF'!D5)</f>
        <v>0</v>
      </c>
      <c r="F11" s="3151" t="str">
        <f>IF(D11=0,"N/A",'Table 1 MF'!E5)</f>
        <v>N/A</v>
      </c>
      <c r="G11" s="3152">
        <f t="shared" si="0"/>
        <v>0</v>
      </c>
      <c r="H11" s="2333">
        <v>0</v>
      </c>
      <c r="I11" s="3144">
        <f t="shared" si="1"/>
        <v>0</v>
      </c>
      <c r="J11" s="3145"/>
      <c r="K11" s="3195" t="s">
        <v>27964</v>
      </c>
      <c r="L11" s="3193" cm="1">
        <f t="array" ref="L11">_xlfn.IFS(K11="","",K11="Yes",H11,K11="No",E11,K11="Yes with different rate","Please enter value")</f>
        <v>0</v>
      </c>
      <c r="M11" s="3196"/>
      <c r="N11" s="2291"/>
      <c r="O11" s="2290" t="s">
        <v>203</v>
      </c>
      <c r="P11" s="2290" t="s">
        <v>27685</v>
      </c>
      <c r="Q11" s="2290" t="s">
        <v>27689</v>
      </c>
    </row>
    <row r="12" spans="1:17" s="2269" customFormat="1" ht="15" customHeight="1" x14ac:dyDescent="0.35">
      <c r="A12" s="2326" t="s">
        <v>203</v>
      </c>
      <c r="B12" s="2337" t="s">
        <v>204</v>
      </c>
      <c r="C12" s="2336" t="s">
        <v>214</v>
      </c>
      <c r="D12" s="3153">
        <f>'3_Part_time'!M16</f>
        <v>0</v>
      </c>
      <c r="E12" s="3154">
        <f>IF(D12=0,0,'Table 1 MF'!D6)</f>
        <v>0</v>
      </c>
      <c r="F12" s="3155" t="str">
        <f>IF(D12=0,"N/A",'Table 1 MF'!E6)</f>
        <v>N/A</v>
      </c>
      <c r="G12" s="3156">
        <f t="shared" si="0"/>
        <v>0</v>
      </c>
      <c r="H12" s="2335">
        <v>0</v>
      </c>
      <c r="I12" s="3157">
        <f t="shared" si="1"/>
        <v>0</v>
      </c>
      <c r="J12" s="3158"/>
      <c r="K12" s="3197" t="s">
        <v>27964</v>
      </c>
      <c r="L12" s="3198" cm="1">
        <f t="array" ref="L12">_xlfn.IFS(K12="","",K12="Yes",H12,K12="No",E12,K12="Yes with different rate","Please enter value")</f>
        <v>0</v>
      </c>
      <c r="M12" s="3199"/>
      <c r="N12" s="2291"/>
      <c r="O12" s="2290" t="s">
        <v>203</v>
      </c>
      <c r="P12" s="2290" t="s">
        <v>27685</v>
      </c>
      <c r="Q12" s="2290" t="s">
        <v>27690</v>
      </c>
    </row>
    <row r="13" spans="1:17" s="2269" customFormat="1" ht="15" customHeight="1" x14ac:dyDescent="0.35">
      <c r="A13" s="2326" t="s">
        <v>203</v>
      </c>
      <c r="B13" s="2313" t="s">
        <v>218</v>
      </c>
      <c r="C13" s="2313" t="s">
        <v>205</v>
      </c>
      <c r="D13" s="3159">
        <f>'3_Part_time'!M18</f>
        <v>0</v>
      </c>
      <c r="E13" s="3160">
        <f>IF(D13=0,0,'Table 1 MF'!D7)</f>
        <v>0</v>
      </c>
      <c r="F13" s="3161" t="str">
        <f>IF(D13=0,"N/A",'Table 1 MF'!E7)</f>
        <v>N/A</v>
      </c>
      <c r="G13" s="3162">
        <f t="shared" si="0"/>
        <v>0</v>
      </c>
      <c r="H13" s="2334">
        <v>0</v>
      </c>
      <c r="I13" s="3163">
        <f t="shared" si="1"/>
        <v>0</v>
      </c>
      <c r="J13" s="3164"/>
      <c r="K13" s="3200" t="s">
        <v>27964</v>
      </c>
      <c r="L13" s="3201" cm="1">
        <f t="array" ref="L13">_xlfn.IFS(K13="","",K13="Yes",H13,K13="No",E13,K13="Yes with different rate","Please enter value")</f>
        <v>0</v>
      </c>
      <c r="M13" s="3202"/>
      <c r="N13" s="2291"/>
      <c r="O13" s="2290" t="s">
        <v>203</v>
      </c>
      <c r="P13" s="2290" t="s">
        <v>27691</v>
      </c>
      <c r="Q13" s="2290" t="s">
        <v>27686</v>
      </c>
    </row>
    <row r="14" spans="1:17" s="2269" customFormat="1" ht="15" customHeight="1" x14ac:dyDescent="0.35">
      <c r="A14" s="2326" t="s">
        <v>203</v>
      </c>
      <c r="B14" s="2314" t="s">
        <v>218</v>
      </c>
      <c r="C14" s="2313" t="s">
        <v>208</v>
      </c>
      <c r="D14" s="3165">
        <f>'3_Part_time'!M19</f>
        <v>0</v>
      </c>
      <c r="E14" s="3166">
        <f>IF(D14=0,0,'Table 1 MF'!D8)</f>
        <v>0</v>
      </c>
      <c r="F14" s="3167" t="str">
        <f>IF(D14=0,"N/A",'Table 1 MF'!E8)</f>
        <v>N/A</v>
      </c>
      <c r="G14" s="3168">
        <f t="shared" si="0"/>
        <v>0</v>
      </c>
      <c r="H14" s="2333">
        <v>0</v>
      </c>
      <c r="I14" s="3144">
        <f t="shared" si="1"/>
        <v>0</v>
      </c>
      <c r="J14" s="3145"/>
      <c r="K14" s="3200" t="s">
        <v>27964</v>
      </c>
      <c r="L14" s="3201" cm="1">
        <f t="array" ref="L14">_xlfn.IFS(K14="","",K14="Yes",H14,K14="No",E14,K14="Yes with different rate","Please enter value")</f>
        <v>0</v>
      </c>
      <c r="M14" s="3202"/>
      <c r="N14" s="2291"/>
      <c r="O14" s="2290" t="s">
        <v>203</v>
      </c>
      <c r="P14" s="2290" t="s">
        <v>27691</v>
      </c>
      <c r="Q14" s="2290" t="s">
        <v>27687</v>
      </c>
    </row>
    <row r="15" spans="1:17" s="2269" customFormat="1" ht="15" customHeight="1" x14ac:dyDescent="0.35">
      <c r="A15" s="2326" t="s">
        <v>203</v>
      </c>
      <c r="B15" s="2314" t="s">
        <v>218</v>
      </c>
      <c r="C15" s="2313" t="s">
        <v>210</v>
      </c>
      <c r="D15" s="3165">
        <f>'3_Part_time'!M20</f>
        <v>0</v>
      </c>
      <c r="E15" s="3166">
        <f>IF(D15=0,0,'Table 1 MF'!D9)</f>
        <v>0</v>
      </c>
      <c r="F15" s="3167" t="str">
        <f>IF(D15=0,"N/A",'Table 1 MF'!E9)</f>
        <v>N/A</v>
      </c>
      <c r="G15" s="3168">
        <f t="shared" si="0"/>
        <v>0</v>
      </c>
      <c r="H15" s="2333">
        <v>0</v>
      </c>
      <c r="I15" s="3144">
        <f t="shared" si="1"/>
        <v>0</v>
      </c>
      <c r="J15" s="3145"/>
      <c r="K15" s="3192" t="s">
        <v>27964</v>
      </c>
      <c r="L15" s="3203" cm="1">
        <f t="array" ref="L15">_xlfn.IFS(K15="","",K15="Yes",H15,K15="No",E15,K15="Yes with different rate","Please enter value")</f>
        <v>0</v>
      </c>
      <c r="M15" s="3204"/>
      <c r="N15" s="2291"/>
      <c r="O15" s="2290" t="s">
        <v>203</v>
      </c>
      <c r="P15" s="2290" t="s">
        <v>27691</v>
      </c>
      <c r="Q15" s="2290" t="s">
        <v>27688</v>
      </c>
    </row>
    <row r="16" spans="1:17" s="2269" customFormat="1" ht="15" customHeight="1" x14ac:dyDescent="0.35">
      <c r="A16" s="2326" t="s">
        <v>203</v>
      </c>
      <c r="B16" s="2314" t="s">
        <v>218</v>
      </c>
      <c r="C16" s="2313" t="s">
        <v>212</v>
      </c>
      <c r="D16" s="3149">
        <f>'3_Part_time'!M21</f>
        <v>0</v>
      </c>
      <c r="E16" s="3150">
        <f>IF(D16=0,0,'Table 1 MF'!D10)</f>
        <v>0</v>
      </c>
      <c r="F16" s="3151" t="str">
        <f>IF(D16=0,"N/A",'Table 1 MF'!E10)</f>
        <v>N/A</v>
      </c>
      <c r="G16" s="3152">
        <f t="shared" si="0"/>
        <v>0</v>
      </c>
      <c r="H16" s="2333">
        <v>0</v>
      </c>
      <c r="I16" s="3144">
        <f t="shared" si="1"/>
        <v>0</v>
      </c>
      <c r="J16" s="3145"/>
      <c r="K16" s="3195" t="s">
        <v>27964</v>
      </c>
      <c r="L16" s="3193" cm="1">
        <f t="array" ref="L16">_xlfn.IFS(K16="","",K16="Yes",H16,K16="No",E16,K16="Yes with different rate","Please enter value")</f>
        <v>0</v>
      </c>
      <c r="M16" s="3196"/>
      <c r="N16" s="2291"/>
      <c r="O16" s="2290" t="s">
        <v>203</v>
      </c>
      <c r="P16" s="2290" t="s">
        <v>27691</v>
      </c>
      <c r="Q16" s="2290" t="s">
        <v>27689</v>
      </c>
    </row>
    <row r="17" spans="1:17" s="2269" customFormat="1" ht="15" customHeight="1" x14ac:dyDescent="0.35">
      <c r="A17" s="2326" t="s">
        <v>203</v>
      </c>
      <c r="B17" s="2314" t="s">
        <v>218</v>
      </c>
      <c r="C17" s="2313" t="s">
        <v>214</v>
      </c>
      <c r="D17" s="3149">
        <f>'3_Part_time'!M22</f>
        <v>0</v>
      </c>
      <c r="E17" s="3150">
        <f>IF(D17=0,0,'Table 1 MF'!D11)</f>
        <v>0</v>
      </c>
      <c r="F17" s="3151" t="str">
        <f>IF(D17=0,"N/A",'Table 1 MF'!E11)</f>
        <v>N/A</v>
      </c>
      <c r="G17" s="3152">
        <f t="shared" si="0"/>
        <v>0</v>
      </c>
      <c r="H17" s="2341">
        <v>0</v>
      </c>
      <c r="I17" s="3169">
        <f t="shared" si="1"/>
        <v>0</v>
      </c>
      <c r="J17" s="3170"/>
      <c r="K17" s="3205" t="s">
        <v>27964</v>
      </c>
      <c r="L17" s="3206" cm="1">
        <f t="array" ref="L17">_xlfn.IFS(K17="","",K17="Yes",H17,K17="No",E17,K17="Yes with different rate","Please enter value")</f>
        <v>0</v>
      </c>
      <c r="M17" s="3207"/>
      <c r="N17" s="2291"/>
      <c r="O17" s="2290" t="s">
        <v>203</v>
      </c>
      <c r="P17" s="2290" t="s">
        <v>27691</v>
      </c>
      <c r="Q17" s="2290" t="s">
        <v>27690</v>
      </c>
    </row>
    <row r="18" spans="1:17" s="2269" customFormat="1" ht="15" customHeight="1" x14ac:dyDescent="0.35">
      <c r="A18" s="2340" t="s">
        <v>225</v>
      </c>
      <c r="B18" s="2340" t="s">
        <v>204</v>
      </c>
      <c r="C18" s="2339" t="s">
        <v>205</v>
      </c>
      <c r="D18" s="3134">
        <f>'3_Part_time'!M24</f>
        <v>0</v>
      </c>
      <c r="E18" s="3135">
        <f>IF(D18=0,0,'Table 1 MF'!D12)</f>
        <v>0</v>
      </c>
      <c r="F18" s="3136" t="str">
        <f>IF(D18=0,"N/A",'Table 1 MF'!E12)</f>
        <v>N/A</v>
      </c>
      <c r="G18" s="3137">
        <f t="shared" si="0"/>
        <v>0</v>
      </c>
      <c r="H18" s="2338">
        <v>0</v>
      </c>
      <c r="I18" s="3138">
        <f t="shared" si="1"/>
        <v>0</v>
      </c>
      <c r="J18" s="3139"/>
      <c r="K18" s="3192" t="s">
        <v>27964</v>
      </c>
      <c r="L18" s="3208" cm="1">
        <f t="array" ref="L18">_xlfn.IFS(K18="","",K18="Yes",H18,K18="No",E18,K18="Yes with different rate","Please enter value")</f>
        <v>0</v>
      </c>
      <c r="M18" s="3194"/>
      <c r="N18" s="2291"/>
      <c r="O18" s="2290" t="s">
        <v>225</v>
      </c>
      <c r="P18" s="2290" t="s">
        <v>27685</v>
      </c>
      <c r="Q18" s="2290" t="s">
        <v>27686</v>
      </c>
    </row>
    <row r="19" spans="1:17" s="2269" customFormat="1" ht="15" customHeight="1" x14ac:dyDescent="0.35">
      <c r="A19" s="2326" t="s">
        <v>225</v>
      </c>
      <c r="B19" s="2326" t="s">
        <v>204</v>
      </c>
      <c r="C19" s="2313" t="s">
        <v>208</v>
      </c>
      <c r="D19" s="3159">
        <f>'3_Part_time'!M25</f>
        <v>0</v>
      </c>
      <c r="E19" s="3160">
        <f>IF(D19=0,0,'Table 1 MF'!D13)</f>
        <v>0</v>
      </c>
      <c r="F19" s="3161" t="str">
        <f>IF(D19=0,"N/A",'Table 1 MF'!E13)</f>
        <v>N/A</v>
      </c>
      <c r="G19" s="3162">
        <f t="shared" si="0"/>
        <v>0</v>
      </c>
      <c r="H19" s="2333">
        <v>0</v>
      </c>
      <c r="I19" s="3144">
        <f t="shared" si="1"/>
        <v>0</v>
      </c>
      <c r="J19" s="3145"/>
      <c r="K19" s="3195" t="s">
        <v>27964</v>
      </c>
      <c r="L19" s="3193" cm="1">
        <f t="array" ref="L19">_xlfn.IFS(K19="","",K19="Yes",H19,K19="No",E19,K19="Yes with different rate","Please enter value")</f>
        <v>0</v>
      </c>
      <c r="M19" s="3196"/>
      <c r="N19" s="2291"/>
      <c r="O19" s="2290" t="s">
        <v>225</v>
      </c>
      <c r="P19" s="2290" t="s">
        <v>27685</v>
      </c>
      <c r="Q19" s="2290" t="s">
        <v>27687</v>
      </c>
    </row>
    <row r="20" spans="1:17" s="2269" customFormat="1" ht="15" customHeight="1" x14ac:dyDescent="0.35">
      <c r="A20" s="2326" t="s">
        <v>225</v>
      </c>
      <c r="B20" s="2326" t="s">
        <v>204</v>
      </c>
      <c r="C20" s="2313" t="s">
        <v>210</v>
      </c>
      <c r="D20" s="3171">
        <f>'3_Part_time'!M26</f>
        <v>0</v>
      </c>
      <c r="E20" s="3172">
        <f>IF(D20=0,0,'Table 1 MF'!D14)</f>
        <v>0</v>
      </c>
      <c r="F20" s="3173" t="str">
        <f>IF(D20=0,"N/A",'Table 1 MF'!E14)</f>
        <v>N/A</v>
      </c>
      <c r="G20" s="3174">
        <f t="shared" si="0"/>
        <v>0</v>
      </c>
      <c r="H20" s="2333">
        <v>0</v>
      </c>
      <c r="I20" s="3144">
        <f t="shared" si="1"/>
        <v>0</v>
      </c>
      <c r="J20" s="3145"/>
      <c r="K20" s="3195" t="s">
        <v>27964</v>
      </c>
      <c r="L20" s="3193" cm="1">
        <f t="array" ref="L20">_xlfn.IFS(K20="","",K20="Yes",H20,K20="No",E20,K20="Yes with different rate","Please enter value")</f>
        <v>0</v>
      </c>
      <c r="M20" s="3196"/>
      <c r="N20" s="2291"/>
      <c r="O20" s="2290" t="s">
        <v>225</v>
      </c>
      <c r="P20" s="2290" t="s">
        <v>27685</v>
      </c>
      <c r="Q20" s="2290" t="s">
        <v>27688</v>
      </c>
    </row>
    <row r="21" spans="1:17" s="2269" customFormat="1" ht="15" customHeight="1" x14ac:dyDescent="0.35">
      <c r="A21" s="2326" t="s">
        <v>225</v>
      </c>
      <c r="B21" s="2326" t="s">
        <v>204</v>
      </c>
      <c r="C21" s="2313" t="s">
        <v>212</v>
      </c>
      <c r="D21" s="3149">
        <f>'3_Part_time'!M27</f>
        <v>0</v>
      </c>
      <c r="E21" s="3150">
        <f>IF(D21=0,0,'Table 1 MF'!D15)</f>
        <v>0</v>
      </c>
      <c r="F21" s="3151" t="str">
        <f>IF(D21=0,"N/A",'Table 1 MF'!E15)</f>
        <v>N/A</v>
      </c>
      <c r="G21" s="3152">
        <f t="shared" si="0"/>
        <v>0</v>
      </c>
      <c r="H21" s="2333">
        <v>0</v>
      </c>
      <c r="I21" s="3144">
        <f t="shared" si="1"/>
        <v>0</v>
      </c>
      <c r="J21" s="3145"/>
      <c r="K21" s="3195" t="s">
        <v>27964</v>
      </c>
      <c r="L21" s="3193" cm="1">
        <f t="array" ref="L21">_xlfn.IFS(K21="","",K21="Yes",H21,K21="No",E21,K21="Yes with different rate","Please enter value")</f>
        <v>0</v>
      </c>
      <c r="M21" s="3196"/>
      <c r="N21" s="2291"/>
      <c r="O21" s="2290" t="s">
        <v>225</v>
      </c>
      <c r="P21" s="2290" t="s">
        <v>27685</v>
      </c>
      <c r="Q21" s="2290" t="s">
        <v>27689</v>
      </c>
    </row>
    <row r="22" spans="1:17" s="2269" customFormat="1" ht="15" customHeight="1" x14ac:dyDescent="0.35">
      <c r="A22" s="2326" t="s">
        <v>225</v>
      </c>
      <c r="B22" s="2337" t="s">
        <v>204</v>
      </c>
      <c r="C22" s="2336" t="s">
        <v>214</v>
      </c>
      <c r="D22" s="3153">
        <f>'3_Part_time'!M28</f>
        <v>0</v>
      </c>
      <c r="E22" s="3175">
        <f>IF(D22=0,0,'Table 1 MF'!D16)</f>
        <v>0</v>
      </c>
      <c r="F22" s="3176" t="str">
        <f>IF(D22=0,"N/A",'Table 1 MF'!E16)</f>
        <v>N/A</v>
      </c>
      <c r="G22" s="3156">
        <f t="shared" si="0"/>
        <v>0</v>
      </c>
      <c r="H22" s="2335">
        <v>0</v>
      </c>
      <c r="I22" s="3157">
        <f t="shared" si="1"/>
        <v>0</v>
      </c>
      <c r="J22" s="3158"/>
      <c r="K22" s="3197" t="s">
        <v>27964</v>
      </c>
      <c r="L22" s="3198" cm="1">
        <f t="array" ref="L22">_xlfn.IFS(K22="","",K22="Yes",H22,K22="No",E22,K22="Yes with different rate","Please enter value")</f>
        <v>0</v>
      </c>
      <c r="M22" s="3199"/>
      <c r="N22" s="2291"/>
      <c r="O22" s="2290" t="s">
        <v>225</v>
      </c>
      <c r="P22" s="2290" t="s">
        <v>27685</v>
      </c>
      <c r="Q22" s="2290" t="s">
        <v>27690</v>
      </c>
    </row>
    <row r="23" spans="1:17" s="2269" customFormat="1" ht="15" customHeight="1" x14ac:dyDescent="0.35">
      <c r="A23" s="2326" t="s">
        <v>225</v>
      </c>
      <c r="B23" s="2313" t="s">
        <v>218</v>
      </c>
      <c r="C23" s="2313" t="s">
        <v>205</v>
      </c>
      <c r="D23" s="3159">
        <f>'3_Part_time'!M30</f>
        <v>0</v>
      </c>
      <c r="E23" s="3160">
        <f>IF(D23=0,0,'Table 1 MF'!D17)</f>
        <v>0</v>
      </c>
      <c r="F23" s="3161" t="str">
        <f>IF(D23=0,"N/A",'Table 1 MF'!E17)</f>
        <v>N/A</v>
      </c>
      <c r="G23" s="3162">
        <f t="shared" si="0"/>
        <v>0</v>
      </c>
      <c r="H23" s="2334">
        <v>0</v>
      </c>
      <c r="I23" s="3163">
        <f t="shared" si="1"/>
        <v>0</v>
      </c>
      <c r="J23" s="3164"/>
      <c r="K23" s="3200" t="s">
        <v>27964</v>
      </c>
      <c r="L23" s="3201" cm="1">
        <f t="array" ref="L23">_xlfn.IFS(K23="","",K23="Yes",H23,K23="No",E23,K23="Yes with different rate","Please enter value")</f>
        <v>0</v>
      </c>
      <c r="M23" s="3202"/>
      <c r="N23" s="2291"/>
      <c r="O23" s="2290" t="s">
        <v>225</v>
      </c>
      <c r="P23" s="2290" t="s">
        <v>27691</v>
      </c>
      <c r="Q23" s="2290" t="s">
        <v>27686</v>
      </c>
    </row>
    <row r="24" spans="1:17" s="2269" customFormat="1" ht="15" customHeight="1" x14ac:dyDescent="0.35">
      <c r="A24" s="2326" t="s">
        <v>225</v>
      </c>
      <c r="B24" s="2314" t="s">
        <v>218</v>
      </c>
      <c r="C24" s="2313" t="s">
        <v>208</v>
      </c>
      <c r="D24" s="3159">
        <f>'3_Part_time'!M31</f>
        <v>0</v>
      </c>
      <c r="E24" s="3160">
        <f>IF(D24=0,0,'Table 1 MF'!D18)</f>
        <v>0</v>
      </c>
      <c r="F24" s="3161" t="str">
        <f>IF(D24=0,"N/A",'Table 1 MF'!E18)</f>
        <v>N/A</v>
      </c>
      <c r="G24" s="3162">
        <f t="shared" si="0"/>
        <v>0</v>
      </c>
      <c r="H24" s="2333">
        <v>0</v>
      </c>
      <c r="I24" s="3144">
        <f t="shared" si="1"/>
        <v>0</v>
      </c>
      <c r="J24" s="3145"/>
      <c r="K24" s="3200" t="s">
        <v>27964</v>
      </c>
      <c r="L24" s="3201" cm="1">
        <f t="array" ref="L24">_xlfn.IFS(K24="","",K24="Yes",H24,K24="No",E24,K24="Yes with different rate","Please enter value")</f>
        <v>0</v>
      </c>
      <c r="M24" s="3202"/>
      <c r="N24" s="2291"/>
      <c r="O24" s="2290" t="s">
        <v>225</v>
      </c>
      <c r="P24" s="2290" t="s">
        <v>27691</v>
      </c>
      <c r="Q24" s="2290" t="s">
        <v>27687</v>
      </c>
    </row>
    <row r="25" spans="1:17" s="2269" customFormat="1" ht="15" customHeight="1" x14ac:dyDescent="0.35">
      <c r="A25" s="2326" t="s">
        <v>225</v>
      </c>
      <c r="B25" s="2314" t="s">
        <v>218</v>
      </c>
      <c r="C25" s="2313" t="s">
        <v>210</v>
      </c>
      <c r="D25" s="3171">
        <f>'3_Part_time'!M32</f>
        <v>0</v>
      </c>
      <c r="E25" s="3172">
        <f>IF(D25=0,0,'Table 1 MF'!D19)</f>
        <v>0</v>
      </c>
      <c r="F25" s="3173" t="str">
        <f>IF(D25=0,"N/A",'Table 1 MF'!E19)</f>
        <v>N/A</v>
      </c>
      <c r="G25" s="3174">
        <f t="shared" si="0"/>
        <v>0</v>
      </c>
      <c r="H25" s="2333">
        <v>0</v>
      </c>
      <c r="I25" s="3144">
        <f t="shared" si="1"/>
        <v>0</v>
      </c>
      <c r="J25" s="3145"/>
      <c r="K25" s="3192" t="s">
        <v>27964</v>
      </c>
      <c r="L25" s="3203" cm="1">
        <f t="array" ref="L25">_xlfn.IFS(K25="","",K25="Yes",H25,K25="No",E25,K25="Yes with different rate","Please enter value")</f>
        <v>0</v>
      </c>
      <c r="M25" s="3204"/>
      <c r="N25" s="2291"/>
      <c r="O25" s="2290" t="s">
        <v>225</v>
      </c>
      <c r="P25" s="2290" t="s">
        <v>27691</v>
      </c>
      <c r="Q25" s="2290" t="s">
        <v>27688</v>
      </c>
    </row>
    <row r="26" spans="1:17" s="2269" customFormat="1" ht="15" customHeight="1" x14ac:dyDescent="0.35">
      <c r="A26" s="2326" t="s">
        <v>225</v>
      </c>
      <c r="B26" s="2314" t="s">
        <v>218</v>
      </c>
      <c r="C26" s="2313" t="s">
        <v>212</v>
      </c>
      <c r="D26" s="3149">
        <f>'3_Part_time'!M33</f>
        <v>0</v>
      </c>
      <c r="E26" s="3150">
        <f>IF(D26=0,0,'Table 1 MF'!D20)</f>
        <v>0</v>
      </c>
      <c r="F26" s="3151" t="str">
        <f>IF(D26=0,"N/A",'Table 1 MF'!E20)</f>
        <v>N/A</v>
      </c>
      <c r="G26" s="3152">
        <f t="shared" si="0"/>
        <v>0</v>
      </c>
      <c r="H26" s="2333">
        <v>0</v>
      </c>
      <c r="I26" s="3144">
        <f t="shared" si="1"/>
        <v>0</v>
      </c>
      <c r="J26" s="3145"/>
      <c r="K26" s="3195" t="s">
        <v>27964</v>
      </c>
      <c r="L26" s="3193" cm="1">
        <f t="array" ref="L26">_xlfn.IFS(K26="","",K26="Yes",H26,K26="No",E26,K26="Yes with different rate","Please enter value")</f>
        <v>0</v>
      </c>
      <c r="M26" s="3196"/>
      <c r="N26" s="2291"/>
      <c r="O26" s="2290" t="s">
        <v>225</v>
      </c>
      <c r="P26" s="2290" t="s">
        <v>27691</v>
      </c>
      <c r="Q26" s="2290" t="s">
        <v>27689</v>
      </c>
    </row>
    <row r="27" spans="1:17" s="2269" customFormat="1" ht="15" customHeight="1" x14ac:dyDescent="0.35">
      <c r="A27" s="2326" t="s">
        <v>225</v>
      </c>
      <c r="B27" s="2314" t="s">
        <v>218</v>
      </c>
      <c r="C27" s="2313" t="s">
        <v>214</v>
      </c>
      <c r="D27" s="3149">
        <f>'3_Part_time'!M34</f>
        <v>0</v>
      </c>
      <c r="E27" s="3150">
        <f>IF(D27=0,0,'Table 1 MF'!D21)</f>
        <v>0</v>
      </c>
      <c r="F27" s="3151" t="str">
        <f>IF(D27=0,"N/A",'Table 1 MF'!E21)</f>
        <v>N/A</v>
      </c>
      <c r="G27" s="3152">
        <f t="shared" si="0"/>
        <v>0</v>
      </c>
      <c r="H27" s="2341">
        <v>0</v>
      </c>
      <c r="I27" s="3169">
        <f t="shared" si="1"/>
        <v>0</v>
      </c>
      <c r="J27" s="3170"/>
      <c r="K27" s="3205" t="s">
        <v>27964</v>
      </c>
      <c r="L27" s="3206" cm="1">
        <f t="array" ref="L27">_xlfn.IFS(K27="","",K27="Yes",H27,K27="No",E27,K27="Yes with different rate","Please enter value")</f>
        <v>0</v>
      </c>
      <c r="M27" s="3207"/>
      <c r="N27" s="2291"/>
      <c r="O27" s="2290" t="s">
        <v>225</v>
      </c>
      <c r="P27" s="2290" t="s">
        <v>27691</v>
      </c>
      <c r="Q27" s="2290" t="s">
        <v>27690</v>
      </c>
    </row>
    <row r="28" spans="1:17" s="2269" customFormat="1" ht="15" customHeight="1" x14ac:dyDescent="0.35">
      <c r="A28" s="2339" t="s">
        <v>238</v>
      </c>
      <c r="B28" s="2340" t="s">
        <v>204</v>
      </c>
      <c r="C28" s="2339" t="s">
        <v>205</v>
      </c>
      <c r="D28" s="3134">
        <f>'3_Part_time'!M36</f>
        <v>0</v>
      </c>
      <c r="E28" s="3135">
        <f>IF(D28=0,0,'Table 1 MF'!D22)</f>
        <v>0</v>
      </c>
      <c r="F28" s="3136" t="str">
        <f>IF(D28=0,"N/A",'Table 1 MF'!E22)</f>
        <v>N/A</v>
      </c>
      <c r="G28" s="3137">
        <f t="shared" si="0"/>
        <v>0</v>
      </c>
      <c r="H28" s="2338">
        <v>0</v>
      </c>
      <c r="I28" s="3138">
        <f t="shared" si="1"/>
        <v>0</v>
      </c>
      <c r="J28" s="3139"/>
      <c r="K28" s="3192" t="s">
        <v>27964</v>
      </c>
      <c r="L28" s="3208" cm="1">
        <f t="array" ref="L28">_xlfn.IFS(K28="","",K28="Yes",H28,K28="No",E28,K28="Yes with different rate","Please enter value")</f>
        <v>0</v>
      </c>
      <c r="M28" s="3194"/>
      <c r="N28" s="2291"/>
      <c r="O28" s="2331" t="s">
        <v>27692</v>
      </c>
      <c r="P28" s="2290" t="s">
        <v>27685</v>
      </c>
      <c r="Q28" s="2290" t="s">
        <v>27686</v>
      </c>
    </row>
    <row r="29" spans="1:17" s="2269" customFormat="1" ht="15" customHeight="1" x14ac:dyDescent="0.35">
      <c r="A29" s="2314" t="s">
        <v>238</v>
      </c>
      <c r="B29" s="2326" t="s">
        <v>204</v>
      </c>
      <c r="C29" s="2313" t="s">
        <v>208</v>
      </c>
      <c r="D29" s="3159">
        <f>'3_Part_time'!M37</f>
        <v>0</v>
      </c>
      <c r="E29" s="3160">
        <f>IF(D29=0,0,'Table 1 MF'!D23)</f>
        <v>0</v>
      </c>
      <c r="F29" s="3161" t="str">
        <f>IF(D29=0,"N/A",'Table 1 MF'!E23)</f>
        <v>N/A</v>
      </c>
      <c r="G29" s="3162">
        <f t="shared" si="0"/>
        <v>0</v>
      </c>
      <c r="H29" s="2333">
        <v>0</v>
      </c>
      <c r="I29" s="3144">
        <f t="shared" si="1"/>
        <v>0</v>
      </c>
      <c r="J29" s="3145"/>
      <c r="K29" s="3195" t="s">
        <v>27964</v>
      </c>
      <c r="L29" s="3193" cm="1">
        <f t="array" ref="L29">_xlfn.IFS(K29="","",K29="Yes",H29,K29="No",E29,K29="Yes with different rate","Please enter value")</f>
        <v>0</v>
      </c>
      <c r="M29" s="3196"/>
      <c r="N29" s="2291"/>
      <c r="O29" s="2331" t="s">
        <v>27692</v>
      </c>
      <c r="P29" s="2290" t="s">
        <v>27685</v>
      </c>
      <c r="Q29" s="2290" t="s">
        <v>27687</v>
      </c>
    </row>
    <row r="30" spans="1:17" s="2269" customFormat="1" ht="15" customHeight="1" x14ac:dyDescent="0.35">
      <c r="A30" s="2314" t="s">
        <v>238</v>
      </c>
      <c r="B30" s="2326" t="s">
        <v>204</v>
      </c>
      <c r="C30" s="2313" t="s">
        <v>210</v>
      </c>
      <c r="D30" s="3171">
        <f>'3_Part_time'!M38</f>
        <v>0</v>
      </c>
      <c r="E30" s="3172">
        <f>IF(D30=0,0,'Table 1 MF'!D24)</f>
        <v>0</v>
      </c>
      <c r="F30" s="3173" t="str">
        <f>IF(D30=0,"N/A",'Table 1 MF'!E24)</f>
        <v>N/A</v>
      </c>
      <c r="G30" s="3174">
        <f t="shared" si="0"/>
        <v>0</v>
      </c>
      <c r="H30" s="2333">
        <v>0</v>
      </c>
      <c r="I30" s="3144">
        <f t="shared" si="1"/>
        <v>0</v>
      </c>
      <c r="J30" s="3145"/>
      <c r="K30" s="3195" t="s">
        <v>27964</v>
      </c>
      <c r="L30" s="3193" cm="1">
        <f t="array" ref="L30">_xlfn.IFS(K30="","",K30="Yes",H30,K30="No",E30,K30="Yes with different rate","Please enter value")</f>
        <v>0</v>
      </c>
      <c r="M30" s="3196"/>
      <c r="N30" s="2291"/>
      <c r="O30" s="2331" t="s">
        <v>27692</v>
      </c>
      <c r="P30" s="2290" t="s">
        <v>27685</v>
      </c>
      <c r="Q30" s="2290" t="s">
        <v>27688</v>
      </c>
    </row>
    <row r="31" spans="1:17" s="2269" customFormat="1" ht="15" customHeight="1" x14ac:dyDescent="0.35">
      <c r="A31" s="2314" t="s">
        <v>238</v>
      </c>
      <c r="B31" s="2326" t="s">
        <v>204</v>
      </c>
      <c r="C31" s="2313" t="s">
        <v>212</v>
      </c>
      <c r="D31" s="3149">
        <f>'3_Part_time'!M39</f>
        <v>0</v>
      </c>
      <c r="E31" s="3150">
        <f>IF(D31=0,0,'Table 1 MF'!D25)</f>
        <v>0</v>
      </c>
      <c r="F31" s="3151" t="str">
        <f>IF(D31=0,"N/A",'Table 1 MF'!E25)</f>
        <v>N/A</v>
      </c>
      <c r="G31" s="3152">
        <f t="shared" si="0"/>
        <v>0</v>
      </c>
      <c r="H31" s="2333">
        <v>0</v>
      </c>
      <c r="I31" s="3144">
        <f t="shared" si="1"/>
        <v>0</v>
      </c>
      <c r="J31" s="3145"/>
      <c r="K31" s="3195" t="s">
        <v>27964</v>
      </c>
      <c r="L31" s="3193" cm="1">
        <f t="array" ref="L31">_xlfn.IFS(K31="","",K31="Yes",H31,K31="No",E31,K31="Yes with different rate","Please enter value")</f>
        <v>0</v>
      </c>
      <c r="M31" s="3196"/>
      <c r="N31" s="2291"/>
      <c r="O31" s="2331" t="s">
        <v>27692</v>
      </c>
      <c r="P31" s="2290" t="s">
        <v>27685</v>
      </c>
      <c r="Q31" s="2290" t="s">
        <v>27689</v>
      </c>
    </row>
    <row r="32" spans="1:17" s="2269" customFormat="1" ht="15" customHeight="1" x14ac:dyDescent="0.35">
      <c r="A32" s="2342" t="s">
        <v>238</v>
      </c>
      <c r="B32" s="2337" t="s">
        <v>204</v>
      </c>
      <c r="C32" s="2336" t="s">
        <v>214</v>
      </c>
      <c r="D32" s="3153">
        <f>'3_Part_time'!M40</f>
        <v>0</v>
      </c>
      <c r="E32" s="3154">
        <f>IF(D32=0,0,'Table 1 MF'!D26)</f>
        <v>0</v>
      </c>
      <c r="F32" s="3155" t="str">
        <f>IF(D32=0,"N/A",'Table 1 MF'!E26)</f>
        <v>N/A</v>
      </c>
      <c r="G32" s="3156">
        <f t="shared" si="0"/>
        <v>0</v>
      </c>
      <c r="H32" s="2335">
        <v>0</v>
      </c>
      <c r="I32" s="3157">
        <f t="shared" si="1"/>
        <v>0</v>
      </c>
      <c r="J32" s="3158"/>
      <c r="K32" s="3197" t="s">
        <v>27964</v>
      </c>
      <c r="L32" s="3198" cm="1">
        <f t="array" ref="L32">_xlfn.IFS(K32="","",K32="Yes",H32,K32="No",E32,K32="Yes with different rate","Please enter value")</f>
        <v>0</v>
      </c>
      <c r="M32" s="3199"/>
      <c r="N32" s="2291"/>
      <c r="O32" s="2331" t="s">
        <v>27692</v>
      </c>
      <c r="P32" s="2290" t="s">
        <v>27685</v>
      </c>
      <c r="Q32" s="2290" t="s">
        <v>27690</v>
      </c>
    </row>
    <row r="33" spans="1:17" s="2269" customFormat="1" ht="15" customHeight="1" x14ac:dyDescent="0.35">
      <c r="A33" s="2314" t="s">
        <v>238</v>
      </c>
      <c r="B33" s="2313" t="s">
        <v>218</v>
      </c>
      <c r="C33" s="2313" t="s">
        <v>205</v>
      </c>
      <c r="D33" s="3159">
        <f>'3_Part_time'!M42</f>
        <v>0</v>
      </c>
      <c r="E33" s="3160">
        <f>IF(D33=0,0,'Table 1 MF'!D27)</f>
        <v>0</v>
      </c>
      <c r="F33" s="3161" t="str">
        <f>IF(D33=0,"N/A",'Table 1 MF'!E27)</f>
        <v>N/A</v>
      </c>
      <c r="G33" s="3162">
        <f t="shared" si="0"/>
        <v>0</v>
      </c>
      <c r="H33" s="2334">
        <v>0</v>
      </c>
      <c r="I33" s="3163">
        <f t="shared" si="1"/>
        <v>0</v>
      </c>
      <c r="J33" s="3164"/>
      <c r="K33" s="3200" t="s">
        <v>27964</v>
      </c>
      <c r="L33" s="3201" cm="1">
        <f t="array" ref="L33">_xlfn.IFS(K33="","",K33="Yes",H33,K33="No",E33,K33="Yes with different rate","Please enter value")</f>
        <v>0</v>
      </c>
      <c r="M33" s="3202"/>
      <c r="N33" s="2291"/>
      <c r="O33" s="2331" t="s">
        <v>27692</v>
      </c>
      <c r="P33" s="2290" t="s">
        <v>27691</v>
      </c>
      <c r="Q33" s="2290" t="s">
        <v>27686</v>
      </c>
    </row>
    <row r="34" spans="1:17" s="2269" customFormat="1" ht="15" customHeight="1" x14ac:dyDescent="0.35">
      <c r="A34" s="2314" t="s">
        <v>238</v>
      </c>
      <c r="B34" s="2314" t="s">
        <v>218</v>
      </c>
      <c r="C34" s="2313" t="s">
        <v>208</v>
      </c>
      <c r="D34" s="3159">
        <f>'3_Part_time'!M43</f>
        <v>0</v>
      </c>
      <c r="E34" s="3160">
        <f>IF(D34=0,0,'Table 1 MF'!D28)</f>
        <v>0</v>
      </c>
      <c r="F34" s="3161" t="str">
        <f>IF(D34=0,"N/A",'Table 1 MF'!E28)</f>
        <v>N/A</v>
      </c>
      <c r="G34" s="3162">
        <f t="shared" si="0"/>
        <v>0</v>
      </c>
      <c r="H34" s="2333">
        <v>0</v>
      </c>
      <c r="I34" s="3144">
        <f t="shared" si="1"/>
        <v>0</v>
      </c>
      <c r="J34" s="3145"/>
      <c r="K34" s="3200" t="s">
        <v>27964</v>
      </c>
      <c r="L34" s="3201" cm="1">
        <f t="array" ref="L34">_xlfn.IFS(K34="","",K34="Yes",H34,K34="No",E34,K34="Yes with different rate","Please enter value")</f>
        <v>0</v>
      </c>
      <c r="M34" s="3202"/>
      <c r="N34" s="2291"/>
      <c r="O34" s="2331" t="s">
        <v>27692</v>
      </c>
      <c r="P34" s="2290" t="s">
        <v>27691</v>
      </c>
      <c r="Q34" s="2290" t="s">
        <v>27687</v>
      </c>
    </row>
    <row r="35" spans="1:17" s="2269" customFormat="1" ht="15" customHeight="1" x14ac:dyDescent="0.35">
      <c r="A35" s="2314" t="s">
        <v>238</v>
      </c>
      <c r="B35" s="2314" t="s">
        <v>218</v>
      </c>
      <c r="C35" s="2313" t="s">
        <v>210</v>
      </c>
      <c r="D35" s="3171">
        <f>'3_Part_time'!M44</f>
        <v>0</v>
      </c>
      <c r="E35" s="3172">
        <f>IF(D35=0,0,'Table 1 MF'!D29)</f>
        <v>0</v>
      </c>
      <c r="F35" s="3173" t="str">
        <f>IF(D35=0,"N/A",'Table 1 MF'!E29)</f>
        <v>N/A</v>
      </c>
      <c r="G35" s="3174">
        <f t="shared" si="0"/>
        <v>0</v>
      </c>
      <c r="H35" s="2333">
        <v>0</v>
      </c>
      <c r="I35" s="3144">
        <f t="shared" si="1"/>
        <v>0</v>
      </c>
      <c r="J35" s="3145"/>
      <c r="K35" s="3192" t="s">
        <v>27964</v>
      </c>
      <c r="L35" s="3203" cm="1">
        <f t="array" ref="L35">_xlfn.IFS(K35="","",K35="Yes",H35,K35="No",E35,K35="Yes with different rate","Please enter value")</f>
        <v>0</v>
      </c>
      <c r="M35" s="3204"/>
      <c r="N35" s="2291"/>
      <c r="O35" s="2331" t="s">
        <v>27692</v>
      </c>
      <c r="P35" s="2290" t="s">
        <v>27691</v>
      </c>
      <c r="Q35" s="2290" t="s">
        <v>27688</v>
      </c>
    </row>
    <row r="36" spans="1:17" s="2269" customFormat="1" ht="15" customHeight="1" x14ac:dyDescent="0.35">
      <c r="A36" s="2314" t="s">
        <v>238</v>
      </c>
      <c r="B36" s="2314" t="s">
        <v>218</v>
      </c>
      <c r="C36" s="2313" t="s">
        <v>212</v>
      </c>
      <c r="D36" s="3149">
        <f>'3_Part_time'!M45</f>
        <v>0</v>
      </c>
      <c r="E36" s="3150">
        <f>IF(D36=0,0,'Table 1 MF'!D30)</f>
        <v>0</v>
      </c>
      <c r="F36" s="3151" t="str">
        <f>IF(D36=0,"N/A",'Table 1 MF'!E30)</f>
        <v>N/A</v>
      </c>
      <c r="G36" s="3152">
        <f t="shared" si="0"/>
        <v>0</v>
      </c>
      <c r="H36" s="2333">
        <v>0</v>
      </c>
      <c r="I36" s="3144">
        <f t="shared" si="1"/>
        <v>0</v>
      </c>
      <c r="J36" s="3145"/>
      <c r="K36" s="3195" t="s">
        <v>27964</v>
      </c>
      <c r="L36" s="3193" cm="1">
        <f t="array" ref="L36">_xlfn.IFS(K36="","",K36="Yes",H36,K36="No",E36,K36="Yes with different rate","Please enter value")</f>
        <v>0</v>
      </c>
      <c r="M36" s="3196"/>
      <c r="N36" s="2291"/>
      <c r="O36" s="2331" t="s">
        <v>27692</v>
      </c>
      <c r="P36" s="2290" t="s">
        <v>27691</v>
      </c>
      <c r="Q36" s="2290" t="s">
        <v>27689</v>
      </c>
    </row>
    <row r="37" spans="1:17" s="2269" customFormat="1" ht="15" customHeight="1" x14ac:dyDescent="0.35">
      <c r="A37" s="2314" t="s">
        <v>238</v>
      </c>
      <c r="B37" s="2314" t="s">
        <v>218</v>
      </c>
      <c r="C37" s="2313" t="s">
        <v>214</v>
      </c>
      <c r="D37" s="3149">
        <f>'3_Part_time'!M46</f>
        <v>0</v>
      </c>
      <c r="E37" s="3150">
        <f>IF(D37=0,0,'Table 1 MF'!D31)</f>
        <v>0</v>
      </c>
      <c r="F37" s="3151" t="str">
        <f>IF(D37=0,"N/A",'Table 1 MF'!E31)</f>
        <v>N/A</v>
      </c>
      <c r="G37" s="3152">
        <f t="shared" si="0"/>
        <v>0</v>
      </c>
      <c r="H37" s="2341">
        <v>0</v>
      </c>
      <c r="I37" s="3169">
        <f t="shared" si="1"/>
        <v>0</v>
      </c>
      <c r="J37" s="3170"/>
      <c r="K37" s="3205" t="s">
        <v>27964</v>
      </c>
      <c r="L37" s="3206" cm="1">
        <f t="array" ref="L37">_xlfn.IFS(K37="","",K37="Yes",H37,K37="No",E37,K37="Yes with different rate","Please enter value")</f>
        <v>0</v>
      </c>
      <c r="M37" s="3207"/>
      <c r="N37" s="2291"/>
      <c r="O37" s="2331" t="s">
        <v>27692</v>
      </c>
      <c r="P37" s="2290" t="s">
        <v>27691</v>
      </c>
      <c r="Q37" s="2290" t="s">
        <v>27690</v>
      </c>
    </row>
    <row r="38" spans="1:17" s="2269" customFormat="1" ht="15" customHeight="1" x14ac:dyDescent="0.35">
      <c r="A38" s="2339" t="s">
        <v>251</v>
      </c>
      <c r="B38" s="2340" t="s">
        <v>204</v>
      </c>
      <c r="C38" s="2339" t="s">
        <v>205</v>
      </c>
      <c r="D38" s="3134">
        <f>'3_Part_time'!M48</f>
        <v>0</v>
      </c>
      <c r="E38" s="3135">
        <f>IF(D38=0,0,'Table 1 MF'!D32)</f>
        <v>0</v>
      </c>
      <c r="F38" s="3136" t="str">
        <f>IF(D38=0,"N/A",'Table 1 MF'!E32)</f>
        <v>N/A</v>
      </c>
      <c r="G38" s="3137">
        <f t="shared" si="0"/>
        <v>0</v>
      </c>
      <c r="H38" s="2338">
        <v>0</v>
      </c>
      <c r="I38" s="3138">
        <f t="shared" si="1"/>
        <v>0</v>
      </c>
      <c r="J38" s="3139"/>
      <c r="K38" s="3192" t="s">
        <v>27964</v>
      </c>
      <c r="L38" s="3208" cm="1">
        <f t="array" ref="L38">_xlfn.IFS(K38="","",K38="Yes",H38,K38="No",E38,K38="Yes with different rate","Please enter value")</f>
        <v>0</v>
      </c>
      <c r="M38" s="3194"/>
      <c r="N38" s="2291"/>
      <c r="O38" s="2331" t="s">
        <v>27693</v>
      </c>
      <c r="P38" s="2290" t="s">
        <v>27685</v>
      </c>
      <c r="Q38" s="2290" t="s">
        <v>27686</v>
      </c>
    </row>
    <row r="39" spans="1:17" s="2269" customFormat="1" ht="15" customHeight="1" x14ac:dyDescent="0.35">
      <c r="A39" s="2314" t="s">
        <v>251</v>
      </c>
      <c r="B39" s="2326" t="s">
        <v>204</v>
      </c>
      <c r="C39" s="2313" t="s">
        <v>208</v>
      </c>
      <c r="D39" s="3159">
        <f>'3_Part_time'!M49</f>
        <v>0</v>
      </c>
      <c r="E39" s="3160">
        <f>IF(D39=0,0,'Table 1 MF'!D33)</f>
        <v>0</v>
      </c>
      <c r="F39" s="3161" t="str">
        <f>IF(D39=0,"N/A",'Table 1 MF'!E33)</f>
        <v>N/A</v>
      </c>
      <c r="G39" s="3162">
        <f t="shared" si="0"/>
        <v>0</v>
      </c>
      <c r="H39" s="2333">
        <v>0</v>
      </c>
      <c r="I39" s="3144">
        <f t="shared" si="1"/>
        <v>0</v>
      </c>
      <c r="J39" s="3145"/>
      <c r="K39" s="3195" t="s">
        <v>27964</v>
      </c>
      <c r="L39" s="3193" cm="1">
        <f t="array" ref="L39">_xlfn.IFS(K39="","",K39="Yes",H39,K39="No",E39,K39="Yes with different rate","Please enter value")</f>
        <v>0</v>
      </c>
      <c r="M39" s="3196"/>
      <c r="N39" s="2291"/>
      <c r="O39" s="2331" t="s">
        <v>27693</v>
      </c>
      <c r="P39" s="2290" t="s">
        <v>27685</v>
      </c>
      <c r="Q39" s="2290" t="s">
        <v>27687</v>
      </c>
    </row>
    <row r="40" spans="1:17" s="2269" customFormat="1" ht="15" customHeight="1" x14ac:dyDescent="0.35">
      <c r="A40" s="2314" t="s">
        <v>251</v>
      </c>
      <c r="B40" s="2326" t="s">
        <v>204</v>
      </c>
      <c r="C40" s="2313" t="s">
        <v>210</v>
      </c>
      <c r="D40" s="3171">
        <f>'3_Part_time'!M50</f>
        <v>0</v>
      </c>
      <c r="E40" s="3172">
        <f>IF(D40=0,0,'Table 1 MF'!D34)</f>
        <v>0</v>
      </c>
      <c r="F40" s="3173" t="str">
        <f>IF(D40=0,"N/A",'Table 1 MF'!E34)</f>
        <v>N/A</v>
      </c>
      <c r="G40" s="3174">
        <f t="shared" si="0"/>
        <v>0</v>
      </c>
      <c r="H40" s="2333">
        <v>0</v>
      </c>
      <c r="I40" s="3144">
        <f t="shared" si="1"/>
        <v>0</v>
      </c>
      <c r="J40" s="3145"/>
      <c r="K40" s="3195" t="s">
        <v>27964</v>
      </c>
      <c r="L40" s="3193" cm="1">
        <f t="array" ref="L40">_xlfn.IFS(K40="","",K40="Yes",H40,K40="No",E40,K40="Yes with different rate","Please enter value")</f>
        <v>0</v>
      </c>
      <c r="M40" s="3196"/>
      <c r="N40" s="2291"/>
      <c r="O40" s="2331" t="s">
        <v>27693</v>
      </c>
      <c r="P40" s="2290" t="s">
        <v>27685</v>
      </c>
      <c r="Q40" s="2290" t="s">
        <v>27688</v>
      </c>
    </row>
    <row r="41" spans="1:17" s="2269" customFormat="1" ht="15" customHeight="1" x14ac:dyDescent="0.35">
      <c r="A41" s="2314" t="s">
        <v>251</v>
      </c>
      <c r="B41" s="2326" t="s">
        <v>204</v>
      </c>
      <c r="C41" s="2313" t="s">
        <v>212</v>
      </c>
      <c r="D41" s="3149">
        <f>'3_Part_time'!M51</f>
        <v>0</v>
      </c>
      <c r="E41" s="3150">
        <f>IF(D41=0,0,'Table 1 MF'!D35)</f>
        <v>0</v>
      </c>
      <c r="F41" s="3151" t="str">
        <f>IF(D41=0,"N/A",'Table 1 MF'!E35)</f>
        <v>N/A</v>
      </c>
      <c r="G41" s="3152">
        <f t="shared" si="0"/>
        <v>0</v>
      </c>
      <c r="H41" s="2333">
        <v>0</v>
      </c>
      <c r="I41" s="3144">
        <f t="shared" si="1"/>
        <v>0</v>
      </c>
      <c r="J41" s="3145"/>
      <c r="K41" s="3195" t="s">
        <v>27964</v>
      </c>
      <c r="L41" s="3193" cm="1">
        <f t="array" ref="L41">_xlfn.IFS(K41="","",K41="Yes",H41,K41="No",E41,K41="Yes with different rate","Please enter value")</f>
        <v>0</v>
      </c>
      <c r="M41" s="3196"/>
      <c r="N41" s="2291"/>
      <c r="O41" s="2331" t="s">
        <v>27693</v>
      </c>
      <c r="P41" s="2290" t="s">
        <v>27685</v>
      </c>
      <c r="Q41" s="2290" t="s">
        <v>27689</v>
      </c>
    </row>
    <row r="42" spans="1:17" s="2269" customFormat="1" ht="15" customHeight="1" x14ac:dyDescent="0.35">
      <c r="A42" s="2342" t="s">
        <v>251</v>
      </c>
      <c r="B42" s="2337" t="s">
        <v>204</v>
      </c>
      <c r="C42" s="2336" t="s">
        <v>214</v>
      </c>
      <c r="D42" s="3153">
        <f>'3_Part_time'!M52</f>
        <v>0</v>
      </c>
      <c r="E42" s="3154">
        <f>IF(D42=0,0,'Table 1 MF'!D36)</f>
        <v>0</v>
      </c>
      <c r="F42" s="3155" t="str">
        <f>IF(D42=0,"N/A",'Table 1 MF'!E36)</f>
        <v>N/A</v>
      </c>
      <c r="G42" s="3156">
        <f t="shared" si="0"/>
        <v>0</v>
      </c>
      <c r="H42" s="2335">
        <v>0</v>
      </c>
      <c r="I42" s="3157">
        <f t="shared" si="1"/>
        <v>0</v>
      </c>
      <c r="J42" s="3158"/>
      <c r="K42" s="3197" t="s">
        <v>27964</v>
      </c>
      <c r="L42" s="3198" cm="1">
        <f t="array" ref="L42">_xlfn.IFS(K42="","",K42="Yes",H42,K42="No",E42,K42="Yes with different rate","Please enter value")</f>
        <v>0</v>
      </c>
      <c r="M42" s="3199"/>
      <c r="N42" s="2291"/>
      <c r="O42" s="2331" t="s">
        <v>27693</v>
      </c>
      <c r="P42" s="2290" t="s">
        <v>27685</v>
      </c>
      <c r="Q42" s="2290" t="s">
        <v>27690</v>
      </c>
    </row>
    <row r="43" spans="1:17" s="2269" customFormat="1" ht="15" customHeight="1" x14ac:dyDescent="0.35">
      <c r="A43" s="2314" t="s">
        <v>251</v>
      </c>
      <c r="B43" s="2313" t="s">
        <v>218</v>
      </c>
      <c r="C43" s="2313" t="s">
        <v>205</v>
      </c>
      <c r="D43" s="3159">
        <f>'3_Part_time'!M54</f>
        <v>0</v>
      </c>
      <c r="E43" s="3160">
        <f>IF(D43=0,0,'Table 1 MF'!D37)</f>
        <v>0</v>
      </c>
      <c r="F43" s="3161" t="str">
        <f>IF(D43=0,"N/A",'Table 1 MF'!E37)</f>
        <v>N/A</v>
      </c>
      <c r="G43" s="3162">
        <f t="shared" si="0"/>
        <v>0</v>
      </c>
      <c r="H43" s="2334">
        <v>0</v>
      </c>
      <c r="I43" s="3163">
        <f t="shared" si="1"/>
        <v>0</v>
      </c>
      <c r="J43" s="3164"/>
      <c r="K43" s="3200" t="s">
        <v>27964</v>
      </c>
      <c r="L43" s="3201" cm="1">
        <f t="array" ref="L43">_xlfn.IFS(K43="","",K43="Yes",H43,K43="No",E43,K43="Yes with different rate","Please enter value")</f>
        <v>0</v>
      </c>
      <c r="M43" s="3202"/>
      <c r="N43" s="2291"/>
      <c r="O43" s="2331" t="s">
        <v>27693</v>
      </c>
      <c r="P43" s="2290" t="s">
        <v>27691</v>
      </c>
      <c r="Q43" s="2290" t="s">
        <v>27686</v>
      </c>
    </row>
    <row r="44" spans="1:17" s="2269" customFormat="1" ht="15" customHeight="1" x14ac:dyDescent="0.35">
      <c r="A44" s="2314" t="s">
        <v>251</v>
      </c>
      <c r="B44" s="2314" t="s">
        <v>218</v>
      </c>
      <c r="C44" s="2313" t="s">
        <v>208</v>
      </c>
      <c r="D44" s="3159">
        <f>'3_Part_time'!M55</f>
        <v>0</v>
      </c>
      <c r="E44" s="3160">
        <f>IF(D44=0,0,'Table 1 MF'!D38)</f>
        <v>0</v>
      </c>
      <c r="F44" s="3161" t="str">
        <f>IF(D44=0,"N/A",'Table 1 MF'!E38)</f>
        <v>N/A</v>
      </c>
      <c r="G44" s="3162">
        <f t="shared" si="0"/>
        <v>0</v>
      </c>
      <c r="H44" s="2333">
        <v>0</v>
      </c>
      <c r="I44" s="3144">
        <f t="shared" si="1"/>
        <v>0</v>
      </c>
      <c r="J44" s="3145"/>
      <c r="K44" s="3200" t="s">
        <v>27964</v>
      </c>
      <c r="L44" s="3201" cm="1">
        <f t="array" ref="L44">_xlfn.IFS(K44="","",K44="Yes",H44,K44="No",E44,K44="Yes with different rate","Please enter value")</f>
        <v>0</v>
      </c>
      <c r="M44" s="3202"/>
      <c r="N44" s="2291"/>
      <c r="O44" s="2331" t="s">
        <v>27693</v>
      </c>
      <c r="P44" s="2290" t="s">
        <v>27691</v>
      </c>
      <c r="Q44" s="2290" t="s">
        <v>27687</v>
      </c>
    </row>
    <row r="45" spans="1:17" s="2269" customFormat="1" ht="15" customHeight="1" x14ac:dyDescent="0.35">
      <c r="A45" s="2314" t="s">
        <v>251</v>
      </c>
      <c r="B45" s="2314" t="s">
        <v>218</v>
      </c>
      <c r="C45" s="2313" t="s">
        <v>210</v>
      </c>
      <c r="D45" s="3171">
        <f>'3_Part_time'!M56</f>
        <v>0</v>
      </c>
      <c r="E45" s="3172">
        <f>IF(D45=0,0,'Table 1 MF'!D39)</f>
        <v>0</v>
      </c>
      <c r="F45" s="3173" t="str">
        <f>IF(D45=0,"N/A",'Table 1 MF'!E39)</f>
        <v>N/A</v>
      </c>
      <c r="G45" s="3174">
        <f t="shared" si="0"/>
        <v>0</v>
      </c>
      <c r="H45" s="2333">
        <v>0</v>
      </c>
      <c r="I45" s="3144">
        <f t="shared" si="1"/>
        <v>0</v>
      </c>
      <c r="J45" s="3145"/>
      <c r="K45" s="3192" t="s">
        <v>27964</v>
      </c>
      <c r="L45" s="3203" cm="1">
        <f t="array" ref="L45">_xlfn.IFS(K45="","",K45="Yes",H45,K45="No",E45,K45="Yes with different rate","Please enter value")</f>
        <v>0</v>
      </c>
      <c r="M45" s="3204"/>
      <c r="N45" s="2291"/>
      <c r="O45" s="2331" t="s">
        <v>27693</v>
      </c>
      <c r="P45" s="2290" t="s">
        <v>27691</v>
      </c>
      <c r="Q45" s="2290" t="s">
        <v>27688</v>
      </c>
    </row>
    <row r="46" spans="1:17" s="2269" customFormat="1" ht="15" customHeight="1" x14ac:dyDescent="0.35">
      <c r="A46" s="2314" t="s">
        <v>251</v>
      </c>
      <c r="B46" s="2314" t="s">
        <v>218</v>
      </c>
      <c r="C46" s="2313" t="s">
        <v>212</v>
      </c>
      <c r="D46" s="3149">
        <f>'3_Part_time'!M57</f>
        <v>0</v>
      </c>
      <c r="E46" s="3150">
        <f>IF(D46=0,0,'Table 1 MF'!D40)</f>
        <v>0</v>
      </c>
      <c r="F46" s="3151" t="str">
        <f>IF(D46=0,"N/A",'Table 1 MF'!E40)</f>
        <v>N/A</v>
      </c>
      <c r="G46" s="3152">
        <f t="shared" si="0"/>
        <v>0</v>
      </c>
      <c r="H46" s="2333">
        <v>0</v>
      </c>
      <c r="I46" s="3144">
        <f t="shared" si="1"/>
        <v>0</v>
      </c>
      <c r="J46" s="3145"/>
      <c r="K46" s="3195" t="s">
        <v>27964</v>
      </c>
      <c r="L46" s="3193" cm="1">
        <f t="array" ref="L46">_xlfn.IFS(K46="","",K46="Yes",H46,K46="No",E46,K46="Yes with different rate","Please enter value")</f>
        <v>0</v>
      </c>
      <c r="M46" s="3196"/>
      <c r="N46" s="2291"/>
      <c r="O46" s="2331" t="s">
        <v>27693</v>
      </c>
      <c r="P46" s="2290" t="s">
        <v>27691</v>
      </c>
      <c r="Q46" s="2290" t="s">
        <v>27689</v>
      </c>
    </row>
    <row r="47" spans="1:17" s="2269" customFormat="1" ht="15" customHeight="1" x14ac:dyDescent="0.35">
      <c r="A47" s="2314" t="s">
        <v>251</v>
      </c>
      <c r="B47" s="2314" t="s">
        <v>218</v>
      </c>
      <c r="C47" s="2313" t="s">
        <v>214</v>
      </c>
      <c r="D47" s="3149">
        <f>'3_Part_time'!M58</f>
        <v>0</v>
      </c>
      <c r="E47" s="3150">
        <f>IF(D47=0,0,'Table 1 MF'!D41)</f>
        <v>0</v>
      </c>
      <c r="F47" s="3151" t="str">
        <f>IF(D47=0,"N/A",'Table 1 MF'!E41)</f>
        <v>N/A</v>
      </c>
      <c r="G47" s="3152">
        <f t="shared" si="0"/>
        <v>0</v>
      </c>
      <c r="H47" s="2341">
        <v>0</v>
      </c>
      <c r="I47" s="3169">
        <f t="shared" si="1"/>
        <v>0</v>
      </c>
      <c r="J47" s="3170"/>
      <c r="K47" s="3205" t="s">
        <v>27964</v>
      </c>
      <c r="L47" s="3206" cm="1">
        <f t="array" ref="L47">_xlfn.IFS(K47="","",K47="Yes",H47,K47="No",E47,K47="Yes with different rate","Please enter value")</f>
        <v>0</v>
      </c>
      <c r="M47" s="3207"/>
      <c r="N47" s="2291"/>
      <c r="O47" s="2331" t="s">
        <v>27693</v>
      </c>
      <c r="P47" s="2290" t="s">
        <v>27691</v>
      </c>
      <c r="Q47" s="2290" t="s">
        <v>27690</v>
      </c>
    </row>
    <row r="48" spans="1:17" s="2269" customFormat="1" ht="15" customHeight="1" x14ac:dyDescent="0.35">
      <c r="A48" s="2339" t="s">
        <v>264</v>
      </c>
      <c r="B48" s="2340" t="s">
        <v>204</v>
      </c>
      <c r="C48" s="2339" t="s">
        <v>205</v>
      </c>
      <c r="D48" s="3134">
        <f>'3_Part_time'!M60</f>
        <v>0</v>
      </c>
      <c r="E48" s="3135">
        <f>IF(D48=0,0,'Table 1 MF'!D42)</f>
        <v>0</v>
      </c>
      <c r="F48" s="3136" t="str">
        <f>IF(D48=0,"N/A",'Table 1 MF'!E42)</f>
        <v>N/A</v>
      </c>
      <c r="G48" s="3137">
        <f t="shared" si="0"/>
        <v>0</v>
      </c>
      <c r="H48" s="2338">
        <v>0</v>
      </c>
      <c r="I48" s="3138">
        <f t="shared" si="1"/>
        <v>0</v>
      </c>
      <c r="J48" s="3139"/>
      <c r="K48" s="3192" t="s">
        <v>27964</v>
      </c>
      <c r="L48" s="3208" cm="1">
        <f t="array" ref="L48">_xlfn.IFS(K48="","",K48="Yes",H48,K48="No",E48,K48="Yes with different rate","Please enter value")</f>
        <v>0</v>
      </c>
      <c r="M48" s="3194"/>
      <c r="N48" s="2291"/>
      <c r="O48" s="2331" t="s">
        <v>264</v>
      </c>
      <c r="P48" s="2290" t="s">
        <v>27685</v>
      </c>
      <c r="Q48" s="2290" t="s">
        <v>27686</v>
      </c>
    </row>
    <row r="49" spans="1:17" s="2269" customFormat="1" ht="15" customHeight="1" x14ac:dyDescent="0.35">
      <c r="A49" s="2314" t="s">
        <v>264</v>
      </c>
      <c r="B49" s="2326" t="s">
        <v>204</v>
      </c>
      <c r="C49" s="2313" t="s">
        <v>208</v>
      </c>
      <c r="D49" s="3159">
        <f>'3_Part_time'!M61</f>
        <v>0</v>
      </c>
      <c r="E49" s="3160">
        <f>IF(D49=0,0,'Table 1 MF'!D43)</f>
        <v>0</v>
      </c>
      <c r="F49" s="3161" t="str">
        <f>IF(D49=0,"N/A",'Table 1 MF'!E43)</f>
        <v>N/A</v>
      </c>
      <c r="G49" s="3162">
        <f t="shared" si="0"/>
        <v>0</v>
      </c>
      <c r="H49" s="2333">
        <v>0</v>
      </c>
      <c r="I49" s="3144">
        <f t="shared" si="1"/>
        <v>0</v>
      </c>
      <c r="J49" s="3145"/>
      <c r="K49" s="3195" t="s">
        <v>27964</v>
      </c>
      <c r="L49" s="3193" cm="1">
        <f t="array" ref="L49">_xlfn.IFS(K49="","",K49="Yes",H49,K49="No",E49,K49="Yes with different rate","Please enter value")</f>
        <v>0</v>
      </c>
      <c r="M49" s="3196"/>
      <c r="N49" s="2291"/>
      <c r="O49" s="2331" t="s">
        <v>264</v>
      </c>
      <c r="P49" s="2290" t="s">
        <v>27685</v>
      </c>
      <c r="Q49" s="2290" t="s">
        <v>27687</v>
      </c>
    </row>
    <row r="50" spans="1:17" s="2269" customFormat="1" ht="15" customHeight="1" x14ac:dyDescent="0.35">
      <c r="A50" s="2314" t="s">
        <v>264</v>
      </c>
      <c r="B50" s="2326" t="s">
        <v>204</v>
      </c>
      <c r="C50" s="2313" t="s">
        <v>210</v>
      </c>
      <c r="D50" s="3171">
        <f>'3_Part_time'!M62</f>
        <v>0</v>
      </c>
      <c r="E50" s="3172">
        <f>IF(D50=0,0,'Table 1 MF'!D44)</f>
        <v>0</v>
      </c>
      <c r="F50" s="3173" t="str">
        <f>IF(D50=0,"N/A",'Table 1 MF'!E44)</f>
        <v>N/A</v>
      </c>
      <c r="G50" s="3174">
        <f t="shared" si="0"/>
        <v>0</v>
      </c>
      <c r="H50" s="2333">
        <v>0</v>
      </c>
      <c r="I50" s="3144">
        <f t="shared" si="1"/>
        <v>0</v>
      </c>
      <c r="J50" s="3145"/>
      <c r="K50" s="3195" t="s">
        <v>27964</v>
      </c>
      <c r="L50" s="3193" cm="1">
        <f t="array" ref="L50">_xlfn.IFS(K50="","",K50="Yes",H50,K50="No",E50,K50="Yes with different rate","Please enter value")</f>
        <v>0</v>
      </c>
      <c r="M50" s="3196"/>
      <c r="N50" s="2291"/>
      <c r="O50" s="2331" t="s">
        <v>264</v>
      </c>
      <c r="P50" s="2290" t="s">
        <v>27685</v>
      </c>
      <c r="Q50" s="2290" t="s">
        <v>27688</v>
      </c>
    </row>
    <row r="51" spans="1:17" s="2269" customFormat="1" ht="15" customHeight="1" x14ac:dyDescent="0.35">
      <c r="A51" s="2314" t="s">
        <v>264</v>
      </c>
      <c r="B51" s="2326" t="s">
        <v>204</v>
      </c>
      <c r="C51" s="2313" t="s">
        <v>212</v>
      </c>
      <c r="D51" s="3149">
        <f>'3_Part_time'!M63</f>
        <v>0</v>
      </c>
      <c r="E51" s="3150">
        <f>IF(D51=0,0,'Table 1 MF'!D45)</f>
        <v>0</v>
      </c>
      <c r="F51" s="3151" t="str">
        <f>IF(D51=0,"N/A",'Table 1 MF'!E45)</f>
        <v>N/A</v>
      </c>
      <c r="G51" s="3152">
        <f t="shared" si="0"/>
        <v>0</v>
      </c>
      <c r="H51" s="2333">
        <v>0</v>
      </c>
      <c r="I51" s="3144">
        <f t="shared" si="1"/>
        <v>0</v>
      </c>
      <c r="J51" s="3145"/>
      <c r="K51" s="3195" t="s">
        <v>27964</v>
      </c>
      <c r="L51" s="3193" cm="1">
        <f t="array" ref="L51">_xlfn.IFS(K51="","",K51="Yes",H51,K51="No",E51,K51="Yes with different rate","Please enter value")</f>
        <v>0</v>
      </c>
      <c r="M51" s="3196"/>
      <c r="N51" s="2291"/>
      <c r="O51" s="2331" t="s">
        <v>264</v>
      </c>
      <c r="P51" s="2290" t="s">
        <v>27685</v>
      </c>
      <c r="Q51" s="2290" t="s">
        <v>27689</v>
      </c>
    </row>
    <row r="52" spans="1:17" s="2269" customFormat="1" ht="15" customHeight="1" x14ac:dyDescent="0.35">
      <c r="A52" s="2342" t="s">
        <v>264</v>
      </c>
      <c r="B52" s="2337" t="s">
        <v>204</v>
      </c>
      <c r="C52" s="2336" t="s">
        <v>214</v>
      </c>
      <c r="D52" s="3153">
        <f>'3_Part_time'!M64</f>
        <v>0</v>
      </c>
      <c r="E52" s="3154">
        <f>IF(D52=0,0,'Table 1 MF'!D46)</f>
        <v>0</v>
      </c>
      <c r="F52" s="3155" t="str">
        <f>IF(D52=0,"N/A",'Table 1 MF'!E46)</f>
        <v>N/A</v>
      </c>
      <c r="G52" s="3156">
        <f t="shared" si="0"/>
        <v>0</v>
      </c>
      <c r="H52" s="2335">
        <v>0</v>
      </c>
      <c r="I52" s="3157">
        <f t="shared" si="1"/>
        <v>0</v>
      </c>
      <c r="J52" s="3158"/>
      <c r="K52" s="3197" t="s">
        <v>27964</v>
      </c>
      <c r="L52" s="3198" cm="1">
        <f t="array" ref="L52">_xlfn.IFS(K52="","",K52="Yes",H52,K52="No",E52,K52="Yes with different rate","Please enter value")</f>
        <v>0</v>
      </c>
      <c r="M52" s="3199"/>
      <c r="N52" s="2291"/>
      <c r="O52" s="2331" t="s">
        <v>264</v>
      </c>
      <c r="P52" s="2290" t="s">
        <v>27685</v>
      </c>
      <c r="Q52" s="2290" t="s">
        <v>27690</v>
      </c>
    </row>
    <row r="53" spans="1:17" s="2269" customFormat="1" ht="15" customHeight="1" x14ac:dyDescent="0.35">
      <c r="A53" s="2314" t="s">
        <v>264</v>
      </c>
      <c r="B53" s="2313" t="s">
        <v>218</v>
      </c>
      <c r="C53" s="2313" t="s">
        <v>205</v>
      </c>
      <c r="D53" s="3159">
        <f>'3_Part_time'!M66</f>
        <v>0</v>
      </c>
      <c r="E53" s="3160">
        <f>IF(D53=0,0,'Table 1 MF'!D47)</f>
        <v>0</v>
      </c>
      <c r="F53" s="3161" t="str">
        <f>IF(D53=0,"N/A",'Table 1 MF'!E47)</f>
        <v>N/A</v>
      </c>
      <c r="G53" s="3162">
        <f t="shared" si="0"/>
        <v>0</v>
      </c>
      <c r="H53" s="2334">
        <v>0</v>
      </c>
      <c r="I53" s="3163">
        <f t="shared" si="1"/>
        <v>0</v>
      </c>
      <c r="J53" s="3164"/>
      <c r="K53" s="3200" t="s">
        <v>27964</v>
      </c>
      <c r="L53" s="3201" cm="1">
        <f t="array" ref="L53">_xlfn.IFS(K53="","",K53="Yes",H53,K53="No",E53,K53="Yes with different rate","Please enter value")</f>
        <v>0</v>
      </c>
      <c r="M53" s="3202"/>
      <c r="N53" s="2291"/>
      <c r="O53" s="2331" t="s">
        <v>264</v>
      </c>
      <c r="P53" s="2290" t="s">
        <v>27691</v>
      </c>
      <c r="Q53" s="2290" t="s">
        <v>27686</v>
      </c>
    </row>
    <row r="54" spans="1:17" s="2269" customFormat="1" ht="15" customHeight="1" x14ac:dyDescent="0.35">
      <c r="A54" s="2314" t="s">
        <v>264</v>
      </c>
      <c r="B54" s="2314" t="s">
        <v>218</v>
      </c>
      <c r="C54" s="2313" t="s">
        <v>208</v>
      </c>
      <c r="D54" s="3159">
        <f>'3_Part_time'!M67</f>
        <v>0</v>
      </c>
      <c r="E54" s="3160">
        <f>IF(D54=0,0,'Table 1 MF'!D48)</f>
        <v>0</v>
      </c>
      <c r="F54" s="3161" t="str">
        <f>IF(D54=0,"N/A",'Table 1 MF'!E48)</f>
        <v>N/A</v>
      </c>
      <c r="G54" s="3162">
        <f t="shared" si="0"/>
        <v>0</v>
      </c>
      <c r="H54" s="2333">
        <v>0</v>
      </c>
      <c r="I54" s="3144">
        <f t="shared" si="1"/>
        <v>0</v>
      </c>
      <c r="J54" s="3145"/>
      <c r="K54" s="3200" t="s">
        <v>27964</v>
      </c>
      <c r="L54" s="3201" cm="1">
        <f t="array" ref="L54">_xlfn.IFS(K54="","",K54="Yes",H54,K54="No",E54,K54="Yes with different rate","Please enter value")</f>
        <v>0</v>
      </c>
      <c r="M54" s="3202"/>
      <c r="N54" s="2291"/>
      <c r="O54" s="2331" t="s">
        <v>264</v>
      </c>
      <c r="P54" s="2290" t="s">
        <v>27691</v>
      </c>
      <c r="Q54" s="2290" t="s">
        <v>27687</v>
      </c>
    </row>
    <row r="55" spans="1:17" s="2269" customFormat="1" ht="15" customHeight="1" x14ac:dyDescent="0.35">
      <c r="A55" s="2314" t="s">
        <v>264</v>
      </c>
      <c r="B55" s="2314" t="s">
        <v>218</v>
      </c>
      <c r="C55" s="2313" t="s">
        <v>210</v>
      </c>
      <c r="D55" s="3171">
        <f>'3_Part_time'!M68</f>
        <v>0</v>
      </c>
      <c r="E55" s="3172">
        <f>IF(D55=0,0,'Table 1 MF'!D49)</f>
        <v>0</v>
      </c>
      <c r="F55" s="3173" t="str">
        <f>IF(D55=0,"N/A",'Table 1 MF'!E49)</f>
        <v>N/A</v>
      </c>
      <c r="G55" s="3174">
        <f t="shared" si="0"/>
        <v>0</v>
      </c>
      <c r="H55" s="2333">
        <v>0</v>
      </c>
      <c r="I55" s="3144">
        <f t="shared" si="1"/>
        <v>0</v>
      </c>
      <c r="J55" s="3145"/>
      <c r="K55" s="3192" t="s">
        <v>27964</v>
      </c>
      <c r="L55" s="3203" cm="1">
        <f t="array" ref="L55">_xlfn.IFS(K55="","",K55="Yes",H55,K55="No",E55,K55="Yes with different rate","Please enter value")</f>
        <v>0</v>
      </c>
      <c r="M55" s="3204"/>
      <c r="N55" s="2291"/>
      <c r="O55" s="2331" t="s">
        <v>264</v>
      </c>
      <c r="P55" s="2290" t="s">
        <v>27691</v>
      </c>
      <c r="Q55" s="2290" t="s">
        <v>27688</v>
      </c>
    </row>
    <row r="56" spans="1:17" s="2269" customFormat="1" ht="15" customHeight="1" x14ac:dyDescent="0.35">
      <c r="A56" s="2314" t="s">
        <v>264</v>
      </c>
      <c r="B56" s="2314" t="s">
        <v>218</v>
      </c>
      <c r="C56" s="2313" t="s">
        <v>212</v>
      </c>
      <c r="D56" s="3149">
        <f>'3_Part_time'!M69</f>
        <v>0</v>
      </c>
      <c r="E56" s="3150">
        <f>IF(D56=0,0,'Table 1 MF'!D50)</f>
        <v>0</v>
      </c>
      <c r="F56" s="3151" t="str">
        <f>IF(D56=0,"N/A",'Table 1 MF'!E50)</f>
        <v>N/A</v>
      </c>
      <c r="G56" s="3152">
        <f t="shared" si="0"/>
        <v>0</v>
      </c>
      <c r="H56" s="2333">
        <v>0</v>
      </c>
      <c r="I56" s="3144">
        <f t="shared" si="1"/>
        <v>0</v>
      </c>
      <c r="J56" s="3145"/>
      <c r="K56" s="3195" t="s">
        <v>27964</v>
      </c>
      <c r="L56" s="3193" cm="1">
        <f t="array" ref="L56">_xlfn.IFS(K56="","",K56="Yes",H56,K56="No",E56,K56="Yes with different rate","Please enter value")</f>
        <v>0</v>
      </c>
      <c r="M56" s="3196"/>
      <c r="N56" s="2291"/>
      <c r="O56" s="2331" t="s">
        <v>264</v>
      </c>
      <c r="P56" s="2290" t="s">
        <v>27691</v>
      </c>
      <c r="Q56" s="2290" t="s">
        <v>27689</v>
      </c>
    </row>
    <row r="57" spans="1:17" s="2269" customFormat="1" ht="15" customHeight="1" x14ac:dyDescent="0.35">
      <c r="A57" s="2314" t="s">
        <v>264</v>
      </c>
      <c r="B57" s="2314" t="s">
        <v>218</v>
      </c>
      <c r="C57" s="2313" t="s">
        <v>214</v>
      </c>
      <c r="D57" s="3149">
        <f>'3_Part_time'!M70</f>
        <v>0</v>
      </c>
      <c r="E57" s="3150">
        <f>IF(D57=0,0,'Table 1 MF'!D51)</f>
        <v>0</v>
      </c>
      <c r="F57" s="3151" t="str">
        <f>IF(D57=0,"N/A",'Table 1 MF'!E51)</f>
        <v>N/A</v>
      </c>
      <c r="G57" s="3152">
        <f t="shared" si="0"/>
        <v>0</v>
      </c>
      <c r="H57" s="2341">
        <v>0</v>
      </c>
      <c r="I57" s="3169">
        <f t="shared" si="1"/>
        <v>0</v>
      </c>
      <c r="J57" s="3170"/>
      <c r="K57" s="3205" t="s">
        <v>27964</v>
      </c>
      <c r="L57" s="3206" cm="1">
        <f t="array" ref="L57">_xlfn.IFS(K57="","",K57="Yes",H57,K57="No",E57,K57="Yes with different rate","Please enter value")</f>
        <v>0</v>
      </c>
      <c r="M57" s="3207"/>
      <c r="N57" s="2291"/>
      <c r="O57" s="2331" t="s">
        <v>264</v>
      </c>
      <c r="P57" s="2290" t="s">
        <v>27691</v>
      </c>
      <c r="Q57" s="2290" t="s">
        <v>27690</v>
      </c>
    </row>
    <row r="58" spans="1:17" s="2269" customFormat="1" ht="15" customHeight="1" x14ac:dyDescent="0.35">
      <c r="A58" s="2339" t="s">
        <v>277</v>
      </c>
      <c r="B58" s="2340" t="s">
        <v>204</v>
      </c>
      <c r="C58" s="2339" t="s">
        <v>205</v>
      </c>
      <c r="D58" s="3134">
        <f>'3_Part_time'!M72</f>
        <v>0</v>
      </c>
      <c r="E58" s="3135">
        <f>IF(D58=0,0,'Table 1 MF'!D52)</f>
        <v>0</v>
      </c>
      <c r="F58" s="3136" t="str">
        <f>IF(D58=0,"N/A",'Table 1 MF'!E52)</f>
        <v>N/A</v>
      </c>
      <c r="G58" s="3137">
        <f t="shared" si="0"/>
        <v>0</v>
      </c>
      <c r="H58" s="2338">
        <v>0</v>
      </c>
      <c r="I58" s="3138">
        <f t="shared" si="1"/>
        <v>0</v>
      </c>
      <c r="J58" s="3139"/>
      <c r="K58" s="3192" t="s">
        <v>27964</v>
      </c>
      <c r="L58" s="3208" cm="1">
        <f t="array" ref="L58">_xlfn.IFS(K58="","",K58="Yes",H58,K58="No",E58,K58="Yes with different rate","Please enter value")</f>
        <v>0</v>
      </c>
      <c r="M58" s="3194"/>
      <c r="N58" s="2291"/>
      <c r="O58" s="2331" t="s">
        <v>277</v>
      </c>
      <c r="P58" s="2290" t="s">
        <v>27685</v>
      </c>
      <c r="Q58" s="2290" t="s">
        <v>27686</v>
      </c>
    </row>
    <row r="59" spans="1:17" s="2269" customFormat="1" ht="15" customHeight="1" x14ac:dyDescent="0.35">
      <c r="A59" s="2314" t="s">
        <v>277</v>
      </c>
      <c r="B59" s="2326" t="s">
        <v>204</v>
      </c>
      <c r="C59" s="2313" t="s">
        <v>208</v>
      </c>
      <c r="D59" s="3159">
        <f>'3_Part_time'!M73</f>
        <v>0</v>
      </c>
      <c r="E59" s="3160">
        <f>IF(D59=0,0,'Table 1 MF'!D53)</f>
        <v>0</v>
      </c>
      <c r="F59" s="3161" t="str">
        <f>IF(D59=0,"N/A",'Table 1 MF'!E53)</f>
        <v>N/A</v>
      </c>
      <c r="G59" s="3162">
        <f t="shared" si="0"/>
        <v>0</v>
      </c>
      <c r="H59" s="2333">
        <v>0</v>
      </c>
      <c r="I59" s="3144">
        <f t="shared" si="1"/>
        <v>0</v>
      </c>
      <c r="J59" s="3145"/>
      <c r="K59" s="3195" t="s">
        <v>27964</v>
      </c>
      <c r="L59" s="3193" cm="1">
        <f t="array" ref="L59">_xlfn.IFS(K59="","",K59="Yes",H59,K59="No",E59,K59="Yes with different rate","Please enter value")</f>
        <v>0</v>
      </c>
      <c r="M59" s="3196"/>
      <c r="N59" s="2291"/>
      <c r="O59" s="2331" t="s">
        <v>277</v>
      </c>
      <c r="P59" s="2290" t="s">
        <v>27685</v>
      </c>
      <c r="Q59" s="2290" t="s">
        <v>27687</v>
      </c>
    </row>
    <row r="60" spans="1:17" s="2269" customFormat="1" ht="15" customHeight="1" x14ac:dyDescent="0.35">
      <c r="A60" s="2314" t="s">
        <v>277</v>
      </c>
      <c r="B60" s="2326" t="s">
        <v>204</v>
      </c>
      <c r="C60" s="2313" t="s">
        <v>210</v>
      </c>
      <c r="D60" s="3171">
        <f>'3_Part_time'!M74</f>
        <v>0</v>
      </c>
      <c r="E60" s="3172">
        <f>IF(D60=0,0,'Table 1 MF'!D54)</f>
        <v>0</v>
      </c>
      <c r="F60" s="3173" t="str">
        <f>IF(D60=0,"N/A",'Table 1 MF'!E54)</f>
        <v>N/A</v>
      </c>
      <c r="G60" s="3174">
        <f t="shared" si="0"/>
        <v>0</v>
      </c>
      <c r="H60" s="2333">
        <v>0</v>
      </c>
      <c r="I60" s="3144">
        <f t="shared" si="1"/>
        <v>0</v>
      </c>
      <c r="J60" s="3145"/>
      <c r="K60" s="3195" t="s">
        <v>27964</v>
      </c>
      <c r="L60" s="3193" cm="1">
        <f t="array" ref="L60">_xlfn.IFS(K60="","",K60="Yes",H60,K60="No",E60,K60="Yes with different rate","Please enter value")</f>
        <v>0</v>
      </c>
      <c r="M60" s="3196"/>
      <c r="N60" s="2291"/>
      <c r="O60" s="2331" t="s">
        <v>277</v>
      </c>
      <c r="P60" s="2290" t="s">
        <v>27685</v>
      </c>
      <c r="Q60" s="2290" t="s">
        <v>27688</v>
      </c>
    </row>
    <row r="61" spans="1:17" s="2269" customFormat="1" ht="15" customHeight="1" x14ac:dyDescent="0.35">
      <c r="A61" s="2314" t="s">
        <v>277</v>
      </c>
      <c r="B61" s="2326" t="s">
        <v>204</v>
      </c>
      <c r="C61" s="2313" t="s">
        <v>212</v>
      </c>
      <c r="D61" s="3149">
        <f>'3_Part_time'!M75</f>
        <v>0</v>
      </c>
      <c r="E61" s="3150">
        <f>IF(D61=0,0,'Table 1 MF'!D55)</f>
        <v>0</v>
      </c>
      <c r="F61" s="3151" t="str">
        <f>IF(D61=0,"N/A",'Table 1 MF'!E55)</f>
        <v>N/A</v>
      </c>
      <c r="G61" s="3152">
        <f t="shared" si="0"/>
        <v>0</v>
      </c>
      <c r="H61" s="2333">
        <v>0</v>
      </c>
      <c r="I61" s="3144">
        <f t="shared" si="1"/>
        <v>0</v>
      </c>
      <c r="J61" s="3145"/>
      <c r="K61" s="3195" t="s">
        <v>27964</v>
      </c>
      <c r="L61" s="3193" cm="1">
        <f t="array" ref="L61">_xlfn.IFS(K61="","",K61="Yes",H61,K61="No",E61,K61="Yes with different rate","Please enter value")</f>
        <v>0</v>
      </c>
      <c r="M61" s="3196"/>
      <c r="N61" s="2291"/>
      <c r="O61" s="2331" t="s">
        <v>277</v>
      </c>
      <c r="P61" s="2290" t="s">
        <v>27685</v>
      </c>
      <c r="Q61" s="2290" t="s">
        <v>27689</v>
      </c>
    </row>
    <row r="62" spans="1:17" s="2269" customFormat="1" ht="15" customHeight="1" x14ac:dyDescent="0.35">
      <c r="A62" s="2314" t="s">
        <v>277</v>
      </c>
      <c r="B62" s="2337" t="s">
        <v>204</v>
      </c>
      <c r="C62" s="2336" t="s">
        <v>214</v>
      </c>
      <c r="D62" s="3153">
        <f>'3_Part_time'!M76</f>
        <v>0</v>
      </c>
      <c r="E62" s="3154">
        <f>IF(D62=0,0,'Table 1 MF'!D56)</f>
        <v>0</v>
      </c>
      <c r="F62" s="3155" t="str">
        <f>IF(D62=0,"N/A",'Table 1 MF'!E56)</f>
        <v>N/A</v>
      </c>
      <c r="G62" s="3156">
        <f t="shared" si="0"/>
        <v>0</v>
      </c>
      <c r="H62" s="2335">
        <v>0</v>
      </c>
      <c r="I62" s="3157">
        <f t="shared" si="1"/>
        <v>0</v>
      </c>
      <c r="J62" s="3158"/>
      <c r="K62" s="3197" t="s">
        <v>27964</v>
      </c>
      <c r="L62" s="3198" cm="1">
        <f t="array" ref="L62">_xlfn.IFS(K62="","",K62="Yes",H62,K62="No",E62,K62="Yes with different rate","Please enter value")</f>
        <v>0</v>
      </c>
      <c r="M62" s="3199"/>
      <c r="N62" s="2291"/>
      <c r="O62" s="2331" t="s">
        <v>277</v>
      </c>
      <c r="P62" s="2290" t="s">
        <v>27685</v>
      </c>
      <c r="Q62" s="2290" t="s">
        <v>27690</v>
      </c>
    </row>
    <row r="63" spans="1:17" s="2269" customFormat="1" ht="15" customHeight="1" x14ac:dyDescent="0.35">
      <c r="A63" s="2314" t="s">
        <v>277</v>
      </c>
      <c r="B63" s="2313" t="s">
        <v>218</v>
      </c>
      <c r="C63" s="2313" t="s">
        <v>205</v>
      </c>
      <c r="D63" s="3159">
        <f>'3_Part_time'!M78</f>
        <v>0</v>
      </c>
      <c r="E63" s="3160">
        <f>IF(D63=0,0,'Table 1 MF'!D57)</f>
        <v>0</v>
      </c>
      <c r="F63" s="3161" t="str">
        <f>IF(D63=0,"N/A",'Table 1 MF'!E57)</f>
        <v>N/A</v>
      </c>
      <c r="G63" s="3162">
        <f t="shared" si="0"/>
        <v>0</v>
      </c>
      <c r="H63" s="2334">
        <v>0</v>
      </c>
      <c r="I63" s="3163">
        <f t="shared" si="1"/>
        <v>0</v>
      </c>
      <c r="J63" s="3164"/>
      <c r="K63" s="3200" t="s">
        <v>27964</v>
      </c>
      <c r="L63" s="3201" cm="1">
        <f t="array" ref="L63">_xlfn.IFS(K63="","",K63="Yes",H63,K63="No",E63,K63="Yes with different rate","Please enter value")</f>
        <v>0</v>
      </c>
      <c r="M63" s="3202"/>
      <c r="N63" s="2291"/>
      <c r="O63" s="2331" t="s">
        <v>277</v>
      </c>
      <c r="P63" s="2290" t="s">
        <v>27691</v>
      </c>
      <c r="Q63" s="2290" t="s">
        <v>27686</v>
      </c>
    </row>
    <row r="64" spans="1:17" s="2269" customFormat="1" ht="15" customHeight="1" x14ac:dyDescent="0.35">
      <c r="A64" s="2314" t="s">
        <v>277</v>
      </c>
      <c r="B64" s="2314" t="s">
        <v>218</v>
      </c>
      <c r="C64" s="2313" t="s">
        <v>208</v>
      </c>
      <c r="D64" s="3159">
        <f>'3_Part_time'!M79</f>
        <v>0</v>
      </c>
      <c r="E64" s="3160">
        <f>IF(D64=0,0,'Table 1 MF'!D58)</f>
        <v>0</v>
      </c>
      <c r="F64" s="3161" t="str">
        <f>IF(D64=0,"N/A",'Table 1 MF'!E58)</f>
        <v>N/A</v>
      </c>
      <c r="G64" s="3162">
        <f t="shared" si="0"/>
        <v>0</v>
      </c>
      <c r="H64" s="2333">
        <v>0</v>
      </c>
      <c r="I64" s="3144">
        <f t="shared" si="1"/>
        <v>0</v>
      </c>
      <c r="J64" s="3145"/>
      <c r="K64" s="3200" t="s">
        <v>27964</v>
      </c>
      <c r="L64" s="3201" cm="1">
        <f t="array" ref="L64">_xlfn.IFS(K64="","",K64="Yes",H64,K64="No",E64,K64="Yes with different rate","Please enter value")</f>
        <v>0</v>
      </c>
      <c r="M64" s="3202"/>
      <c r="N64" s="2291"/>
      <c r="O64" s="2331" t="s">
        <v>277</v>
      </c>
      <c r="P64" s="2290" t="s">
        <v>27691</v>
      </c>
      <c r="Q64" s="2290" t="s">
        <v>27687</v>
      </c>
    </row>
    <row r="65" spans="1:17" s="2269" customFormat="1" ht="15" customHeight="1" x14ac:dyDescent="0.35">
      <c r="A65" s="2314" t="s">
        <v>277</v>
      </c>
      <c r="B65" s="2314" t="s">
        <v>218</v>
      </c>
      <c r="C65" s="2313" t="s">
        <v>210</v>
      </c>
      <c r="D65" s="3171">
        <f>'3_Part_time'!M80</f>
        <v>0</v>
      </c>
      <c r="E65" s="3172">
        <f>IF(D65=0,0,'Table 1 MF'!D59)</f>
        <v>0</v>
      </c>
      <c r="F65" s="3173" t="str">
        <f>IF(D65=0,"N/A",'Table 1 MF'!E59)</f>
        <v>N/A</v>
      </c>
      <c r="G65" s="3174">
        <f t="shared" si="0"/>
        <v>0</v>
      </c>
      <c r="H65" s="2333">
        <v>0</v>
      </c>
      <c r="I65" s="3144">
        <f t="shared" si="1"/>
        <v>0</v>
      </c>
      <c r="J65" s="3145"/>
      <c r="K65" s="3192" t="s">
        <v>27964</v>
      </c>
      <c r="L65" s="3203" cm="1">
        <f t="array" ref="L65">_xlfn.IFS(K65="","",K65="Yes",H65,K65="No",E65,K65="Yes with different rate","Please enter value")</f>
        <v>0</v>
      </c>
      <c r="M65" s="3204"/>
      <c r="N65" s="2291"/>
      <c r="O65" s="2331" t="s">
        <v>277</v>
      </c>
      <c r="P65" s="2290" t="s">
        <v>27691</v>
      </c>
      <c r="Q65" s="2290" t="s">
        <v>27688</v>
      </c>
    </row>
    <row r="66" spans="1:17" s="2269" customFormat="1" ht="15" customHeight="1" x14ac:dyDescent="0.35">
      <c r="A66" s="2314" t="s">
        <v>277</v>
      </c>
      <c r="B66" s="2314" t="s">
        <v>218</v>
      </c>
      <c r="C66" s="2313" t="s">
        <v>212</v>
      </c>
      <c r="D66" s="3149">
        <f>'3_Part_time'!M81</f>
        <v>0</v>
      </c>
      <c r="E66" s="3150">
        <f>IF(D66=0,0,'Table 1 MF'!D60)</f>
        <v>0</v>
      </c>
      <c r="F66" s="3151" t="str">
        <f>IF(D66=0,"N/A",'Table 1 MF'!E60)</f>
        <v>N/A</v>
      </c>
      <c r="G66" s="3152">
        <f t="shared" si="0"/>
        <v>0</v>
      </c>
      <c r="H66" s="2333">
        <v>0</v>
      </c>
      <c r="I66" s="3144">
        <f t="shared" si="1"/>
        <v>0</v>
      </c>
      <c r="J66" s="3145"/>
      <c r="K66" s="3195" t="s">
        <v>27964</v>
      </c>
      <c r="L66" s="3193" cm="1">
        <f t="array" ref="L66">_xlfn.IFS(K66="","",K66="Yes",H66,K66="No",E66,K66="Yes with different rate","Please enter value")</f>
        <v>0</v>
      </c>
      <c r="M66" s="3196"/>
      <c r="N66" s="2291"/>
      <c r="O66" s="2331" t="s">
        <v>277</v>
      </c>
      <c r="P66" s="2290" t="s">
        <v>27691</v>
      </c>
      <c r="Q66" s="2290" t="s">
        <v>27689</v>
      </c>
    </row>
    <row r="67" spans="1:17" s="2269" customFormat="1" ht="15" customHeight="1" thickBot="1" x14ac:dyDescent="0.4">
      <c r="A67" s="2314" t="s">
        <v>277</v>
      </c>
      <c r="B67" s="2314" t="s">
        <v>218</v>
      </c>
      <c r="C67" s="2313" t="s">
        <v>214</v>
      </c>
      <c r="D67" s="3149">
        <f>'3_Part_time'!M82</f>
        <v>0</v>
      </c>
      <c r="E67" s="3177">
        <f>IF(D67=0,0,'Table 1 MF'!D61)</f>
        <v>0</v>
      </c>
      <c r="F67" s="3151" t="str">
        <f>IF(D67=0,"N/A",'Table 1 MF'!E61)</f>
        <v>N/A</v>
      </c>
      <c r="G67" s="3152">
        <f t="shared" si="0"/>
        <v>0</v>
      </c>
      <c r="H67" s="2332">
        <v>0</v>
      </c>
      <c r="I67" s="3178">
        <f t="shared" si="1"/>
        <v>0</v>
      </c>
      <c r="J67" s="3179"/>
      <c r="K67" s="3209" t="s">
        <v>27964</v>
      </c>
      <c r="L67" s="3210" cm="1">
        <f t="array" ref="L67">_xlfn.IFS(K67="","",K67="Yes",H67,K67="No",E67,K67="Yes with different rate","Please enter value")</f>
        <v>0</v>
      </c>
      <c r="M67" s="3211"/>
      <c r="N67" s="2291"/>
      <c r="O67" s="2331" t="s">
        <v>277</v>
      </c>
      <c r="P67" s="2290" t="s">
        <v>27691</v>
      </c>
      <c r="Q67" s="2290" t="s">
        <v>27690</v>
      </c>
    </row>
    <row r="68" spans="1:17" s="2269" customFormat="1" ht="15" customHeight="1" thickTop="1" x14ac:dyDescent="0.35">
      <c r="A68" s="2330" t="s">
        <v>27694</v>
      </c>
      <c r="B68" s="2329" t="s">
        <v>204</v>
      </c>
      <c r="C68" s="2328" t="s">
        <v>205</v>
      </c>
      <c r="D68" s="3180">
        <f>'3_Part_time'!M84</f>
        <v>0</v>
      </c>
      <c r="E68" s="3181"/>
      <c r="F68" s="2327"/>
      <c r="G68" s="3182">
        <f>SUM(G8,G18,G28,G38,G48,G58)</f>
        <v>0</v>
      </c>
      <c r="H68" s="2316"/>
      <c r="I68" s="2316"/>
      <c r="J68" s="2315"/>
      <c r="K68" s="2304"/>
      <c r="L68" s="2303"/>
      <c r="M68" s="2303"/>
      <c r="N68" s="2291"/>
      <c r="O68" s="2290" t="s">
        <v>28321</v>
      </c>
      <c r="P68" s="2290" t="s">
        <v>27685</v>
      </c>
      <c r="Q68" s="2290" t="s">
        <v>27686</v>
      </c>
    </row>
    <row r="69" spans="1:17" s="2269" customFormat="1" ht="15" customHeight="1" x14ac:dyDescent="0.35">
      <c r="A69" s="2301" t="s">
        <v>27694</v>
      </c>
      <c r="B69" s="2326" t="s">
        <v>204</v>
      </c>
      <c r="C69" s="2313" t="s">
        <v>208</v>
      </c>
      <c r="D69" s="3159">
        <f>'3_Part_time'!M85</f>
        <v>0</v>
      </c>
      <c r="E69" s="3183"/>
      <c r="F69" s="2317"/>
      <c r="G69" s="3162">
        <f t="shared" ref="G69:G77" si="2">SUM(G9,G19,G29,G39,G49,G59)</f>
        <v>0</v>
      </c>
      <c r="H69" s="2316"/>
      <c r="I69" s="2316"/>
      <c r="J69" s="2315"/>
      <c r="K69" s="2304"/>
      <c r="L69" s="2303"/>
      <c r="M69" s="2303"/>
      <c r="N69" s="2291"/>
      <c r="O69" s="2290" t="s">
        <v>28321</v>
      </c>
      <c r="P69" s="2290" t="s">
        <v>27685</v>
      </c>
      <c r="Q69" s="2290" t="s">
        <v>27687</v>
      </c>
    </row>
    <row r="70" spans="1:17" s="2269" customFormat="1" ht="15" customHeight="1" x14ac:dyDescent="0.35">
      <c r="A70" s="2301" t="s">
        <v>27694</v>
      </c>
      <c r="B70" s="2326" t="s">
        <v>204</v>
      </c>
      <c r="C70" s="2313" t="s">
        <v>210</v>
      </c>
      <c r="D70" s="3159">
        <f>'3_Part_time'!M86</f>
        <v>0</v>
      </c>
      <c r="E70" s="3183"/>
      <c r="F70" s="2317"/>
      <c r="G70" s="3162">
        <f t="shared" si="2"/>
        <v>0</v>
      </c>
      <c r="H70" s="2316"/>
      <c r="I70" s="2316"/>
      <c r="J70" s="2315"/>
      <c r="K70" s="2304"/>
      <c r="L70" s="2303"/>
      <c r="M70" s="2303"/>
      <c r="N70" s="2291"/>
      <c r="O70" s="2290" t="s">
        <v>28321</v>
      </c>
      <c r="P70" s="2290" t="s">
        <v>27685</v>
      </c>
      <c r="Q70" s="2290" t="s">
        <v>27688</v>
      </c>
    </row>
    <row r="71" spans="1:17" s="2269" customFormat="1" ht="15" customHeight="1" x14ac:dyDescent="0.35">
      <c r="A71" s="2301" t="s">
        <v>27694</v>
      </c>
      <c r="B71" s="2326" t="s">
        <v>204</v>
      </c>
      <c r="C71" s="2313" t="s">
        <v>212</v>
      </c>
      <c r="D71" s="3149">
        <f>'3_Part_time'!M87</f>
        <v>0</v>
      </c>
      <c r="E71" s="3184"/>
      <c r="F71" s="2307"/>
      <c r="G71" s="3152">
        <f t="shared" si="2"/>
        <v>0</v>
      </c>
      <c r="H71" s="2306"/>
      <c r="I71" s="2306"/>
      <c r="J71" s="2312"/>
      <c r="K71" s="2304"/>
      <c r="L71" s="2303"/>
      <c r="M71" s="2303"/>
      <c r="N71" s="2291"/>
      <c r="O71" s="2290" t="s">
        <v>28321</v>
      </c>
      <c r="P71" s="2290" t="s">
        <v>27685</v>
      </c>
      <c r="Q71" s="2290" t="s">
        <v>27689</v>
      </c>
    </row>
    <row r="72" spans="1:17" s="2269" customFormat="1" ht="15" customHeight="1" x14ac:dyDescent="0.35">
      <c r="A72" s="2301" t="s">
        <v>27694</v>
      </c>
      <c r="B72" s="2326" t="s">
        <v>204</v>
      </c>
      <c r="C72" s="2313" t="s">
        <v>214</v>
      </c>
      <c r="D72" s="3149">
        <f>'3_Part_time'!M88</f>
        <v>0</v>
      </c>
      <c r="E72" s="3185"/>
      <c r="F72" s="2308"/>
      <c r="G72" s="3152">
        <f t="shared" si="2"/>
        <v>0</v>
      </c>
      <c r="H72" s="2306"/>
      <c r="I72" s="2306"/>
      <c r="J72" s="2305"/>
      <c r="K72" s="2304"/>
      <c r="L72" s="2303"/>
      <c r="M72" s="2302"/>
      <c r="N72" s="2291"/>
      <c r="O72" s="2290" t="s">
        <v>28321</v>
      </c>
      <c r="P72" s="2290" t="s">
        <v>27685</v>
      </c>
      <c r="Q72" s="2290" t="s">
        <v>27690</v>
      </c>
    </row>
    <row r="73" spans="1:17" s="2269" customFormat="1" ht="15" customHeight="1" x14ac:dyDescent="0.35">
      <c r="A73" s="2301" t="s">
        <v>27694</v>
      </c>
      <c r="B73" s="2325" t="s">
        <v>218</v>
      </c>
      <c r="C73" s="2325" t="s">
        <v>205</v>
      </c>
      <c r="D73" s="3186">
        <f>'3_Part_time'!M90</f>
        <v>0</v>
      </c>
      <c r="E73" s="3187"/>
      <c r="F73" s="2324"/>
      <c r="G73" s="3188">
        <f t="shared" si="2"/>
        <v>0</v>
      </c>
      <c r="H73" s="2323"/>
      <c r="I73" s="2323"/>
      <c r="J73" s="2322"/>
      <c r="K73" s="2321"/>
      <c r="L73" s="2320"/>
      <c r="M73" s="2319"/>
      <c r="N73" s="2291"/>
      <c r="O73" s="2290" t="s">
        <v>28321</v>
      </c>
      <c r="P73" s="2290" t="s">
        <v>27691</v>
      </c>
      <c r="Q73" s="2290" t="s">
        <v>27686</v>
      </c>
    </row>
    <row r="74" spans="1:17" s="2269" customFormat="1" ht="15" customHeight="1" x14ac:dyDescent="0.35">
      <c r="A74" s="2301" t="s">
        <v>27694</v>
      </c>
      <c r="B74" s="2314" t="s">
        <v>218</v>
      </c>
      <c r="C74" s="2313" t="s">
        <v>208</v>
      </c>
      <c r="D74" s="3159">
        <f>'3_Part_time'!M91</f>
        <v>0</v>
      </c>
      <c r="E74" s="3183"/>
      <c r="F74" s="2317"/>
      <c r="G74" s="3162">
        <f t="shared" si="2"/>
        <v>0</v>
      </c>
      <c r="H74" s="2316"/>
      <c r="I74" s="2316"/>
      <c r="J74" s="2315"/>
      <c r="K74" s="2304"/>
      <c r="L74" s="2303"/>
      <c r="M74" s="2303"/>
      <c r="N74" s="2291"/>
      <c r="O74" s="2290" t="s">
        <v>28321</v>
      </c>
      <c r="P74" s="2290" t="s">
        <v>27691</v>
      </c>
      <c r="Q74" s="2290" t="s">
        <v>27687</v>
      </c>
    </row>
    <row r="75" spans="1:17" s="2269" customFormat="1" ht="15" customHeight="1" x14ac:dyDescent="0.35">
      <c r="A75" s="2301" t="s">
        <v>27694</v>
      </c>
      <c r="B75" s="2314" t="s">
        <v>218</v>
      </c>
      <c r="C75" s="2313" t="s">
        <v>210</v>
      </c>
      <c r="D75" s="3159">
        <f>'3_Part_time'!M92</f>
        <v>0</v>
      </c>
      <c r="E75" s="3183"/>
      <c r="F75" s="2317"/>
      <c r="G75" s="3162">
        <f t="shared" si="2"/>
        <v>0</v>
      </c>
      <c r="H75" s="2316"/>
      <c r="I75" s="2316"/>
      <c r="J75" s="2315"/>
      <c r="K75" s="2304"/>
      <c r="L75" s="2303"/>
      <c r="M75" s="2303"/>
      <c r="N75" s="2291"/>
      <c r="O75" s="2290" t="s">
        <v>28321</v>
      </c>
      <c r="P75" s="2290" t="s">
        <v>27691</v>
      </c>
      <c r="Q75" s="2290" t="s">
        <v>27688</v>
      </c>
    </row>
    <row r="76" spans="1:17" s="2269" customFormat="1" ht="15" customHeight="1" x14ac:dyDescent="0.35">
      <c r="A76" s="2301" t="s">
        <v>27694</v>
      </c>
      <c r="B76" s="2314" t="s">
        <v>218</v>
      </c>
      <c r="C76" s="2313" t="s">
        <v>212</v>
      </c>
      <c r="D76" s="3149">
        <f>'3_Part_time'!M93</f>
        <v>0</v>
      </c>
      <c r="E76" s="3184"/>
      <c r="F76" s="2307"/>
      <c r="G76" s="3152">
        <f t="shared" si="2"/>
        <v>0</v>
      </c>
      <c r="H76" s="2306"/>
      <c r="I76" s="2306"/>
      <c r="J76" s="2312"/>
      <c r="K76" s="2304"/>
      <c r="L76" s="2303"/>
      <c r="M76" s="2303"/>
      <c r="N76" s="2291"/>
      <c r="O76" s="2290" t="s">
        <v>28321</v>
      </c>
      <c r="P76" s="2290" t="s">
        <v>27691</v>
      </c>
      <c r="Q76" s="2290" t="s">
        <v>27689</v>
      </c>
    </row>
    <row r="77" spans="1:17" s="2269" customFormat="1" ht="15" customHeight="1" thickBot="1" x14ac:dyDescent="0.4">
      <c r="A77" s="2311" t="s">
        <v>27694</v>
      </c>
      <c r="B77" s="2310" t="s">
        <v>218</v>
      </c>
      <c r="C77" s="2309" t="s">
        <v>214</v>
      </c>
      <c r="D77" s="3149">
        <f>'3_Part_time'!M94</f>
        <v>0</v>
      </c>
      <c r="E77" s="3185"/>
      <c r="F77" s="2308"/>
      <c r="G77" s="3152">
        <f t="shared" si="2"/>
        <v>0</v>
      </c>
      <c r="H77" s="2306"/>
      <c r="I77" s="2306"/>
      <c r="J77" s="2305"/>
      <c r="K77" s="2304"/>
      <c r="L77" s="2303"/>
      <c r="M77" s="2302"/>
      <c r="N77" s="2291"/>
      <c r="O77" s="2290" t="s">
        <v>28321</v>
      </c>
      <c r="P77" s="2290" t="s">
        <v>27691</v>
      </c>
      <c r="Q77" s="2290" t="s">
        <v>27690</v>
      </c>
    </row>
    <row r="78" spans="1:17" s="2269" customFormat="1" ht="15" customHeight="1" thickBot="1" x14ac:dyDescent="0.4">
      <c r="A78" s="2301" t="s">
        <v>27694</v>
      </c>
      <c r="B78" s="2300" t="s">
        <v>27695</v>
      </c>
      <c r="C78" s="2299" t="s">
        <v>27696</v>
      </c>
      <c r="D78" s="3189">
        <f>'3_Part_time'!M96</f>
        <v>0</v>
      </c>
      <c r="E78" s="3190"/>
      <c r="F78" s="2297"/>
      <c r="G78" s="3191">
        <f>SUM(G68:G77)</f>
        <v>0</v>
      </c>
      <c r="H78" s="2296"/>
      <c r="I78" s="2296"/>
      <c r="J78" s="2295"/>
      <c r="K78" s="2294"/>
      <c r="L78" s="2293"/>
      <c r="M78" s="2292"/>
      <c r="N78" s="2291"/>
      <c r="O78" s="2290" t="s">
        <v>28321</v>
      </c>
      <c r="P78" s="2290" t="s">
        <v>203</v>
      </c>
      <c r="Q78" s="2290" t="s">
        <v>28321</v>
      </c>
    </row>
    <row r="79" spans="1:17" s="2269" customFormat="1" ht="14.65" hidden="1" customHeight="1" x14ac:dyDescent="0.35">
      <c r="A79" s="2289"/>
      <c r="B79" s="2289"/>
      <c r="C79" s="2288"/>
      <c r="D79" s="2287"/>
      <c r="E79" s="2273"/>
      <c r="F79" s="2273"/>
      <c r="G79" s="2273"/>
      <c r="H79" s="2273"/>
      <c r="I79" s="2273"/>
      <c r="J79" s="2287"/>
      <c r="K79" s="2273"/>
      <c r="L79" s="2273"/>
      <c r="M79" s="2273"/>
      <c r="N79" s="2273"/>
    </row>
    <row r="80" spans="1:17" s="2269" customFormat="1" ht="14.65" hidden="1" customHeight="1" x14ac:dyDescent="0.45">
      <c r="C80" s="2286"/>
      <c r="D80"/>
      <c r="E80"/>
      <c r="F80"/>
      <c r="G80" s="3104" t="s">
        <v>29724</v>
      </c>
      <c r="H80" s="2282" t="s">
        <v>29390</v>
      </c>
      <c r="I80" s="2284"/>
      <c r="J80" s="2378" t="s">
        <v>29389</v>
      </c>
      <c r="K80" s="2282" t="s">
        <v>29388</v>
      </c>
      <c r="L80" s="2282" t="s">
        <v>29387</v>
      </c>
      <c r="M80" s="2282" t="s">
        <v>29386</v>
      </c>
      <c r="N80" s="2273"/>
    </row>
    <row r="81" spans="1:15" s="2269" customFormat="1" ht="14.65" customHeight="1" x14ac:dyDescent="0.35">
      <c r="C81" s="2286"/>
      <c r="D81" s="2272"/>
      <c r="E81" s="2272"/>
      <c r="F81" s="2272"/>
      <c r="G81" s="2272"/>
      <c r="H81" s="2272"/>
      <c r="I81" s="2272"/>
      <c r="J81" s="2273"/>
      <c r="K81" s="2273"/>
      <c r="L81" s="2273"/>
      <c r="M81" s="2273"/>
    </row>
    <row r="82" spans="1:15" s="2269" customFormat="1" ht="14.65" customHeight="1" x14ac:dyDescent="0.45">
      <c r="A82" s="657" t="s">
        <v>29404</v>
      </c>
      <c r="B82" s="657"/>
      <c r="C82" s="657"/>
      <c r="D82" s="657"/>
      <c r="E82" s="657"/>
      <c r="F82" s="657"/>
      <c r="G82" s="657"/>
      <c r="H82" s="2270"/>
      <c r="I82" s="2270"/>
      <c r="J82" s="2273"/>
      <c r="K82" s="2273"/>
      <c r="L82" s="2273"/>
      <c r="M82" s="2273"/>
    </row>
    <row r="83" spans="1:15" s="2269" customFormat="1" ht="14.65" customHeight="1" x14ac:dyDescent="0.45">
      <c r="A83" s="2269" t="s">
        <v>29753</v>
      </c>
      <c r="B83" s="2361"/>
      <c r="C83" s="2361"/>
      <c r="D83" s="2361"/>
      <c r="E83" s="2361"/>
      <c r="F83" s="2361"/>
      <c r="G83" s="2361"/>
      <c r="H83" s="2270"/>
      <c r="I83" s="2270"/>
      <c r="J83" s="2273"/>
      <c r="K83" s="2273"/>
      <c r="L83" s="2273"/>
      <c r="M83" s="2273"/>
    </row>
    <row r="84" spans="1:15" s="2269" customFormat="1" ht="14.65" customHeight="1" x14ac:dyDescent="0.45">
      <c r="A84" s="2278" t="str">
        <f>'FTE Table 3 Valid'!E75</f>
        <v/>
      </c>
      <c r="B84" s="2361"/>
      <c r="C84" s="2361"/>
      <c r="D84" s="2361"/>
      <c r="E84" s="2361"/>
      <c r="F84" s="2361"/>
      <c r="G84" s="2361"/>
      <c r="H84" s="2270"/>
      <c r="I84" s="2270"/>
      <c r="J84" s="2273"/>
      <c r="K84" s="2273"/>
      <c r="L84" s="2273"/>
      <c r="M84" s="2273"/>
    </row>
    <row r="85" spans="1:15" s="2269" customFormat="1" ht="14.65" customHeight="1" x14ac:dyDescent="0.45">
      <c r="A85" s="2280" t="s">
        <v>29757</v>
      </c>
      <c r="B85" s="2361"/>
      <c r="C85" s="2361"/>
      <c r="D85" s="2361"/>
      <c r="E85" s="2361"/>
      <c r="F85" s="2361"/>
      <c r="G85" s="2361"/>
      <c r="H85" s="2270"/>
      <c r="I85" s="2270"/>
      <c r="J85" s="2273"/>
      <c r="K85" s="2273"/>
      <c r="L85" s="2273"/>
      <c r="M85" s="2273"/>
    </row>
    <row r="86" spans="1:15" s="2269" customFormat="1" ht="14.65" customHeight="1" x14ac:dyDescent="0.45">
      <c r="A86" s="2279" t="str">
        <f>'FTE Table 3 Valid'!F75</f>
        <v/>
      </c>
      <c r="B86" s="2361"/>
      <c r="C86" s="2361"/>
      <c r="D86" s="2361"/>
      <c r="E86" s="2361"/>
      <c r="F86" s="2361"/>
      <c r="G86" s="2361"/>
      <c r="H86" s="2270"/>
      <c r="I86" s="2270"/>
      <c r="J86" s="2273"/>
      <c r="K86" s="2273"/>
      <c r="L86" s="2273"/>
      <c r="M86" s="2273"/>
    </row>
    <row r="87" spans="1:15" s="2269" customFormat="1" ht="14.65" customHeight="1" x14ac:dyDescent="0.45">
      <c r="A87" s="2269" t="s">
        <v>29749</v>
      </c>
      <c r="B87" s="2361"/>
      <c r="C87" s="2361"/>
      <c r="D87" s="2361"/>
      <c r="E87" s="2361"/>
      <c r="F87" s="2361"/>
      <c r="G87" s="2361"/>
      <c r="H87" s="2270"/>
      <c r="I87" s="2270"/>
      <c r="J87" s="2273"/>
      <c r="K87" s="2273"/>
      <c r="L87" s="2273"/>
      <c r="M87" s="2273"/>
    </row>
    <row r="88" spans="1:15" s="2269" customFormat="1" ht="14.65" customHeight="1" x14ac:dyDescent="0.45">
      <c r="A88" s="2274" t="str">
        <f>'FTE Table 3 Valid'!G75</f>
        <v/>
      </c>
      <c r="B88" s="2361"/>
      <c r="C88" s="2361"/>
      <c r="D88" s="2361"/>
      <c r="E88" s="2361"/>
      <c r="F88" s="2361"/>
      <c r="G88" s="2361"/>
      <c r="H88" s="2270"/>
      <c r="I88" s="2270"/>
      <c r="J88" s="2273"/>
      <c r="K88" s="2273"/>
      <c r="L88" s="2273"/>
      <c r="M88" s="2273"/>
    </row>
    <row r="89" spans="1:15" x14ac:dyDescent="0.45">
      <c r="A89" s="2269" t="s">
        <v>29750</v>
      </c>
    </row>
    <row r="90" spans="1:15" s="2269" customFormat="1" ht="14.65" customHeight="1" x14ac:dyDescent="0.45">
      <c r="A90" s="2278" t="str">
        <f>'FTE Table 3 Valid'!H75</f>
        <v/>
      </c>
      <c r="B90" s="2361"/>
      <c r="C90" s="2364"/>
      <c r="D90" s="2364"/>
      <c r="E90" s="2362"/>
      <c r="F90" s="2362"/>
      <c r="G90" s="2362"/>
      <c r="H90" s="2270"/>
      <c r="I90" s="2270"/>
      <c r="J90" s="2273"/>
      <c r="K90" s="2273"/>
      <c r="L90" s="2273"/>
      <c r="M90" s="2273"/>
    </row>
    <row r="91" spans="1:15" s="2269" customFormat="1" ht="14.65" customHeight="1" x14ac:dyDescent="0.45">
      <c r="A91" s="1035" t="s">
        <v>29754</v>
      </c>
      <c r="B91" s="657"/>
      <c r="C91" s="657"/>
      <c r="D91" s="657"/>
      <c r="E91" s="657"/>
      <c r="F91" s="657"/>
      <c r="G91" s="657"/>
      <c r="H91" s="2270"/>
      <c r="I91" s="2270"/>
      <c r="J91" s="2273"/>
      <c r="K91" s="2273"/>
      <c r="L91" s="2273"/>
      <c r="M91" s="2273"/>
    </row>
    <row r="92" spans="1:15" s="2269" customFormat="1" ht="14.65" customHeight="1" x14ac:dyDescent="0.45">
      <c r="A92" s="2278" t="str">
        <f>'FTE Table 3 Valid'!I75</f>
        <v/>
      </c>
      <c r="B92" s="2361"/>
      <c r="C92" s="2364"/>
      <c r="D92" s="2364"/>
      <c r="E92" s="2362"/>
      <c r="F92" s="2362"/>
      <c r="G92" s="2362"/>
      <c r="H92" s="2270"/>
      <c r="I92" s="2270"/>
      <c r="J92" s="2273"/>
      <c r="K92" s="2273"/>
      <c r="L92" s="2273"/>
      <c r="M92" s="2273"/>
    </row>
    <row r="93" spans="1:15" s="2269" customFormat="1" ht="14.65" customHeight="1" x14ac:dyDescent="0.45">
      <c r="A93" s="2277"/>
      <c r="B93" s="2361"/>
      <c r="C93" s="2364"/>
      <c r="D93" s="2364"/>
      <c r="E93" s="2362"/>
      <c r="F93" s="2362"/>
      <c r="G93" s="2362"/>
      <c r="H93" s="2270"/>
      <c r="I93" s="2270"/>
      <c r="J93" s="2273"/>
      <c r="K93" s="2273"/>
      <c r="L93" s="2273"/>
      <c r="M93" s="2273"/>
    </row>
    <row r="94" spans="1:15" s="2269" customFormat="1" ht="14.65" customHeight="1" x14ac:dyDescent="0.45">
      <c r="A94" s="2276"/>
      <c r="B94" s="2361"/>
      <c r="C94" s="2361"/>
      <c r="D94" s="2361"/>
      <c r="E94" s="2361"/>
      <c r="F94" s="2361"/>
      <c r="G94" s="2361"/>
      <c r="H94" s="2270"/>
      <c r="I94" s="2270"/>
      <c r="J94" s="2273"/>
      <c r="K94" s="2273"/>
      <c r="L94" s="2273"/>
      <c r="M94" s="2273"/>
    </row>
    <row r="95" spans="1:15" s="2269" customFormat="1" ht="12.75" customHeight="1" x14ac:dyDescent="0.45">
      <c r="B95" s="2361"/>
      <c r="C95" s="2361"/>
      <c r="D95" s="2361"/>
      <c r="E95" s="2361"/>
      <c r="F95" s="2361"/>
      <c r="G95" s="2361"/>
      <c r="H95" s="2270"/>
      <c r="I95" s="2270"/>
      <c r="J95" s="2273"/>
      <c r="K95" s="2273"/>
      <c r="L95" s="2273"/>
      <c r="M95" s="2273"/>
    </row>
    <row r="96" spans="1:15" s="2269" customFormat="1" ht="12.75" customHeight="1" x14ac:dyDescent="0.45">
      <c r="A96" s="2275"/>
      <c r="B96" s="2362"/>
      <c r="C96" s="2362"/>
      <c r="D96" s="2362"/>
      <c r="E96" s="2362"/>
      <c r="F96" s="2362"/>
      <c r="G96" s="2362"/>
      <c r="H96" s="2270"/>
      <c r="I96" s="2270"/>
      <c r="J96" s="2272"/>
      <c r="K96" s="2272"/>
      <c r="L96" s="2272"/>
      <c r="M96" s="2272"/>
      <c r="N96" s="2281"/>
      <c r="O96" s="2281"/>
    </row>
    <row r="97" spans="1:15" s="2269" customFormat="1" ht="12.75" customHeight="1" x14ac:dyDescent="0.45">
      <c r="B97" s="2270"/>
      <c r="C97" s="2270"/>
      <c r="D97" s="2270"/>
      <c r="E97" s="2270"/>
      <c r="F97" s="2270"/>
      <c r="G97" s="2270"/>
      <c r="H97" s="2270"/>
      <c r="I97" s="2270"/>
      <c r="J97" s="2272"/>
      <c r="K97" s="2272"/>
      <c r="L97" s="2272"/>
      <c r="M97" s="2272"/>
      <c r="N97" s="2281"/>
      <c r="O97" s="2281"/>
    </row>
    <row r="98" spans="1:15" s="2269" customFormat="1" ht="12.75" customHeight="1" x14ac:dyDescent="0.45">
      <c r="A98" s="2274"/>
      <c r="B98" s="2270"/>
      <c r="C98" s="2270"/>
      <c r="D98" s="2270"/>
      <c r="E98" s="2270"/>
      <c r="F98" s="2270"/>
      <c r="G98" s="2270"/>
      <c r="H98" s="2270"/>
      <c r="I98" s="2270"/>
      <c r="J98" s="2271"/>
      <c r="K98" s="2271"/>
      <c r="L98" s="2271"/>
      <c r="M98" s="2271"/>
      <c r="O98" s="2271"/>
    </row>
  </sheetData>
  <sheetProtection algorithmName="SHA-512" hashValue="H3NNStiFGiM81zi9bUiebSrCAd1PPXDfeUOBKEkDN/eTom/vxt6nP0hqA4y1OsB7hw990cywGRKTCDpBvWY43w==" saltValue="KA3kd9C9QCPEmDafHynoXQ==" spinCount="100000" sheet="1" objects="1" scenarios="1"/>
  <protectedRanges>
    <protectedRange sqref="K68:M78" name="PartTime_60_60"/>
    <protectedRange sqref="J8:J67" name="FullTime_1"/>
    <protectedRange sqref="K8:M67" name="PartTime_60_61"/>
  </protectedRanges>
  <conditionalFormatting sqref="D8:G78">
    <cfRule type="cellIs" dxfId="34" priority="1" operator="equal">
      <formula>0</formula>
    </cfRule>
  </conditionalFormatting>
  <conditionalFormatting sqref="F8:F78">
    <cfRule type="expression" dxfId="33" priority="2">
      <formula>IF(AND(F8="N/A",D8=0),1,0)</formula>
    </cfRule>
  </conditionalFormatting>
  <conditionalFormatting sqref="H4">
    <cfRule type="cellIs" dxfId="32" priority="13" operator="notEqual">
      <formula>"Validation: OK"</formula>
    </cfRule>
  </conditionalFormatting>
  <conditionalFormatting sqref="H8:H67">
    <cfRule type="expression" dxfId="31" priority="5">
      <formula>IF($G8=0, 1, 0)</formula>
    </cfRule>
  </conditionalFormatting>
  <conditionalFormatting sqref="H8:M78">
    <cfRule type="cellIs" dxfId="30" priority="7" operator="equal">
      <formula>0</formula>
    </cfRule>
  </conditionalFormatting>
  <conditionalFormatting sqref="I8:J67">
    <cfRule type="expression" dxfId="29" priority="4">
      <formula>IF($H8=0,1,0)</formula>
    </cfRule>
  </conditionalFormatting>
  <conditionalFormatting sqref="J4">
    <cfRule type="cellIs" dxfId="28" priority="14" operator="notEqual">
      <formula>"Validation: OK"</formula>
    </cfRule>
  </conditionalFormatting>
  <conditionalFormatting sqref="K8:K67">
    <cfRule type="cellIs" dxfId="27" priority="3" operator="equal">
      <formula>"No"</formula>
    </cfRule>
  </conditionalFormatting>
  <dataValidations count="4">
    <dataValidation type="custom" allowBlank="1" showInputMessage="1" showErrorMessage="1" errorTitle="Validation check" error="This cell can only contain numbers between 0 and 1 to two decimal places" sqref="I8:I67 L8:L67" xr:uid="{BD277A51-B2EE-48BB-B7DB-76054A52F6D8}">
      <formula1>AND(I8&lt;=1,I8&gt;=0,ROUND(I8,2)=I8)</formula1>
    </dataValidation>
    <dataValidation type="custom" allowBlank="1" showInputMessage="1" showErrorMessage="1" errorTitle="Validation check" error="Table 1, Column 1 can only contain postive values up to two decimal places or zero." sqref="D8:E67 G8:G77" xr:uid="{BD3443FA-0636-4667-AF11-AE1C5CC36C09}">
      <formula1>AND(D8&gt;=0,ROUND(D8,2)=D8)</formula1>
    </dataValidation>
    <dataValidation type="custom" allowBlank="1" showInputMessage="1" showErrorMessage="1" errorTitle="Please check the following:" error="1. A representation multiplication factor has been entered._x000a_2. The explanation is within 2000 characters." sqref="J8:J67" xr:uid="{9C7D24B0-B656-4D1D-9D64-40934B7612E7}">
      <formula1>AND($H8&lt;&gt;0, LEN($J8)&lt;=2000)</formula1>
    </dataValidation>
    <dataValidation type="custom" allowBlank="1" showInputMessage="1" showErrorMessage="1" errorTitle="Validation check" error="This cell can only contain numbers between 0 and 1 to two decimal places." sqref="H8:H67" xr:uid="{CAFE0FDA-B06A-455F-A7F5-1C5CA78ED50E}">
      <formula1>AND(H8&lt;=1,H8&gt;=0,ROUND(H8,2)=H8)</formula1>
    </dataValidation>
  </dataValidations>
  <pageMargins left="0.7" right="0.7" top="0.75" bottom="0.75" header="0.3" footer="0.3"/>
  <pageSetup paperSize="8" scale="57" orientation="landscape" horizontalDpi="1200" verticalDpi="1200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B4056-0B6D-4915-BA7C-4D708440D621}">
  <sheetPr codeName="Sheet41"/>
  <dimension ref="A1:I63"/>
  <sheetViews>
    <sheetView workbookViewId="0"/>
  </sheetViews>
  <sheetFormatPr defaultColWidth="9.1328125" defaultRowHeight="14.25" x14ac:dyDescent="0.45"/>
  <cols>
    <col min="1" max="3" width="18" style="2270" customWidth="1"/>
    <col min="4" max="5" width="21.86328125" style="2270" customWidth="1"/>
    <col min="6" max="6" width="9.1328125" style="2270"/>
    <col min="7" max="7" width="12" style="2270" customWidth="1"/>
    <col min="8" max="8" width="11.265625" style="2270" customWidth="1"/>
    <col min="9" max="16384" width="9.1328125" style="2270"/>
  </cols>
  <sheetData>
    <row r="1" spans="1:9" x14ac:dyDescent="0.45">
      <c r="A1" s="2354" t="s">
        <v>200</v>
      </c>
      <c r="B1" s="2353" t="s">
        <v>56</v>
      </c>
      <c r="C1" s="3007" t="s">
        <v>57</v>
      </c>
      <c r="D1" s="3006" t="s">
        <v>29392</v>
      </c>
      <c r="E1" s="3006" t="s">
        <v>29735</v>
      </c>
      <c r="G1" s="2344" t="s">
        <v>63</v>
      </c>
      <c r="H1" s="2344" t="s">
        <v>315</v>
      </c>
      <c r="I1" s="2344" t="s">
        <v>66</v>
      </c>
    </row>
    <row r="2" spans="1:9" x14ac:dyDescent="0.45">
      <c r="A2" s="2340" t="s">
        <v>203</v>
      </c>
      <c r="B2" s="2340" t="s">
        <v>204</v>
      </c>
      <c r="C2" s="3005" t="s">
        <v>205</v>
      </c>
      <c r="D2" s="3004">
        <v>0</v>
      </c>
      <c r="E2" s="3004"/>
      <c r="G2" s="2290" t="s">
        <v>203</v>
      </c>
      <c r="H2" s="2290" t="s">
        <v>27685</v>
      </c>
      <c r="I2" s="2290" t="s">
        <v>27686</v>
      </c>
    </row>
    <row r="3" spans="1:9" x14ac:dyDescent="0.45">
      <c r="A3" s="2326" t="s">
        <v>203</v>
      </c>
      <c r="B3" s="2326" t="s">
        <v>204</v>
      </c>
      <c r="C3" s="2998" t="s">
        <v>208</v>
      </c>
      <c r="D3" s="3002">
        <v>0</v>
      </c>
      <c r="E3" s="3002"/>
      <c r="G3" s="2290" t="s">
        <v>203</v>
      </c>
      <c r="H3" s="2290" t="s">
        <v>27685</v>
      </c>
      <c r="I3" s="2290" t="s">
        <v>27687</v>
      </c>
    </row>
    <row r="4" spans="1:9" x14ac:dyDescent="0.45">
      <c r="A4" s="2326" t="s">
        <v>203</v>
      </c>
      <c r="B4" s="2326" t="s">
        <v>204</v>
      </c>
      <c r="C4" s="2998" t="s">
        <v>210</v>
      </c>
      <c r="D4" s="3002">
        <v>0</v>
      </c>
      <c r="E4" s="3002"/>
      <c r="G4" s="2290" t="s">
        <v>203</v>
      </c>
      <c r="H4" s="2290" t="s">
        <v>27685</v>
      </c>
      <c r="I4" s="2290" t="s">
        <v>27688</v>
      </c>
    </row>
    <row r="5" spans="1:9" x14ac:dyDescent="0.45">
      <c r="A5" s="2326" t="s">
        <v>203</v>
      </c>
      <c r="B5" s="2326" t="s">
        <v>204</v>
      </c>
      <c r="C5" s="2998" t="s">
        <v>212</v>
      </c>
      <c r="D5" s="2997">
        <v>0</v>
      </c>
      <c r="E5" s="2997"/>
      <c r="G5" s="2290" t="s">
        <v>203</v>
      </c>
      <c r="H5" s="2290" t="s">
        <v>27685</v>
      </c>
      <c r="I5" s="2290" t="s">
        <v>27689</v>
      </c>
    </row>
    <row r="6" spans="1:9" x14ac:dyDescent="0.45">
      <c r="A6" s="2326" t="s">
        <v>203</v>
      </c>
      <c r="B6" s="2337" t="s">
        <v>204</v>
      </c>
      <c r="C6" s="3003" t="s">
        <v>214</v>
      </c>
      <c r="D6" s="3002">
        <v>0</v>
      </c>
      <c r="E6" s="3002"/>
      <c r="G6" s="2290" t="s">
        <v>203</v>
      </c>
      <c r="H6" s="2290" t="s">
        <v>27685</v>
      </c>
      <c r="I6" s="2290" t="s">
        <v>27690</v>
      </c>
    </row>
    <row r="7" spans="1:9" x14ac:dyDescent="0.45">
      <c r="A7" s="2326" t="s">
        <v>203</v>
      </c>
      <c r="B7" s="2313" t="s">
        <v>218</v>
      </c>
      <c r="C7" s="2998" t="s">
        <v>205</v>
      </c>
      <c r="D7" s="3001">
        <v>0</v>
      </c>
      <c r="E7" s="3001"/>
      <c r="G7" s="2290" t="s">
        <v>203</v>
      </c>
      <c r="H7" s="2290" t="s">
        <v>27691</v>
      </c>
      <c r="I7" s="2290" t="s">
        <v>27686</v>
      </c>
    </row>
    <row r="8" spans="1:9" x14ac:dyDescent="0.45">
      <c r="A8" s="2326" t="s">
        <v>203</v>
      </c>
      <c r="B8" s="2314" t="s">
        <v>218</v>
      </c>
      <c r="C8" s="2998" t="s">
        <v>208</v>
      </c>
      <c r="D8" s="3001">
        <v>0</v>
      </c>
      <c r="E8" s="3001"/>
      <c r="G8" s="2290" t="s">
        <v>203</v>
      </c>
      <c r="H8" s="2290" t="s">
        <v>27691</v>
      </c>
      <c r="I8" s="2290" t="s">
        <v>27687</v>
      </c>
    </row>
    <row r="9" spans="1:9" x14ac:dyDescent="0.45">
      <c r="A9" s="2326" t="s">
        <v>203</v>
      </c>
      <c r="B9" s="2314" t="s">
        <v>218</v>
      </c>
      <c r="C9" s="2998" t="s">
        <v>210</v>
      </c>
      <c r="D9" s="3001">
        <v>0</v>
      </c>
      <c r="E9" s="3001"/>
      <c r="G9" s="2290" t="s">
        <v>203</v>
      </c>
      <c r="H9" s="2290" t="s">
        <v>27691</v>
      </c>
      <c r="I9" s="2290" t="s">
        <v>27688</v>
      </c>
    </row>
    <row r="10" spans="1:9" x14ac:dyDescent="0.45">
      <c r="A10" s="2326" t="s">
        <v>203</v>
      </c>
      <c r="B10" s="2314" t="s">
        <v>218</v>
      </c>
      <c r="C10" s="2998" t="s">
        <v>212</v>
      </c>
      <c r="D10" s="2997">
        <v>0</v>
      </c>
      <c r="E10" s="2997"/>
      <c r="G10" s="2290" t="s">
        <v>203</v>
      </c>
      <c r="H10" s="2290" t="s">
        <v>27691</v>
      </c>
      <c r="I10" s="2290" t="s">
        <v>27689</v>
      </c>
    </row>
    <row r="11" spans="1:9" x14ac:dyDescent="0.45">
      <c r="A11" s="2326" t="s">
        <v>203</v>
      </c>
      <c r="B11" s="2314" t="s">
        <v>218</v>
      </c>
      <c r="C11" s="2998" t="s">
        <v>214</v>
      </c>
      <c r="D11" s="2997">
        <v>0</v>
      </c>
      <c r="E11" s="2997"/>
      <c r="G11" s="2290" t="s">
        <v>203</v>
      </c>
      <c r="H11" s="2290" t="s">
        <v>27691</v>
      </c>
      <c r="I11" s="2290" t="s">
        <v>27690</v>
      </c>
    </row>
    <row r="12" spans="1:9" x14ac:dyDescent="0.45">
      <c r="A12" s="2340" t="s">
        <v>225</v>
      </c>
      <c r="B12" s="2340" t="s">
        <v>204</v>
      </c>
      <c r="C12" s="3005" t="s">
        <v>205</v>
      </c>
      <c r="D12" s="3004">
        <v>0</v>
      </c>
      <c r="E12" s="3004"/>
      <c r="G12" s="2290" t="s">
        <v>225</v>
      </c>
      <c r="H12" s="2290" t="s">
        <v>27685</v>
      </c>
      <c r="I12" s="2290" t="s">
        <v>27686</v>
      </c>
    </row>
    <row r="13" spans="1:9" x14ac:dyDescent="0.45">
      <c r="A13" s="2326" t="s">
        <v>225</v>
      </c>
      <c r="B13" s="2326" t="s">
        <v>204</v>
      </c>
      <c r="C13" s="2998" t="s">
        <v>208</v>
      </c>
      <c r="D13" s="3000">
        <v>0</v>
      </c>
      <c r="E13" s="3000"/>
      <c r="G13" s="2290" t="s">
        <v>225</v>
      </c>
      <c r="H13" s="2290" t="s">
        <v>27685</v>
      </c>
      <c r="I13" s="2290" t="s">
        <v>27687</v>
      </c>
    </row>
    <row r="14" spans="1:9" x14ac:dyDescent="0.45">
      <c r="A14" s="2326" t="s">
        <v>225</v>
      </c>
      <c r="B14" s="2326" t="s">
        <v>204</v>
      </c>
      <c r="C14" s="2998" t="s">
        <v>210</v>
      </c>
      <c r="D14" s="2999">
        <v>0</v>
      </c>
      <c r="E14" s="2999"/>
      <c r="G14" s="2290" t="s">
        <v>225</v>
      </c>
      <c r="H14" s="2290" t="s">
        <v>27685</v>
      </c>
      <c r="I14" s="2290" t="s">
        <v>27688</v>
      </c>
    </row>
    <row r="15" spans="1:9" x14ac:dyDescent="0.45">
      <c r="A15" s="2326" t="s">
        <v>225</v>
      </c>
      <c r="B15" s="2326" t="s">
        <v>204</v>
      </c>
      <c r="C15" s="2998" t="s">
        <v>212</v>
      </c>
      <c r="D15" s="2997">
        <v>0</v>
      </c>
      <c r="E15" s="2997"/>
      <c r="G15" s="2290" t="s">
        <v>225</v>
      </c>
      <c r="H15" s="2290" t="s">
        <v>27685</v>
      </c>
      <c r="I15" s="2290" t="s">
        <v>27689</v>
      </c>
    </row>
    <row r="16" spans="1:9" x14ac:dyDescent="0.45">
      <c r="A16" s="2326" t="s">
        <v>225</v>
      </c>
      <c r="B16" s="2337" t="s">
        <v>204</v>
      </c>
      <c r="C16" s="3003" t="s">
        <v>214</v>
      </c>
      <c r="D16" s="3002">
        <v>0</v>
      </c>
      <c r="E16" s="3002"/>
      <c r="G16" s="2290" t="s">
        <v>225</v>
      </c>
      <c r="H16" s="2290" t="s">
        <v>27685</v>
      </c>
      <c r="I16" s="2290" t="s">
        <v>27690</v>
      </c>
    </row>
    <row r="17" spans="1:9" x14ac:dyDescent="0.45">
      <c r="A17" s="2326" t="s">
        <v>225</v>
      </c>
      <c r="B17" s="2313" t="s">
        <v>218</v>
      </c>
      <c r="C17" s="2998" t="s">
        <v>205</v>
      </c>
      <c r="D17" s="3001">
        <v>0</v>
      </c>
      <c r="E17" s="3001"/>
      <c r="G17" s="2290" t="s">
        <v>225</v>
      </c>
      <c r="H17" s="2290" t="s">
        <v>27691</v>
      </c>
      <c r="I17" s="2290" t="s">
        <v>27686</v>
      </c>
    </row>
    <row r="18" spans="1:9" x14ac:dyDescent="0.45">
      <c r="A18" s="2326" t="s">
        <v>225</v>
      </c>
      <c r="B18" s="2314" t="s">
        <v>218</v>
      </c>
      <c r="C18" s="2998" t="s">
        <v>208</v>
      </c>
      <c r="D18" s="3000">
        <v>0</v>
      </c>
      <c r="E18" s="3000"/>
      <c r="G18" s="2290" t="s">
        <v>225</v>
      </c>
      <c r="H18" s="2290" t="s">
        <v>27691</v>
      </c>
      <c r="I18" s="2290" t="s">
        <v>27687</v>
      </c>
    </row>
    <row r="19" spans="1:9" x14ac:dyDescent="0.45">
      <c r="A19" s="2326" t="s">
        <v>225</v>
      </c>
      <c r="B19" s="2314" t="s">
        <v>218</v>
      </c>
      <c r="C19" s="2998" t="s">
        <v>210</v>
      </c>
      <c r="D19" s="2999">
        <v>0</v>
      </c>
      <c r="E19" s="2999"/>
      <c r="G19" s="2290" t="s">
        <v>225</v>
      </c>
      <c r="H19" s="2290" t="s">
        <v>27691</v>
      </c>
      <c r="I19" s="2290" t="s">
        <v>27688</v>
      </c>
    </row>
    <row r="20" spans="1:9" x14ac:dyDescent="0.45">
      <c r="A20" s="2326" t="s">
        <v>225</v>
      </c>
      <c r="B20" s="2314" t="s">
        <v>218</v>
      </c>
      <c r="C20" s="2998" t="s">
        <v>212</v>
      </c>
      <c r="D20" s="2997">
        <v>0</v>
      </c>
      <c r="E20" s="2997"/>
      <c r="G20" s="2290" t="s">
        <v>225</v>
      </c>
      <c r="H20" s="2290" t="s">
        <v>27691</v>
      </c>
      <c r="I20" s="2290" t="s">
        <v>27689</v>
      </c>
    </row>
    <row r="21" spans="1:9" x14ac:dyDescent="0.45">
      <c r="A21" s="2326" t="s">
        <v>225</v>
      </c>
      <c r="B21" s="2314" t="s">
        <v>218</v>
      </c>
      <c r="C21" s="2998" t="s">
        <v>214</v>
      </c>
      <c r="D21" s="2997">
        <v>0</v>
      </c>
      <c r="E21" s="2997"/>
      <c r="G21" s="2290" t="s">
        <v>225</v>
      </c>
      <c r="H21" s="2290" t="s">
        <v>27691</v>
      </c>
      <c r="I21" s="2290" t="s">
        <v>27690</v>
      </c>
    </row>
    <row r="22" spans="1:9" x14ac:dyDescent="0.45">
      <c r="A22" s="2339" t="s">
        <v>238</v>
      </c>
      <c r="B22" s="2340" t="s">
        <v>204</v>
      </c>
      <c r="C22" s="3005" t="s">
        <v>205</v>
      </c>
      <c r="D22" s="3004">
        <v>0</v>
      </c>
      <c r="E22" s="3004"/>
      <c r="G22" s="2331" t="s">
        <v>27692</v>
      </c>
      <c r="H22" s="2290" t="s">
        <v>27685</v>
      </c>
      <c r="I22" s="2290" t="s">
        <v>27686</v>
      </c>
    </row>
    <row r="23" spans="1:9" x14ac:dyDescent="0.45">
      <c r="A23" s="2314" t="s">
        <v>238</v>
      </c>
      <c r="B23" s="2326" t="s">
        <v>204</v>
      </c>
      <c r="C23" s="2998" t="s">
        <v>208</v>
      </c>
      <c r="D23" s="3000">
        <v>0</v>
      </c>
      <c r="E23" s="3000"/>
      <c r="G23" s="2331" t="s">
        <v>27692</v>
      </c>
      <c r="H23" s="2290" t="s">
        <v>27685</v>
      </c>
      <c r="I23" s="2290" t="s">
        <v>27687</v>
      </c>
    </row>
    <row r="24" spans="1:9" x14ac:dyDescent="0.45">
      <c r="A24" s="2314" t="s">
        <v>238</v>
      </c>
      <c r="B24" s="2326" t="s">
        <v>204</v>
      </c>
      <c r="C24" s="2998" t="s">
        <v>210</v>
      </c>
      <c r="D24" s="2999">
        <v>0</v>
      </c>
      <c r="E24" s="2999"/>
      <c r="G24" s="2331" t="s">
        <v>27692</v>
      </c>
      <c r="H24" s="2290" t="s">
        <v>27685</v>
      </c>
      <c r="I24" s="2290" t="s">
        <v>27688</v>
      </c>
    </row>
    <row r="25" spans="1:9" x14ac:dyDescent="0.45">
      <c r="A25" s="2314" t="s">
        <v>238</v>
      </c>
      <c r="B25" s="2326" t="s">
        <v>204</v>
      </c>
      <c r="C25" s="2998" t="s">
        <v>212</v>
      </c>
      <c r="D25" s="2997">
        <v>0</v>
      </c>
      <c r="E25" s="2997"/>
      <c r="G25" s="2331" t="s">
        <v>27692</v>
      </c>
      <c r="H25" s="2290" t="s">
        <v>27685</v>
      </c>
      <c r="I25" s="2290" t="s">
        <v>27689</v>
      </c>
    </row>
    <row r="26" spans="1:9" x14ac:dyDescent="0.45">
      <c r="A26" s="2342" t="s">
        <v>238</v>
      </c>
      <c r="B26" s="2337" t="s">
        <v>204</v>
      </c>
      <c r="C26" s="3003" t="s">
        <v>214</v>
      </c>
      <c r="D26" s="3002">
        <v>0</v>
      </c>
      <c r="E26" s="3002"/>
      <c r="G26" s="2331" t="s">
        <v>27692</v>
      </c>
      <c r="H26" s="2290" t="s">
        <v>27685</v>
      </c>
      <c r="I26" s="2290" t="s">
        <v>27690</v>
      </c>
    </row>
    <row r="27" spans="1:9" x14ac:dyDescent="0.45">
      <c r="A27" s="2314" t="s">
        <v>238</v>
      </c>
      <c r="B27" s="2313" t="s">
        <v>218</v>
      </c>
      <c r="C27" s="2998" t="s">
        <v>205</v>
      </c>
      <c r="D27" s="3001">
        <v>0</v>
      </c>
      <c r="E27" s="3001"/>
      <c r="G27" s="2331" t="s">
        <v>27692</v>
      </c>
      <c r="H27" s="2290" t="s">
        <v>27691</v>
      </c>
      <c r="I27" s="2290" t="s">
        <v>27686</v>
      </c>
    </row>
    <row r="28" spans="1:9" x14ac:dyDescent="0.45">
      <c r="A28" s="2314" t="s">
        <v>238</v>
      </c>
      <c r="B28" s="2314" t="s">
        <v>218</v>
      </c>
      <c r="C28" s="2998" t="s">
        <v>208</v>
      </c>
      <c r="D28" s="3000">
        <v>0</v>
      </c>
      <c r="E28" s="3000"/>
      <c r="G28" s="2331" t="s">
        <v>27692</v>
      </c>
      <c r="H28" s="2290" t="s">
        <v>27691</v>
      </c>
      <c r="I28" s="2290" t="s">
        <v>27687</v>
      </c>
    </row>
    <row r="29" spans="1:9" x14ac:dyDescent="0.45">
      <c r="A29" s="2314" t="s">
        <v>238</v>
      </c>
      <c r="B29" s="2314" t="s">
        <v>218</v>
      </c>
      <c r="C29" s="2998" t="s">
        <v>210</v>
      </c>
      <c r="D29" s="2999">
        <v>0</v>
      </c>
      <c r="E29" s="2999"/>
      <c r="G29" s="2331" t="s">
        <v>27692</v>
      </c>
      <c r="H29" s="2290" t="s">
        <v>27691</v>
      </c>
      <c r="I29" s="2290" t="s">
        <v>27688</v>
      </c>
    </row>
    <row r="30" spans="1:9" x14ac:dyDescent="0.45">
      <c r="A30" s="2314" t="s">
        <v>238</v>
      </c>
      <c r="B30" s="2314" t="s">
        <v>218</v>
      </c>
      <c r="C30" s="2998" t="s">
        <v>212</v>
      </c>
      <c r="D30" s="2997">
        <v>0</v>
      </c>
      <c r="E30" s="2997"/>
      <c r="G30" s="2331" t="s">
        <v>27692</v>
      </c>
      <c r="H30" s="2290" t="s">
        <v>27691</v>
      </c>
      <c r="I30" s="2290" t="s">
        <v>27689</v>
      </c>
    </row>
    <row r="31" spans="1:9" x14ac:dyDescent="0.45">
      <c r="A31" s="2314" t="s">
        <v>238</v>
      </c>
      <c r="B31" s="2314" t="s">
        <v>218</v>
      </c>
      <c r="C31" s="2998" t="s">
        <v>214</v>
      </c>
      <c r="D31" s="2997">
        <v>0</v>
      </c>
      <c r="E31" s="2997"/>
      <c r="G31" s="2331" t="s">
        <v>27692</v>
      </c>
      <c r="H31" s="2290" t="s">
        <v>27691</v>
      </c>
      <c r="I31" s="2290" t="s">
        <v>27690</v>
      </c>
    </row>
    <row r="32" spans="1:9" x14ac:dyDescent="0.45">
      <c r="A32" s="2339" t="s">
        <v>251</v>
      </c>
      <c r="B32" s="2340" t="s">
        <v>204</v>
      </c>
      <c r="C32" s="3005" t="s">
        <v>205</v>
      </c>
      <c r="D32" s="3004">
        <v>0</v>
      </c>
      <c r="E32" s="3004"/>
      <c r="G32" s="2331" t="s">
        <v>27693</v>
      </c>
      <c r="H32" s="2290" t="s">
        <v>27685</v>
      </c>
      <c r="I32" s="2290" t="s">
        <v>27686</v>
      </c>
    </row>
    <row r="33" spans="1:9" x14ac:dyDescent="0.45">
      <c r="A33" s="2314" t="s">
        <v>251</v>
      </c>
      <c r="B33" s="2326" t="s">
        <v>204</v>
      </c>
      <c r="C33" s="2998" t="s">
        <v>208</v>
      </c>
      <c r="D33" s="3000">
        <v>0</v>
      </c>
      <c r="E33" s="3000"/>
      <c r="G33" s="2331" t="s">
        <v>27693</v>
      </c>
      <c r="H33" s="2290" t="s">
        <v>27685</v>
      </c>
      <c r="I33" s="2290" t="s">
        <v>27687</v>
      </c>
    </row>
    <row r="34" spans="1:9" x14ac:dyDescent="0.45">
      <c r="A34" s="2314" t="s">
        <v>251</v>
      </c>
      <c r="B34" s="2326" t="s">
        <v>204</v>
      </c>
      <c r="C34" s="2998" t="s">
        <v>210</v>
      </c>
      <c r="D34" s="2999">
        <v>0</v>
      </c>
      <c r="E34" s="2999"/>
      <c r="G34" s="2331" t="s">
        <v>27693</v>
      </c>
      <c r="H34" s="2290" t="s">
        <v>27685</v>
      </c>
      <c r="I34" s="2290" t="s">
        <v>27688</v>
      </c>
    </row>
    <row r="35" spans="1:9" x14ac:dyDescent="0.45">
      <c r="A35" s="2314" t="s">
        <v>251</v>
      </c>
      <c r="B35" s="2326" t="s">
        <v>204</v>
      </c>
      <c r="C35" s="2998" t="s">
        <v>212</v>
      </c>
      <c r="D35" s="2997">
        <v>0</v>
      </c>
      <c r="E35" s="2997"/>
      <c r="G35" s="2331" t="s">
        <v>27693</v>
      </c>
      <c r="H35" s="2290" t="s">
        <v>27685</v>
      </c>
      <c r="I35" s="2290" t="s">
        <v>27689</v>
      </c>
    </row>
    <row r="36" spans="1:9" x14ac:dyDescent="0.45">
      <c r="A36" s="2342" t="s">
        <v>251</v>
      </c>
      <c r="B36" s="2337" t="s">
        <v>204</v>
      </c>
      <c r="C36" s="3003" t="s">
        <v>214</v>
      </c>
      <c r="D36" s="3002">
        <v>0</v>
      </c>
      <c r="E36" s="3002"/>
      <c r="G36" s="2331" t="s">
        <v>27693</v>
      </c>
      <c r="H36" s="2290" t="s">
        <v>27685</v>
      </c>
      <c r="I36" s="2290" t="s">
        <v>27690</v>
      </c>
    </row>
    <row r="37" spans="1:9" x14ac:dyDescent="0.45">
      <c r="A37" s="2314" t="s">
        <v>251</v>
      </c>
      <c r="B37" s="2313" t="s">
        <v>218</v>
      </c>
      <c r="C37" s="2998" t="s">
        <v>205</v>
      </c>
      <c r="D37" s="3001">
        <v>0</v>
      </c>
      <c r="E37" s="3001"/>
      <c r="G37" s="2331" t="s">
        <v>27693</v>
      </c>
      <c r="H37" s="2290" t="s">
        <v>27691</v>
      </c>
      <c r="I37" s="2290" t="s">
        <v>27686</v>
      </c>
    </row>
    <row r="38" spans="1:9" x14ac:dyDescent="0.45">
      <c r="A38" s="2314" t="s">
        <v>251</v>
      </c>
      <c r="B38" s="2314" t="s">
        <v>218</v>
      </c>
      <c r="C38" s="2998" t="s">
        <v>208</v>
      </c>
      <c r="D38" s="3000">
        <v>0</v>
      </c>
      <c r="E38" s="3000"/>
      <c r="G38" s="2331" t="s">
        <v>27693</v>
      </c>
      <c r="H38" s="2290" t="s">
        <v>27691</v>
      </c>
      <c r="I38" s="2290" t="s">
        <v>27687</v>
      </c>
    </row>
    <row r="39" spans="1:9" x14ac:dyDescent="0.45">
      <c r="A39" s="2314" t="s">
        <v>251</v>
      </c>
      <c r="B39" s="2314" t="s">
        <v>218</v>
      </c>
      <c r="C39" s="2998" t="s">
        <v>210</v>
      </c>
      <c r="D39" s="2999">
        <v>0</v>
      </c>
      <c r="E39" s="2999"/>
      <c r="G39" s="2331" t="s">
        <v>27693</v>
      </c>
      <c r="H39" s="2290" t="s">
        <v>27691</v>
      </c>
      <c r="I39" s="2290" t="s">
        <v>27688</v>
      </c>
    </row>
    <row r="40" spans="1:9" x14ac:dyDescent="0.45">
      <c r="A40" s="2314" t="s">
        <v>251</v>
      </c>
      <c r="B40" s="2314" t="s">
        <v>218</v>
      </c>
      <c r="C40" s="2998" t="s">
        <v>212</v>
      </c>
      <c r="D40" s="2997">
        <v>0</v>
      </c>
      <c r="E40" s="2997"/>
      <c r="G40" s="2331" t="s">
        <v>27693</v>
      </c>
      <c r="H40" s="2290" t="s">
        <v>27691</v>
      </c>
      <c r="I40" s="2290" t="s">
        <v>27689</v>
      </c>
    </row>
    <row r="41" spans="1:9" x14ac:dyDescent="0.45">
      <c r="A41" s="2314" t="s">
        <v>251</v>
      </c>
      <c r="B41" s="2314" t="s">
        <v>218</v>
      </c>
      <c r="C41" s="2998" t="s">
        <v>214</v>
      </c>
      <c r="D41" s="2997">
        <v>0</v>
      </c>
      <c r="E41" s="2997"/>
      <c r="G41" s="2331" t="s">
        <v>27693</v>
      </c>
      <c r="H41" s="2290" t="s">
        <v>27691</v>
      </c>
      <c r="I41" s="2290" t="s">
        <v>27690</v>
      </c>
    </row>
    <row r="42" spans="1:9" x14ac:dyDescent="0.45">
      <c r="A42" s="2339" t="s">
        <v>264</v>
      </c>
      <c r="B42" s="2340" t="s">
        <v>204</v>
      </c>
      <c r="C42" s="3005" t="s">
        <v>205</v>
      </c>
      <c r="D42" s="3004">
        <v>0</v>
      </c>
      <c r="E42" s="3004"/>
      <c r="G42" s="2331" t="s">
        <v>264</v>
      </c>
      <c r="H42" s="2290" t="s">
        <v>27685</v>
      </c>
      <c r="I42" s="2290" t="s">
        <v>27686</v>
      </c>
    </row>
    <row r="43" spans="1:9" x14ac:dyDescent="0.45">
      <c r="A43" s="2314" t="s">
        <v>264</v>
      </c>
      <c r="B43" s="2326" t="s">
        <v>204</v>
      </c>
      <c r="C43" s="2998" t="s">
        <v>208</v>
      </c>
      <c r="D43" s="3000">
        <v>0</v>
      </c>
      <c r="E43" s="3000"/>
      <c r="G43" s="2331" t="s">
        <v>264</v>
      </c>
      <c r="H43" s="2290" t="s">
        <v>27685</v>
      </c>
      <c r="I43" s="2290" t="s">
        <v>27687</v>
      </c>
    </row>
    <row r="44" spans="1:9" x14ac:dyDescent="0.45">
      <c r="A44" s="2314" t="s">
        <v>264</v>
      </c>
      <c r="B44" s="2326" t="s">
        <v>204</v>
      </c>
      <c r="C44" s="2998" t="s">
        <v>210</v>
      </c>
      <c r="D44" s="2999">
        <v>0</v>
      </c>
      <c r="E44" s="2999"/>
      <c r="G44" s="2331" t="s">
        <v>264</v>
      </c>
      <c r="H44" s="2290" t="s">
        <v>27685</v>
      </c>
      <c r="I44" s="2290" t="s">
        <v>27688</v>
      </c>
    </row>
    <row r="45" spans="1:9" x14ac:dyDescent="0.45">
      <c r="A45" s="2314" t="s">
        <v>264</v>
      </c>
      <c r="B45" s="2326" t="s">
        <v>204</v>
      </c>
      <c r="C45" s="2998" t="s">
        <v>212</v>
      </c>
      <c r="D45" s="2997">
        <v>0</v>
      </c>
      <c r="E45" s="2997"/>
      <c r="G45" s="2331" t="s">
        <v>264</v>
      </c>
      <c r="H45" s="2290" t="s">
        <v>27685</v>
      </c>
      <c r="I45" s="2290" t="s">
        <v>27689</v>
      </c>
    </row>
    <row r="46" spans="1:9" x14ac:dyDescent="0.45">
      <c r="A46" s="2342" t="s">
        <v>264</v>
      </c>
      <c r="B46" s="2337" t="s">
        <v>204</v>
      </c>
      <c r="C46" s="3003" t="s">
        <v>214</v>
      </c>
      <c r="D46" s="3002">
        <v>0</v>
      </c>
      <c r="E46" s="3002"/>
      <c r="G46" s="2331" t="s">
        <v>264</v>
      </c>
      <c r="H46" s="2290" t="s">
        <v>27685</v>
      </c>
      <c r="I46" s="2290" t="s">
        <v>27690</v>
      </c>
    </row>
    <row r="47" spans="1:9" x14ac:dyDescent="0.45">
      <c r="A47" s="2314" t="s">
        <v>264</v>
      </c>
      <c r="B47" s="2313" t="s">
        <v>218</v>
      </c>
      <c r="C47" s="2998" t="s">
        <v>205</v>
      </c>
      <c r="D47" s="3001">
        <v>0</v>
      </c>
      <c r="E47" s="3001"/>
      <c r="G47" s="2331" t="s">
        <v>264</v>
      </c>
      <c r="H47" s="2290" t="s">
        <v>27691</v>
      </c>
      <c r="I47" s="2290" t="s">
        <v>27686</v>
      </c>
    </row>
    <row r="48" spans="1:9" x14ac:dyDescent="0.45">
      <c r="A48" s="2314" t="s">
        <v>264</v>
      </c>
      <c r="B48" s="2314" t="s">
        <v>218</v>
      </c>
      <c r="C48" s="2998" t="s">
        <v>208</v>
      </c>
      <c r="D48" s="3000">
        <v>0</v>
      </c>
      <c r="E48" s="3000"/>
      <c r="G48" s="2331" t="s">
        <v>264</v>
      </c>
      <c r="H48" s="2290" t="s">
        <v>27691</v>
      </c>
      <c r="I48" s="2290" t="s">
        <v>27687</v>
      </c>
    </row>
    <row r="49" spans="1:9" x14ac:dyDescent="0.45">
      <c r="A49" s="2314" t="s">
        <v>264</v>
      </c>
      <c r="B49" s="2314" t="s">
        <v>218</v>
      </c>
      <c r="C49" s="2998" t="s">
        <v>210</v>
      </c>
      <c r="D49" s="2999">
        <v>0</v>
      </c>
      <c r="E49" s="2999"/>
      <c r="G49" s="2331" t="s">
        <v>264</v>
      </c>
      <c r="H49" s="2290" t="s">
        <v>27691</v>
      </c>
      <c r="I49" s="2290" t="s">
        <v>27688</v>
      </c>
    </row>
    <row r="50" spans="1:9" x14ac:dyDescent="0.45">
      <c r="A50" s="2314" t="s">
        <v>264</v>
      </c>
      <c r="B50" s="2314" t="s">
        <v>218</v>
      </c>
      <c r="C50" s="2998" t="s">
        <v>212</v>
      </c>
      <c r="D50" s="2997">
        <v>0</v>
      </c>
      <c r="E50" s="2997"/>
      <c r="G50" s="2331" t="s">
        <v>264</v>
      </c>
      <c r="H50" s="2290" t="s">
        <v>27691</v>
      </c>
      <c r="I50" s="2290" t="s">
        <v>27689</v>
      </c>
    </row>
    <row r="51" spans="1:9" x14ac:dyDescent="0.45">
      <c r="A51" s="2314" t="s">
        <v>264</v>
      </c>
      <c r="B51" s="2314" t="s">
        <v>218</v>
      </c>
      <c r="C51" s="2998" t="s">
        <v>214</v>
      </c>
      <c r="D51" s="2997">
        <v>0</v>
      </c>
      <c r="E51" s="2997"/>
      <c r="G51" s="2331" t="s">
        <v>264</v>
      </c>
      <c r="H51" s="2290" t="s">
        <v>27691</v>
      </c>
      <c r="I51" s="2290" t="s">
        <v>27690</v>
      </c>
    </row>
    <row r="52" spans="1:9" x14ac:dyDescent="0.45">
      <c r="A52" s="2339" t="s">
        <v>277</v>
      </c>
      <c r="B52" s="2340" t="s">
        <v>204</v>
      </c>
      <c r="C52" s="3005" t="s">
        <v>205</v>
      </c>
      <c r="D52" s="3004">
        <v>0</v>
      </c>
      <c r="E52" s="3004"/>
      <c r="G52" s="2331" t="s">
        <v>277</v>
      </c>
      <c r="H52" s="2290" t="s">
        <v>27685</v>
      </c>
      <c r="I52" s="2290" t="s">
        <v>27686</v>
      </c>
    </row>
    <row r="53" spans="1:9" x14ac:dyDescent="0.45">
      <c r="A53" s="2314" t="s">
        <v>277</v>
      </c>
      <c r="B53" s="2326" t="s">
        <v>204</v>
      </c>
      <c r="C53" s="2998" t="s">
        <v>208</v>
      </c>
      <c r="D53" s="3000">
        <v>0</v>
      </c>
      <c r="E53" s="3000"/>
      <c r="G53" s="2331" t="s">
        <v>277</v>
      </c>
      <c r="H53" s="2290" t="s">
        <v>27685</v>
      </c>
      <c r="I53" s="2290" t="s">
        <v>27687</v>
      </c>
    </row>
    <row r="54" spans="1:9" x14ac:dyDescent="0.45">
      <c r="A54" s="2314" t="s">
        <v>277</v>
      </c>
      <c r="B54" s="2326" t="s">
        <v>204</v>
      </c>
      <c r="C54" s="2998" t="s">
        <v>210</v>
      </c>
      <c r="D54" s="2999">
        <v>0</v>
      </c>
      <c r="E54" s="2999"/>
      <c r="G54" s="2331" t="s">
        <v>277</v>
      </c>
      <c r="H54" s="2290" t="s">
        <v>27685</v>
      </c>
      <c r="I54" s="2290" t="s">
        <v>27688</v>
      </c>
    </row>
    <row r="55" spans="1:9" x14ac:dyDescent="0.45">
      <c r="A55" s="2314" t="s">
        <v>277</v>
      </c>
      <c r="B55" s="2326" t="s">
        <v>204</v>
      </c>
      <c r="C55" s="2998" t="s">
        <v>212</v>
      </c>
      <c r="D55" s="2997">
        <v>0</v>
      </c>
      <c r="E55" s="2997"/>
      <c r="G55" s="2331" t="s">
        <v>277</v>
      </c>
      <c r="H55" s="2290" t="s">
        <v>27685</v>
      </c>
      <c r="I55" s="2290" t="s">
        <v>27689</v>
      </c>
    </row>
    <row r="56" spans="1:9" x14ac:dyDescent="0.45">
      <c r="A56" s="2314" t="s">
        <v>277</v>
      </c>
      <c r="B56" s="2337" t="s">
        <v>204</v>
      </c>
      <c r="C56" s="3003" t="s">
        <v>214</v>
      </c>
      <c r="D56" s="3002">
        <v>0</v>
      </c>
      <c r="E56" s="3002"/>
      <c r="G56" s="2331" t="s">
        <v>277</v>
      </c>
      <c r="H56" s="2290" t="s">
        <v>27685</v>
      </c>
      <c r="I56" s="2290" t="s">
        <v>27690</v>
      </c>
    </row>
    <row r="57" spans="1:9" x14ac:dyDescent="0.45">
      <c r="A57" s="2314" t="s">
        <v>277</v>
      </c>
      <c r="B57" s="2313" t="s">
        <v>218</v>
      </c>
      <c r="C57" s="2998" t="s">
        <v>205</v>
      </c>
      <c r="D57" s="3001">
        <v>0</v>
      </c>
      <c r="E57" s="3001"/>
      <c r="G57" s="2331" t="s">
        <v>277</v>
      </c>
      <c r="H57" s="2290" t="s">
        <v>27691</v>
      </c>
      <c r="I57" s="2290" t="s">
        <v>27686</v>
      </c>
    </row>
    <row r="58" spans="1:9" x14ac:dyDescent="0.45">
      <c r="A58" s="2314" t="s">
        <v>277</v>
      </c>
      <c r="B58" s="2314" t="s">
        <v>218</v>
      </c>
      <c r="C58" s="2998" t="s">
        <v>208</v>
      </c>
      <c r="D58" s="3000">
        <v>0</v>
      </c>
      <c r="E58" s="3000"/>
      <c r="G58" s="2331" t="s">
        <v>277</v>
      </c>
      <c r="H58" s="2290" t="s">
        <v>27691</v>
      </c>
      <c r="I58" s="2290" t="s">
        <v>27687</v>
      </c>
    </row>
    <row r="59" spans="1:9" x14ac:dyDescent="0.45">
      <c r="A59" s="2314" t="s">
        <v>277</v>
      </c>
      <c r="B59" s="2314" t="s">
        <v>218</v>
      </c>
      <c r="C59" s="2998" t="s">
        <v>210</v>
      </c>
      <c r="D59" s="2999">
        <v>0</v>
      </c>
      <c r="E59" s="2999"/>
      <c r="G59" s="2331" t="s">
        <v>277</v>
      </c>
      <c r="H59" s="2290" t="s">
        <v>27691</v>
      </c>
      <c r="I59" s="2290" t="s">
        <v>27688</v>
      </c>
    </row>
    <row r="60" spans="1:9" x14ac:dyDescent="0.45">
      <c r="A60" s="2314" t="s">
        <v>277</v>
      </c>
      <c r="B60" s="2314" t="s">
        <v>218</v>
      </c>
      <c r="C60" s="2998" t="s">
        <v>212</v>
      </c>
      <c r="D60" s="2997">
        <v>0</v>
      </c>
      <c r="E60" s="2997"/>
      <c r="G60" s="2331" t="s">
        <v>277</v>
      </c>
      <c r="H60" s="2290" t="s">
        <v>27691</v>
      </c>
      <c r="I60" s="2290" t="s">
        <v>27689</v>
      </c>
    </row>
    <row r="61" spans="1:9" x14ac:dyDescent="0.45">
      <c r="A61" s="2314" t="s">
        <v>277</v>
      </c>
      <c r="B61" s="2314" t="s">
        <v>218</v>
      </c>
      <c r="C61" s="2998" t="s">
        <v>214</v>
      </c>
      <c r="D61" s="2997">
        <v>0</v>
      </c>
      <c r="E61" s="2997"/>
      <c r="G61" s="2331" t="s">
        <v>277</v>
      </c>
      <c r="H61" s="2290" t="s">
        <v>27691</v>
      </c>
      <c r="I61" s="2290" t="s">
        <v>27690</v>
      </c>
    </row>
    <row r="63" spans="1:9" x14ac:dyDescent="0.45">
      <c r="D63" s="3113" t="s">
        <v>29392</v>
      </c>
      <c r="E63" s="3113" t="s">
        <v>29735</v>
      </c>
    </row>
  </sheetData>
  <sheetProtection algorithmName="SHA-512" hashValue="xxapMheTAjI9cKfOQMXDu7a+erI4jb/qes/TuACxB5jMKMA1CCckiL9alERQNHd+/RjdEzLxdV/07GQzoxcRuw==" saltValue="Xm24QxyBKggrY92P8OWZEA==" spinCount="100000" sheet="1" objects="1" scenarios="1"/>
  <conditionalFormatting sqref="D2:E61">
    <cfRule type="cellIs" dxfId="26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D2:D61" xr:uid="{54F16697-1655-4BE5-AC55-CE0A813B158D}">
      <formula1>AND(D2&gt;=0,ROUND(D2,2)=D2)</formula1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0704C-F8AF-4936-ACB4-9638A8945BBE}">
  <sheetPr codeName="Sheet42"/>
  <dimension ref="A1:AS430"/>
  <sheetViews>
    <sheetView workbookViewId="0"/>
  </sheetViews>
  <sheetFormatPr defaultColWidth="9" defaultRowHeight="14.25" x14ac:dyDescent="0.45"/>
  <cols>
    <col min="1" max="2" width="9" style="2270"/>
    <col min="3" max="3" width="18.265625" style="2270" customWidth="1"/>
    <col min="4" max="4" width="17" style="2270" bestFit="1" customWidth="1"/>
    <col min="5" max="7" width="12" style="2270" customWidth="1"/>
    <col min="8" max="8" width="12.265625" style="2270" customWidth="1"/>
    <col min="9" max="9" width="12.86328125" style="2270" customWidth="1"/>
    <col min="10" max="10" width="13" style="2270" customWidth="1"/>
    <col min="11" max="11" width="17" style="2270" customWidth="1"/>
    <col min="12" max="15" width="14" style="2270" customWidth="1"/>
    <col min="16" max="18" width="9" style="2270"/>
    <col min="19" max="19" width="14" style="2270" customWidth="1"/>
    <col min="20" max="16384" width="9" style="2270"/>
  </cols>
  <sheetData>
    <row r="1" spans="1:35" ht="15.4" x14ac:dyDescent="0.45">
      <c r="A1" s="3057" t="s">
        <v>29653</v>
      </c>
    </row>
    <row r="2" spans="1:35" x14ac:dyDescent="0.45">
      <c r="D2" s="2995" t="s">
        <v>28277</v>
      </c>
      <c r="E2" s="3056" t="s">
        <v>29649</v>
      </c>
      <c r="F2" s="3036" t="s">
        <v>29399</v>
      </c>
      <c r="I2" s="3036"/>
      <c r="J2" s="3036"/>
      <c r="K2" s="3036"/>
      <c r="L2" s="3036"/>
      <c r="M2" s="3036"/>
      <c r="N2" s="3036"/>
    </row>
    <row r="3" spans="1:35" ht="26.25" x14ac:dyDescent="0.45">
      <c r="B3" s="3055" t="s">
        <v>343</v>
      </c>
      <c r="D3" s="2377">
        <f>IF(AND(E3="Validation: OK",F3="Validation: OK"),0,1)</f>
        <v>0</v>
      </c>
      <c r="E3" s="3119" t="str">
        <f>IF(AND(E75="",F75="",H75="",I75=""),"Validation: OK","Validation: Failure (see below table)")</f>
        <v>Validation: OK</v>
      </c>
      <c r="F3" s="3120" t="str">
        <f>IF(AND(G75="",H75="",I75=""),"Validation: OK","Validation: Failure (see below table)")</f>
        <v>Validation: OK</v>
      </c>
      <c r="I3"/>
    </row>
    <row r="4" spans="1:35" x14ac:dyDescent="0.45">
      <c r="B4" s="3055"/>
      <c r="C4" s="2995"/>
      <c r="D4" s="2995"/>
      <c r="E4" s="2995"/>
      <c r="F4" s="2995"/>
      <c r="G4" s="2995"/>
      <c r="H4" s="2995"/>
      <c r="I4" s="2995"/>
      <c r="J4" s="2995"/>
      <c r="K4" s="2995"/>
      <c r="L4" s="2995"/>
      <c r="M4" s="2995"/>
      <c r="N4" s="2995"/>
      <c r="O4" s="2995"/>
      <c r="P4" s="2995"/>
      <c r="Q4" s="2995"/>
      <c r="R4" s="2995"/>
      <c r="S4" s="2995"/>
      <c r="T4" s="2995"/>
    </row>
    <row r="5" spans="1:35" ht="112.5" customHeight="1" x14ac:dyDescent="0.45">
      <c r="B5" s="3054" t="s">
        <v>346</v>
      </c>
      <c r="C5" s="3053"/>
      <c r="D5" s="3023"/>
      <c r="E5" s="3052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J5" s="3049"/>
      <c r="K5" s="3049"/>
      <c r="L5" s="2995"/>
      <c r="Q5" s="2995"/>
      <c r="R5" s="2995"/>
      <c r="S5" s="2995"/>
      <c r="T5" s="2995"/>
    </row>
    <row r="6" spans="1:35" x14ac:dyDescent="0.45">
      <c r="B6" s="3048" t="s">
        <v>363</v>
      </c>
      <c r="C6" s="2995"/>
      <c r="E6" s="2270">
        <v>1</v>
      </c>
      <c r="F6" s="2377">
        <v>1</v>
      </c>
      <c r="G6" s="2377">
        <v>1</v>
      </c>
      <c r="H6" s="2377">
        <v>1</v>
      </c>
      <c r="I6" s="3047">
        <v>1</v>
      </c>
      <c r="J6" s="3043"/>
      <c r="K6" s="3043"/>
      <c r="L6" s="2995"/>
      <c r="Q6" s="2995"/>
      <c r="R6" s="2995"/>
      <c r="S6" s="2995"/>
    </row>
    <row r="7" spans="1:35" s="2993" customFormat="1" ht="12.75" customHeight="1" x14ac:dyDescent="0.45">
      <c r="B7" s="3046"/>
      <c r="C7" s="3044"/>
      <c r="D7" s="3044"/>
      <c r="E7" s="3045"/>
      <c r="F7" s="3045"/>
      <c r="G7" s="3044"/>
      <c r="H7" s="3044"/>
      <c r="I7" s="3117"/>
      <c r="J7" s="3043"/>
      <c r="K7" s="3043"/>
      <c r="L7" s="2996"/>
      <c r="M7" s="2270"/>
      <c r="N7" s="2270"/>
      <c r="O7" s="2270"/>
      <c r="Q7" s="2996"/>
      <c r="R7" s="2996"/>
      <c r="S7" s="2996"/>
      <c r="AH7" s="2270"/>
      <c r="AI7" s="2270"/>
    </row>
    <row r="8" spans="1:35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J8" s="3220"/>
      <c r="K8" s="2996"/>
      <c r="L8" s="2996"/>
      <c r="M8" s="2996"/>
      <c r="N8" s="2996"/>
      <c r="O8" s="2996"/>
      <c r="P8" s="2996"/>
      <c r="Q8" s="2996"/>
      <c r="R8" s="2996"/>
      <c r="S8" s="2996"/>
      <c r="AH8" s="2270"/>
      <c r="AI8" s="2270"/>
    </row>
    <row r="9" spans="1:35" s="2993" customFormat="1" ht="26.25" x14ac:dyDescent="0.45">
      <c r="B9" s="3221"/>
      <c r="C9" s="3217"/>
      <c r="D9" s="3217"/>
      <c r="E9" s="3217"/>
      <c r="F9" s="3218">
        <v>0.02</v>
      </c>
      <c r="G9" s="3217" t="s">
        <v>29755</v>
      </c>
      <c r="H9" s="3217"/>
      <c r="I9" s="3217"/>
      <c r="J9" s="2996"/>
      <c r="K9" s="3219"/>
      <c r="L9" s="2996"/>
      <c r="M9" s="2996"/>
      <c r="N9" s="2996"/>
      <c r="O9" s="2996"/>
      <c r="P9" s="2270"/>
      <c r="Q9" s="2270"/>
      <c r="R9" s="2270"/>
      <c r="S9" s="2270"/>
      <c r="T9" s="2270"/>
      <c r="AA9" s="2270"/>
      <c r="AB9" s="2270"/>
    </row>
    <row r="10" spans="1:35" ht="26.25" x14ac:dyDescent="0.45">
      <c r="B10" s="3215"/>
      <c r="C10" s="3011"/>
      <c r="D10" s="3059"/>
      <c r="E10" s="3011"/>
      <c r="F10" s="3216">
        <v>0.05</v>
      </c>
      <c r="G10" s="3059" t="s">
        <v>29756</v>
      </c>
      <c r="H10" s="3059"/>
      <c r="I10" s="3216"/>
      <c r="J10" s="2996"/>
      <c r="K10" s="3219"/>
      <c r="L10" s="3036" t="s">
        <v>27709</v>
      </c>
      <c r="M10" s="3036"/>
      <c r="N10" s="3036"/>
    </row>
    <row r="11" spans="1:35" x14ac:dyDescent="0.45">
      <c r="A11" s="3021"/>
      <c r="B11" s="3035"/>
      <c r="C11" s="2377"/>
      <c r="D11" s="3009"/>
      <c r="E11" s="2377" t="s">
        <v>29639</v>
      </c>
      <c r="F11" s="2377" t="s">
        <v>29638</v>
      </c>
      <c r="G11" s="2377" t="s">
        <v>29637</v>
      </c>
      <c r="H11" s="2377" t="s">
        <v>29636</v>
      </c>
      <c r="I11" s="2377" t="s">
        <v>29635</v>
      </c>
      <c r="K11" s="3016"/>
      <c r="L11" s="2377" t="s">
        <v>29648</v>
      </c>
      <c r="M11" s="3118" t="s">
        <v>29747</v>
      </c>
      <c r="N11" s="3034"/>
      <c r="O11" s="3118" t="s">
        <v>29746</v>
      </c>
    </row>
    <row r="12" spans="1:35" ht="27.75" x14ac:dyDescent="0.45">
      <c r="B12" s="3247" t="s">
        <v>200</v>
      </c>
      <c r="C12" s="2353" t="s">
        <v>56</v>
      </c>
      <c r="D12" s="2352" t="s">
        <v>57</v>
      </c>
      <c r="E12" s="3115" t="s">
        <v>29740</v>
      </c>
      <c r="F12" s="3115" t="s">
        <v>29741</v>
      </c>
      <c r="G12" s="2270" t="s">
        <v>29644</v>
      </c>
      <c r="H12" s="3115" t="s">
        <v>29745</v>
      </c>
      <c r="I12" s="3115" t="s">
        <v>389</v>
      </c>
      <c r="K12" s="3016"/>
      <c r="L12" s="2995"/>
      <c r="M12" s="3116" t="s">
        <v>29738</v>
      </c>
      <c r="N12" s="2993" t="s">
        <v>29641</v>
      </c>
      <c r="O12" s="2993" t="s">
        <v>29399</v>
      </c>
    </row>
    <row r="13" spans="1:35" x14ac:dyDescent="0.45">
      <c r="B13" s="3020" t="s">
        <v>203</v>
      </c>
      <c r="C13" s="2377" t="s">
        <v>204</v>
      </c>
      <c r="D13" s="3008" t="s">
        <v>205</v>
      </c>
      <c r="E13" s="3029" t="str">
        <f>IF(AND($E$6=1, ROUND(FTE_3_Part_time!$H8, 2)&lt;&gt;FTE_3_Part_time!$H8), CONCATENATE("Price group", " ", $B13, ", ", $C13, " ", "Length", ", Level ", $D13, "; "), "")</f>
        <v/>
      </c>
      <c r="F13" s="3028" t="str">
        <f>IF(AND($F$6=1,FTE_3_Part_time!$E8&lt;&gt;0,ABS(FTE_3_Part_time!$H8-FTE_3_Part_time!$E8)&lt;$F$9),CONCATENATE("Price group"," ",$B13,", ",$C13," ","Length",", Level ",$D13,"; "),"")</f>
        <v/>
      </c>
      <c r="G13" s="3027" t="str">
        <f>IF(AND($G$6=1,LEN(FTE_3_Part_time!$J8)&gt;2000), CONCATENATE("Price group", " ", $B13, ", ", $C13, " ", "Length", ", Level ", $D13, "; "), "")</f>
        <v/>
      </c>
      <c r="H13" s="3028" t="str">
        <f>IF(AND($H$6=1,OR(AND(FTE_3_Part_time!$H8=0,FTE_3_Part_time!$J8&lt;&gt;""),AND(FTE_3_Part_time!$H8&lt;&gt;0,FTE_3_Part_time!$J8=""))),CONCATENATE("Price group"," ",$B13,", ",$C13," ","Length",", Level ",$D13,"; "),"")</f>
        <v/>
      </c>
      <c r="I13" s="3029" t="str">
        <f>IF(AND($I$6=1,FTE_3_Part_time!$G8=0,OR(FTE_3_Part_time!$H8&lt;&gt;0,FTE_3_Part_time!$J8&lt;&gt;"")),CONCATENATE("Price group"," ",$B13,", ",$C13," ","Length",", Level ",$D13,"; "),"")</f>
        <v/>
      </c>
      <c r="K13" s="3016"/>
      <c r="L13" s="3033" t="s">
        <v>203</v>
      </c>
      <c r="M13" s="3024">
        <f>IF(OR(E13&lt;&gt;"",F13&lt;&gt;"",H13&lt;&gt;"",I13&lt;&gt;""),1,0)</f>
        <v>0</v>
      </c>
      <c r="N13" s="3025"/>
      <c r="O13" s="3024">
        <f>IF(OR(G13&lt;&gt;"",H13&lt;&gt;"",I13&lt;&gt;""),1,0)</f>
        <v>0</v>
      </c>
    </row>
    <row r="14" spans="1:35" x14ac:dyDescent="0.45">
      <c r="B14" s="3020" t="s">
        <v>203</v>
      </c>
      <c r="C14" s="2377" t="s">
        <v>204</v>
      </c>
      <c r="D14" s="3008" t="s">
        <v>208</v>
      </c>
      <c r="E14" s="3029" t="str">
        <f>IF(AND($E$6=1, ROUND(FTE_3_Part_time!$H9, 2)&lt;&gt;FTE_3_Part_time!$H9), CONCATENATE("Price group", " ", $B14, ", ", $C14, " ", "Length", ", Level ", $D14, "; "), "")</f>
        <v/>
      </c>
      <c r="F14" s="3028" t="str">
        <f>IF(AND($F$6=1,FTE_3_Part_time!$E9&lt;&gt;0,ABS(FTE_3_Part_time!$H9-FTE_3_Part_time!$E9)&lt;$F$9),CONCATENATE("Price group"," ",$B14,", ",$C14," ","Length",", Level ",$D14,"; "),"")</f>
        <v/>
      </c>
      <c r="G14" s="3027" t="str">
        <f>IF(AND($G$6=1,LEN(FTE_3_Part_time!$J9)&gt;2000), CONCATENATE("Price group", " ", $B14, ", ", $C14, " ", "Length", ", Level ", $D14, "; "), "")</f>
        <v/>
      </c>
      <c r="H14" s="3028" t="str">
        <f>IF(AND($H$6=1,OR(AND(FTE_3_Part_time!$H9=0,FTE_3_Part_time!$J9&lt;&gt;""),AND(FTE_3_Part_time!$H9&lt;&gt;0,FTE_3_Part_time!$J9=""))),CONCATENATE("Price group"," ",$B14,", ",$C14," ","Length",", Level ",$D14,"; "),"")</f>
        <v/>
      </c>
      <c r="I14" s="3029" t="str">
        <f>IF(AND($I$6=1,FTE_3_Part_time!$G9=0,OR(FTE_3_Part_time!$H9&lt;&gt;0,FTE_3_Part_time!$J9&lt;&gt;"")),CONCATENATE("Price group"," ",$B14,", ",$C14," ","Length",", Level ",$D14,"; "),"")</f>
        <v/>
      </c>
      <c r="K14" s="3016"/>
      <c r="L14" s="3026" t="s">
        <v>203</v>
      </c>
      <c r="M14" s="3024">
        <f t="shared" ref="M14:M72" si="0">IF(OR(E14&lt;&gt;"",F14&lt;&gt;"",H14&lt;&gt;"",I14&lt;&gt;""),1,0)</f>
        <v>0</v>
      </c>
      <c r="N14" s="3025"/>
      <c r="O14" s="3024">
        <f t="shared" ref="O14:O72" si="1">IF(OR(G14&lt;&gt;"",H14&lt;&gt;"",I14&lt;&gt;""),1,0)</f>
        <v>0</v>
      </c>
    </row>
    <row r="15" spans="1:35" x14ac:dyDescent="0.45">
      <c r="B15" s="3020" t="s">
        <v>203</v>
      </c>
      <c r="C15" s="2377" t="s">
        <v>204</v>
      </c>
      <c r="D15" s="3008" t="s">
        <v>210</v>
      </c>
      <c r="E15" s="3029" t="str">
        <f>IF(AND($E$6=1, ROUND(FTE_3_Part_time!$H10, 2)&lt;&gt;FTE_3_Part_time!$H10), CONCATENATE("Price group", " ", $B15, ", ", $C15, " ", "Length", ", Level ", $D15, "; "), "")</f>
        <v/>
      </c>
      <c r="F15" s="3028" t="str">
        <f>IF(AND($F$6=1,FTE_3_Part_time!$E10&lt;&gt;0,ABS(FTE_3_Part_time!$H10-FTE_3_Part_time!$E10)&lt;$F$9),CONCATENATE("Price group"," ",$B15,", ",$C15," ","Length",", Level ",$D15,"; "),"")</f>
        <v/>
      </c>
      <c r="G15" s="3027" t="str">
        <f>IF(AND($G$6=1,LEN(FTE_3_Part_time!$J10)&gt;2000), CONCATENATE("Price group", " ", $B15, ", ", $C15, " ", "Length", ", Level ", $D15, "; "), "")</f>
        <v/>
      </c>
      <c r="H15" s="3028" t="str">
        <f>IF(AND($H$6=1,OR(AND(FTE_3_Part_time!$H10=0,FTE_3_Part_time!$J10&lt;&gt;""),AND(FTE_3_Part_time!$H10&lt;&gt;0,FTE_3_Part_time!$J10=""))),CONCATENATE("Price group"," ",$B15,", ",$C15," ","Length",", Level ",$D15,"; "),"")</f>
        <v/>
      </c>
      <c r="I15" s="3029" t="str">
        <f>IF(AND($I$6=1,FTE_3_Part_time!$G10=0,OR(FTE_3_Part_time!$H10&lt;&gt;0,FTE_3_Part_time!$J10&lt;&gt;"")),CONCATENATE("Price group"," ",$B15,", ",$C15," ","Length",", Level ",$D15,"; "),"")</f>
        <v/>
      </c>
      <c r="K15" s="3016"/>
      <c r="L15" s="3026" t="s">
        <v>203</v>
      </c>
      <c r="M15" s="3024">
        <f t="shared" si="0"/>
        <v>0</v>
      </c>
      <c r="N15" s="3025"/>
      <c r="O15" s="3024">
        <f t="shared" si="1"/>
        <v>0</v>
      </c>
    </row>
    <row r="16" spans="1:35" x14ac:dyDescent="0.45">
      <c r="B16" s="3020" t="s">
        <v>203</v>
      </c>
      <c r="C16" s="2377" t="s">
        <v>204</v>
      </c>
      <c r="D16" s="3008" t="s">
        <v>212</v>
      </c>
      <c r="E16" s="3029" t="str">
        <f>IF(AND($E$6=1, ROUND(FTE_3_Part_time!$H11, 2)&lt;&gt;FTE_3_Part_time!$H11), CONCATENATE("Price group", " ", $B16, ", ", $C16, " ", "Length", ", Level ", $D16, "; "), "")</f>
        <v/>
      </c>
      <c r="F16" s="3028" t="str">
        <f>IF(AND($F$6=1,FTE_3_Part_time!$E11&lt;&gt;0,ABS(FTE_3_Part_time!$H11-FTE_3_Part_time!$E11)&lt;$F$9),CONCATENATE("Price group"," ",$B16,", ",$C16," ","Length",", Level ",$D16,"; "),"")</f>
        <v/>
      </c>
      <c r="G16" s="3027" t="str">
        <f>IF(AND($G$6=1,LEN(FTE_3_Part_time!$J11)&gt;2000), CONCATENATE("Price group", " ", $B16, ", ", $C16, " ", "Length", ", Level ", $D16, "; "), "")</f>
        <v/>
      </c>
      <c r="H16" s="3028" t="str">
        <f>IF(AND($H$6=1,OR(AND(FTE_3_Part_time!$H11=0,FTE_3_Part_time!$J11&lt;&gt;""),AND(FTE_3_Part_time!$H11&lt;&gt;0,FTE_3_Part_time!$J11=""))),CONCATENATE("Price group"," ",$B16,", ",$C16," ","Length",", Level ",$D16,"; "),"")</f>
        <v/>
      </c>
      <c r="I16" s="3029" t="str">
        <f>IF(AND($I$6=1,FTE_3_Part_time!$G11=0,OR(FTE_3_Part_time!$H11&lt;&gt;0,FTE_3_Part_time!$J11&lt;&gt;"")),CONCATENATE("Price group"," ",$B16,", ",$C16," ","Length",", Level ",$D16,"; "),"")</f>
        <v/>
      </c>
      <c r="K16" s="3016"/>
      <c r="L16" s="3026" t="s">
        <v>203</v>
      </c>
      <c r="M16" s="3024">
        <f t="shared" si="0"/>
        <v>0</v>
      </c>
      <c r="N16" s="3025"/>
      <c r="O16" s="3024">
        <f t="shared" si="1"/>
        <v>0</v>
      </c>
    </row>
    <row r="17" spans="2:15" x14ac:dyDescent="0.45">
      <c r="B17" s="3020" t="s">
        <v>203</v>
      </c>
      <c r="C17" s="2377" t="s">
        <v>204</v>
      </c>
      <c r="D17" s="3008" t="s">
        <v>214</v>
      </c>
      <c r="E17" s="3029" t="str">
        <f>IF(AND($E$6=1, ROUND(FTE_3_Part_time!$H12, 2)&lt;&gt;FTE_3_Part_time!$H12), CONCATENATE("Price group", " ", $B17, ", ", $C17, " ", "Length", ", Level ", $D17, "; "), "")</f>
        <v/>
      </c>
      <c r="F17" s="3028" t="str">
        <f>IF(AND($F$6=1,FTE_3_Part_time!$E12&lt;&gt;0,ABS(FTE_3_Part_time!$H12-FTE_3_Part_time!$E12)&lt;$F$9),CONCATENATE("Price group"," ",$B17,", ",$C17," ","Length",", Level ",$D17,"; "),"")</f>
        <v/>
      </c>
      <c r="G17" s="3027" t="str">
        <f>IF(AND($G$6=1,LEN(FTE_3_Part_time!$J12)&gt;2000), CONCATENATE("Price group", " ", $B17, ", ", $C17, " ", "Length", ", Level ", $D17, "; "), "")</f>
        <v/>
      </c>
      <c r="H17" s="3028" t="str">
        <f>IF(AND($H$6=1,OR(AND(FTE_3_Part_time!$H12=0,FTE_3_Part_time!$J12&lt;&gt;""),AND(FTE_3_Part_time!$H12&lt;&gt;0,FTE_3_Part_time!$J12=""))),CONCATENATE("Price group"," ",$B17,", ",$C17," ","Length",", Level ",$D17,"; "),"")</f>
        <v/>
      </c>
      <c r="I17" s="3029" t="str">
        <f>IF(AND($I$6=1,FTE_3_Part_time!$G12=0,OR(FTE_3_Part_time!$H12&lt;&gt;0,FTE_3_Part_time!$J12&lt;&gt;"")),CONCATENATE("Price group"," ",$B17,", ",$C17," ","Length",", Level ",$D17,"; "),"")</f>
        <v/>
      </c>
      <c r="K17" s="3016"/>
      <c r="L17" s="3026" t="s">
        <v>203</v>
      </c>
      <c r="M17" s="3024">
        <f t="shared" si="0"/>
        <v>0</v>
      </c>
      <c r="N17" s="3025"/>
      <c r="O17" s="3024">
        <f t="shared" si="1"/>
        <v>0</v>
      </c>
    </row>
    <row r="18" spans="2:15" x14ac:dyDescent="0.45">
      <c r="B18" s="3020" t="s">
        <v>203</v>
      </c>
      <c r="C18" s="2377" t="s">
        <v>218</v>
      </c>
      <c r="D18" s="3008" t="s">
        <v>205</v>
      </c>
      <c r="E18" s="3029" t="str">
        <f>IF(AND($E$6=1, ROUND(FTE_3_Part_time!$H13, 2)&lt;&gt;FTE_3_Part_time!$H13), CONCATENATE("Price group", " ", $B18, ", ", $C18, " ", "Length", ", Level ", $D18, "; "), "")</f>
        <v/>
      </c>
      <c r="F18" s="3028" t="str">
        <f>IF(AND($F$6=1,FTE_3_Part_time!$E13&lt;&gt;0,ABS(FTE_3_Part_time!$H13-FTE_3_Part_time!$E13)&lt;$F$9),CONCATENATE("Price group"," ",$B18,", ",$C18," ","Length",", Level ",$D18,"; "),"")</f>
        <v/>
      </c>
      <c r="G18" s="3027" t="str">
        <f>IF(AND($G$6=1,LEN(FTE_3_Part_time!$J13)&gt;2000), CONCATENATE("Price group", " ", $B18, ", ", $C18, " ", "Length", ", Level ", $D18, "; "), "")</f>
        <v/>
      </c>
      <c r="H18" s="3028" t="str">
        <f>IF(AND($H$6=1,OR(AND(FTE_3_Part_time!$H13=0,FTE_3_Part_time!$J13&lt;&gt;""),AND(FTE_3_Part_time!$H13&lt;&gt;0,FTE_3_Part_time!$J13=""))),CONCATENATE("Price group"," ",$B18,", ",$C18," ","Length",", Level ",$D18,"; "),"")</f>
        <v/>
      </c>
      <c r="I18" s="3029" t="str">
        <f>IF(AND($I$6=1,FTE_3_Part_time!$G13=0,OR(FTE_3_Part_time!$H13&lt;&gt;0,FTE_3_Part_time!$J13&lt;&gt;"")),CONCATENATE("Price group"," ",$B18,", ",$C18," ","Length",", Level ",$D18,"; "),"")</f>
        <v/>
      </c>
      <c r="K18" s="3016"/>
      <c r="L18" s="3026" t="s">
        <v>203</v>
      </c>
      <c r="M18" s="3024">
        <f t="shared" si="0"/>
        <v>0</v>
      </c>
      <c r="N18" s="3025"/>
      <c r="O18" s="3024">
        <f t="shared" si="1"/>
        <v>0</v>
      </c>
    </row>
    <row r="19" spans="2:15" x14ac:dyDescent="0.45">
      <c r="B19" s="3020" t="s">
        <v>203</v>
      </c>
      <c r="C19" s="2377" t="s">
        <v>218</v>
      </c>
      <c r="D19" s="3008" t="s">
        <v>208</v>
      </c>
      <c r="E19" s="3029" t="str">
        <f>IF(AND($E$6=1, ROUND(FTE_3_Part_time!$H14, 2)&lt;&gt;FTE_3_Part_time!$H14), CONCATENATE("Price group", " ", $B19, ", ", $C19, " ", "Length", ", Level ", $D19, "; "), "")</f>
        <v/>
      </c>
      <c r="F19" s="3028" t="str">
        <f>IF(AND($F$6=1,FTE_3_Part_time!$E14&lt;&gt;0,ABS(FTE_3_Part_time!$H14-FTE_3_Part_time!$E14)&lt;$F$9),CONCATENATE("Price group"," ",$B19,", ",$C19," ","Length",", Level ",$D19,"; "),"")</f>
        <v/>
      </c>
      <c r="G19" s="3027" t="str">
        <f>IF(AND($G$6=1,LEN(FTE_3_Part_time!$J14)&gt;2000), CONCATENATE("Price group", " ", $B19, ", ", $C19, " ", "Length", ", Level ", $D19, "; "), "")</f>
        <v/>
      </c>
      <c r="H19" s="3028" t="str">
        <f>IF(AND($H$6=1,OR(AND(FTE_3_Part_time!$H14=0,FTE_3_Part_time!$J14&lt;&gt;""),AND(FTE_3_Part_time!$H14&lt;&gt;0,FTE_3_Part_time!$J14=""))),CONCATENATE("Price group"," ",$B19,", ",$C19," ","Length",", Level ",$D19,"; "),"")</f>
        <v/>
      </c>
      <c r="I19" s="3029" t="str">
        <f>IF(AND($I$6=1,FTE_3_Part_time!$G14=0,OR(FTE_3_Part_time!$H14&lt;&gt;0,FTE_3_Part_time!$J14&lt;&gt;"")),CONCATENATE("Price group"," ",$B19,", ",$C19," ","Length",", Level ",$D19,"; "),"")</f>
        <v/>
      </c>
      <c r="K19" s="3016"/>
      <c r="L19" s="3026" t="s">
        <v>203</v>
      </c>
      <c r="M19" s="3024">
        <f t="shared" si="0"/>
        <v>0</v>
      </c>
      <c r="N19" s="3025"/>
      <c r="O19" s="3024">
        <f t="shared" si="1"/>
        <v>0</v>
      </c>
    </row>
    <row r="20" spans="2:15" x14ac:dyDescent="0.45">
      <c r="B20" s="3020" t="s">
        <v>203</v>
      </c>
      <c r="C20" s="2377" t="s">
        <v>218</v>
      </c>
      <c r="D20" s="3008" t="s">
        <v>210</v>
      </c>
      <c r="E20" s="3029" t="str">
        <f>IF(AND($E$6=1, ROUND(FTE_3_Part_time!$H15, 2)&lt;&gt;FTE_3_Part_time!$H15), CONCATENATE("Price group", " ", $B20, ", ", $C20, " ", "Length", ", Level ", $D20, "; "), "")</f>
        <v/>
      </c>
      <c r="F20" s="3028" t="str">
        <f>IF(AND($F$6=1,FTE_3_Part_time!$E15&lt;&gt;0,ABS(FTE_3_Part_time!$H15-FTE_3_Part_time!$E15)&lt;$F$9),CONCATENATE("Price group"," ",$B20,", ",$C20," ","Length",", Level ",$D20,"; "),"")</f>
        <v/>
      </c>
      <c r="G20" s="3027" t="str">
        <f>IF(AND($G$6=1,LEN(FTE_3_Part_time!$J15)&gt;2000), CONCATENATE("Price group", " ", $B20, ", ", $C20, " ", "Length", ", Level ", $D20, "; "), "")</f>
        <v/>
      </c>
      <c r="H20" s="3028" t="str">
        <f>IF(AND($H$6=1,OR(AND(FTE_3_Part_time!$H15=0,FTE_3_Part_time!$J15&lt;&gt;""),AND(FTE_3_Part_time!$H15&lt;&gt;0,FTE_3_Part_time!$J15=""))),CONCATENATE("Price group"," ",$B20,", ",$C20," ","Length",", Level ",$D20,"; "),"")</f>
        <v/>
      </c>
      <c r="I20" s="3029" t="str">
        <f>IF(AND($I$6=1,FTE_3_Part_time!$G15=0,OR(FTE_3_Part_time!$H15&lt;&gt;0,FTE_3_Part_time!$J15&lt;&gt;"")),CONCATENATE("Price group"," ",$B20,", ",$C20," ","Length",", Level ",$D20,"; "),"")</f>
        <v/>
      </c>
      <c r="K20" s="3016"/>
      <c r="L20" s="3026" t="s">
        <v>203</v>
      </c>
      <c r="M20" s="3024">
        <f t="shared" si="0"/>
        <v>0</v>
      </c>
      <c r="N20" s="3025"/>
      <c r="O20" s="3024">
        <f t="shared" si="1"/>
        <v>0</v>
      </c>
    </row>
    <row r="21" spans="2:15" x14ac:dyDescent="0.45">
      <c r="B21" s="3020" t="s">
        <v>203</v>
      </c>
      <c r="C21" s="2377" t="s">
        <v>218</v>
      </c>
      <c r="D21" s="3008" t="s">
        <v>212</v>
      </c>
      <c r="E21" s="3029" t="str">
        <f>IF(AND($E$6=1, ROUND(FTE_3_Part_time!$H16, 2)&lt;&gt;FTE_3_Part_time!$H16), CONCATENATE("Price group", " ", $B21, ", ", $C21, " ", "Length", ", Level ", $D21, "; "), "")</f>
        <v/>
      </c>
      <c r="F21" s="3028" t="str">
        <f>IF(AND($F$6=1,FTE_3_Part_time!$E16&lt;&gt;0,ABS(FTE_3_Part_time!$H16-FTE_3_Part_time!$E16)&lt;$F$9),CONCATENATE("Price group"," ",$B21,", ",$C21," ","Length",", Level ",$D21,"; "),"")</f>
        <v/>
      </c>
      <c r="G21" s="3027" t="str">
        <f>IF(AND($G$6=1,LEN(FTE_3_Part_time!$J16)&gt;2000), CONCATENATE("Price group", " ", $B21, ", ", $C21, " ", "Length", ", Level ", $D21, "; "), "")</f>
        <v/>
      </c>
      <c r="H21" s="3028" t="str">
        <f>IF(AND($H$6=1,OR(AND(FTE_3_Part_time!$H16=0,FTE_3_Part_time!$J16&lt;&gt;""),AND(FTE_3_Part_time!$H16&lt;&gt;0,FTE_3_Part_time!$J16=""))),CONCATENATE("Price group"," ",$B21,", ",$C21," ","Length",", Level ",$D21,"; "),"")</f>
        <v/>
      </c>
      <c r="I21" s="3029" t="str">
        <f>IF(AND($I$6=1,FTE_3_Part_time!$G16=0,OR(FTE_3_Part_time!$H16&lt;&gt;0,FTE_3_Part_time!$J16&lt;&gt;"")),CONCATENATE("Price group"," ",$B21,", ",$C21," ","Length",", Level ",$D21,"; "),"")</f>
        <v/>
      </c>
      <c r="K21" s="3016"/>
      <c r="L21" s="3026" t="s">
        <v>203</v>
      </c>
      <c r="M21" s="3024">
        <f t="shared" si="0"/>
        <v>0</v>
      </c>
      <c r="N21" s="3025"/>
      <c r="O21" s="3024">
        <f t="shared" si="1"/>
        <v>0</v>
      </c>
    </row>
    <row r="22" spans="2:15" x14ac:dyDescent="0.45">
      <c r="B22" s="3032" t="s">
        <v>203</v>
      </c>
      <c r="C22" s="3031" t="s">
        <v>218</v>
      </c>
      <c r="D22" s="3030" t="s">
        <v>214</v>
      </c>
      <c r="E22" s="3029" t="str">
        <f>IF(AND($E$6=1, ROUND(FTE_3_Part_time!$H17, 2)&lt;&gt;FTE_3_Part_time!$H17), CONCATENATE("Price group", " ", $B22, ", ", $C22, " ", "Length", ", Level ", $D22, "; "), "")</f>
        <v/>
      </c>
      <c r="F22" s="3223" t="str">
        <f>IF(AND($F$6=1,FTE_3_Part_time!$E17&lt;&gt;0,ABS(FTE_3_Part_time!$H17-FTE_3_Part_time!$E17)&lt;$F$9),CONCATENATE("Price group"," ",$B22,", ",$C22," ","Length",", Level ",$D22,"; "),"")</f>
        <v/>
      </c>
      <c r="G22" s="3027" t="str">
        <f>IF(AND($G$6=1,LEN(FTE_3_Part_time!$J17)&gt;2000), CONCATENATE("Price group", " ", $B22, ", ", $C22, " ", "Length", ", Level ", $D22, "; "), "")</f>
        <v/>
      </c>
      <c r="H22" s="3028" t="str">
        <f>IF(AND($H$6=1,OR(AND(FTE_3_Part_time!$H17=0,FTE_3_Part_time!$J17&lt;&gt;""),AND(FTE_3_Part_time!$H17&lt;&gt;0,FTE_3_Part_time!$J17=""))),CONCATENATE("Price group"," ",$B22,", ",$C22," ","Length",", Level ",$D22,"; "),"")</f>
        <v/>
      </c>
      <c r="I22" s="3029" t="str">
        <f>IF(AND($I$6=1,FTE_3_Part_time!$G17=0,OR(FTE_3_Part_time!$H17&lt;&gt;0,FTE_3_Part_time!$J17&lt;&gt;"")),CONCATENATE("Price group"," ",$B22,", ",$C22," ","Length",", Level ",$D22,"; "),"")</f>
        <v/>
      </c>
      <c r="K22" s="3016"/>
      <c r="L22" s="3026" t="s">
        <v>203</v>
      </c>
      <c r="M22" s="3024">
        <f t="shared" si="0"/>
        <v>0</v>
      </c>
      <c r="N22" s="3025"/>
      <c r="O22" s="3024">
        <f t="shared" si="1"/>
        <v>0</v>
      </c>
    </row>
    <row r="23" spans="2:15" x14ac:dyDescent="0.45">
      <c r="B23" s="3020" t="s">
        <v>225</v>
      </c>
      <c r="C23" s="2377" t="s">
        <v>204</v>
      </c>
      <c r="D23" s="3008" t="s">
        <v>205</v>
      </c>
      <c r="E23" s="3029" t="str">
        <f>IF(AND($E$6=1, ROUND(FTE_3_Part_time!$H18, 2)&lt;&gt;FTE_3_Part_time!$H18), CONCATENATE("Price group", " ", $B23, ", ", $C23, " ", "Length", ", Level ", $D23, "; "), "")</f>
        <v/>
      </c>
      <c r="F23" s="3222" t="str">
        <f>IF(AND($F$6=1,FTE_3_Part_time!$G18&lt;&gt;0,ABS(FTE_3_Part_time!$H18-FTE_3_Part_time!$G18)&lt;$F$10),CONCATENATE("Price group"," ",$B23,", ",$C23," ","Length",", Level ",$D23,"; "),"")</f>
        <v/>
      </c>
      <c r="G23" s="3027" t="str">
        <f>IF(AND($G$6=1,LEN(FTE_3_Part_time!$J18)&gt;2000), CONCATENATE("Price group", " ", $B23, ", ", $C23, " ", "Length", ", Level ", $D23, "; "), "")</f>
        <v/>
      </c>
      <c r="H23" s="3028" t="str">
        <f>IF(AND($H$6=1,OR(AND(FTE_3_Part_time!$H18=0,FTE_3_Part_time!$J18&lt;&gt;""),AND(FTE_3_Part_time!$H18&lt;&gt;0,FTE_3_Part_time!$J18=""))),CONCATENATE("Price group"," ",$B23,", ",$C23," ","Length",", Level ",$D23,"; "),"")</f>
        <v/>
      </c>
      <c r="I23" s="3029" t="str">
        <f>IF(AND($I$6=1,FTE_3_Part_time!$G18=0,OR(FTE_3_Part_time!$H18&lt;&gt;0,FTE_3_Part_time!$J18&lt;&gt;"")),CONCATENATE("Price group"," ",$B23,", ",$C23," ","Length",", Level ",$D23,"; "),"")</f>
        <v/>
      </c>
      <c r="K23" s="3016"/>
      <c r="L23" s="3026" t="s">
        <v>225</v>
      </c>
      <c r="M23" s="3024">
        <f t="shared" si="0"/>
        <v>0</v>
      </c>
      <c r="N23" s="3025"/>
      <c r="O23" s="3024">
        <f t="shared" si="1"/>
        <v>0</v>
      </c>
    </row>
    <row r="24" spans="2:15" x14ac:dyDescent="0.45">
      <c r="B24" s="3020" t="s">
        <v>225</v>
      </c>
      <c r="C24" s="2377" t="s">
        <v>204</v>
      </c>
      <c r="D24" s="3008" t="s">
        <v>208</v>
      </c>
      <c r="E24" s="3029" t="str">
        <f>IF(AND($E$6=1, ROUND(FTE_3_Part_time!$H19, 2)&lt;&gt;FTE_3_Part_time!$H19), CONCATENATE("Price group", " ", $B24, ", ", $C24, " ", "Length", ", Level ", $D24, "; "), "")</f>
        <v/>
      </c>
      <c r="F24" s="3028" t="str">
        <f>IF(AND($F$6=1,FTE_3_Part_time!$G19&lt;&gt;0,ABS(FTE_3_Part_time!$H19-FTE_3_Part_time!$G19)&lt;$F$10),CONCATENATE("Price group"," ",$B24,", ",$C24," ","Length",", Level ",$D24,"; "),"")</f>
        <v/>
      </c>
      <c r="G24" s="3027" t="str">
        <f>IF(AND($G$6=1,LEN(FTE_3_Part_time!$J19)&gt;2000), CONCATENATE("Price group", " ", $B24, ", ", $C24, " ", "Length", ", Level ", $D24, "; "), "")</f>
        <v/>
      </c>
      <c r="H24" s="3028" t="str">
        <f>IF(AND($H$6=1,OR(AND(FTE_3_Part_time!$H19=0,FTE_3_Part_time!$J19&lt;&gt;""),AND(FTE_3_Part_time!$H19&lt;&gt;0,FTE_3_Part_time!$J19=""))),CONCATENATE("Price group"," ",$B24,", ",$C24," ","Length",", Level ",$D24,"; "),"")</f>
        <v/>
      </c>
      <c r="I24" s="3029" t="str">
        <f>IF(AND($I$6=1,FTE_3_Part_time!$G19=0,OR(FTE_3_Part_time!$H19&lt;&gt;0,FTE_3_Part_time!$J19&lt;&gt;"")),CONCATENATE("Price group"," ",$B24,", ",$C24," ","Length",", Level ",$D24,"; "),"")</f>
        <v/>
      </c>
      <c r="K24" s="3016"/>
      <c r="L24" s="3026" t="s">
        <v>225</v>
      </c>
      <c r="M24" s="3024">
        <f t="shared" si="0"/>
        <v>0</v>
      </c>
      <c r="N24" s="3025"/>
      <c r="O24" s="3024">
        <f t="shared" si="1"/>
        <v>0</v>
      </c>
    </row>
    <row r="25" spans="2:15" x14ac:dyDescent="0.45">
      <c r="B25" s="3020" t="s">
        <v>225</v>
      </c>
      <c r="C25" s="2377" t="s">
        <v>204</v>
      </c>
      <c r="D25" s="3008" t="s">
        <v>210</v>
      </c>
      <c r="E25" s="3029" t="str">
        <f>IF(AND($E$6=1, ROUND(FTE_3_Part_time!$H20, 2)&lt;&gt;FTE_3_Part_time!$H20), CONCATENATE("Price group", " ", $B25, ", ", $C25, " ", "Length", ", Level ", $D25, "; "), "")</f>
        <v/>
      </c>
      <c r="F25" s="3028" t="str">
        <f>IF(AND($F$6=1,FTE_3_Part_time!$G20&lt;&gt;0,ABS(FTE_3_Part_time!$H20-FTE_3_Part_time!$G20)&lt;$F$10),CONCATENATE("Price group"," ",$B25,", ",$C25," ","Length",", Level ",$D25,"; "),"")</f>
        <v/>
      </c>
      <c r="G25" s="3027" t="str">
        <f>IF(AND($G$6=1,LEN(FTE_3_Part_time!$J20)&gt;2000), CONCATENATE("Price group", " ", $B25, ", ", $C25, " ", "Length", ", Level ", $D25, "; "), "")</f>
        <v/>
      </c>
      <c r="H25" s="3028" t="str">
        <f>IF(AND($H$6=1,OR(AND(FTE_3_Part_time!$H20=0,FTE_3_Part_time!$J20&lt;&gt;""),AND(FTE_3_Part_time!$H20&lt;&gt;0,FTE_3_Part_time!$J20=""))),CONCATENATE("Price group"," ",$B25,", ",$C25," ","Length",", Level ",$D25,"; "),"")</f>
        <v/>
      </c>
      <c r="I25" s="3029" t="str">
        <f>IF(AND($I$6=1,FTE_3_Part_time!$G20=0,OR(FTE_3_Part_time!$H20&lt;&gt;0,FTE_3_Part_time!$J20&lt;&gt;"")),CONCATENATE("Price group"," ",$B25,", ",$C25," ","Length",", Level ",$D25,"; "),"")</f>
        <v/>
      </c>
      <c r="K25" s="3016"/>
      <c r="L25" s="3026" t="s">
        <v>225</v>
      </c>
      <c r="M25" s="3024">
        <f t="shared" si="0"/>
        <v>0</v>
      </c>
      <c r="N25" s="3025"/>
      <c r="O25" s="3024">
        <f t="shared" si="1"/>
        <v>0</v>
      </c>
    </row>
    <row r="26" spans="2:15" x14ac:dyDescent="0.45">
      <c r="B26" s="3020" t="s">
        <v>225</v>
      </c>
      <c r="C26" s="2377" t="s">
        <v>204</v>
      </c>
      <c r="D26" s="3008" t="s">
        <v>212</v>
      </c>
      <c r="E26" s="3029" t="str">
        <f>IF(AND($E$6=1, ROUND(FTE_3_Part_time!$H21, 2)&lt;&gt;FTE_3_Part_time!$H21), CONCATENATE("Price group", " ", $B26, ", ", $C26, " ", "Length", ", Level ", $D26, "; "), "")</f>
        <v/>
      </c>
      <c r="F26" s="3028" t="str">
        <f>IF(AND($F$6=1,FTE_3_Part_time!$G21&lt;&gt;0,ABS(FTE_3_Part_time!$H21-FTE_3_Part_time!$G21)&lt;$F$10),CONCATENATE("Price group"," ",$B26,", ",$C26," ","Length",", Level ",$D26,"; "),"")</f>
        <v/>
      </c>
      <c r="G26" s="3027" t="str">
        <f>IF(AND($G$6=1,LEN(FTE_3_Part_time!$J21)&gt;2000), CONCATENATE("Price group", " ", $B26, ", ", $C26, " ", "Length", ", Level ", $D26, "; "), "")</f>
        <v/>
      </c>
      <c r="H26" s="3028" t="str">
        <f>IF(AND($H$6=1,OR(AND(FTE_3_Part_time!$H21=0,FTE_3_Part_time!$J21&lt;&gt;""),AND(FTE_3_Part_time!$H21&lt;&gt;0,FTE_3_Part_time!$J21=""))),CONCATENATE("Price group"," ",$B26,", ",$C26," ","Length",", Level ",$D26,"; "),"")</f>
        <v/>
      </c>
      <c r="I26" s="3029" t="str">
        <f>IF(AND($I$6=1,FTE_3_Part_time!$G21=0,OR(FTE_3_Part_time!$H21&lt;&gt;0,FTE_3_Part_time!$J21&lt;&gt;"")),CONCATENATE("Price group"," ",$B26,", ",$C26," ","Length",", Level ",$D26,"; "),"")</f>
        <v/>
      </c>
      <c r="K26" s="3016"/>
      <c r="L26" s="3026" t="s">
        <v>225</v>
      </c>
      <c r="M26" s="3024">
        <f t="shared" si="0"/>
        <v>0</v>
      </c>
      <c r="N26" s="3025"/>
      <c r="O26" s="3024">
        <f t="shared" si="1"/>
        <v>0</v>
      </c>
    </row>
    <row r="27" spans="2:15" x14ac:dyDescent="0.45">
      <c r="B27" s="3020" t="s">
        <v>225</v>
      </c>
      <c r="C27" s="2377" t="s">
        <v>204</v>
      </c>
      <c r="D27" s="3008" t="s">
        <v>214</v>
      </c>
      <c r="E27" s="3029" t="str">
        <f>IF(AND($E$6=1, ROUND(FTE_3_Part_time!$H22, 2)&lt;&gt;FTE_3_Part_time!$H22), CONCATENATE("Price group", " ", $B27, ", ", $C27, " ", "Length", ", Level ", $D27, "; "), "")</f>
        <v/>
      </c>
      <c r="F27" s="3028" t="str">
        <f>IF(AND($F$6=1,FTE_3_Part_time!$G22&lt;&gt;0,ABS(FTE_3_Part_time!$H22-FTE_3_Part_time!$G22)&lt;$F$10),CONCATENATE("Price group"," ",$B27,", ",$C27," ","Length",", Level ",$D27,"; "),"")</f>
        <v/>
      </c>
      <c r="G27" s="3027" t="str">
        <f>IF(AND($G$6=1,LEN(FTE_3_Part_time!$J22)&gt;2000), CONCATENATE("Price group", " ", $B27, ", ", $C27, " ", "Length", ", Level ", $D27, "; "), "")</f>
        <v/>
      </c>
      <c r="H27" s="3028" t="str">
        <f>IF(AND($H$6=1,OR(AND(FTE_3_Part_time!$H22=0,FTE_3_Part_time!$J22&lt;&gt;""),AND(FTE_3_Part_time!$H22&lt;&gt;0,FTE_3_Part_time!$J22=""))),CONCATENATE("Price group"," ",$B27,", ",$C27," ","Length",", Level ",$D27,"; "),"")</f>
        <v/>
      </c>
      <c r="I27" s="3029" t="str">
        <f>IF(AND($I$6=1,FTE_3_Part_time!$G22=0,OR(FTE_3_Part_time!$H22&lt;&gt;0,FTE_3_Part_time!$J22&lt;&gt;"")),CONCATENATE("Price group"," ",$B27,", ",$C27," ","Length",", Level ",$D27,"; "),"")</f>
        <v/>
      </c>
      <c r="K27" s="3016"/>
      <c r="L27" s="3026" t="s">
        <v>225</v>
      </c>
      <c r="M27" s="3024">
        <f t="shared" si="0"/>
        <v>0</v>
      </c>
      <c r="N27" s="3025"/>
      <c r="O27" s="3024">
        <f t="shared" si="1"/>
        <v>0</v>
      </c>
    </row>
    <row r="28" spans="2:15" x14ac:dyDescent="0.45">
      <c r="B28" s="3020" t="s">
        <v>225</v>
      </c>
      <c r="C28" s="2377" t="s">
        <v>218</v>
      </c>
      <c r="D28" s="3008" t="s">
        <v>205</v>
      </c>
      <c r="E28" s="3029" t="str">
        <f>IF(AND($E$6=1, ROUND(FTE_3_Part_time!$H23, 2)&lt;&gt;FTE_3_Part_time!$H23), CONCATENATE("Price group", " ", $B28, ", ", $C28, " ", "Length", ", Level ", $D28, "; "), "")</f>
        <v/>
      </c>
      <c r="F28" s="3028" t="str">
        <f>IF(AND($F$6=1,FTE_3_Part_time!$G23&lt;&gt;0,ABS(FTE_3_Part_time!$H23-FTE_3_Part_time!$G23)&lt;$F$10),CONCATENATE("Price group"," ",$B28,", ",$C28," ","Length",", Level ",$D28,"; "),"")</f>
        <v/>
      </c>
      <c r="G28" s="3027" t="str">
        <f>IF(AND($G$6=1,LEN(FTE_3_Part_time!$J23)&gt;2000), CONCATENATE("Price group", " ", $B28, ", ", $C28, " ", "Length", ", Level ", $D28, "; "), "")</f>
        <v/>
      </c>
      <c r="H28" s="3028" t="str">
        <f>IF(AND($H$6=1,OR(AND(FTE_3_Part_time!$H23=0,FTE_3_Part_time!$J23&lt;&gt;""),AND(FTE_3_Part_time!$H23&lt;&gt;0,FTE_3_Part_time!$J23=""))),CONCATENATE("Price group"," ",$B28,", ",$C28," ","Length",", Level ",$D28,"; "),"")</f>
        <v/>
      </c>
      <c r="I28" s="3029" t="str">
        <f>IF(AND($I$6=1,FTE_3_Part_time!$G23=0,OR(FTE_3_Part_time!$H23&lt;&gt;0,FTE_3_Part_time!$J23&lt;&gt;"")),CONCATENATE("Price group"," ",$B28,", ",$C28," ","Length",", Level ",$D28,"; "),"")</f>
        <v/>
      </c>
      <c r="K28" s="3016"/>
      <c r="L28" s="3026" t="s">
        <v>225</v>
      </c>
      <c r="M28" s="3024">
        <f t="shared" si="0"/>
        <v>0</v>
      </c>
      <c r="N28" s="3025"/>
      <c r="O28" s="3024">
        <f t="shared" si="1"/>
        <v>0</v>
      </c>
    </row>
    <row r="29" spans="2:15" x14ac:dyDescent="0.45">
      <c r="B29" s="3020" t="s">
        <v>225</v>
      </c>
      <c r="C29" s="2377" t="s">
        <v>218</v>
      </c>
      <c r="D29" s="3008" t="s">
        <v>208</v>
      </c>
      <c r="E29" s="3029" t="str">
        <f>IF(AND($E$6=1, ROUND(FTE_3_Part_time!$H24, 2)&lt;&gt;FTE_3_Part_time!$H24), CONCATENATE("Price group", " ", $B29, ", ", $C29, " ", "Length", ", Level ", $D29, "; "), "")</f>
        <v/>
      </c>
      <c r="F29" s="3028" t="str">
        <f>IF(AND($F$6=1,FTE_3_Part_time!$G24&lt;&gt;0,ABS(FTE_3_Part_time!$H24-FTE_3_Part_time!$G24)&lt;$F$10),CONCATENATE("Price group"," ",$B29,", ",$C29," ","Length",", Level ",$D29,"; "),"")</f>
        <v/>
      </c>
      <c r="G29" s="3027" t="str">
        <f>IF(AND($G$6=1,LEN(FTE_3_Part_time!$J24)&gt;2000), CONCATENATE("Price group", " ", $B29, ", ", $C29, " ", "Length", ", Level ", $D29, "; "), "")</f>
        <v/>
      </c>
      <c r="H29" s="3028" t="str">
        <f>IF(AND($H$6=1,OR(AND(FTE_3_Part_time!$H24=0,FTE_3_Part_time!$J24&lt;&gt;""),AND(FTE_3_Part_time!$H24&lt;&gt;0,FTE_3_Part_time!$J24=""))),CONCATENATE("Price group"," ",$B29,", ",$C29," ","Length",", Level ",$D29,"; "),"")</f>
        <v/>
      </c>
      <c r="I29" s="3029" t="str">
        <f>IF(AND($I$6=1,FTE_3_Part_time!$G24=0,OR(FTE_3_Part_time!$H24&lt;&gt;0,FTE_3_Part_time!$J24&lt;&gt;"")),CONCATENATE("Price group"," ",$B29,", ",$C29," ","Length",", Level ",$D29,"; "),"")</f>
        <v/>
      </c>
      <c r="K29" s="3016"/>
      <c r="L29" s="3026" t="s">
        <v>225</v>
      </c>
      <c r="M29" s="3024">
        <f t="shared" si="0"/>
        <v>0</v>
      </c>
      <c r="N29" s="3025"/>
      <c r="O29" s="3024">
        <f t="shared" si="1"/>
        <v>0</v>
      </c>
    </row>
    <row r="30" spans="2:15" x14ac:dyDescent="0.45">
      <c r="B30" s="3020" t="s">
        <v>225</v>
      </c>
      <c r="C30" s="2377" t="s">
        <v>218</v>
      </c>
      <c r="D30" s="3008" t="s">
        <v>210</v>
      </c>
      <c r="E30" s="3029" t="str">
        <f>IF(AND($E$6=1, ROUND(FTE_3_Part_time!$H25, 2)&lt;&gt;FTE_3_Part_time!$H25), CONCATENATE("Price group", " ", $B30, ", ", $C30, " ", "Length", ", Level ", $D30, "; "), "")</f>
        <v/>
      </c>
      <c r="F30" s="3028" t="str">
        <f>IF(AND($F$6=1,FTE_3_Part_time!$G25&lt;&gt;0,ABS(FTE_3_Part_time!$H25-FTE_3_Part_time!$G25)&lt;$F$10),CONCATENATE("Price group"," ",$B30,", ",$C30," ","Length",", Level ",$D30,"; "),"")</f>
        <v/>
      </c>
      <c r="G30" s="3027" t="str">
        <f>IF(AND($G$6=1,LEN(FTE_3_Part_time!$J25)&gt;2000), CONCATENATE("Price group", " ", $B30, ", ", $C30, " ", "Length", ", Level ", $D30, "; "), "")</f>
        <v/>
      </c>
      <c r="H30" s="3028" t="str">
        <f>IF(AND($H$6=1,OR(AND(FTE_3_Part_time!$H25=0,FTE_3_Part_time!$J25&lt;&gt;""),AND(FTE_3_Part_time!$H25&lt;&gt;0,FTE_3_Part_time!$J25=""))),CONCATENATE("Price group"," ",$B30,", ",$C30," ","Length",", Level ",$D30,"; "),"")</f>
        <v/>
      </c>
      <c r="I30" s="3029" t="str">
        <f>IF(AND($I$6=1,FTE_3_Part_time!$G25=0,OR(FTE_3_Part_time!$H25&lt;&gt;0,FTE_3_Part_time!$J25&lt;&gt;"")),CONCATENATE("Price group"," ",$B30,", ",$C30," ","Length",", Level ",$D30,"; "),"")</f>
        <v/>
      </c>
      <c r="K30" s="3016"/>
      <c r="L30" s="3026" t="s">
        <v>225</v>
      </c>
      <c r="M30" s="3024">
        <f t="shared" si="0"/>
        <v>0</v>
      </c>
      <c r="N30" s="3025"/>
      <c r="O30" s="3024">
        <f t="shared" si="1"/>
        <v>0</v>
      </c>
    </row>
    <row r="31" spans="2:15" x14ac:dyDescent="0.45">
      <c r="B31" s="3020" t="s">
        <v>225</v>
      </c>
      <c r="C31" s="2377" t="s">
        <v>218</v>
      </c>
      <c r="D31" s="3008" t="s">
        <v>212</v>
      </c>
      <c r="E31" s="3029" t="str">
        <f>IF(AND($E$6=1, ROUND(FTE_3_Part_time!$H26, 2)&lt;&gt;FTE_3_Part_time!$H26), CONCATENATE("Price group", " ", $B31, ", ", $C31, " ", "Length", ", Level ", $D31, "; "), "")</f>
        <v/>
      </c>
      <c r="F31" s="3028" t="str">
        <f>IF(AND($F$6=1,FTE_3_Part_time!$G26&lt;&gt;0,ABS(FTE_3_Part_time!$H26-FTE_3_Part_time!$G26)&lt;$F$10),CONCATENATE("Price group"," ",$B31,", ",$C31," ","Length",", Level ",$D31,"; "),"")</f>
        <v/>
      </c>
      <c r="G31" s="3027" t="str">
        <f>IF(AND($G$6=1,LEN(FTE_3_Part_time!$J26)&gt;2000), CONCATENATE("Price group", " ", $B31, ", ", $C31, " ", "Length", ", Level ", $D31, "; "), "")</f>
        <v/>
      </c>
      <c r="H31" s="3028" t="str">
        <f>IF(AND($H$6=1,OR(AND(FTE_3_Part_time!$H26=0,FTE_3_Part_time!$J26&lt;&gt;""),AND(FTE_3_Part_time!$H26&lt;&gt;0,FTE_3_Part_time!$J26=""))),CONCATENATE("Price group"," ",$B31,", ",$C31," ","Length",", Level ",$D31,"; "),"")</f>
        <v/>
      </c>
      <c r="I31" s="3029" t="str">
        <f>IF(AND($I$6=1,FTE_3_Part_time!$G26=0,OR(FTE_3_Part_time!$H26&lt;&gt;0,FTE_3_Part_time!$J26&lt;&gt;"")),CONCATENATE("Price group"," ",$B31,", ",$C31," ","Length",", Level ",$D31,"; "),"")</f>
        <v/>
      </c>
      <c r="K31" s="3016"/>
      <c r="L31" s="3026" t="s">
        <v>225</v>
      </c>
      <c r="M31" s="3024">
        <f t="shared" si="0"/>
        <v>0</v>
      </c>
      <c r="N31" s="3025"/>
      <c r="O31" s="3024">
        <f t="shared" si="1"/>
        <v>0</v>
      </c>
    </row>
    <row r="32" spans="2:15" x14ac:dyDescent="0.45">
      <c r="B32" s="3032" t="s">
        <v>225</v>
      </c>
      <c r="C32" s="3031" t="s">
        <v>218</v>
      </c>
      <c r="D32" s="3030" t="s">
        <v>214</v>
      </c>
      <c r="E32" s="3029" t="str">
        <f>IF(AND($E$6=1, ROUND(FTE_3_Part_time!$H27, 2)&lt;&gt;FTE_3_Part_time!$H27), CONCATENATE("Price group", " ", $B32, ", ", $C32, " ", "Length", ", Level ", $D32, "; "), "")</f>
        <v/>
      </c>
      <c r="F32" s="3028" t="str">
        <f>IF(AND($F$6=1,FTE_3_Part_time!$G27&lt;&gt;0,ABS(FTE_3_Part_time!$H27-FTE_3_Part_time!$G27)&lt;$F$10),CONCATENATE("Price group"," ",$B32,", ",$C32," ","Length",", Level ",$D32,"; "),"")</f>
        <v/>
      </c>
      <c r="G32" s="3027" t="str">
        <f>IF(AND($G$6=1,LEN(FTE_3_Part_time!$J27)&gt;2000), CONCATENATE("Price group", " ", $B32, ", ", $C32, " ", "Length", ", Level ", $D32, "; "), "")</f>
        <v/>
      </c>
      <c r="H32" s="3028" t="str">
        <f>IF(AND($H$6=1,OR(AND(FTE_3_Part_time!$H27=0,FTE_3_Part_time!$J27&lt;&gt;""),AND(FTE_3_Part_time!$H27&lt;&gt;0,FTE_3_Part_time!$J27=""))),CONCATENATE("Price group"," ",$B32,", ",$C32," ","Length",", Level ",$D32,"; "),"")</f>
        <v/>
      </c>
      <c r="I32" s="3029" t="str">
        <f>IF(AND($I$6=1,FTE_3_Part_time!$G27=0,OR(FTE_3_Part_time!$H27&lt;&gt;0,FTE_3_Part_time!$J27&lt;&gt;"")),CONCATENATE("Price group"," ",$B32,", ",$C32," ","Length",", Level ",$D32,"; "),"")</f>
        <v/>
      </c>
      <c r="K32" s="3016"/>
      <c r="L32" s="3026" t="s">
        <v>225</v>
      </c>
      <c r="M32" s="3024">
        <f t="shared" si="0"/>
        <v>0</v>
      </c>
      <c r="N32" s="3025"/>
      <c r="O32" s="3024">
        <f t="shared" si="1"/>
        <v>0</v>
      </c>
    </row>
    <row r="33" spans="2:15" x14ac:dyDescent="0.45">
      <c r="B33" s="3020" t="s">
        <v>238</v>
      </c>
      <c r="C33" s="2377" t="s">
        <v>204</v>
      </c>
      <c r="D33" s="3008" t="s">
        <v>205</v>
      </c>
      <c r="E33" s="3029" t="str">
        <f>IF(AND($E$6=1, ROUND(FTE_3_Part_time!$H28, 2)&lt;&gt;FTE_3_Part_time!$H28), CONCATENATE("Price group", " ", $B33, ", ", $C33, " ", "Length", ", Level ", $D33, "; "), "")</f>
        <v/>
      </c>
      <c r="F33" s="3028" t="str">
        <f>IF(AND($F$6=1,FTE_3_Part_time!$G28&lt;&gt;0,ABS(FTE_3_Part_time!$H28-FTE_3_Part_time!$G28)&lt;$F$10),CONCATENATE("Price group"," ",$B33,", ",$C33," ","Length",", Level ",$D33,"; "),"")</f>
        <v/>
      </c>
      <c r="G33" s="3027" t="str">
        <f>IF(AND($G$6=1,LEN(FTE_3_Part_time!$J28)&gt;2000), CONCATENATE("Price group", " ", $B33, ", ", $C33, " ", "Length", ", Level ", $D33, "; "), "")</f>
        <v/>
      </c>
      <c r="H33" s="3028" t="str">
        <f>IF(AND($H$6=1,OR(AND(FTE_3_Part_time!$H28=0,FTE_3_Part_time!$J28&lt;&gt;""),AND(FTE_3_Part_time!$H28&lt;&gt;0,FTE_3_Part_time!$J28=""))),CONCATENATE("Price group"," ",$B33,", ",$C33," ","Length",", Level ",$D33,"; "),"")</f>
        <v/>
      </c>
      <c r="I33" s="3029" t="str">
        <f>IF(AND($I$6=1,FTE_3_Part_time!$G28=0,OR(FTE_3_Part_time!$H28&lt;&gt;0,FTE_3_Part_time!$J28&lt;&gt;"")),CONCATENATE("Price group"," ",$B33,", ",$C33," ","Length",", Level ",$D33,"; "),"")</f>
        <v/>
      </c>
      <c r="K33" s="3016"/>
      <c r="L33" s="3026" t="s">
        <v>238</v>
      </c>
      <c r="M33" s="3024">
        <f t="shared" si="0"/>
        <v>0</v>
      </c>
      <c r="N33" s="3025"/>
      <c r="O33" s="3024">
        <f t="shared" si="1"/>
        <v>0</v>
      </c>
    </row>
    <row r="34" spans="2:15" x14ac:dyDescent="0.45">
      <c r="B34" s="3020" t="s">
        <v>238</v>
      </c>
      <c r="C34" s="2377" t="s">
        <v>204</v>
      </c>
      <c r="D34" s="3008" t="s">
        <v>208</v>
      </c>
      <c r="E34" s="3029" t="str">
        <f>IF(AND($E$6=1, ROUND(FTE_3_Part_time!$H29, 2)&lt;&gt;FTE_3_Part_time!$H29), CONCATENATE("Price group", " ", $B34, ", ", $C34, " ", "Length", ", Level ", $D34, "; "), "")</f>
        <v/>
      </c>
      <c r="F34" s="3028" t="str">
        <f>IF(AND($F$6=1,FTE_3_Part_time!$G29&lt;&gt;0,ABS(FTE_3_Part_time!$H29-FTE_3_Part_time!$G29)&lt;$F$10),CONCATENATE("Price group"," ",$B34,", ",$C34," ","Length",", Level ",$D34,"; "),"")</f>
        <v/>
      </c>
      <c r="G34" s="3027" t="str">
        <f>IF(AND($G$6=1,LEN(FTE_3_Part_time!$J29)&gt;2000), CONCATENATE("Price group", " ", $B34, ", ", $C34, " ", "Length", ", Level ", $D34, "; "), "")</f>
        <v/>
      </c>
      <c r="H34" s="3028" t="str">
        <f>IF(AND($H$6=1,OR(AND(FTE_3_Part_time!$H29=0,FTE_3_Part_time!$J29&lt;&gt;""),AND(FTE_3_Part_time!$H29&lt;&gt;0,FTE_3_Part_time!$J29=""))),CONCATENATE("Price group"," ",$B34,", ",$C34," ","Length",", Level ",$D34,"; "),"")</f>
        <v/>
      </c>
      <c r="I34" s="3029" t="str">
        <f>IF(AND($I$6=1,FTE_3_Part_time!$G29=0,OR(FTE_3_Part_time!$H29&lt;&gt;0,FTE_3_Part_time!$J29&lt;&gt;"")),CONCATENATE("Price group"," ",$B34,", ",$C34," ","Length",", Level ",$D34,"; "),"")</f>
        <v/>
      </c>
      <c r="K34" s="3016"/>
      <c r="L34" s="3026" t="s">
        <v>238</v>
      </c>
      <c r="M34" s="3024">
        <f t="shared" si="0"/>
        <v>0</v>
      </c>
      <c r="N34" s="3025"/>
      <c r="O34" s="3024">
        <f t="shared" si="1"/>
        <v>0</v>
      </c>
    </row>
    <row r="35" spans="2:15" x14ac:dyDescent="0.45">
      <c r="B35" s="3020" t="s">
        <v>238</v>
      </c>
      <c r="C35" s="2377" t="s">
        <v>204</v>
      </c>
      <c r="D35" s="3008" t="s">
        <v>210</v>
      </c>
      <c r="E35" s="3029" t="str">
        <f>IF(AND($E$6=1, ROUND(FTE_3_Part_time!$H30, 2)&lt;&gt;FTE_3_Part_time!$H30), CONCATENATE("Price group", " ", $B35, ", ", $C35, " ", "Length", ", Level ", $D35, "; "), "")</f>
        <v/>
      </c>
      <c r="F35" s="3028" t="str">
        <f>IF(AND($F$6=1,FTE_3_Part_time!$G30&lt;&gt;0,ABS(FTE_3_Part_time!$H30-FTE_3_Part_time!$G30)&lt;$F$10),CONCATENATE("Price group"," ",$B35,", ",$C35," ","Length",", Level ",$D35,"; "),"")</f>
        <v/>
      </c>
      <c r="G35" s="3027" t="str">
        <f>IF(AND($G$6=1,LEN(FTE_3_Part_time!$J30)&gt;2000), CONCATENATE("Price group", " ", $B35, ", ", $C35, " ", "Length", ", Level ", $D35, "; "), "")</f>
        <v/>
      </c>
      <c r="H35" s="3028" t="str">
        <f>IF(AND($H$6=1,OR(AND(FTE_3_Part_time!$H30=0,FTE_3_Part_time!$J30&lt;&gt;""),AND(FTE_3_Part_time!$H30&lt;&gt;0,FTE_3_Part_time!$J30=""))),CONCATENATE("Price group"," ",$B35,", ",$C35," ","Length",", Level ",$D35,"; "),"")</f>
        <v/>
      </c>
      <c r="I35" s="3029" t="str">
        <f>IF(AND($I$6=1,FTE_3_Part_time!$G30=0,OR(FTE_3_Part_time!$H30&lt;&gt;0,FTE_3_Part_time!$J30&lt;&gt;"")),CONCATENATE("Price group"," ",$B35,", ",$C35," ","Length",", Level ",$D35,"; "),"")</f>
        <v/>
      </c>
      <c r="K35" s="3016"/>
      <c r="L35" s="3026" t="s">
        <v>238</v>
      </c>
      <c r="M35" s="3024">
        <f t="shared" si="0"/>
        <v>0</v>
      </c>
      <c r="N35" s="3025"/>
      <c r="O35" s="3024">
        <f t="shared" si="1"/>
        <v>0</v>
      </c>
    </row>
    <row r="36" spans="2:15" x14ac:dyDescent="0.45">
      <c r="B36" s="3020" t="s">
        <v>238</v>
      </c>
      <c r="C36" s="2377" t="s">
        <v>204</v>
      </c>
      <c r="D36" s="3008" t="s">
        <v>212</v>
      </c>
      <c r="E36" s="3029" t="str">
        <f>IF(AND($E$6=1, ROUND(FTE_3_Part_time!$H31, 2)&lt;&gt;FTE_3_Part_time!$H31), CONCATENATE("Price group", " ", $B36, ", ", $C36, " ", "Length", ", Level ", $D36, "; "), "")</f>
        <v/>
      </c>
      <c r="F36" s="3028" t="str">
        <f>IF(AND($F$6=1,FTE_3_Part_time!$G31&lt;&gt;0,ABS(FTE_3_Part_time!$H31-FTE_3_Part_time!$G31)&lt;$F$10),CONCATENATE("Price group"," ",$B36,", ",$C36," ","Length",", Level ",$D36,"; "),"")</f>
        <v/>
      </c>
      <c r="G36" s="3027" t="str">
        <f>IF(AND($G$6=1,LEN(FTE_3_Part_time!$J31)&gt;2000), CONCATENATE("Price group", " ", $B36, ", ", $C36, " ", "Length", ", Level ", $D36, "; "), "")</f>
        <v/>
      </c>
      <c r="H36" s="3028" t="str">
        <f>IF(AND($H$6=1,OR(AND(FTE_3_Part_time!$H31=0,FTE_3_Part_time!$J31&lt;&gt;""),AND(FTE_3_Part_time!$H31&lt;&gt;0,FTE_3_Part_time!$J31=""))),CONCATENATE("Price group"," ",$B36,", ",$C36," ","Length",", Level ",$D36,"; "),"")</f>
        <v/>
      </c>
      <c r="I36" s="3029" t="str">
        <f>IF(AND($I$6=1,FTE_3_Part_time!$G31=0,OR(FTE_3_Part_time!$H31&lt;&gt;0,FTE_3_Part_time!$J31&lt;&gt;"")),CONCATENATE("Price group"," ",$B36,", ",$C36," ","Length",", Level ",$D36,"; "),"")</f>
        <v/>
      </c>
      <c r="K36" s="3016"/>
      <c r="L36" s="3026" t="s">
        <v>238</v>
      </c>
      <c r="M36" s="3024">
        <f t="shared" si="0"/>
        <v>0</v>
      </c>
      <c r="N36" s="3025"/>
      <c r="O36" s="3024">
        <f t="shared" si="1"/>
        <v>0</v>
      </c>
    </row>
    <row r="37" spans="2:15" x14ac:dyDescent="0.45">
      <c r="B37" s="3020" t="s">
        <v>238</v>
      </c>
      <c r="C37" s="2377" t="s">
        <v>204</v>
      </c>
      <c r="D37" s="3008" t="s">
        <v>214</v>
      </c>
      <c r="E37" s="3029" t="str">
        <f>IF(AND($E$6=1, ROUND(FTE_3_Part_time!$H32, 2)&lt;&gt;FTE_3_Part_time!$H32), CONCATENATE("Price group", " ", $B37, ", ", $C37, " ", "Length", ", Level ", $D37, "; "), "")</f>
        <v/>
      </c>
      <c r="F37" s="3028" t="str">
        <f>IF(AND($F$6=1,FTE_3_Part_time!$G32&lt;&gt;0,ABS(FTE_3_Part_time!$H32-FTE_3_Part_time!$G32)&lt;$F$10),CONCATENATE("Price group"," ",$B37,", ",$C37," ","Length",", Level ",$D37,"; "),"")</f>
        <v/>
      </c>
      <c r="G37" s="3027" t="str">
        <f>IF(AND($G$6=1,LEN(FTE_3_Part_time!$J32)&gt;2000), CONCATENATE("Price group", " ", $B37, ", ", $C37, " ", "Length", ", Level ", $D37, "; "), "")</f>
        <v/>
      </c>
      <c r="H37" s="3028" t="str">
        <f>IF(AND($H$6=1,OR(AND(FTE_3_Part_time!$H32=0,FTE_3_Part_time!$J32&lt;&gt;""),AND(FTE_3_Part_time!$H32&lt;&gt;0,FTE_3_Part_time!$J32=""))),CONCATENATE("Price group"," ",$B37,", ",$C37," ","Length",", Level ",$D37,"; "),"")</f>
        <v/>
      </c>
      <c r="I37" s="3029" t="str">
        <f>IF(AND($I$6=1,FTE_3_Part_time!$G32=0,OR(FTE_3_Part_time!$H32&lt;&gt;0,FTE_3_Part_time!$J32&lt;&gt;"")),CONCATENATE("Price group"," ",$B37,", ",$C37," ","Length",", Level ",$D37,"; "),"")</f>
        <v/>
      </c>
      <c r="K37" s="3016"/>
      <c r="L37" s="3026" t="s">
        <v>238</v>
      </c>
      <c r="M37" s="3024">
        <f t="shared" si="0"/>
        <v>0</v>
      </c>
      <c r="N37" s="3025"/>
      <c r="O37" s="3024">
        <f t="shared" si="1"/>
        <v>0</v>
      </c>
    </row>
    <row r="38" spans="2:15" x14ac:dyDescent="0.45">
      <c r="B38" s="3020" t="s">
        <v>238</v>
      </c>
      <c r="C38" s="2377" t="s">
        <v>218</v>
      </c>
      <c r="D38" s="3008" t="s">
        <v>205</v>
      </c>
      <c r="E38" s="3029" t="str">
        <f>IF(AND($E$6=1, ROUND(FTE_3_Part_time!$H33, 2)&lt;&gt;FTE_3_Part_time!$H33), CONCATENATE("Price group", " ", $B38, ", ", $C38, " ", "Length", ", Level ", $D38, "; "), "")</f>
        <v/>
      </c>
      <c r="F38" s="3028" t="str">
        <f>IF(AND($F$6=1,FTE_3_Part_time!$G33&lt;&gt;0,ABS(FTE_3_Part_time!$H33-FTE_3_Part_time!$G33)&lt;$F$10),CONCATENATE("Price group"," ",$B38,", ",$C38," ","Length",", Level ",$D38,"; "),"")</f>
        <v/>
      </c>
      <c r="G38" s="3027" t="str">
        <f>IF(AND($G$6=1,LEN(FTE_3_Part_time!$J33)&gt;2000), CONCATENATE("Price group", " ", $B38, ", ", $C38, " ", "Length", ", Level ", $D38, "; "), "")</f>
        <v/>
      </c>
      <c r="H38" s="3028" t="str">
        <f>IF(AND($H$6=1,OR(AND(FTE_3_Part_time!$H33=0,FTE_3_Part_time!$J33&lt;&gt;""),AND(FTE_3_Part_time!$H33&lt;&gt;0,FTE_3_Part_time!$J33=""))),CONCATENATE("Price group"," ",$B38,", ",$C38," ","Length",", Level ",$D38,"; "),"")</f>
        <v/>
      </c>
      <c r="I38" s="3029" t="str">
        <f>IF(AND($I$6=1,FTE_3_Part_time!$G33=0,OR(FTE_3_Part_time!$H33&lt;&gt;0,FTE_3_Part_time!$J33&lt;&gt;"")),CONCATENATE("Price group"," ",$B38,", ",$C38," ","Length",", Level ",$D38,"; "),"")</f>
        <v/>
      </c>
      <c r="K38" s="3016"/>
      <c r="L38" s="3026" t="s">
        <v>238</v>
      </c>
      <c r="M38" s="3024">
        <f t="shared" si="0"/>
        <v>0</v>
      </c>
      <c r="N38" s="3025"/>
      <c r="O38" s="3024">
        <f t="shared" si="1"/>
        <v>0</v>
      </c>
    </row>
    <row r="39" spans="2:15" x14ac:dyDescent="0.45">
      <c r="B39" s="3020" t="s">
        <v>238</v>
      </c>
      <c r="C39" s="2377" t="s">
        <v>218</v>
      </c>
      <c r="D39" s="3008" t="s">
        <v>208</v>
      </c>
      <c r="E39" s="3029" t="str">
        <f>IF(AND($E$6=1, ROUND(FTE_3_Part_time!$H34, 2)&lt;&gt;FTE_3_Part_time!$H34), CONCATENATE("Price group", " ", $B39, ", ", $C39, " ", "Length", ", Level ", $D39, "; "), "")</f>
        <v/>
      </c>
      <c r="F39" s="3028" t="str">
        <f>IF(AND($F$6=1,FTE_3_Part_time!$G34&lt;&gt;0,ABS(FTE_3_Part_time!$H34-FTE_3_Part_time!$G34)&lt;$F$10),CONCATENATE("Price group"," ",$B39,", ",$C39," ","Length",", Level ",$D39,"; "),"")</f>
        <v/>
      </c>
      <c r="G39" s="3027" t="str">
        <f>IF(AND($G$6=1,LEN(FTE_3_Part_time!$J34)&gt;2000), CONCATENATE("Price group", " ", $B39, ", ", $C39, " ", "Length", ", Level ", $D39, "; "), "")</f>
        <v/>
      </c>
      <c r="H39" s="3028" t="str">
        <f>IF(AND($H$6=1,OR(AND(FTE_3_Part_time!$H34=0,FTE_3_Part_time!$J34&lt;&gt;""),AND(FTE_3_Part_time!$H34&lt;&gt;0,FTE_3_Part_time!$J34=""))),CONCATENATE("Price group"," ",$B39,", ",$C39," ","Length",", Level ",$D39,"; "),"")</f>
        <v/>
      </c>
      <c r="I39" s="3029" t="str">
        <f>IF(AND($I$6=1,FTE_3_Part_time!$G34=0,OR(FTE_3_Part_time!$H34&lt;&gt;0,FTE_3_Part_time!$J34&lt;&gt;"")),CONCATENATE("Price group"," ",$B39,", ",$C39," ","Length",", Level ",$D39,"; "),"")</f>
        <v/>
      </c>
      <c r="K39" s="3016"/>
      <c r="L39" s="3026" t="s">
        <v>238</v>
      </c>
      <c r="M39" s="3024">
        <f t="shared" si="0"/>
        <v>0</v>
      </c>
      <c r="N39" s="3025"/>
      <c r="O39" s="3024">
        <f t="shared" si="1"/>
        <v>0</v>
      </c>
    </row>
    <row r="40" spans="2:15" x14ac:dyDescent="0.45">
      <c r="B40" s="3020" t="s">
        <v>238</v>
      </c>
      <c r="C40" s="2377" t="s">
        <v>218</v>
      </c>
      <c r="D40" s="3008" t="s">
        <v>210</v>
      </c>
      <c r="E40" s="3029" t="str">
        <f>IF(AND($E$6=1, ROUND(FTE_3_Part_time!$H35, 2)&lt;&gt;FTE_3_Part_time!$H35), CONCATENATE("Price group", " ", $B40, ", ", $C40, " ", "Length", ", Level ", $D40, "; "), "")</f>
        <v/>
      </c>
      <c r="F40" s="3028" t="str">
        <f>IF(AND($F$6=1,FTE_3_Part_time!$G35&lt;&gt;0,ABS(FTE_3_Part_time!$H35-FTE_3_Part_time!$G35)&lt;$F$10),CONCATENATE("Price group"," ",$B40,", ",$C40," ","Length",", Level ",$D40,"; "),"")</f>
        <v/>
      </c>
      <c r="G40" s="3027" t="str">
        <f>IF(AND($G$6=1,LEN(FTE_3_Part_time!$J35)&gt;2000), CONCATENATE("Price group", " ", $B40, ", ", $C40, " ", "Length", ", Level ", $D40, "; "), "")</f>
        <v/>
      </c>
      <c r="H40" s="3028" t="str">
        <f>IF(AND($H$6=1,OR(AND(FTE_3_Part_time!$H35=0,FTE_3_Part_time!$J35&lt;&gt;""),AND(FTE_3_Part_time!$H35&lt;&gt;0,FTE_3_Part_time!$J35=""))),CONCATENATE("Price group"," ",$B40,", ",$C40," ","Length",", Level ",$D40,"; "),"")</f>
        <v/>
      </c>
      <c r="I40" s="3029" t="str">
        <f>IF(AND($I$6=1,FTE_3_Part_time!$G35=0,OR(FTE_3_Part_time!$H35&lt;&gt;0,FTE_3_Part_time!$J35&lt;&gt;"")),CONCATENATE("Price group"," ",$B40,", ",$C40," ","Length",", Level ",$D40,"; "),"")</f>
        <v/>
      </c>
      <c r="K40" s="3016"/>
      <c r="L40" s="3026" t="s">
        <v>238</v>
      </c>
      <c r="M40" s="3024">
        <f t="shared" si="0"/>
        <v>0</v>
      </c>
      <c r="N40" s="3025"/>
      <c r="O40" s="3024">
        <f t="shared" si="1"/>
        <v>0</v>
      </c>
    </row>
    <row r="41" spans="2:15" x14ac:dyDescent="0.45">
      <c r="B41" s="3020" t="s">
        <v>238</v>
      </c>
      <c r="C41" s="2377" t="s">
        <v>218</v>
      </c>
      <c r="D41" s="3008" t="s">
        <v>212</v>
      </c>
      <c r="E41" s="3029" t="str">
        <f>IF(AND($E$6=1, ROUND(FTE_3_Part_time!$H36, 2)&lt;&gt;FTE_3_Part_time!$H36), CONCATENATE("Price group", " ", $B41, ", ", $C41, " ", "Length", ", Level ", $D41, "; "), "")</f>
        <v/>
      </c>
      <c r="F41" s="3028" t="str">
        <f>IF(AND($F$6=1,FTE_3_Part_time!$G36&lt;&gt;0,ABS(FTE_3_Part_time!$H36-FTE_3_Part_time!$G36)&lt;$F$10),CONCATENATE("Price group"," ",$B41,", ",$C41," ","Length",", Level ",$D41,"; "),"")</f>
        <v/>
      </c>
      <c r="G41" s="3027" t="str">
        <f>IF(AND($G$6=1,LEN(FTE_3_Part_time!$J36)&gt;2000), CONCATENATE("Price group", " ", $B41, ", ", $C41, " ", "Length", ", Level ", $D41, "; "), "")</f>
        <v/>
      </c>
      <c r="H41" s="3028" t="str">
        <f>IF(AND($H$6=1,OR(AND(FTE_3_Part_time!$H36=0,FTE_3_Part_time!$J36&lt;&gt;""),AND(FTE_3_Part_time!$H36&lt;&gt;0,FTE_3_Part_time!$J36=""))),CONCATENATE("Price group"," ",$B41,", ",$C41," ","Length",", Level ",$D41,"; "),"")</f>
        <v/>
      </c>
      <c r="I41" s="3029" t="str">
        <f>IF(AND($I$6=1,FTE_3_Part_time!$G36=0,OR(FTE_3_Part_time!$H36&lt;&gt;0,FTE_3_Part_time!$J36&lt;&gt;"")),CONCATENATE("Price group"," ",$B41,", ",$C41," ","Length",", Level ",$D41,"; "),"")</f>
        <v/>
      </c>
      <c r="K41" s="3016"/>
      <c r="L41" s="3026" t="s">
        <v>238</v>
      </c>
      <c r="M41" s="3024">
        <f t="shared" si="0"/>
        <v>0</v>
      </c>
      <c r="N41" s="3025"/>
      <c r="O41" s="3024">
        <f t="shared" si="1"/>
        <v>0</v>
      </c>
    </row>
    <row r="42" spans="2:15" x14ac:dyDescent="0.45">
      <c r="B42" s="3032" t="s">
        <v>238</v>
      </c>
      <c r="C42" s="3031" t="s">
        <v>218</v>
      </c>
      <c r="D42" s="3030" t="s">
        <v>214</v>
      </c>
      <c r="E42" s="3029" t="str">
        <f>IF(AND($E$6=1, ROUND(FTE_3_Part_time!$H37, 2)&lt;&gt;FTE_3_Part_time!$H37), CONCATENATE("Price group", " ", $B42, ", ", $C42, " ", "Length", ", Level ", $D42, "; "), "")</f>
        <v/>
      </c>
      <c r="F42" s="3028" t="str">
        <f>IF(AND($F$6=1,FTE_3_Part_time!$G37&lt;&gt;0,ABS(FTE_3_Part_time!$H37-FTE_3_Part_time!$G37)&lt;$F$10),CONCATENATE("Price group"," ",$B42,", ",$C42," ","Length",", Level ",$D42,"; "),"")</f>
        <v/>
      </c>
      <c r="G42" s="3027" t="str">
        <f>IF(AND($G$6=1,LEN(FTE_3_Part_time!$J37)&gt;2000), CONCATENATE("Price group", " ", $B42, ", ", $C42, " ", "Length", ", Level ", $D42, "; "), "")</f>
        <v/>
      </c>
      <c r="H42" s="3028" t="str">
        <f>IF(AND($H$6=1,OR(AND(FTE_3_Part_time!$H37=0,FTE_3_Part_time!$J37&lt;&gt;""),AND(FTE_3_Part_time!$H37&lt;&gt;0,FTE_3_Part_time!$J37=""))),CONCATENATE("Price group"," ",$B42,", ",$C42," ","Length",", Level ",$D42,"; "),"")</f>
        <v/>
      </c>
      <c r="I42" s="3029" t="str">
        <f>IF(AND($I$6=1,FTE_3_Part_time!$G37=0,OR(FTE_3_Part_time!$H37&lt;&gt;0,FTE_3_Part_time!$J37&lt;&gt;"")),CONCATENATE("Price group"," ",$B42,", ",$C42," ","Length",", Level ",$D42,"; "),"")</f>
        <v/>
      </c>
      <c r="K42" s="3016"/>
      <c r="L42" s="3026" t="s">
        <v>238</v>
      </c>
      <c r="M42" s="3024">
        <f t="shared" si="0"/>
        <v>0</v>
      </c>
      <c r="N42" s="3025"/>
      <c r="O42" s="3024">
        <f t="shared" si="1"/>
        <v>0</v>
      </c>
    </row>
    <row r="43" spans="2:15" x14ac:dyDescent="0.45">
      <c r="B43" s="3020" t="s">
        <v>251</v>
      </c>
      <c r="C43" s="2377" t="s">
        <v>204</v>
      </c>
      <c r="D43" s="3008" t="s">
        <v>205</v>
      </c>
      <c r="E43" s="3029" t="str">
        <f>IF(AND($E$6=1, ROUND(FTE_3_Part_time!$H38, 2)&lt;&gt;FTE_3_Part_time!$H38), CONCATENATE("Price group", " ", $B43, ", ", $C43, " ", "Length", ", Level ", $D43, "; "), "")</f>
        <v/>
      </c>
      <c r="F43" s="3028" t="str">
        <f>IF(AND($F$6=1,FTE_3_Part_time!$G38&lt;&gt;0,ABS(FTE_3_Part_time!$H38-FTE_3_Part_time!$G38)&lt;$F$10),CONCATENATE("Price group"," ",$B43,", ",$C43," ","Length",", Level ",$D43,"; "),"")</f>
        <v/>
      </c>
      <c r="G43" s="3027" t="str">
        <f>IF(AND($G$6=1,LEN(FTE_3_Part_time!$J38)&gt;2000), CONCATENATE("Price group", " ", $B43, ", ", $C43, " ", "Length", ", Level ", $D43, "; "), "")</f>
        <v/>
      </c>
      <c r="H43" s="3028" t="str">
        <f>IF(AND($H$6=1,OR(AND(FTE_3_Part_time!$H38=0,FTE_3_Part_time!$J38&lt;&gt;""),AND(FTE_3_Part_time!$H38&lt;&gt;0,FTE_3_Part_time!$J38=""))),CONCATENATE("Price group"," ",$B43,", ",$C43," ","Length",", Level ",$D43,"; "),"")</f>
        <v/>
      </c>
      <c r="I43" s="3029" t="str">
        <f>IF(AND($I$6=1,FTE_3_Part_time!$G38=0,OR(FTE_3_Part_time!$H38&lt;&gt;0,FTE_3_Part_time!$J38&lt;&gt;"")),CONCATENATE("Price group"," ",$B43,", ",$C43," ","Length",", Level ",$D43,"; "),"")</f>
        <v/>
      </c>
      <c r="K43" s="3016"/>
      <c r="L43" s="3026" t="s">
        <v>251</v>
      </c>
      <c r="M43" s="3024">
        <f t="shared" si="0"/>
        <v>0</v>
      </c>
      <c r="N43" s="3025"/>
      <c r="O43" s="3024">
        <f t="shared" si="1"/>
        <v>0</v>
      </c>
    </row>
    <row r="44" spans="2:15" x14ac:dyDescent="0.45">
      <c r="B44" s="3020" t="s">
        <v>251</v>
      </c>
      <c r="C44" s="2377" t="s">
        <v>204</v>
      </c>
      <c r="D44" s="3008" t="s">
        <v>208</v>
      </c>
      <c r="E44" s="3029" t="str">
        <f>IF(AND($E$6=1, ROUND(FTE_3_Part_time!$H39, 2)&lt;&gt;FTE_3_Part_time!$H39), CONCATENATE("Price group", " ", $B44, ", ", $C44, " ", "Length", ", Level ", $D44, "; "), "")</f>
        <v/>
      </c>
      <c r="F44" s="3028" t="str">
        <f>IF(AND($F$6=1,FTE_3_Part_time!$G39&lt;&gt;0,ABS(FTE_3_Part_time!$H39-FTE_3_Part_time!$G39)&lt;$F$10),CONCATENATE("Price group"," ",$B44,", ",$C44," ","Length",", Level ",$D44,"; "),"")</f>
        <v/>
      </c>
      <c r="G44" s="3027" t="str">
        <f>IF(AND($G$6=1,LEN(FTE_3_Part_time!$J39)&gt;2000), CONCATENATE("Price group", " ", $B44, ", ", $C44, " ", "Length", ", Level ", $D44, "; "), "")</f>
        <v/>
      </c>
      <c r="H44" s="3028" t="str">
        <f>IF(AND($H$6=1,OR(AND(FTE_3_Part_time!$H39=0,FTE_3_Part_time!$J39&lt;&gt;""),AND(FTE_3_Part_time!$H39&lt;&gt;0,FTE_3_Part_time!$J39=""))),CONCATENATE("Price group"," ",$B44,", ",$C44," ","Length",", Level ",$D44,"; "),"")</f>
        <v/>
      </c>
      <c r="I44" s="3029" t="str">
        <f>IF(AND($I$6=1,FTE_3_Part_time!$G39=0,OR(FTE_3_Part_time!$H39&lt;&gt;0,FTE_3_Part_time!$J39&lt;&gt;"")),CONCATENATE("Price group"," ",$B44,", ",$C44," ","Length",", Level ",$D44,"; "),"")</f>
        <v/>
      </c>
      <c r="K44" s="3016"/>
      <c r="L44" s="3026" t="s">
        <v>251</v>
      </c>
      <c r="M44" s="3024">
        <f t="shared" si="0"/>
        <v>0</v>
      </c>
      <c r="N44" s="3025"/>
      <c r="O44" s="3024">
        <f t="shared" si="1"/>
        <v>0</v>
      </c>
    </row>
    <row r="45" spans="2:15" x14ac:dyDescent="0.45">
      <c r="B45" s="3020" t="s">
        <v>251</v>
      </c>
      <c r="C45" s="2377" t="s">
        <v>204</v>
      </c>
      <c r="D45" s="3008" t="s">
        <v>210</v>
      </c>
      <c r="E45" s="3029" t="str">
        <f>IF(AND($E$6=1, ROUND(FTE_3_Part_time!$H40, 2)&lt;&gt;FTE_3_Part_time!$H40), CONCATENATE("Price group", " ", $B45, ", ", $C45, " ", "Length", ", Level ", $D45, "; "), "")</f>
        <v/>
      </c>
      <c r="F45" s="3028" t="str">
        <f>IF(AND($F$6=1,FTE_3_Part_time!$G40&lt;&gt;0,ABS(FTE_3_Part_time!$H40-FTE_3_Part_time!$G40)&lt;$F$10),CONCATENATE("Price group"," ",$B45,", ",$C45," ","Length",", Level ",$D45,"; "),"")</f>
        <v/>
      </c>
      <c r="G45" s="3027" t="str">
        <f>IF(AND($G$6=1,LEN(FTE_3_Part_time!$J40)&gt;2000), CONCATENATE("Price group", " ", $B45, ", ", $C45, " ", "Length", ", Level ", $D45, "; "), "")</f>
        <v/>
      </c>
      <c r="H45" s="3028" t="str">
        <f>IF(AND($H$6=1,OR(AND(FTE_3_Part_time!$H40=0,FTE_3_Part_time!$J40&lt;&gt;""),AND(FTE_3_Part_time!$H40&lt;&gt;0,FTE_3_Part_time!$J40=""))),CONCATENATE("Price group"," ",$B45,", ",$C45," ","Length",", Level ",$D45,"; "),"")</f>
        <v/>
      </c>
      <c r="I45" s="3029" t="str">
        <f>IF(AND($I$6=1,FTE_3_Part_time!$G40=0,OR(FTE_3_Part_time!$H40&lt;&gt;0,FTE_3_Part_time!$J40&lt;&gt;"")),CONCATENATE("Price group"," ",$B45,", ",$C45," ","Length",", Level ",$D45,"; "),"")</f>
        <v/>
      </c>
      <c r="K45" s="3016"/>
      <c r="L45" s="3026" t="s">
        <v>251</v>
      </c>
      <c r="M45" s="3024">
        <f t="shared" si="0"/>
        <v>0</v>
      </c>
      <c r="N45" s="3025"/>
      <c r="O45" s="3024">
        <f t="shared" si="1"/>
        <v>0</v>
      </c>
    </row>
    <row r="46" spans="2:15" x14ac:dyDescent="0.45">
      <c r="B46" s="3020" t="s">
        <v>251</v>
      </c>
      <c r="C46" s="2377" t="s">
        <v>204</v>
      </c>
      <c r="D46" s="3008" t="s">
        <v>212</v>
      </c>
      <c r="E46" s="3029" t="str">
        <f>IF(AND($E$6=1, ROUND(FTE_3_Part_time!$H41, 2)&lt;&gt;FTE_3_Part_time!$H41), CONCATENATE("Price group", " ", $B46, ", ", $C46, " ", "Length", ", Level ", $D46, "; "), "")</f>
        <v/>
      </c>
      <c r="F46" s="3028" t="str">
        <f>IF(AND($F$6=1,FTE_3_Part_time!$G41&lt;&gt;0,ABS(FTE_3_Part_time!$H41-FTE_3_Part_time!$G41)&lt;$F$10),CONCATENATE("Price group"," ",$B46,", ",$C46," ","Length",", Level ",$D46,"; "),"")</f>
        <v/>
      </c>
      <c r="G46" s="3027" t="str">
        <f>IF(AND($G$6=1,LEN(FTE_3_Part_time!$J41)&gt;2000), CONCATENATE("Price group", " ", $B46, ", ", $C46, " ", "Length", ", Level ", $D46, "; "), "")</f>
        <v/>
      </c>
      <c r="H46" s="3028" t="str">
        <f>IF(AND($H$6=1,OR(AND(FTE_3_Part_time!$H41=0,FTE_3_Part_time!$J41&lt;&gt;""),AND(FTE_3_Part_time!$H41&lt;&gt;0,FTE_3_Part_time!$J41=""))),CONCATENATE("Price group"," ",$B46,", ",$C46," ","Length",", Level ",$D46,"; "),"")</f>
        <v/>
      </c>
      <c r="I46" s="3029" t="str">
        <f>IF(AND($I$6=1,FTE_3_Part_time!$G41=0,OR(FTE_3_Part_time!$H41&lt;&gt;0,FTE_3_Part_time!$J41&lt;&gt;"")),CONCATENATE("Price group"," ",$B46,", ",$C46," ","Length",", Level ",$D46,"; "),"")</f>
        <v/>
      </c>
      <c r="K46" s="3016"/>
      <c r="L46" s="3026" t="s">
        <v>251</v>
      </c>
      <c r="M46" s="3024">
        <f t="shared" si="0"/>
        <v>0</v>
      </c>
      <c r="N46" s="3025"/>
      <c r="O46" s="3024">
        <f t="shared" si="1"/>
        <v>0</v>
      </c>
    </row>
    <row r="47" spans="2:15" x14ac:dyDescent="0.45">
      <c r="B47" s="3020" t="s">
        <v>251</v>
      </c>
      <c r="C47" s="2377" t="s">
        <v>204</v>
      </c>
      <c r="D47" s="3008" t="s">
        <v>214</v>
      </c>
      <c r="E47" s="3029" t="str">
        <f>IF(AND($E$6=1, ROUND(FTE_3_Part_time!$H42, 2)&lt;&gt;FTE_3_Part_time!$H42), CONCATENATE("Price group", " ", $B47, ", ", $C47, " ", "Length", ", Level ", $D47, "; "), "")</f>
        <v/>
      </c>
      <c r="F47" s="3028" t="str">
        <f>IF(AND($F$6=1,FTE_3_Part_time!$G42&lt;&gt;0,ABS(FTE_3_Part_time!$H42-FTE_3_Part_time!$G42)&lt;$F$10),CONCATENATE("Price group"," ",$B47,", ",$C47," ","Length",", Level ",$D47,"; "),"")</f>
        <v/>
      </c>
      <c r="G47" s="3027" t="str">
        <f>IF(AND($G$6=1,LEN(FTE_3_Part_time!$J42)&gt;2000), CONCATENATE("Price group", " ", $B47, ", ", $C47, " ", "Length", ", Level ", $D47, "; "), "")</f>
        <v/>
      </c>
      <c r="H47" s="3028" t="str">
        <f>IF(AND($H$6=1,OR(AND(FTE_3_Part_time!$H42=0,FTE_3_Part_time!$J42&lt;&gt;""),AND(FTE_3_Part_time!$H42&lt;&gt;0,FTE_3_Part_time!$J42=""))),CONCATENATE("Price group"," ",$B47,", ",$C47," ","Length",", Level ",$D47,"; "),"")</f>
        <v/>
      </c>
      <c r="I47" s="3029" t="str">
        <f>IF(AND($I$6=1,FTE_3_Part_time!$G42=0,OR(FTE_3_Part_time!$H42&lt;&gt;0,FTE_3_Part_time!$J42&lt;&gt;"")),CONCATENATE("Price group"," ",$B47,", ",$C47," ","Length",", Level ",$D47,"; "),"")</f>
        <v/>
      </c>
      <c r="K47" s="3016"/>
      <c r="L47" s="3026" t="s">
        <v>251</v>
      </c>
      <c r="M47" s="3024">
        <f t="shared" si="0"/>
        <v>0</v>
      </c>
      <c r="N47" s="3025"/>
      <c r="O47" s="3024">
        <f t="shared" si="1"/>
        <v>0</v>
      </c>
    </row>
    <row r="48" spans="2:15" x14ac:dyDescent="0.45">
      <c r="B48" s="3020" t="s">
        <v>251</v>
      </c>
      <c r="C48" s="2377" t="s">
        <v>218</v>
      </c>
      <c r="D48" s="3008" t="s">
        <v>205</v>
      </c>
      <c r="E48" s="3029" t="str">
        <f>IF(AND($E$6=1, ROUND(FTE_3_Part_time!$H43, 2)&lt;&gt;FTE_3_Part_time!$H43), CONCATENATE("Price group", " ", $B48, ", ", $C48, " ", "Length", ", Level ", $D48, "; "), "")</f>
        <v/>
      </c>
      <c r="F48" s="3028" t="str">
        <f>IF(AND($F$6=1,FTE_3_Part_time!$G43&lt;&gt;0,ABS(FTE_3_Part_time!$H43-FTE_3_Part_time!$G43)&lt;$F$10),CONCATENATE("Price group"," ",$B48,", ",$C48," ","Length",", Level ",$D48,"; "),"")</f>
        <v/>
      </c>
      <c r="G48" s="3027" t="str">
        <f>IF(AND($G$6=1,LEN(FTE_3_Part_time!$J43)&gt;2000), CONCATENATE("Price group", " ", $B48, ", ", $C48, " ", "Length", ", Level ", $D48, "; "), "")</f>
        <v/>
      </c>
      <c r="H48" s="3028" t="str">
        <f>IF(AND($H$6=1,OR(AND(FTE_3_Part_time!$H43=0,FTE_3_Part_time!$J43&lt;&gt;""),AND(FTE_3_Part_time!$H43&lt;&gt;0,FTE_3_Part_time!$J43=""))),CONCATENATE("Price group"," ",$B48,", ",$C48," ","Length",", Level ",$D48,"; "),"")</f>
        <v/>
      </c>
      <c r="I48" s="3029" t="str">
        <f>IF(AND($I$6=1,FTE_3_Part_time!$G43=0,OR(FTE_3_Part_time!$H43&lt;&gt;0,FTE_3_Part_time!$J43&lt;&gt;"")),CONCATENATE("Price group"," ",$B48,", ",$C48," ","Length",", Level ",$D48,"; "),"")</f>
        <v/>
      </c>
      <c r="K48" s="3016"/>
      <c r="L48" s="3026" t="s">
        <v>251</v>
      </c>
      <c r="M48" s="3024">
        <f t="shared" si="0"/>
        <v>0</v>
      </c>
      <c r="N48" s="3025"/>
      <c r="O48" s="3024">
        <f t="shared" si="1"/>
        <v>0</v>
      </c>
    </row>
    <row r="49" spans="2:15" x14ac:dyDescent="0.45">
      <c r="B49" s="3020" t="s">
        <v>251</v>
      </c>
      <c r="C49" s="2377" t="s">
        <v>218</v>
      </c>
      <c r="D49" s="3008" t="s">
        <v>208</v>
      </c>
      <c r="E49" s="3029" t="str">
        <f>IF(AND($E$6=1, ROUND(FTE_3_Part_time!$H44, 2)&lt;&gt;FTE_3_Part_time!$H44), CONCATENATE("Price group", " ", $B49, ", ", $C49, " ", "Length", ", Level ", $D49, "; "), "")</f>
        <v/>
      </c>
      <c r="F49" s="3028" t="str">
        <f>IF(AND($F$6=1,FTE_3_Part_time!$G44&lt;&gt;0,ABS(FTE_3_Part_time!$H44-FTE_3_Part_time!$G44)&lt;$F$10),CONCATENATE("Price group"," ",$B49,", ",$C49," ","Length",", Level ",$D49,"; "),"")</f>
        <v/>
      </c>
      <c r="G49" s="3027" t="str">
        <f>IF(AND($G$6=1,LEN(FTE_3_Part_time!$J44)&gt;2000), CONCATENATE("Price group", " ", $B49, ", ", $C49, " ", "Length", ", Level ", $D49, "; "), "")</f>
        <v/>
      </c>
      <c r="H49" s="3028" t="str">
        <f>IF(AND($H$6=1,OR(AND(FTE_3_Part_time!$H44=0,FTE_3_Part_time!$J44&lt;&gt;""),AND(FTE_3_Part_time!$H44&lt;&gt;0,FTE_3_Part_time!$J44=""))),CONCATENATE("Price group"," ",$B49,", ",$C49," ","Length",", Level ",$D49,"; "),"")</f>
        <v/>
      </c>
      <c r="I49" s="3029" t="str">
        <f>IF(AND($I$6=1,FTE_3_Part_time!$G44=0,OR(FTE_3_Part_time!$H44&lt;&gt;0,FTE_3_Part_time!$J44&lt;&gt;"")),CONCATENATE("Price group"," ",$B49,", ",$C49," ","Length",", Level ",$D49,"; "),"")</f>
        <v/>
      </c>
      <c r="K49" s="3016"/>
      <c r="L49" s="3026" t="s">
        <v>251</v>
      </c>
      <c r="M49" s="3024">
        <f t="shared" si="0"/>
        <v>0</v>
      </c>
      <c r="N49" s="3025"/>
      <c r="O49" s="3024">
        <f t="shared" si="1"/>
        <v>0</v>
      </c>
    </row>
    <row r="50" spans="2:15" x14ac:dyDescent="0.45">
      <c r="B50" s="3020" t="s">
        <v>251</v>
      </c>
      <c r="C50" s="2377" t="s">
        <v>218</v>
      </c>
      <c r="D50" s="3008" t="s">
        <v>210</v>
      </c>
      <c r="E50" s="3029" t="str">
        <f>IF(AND($E$6=1, ROUND(FTE_3_Part_time!$H45, 2)&lt;&gt;FTE_3_Part_time!$H45), CONCATENATE("Price group", " ", $B50, ", ", $C50, " ", "Length", ", Level ", $D50, "; "), "")</f>
        <v/>
      </c>
      <c r="F50" s="3028" t="str">
        <f>IF(AND($F$6=1,FTE_3_Part_time!$G45&lt;&gt;0,ABS(FTE_3_Part_time!$H45-FTE_3_Part_time!$G45)&lt;$F$10),CONCATENATE("Price group"," ",$B50,", ",$C50," ","Length",", Level ",$D50,"; "),"")</f>
        <v/>
      </c>
      <c r="G50" s="3027" t="str">
        <f>IF(AND($G$6=1,LEN(FTE_3_Part_time!$J45)&gt;2000), CONCATENATE("Price group", " ", $B50, ", ", $C50, " ", "Length", ", Level ", $D50, "; "), "")</f>
        <v/>
      </c>
      <c r="H50" s="3028" t="str">
        <f>IF(AND($H$6=1,OR(AND(FTE_3_Part_time!$H45=0,FTE_3_Part_time!$J45&lt;&gt;""),AND(FTE_3_Part_time!$H45&lt;&gt;0,FTE_3_Part_time!$J45=""))),CONCATENATE("Price group"," ",$B50,", ",$C50," ","Length",", Level ",$D50,"; "),"")</f>
        <v/>
      </c>
      <c r="I50" s="3029" t="str">
        <f>IF(AND($I$6=1,FTE_3_Part_time!$G45=0,OR(FTE_3_Part_time!$H45&lt;&gt;0,FTE_3_Part_time!$J45&lt;&gt;"")),CONCATENATE("Price group"," ",$B50,", ",$C50," ","Length",", Level ",$D50,"; "),"")</f>
        <v/>
      </c>
      <c r="K50" s="3016"/>
      <c r="L50" s="3026" t="s">
        <v>251</v>
      </c>
      <c r="M50" s="3024">
        <f t="shared" si="0"/>
        <v>0</v>
      </c>
      <c r="N50" s="3025"/>
      <c r="O50" s="3024">
        <f t="shared" si="1"/>
        <v>0</v>
      </c>
    </row>
    <row r="51" spans="2:15" x14ac:dyDescent="0.45">
      <c r="B51" s="3020" t="s">
        <v>251</v>
      </c>
      <c r="C51" s="2377" t="s">
        <v>218</v>
      </c>
      <c r="D51" s="3008" t="s">
        <v>212</v>
      </c>
      <c r="E51" s="3029" t="str">
        <f>IF(AND($E$6=1, ROUND(FTE_3_Part_time!$H46, 2)&lt;&gt;FTE_3_Part_time!$H46), CONCATENATE("Price group", " ", $B51, ", ", $C51, " ", "Length", ", Level ", $D51, "; "), "")</f>
        <v/>
      </c>
      <c r="F51" s="3028" t="str">
        <f>IF(AND($F$6=1,FTE_3_Part_time!$G46&lt;&gt;0,ABS(FTE_3_Part_time!$H46-FTE_3_Part_time!$G46)&lt;$F$10),CONCATENATE("Price group"," ",$B51,", ",$C51," ","Length",", Level ",$D51,"; "),"")</f>
        <v/>
      </c>
      <c r="G51" s="3027" t="str">
        <f>IF(AND($G$6=1,LEN(FTE_3_Part_time!$J46)&gt;2000), CONCATENATE("Price group", " ", $B51, ", ", $C51, " ", "Length", ", Level ", $D51, "; "), "")</f>
        <v/>
      </c>
      <c r="H51" s="3028" t="str">
        <f>IF(AND($H$6=1,OR(AND(FTE_3_Part_time!$H46=0,FTE_3_Part_time!$J46&lt;&gt;""),AND(FTE_3_Part_time!$H46&lt;&gt;0,FTE_3_Part_time!$J46=""))),CONCATENATE("Price group"," ",$B51,", ",$C51," ","Length",", Level ",$D51,"; "),"")</f>
        <v/>
      </c>
      <c r="I51" s="3029" t="str">
        <f>IF(AND($I$6=1,FTE_3_Part_time!$G46=0,OR(FTE_3_Part_time!$H46&lt;&gt;0,FTE_3_Part_time!$J46&lt;&gt;"")),CONCATENATE("Price group"," ",$B51,", ",$C51," ","Length",", Level ",$D51,"; "),"")</f>
        <v/>
      </c>
      <c r="K51" s="3016"/>
      <c r="L51" s="3026" t="s">
        <v>251</v>
      </c>
      <c r="M51" s="3024">
        <f t="shared" si="0"/>
        <v>0</v>
      </c>
      <c r="N51" s="3025"/>
      <c r="O51" s="3024">
        <f t="shared" si="1"/>
        <v>0</v>
      </c>
    </row>
    <row r="52" spans="2:15" x14ac:dyDescent="0.45">
      <c r="B52" s="3032" t="s">
        <v>251</v>
      </c>
      <c r="C52" s="3031" t="s">
        <v>218</v>
      </c>
      <c r="D52" s="3030" t="s">
        <v>214</v>
      </c>
      <c r="E52" s="3029" t="str">
        <f>IF(AND($E$6=1, ROUND(FTE_3_Part_time!$H47, 2)&lt;&gt;FTE_3_Part_time!$H47), CONCATENATE("Price group", " ", $B52, ", ", $C52, " ", "Length", ", Level ", $D52, "; "), "")</f>
        <v/>
      </c>
      <c r="F52" s="3028" t="str">
        <f>IF(AND($F$6=1,FTE_3_Part_time!$G47&lt;&gt;0,ABS(FTE_3_Part_time!$H47-FTE_3_Part_time!$G47)&lt;$F$10),CONCATENATE("Price group"," ",$B52,", ",$C52," ","Length",", Level ",$D52,"; "),"")</f>
        <v/>
      </c>
      <c r="G52" s="3027" t="str">
        <f>IF(AND($G$6=1,LEN(FTE_3_Part_time!$J47)&gt;2000), CONCATENATE("Price group", " ", $B52, ", ", $C52, " ", "Length", ", Level ", $D52, "; "), "")</f>
        <v/>
      </c>
      <c r="H52" s="3028" t="str">
        <f>IF(AND($H$6=1,OR(AND(FTE_3_Part_time!$H47=0,FTE_3_Part_time!$J47&lt;&gt;""),AND(FTE_3_Part_time!$H47&lt;&gt;0,FTE_3_Part_time!$J47=""))),CONCATENATE("Price group"," ",$B52,", ",$C52," ","Length",", Level ",$D52,"; "),"")</f>
        <v/>
      </c>
      <c r="I52" s="3029" t="str">
        <f>IF(AND($I$6=1,FTE_3_Part_time!$G47=0,OR(FTE_3_Part_time!$H47&lt;&gt;0,FTE_3_Part_time!$J47&lt;&gt;"")),CONCATENATE("Price group"," ",$B52,", ",$C52," ","Length",", Level ",$D52,"; "),"")</f>
        <v/>
      </c>
      <c r="K52" s="3016"/>
      <c r="L52" s="3026" t="s">
        <v>251</v>
      </c>
      <c r="M52" s="3024">
        <f t="shared" si="0"/>
        <v>0</v>
      </c>
      <c r="N52" s="3025"/>
      <c r="O52" s="3024">
        <f t="shared" si="1"/>
        <v>0</v>
      </c>
    </row>
    <row r="53" spans="2:15" x14ac:dyDescent="0.45">
      <c r="B53" s="3020" t="s">
        <v>264</v>
      </c>
      <c r="C53" s="2377" t="s">
        <v>204</v>
      </c>
      <c r="D53" s="3008" t="s">
        <v>205</v>
      </c>
      <c r="E53" s="3029" t="str">
        <f>IF(AND($E$6=1, ROUND(FTE_3_Part_time!$H48, 2)&lt;&gt;FTE_3_Part_time!$H48), CONCATENATE("Price group", " ", $B53, ", ", $C53, " ", "Length", ", Level ", $D53, "; "), "")</f>
        <v/>
      </c>
      <c r="F53" s="3028" t="str">
        <f>IF(AND($F$6=1,FTE_3_Part_time!$G48&lt;&gt;0,ABS(FTE_3_Part_time!$H48-FTE_3_Part_time!$G48)&lt;$F$10),CONCATENATE("Price group"," ",$B53,", ",$C53," ","Length",", Level ",$D53,"; "),"")</f>
        <v/>
      </c>
      <c r="G53" s="3027" t="str">
        <f>IF(AND($G$6=1,LEN(FTE_3_Part_time!$J48)&gt;2000), CONCATENATE("Price group", " ", $B53, ", ", $C53, " ", "Length", ", Level ", $D53, "; "), "")</f>
        <v/>
      </c>
      <c r="H53" s="3028" t="str">
        <f>IF(AND($H$6=1,OR(AND(FTE_3_Part_time!$H48=0,FTE_3_Part_time!$J48&lt;&gt;""),AND(FTE_3_Part_time!$H48&lt;&gt;0,FTE_3_Part_time!$J48=""))),CONCATENATE("Price group"," ",$B53,", ",$C53," ","Length",", Level ",$D53,"; "),"")</f>
        <v/>
      </c>
      <c r="I53" s="3029" t="str">
        <f>IF(AND($I$6=1,FTE_3_Part_time!$G48=0,OR(FTE_3_Part_time!$H48&lt;&gt;0,FTE_3_Part_time!$J48&lt;&gt;"")),CONCATENATE("Price group"," ",$B53,", ",$C53," ","Length",", Level ",$D53,"; "),"")</f>
        <v/>
      </c>
      <c r="K53" s="3016"/>
      <c r="L53" s="3026" t="s">
        <v>264</v>
      </c>
      <c r="M53" s="3024">
        <f t="shared" si="0"/>
        <v>0</v>
      </c>
      <c r="N53" s="3025"/>
      <c r="O53" s="3024">
        <f t="shared" si="1"/>
        <v>0</v>
      </c>
    </row>
    <row r="54" spans="2:15" x14ac:dyDescent="0.45">
      <c r="B54" s="3020" t="s">
        <v>264</v>
      </c>
      <c r="C54" s="2377" t="s">
        <v>204</v>
      </c>
      <c r="D54" s="3008" t="s">
        <v>208</v>
      </c>
      <c r="E54" s="3029" t="str">
        <f>IF(AND($E$6=1, ROUND(FTE_3_Part_time!$H49, 2)&lt;&gt;FTE_3_Part_time!$H49), CONCATENATE("Price group", " ", $B54, ", ", $C54, " ", "Length", ", Level ", $D54, "; "), "")</f>
        <v/>
      </c>
      <c r="F54" s="3028" t="str">
        <f>IF(AND($F$6=1,FTE_3_Part_time!$G49&lt;&gt;0,ABS(FTE_3_Part_time!$H49-FTE_3_Part_time!$G49)&lt;$F$10),CONCATENATE("Price group"," ",$B54,", ",$C54," ","Length",", Level ",$D54,"; "),"")</f>
        <v/>
      </c>
      <c r="G54" s="3027" t="str">
        <f>IF(AND($G$6=1,LEN(FTE_3_Part_time!$J49)&gt;2000), CONCATENATE("Price group", " ", $B54, ", ", $C54, " ", "Length", ", Level ", $D54, "; "), "")</f>
        <v/>
      </c>
      <c r="H54" s="3028" t="str">
        <f>IF(AND($H$6=1,OR(AND(FTE_3_Part_time!$H49=0,FTE_3_Part_time!$J49&lt;&gt;""),AND(FTE_3_Part_time!$H49&lt;&gt;0,FTE_3_Part_time!$J49=""))),CONCATENATE("Price group"," ",$B54,", ",$C54," ","Length",", Level ",$D54,"; "),"")</f>
        <v/>
      </c>
      <c r="I54" s="3029" t="str">
        <f>IF(AND($I$6=1,FTE_3_Part_time!$G49=0,OR(FTE_3_Part_time!$H49&lt;&gt;0,FTE_3_Part_time!$J49&lt;&gt;"")),CONCATENATE("Price group"," ",$B54,", ",$C54," ","Length",", Level ",$D54,"; "),"")</f>
        <v/>
      </c>
      <c r="K54" s="3016"/>
      <c r="L54" s="3026" t="s">
        <v>264</v>
      </c>
      <c r="M54" s="3024">
        <f t="shared" si="0"/>
        <v>0</v>
      </c>
      <c r="N54" s="3025"/>
      <c r="O54" s="3024">
        <f t="shared" si="1"/>
        <v>0</v>
      </c>
    </row>
    <row r="55" spans="2:15" x14ac:dyDescent="0.45">
      <c r="B55" s="3020" t="s">
        <v>264</v>
      </c>
      <c r="C55" s="2377" t="s">
        <v>204</v>
      </c>
      <c r="D55" s="3008" t="s">
        <v>210</v>
      </c>
      <c r="E55" s="3029" t="str">
        <f>IF(AND($E$6=1, ROUND(FTE_3_Part_time!$H50, 2)&lt;&gt;FTE_3_Part_time!$H50), CONCATENATE("Price group", " ", $B55, ", ", $C55, " ", "Length", ", Level ", $D55, "; "), "")</f>
        <v/>
      </c>
      <c r="F55" s="3028" t="str">
        <f>IF(AND($F$6=1,FTE_3_Part_time!$G50&lt;&gt;0,ABS(FTE_3_Part_time!$H50-FTE_3_Part_time!$G50)&lt;$F$10),CONCATENATE("Price group"," ",$B55,", ",$C55," ","Length",", Level ",$D55,"; "),"")</f>
        <v/>
      </c>
      <c r="G55" s="3027" t="str">
        <f>IF(AND($G$6=1,LEN(FTE_3_Part_time!$J50)&gt;2000), CONCATENATE("Price group", " ", $B55, ", ", $C55, " ", "Length", ", Level ", $D55, "; "), "")</f>
        <v/>
      </c>
      <c r="H55" s="3028" t="str">
        <f>IF(AND($H$6=1,OR(AND(FTE_3_Part_time!$H50=0,FTE_3_Part_time!$J50&lt;&gt;""),AND(FTE_3_Part_time!$H50&lt;&gt;0,FTE_3_Part_time!$J50=""))),CONCATENATE("Price group"," ",$B55,", ",$C55," ","Length",", Level ",$D55,"; "),"")</f>
        <v/>
      </c>
      <c r="I55" s="3029" t="str">
        <f>IF(AND($I$6=1,FTE_3_Part_time!$G50=0,OR(FTE_3_Part_time!$H50&lt;&gt;0,FTE_3_Part_time!$J50&lt;&gt;"")),CONCATENATE("Price group"," ",$B55,", ",$C55," ","Length",", Level ",$D55,"; "),"")</f>
        <v/>
      </c>
      <c r="K55" s="3016"/>
      <c r="L55" s="3026" t="s">
        <v>264</v>
      </c>
      <c r="M55" s="3024">
        <f t="shared" si="0"/>
        <v>0</v>
      </c>
      <c r="N55" s="3025"/>
      <c r="O55" s="3024">
        <f t="shared" si="1"/>
        <v>0</v>
      </c>
    </row>
    <row r="56" spans="2:15" x14ac:dyDescent="0.45">
      <c r="B56" s="3020" t="s">
        <v>264</v>
      </c>
      <c r="C56" s="2377" t="s">
        <v>204</v>
      </c>
      <c r="D56" s="3008" t="s">
        <v>212</v>
      </c>
      <c r="E56" s="3029" t="str">
        <f>IF(AND($E$6=1, ROUND(FTE_3_Part_time!$H51, 2)&lt;&gt;FTE_3_Part_time!$H51), CONCATENATE("Price group", " ", $B56, ", ", $C56, " ", "Length", ", Level ", $D56, "; "), "")</f>
        <v/>
      </c>
      <c r="F56" s="3028" t="str">
        <f>IF(AND($F$6=1,FTE_3_Part_time!$G51&lt;&gt;0,ABS(FTE_3_Part_time!$H51-FTE_3_Part_time!$G51)&lt;$F$10),CONCATENATE("Price group"," ",$B56,", ",$C56," ","Length",", Level ",$D56,"; "),"")</f>
        <v/>
      </c>
      <c r="G56" s="3027" t="str">
        <f>IF(AND($G$6=1,LEN(FTE_3_Part_time!$J51)&gt;2000), CONCATENATE("Price group", " ", $B56, ", ", $C56, " ", "Length", ", Level ", $D56, "; "), "")</f>
        <v/>
      </c>
      <c r="H56" s="3028" t="str">
        <f>IF(AND($H$6=1,OR(AND(FTE_3_Part_time!$H51=0,FTE_3_Part_time!$J51&lt;&gt;""),AND(FTE_3_Part_time!$H51&lt;&gt;0,FTE_3_Part_time!$J51=""))),CONCATENATE("Price group"," ",$B56,", ",$C56," ","Length",", Level ",$D56,"; "),"")</f>
        <v/>
      </c>
      <c r="I56" s="3029" t="str">
        <f>IF(AND($I$6=1,FTE_3_Part_time!$G51=0,OR(FTE_3_Part_time!$H51&lt;&gt;0,FTE_3_Part_time!$J51&lt;&gt;"")),CONCATENATE("Price group"," ",$B56,", ",$C56," ","Length",", Level ",$D56,"; "),"")</f>
        <v/>
      </c>
      <c r="K56" s="3016"/>
      <c r="L56" s="3026" t="s">
        <v>264</v>
      </c>
      <c r="M56" s="3024">
        <f t="shared" si="0"/>
        <v>0</v>
      </c>
      <c r="N56" s="3025"/>
      <c r="O56" s="3024">
        <f t="shared" si="1"/>
        <v>0</v>
      </c>
    </row>
    <row r="57" spans="2:15" x14ac:dyDescent="0.45">
      <c r="B57" s="3020" t="s">
        <v>264</v>
      </c>
      <c r="C57" s="2377" t="s">
        <v>204</v>
      </c>
      <c r="D57" s="3008" t="s">
        <v>214</v>
      </c>
      <c r="E57" s="3029" t="str">
        <f>IF(AND($E$6=1, ROUND(FTE_3_Part_time!$H52, 2)&lt;&gt;FTE_3_Part_time!$H52), CONCATENATE("Price group", " ", $B57, ", ", $C57, " ", "Length", ", Level ", $D57, "; "), "")</f>
        <v/>
      </c>
      <c r="F57" s="3028" t="str">
        <f>IF(AND($F$6=1,FTE_3_Part_time!$G52&lt;&gt;0,ABS(FTE_3_Part_time!$H52-FTE_3_Part_time!$G52)&lt;$F$10),CONCATENATE("Price group"," ",$B57,", ",$C57," ","Length",", Level ",$D57,"; "),"")</f>
        <v/>
      </c>
      <c r="G57" s="3027" t="str">
        <f>IF(AND($G$6=1,LEN(FTE_3_Part_time!$J52)&gt;2000), CONCATENATE("Price group", " ", $B57, ", ", $C57, " ", "Length", ", Level ", $D57, "; "), "")</f>
        <v/>
      </c>
      <c r="H57" s="3028" t="str">
        <f>IF(AND($H$6=1,OR(AND(FTE_3_Part_time!$H52=0,FTE_3_Part_time!$J52&lt;&gt;""),AND(FTE_3_Part_time!$H52&lt;&gt;0,FTE_3_Part_time!$J52=""))),CONCATENATE("Price group"," ",$B57,", ",$C57," ","Length",", Level ",$D57,"; "),"")</f>
        <v/>
      </c>
      <c r="I57" s="3029" t="str">
        <f>IF(AND($I$6=1,FTE_3_Part_time!$G52=0,OR(FTE_3_Part_time!$H52&lt;&gt;0,FTE_3_Part_time!$J52&lt;&gt;"")),CONCATENATE("Price group"," ",$B57,", ",$C57," ","Length",", Level ",$D57,"; "),"")</f>
        <v/>
      </c>
      <c r="K57" s="3016"/>
      <c r="L57" s="3026" t="s">
        <v>264</v>
      </c>
      <c r="M57" s="3024">
        <f t="shared" si="0"/>
        <v>0</v>
      </c>
      <c r="N57" s="3025"/>
      <c r="O57" s="3024">
        <f t="shared" si="1"/>
        <v>0</v>
      </c>
    </row>
    <row r="58" spans="2:15" x14ac:dyDescent="0.45">
      <c r="B58" s="3020" t="s">
        <v>264</v>
      </c>
      <c r="C58" s="2377" t="s">
        <v>218</v>
      </c>
      <c r="D58" s="3008" t="s">
        <v>205</v>
      </c>
      <c r="E58" s="3029" t="str">
        <f>IF(AND($E$6=1, ROUND(FTE_3_Part_time!$H53, 2)&lt;&gt;FTE_3_Part_time!$H53), CONCATENATE("Price group", " ", $B58, ", ", $C58, " ", "Length", ", Level ", $D58, "; "), "")</f>
        <v/>
      </c>
      <c r="F58" s="3028" t="str">
        <f>IF(AND($F$6=1,FTE_3_Part_time!$G53&lt;&gt;0,ABS(FTE_3_Part_time!$H53-FTE_3_Part_time!$G53)&lt;$F$10),CONCATENATE("Price group"," ",$B58,", ",$C58," ","Length",", Level ",$D58,"; "),"")</f>
        <v/>
      </c>
      <c r="G58" s="3027" t="str">
        <f>IF(AND($G$6=1,LEN(FTE_3_Part_time!$J53)&gt;2000), CONCATENATE("Price group", " ", $B58, ", ", $C58, " ", "Length", ", Level ", $D58, "; "), "")</f>
        <v/>
      </c>
      <c r="H58" s="3028" t="str">
        <f>IF(AND($H$6=1,OR(AND(FTE_3_Part_time!$H53=0,FTE_3_Part_time!$J53&lt;&gt;""),AND(FTE_3_Part_time!$H53&lt;&gt;0,FTE_3_Part_time!$J53=""))),CONCATENATE("Price group"," ",$B58,", ",$C58," ","Length",", Level ",$D58,"; "),"")</f>
        <v/>
      </c>
      <c r="I58" s="3029" t="str">
        <f>IF(AND($I$6=1,FTE_3_Part_time!$G53=0,OR(FTE_3_Part_time!$H53&lt;&gt;0,FTE_3_Part_time!$J53&lt;&gt;"")),CONCATENATE("Price group"," ",$B58,", ",$C58," ","Length",", Level ",$D58,"; "),"")</f>
        <v/>
      </c>
      <c r="K58" s="3016"/>
      <c r="L58" s="3026" t="s">
        <v>264</v>
      </c>
      <c r="M58" s="3024">
        <f t="shared" si="0"/>
        <v>0</v>
      </c>
      <c r="N58" s="3025"/>
      <c r="O58" s="3024">
        <f t="shared" si="1"/>
        <v>0</v>
      </c>
    </row>
    <row r="59" spans="2:15" x14ac:dyDescent="0.45">
      <c r="B59" s="3020" t="s">
        <v>264</v>
      </c>
      <c r="C59" s="2377" t="s">
        <v>218</v>
      </c>
      <c r="D59" s="3008" t="s">
        <v>208</v>
      </c>
      <c r="E59" s="3029" t="str">
        <f>IF(AND($E$6=1, ROUND(FTE_3_Part_time!$H54, 2)&lt;&gt;FTE_3_Part_time!$H54), CONCATENATE("Price group", " ", $B59, ", ", $C59, " ", "Length", ", Level ", $D59, "; "), "")</f>
        <v/>
      </c>
      <c r="F59" s="3028" t="str">
        <f>IF(AND($F$6=1,FTE_3_Part_time!$G54&lt;&gt;0,ABS(FTE_3_Part_time!$H54-FTE_3_Part_time!$G54)&lt;$F$10),CONCATENATE("Price group"," ",$B59,", ",$C59," ","Length",", Level ",$D59,"; "),"")</f>
        <v/>
      </c>
      <c r="G59" s="3027" t="str">
        <f>IF(AND($G$6=1,LEN(FTE_3_Part_time!$J54)&gt;2000), CONCATENATE("Price group", " ", $B59, ", ", $C59, " ", "Length", ", Level ", $D59, "; "), "")</f>
        <v/>
      </c>
      <c r="H59" s="3028" t="str">
        <f>IF(AND($H$6=1,OR(AND(FTE_3_Part_time!$H54=0,FTE_3_Part_time!$J54&lt;&gt;""),AND(FTE_3_Part_time!$H54&lt;&gt;0,FTE_3_Part_time!$J54=""))),CONCATENATE("Price group"," ",$B59,", ",$C59," ","Length",", Level ",$D59,"; "),"")</f>
        <v/>
      </c>
      <c r="I59" s="3029" t="str">
        <f>IF(AND($I$6=1,FTE_3_Part_time!$G54=0,OR(FTE_3_Part_time!$H54&lt;&gt;0,FTE_3_Part_time!$J54&lt;&gt;"")),CONCATENATE("Price group"," ",$B59,", ",$C59," ","Length",", Level ",$D59,"; "),"")</f>
        <v/>
      </c>
      <c r="K59" s="3016"/>
      <c r="L59" s="3026" t="s">
        <v>264</v>
      </c>
      <c r="M59" s="3024">
        <f t="shared" si="0"/>
        <v>0</v>
      </c>
      <c r="N59" s="3025"/>
      <c r="O59" s="3024">
        <f t="shared" si="1"/>
        <v>0</v>
      </c>
    </row>
    <row r="60" spans="2:15" x14ac:dyDescent="0.45">
      <c r="B60" s="3020" t="s">
        <v>264</v>
      </c>
      <c r="C60" s="2377" t="s">
        <v>218</v>
      </c>
      <c r="D60" s="3008" t="s">
        <v>210</v>
      </c>
      <c r="E60" s="3029" t="str">
        <f>IF(AND($E$6=1, ROUND(FTE_3_Part_time!$H55, 2)&lt;&gt;FTE_3_Part_time!$H55), CONCATENATE("Price group", " ", $B60, ", ", $C60, " ", "Length", ", Level ", $D60, "; "), "")</f>
        <v/>
      </c>
      <c r="F60" s="3028" t="str">
        <f>IF(AND($F$6=1,FTE_3_Part_time!$G55&lt;&gt;0,ABS(FTE_3_Part_time!$H55-FTE_3_Part_time!$G55)&lt;$F$10),CONCATENATE("Price group"," ",$B60,", ",$C60," ","Length",", Level ",$D60,"; "),"")</f>
        <v/>
      </c>
      <c r="G60" s="3027" t="str">
        <f>IF(AND($G$6=1,LEN(FTE_3_Part_time!$J55)&gt;2000), CONCATENATE("Price group", " ", $B60, ", ", $C60, " ", "Length", ", Level ", $D60, "; "), "")</f>
        <v/>
      </c>
      <c r="H60" s="3028" t="str">
        <f>IF(AND($H$6=1,OR(AND(FTE_3_Part_time!$H55=0,FTE_3_Part_time!$J55&lt;&gt;""),AND(FTE_3_Part_time!$H55&lt;&gt;0,FTE_3_Part_time!$J55=""))),CONCATENATE("Price group"," ",$B60,", ",$C60," ","Length",", Level ",$D60,"; "),"")</f>
        <v/>
      </c>
      <c r="I60" s="3029" t="str">
        <f>IF(AND($I$6=1,FTE_3_Part_time!$G55=0,OR(FTE_3_Part_time!$H55&lt;&gt;0,FTE_3_Part_time!$J55&lt;&gt;"")),CONCATENATE("Price group"," ",$B60,", ",$C60," ","Length",", Level ",$D60,"; "),"")</f>
        <v/>
      </c>
      <c r="K60" s="3016"/>
      <c r="L60" s="3026" t="s">
        <v>264</v>
      </c>
      <c r="M60" s="3024">
        <f t="shared" si="0"/>
        <v>0</v>
      </c>
      <c r="N60" s="3025"/>
      <c r="O60" s="3024">
        <f t="shared" si="1"/>
        <v>0</v>
      </c>
    </row>
    <row r="61" spans="2:15" x14ac:dyDescent="0.45">
      <c r="B61" s="3020" t="s">
        <v>264</v>
      </c>
      <c r="C61" s="2377" t="s">
        <v>218</v>
      </c>
      <c r="D61" s="3008" t="s">
        <v>212</v>
      </c>
      <c r="E61" s="3029" t="str">
        <f>IF(AND($E$6=1, ROUND(FTE_3_Part_time!$H56, 2)&lt;&gt;FTE_3_Part_time!$H56), CONCATENATE("Price group", " ", $B61, ", ", $C61, " ", "Length", ", Level ", $D61, "; "), "")</f>
        <v/>
      </c>
      <c r="F61" s="3028" t="str">
        <f>IF(AND($F$6=1,FTE_3_Part_time!$G56&lt;&gt;0,ABS(FTE_3_Part_time!$H56-FTE_3_Part_time!$G56)&lt;$F$10),CONCATENATE("Price group"," ",$B61,", ",$C61," ","Length",", Level ",$D61,"; "),"")</f>
        <v/>
      </c>
      <c r="G61" s="3027" t="str">
        <f>IF(AND($G$6=1,LEN(FTE_3_Part_time!$J56)&gt;2000), CONCATENATE("Price group", " ", $B61, ", ", $C61, " ", "Length", ", Level ", $D61, "; "), "")</f>
        <v/>
      </c>
      <c r="H61" s="3028" t="str">
        <f>IF(AND($H$6=1,OR(AND(FTE_3_Part_time!$H56=0,FTE_3_Part_time!$J56&lt;&gt;""),AND(FTE_3_Part_time!$H56&lt;&gt;0,FTE_3_Part_time!$J56=""))),CONCATENATE("Price group"," ",$B61,", ",$C61," ","Length",", Level ",$D61,"; "),"")</f>
        <v/>
      </c>
      <c r="I61" s="3029" t="str">
        <f>IF(AND($I$6=1,FTE_3_Part_time!$G56=0,OR(FTE_3_Part_time!$H56&lt;&gt;0,FTE_3_Part_time!$J56&lt;&gt;"")),CONCATENATE("Price group"," ",$B61,", ",$C61," ","Length",", Level ",$D61,"; "),"")</f>
        <v/>
      </c>
      <c r="K61" s="3016"/>
      <c r="L61" s="3026" t="s">
        <v>264</v>
      </c>
      <c r="M61" s="3024">
        <f t="shared" si="0"/>
        <v>0</v>
      </c>
      <c r="N61" s="3025"/>
      <c r="O61" s="3024">
        <f t="shared" si="1"/>
        <v>0</v>
      </c>
    </row>
    <row r="62" spans="2:15" x14ac:dyDescent="0.45">
      <c r="B62" s="3032" t="s">
        <v>264</v>
      </c>
      <c r="C62" s="3031" t="s">
        <v>218</v>
      </c>
      <c r="D62" s="3030" t="s">
        <v>214</v>
      </c>
      <c r="E62" s="3029" t="str">
        <f>IF(AND($E$6=1, ROUND(FTE_3_Part_time!$H57, 2)&lt;&gt;FTE_3_Part_time!$H57), CONCATENATE("Price group", " ", $B62, ", ", $C62, " ", "Length", ", Level ", $D62, "; "), "")</f>
        <v/>
      </c>
      <c r="F62" s="3028" t="str">
        <f>IF(AND($F$6=1,FTE_3_Part_time!$G57&lt;&gt;0,ABS(FTE_3_Part_time!$H57-FTE_3_Part_time!$G57)&lt;$F$10),CONCATENATE("Price group"," ",$B62,", ",$C62," ","Length",", Level ",$D62,"; "),"")</f>
        <v/>
      </c>
      <c r="G62" s="3027" t="str">
        <f>IF(AND($G$6=1,LEN(FTE_3_Part_time!$J57)&gt;2000), CONCATENATE("Price group", " ", $B62, ", ", $C62, " ", "Length", ", Level ", $D62, "; "), "")</f>
        <v/>
      </c>
      <c r="H62" s="3028" t="str">
        <f>IF(AND($H$6=1,OR(AND(FTE_3_Part_time!$H57=0,FTE_3_Part_time!$J57&lt;&gt;""),AND(FTE_3_Part_time!$H57&lt;&gt;0,FTE_3_Part_time!$J57=""))),CONCATENATE("Price group"," ",$B62,", ",$C62," ","Length",", Level ",$D62,"; "),"")</f>
        <v/>
      </c>
      <c r="I62" s="3029" t="str">
        <f>IF(AND($I$6=1,FTE_3_Part_time!$G57=0,OR(FTE_3_Part_time!$H57&lt;&gt;0,FTE_3_Part_time!$J57&lt;&gt;"")),CONCATENATE("Price group"," ",$B62,", ",$C62," ","Length",", Level ",$D62,"; "),"")</f>
        <v/>
      </c>
      <c r="K62" s="3016"/>
      <c r="L62" s="3026" t="s">
        <v>264</v>
      </c>
      <c r="M62" s="3024">
        <f t="shared" si="0"/>
        <v>0</v>
      </c>
      <c r="N62" s="3025"/>
      <c r="O62" s="3024">
        <f t="shared" si="1"/>
        <v>0</v>
      </c>
    </row>
    <row r="63" spans="2:15" x14ac:dyDescent="0.45">
      <c r="B63" s="3020" t="s">
        <v>277</v>
      </c>
      <c r="C63" s="2377" t="s">
        <v>204</v>
      </c>
      <c r="D63" s="3008" t="s">
        <v>205</v>
      </c>
      <c r="E63" s="3029" t="str">
        <f>IF(AND($E$6=1, ROUND(FTE_3_Part_time!$H58, 2)&lt;&gt;FTE_3_Part_time!$H58), CONCATENATE("Price group", " ", $B63, ", ", $C63, " ", "Length", ", Level ", $D63, "; "), "")</f>
        <v/>
      </c>
      <c r="F63" s="3028" t="str">
        <f>IF(AND($F$6=1,FTE_3_Part_time!$G58&lt;&gt;0,ABS(FTE_3_Part_time!$H58-FTE_3_Part_time!$G58)&lt;$F$10),CONCATENATE("Price group"," ",$B63,", ",$C63," ","Length",", Level ",$D63,"; "),"")</f>
        <v/>
      </c>
      <c r="G63" s="3027" t="str">
        <f>IF(AND($G$6=1,LEN(FTE_3_Part_time!$J58)&gt;2000), CONCATENATE("Price group", " ", $B63, ", ", $C63, " ", "Length", ", Level ", $D63, "; "), "")</f>
        <v/>
      </c>
      <c r="H63" s="3028" t="str">
        <f>IF(AND($H$6=1,OR(AND(FTE_3_Part_time!$H58=0,FTE_3_Part_time!$J58&lt;&gt;""),AND(FTE_3_Part_time!$H58&lt;&gt;0,FTE_3_Part_time!$J58=""))),CONCATENATE("Price group"," ",$B63,", ",$C63," ","Length",", Level ",$D63,"; "),"")</f>
        <v/>
      </c>
      <c r="I63" s="3029" t="str">
        <f>IF(AND($I$6=1,FTE_3_Part_time!$G58=0,OR(FTE_3_Part_time!$H58&lt;&gt;0,FTE_3_Part_time!$J58&lt;&gt;"")),CONCATENATE("Price group"," ",$B63,", ",$C63," ","Length",", Level ",$D63,"; "),"")</f>
        <v/>
      </c>
      <c r="K63" s="3016"/>
      <c r="L63" s="3026" t="s">
        <v>277</v>
      </c>
      <c r="M63" s="3024">
        <f t="shared" si="0"/>
        <v>0</v>
      </c>
      <c r="N63" s="3025"/>
      <c r="O63" s="3024">
        <f t="shared" si="1"/>
        <v>0</v>
      </c>
    </row>
    <row r="64" spans="2:15" x14ac:dyDescent="0.45">
      <c r="B64" s="3020" t="s">
        <v>277</v>
      </c>
      <c r="C64" s="2377" t="s">
        <v>204</v>
      </c>
      <c r="D64" s="3008" t="s">
        <v>208</v>
      </c>
      <c r="E64" s="3029" t="str">
        <f>IF(AND($E$6=1, ROUND(FTE_3_Part_time!$H59, 2)&lt;&gt;FTE_3_Part_time!$H59), CONCATENATE("Price group", " ", $B64, ", ", $C64, " ", "Length", ", Level ", $D64, "; "), "")</f>
        <v/>
      </c>
      <c r="F64" s="3028" t="str">
        <f>IF(AND($F$6=1,FTE_3_Part_time!$G59&lt;&gt;0,ABS(FTE_3_Part_time!$H59-FTE_3_Part_time!$G59)&lt;$F$10),CONCATENATE("Price group"," ",$B64,", ",$C64," ","Length",", Level ",$D64,"; "),"")</f>
        <v/>
      </c>
      <c r="G64" s="3027" t="str">
        <f>IF(AND($G$6=1,LEN(FTE_3_Part_time!$J59)&gt;2000), CONCATENATE("Price group", " ", $B64, ", ", $C64, " ", "Length", ", Level ", $D64, "; "), "")</f>
        <v/>
      </c>
      <c r="H64" s="3028" t="str">
        <f>IF(AND($H$6=1,OR(AND(FTE_3_Part_time!$H59=0,FTE_3_Part_time!$J59&lt;&gt;""),AND(FTE_3_Part_time!$H59&lt;&gt;0,FTE_3_Part_time!$J59=""))),CONCATENATE("Price group"," ",$B64,", ",$C64," ","Length",", Level ",$D64,"; "),"")</f>
        <v/>
      </c>
      <c r="I64" s="3029" t="str">
        <f>IF(AND($I$6=1,FTE_3_Part_time!$G59=0,OR(FTE_3_Part_time!$H59&lt;&gt;0,FTE_3_Part_time!$J59&lt;&gt;"")),CONCATENATE("Price group"," ",$B64,", ",$C64," ","Length",", Level ",$D64,"; "),"")</f>
        <v/>
      </c>
      <c r="K64" s="3016"/>
      <c r="L64" s="3026" t="s">
        <v>277</v>
      </c>
      <c r="M64" s="3024">
        <f t="shared" si="0"/>
        <v>0</v>
      </c>
      <c r="N64" s="3025"/>
      <c r="O64" s="3024">
        <f t="shared" si="1"/>
        <v>0</v>
      </c>
    </row>
    <row r="65" spans="1:16" x14ac:dyDescent="0.45">
      <c r="B65" s="3020" t="s">
        <v>277</v>
      </c>
      <c r="C65" s="2377" t="s">
        <v>204</v>
      </c>
      <c r="D65" s="3008" t="s">
        <v>210</v>
      </c>
      <c r="E65" s="3029" t="str">
        <f>IF(AND($E$6=1, ROUND(FTE_3_Part_time!$H60, 2)&lt;&gt;FTE_3_Part_time!$H60), CONCATENATE("Price group", " ", $B65, ", ", $C65, " ", "Length", ", Level ", $D65, "; "), "")</f>
        <v/>
      </c>
      <c r="F65" s="3028" t="str">
        <f>IF(AND($F$6=1,FTE_3_Part_time!$G60&lt;&gt;0,ABS(FTE_3_Part_time!$H60-FTE_3_Part_time!$G60)&lt;$F$10),CONCATENATE("Price group"," ",$B65,", ",$C65," ","Length",", Level ",$D65,"; "),"")</f>
        <v/>
      </c>
      <c r="G65" s="3027" t="str">
        <f>IF(AND($G$6=1,LEN(FTE_3_Part_time!$J60)&gt;2000), CONCATENATE("Price group", " ", $B65, ", ", $C65, " ", "Length", ", Level ", $D65, "; "), "")</f>
        <v/>
      </c>
      <c r="H65" s="3028" t="str">
        <f>IF(AND($H$6=1,OR(AND(FTE_3_Part_time!$H60=0,FTE_3_Part_time!$J60&lt;&gt;""),AND(FTE_3_Part_time!$H60&lt;&gt;0,FTE_3_Part_time!$J60=""))),CONCATENATE("Price group"," ",$B65,", ",$C65," ","Length",", Level ",$D65,"; "),"")</f>
        <v/>
      </c>
      <c r="I65" s="3029" t="str">
        <f>IF(AND($I$6=1,FTE_3_Part_time!$G60=0,OR(FTE_3_Part_time!$H60&lt;&gt;0,FTE_3_Part_time!$J60&lt;&gt;"")),CONCATENATE("Price group"," ",$B65,", ",$C65," ","Length",", Level ",$D65,"; "),"")</f>
        <v/>
      </c>
      <c r="K65" s="3016"/>
      <c r="L65" s="3026" t="s">
        <v>277</v>
      </c>
      <c r="M65" s="3024">
        <f t="shared" si="0"/>
        <v>0</v>
      </c>
      <c r="N65" s="3025"/>
      <c r="O65" s="3024">
        <f t="shared" si="1"/>
        <v>0</v>
      </c>
    </row>
    <row r="66" spans="1:16" x14ac:dyDescent="0.45">
      <c r="B66" s="3020" t="s">
        <v>277</v>
      </c>
      <c r="C66" s="2377" t="s">
        <v>204</v>
      </c>
      <c r="D66" s="3008" t="s">
        <v>212</v>
      </c>
      <c r="E66" s="3029" t="str">
        <f>IF(AND($E$6=1, ROUND(FTE_3_Part_time!$H61, 2)&lt;&gt;FTE_3_Part_time!$H61), CONCATENATE("Price group", " ", $B66, ", ", $C66, " ", "Length", ", Level ", $D66, "; "), "")</f>
        <v/>
      </c>
      <c r="F66" s="3028" t="str">
        <f>IF(AND($F$6=1,FTE_3_Part_time!$G61&lt;&gt;0,ABS(FTE_3_Part_time!$H61-FTE_3_Part_time!$G61)&lt;$F$10),CONCATENATE("Price group"," ",$B66,", ",$C66," ","Length",", Level ",$D66,"; "),"")</f>
        <v/>
      </c>
      <c r="G66" s="3027" t="str">
        <f>IF(AND($G$6=1,LEN(FTE_3_Part_time!$J61)&gt;2000), CONCATENATE("Price group", " ", $B66, ", ", $C66, " ", "Length", ", Level ", $D66, "; "), "")</f>
        <v/>
      </c>
      <c r="H66" s="3028" t="str">
        <f>IF(AND($H$6=1,OR(AND(FTE_3_Part_time!$H61=0,FTE_3_Part_time!$J61&lt;&gt;""),AND(FTE_3_Part_time!$H61&lt;&gt;0,FTE_3_Part_time!$J61=""))),CONCATENATE("Price group"," ",$B66,", ",$C66," ","Length",", Level ",$D66,"; "),"")</f>
        <v/>
      </c>
      <c r="I66" s="3029" t="str">
        <f>IF(AND($I$6=1,FTE_3_Part_time!$G61=0,OR(FTE_3_Part_time!$H61&lt;&gt;0,FTE_3_Part_time!$J61&lt;&gt;"")),CONCATENATE("Price group"," ",$B66,", ",$C66," ","Length",", Level ",$D66,"; "),"")</f>
        <v/>
      </c>
      <c r="K66" s="3016"/>
      <c r="L66" s="3026" t="s">
        <v>277</v>
      </c>
      <c r="M66" s="3024">
        <f t="shared" si="0"/>
        <v>0</v>
      </c>
      <c r="N66" s="3025"/>
      <c r="O66" s="3024">
        <f t="shared" si="1"/>
        <v>0</v>
      </c>
    </row>
    <row r="67" spans="1:16" x14ac:dyDescent="0.45">
      <c r="B67" s="3020" t="s">
        <v>277</v>
      </c>
      <c r="C67" s="2377" t="s">
        <v>204</v>
      </c>
      <c r="D67" s="3008" t="s">
        <v>214</v>
      </c>
      <c r="E67" s="3029" t="str">
        <f>IF(AND($E$6=1, ROUND(FTE_3_Part_time!$H62, 2)&lt;&gt;FTE_3_Part_time!$H62), CONCATENATE("Price group", " ", $B67, ", ", $C67, " ", "Length", ", Level ", $D67, "; "), "")</f>
        <v/>
      </c>
      <c r="F67" s="3028" t="str">
        <f>IF(AND($F$6=1,FTE_3_Part_time!$G62&lt;&gt;0,ABS(FTE_3_Part_time!$H62-FTE_3_Part_time!$G62)&lt;$F$10),CONCATENATE("Price group"," ",$B67,", ",$C67," ","Length",", Level ",$D67,"; "),"")</f>
        <v/>
      </c>
      <c r="G67" s="3027" t="str">
        <f>IF(AND($G$6=1,LEN(FTE_3_Part_time!$J62)&gt;2000), CONCATENATE("Price group", " ", $B67, ", ", $C67, " ", "Length", ", Level ", $D67, "; "), "")</f>
        <v/>
      </c>
      <c r="H67" s="3028" t="str">
        <f>IF(AND($H$6=1,OR(AND(FTE_3_Part_time!$H62=0,FTE_3_Part_time!$J62&lt;&gt;""),AND(FTE_3_Part_time!$H62&lt;&gt;0,FTE_3_Part_time!$J62=""))),CONCATENATE("Price group"," ",$B67,", ",$C67," ","Length",", Level ",$D67,"; "),"")</f>
        <v/>
      </c>
      <c r="I67" s="3029" t="str">
        <f>IF(AND($I$6=1,FTE_3_Part_time!$G62=0,OR(FTE_3_Part_time!$H62&lt;&gt;0,FTE_3_Part_time!$J62&lt;&gt;"")),CONCATENATE("Price group"," ",$B67,", ",$C67," ","Length",", Level ",$D67,"; "),"")</f>
        <v/>
      </c>
      <c r="K67" s="3016"/>
      <c r="L67" s="3026" t="s">
        <v>277</v>
      </c>
      <c r="M67" s="3024">
        <f t="shared" si="0"/>
        <v>0</v>
      </c>
      <c r="N67" s="3025"/>
      <c r="O67" s="3024">
        <f t="shared" si="1"/>
        <v>0</v>
      </c>
    </row>
    <row r="68" spans="1:16" x14ac:dyDescent="0.45">
      <c r="B68" s="3020" t="s">
        <v>277</v>
      </c>
      <c r="C68" s="2377" t="s">
        <v>218</v>
      </c>
      <c r="D68" s="3008" t="s">
        <v>205</v>
      </c>
      <c r="E68" s="3029" t="str">
        <f>IF(AND($E$6=1, ROUND(FTE_3_Part_time!$H63, 2)&lt;&gt;FTE_3_Part_time!$H63), CONCATENATE("Price group", " ", $B68, ", ", $C68, " ", "Length", ", Level ", $D68, "; "), "")</f>
        <v/>
      </c>
      <c r="F68" s="3028" t="str">
        <f>IF(AND($F$6=1,FTE_3_Part_time!$G63&lt;&gt;0,ABS(FTE_3_Part_time!$H63-FTE_3_Part_time!$G63)&lt;$F$10),CONCATENATE("Price group"," ",$B68,", ",$C68," ","Length",", Level ",$D68,"; "),"")</f>
        <v/>
      </c>
      <c r="G68" s="3027" t="str">
        <f>IF(AND($G$6=1,LEN(FTE_3_Part_time!$J63)&gt;2000), CONCATENATE("Price group", " ", $B68, ", ", $C68, " ", "Length", ", Level ", $D68, "; "), "")</f>
        <v/>
      </c>
      <c r="H68" s="3028" t="str">
        <f>IF(AND($H$6=1,OR(AND(FTE_3_Part_time!$H63=0,FTE_3_Part_time!$J63&lt;&gt;""),AND(FTE_3_Part_time!$H63&lt;&gt;0,FTE_3_Part_time!$J63=""))),CONCATENATE("Price group"," ",$B68,", ",$C68," ","Length",", Level ",$D68,"; "),"")</f>
        <v/>
      </c>
      <c r="I68" s="3029" t="str">
        <f>IF(AND($I$6=1,FTE_3_Part_time!$G63=0,OR(FTE_3_Part_time!$H63&lt;&gt;0,FTE_3_Part_time!$J63&lt;&gt;"")),CONCATENATE("Price group"," ",$B68,", ",$C68," ","Length",", Level ",$D68,"; "),"")</f>
        <v/>
      </c>
      <c r="K68" s="3016"/>
      <c r="L68" s="3026" t="s">
        <v>277</v>
      </c>
      <c r="M68" s="3024">
        <f t="shared" si="0"/>
        <v>0</v>
      </c>
      <c r="N68" s="3025"/>
      <c r="O68" s="3024">
        <f t="shared" si="1"/>
        <v>0</v>
      </c>
    </row>
    <row r="69" spans="1:16" x14ac:dyDescent="0.45">
      <c r="B69" s="3020" t="s">
        <v>277</v>
      </c>
      <c r="C69" s="2377" t="s">
        <v>218</v>
      </c>
      <c r="D69" s="3008" t="s">
        <v>208</v>
      </c>
      <c r="E69" s="3029" t="str">
        <f>IF(AND($E$6=1, ROUND(FTE_3_Part_time!$H64, 2)&lt;&gt;FTE_3_Part_time!$H64), CONCATENATE("Price group", " ", $B69, ", ", $C69, " ", "Length", ", Level ", $D69, "; "), "")</f>
        <v/>
      </c>
      <c r="F69" s="3028" t="str">
        <f>IF(AND($F$6=1,FTE_3_Part_time!$G64&lt;&gt;0,ABS(FTE_3_Part_time!$H64-FTE_3_Part_time!$G64)&lt;$F$10),CONCATENATE("Price group"," ",$B69,", ",$C69," ","Length",", Level ",$D69,"; "),"")</f>
        <v/>
      </c>
      <c r="G69" s="3027" t="str">
        <f>IF(AND($G$6=1,LEN(FTE_3_Part_time!$J64)&gt;2000), CONCATENATE("Price group", " ", $B69, ", ", $C69, " ", "Length", ", Level ", $D69, "; "), "")</f>
        <v/>
      </c>
      <c r="H69" s="3028" t="str">
        <f>IF(AND($H$6=1,OR(AND(FTE_3_Part_time!$H64=0,FTE_3_Part_time!$J64&lt;&gt;""),AND(FTE_3_Part_time!$H64&lt;&gt;0,FTE_3_Part_time!$J64=""))),CONCATENATE("Price group"," ",$B69,", ",$C69," ","Length",", Level ",$D69,"; "),"")</f>
        <v/>
      </c>
      <c r="I69" s="3029" t="str">
        <f>IF(AND($I$6=1,FTE_3_Part_time!$G64=0,OR(FTE_3_Part_time!$H64&lt;&gt;0,FTE_3_Part_time!$J64&lt;&gt;"")),CONCATENATE("Price group"," ",$B69,", ",$C69," ","Length",", Level ",$D69,"; "),"")</f>
        <v/>
      </c>
      <c r="K69" s="3016"/>
      <c r="L69" s="3026" t="s">
        <v>277</v>
      </c>
      <c r="M69" s="3024">
        <f t="shared" si="0"/>
        <v>0</v>
      </c>
      <c r="N69" s="3025"/>
      <c r="O69" s="3024">
        <f t="shared" si="1"/>
        <v>0</v>
      </c>
    </row>
    <row r="70" spans="1:16" x14ac:dyDescent="0.45">
      <c r="B70" s="3020" t="s">
        <v>277</v>
      </c>
      <c r="C70" s="2377" t="s">
        <v>218</v>
      </c>
      <c r="D70" s="3008" t="s">
        <v>210</v>
      </c>
      <c r="E70" s="3029" t="str">
        <f>IF(AND($E$6=1, ROUND(FTE_3_Part_time!$H65, 2)&lt;&gt;FTE_3_Part_time!$H65), CONCATENATE("Price group", " ", $B70, ", ", $C70, " ", "Length", ", Level ", $D70, "; "), "")</f>
        <v/>
      </c>
      <c r="F70" s="3028" t="str">
        <f>IF(AND($F$6=1,FTE_3_Part_time!$G65&lt;&gt;0,ABS(FTE_3_Part_time!$H65-FTE_3_Part_time!$G65)&lt;$F$10),CONCATENATE("Price group"," ",$B70,", ",$C70," ","Length",", Level ",$D70,"; "),"")</f>
        <v/>
      </c>
      <c r="G70" s="3027" t="str">
        <f>IF(AND($G$6=1,LEN(FTE_3_Part_time!$J65)&gt;2000), CONCATENATE("Price group", " ", $B70, ", ", $C70, " ", "Length", ", Level ", $D70, "; "), "")</f>
        <v/>
      </c>
      <c r="H70" s="3028" t="str">
        <f>IF(AND($H$6=1,OR(AND(FTE_3_Part_time!$H65=0,FTE_3_Part_time!$J65&lt;&gt;""),AND(FTE_3_Part_time!$H65&lt;&gt;0,FTE_3_Part_time!$J65=""))),CONCATENATE("Price group"," ",$B70,", ",$C70," ","Length",", Level ",$D70,"; "),"")</f>
        <v/>
      </c>
      <c r="I70" s="3029" t="str">
        <f>IF(AND($I$6=1,FTE_3_Part_time!$G65=0,OR(FTE_3_Part_time!$H65&lt;&gt;0,FTE_3_Part_time!$J65&lt;&gt;"")),CONCATENATE("Price group"," ",$B70,", ",$C70," ","Length",", Level ",$D70,"; "),"")</f>
        <v/>
      </c>
      <c r="K70" s="3016"/>
      <c r="L70" s="3026" t="s">
        <v>277</v>
      </c>
      <c r="M70" s="3024">
        <f t="shared" si="0"/>
        <v>0</v>
      </c>
      <c r="N70" s="3025"/>
      <c r="O70" s="3024">
        <f t="shared" si="1"/>
        <v>0</v>
      </c>
    </row>
    <row r="71" spans="1:16" x14ac:dyDescent="0.45">
      <c r="B71" s="3020" t="s">
        <v>277</v>
      </c>
      <c r="C71" s="2377" t="s">
        <v>218</v>
      </c>
      <c r="D71" s="3008" t="s">
        <v>212</v>
      </c>
      <c r="E71" s="3029" t="str">
        <f>IF(AND($E$6=1, ROUND(FTE_3_Part_time!$H66, 2)&lt;&gt;FTE_3_Part_time!$H66), CONCATENATE("Price group", " ", $B71, ", ", $C71, " ", "Length", ", Level ", $D71, "; "), "")</f>
        <v/>
      </c>
      <c r="F71" s="3028" t="str">
        <f>IF(AND($F$6=1,FTE_3_Part_time!$G66&lt;&gt;0,ABS(FTE_3_Part_time!$H66-FTE_3_Part_time!$G66)&lt;$F$10),CONCATENATE("Price group"," ",$B71,", ",$C71," ","Length",", Level ",$D71,"; "),"")</f>
        <v/>
      </c>
      <c r="G71" s="3027" t="str">
        <f>IF(AND($G$6=1,LEN(FTE_3_Part_time!$J66)&gt;2000), CONCATENATE("Price group", " ", $B71, ", ", $C71, " ", "Length", ", Level ", $D71, "; "), "")</f>
        <v/>
      </c>
      <c r="H71" s="3028" t="str">
        <f>IF(AND($H$6=1,OR(AND(FTE_3_Part_time!$H66=0,FTE_3_Part_time!$J66&lt;&gt;""),AND(FTE_3_Part_time!$H66&lt;&gt;0,FTE_3_Part_time!$J66=""))),CONCATENATE("Price group"," ",$B71,", ",$C71," ","Length",", Level ",$D71,"; "),"")</f>
        <v/>
      </c>
      <c r="I71" s="3029" t="str">
        <f>IF(AND($I$6=1,FTE_3_Part_time!$G66=0,OR(FTE_3_Part_time!$H66&lt;&gt;0,FTE_3_Part_time!$J66&lt;&gt;"")),CONCATENATE("Price group"," ",$B71,", ",$C71," ","Length",", Level ",$D71,"; "),"")</f>
        <v/>
      </c>
      <c r="K71" s="3016"/>
      <c r="L71" s="3026" t="s">
        <v>277</v>
      </c>
      <c r="M71" s="3024">
        <f t="shared" si="0"/>
        <v>0</v>
      </c>
      <c r="N71" s="3025"/>
      <c r="O71" s="3024">
        <f t="shared" si="1"/>
        <v>0</v>
      </c>
    </row>
    <row r="72" spans="1:16" x14ac:dyDescent="0.45">
      <c r="A72" s="3021"/>
      <c r="B72" s="3032" t="s">
        <v>277</v>
      </c>
      <c r="C72" s="3031" t="s">
        <v>218</v>
      </c>
      <c r="D72" s="3030" t="s">
        <v>214</v>
      </c>
      <c r="E72" s="3027" t="str">
        <f>IF(AND($E$6=1, ROUND(FTE_3_Part_time!$H67, 2)&lt;&gt;FTE_3_Part_time!$H67), CONCATENATE("Price group", " ", $B72, ", ", $C72, " ", "Length", ", Level ", $D72, "; "), "")</f>
        <v/>
      </c>
      <c r="F72" s="3027" t="str">
        <f>IF(AND($F$6=1,FTE_3_Part_time!$G67&lt;&gt;0,ABS(FTE_3_Part_time!$H67-FTE_3_Part_time!$G67)&lt;$F$10),CONCATENATE("Price group"," ",$B72,", ",$C72," ","Length",", Level ",$D72,"; "),"")</f>
        <v/>
      </c>
      <c r="G72" s="3027" t="str">
        <f>IF(AND($G$6=1,LEN(FTE_3_Part_time!$J67)&gt;2000), CONCATENATE("Price group", " ", $B72, ", ", $C72, " ", "Length", ", Level ", $D72, "; "), "")</f>
        <v/>
      </c>
      <c r="H72" s="3028" t="str">
        <f>IF(AND($H$6=1,OR(AND(FTE_3_Part_time!$H67=0,FTE_3_Part_time!$J67&lt;&gt;""),AND(FTE_3_Part_time!$H67&lt;&gt;0,FTE_3_Part_time!$J67=""))),CONCATENATE("Price group"," ",$B72,", ",$C72," ","Length",", Level ",$D72,"; "),"")</f>
        <v/>
      </c>
      <c r="I72" s="3027" t="str">
        <f>IF(AND($I$6=1,FTE_3_Part_time!$G67=0,OR(FTE_3_Part_time!$H67&lt;&gt;0,FTE_3_Part_time!$J67&lt;&gt;"")),CONCATENATE("Price group"," ",$B72,", ",$C72," ","Length",", Level ",$D72,"; "),"")</f>
        <v/>
      </c>
      <c r="K72" s="3016"/>
      <c r="L72" s="3026" t="s">
        <v>277</v>
      </c>
      <c r="M72" s="3024">
        <f t="shared" si="0"/>
        <v>0</v>
      </c>
      <c r="N72" s="3025"/>
      <c r="O72" s="3024">
        <f t="shared" si="1"/>
        <v>0</v>
      </c>
    </row>
    <row r="73" spans="1:16" x14ac:dyDescent="0.45">
      <c r="A73" s="3021"/>
      <c r="G73" s="2377"/>
      <c r="H73" s="3022"/>
      <c r="K73" s="3016"/>
      <c r="L73" s="2377"/>
    </row>
    <row r="74" spans="1:16" x14ac:dyDescent="0.45">
      <c r="A74" s="3021"/>
      <c r="B74" s="3016"/>
      <c r="E74" s="2377" t="s">
        <v>29639</v>
      </c>
      <c r="F74" s="2377" t="s">
        <v>29638</v>
      </c>
      <c r="G74" s="2377" t="s">
        <v>29637</v>
      </c>
      <c r="H74" s="2377" t="s">
        <v>29636</v>
      </c>
      <c r="I74" s="2377" t="s">
        <v>29635</v>
      </c>
      <c r="K74" s="3016"/>
      <c r="L74" s="2377"/>
    </row>
    <row r="75" spans="1:16" x14ac:dyDescent="0.45">
      <c r="B75" s="3020"/>
      <c r="E75" s="3121" t="str">
        <f>CONCATENATE(E13,E14,E15,E16,E17,E18,E19,E20,E21,E22,E23,E24,E25,E26,E27,E28,E29,E30,E31,E32,E33,E34,E35,E36,E37,E38,E39,E40,E41,E42,E43,E44,E45,E46,E47,E48,E49,E50,E51,E52,E53,E54,E55,E56,E57,E58,E59,E60,E61,E62,E63,E64,E65,E66,E67,E68,E69,E70,E71,E72)</f>
        <v/>
      </c>
      <c r="F75" s="3121" t="str">
        <f t="shared" ref="F75:I75" si="2">CONCATENATE(F13,F14,F15,F16,F17,F18,F19,F20,F21,F22,F23,F24,F25,F26,F27,F28,F29,F30,F31,F32,F33,F34,F35,F36,F37,F38,F39,F40,F41,F42,F43,F44,F45,F46,F47,F48,F49,F50,F51,F52,F53,F54,F55,F56,F57,F58,F59,F60,F61,F62,F63,F64,F65,F66,F67,F68,F69,F70,F71,F72)</f>
        <v/>
      </c>
      <c r="G75" s="3122" t="str">
        <f t="shared" si="2"/>
        <v/>
      </c>
      <c r="H75" s="3123" t="str">
        <f t="shared" si="2"/>
        <v/>
      </c>
      <c r="I75" s="3124" t="str">
        <f t="shared" si="2"/>
        <v/>
      </c>
      <c r="K75" s="3016"/>
      <c r="P75" s="2377"/>
    </row>
    <row r="76" spans="1:16" x14ac:dyDescent="0.45">
      <c r="B76" s="3019"/>
      <c r="C76" s="3017"/>
      <c r="D76" s="3017"/>
      <c r="E76" s="3018"/>
      <c r="F76" s="3018"/>
      <c r="G76" s="3017"/>
      <c r="H76" s="3017"/>
      <c r="I76" s="3018"/>
      <c r="J76" s="3018"/>
      <c r="K76" s="3016"/>
      <c r="P76" s="2377"/>
    </row>
    <row r="77" spans="1:16" x14ac:dyDescent="0.45">
      <c r="B77" s="2377"/>
      <c r="C77" s="2377"/>
      <c r="D77" s="3009"/>
      <c r="E77" s="3013"/>
      <c r="F77" s="3013"/>
      <c r="G77" s="3013"/>
      <c r="H77" s="3013"/>
      <c r="I77" s="3013"/>
      <c r="P77" s="2377"/>
    </row>
    <row r="78" spans="1:16" x14ac:dyDescent="0.45">
      <c r="B78" s="2343"/>
      <c r="C78" s="2269"/>
      <c r="D78" s="2313"/>
      <c r="P78" s="2377"/>
    </row>
    <row r="79" spans="1:16" x14ac:dyDescent="0.45">
      <c r="B79" s="3008"/>
      <c r="C79" s="2377"/>
      <c r="D79" s="3008"/>
      <c r="E79" s="3015"/>
      <c r="F79" s="3015"/>
      <c r="G79" s="3015"/>
      <c r="H79" s="3015"/>
      <c r="I79" s="3015"/>
      <c r="P79" s="2377"/>
    </row>
    <row r="80" spans="1:16" x14ac:dyDescent="0.45">
      <c r="B80" s="3008"/>
      <c r="C80" s="2377"/>
      <c r="D80" s="3008"/>
      <c r="E80" s="3015"/>
      <c r="F80" s="3015"/>
      <c r="G80" s="3015"/>
      <c r="H80" s="3015"/>
      <c r="I80" s="3015"/>
      <c r="P80" s="2377"/>
    </row>
    <row r="81" spans="2:16" x14ac:dyDescent="0.45">
      <c r="B81" s="3008"/>
      <c r="C81" s="2377"/>
      <c r="D81" s="3008"/>
      <c r="E81" s="3015"/>
      <c r="F81" s="3015"/>
      <c r="G81" s="3015"/>
      <c r="H81" s="3015"/>
      <c r="I81" s="3015"/>
      <c r="P81" s="2377"/>
    </row>
    <row r="82" spans="2:16" x14ac:dyDescent="0.45">
      <c r="B82" s="3008"/>
      <c r="C82" s="2377"/>
      <c r="D82" s="3008"/>
      <c r="E82" s="3015"/>
      <c r="F82" s="3015"/>
      <c r="G82" s="3015"/>
      <c r="H82" s="3015"/>
      <c r="I82" s="3015"/>
      <c r="P82" s="2377"/>
    </row>
    <row r="83" spans="2:16" x14ac:dyDescent="0.45">
      <c r="B83" s="3008"/>
      <c r="C83" s="2377"/>
      <c r="D83" s="3008"/>
      <c r="E83" s="3015"/>
      <c r="F83" s="3015"/>
      <c r="G83" s="3015"/>
      <c r="H83" s="3015"/>
      <c r="I83" s="3015"/>
      <c r="P83" s="2377"/>
    </row>
    <row r="84" spans="2:16" x14ac:dyDescent="0.45">
      <c r="E84" s="2377"/>
      <c r="F84" s="2377"/>
      <c r="G84" s="2377"/>
      <c r="H84" s="2377"/>
      <c r="I84" s="2377"/>
      <c r="P84" s="2377"/>
    </row>
    <row r="85" spans="2:16" x14ac:dyDescent="0.45">
      <c r="H85" s="2377"/>
      <c r="I85" s="2377"/>
      <c r="P85" s="2377"/>
    </row>
    <row r="86" spans="2:16" x14ac:dyDescent="0.45">
      <c r="C86" s="3009"/>
      <c r="D86" s="3008"/>
      <c r="E86" s="2377"/>
      <c r="F86" s="2377"/>
      <c r="G86" s="2377"/>
      <c r="H86" s="2377"/>
      <c r="I86" s="2377"/>
      <c r="P86" s="2377"/>
    </row>
    <row r="87" spans="2:16" x14ac:dyDescent="0.45">
      <c r="C87" s="2377"/>
      <c r="D87" s="2377"/>
      <c r="E87" s="3009"/>
      <c r="F87" s="3009"/>
      <c r="G87" s="3009"/>
      <c r="H87" s="2377"/>
      <c r="I87" s="2377"/>
      <c r="P87" s="2377"/>
    </row>
    <row r="88" spans="2:16" x14ac:dyDescent="0.45">
      <c r="C88" s="2377"/>
      <c r="D88" s="2377"/>
      <c r="E88" s="3009"/>
      <c r="F88" s="3009"/>
      <c r="G88" s="3009"/>
      <c r="H88" s="2377"/>
      <c r="I88" s="2377"/>
      <c r="P88" s="2377"/>
    </row>
    <row r="89" spans="2:16" x14ac:dyDescent="0.45">
      <c r="B89" s="3008"/>
      <c r="C89" s="2377"/>
      <c r="D89" s="2377"/>
      <c r="E89" s="2377"/>
      <c r="F89" s="2377"/>
      <c r="G89" s="2377"/>
      <c r="H89" s="2377"/>
      <c r="I89" s="2377"/>
      <c r="P89" s="2377"/>
    </row>
    <row r="90" spans="2:16" x14ac:dyDescent="0.45">
      <c r="B90" s="3008"/>
      <c r="C90" s="2377"/>
      <c r="D90" s="3008"/>
      <c r="E90" s="2377"/>
      <c r="F90" s="2377"/>
      <c r="G90" s="2377"/>
      <c r="H90" s="2377"/>
      <c r="I90" s="2377"/>
      <c r="P90" s="2377"/>
    </row>
    <row r="91" spans="2:16" x14ac:dyDescent="0.45">
      <c r="B91" s="3008"/>
      <c r="C91" s="2377"/>
      <c r="D91" s="3008"/>
      <c r="E91" s="2377"/>
      <c r="F91" s="2377"/>
      <c r="G91" s="2377"/>
      <c r="H91" s="2377"/>
      <c r="I91" s="2377"/>
      <c r="P91" s="2377"/>
    </row>
    <row r="92" spans="2:16" x14ac:dyDescent="0.45">
      <c r="B92" s="3008"/>
      <c r="C92" s="2377"/>
      <c r="D92" s="3008"/>
      <c r="E92" s="2377"/>
      <c r="F92" s="2377"/>
      <c r="G92" s="2377"/>
      <c r="H92" s="2377"/>
      <c r="I92" s="2377"/>
      <c r="P92" s="2377"/>
    </row>
    <row r="93" spans="2:16" x14ac:dyDescent="0.45">
      <c r="B93" s="3008"/>
      <c r="C93" s="2377"/>
      <c r="D93" s="3008"/>
      <c r="E93" s="2377"/>
      <c r="F93" s="2377"/>
      <c r="G93" s="2377"/>
      <c r="H93" s="2377"/>
      <c r="I93" s="2377"/>
      <c r="P93" s="2377"/>
    </row>
    <row r="94" spans="2:16" x14ac:dyDescent="0.45">
      <c r="B94" s="3008"/>
      <c r="C94" s="2377"/>
      <c r="D94" s="3008"/>
      <c r="E94" s="2377"/>
      <c r="F94" s="2377"/>
      <c r="G94" s="2377"/>
      <c r="H94" s="2377"/>
      <c r="I94" s="2377"/>
      <c r="P94" s="2377"/>
    </row>
    <row r="95" spans="2:16" x14ac:dyDescent="0.45">
      <c r="B95" s="3008"/>
      <c r="C95" s="2377"/>
      <c r="D95" s="3008"/>
      <c r="E95" s="2377"/>
      <c r="F95" s="2377"/>
      <c r="G95" s="2377"/>
      <c r="H95" s="2377"/>
      <c r="I95" s="2377"/>
      <c r="P95" s="2377"/>
    </row>
    <row r="96" spans="2:16" x14ac:dyDescent="0.45">
      <c r="B96" s="3008"/>
      <c r="C96" s="2377"/>
      <c r="D96" s="3008"/>
      <c r="E96" s="2377"/>
      <c r="F96" s="2377"/>
      <c r="G96" s="2377"/>
      <c r="H96" s="2377"/>
      <c r="I96" s="2377"/>
      <c r="P96" s="2377"/>
    </row>
    <row r="97" spans="2:16" x14ac:dyDescent="0.45">
      <c r="B97" s="3008"/>
      <c r="C97" s="2377"/>
      <c r="D97" s="3008"/>
      <c r="E97" s="2377"/>
      <c r="F97" s="2377"/>
      <c r="G97" s="2377"/>
      <c r="H97" s="2377"/>
      <c r="I97" s="2377"/>
      <c r="P97" s="2377"/>
    </row>
    <row r="98" spans="2:16" x14ac:dyDescent="0.45">
      <c r="B98" s="3008"/>
      <c r="C98" s="2377"/>
      <c r="D98" s="3008"/>
      <c r="E98" s="2377"/>
      <c r="F98" s="2377"/>
      <c r="G98" s="2377"/>
      <c r="H98" s="2377"/>
      <c r="I98" s="2377"/>
      <c r="P98" s="2377"/>
    </row>
    <row r="99" spans="2:16" x14ac:dyDescent="0.45">
      <c r="B99" s="3008"/>
      <c r="C99" s="2377"/>
      <c r="D99" s="3008"/>
      <c r="E99" s="2377"/>
      <c r="F99" s="2377"/>
      <c r="G99" s="2377"/>
      <c r="H99" s="2377"/>
      <c r="I99" s="2377"/>
      <c r="P99" s="2377"/>
    </row>
    <row r="100" spans="2:16" x14ac:dyDescent="0.45">
      <c r="B100" s="3008"/>
      <c r="C100" s="2377"/>
      <c r="D100" s="3008"/>
      <c r="E100" s="2377"/>
      <c r="F100" s="2377"/>
      <c r="G100" s="2377"/>
      <c r="H100" s="2377"/>
      <c r="I100" s="2377"/>
      <c r="P100" s="2377"/>
    </row>
    <row r="101" spans="2:16" x14ac:dyDescent="0.45">
      <c r="B101" s="3008"/>
      <c r="C101" s="2377"/>
      <c r="D101" s="3008"/>
      <c r="E101" s="2377"/>
      <c r="F101" s="2377"/>
      <c r="G101" s="2377"/>
      <c r="H101" s="2377"/>
      <c r="I101" s="2377"/>
      <c r="P101" s="2377"/>
    </row>
    <row r="102" spans="2:16" x14ac:dyDescent="0.45">
      <c r="B102" s="3008"/>
      <c r="C102" s="2377"/>
      <c r="D102" s="3008"/>
      <c r="E102" s="2377"/>
      <c r="F102" s="2377"/>
      <c r="G102" s="2377"/>
      <c r="H102" s="2377"/>
      <c r="I102" s="2377"/>
      <c r="P102" s="2377"/>
    </row>
    <row r="103" spans="2:16" x14ac:dyDescent="0.45">
      <c r="B103" s="3008"/>
      <c r="C103" s="2377"/>
      <c r="D103" s="3008"/>
      <c r="E103" s="2377"/>
      <c r="F103" s="2377"/>
      <c r="G103" s="2377"/>
      <c r="H103" s="2377"/>
      <c r="I103" s="2377"/>
      <c r="P103" s="2377"/>
    </row>
    <row r="104" spans="2:16" x14ac:dyDescent="0.45">
      <c r="B104" s="3008"/>
      <c r="C104" s="2377"/>
      <c r="D104" s="3008"/>
      <c r="E104" s="2377"/>
      <c r="F104" s="2377"/>
      <c r="G104" s="2377"/>
      <c r="H104" s="2377"/>
      <c r="I104" s="2377"/>
      <c r="P104" s="2377"/>
    </row>
    <row r="105" spans="2:16" x14ac:dyDescent="0.45">
      <c r="B105" s="3008"/>
      <c r="C105" s="2377"/>
      <c r="D105" s="3008"/>
      <c r="E105" s="2377"/>
      <c r="F105" s="2377"/>
      <c r="G105" s="2377"/>
      <c r="H105" s="2377"/>
      <c r="I105" s="2377"/>
      <c r="P105" s="2377"/>
    </row>
    <row r="106" spans="2:16" x14ac:dyDescent="0.45">
      <c r="B106" s="3008"/>
      <c r="C106" s="2377"/>
      <c r="D106" s="3008"/>
      <c r="E106" s="2377"/>
      <c r="F106" s="2377"/>
      <c r="G106" s="2377"/>
      <c r="H106" s="2377"/>
      <c r="I106" s="2377"/>
      <c r="P106" s="2377"/>
    </row>
    <row r="107" spans="2:16" x14ac:dyDescent="0.45">
      <c r="B107" s="3008"/>
      <c r="C107" s="2377"/>
      <c r="D107" s="3008"/>
      <c r="E107" s="2377"/>
      <c r="F107" s="2377"/>
      <c r="G107" s="2377"/>
      <c r="H107" s="2377"/>
      <c r="I107" s="2377"/>
      <c r="P107" s="2377"/>
    </row>
    <row r="108" spans="2:16" x14ac:dyDescent="0.45">
      <c r="B108" s="3008"/>
      <c r="C108" s="2377"/>
      <c r="D108" s="3008"/>
      <c r="E108" s="2377"/>
      <c r="F108" s="2377"/>
      <c r="G108" s="2377"/>
      <c r="H108" s="2377"/>
      <c r="I108" s="2377"/>
      <c r="P108" s="2377"/>
    </row>
    <row r="109" spans="2:16" x14ac:dyDescent="0.45">
      <c r="B109" s="3008"/>
      <c r="C109" s="2377"/>
      <c r="D109" s="3008"/>
      <c r="E109" s="2377"/>
      <c r="F109" s="2377"/>
      <c r="G109" s="2377"/>
      <c r="H109" s="2377"/>
      <c r="I109" s="2377"/>
      <c r="P109" s="2377"/>
    </row>
    <row r="110" spans="2:16" x14ac:dyDescent="0.45">
      <c r="B110" s="3008"/>
      <c r="C110" s="2377"/>
      <c r="D110" s="3008"/>
      <c r="E110" s="2377"/>
      <c r="F110" s="2377"/>
      <c r="G110" s="2377"/>
      <c r="H110" s="2377"/>
      <c r="I110" s="2377"/>
      <c r="P110" s="2377"/>
    </row>
    <row r="111" spans="2:16" x14ac:dyDescent="0.45">
      <c r="B111" s="3008"/>
      <c r="C111" s="2377"/>
      <c r="D111" s="3008"/>
      <c r="E111" s="2377"/>
      <c r="F111" s="2377"/>
      <c r="G111" s="2377"/>
      <c r="H111" s="2377"/>
      <c r="I111" s="2377"/>
      <c r="P111" s="2377"/>
    </row>
    <row r="112" spans="2:16" x14ac:dyDescent="0.45">
      <c r="B112" s="3008"/>
      <c r="C112" s="2377"/>
      <c r="D112" s="3008"/>
      <c r="E112" s="2377"/>
      <c r="F112" s="2377"/>
      <c r="G112" s="2377"/>
      <c r="H112" s="2377"/>
      <c r="I112" s="2377"/>
      <c r="P112" s="2377"/>
    </row>
    <row r="113" spans="2:16" x14ac:dyDescent="0.45">
      <c r="B113" s="3008"/>
      <c r="C113" s="2377"/>
      <c r="D113" s="3008"/>
      <c r="E113" s="2377"/>
      <c r="F113" s="2377"/>
      <c r="G113" s="2377"/>
      <c r="H113" s="2377"/>
      <c r="I113" s="2377"/>
      <c r="P113" s="2377"/>
    </row>
    <row r="114" spans="2:16" x14ac:dyDescent="0.45">
      <c r="B114" s="3008"/>
      <c r="C114" s="2377"/>
      <c r="D114" s="3008"/>
      <c r="E114" s="2377"/>
      <c r="F114" s="2377"/>
      <c r="G114" s="2377"/>
      <c r="H114" s="2377"/>
      <c r="I114" s="2377"/>
      <c r="P114" s="2377"/>
    </row>
    <row r="115" spans="2:16" x14ac:dyDescent="0.45">
      <c r="B115" s="3008"/>
      <c r="C115" s="2377"/>
      <c r="D115" s="3008"/>
      <c r="E115" s="2377"/>
      <c r="F115" s="2377"/>
      <c r="G115" s="2377"/>
      <c r="H115" s="2377"/>
      <c r="I115" s="2377"/>
      <c r="P115" s="2377"/>
    </row>
    <row r="116" spans="2:16" x14ac:dyDescent="0.45">
      <c r="B116" s="3008"/>
      <c r="C116" s="2377"/>
      <c r="D116" s="3008"/>
      <c r="E116" s="2377"/>
      <c r="F116" s="2377"/>
      <c r="G116" s="2377"/>
      <c r="H116" s="2377"/>
      <c r="I116" s="2377"/>
      <c r="P116" s="2377"/>
    </row>
    <row r="117" spans="2:16" x14ac:dyDescent="0.45">
      <c r="B117" s="3008"/>
      <c r="C117" s="2377"/>
      <c r="D117" s="3008"/>
      <c r="E117" s="2377"/>
      <c r="F117" s="2377"/>
      <c r="G117" s="2377"/>
      <c r="H117" s="2377"/>
      <c r="I117" s="2377"/>
      <c r="P117" s="2377"/>
    </row>
    <row r="118" spans="2:16" x14ac:dyDescent="0.45">
      <c r="B118" s="3008"/>
      <c r="C118" s="2377"/>
      <c r="D118" s="3008"/>
      <c r="E118" s="2377"/>
      <c r="F118" s="2377"/>
      <c r="G118" s="2377"/>
      <c r="H118" s="2377"/>
      <c r="I118" s="2377"/>
      <c r="P118" s="2377"/>
    </row>
    <row r="119" spans="2:16" x14ac:dyDescent="0.45">
      <c r="B119" s="3008"/>
      <c r="C119" s="2377"/>
      <c r="D119" s="3008"/>
      <c r="E119" s="2377"/>
      <c r="F119" s="2377"/>
      <c r="G119" s="2377"/>
      <c r="H119" s="2377"/>
      <c r="I119" s="2377"/>
      <c r="P119" s="2377"/>
    </row>
    <row r="120" spans="2:16" x14ac:dyDescent="0.45">
      <c r="B120" s="3008"/>
      <c r="C120" s="2377"/>
      <c r="D120" s="3008"/>
      <c r="E120" s="2377"/>
      <c r="F120" s="2377"/>
      <c r="G120" s="2377"/>
      <c r="H120" s="2377"/>
      <c r="I120" s="2377"/>
      <c r="P120" s="2377"/>
    </row>
    <row r="121" spans="2:16" x14ac:dyDescent="0.45">
      <c r="B121" s="3008"/>
      <c r="C121" s="2377"/>
      <c r="D121" s="3008"/>
      <c r="E121" s="2377"/>
      <c r="F121" s="2377"/>
      <c r="G121" s="2377"/>
      <c r="H121" s="2377"/>
      <c r="I121" s="2377"/>
      <c r="P121" s="2377"/>
    </row>
    <row r="122" spans="2:16" x14ac:dyDescent="0.45">
      <c r="B122" s="3008"/>
      <c r="C122" s="2377"/>
      <c r="D122" s="3008"/>
      <c r="E122" s="2377"/>
      <c r="F122" s="2377"/>
      <c r="G122" s="2377"/>
      <c r="H122" s="2377"/>
      <c r="I122" s="2377"/>
      <c r="P122" s="2377"/>
    </row>
    <row r="123" spans="2:16" x14ac:dyDescent="0.45">
      <c r="B123" s="3008"/>
      <c r="C123" s="2377"/>
      <c r="D123" s="3008"/>
      <c r="E123" s="2377"/>
      <c r="F123" s="2377"/>
      <c r="G123" s="2377"/>
      <c r="H123" s="2377"/>
      <c r="I123" s="2377"/>
      <c r="P123" s="2377"/>
    </row>
    <row r="124" spans="2:16" x14ac:dyDescent="0.45">
      <c r="B124" s="3008"/>
      <c r="C124" s="2377"/>
      <c r="D124" s="3008"/>
      <c r="E124" s="2377"/>
      <c r="F124" s="2377"/>
      <c r="G124" s="2377"/>
      <c r="H124" s="2377"/>
      <c r="I124" s="2377"/>
      <c r="P124" s="2377"/>
    </row>
    <row r="125" spans="2:16" x14ac:dyDescent="0.45">
      <c r="B125" s="3008"/>
      <c r="C125" s="2377"/>
      <c r="D125" s="3008"/>
      <c r="E125" s="2377"/>
      <c r="F125" s="2377"/>
      <c r="G125" s="2377"/>
      <c r="H125" s="2377"/>
      <c r="I125" s="2377"/>
      <c r="P125" s="2377"/>
    </row>
    <row r="126" spans="2:16" x14ac:dyDescent="0.45">
      <c r="B126" s="3008"/>
      <c r="C126" s="2377"/>
      <c r="D126" s="3008"/>
      <c r="E126" s="2377"/>
      <c r="F126" s="2377"/>
      <c r="G126" s="2377"/>
      <c r="H126" s="2377"/>
      <c r="I126" s="2377"/>
      <c r="P126" s="2377"/>
    </row>
    <row r="127" spans="2:16" x14ac:dyDescent="0.45">
      <c r="B127" s="3008"/>
      <c r="C127" s="2377"/>
      <c r="D127" s="3008"/>
      <c r="E127" s="2377"/>
      <c r="F127" s="2377"/>
      <c r="G127" s="2377"/>
      <c r="H127" s="2377"/>
      <c r="I127" s="2377"/>
      <c r="P127" s="2377"/>
    </row>
    <row r="128" spans="2:16" x14ac:dyDescent="0.45">
      <c r="B128" s="3008"/>
      <c r="C128" s="2377"/>
      <c r="D128" s="3008"/>
      <c r="E128" s="2377"/>
      <c r="F128" s="2377"/>
      <c r="G128" s="2377"/>
      <c r="H128" s="2377"/>
      <c r="I128" s="2377"/>
      <c r="P128" s="2377"/>
    </row>
    <row r="129" spans="2:16" x14ac:dyDescent="0.45">
      <c r="B129" s="3008"/>
      <c r="C129" s="2377"/>
      <c r="D129" s="3008"/>
      <c r="E129" s="2377"/>
      <c r="F129" s="2377"/>
      <c r="G129" s="2377"/>
      <c r="H129" s="2377"/>
      <c r="I129" s="2377"/>
      <c r="P129" s="2377"/>
    </row>
    <row r="130" spans="2:16" x14ac:dyDescent="0.45">
      <c r="B130" s="3008"/>
      <c r="C130" s="2377"/>
      <c r="D130" s="3008"/>
      <c r="E130" s="2377"/>
      <c r="F130" s="2377"/>
      <c r="G130" s="2377"/>
      <c r="H130" s="2377"/>
      <c r="I130" s="2377"/>
      <c r="P130" s="2377"/>
    </row>
    <row r="131" spans="2:16" x14ac:dyDescent="0.45">
      <c r="B131" s="3008"/>
      <c r="C131" s="2377"/>
      <c r="D131" s="3008"/>
      <c r="E131" s="2377"/>
      <c r="F131" s="2377"/>
      <c r="G131" s="2377"/>
      <c r="H131" s="2377"/>
      <c r="I131" s="2377"/>
      <c r="P131" s="2377"/>
    </row>
    <row r="132" spans="2:16" x14ac:dyDescent="0.45">
      <c r="B132" s="3008"/>
      <c r="C132" s="2377"/>
      <c r="D132" s="3008"/>
      <c r="E132" s="2377"/>
      <c r="F132" s="2377"/>
      <c r="G132" s="2377"/>
      <c r="H132" s="2377"/>
      <c r="I132" s="2377"/>
      <c r="P132" s="2377"/>
    </row>
    <row r="133" spans="2:16" x14ac:dyDescent="0.45">
      <c r="B133" s="3008"/>
      <c r="C133" s="2377"/>
      <c r="D133" s="3008"/>
      <c r="E133" s="2377"/>
      <c r="F133" s="2377"/>
      <c r="G133" s="2377"/>
      <c r="H133" s="2377"/>
      <c r="I133" s="2377"/>
      <c r="P133" s="2377"/>
    </row>
    <row r="134" spans="2:16" x14ac:dyDescent="0.45">
      <c r="B134" s="3008"/>
      <c r="C134" s="2377"/>
      <c r="D134" s="3008"/>
      <c r="E134" s="2377"/>
      <c r="F134" s="2377"/>
      <c r="G134" s="2377"/>
      <c r="H134" s="2377"/>
      <c r="I134" s="2377"/>
      <c r="P134" s="2377"/>
    </row>
    <row r="135" spans="2:16" x14ac:dyDescent="0.45">
      <c r="B135" s="3008"/>
      <c r="C135" s="2377"/>
      <c r="D135" s="3008"/>
      <c r="E135" s="2377"/>
      <c r="F135" s="2377"/>
      <c r="G135" s="2377"/>
      <c r="H135" s="2377"/>
      <c r="I135" s="2377"/>
      <c r="P135" s="2377"/>
    </row>
    <row r="136" spans="2:16" x14ac:dyDescent="0.45">
      <c r="B136" s="3008"/>
      <c r="C136" s="2377"/>
      <c r="D136" s="3008"/>
      <c r="E136" s="2377"/>
      <c r="F136" s="2377"/>
      <c r="G136" s="2377"/>
      <c r="H136" s="2377"/>
      <c r="I136" s="2377"/>
      <c r="P136" s="2377"/>
    </row>
    <row r="137" spans="2:16" x14ac:dyDescent="0.45">
      <c r="B137" s="3008"/>
      <c r="C137" s="2377"/>
      <c r="D137" s="3008"/>
      <c r="E137" s="2377"/>
      <c r="F137" s="2377"/>
      <c r="G137" s="2377"/>
      <c r="H137" s="2377"/>
      <c r="I137" s="2377"/>
      <c r="P137" s="2377"/>
    </row>
    <row r="138" spans="2:16" x14ac:dyDescent="0.45">
      <c r="B138" s="3008"/>
      <c r="C138" s="2377"/>
      <c r="D138" s="3008"/>
      <c r="E138" s="2377"/>
      <c r="F138" s="2377"/>
      <c r="G138" s="2377"/>
      <c r="H138" s="2377"/>
      <c r="I138" s="2377"/>
      <c r="P138" s="2377"/>
    </row>
    <row r="139" spans="2:16" x14ac:dyDescent="0.45">
      <c r="E139" s="2377"/>
      <c r="F139" s="2377"/>
      <c r="G139" s="2377"/>
      <c r="H139" s="2377"/>
      <c r="I139" s="2377"/>
      <c r="P139" s="2377"/>
    </row>
    <row r="140" spans="2:16" x14ac:dyDescent="0.45">
      <c r="I140" s="2377"/>
      <c r="P140" s="2377"/>
    </row>
    <row r="141" spans="2:16" x14ac:dyDescent="0.45">
      <c r="B141" s="3009"/>
      <c r="C141" s="2377"/>
      <c r="D141" s="3008"/>
      <c r="E141" s="2377"/>
      <c r="F141" s="2377"/>
      <c r="G141" s="2377"/>
      <c r="H141" s="2377"/>
      <c r="I141" s="2377"/>
      <c r="P141" s="2377"/>
    </row>
    <row r="142" spans="2:16" x14ac:dyDescent="0.45">
      <c r="C142" s="2377"/>
      <c r="D142" s="2377"/>
      <c r="E142" s="3009"/>
      <c r="F142" s="3009"/>
      <c r="G142" s="3009"/>
      <c r="H142" s="3009"/>
      <c r="I142" s="2377"/>
      <c r="P142" s="2377"/>
    </row>
    <row r="143" spans="2:16" x14ac:dyDescent="0.45">
      <c r="C143" s="2377"/>
      <c r="D143" s="2377"/>
      <c r="E143" s="3009"/>
      <c r="F143" s="3009"/>
      <c r="G143" s="3009"/>
      <c r="H143" s="3009"/>
      <c r="I143" s="2377"/>
      <c r="P143" s="2377"/>
    </row>
    <row r="144" spans="2:16" x14ac:dyDescent="0.45">
      <c r="B144" s="3008"/>
      <c r="C144" s="2377"/>
      <c r="D144" s="2377"/>
      <c r="E144" s="2377"/>
      <c r="F144" s="2377"/>
      <c r="G144" s="2377"/>
      <c r="H144" s="2377"/>
      <c r="I144" s="2377"/>
      <c r="P144" s="2377"/>
    </row>
    <row r="145" spans="2:16" x14ac:dyDescent="0.45">
      <c r="B145" s="3008"/>
      <c r="C145" s="2377"/>
      <c r="D145" s="2377"/>
      <c r="E145" s="2377"/>
      <c r="F145" s="2377"/>
      <c r="G145" s="2377"/>
      <c r="H145" s="2377"/>
      <c r="I145" s="2377"/>
      <c r="P145" s="2377"/>
    </row>
    <row r="146" spans="2:16" x14ac:dyDescent="0.45">
      <c r="B146" s="3008"/>
      <c r="C146" s="2377"/>
      <c r="D146" s="2377"/>
      <c r="E146" s="2377"/>
      <c r="F146" s="2377"/>
      <c r="G146" s="2377"/>
      <c r="H146" s="2377"/>
      <c r="I146" s="2377"/>
      <c r="P146" s="2377"/>
    </row>
    <row r="147" spans="2:16" x14ac:dyDescent="0.45">
      <c r="B147" s="3008"/>
      <c r="C147" s="2377"/>
      <c r="D147" s="2377"/>
      <c r="E147" s="2377"/>
      <c r="F147" s="2377"/>
      <c r="G147" s="2377"/>
      <c r="H147" s="2377"/>
      <c r="I147" s="2377"/>
      <c r="P147" s="2377"/>
    </row>
    <row r="148" spans="2:16" x14ac:dyDescent="0.45">
      <c r="B148" s="3008"/>
      <c r="C148" s="2377"/>
      <c r="D148" s="2377"/>
      <c r="E148" s="2377"/>
      <c r="F148" s="2377"/>
      <c r="G148" s="2377"/>
      <c r="H148" s="2377"/>
      <c r="I148" s="2377"/>
      <c r="P148" s="2377"/>
    </row>
    <row r="149" spans="2:16" x14ac:dyDescent="0.45">
      <c r="B149" s="3008"/>
      <c r="C149" s="2377"/>
      <c r="D149" s="2377"/>
      <c r="E149" s="2377"/>
      <c r="F149" s="2377"/>
      <c r="G149" s="2377"/>
      <c r="H149" s="2377"/>
      <c r="I149" s="2377"/>
      <c r="P149" s="2377"/>
    </row>
    <row r="150" spans="2:16" x14ac:dyDescent="0.45">
      <c r="B150" s="3008"/>
      <c r="C150" s="2377"/>
      <c r="D150" s="2377"/>
      <c r="E150" s="2377"/>
      <c r="F150" s="2377"/>
      <c r="G150" s="2377"/>
      <c r="H150" s="2377"/>
      <c r="I150" s="2377"/>
      <c r="P150" s="2377"/>
    </row>
    <row r="151" spans="2:16" x14ac:dyDescent="0.45">
      <c r="B151" s="3008"/>
      <c r="C151" s="2377"/>
      <c r="D151" s="2377"/>
      <c r="E151" s="2377"/>
      <c r="F151" s="2377"/>
      <c r="G151" s="2377"/>
      <c r="H151" s="2377"/>
      <c r="I151" s="2377"/>
      <c r="P151" s="2377"/>
    </row>
    <row r="152" spans="2:16" x14ac:dyDescent="0.45">
      <c r="B152" s="3008"/>
      <c r="C152" s="2377"/>
      <c r="D152" s="2377"/>
      <c r="E152" s="2377"/>
      <c r="F152" s="2377"/>
      <c r="G152" s="2377"/>
      <c r="H152" s="2377"/>
      <c r="I152" s="2377"/>
      <c r="P152" s="2377"/>
    </row>
    <row r="153" spans="2:16" x14ac:dyDescent="0.45">
      <c r="B153" s="3008"/>
      <c r="C153" s="2377"/>
      <c r="D153" s="2377"/>
      <c r="E153" s="2377"/>
      <c r="F153" s="2377"/>
      <c r="G153" s="2377"/>
      <c r="H153" s="2377"/>
      <c r="I153" s="2377"/>
      <c r="P153" s="2377"/>
    </row>
    <row r="154" spans="2:16" x14ac:dyDescent="0.45">
      <c r="B154" s="3008"/>
      <c r="C154" s="2377"/>
      <c r="D154" s="2377"/>
      <c r="E154" s="2377"/>
      <c r="F154" s="2377"/>
      <c r="G154" s="2377"/>
      <c r="H154" s="2377"/>
      <c r="I154" s="2377"/>
      <c r="P154" s="2377"/>
    </row>
    <row r="155" spans="2:16" x14ac:dyDescent="0.45">
      <c r="B155" s="3008"/>
      <c r="C155" s="2377"/>
      <c r="D155" s="2377"/>
      <c r="E155" s="2377"/>
      <c r="F155" s="2377"/>
      <c r="G155" s="2377"/>
      <c r="H155" s="2377"/>
      <c r="I155" s="2377"/>
      <c r="P155" s="2377"/>
    </row>
    <row r="156" spans="2:16" x14ac:dyDescent="0.45">
      <c r="B156" s="3008"/>
      <c r="C156" s="2377"/>
      <c r="D156" s="2377"/>
      <c r="E156" s="2377"/>
      <c r="F156" s="2377"/>
      <c r="G156" s="2377"/>
      <c r="H156" s="2377"/>
      <c r="I156" s="2377"/>
      <c r="P156" s="2377"/>
    </row>
    <row r="157" spans="2:16" x14ac:dyDescent="0.45">
      <c r="B157" s="3008"/>
      <c r="C157" s="2377"/>
      <c r="D157" s="2377"/>
      <c r="E157" s="2377"/>
      <c r="F157" s="2377"/>
      <c r="G157" s="2377"/>
      <c r="H157" s="2377"/>
      <c r="I157" s="2377"/>
      <c r="P157" s="2377"/>
    </row>
    <row r="158" spans="2:16" x14ac:dyDescent="0.45">
      <c r="B158" s="3008"/>
      <c r="C158" s="2377"/>
      <c r="D158" s="2377"/>
      <c r="E158" s="2377"/>
      <c r="F158" s="2377"/>
      <c r="G158" s="2377"/>
      <c r="H158" s="2377"/>
      <c r="I158" s="2377"/>
      <c r="P158" s="2377"/>
    </row>
    <row r="159" spans="2:16" x14ac:dyDescent="0.45">
      <c r="B159" s="3008"/>
      <c r="C159" s="2377"/>
      <c r="D159" s="2377"/>
      <c r="E159" s="2377"/>
      <c r="F159" s="2377"/>
      <c r="G159" s="2377"/>
      <c r="H159" s="2377"/>
      <c r="I159" s="2377"/>
      <c r="P159" s="2377"/>
    </row>
    <row r="160" spans="2:16" x14ac:dyDescent="0.45">
      <c r="B160" s="3008"/>
      <c r="C160" s="2377"/>
      <c r="D160" s="2377"/>
      <c r="E160" s="2377"/>
      <c r="F160" s="2377"/>
      <c r="G160" s="2377"/>
      <c r="H160" s="2377"/>
      <c r="I160" s="2377"/>
      <c r="P160" s="2377"/>
    </row>
    <row r="161" spans="1:16" x14ac:dyDescent="0.45">
      <c r="B161" s="3008"/>
      <c r="C161" s="2377"/>
      <c r="D161" s="2377"/>
      <c r="E161" s="2377"/>
      <c r="F161" s="2377"/>
      <c r="G161" s="2377"/>
      <c r="H161" s="2377"/>
      <c r="I161" s="2377"/>
      <c r="P161" s="2377"/>
    </row>
    <row r="162" spans="1:16" x14ac:dyDescent="0.45">
      <c r="B162" s="3008"/>
      <c r="C162" s="2377"/>
      <c r="D162" s="2377"/>
      <c r="E162" s="2377"/>
      <c r="F162" s="2377"/>
      <c r="G162" s="2377"/>
      <c r="H162" s="2377"/>
      <c r="I162" s="2377"/>
      <c r="P162" s="2377"/>
    </row>
    <row r="163" spans="1:16" x14ac:dyDescent="0.45">
      <c r="B163" s="3008"/>
      <c r="C163" s="2377"/>
      <c r="D163" s="2377"/>
      <c r="E163" s="2377"/>
      <c r="F163" s="2377"/>
      <c r="G163" s="2377"/>
      <c r="H163" s="2377"/>
      <c r="I163" s="2377"/>
      <c r="P163" s="2377"/>
    </row>
    <row r="164" spans="1:16" x14ac:dyDescent="0.45">
      <c r="B164" s="3008"/>
      <c r="C164" s="2377"/>
      <c r="D164" s="2377"/>
      <c r="E164" s="2377"/>
      <c r="F164" s="2377"/>
      <c r="G164" s="2377"/>
      <c r="H164" s="2377"/>
      <c r="I164" s="2377"/>
      <c r="P164" s="2377"/>
    </row>
    <row r="165" spans="1:16" x14ac:dyDescent="0.45">
      <c r="B165" s="3008"/>
      <c r="C165" s="2377"/>
      <c r="D165" s="2377"/>
      <c r="E165" s="2377"/>
      <c r="F165" s="2377"/>
      <c r="G165" s="2377"/>
      <c r="H165" s="2377"/>
      <c r="I165" s="2377"/>
      <c r="P165" s="2377"/>
    </row>
    <row r="166" spans="1:16" x14ac:dyDescent="0.45">
      <c r="A166" s="2993"/>
      <c r="B166" s="3008"/>
      <c r="C166" s="2377"/>
      <c r="D166" s="2377"/>
      <c r="E166" s="2377"/>
      <c r="F166" s="2377"/>
      <c r="G166" s="2377"/>
      <c r="H166" s="2377"/>
      <c r="I166" s="2377"/>
      <c r="P166" s="2377"/>
    </row>
    <row r="167" spans="1:16" x14ac:dyDescent="0.45">
      <c r="B167" s="3009"/>
      <c r="C167" s="3011"/>
      <c r="D167" s="3010"/>
      <c r="E167" s="3010"/>
      <c r="F167" s="3010"/>
      <c r="G167" s="3010"/>
      <c r="H167" s="3010"/>
      <c r="I167" s="3010"/>
      <c r="P167" s="2377"/>
    </row>
    <row r="168" spans="1:16" x14ac:dyDescent="0.45">
      <c r="B168" s="2377"/>
      <c r="C168" s="2377"/>
      <c r="D168" s="3009"/>
      <c r="E168" s="3013"/>
      <c r="F168" s="3013"/>
      <c r="G168" s="3013"/>
      <c r="H168" s="3013"/>
      <c r="I168" s="3013"/>
      <c r="P168" s="2377"/>
    </row>
    <row r="169" spans="1:16" x14ac:dyDescent="0.45">
      <c r="B169" s="2343"/>
      <c r="C169" s="2269"/>
      <c r="D169" s="2313"/>
      <c r="P169" s="2377"/>
    </row>
    <row r="170" spans="1:16" x14ac:dyDescent="0.45">
      <c r="B170" s="3008"/>
      <c r="C170" s="2377"/>
      <c r="D170" s="3008"/>
      <c r="E170" s="2377"/>
      <c r="F170" s="2377"/>
      <c r="G170" s="2377"/>
      <c r="H170" s="2377"/>
      <c r="I170" s="2377"/>
      <c r="P170" s="2377"/>
    </row>
    <row r="171" spans="1:16" x14ac:dyDescent="0.45">
      <c r="B171" s="3008"/>
      <c r="C171" s="2377"/>
      <c r="D171" s="3008"/>
      <c r="E171" s="2377"/>
      <c r="F171" s="2377"/>
      <c r="G171" s="2377"/>
      <c r="H171" s="2377"/>
      <c r="I171" s="2377"/>
      <c r="P171" s="2377"/>
    </row>
    <row r="172" spans="1:16" x14ac:dyDescent="0.45">
      <c r="B172" s="3008"/>
      <c r="C172" s="2377"/>
      <c r="D172" s="3008"/>
      <c r="E172" s="2377"/>
      <c r="F172" s="2377"/>
      <c r="G172" s="2377"/>
      <c r="H172" s="2377"/>
      <c r="I172" s="2377"/>
      <c r="P172" s="2377"/>
    </row>
    <row r="173" spans="1:16" x14ac:dyDescent="0.45">
      <c r="B173" s="3008"/>
      <c r="C173" s="2377"/>
      <c r="D173" s="3008"/>
      <c r="E173" s="2377"/>
      <c r="F173" s="2377"/>
      <c r="G173" s="2377"/>
      <c r="H173" s="2377"/>
      <c r="I173" s="2377"/>
      <c r="P173" s="2377"/>
    </row>
    <row r="174" spans="1:16" x14ac:dyDescent="0.45">
      <c r="B174" s="3008"/>
      <c r="C174" s="2377"/>
      <c r="D174" s="3008"/>
      <c r="E174" s="2377"/>
      <c r="F174" s="2377"/>
      <c r="G174" s="2377"/>
      <c r="H174" s="2377"/>
      <c r="I174" s="2377"/>
      <c r="P174" s="2377"/>
    </row>
    <row r="175" spans="1:16" x14ac:dyDescent="0.45">
      <c r="B175" s="3008"/>
      <c r="C175" s="2377"/>
      <c r="D175" s="3008"/>
      <c r="E175" s="2377"/>
      <c r="F175" s="2377"/>
      <c r="G175" s="2377"/>
      <c r="H175" s="2377"/>
      <c r="I175" s="2377"/>
      <c r="P175" s="2377"/>
    </row>
    <row r="176" spans="1:16" x14ac:dyDescent="0.45">
      <c r="B176" s="3008"/>
      <c r="C176" s="2377"/>
      <c r="D176" s="3008"/>
      <c r="E176" s="2377"/>
      <c r="F176" s="2377"/>
      <c r="G176" s="2377"/>
      <c r="H176" s="2377"/>
      <c r="I176" s="2377"/>
      <c r="P176" s="2377"/>
    </row>
    <row r="177" spans="2:20" x14ac:dyDescent="0.45">
      <c r="B177" s="3008"/>
      <c r="C177" s="2377"/>
      <c r="D177" s="3008"/>
      <c r="E177" s="2377"/>
      <c r="F177" s="2377"/>
      <c r="G177" s="2377"/>
      <c r="H177" s="2377"/>
      <c r="I177" s="2377"/>
      <c r="P177" s="2377"/>
    </row>
    <row r="178" spans="2:20" x14ac:dyDescent="0.45">
      <c r="B178" s="3008"/>
      <c r="C178" s="2377"/>
      <c r="D178" s="3008"/>
      <c r="E178" s="2377"/>
      <c r="F178" s="2377"/>
      <c r="G178" s="2377"/>
      <c r="H178" s="2377"/>
      <c r="I178" s="2377"/>
      <c r="P178" s="2377"/>
    </row>
    <row r="179" spans="2:20" x14ac:dyDescent="0.45">
      <c r="B179" s="3008"/>
      <c r="C179" s="2377"/>
      <c r="D179" s="3008"/>
      <c r="E179" s="2377"/>
      <c r="F179" s="2377"/>
      <c r="G179" s="2377"/>
      <c r="H179" s="2377"/>
      <c r="I179" s="2377"/>
      <c r="P179" s="2377"/>
    </row>
    <row r="180" spans="2:20" x14ac:dyDescent="0.45">
      <c r="B180" s="3008"/>
      <c r="C180" s="2377"/>
      <c r="D180" s="3008"/>
      <c r="E180" s="2377"/>
      <c r="F180" s="2377"/>
      <c r="G180" s="2377"/>
      <c r="H180" s="2377"/>
      <c r="I180" s="2377"/>
      <c r="P180" s="2377"/>
    </row>
    <row r="181" spans="2:20" x14ac:dyDescent="0.45">
      <c r="B181" s="3008"/>
      <c r="C181" s="2377"/>
      <c r="D181" s="3008"/>
      <c r="E181" s="2377"/>
      <c r="F181" s="2377"/>
      <c r="G181" s="2377"/>
      <c r="H181" s="2377"/>
      <c r="I181" s="2377"/>
      <c r="P181" s="2377"/>
    </row>
    <row r="182" spans="2:20" x14ac:dyDescent="0.45">
      <c r="B182" s="3008"/>
      <c r="C182" s="2377"/>
      <c r="D182" s="3008"/>
      <c r="E182" s="2377"/>
      <c r="F182" s="2377"/>
      <c r="G182" s="2377"/>
      <c r="H182" s="2377"/>
      <c r="I182" s="2377"/>
      <c r="P182" s="2377"/>
    </row>
    <row r="183" spans="2:20" x14ac:dyDescent="0.45">
      <c r="B183" s="3008"/>
      <c r="C183" s="2377"/>
      <c r="D183" s="3008"/>
      <c r="E183" s="2377"/>
      <c r="F183" s="2377"/>
      <c r="G183" s="2377"/>
      <c r="H183" s="2377"/>
      <c r="I183" s="2377"/>
      <c r="P183" s="2377"/>
    </row>
    <row r="184" spans="2:20" x14ac:dyDescent="0.45">
      <c r="B184" s="3008"/>
      <c r="C184" s="2377"/>
      <c r="D184" s="3008"/>
      <c r="E184" s="2377"/>
      <c r="F184" s="2377"/>
      <c r="G184" s="2377"/>
      <c r="H184" s="2377"/>
      <c r="I184" s="2377"/>
      <c r="P184" s="2377"/>
    </row>
    <row r="185" spans="2:20" x14ac:dyDescent="0.45">
      <c r="B185" s="3008"/>
      <c r="C185" s="2377"/>
      <c r="D185" s="3008"/>
      <c r="E185" s="2377"/>
      <c r="F185" s="2377"/>
      <c r="G185" s="2377"/>
      <c r="H185" s="2377"/>
      <c r="I185" s="2377"/>
      <c r="P185" s="2377"/>
    </row>
    <row r="186" spans="2:20" x14ac:dyDescent="0.45">
      <c r="B186" s="3008"/>
      <c r="C186" s="2377"/>
      <c r="D186" s="3008"/>
      <c r="E186" s="2377"/>
      <c r="F186" s="2377"/>
      <c r="G186" s="2377"/>
      <c r="H186" s="2377"/>
      <c r="I186" s="2377"/>
      <c r="P186" s="2377"/>
    </row>
    <row r="187" spans="2:20" x14ac:dyDescent="0.45">
      <c r="B187" s="3008"/>
      <c r="C187" s="2377"/>
      <c r="D187" s="3008"/>
      <c r="E187" s="2377"/>
      <c r="F187" s="2377"/>
      <c r="G187" s="2377"/>
      <c r="H187" s="2377"/>
      <c r="I187" s="2377"/>
      <c r="P187" s="2377"/>
    </row>
    <row r="188" spans="2:20" x14ac:dyDescent="0.45">
      <c r="B188" s="3008"/>
      <c r="C188" s="2377"/>
      <c r="D188" s="3008"/>
      <c r="E188" s="2377"/>
      <c r="F188" s="2377"/>
      <c r="G188" s="2377"/>
      <c r="H188" s="2377"/>
      <c r="I188" s="2377"/>
      <c r="P188" s="2377"/>
      <c r="S188" s="3014"/>
      <c r="T188" s="3014"/>
    </row>
    <row r="189" spans="2:20" x14ac:dyDescent="0.45">
      <c r="B189" s="3008"/>
      <c r="C189" s="2377"/>
      <c r="D189" s="3008"/>
      <c r="E189" s="2377"/>
      <c r="F189" s="2377"/>
      <c r="G189" s="2377"/>
      <c r="H189" s="2377"/>
      <c r="I189" s="2377"/>
      <c r="P189" s="2377"/>
      <c r="S189" s="3014"/>
      <c r="T189" s="3014"/>
    </row>
    <row r="190" spans="2:20" x14ac:dyDescent="0.45">
      <c r="B190" s="3008"/>
      <c r="C190" s="2377"/>
      <c r="D190" s="3008"/>
      <c r="E190" s="2377"/>
      <c r="F190" s="2377"/>
      <c r="G190" s="2377"/>
      <c r="H190" s="2377"/>
      <c r="I190" s="2377"/>
      <c r="P190" s="2377"/>
      <c r="S190" s="3014"/>
      <c r="T190" s="3014"/>
    </row>
    <row r="191" spans="2:20" x14ac:dyDescent="0.45">
      <c r="B191" s="3008"/>
      <c r="C191" s="2377"/>
      <c r="D191" s="3008"/>
      <c r="E191" s="2377"/>
      <c r="F191" s="2377"/>
      <c r="G191" s="2377"/>
      <c r="H191" s="2377"/>
      <c r="I191" s="2377"/>
      <c r="P191" s="2377"/>
      <c r="S191" s="3014"/>
      <c r="T191" s="3014"/>
    </row>
    <row r="192" spans="2:20" x14ac:dyDescent="0.45">
      <c r="B192" s="3008"/>
      <c r="C192" s="2377"/>
      <c r="D192" s="3008"/>
      <c r="E192" s="2377"/>
      <c r="F192" s="2377"/>
      <c r="G192" s="2377"/>
      <c r="H192" s="2377"/>
      <c r="I192" s="2377"/>
      <c r="P192" s="2377"/>
      <c r="S192" s="3014"/>
      <c r="T192" s="3014"/>
    </row>
    <row r="193" spans="2:20" x14ac:dyDescent="0.45">
      <c r="B193" s="3008"/>
      <c r="C193" s="2377"/>
      <c r="D193" s="3008"/>
      <c r="E193" s="2377"/>
      <c r="F193" s="2377"/>
      <c r="G193" s="2377"/>
      <c r="H193" s="2377"/>
      <c r="I193" s="2377"/>
      <c r="P193" s="2377"/>
      <c r="S193" s="3014"/>
      <c r="T193" s="3014"/>
    </row>
    <row r="194" spans="2:20" x14ac:dyDescent="0.45">
      <c r="B194" s="3008"/>
      <c r="C194" s="2377"/>
      <c r="D194" s="3008"/>
      <c r="E194" s="2377"/>
      <c r="F194" s="2377"/>
      <c r="G194" s="2377"/>
      <c r="H194" s="2377"/>
      <c r="I194" s="2377"/>
      <c r="P194" s="2377"/>
      <c r="S194" s="3014"/>
      <c r="T194" s="3014"/>
    </row>
    <row r="195" spans="2:20" x14ac:dyDescent="0.45">
      <c r="B195" s="3008"/>
      <c r="C195" s="2377"/>
      <c r="D195" s="3008"/>
      <c r="E195" s="2377"/>
      <c r="F195" s="2377"/>
      <c r="G195" s="2377"/>
      <c r="H195" s="2377"/>
      <c r="I195" s="2377"/>
      <c r="P195" s="2377"/>
      <c r="S195" s="3014"/>
      <c r="T195" s="3014"/>
    </row>
    <row r="196" spans="2:20" x14ac:dyDescent="0.45">
      <c r="B196" s="3008"/>
      <c r="C196" s="2377"/>
      <c r="D196" s="3008"/>
      <c r="E196" s="2377"/>
      <c r="F196" s="2377"/>
      <c r="G196" s="2377"/>
      <c r="H196" s="2377"/>
      <c r="I196" s="2377"/>
      <c r="P196" s="2377"/>
      <c r="S196" s="3014"/>
      <c r="T196" s="3014"/>
    </row>
    <row r="197" spans="2:20" x14ac:dyDescent="0.45">
      <c r="B197" s="3008"/>
      <c r="C197" s="2377"/>
      <c r="D197" s="3008"/>
      <c r="E197" s="2377"/>
      <c r="F197" s="2377"/>
      <c r="G197" s="2377"/>
      <c r="H197" s="2377"/>
      <c r="I197" s="2377"/>
      <c r="P197" s="2377"/>
      <c r="S197" s="3014"/>
      <c r="T197" s="3014"/>
    </row>
    <row r="198" spans="2:20" x14ac:dyDescent="0.45">
      <c r="B198" s="3008"/>
      <c r="C198" s="2377"/>
      <c r="D198" s="3008"/>
      <c r="E198" s="2377"/>
      <c r="F198" s="2377"/>
      <c r="G198" s="2377"/>
      <c r="H198" s="2377"/>
      <c r="I198" s="2377"/>
      <c r="P198" s="2377"/>
      <c r="S198" s="3014"/>
      <c r="T198" s="3014"/>
    </row>
    <row r="199" spans="2:20" x14ac:dyDescent="0.45">
      <c r="B199" s="3008"/>
      <c r="C199" s="2377"/>
      <c r="D199" s="3008"/>
      <c r="E199" s="2377"/>
      <c r="F199" s="2377"/>
      <c r="G199" s="2377"/>
      <c r="H199" s="2377"/>
      <c r="I199" s="2377"/>
      <c r="P199" s="2377"/>
      <c r="S199" s="3014"/>
      <c r="T199" s="3014"/>
    </row>
    <row r="200" spans="2:20" x14ac:dyDescent="0.45">
      <c r="B200" s="3008"/>
      <c r="C200" s="2377"/>
      <c r="D200" s="3008"/>
      <c r="E200" s="2377"/>
      <c r="F200" s="2377"/>
      <c r="G200" s="2377"/>
      <c r="H200" s="2377"/>
      <c r="I200" s="2377"/>
      <c r="P200" s="2377"/>
      <c r="S200" s="3014"/>
      <c r="T200" s="3014"/>
    </row>
    <row r="201" spans="2:20" x14ac:dyDescent="0.45">
      <c r="B201" s="3008"/>
      <c r="C201" s="2377"/>
      <c r="D201" s="3008"/>
      <c r="E201" s="2377"/>
      <c r="F201" s="2377"/>
      <c r="G201" s="2377"/>
      <c r="H201" s="2377"/>
      <c r="I201" s="2377"/>
      <c r="P201" s="2377"/>
      <c r="S201" s="3014"/>
      <c r="T201" s="3014"/>
    </row>
    <row r="202" spans="2:20" x14ac:dyDescent="0.45">
      <c r="B202" s="3008"/>
      <c r="C202" s="2377"/>
      <c r="D202" s="3008"/>
      <c r="E202" s="2377"/>
      <c r="F202" s="2377"/>
      <c r="G202" s="2377"/>
      <c r="H202" s="2377"/>
      <c r="I202" s="2377"/>
      <c r="P202" s="2377"/>
      <c r="S202" s="3014"/>
      <c r="T202" s="3014"/>
    </row>
    <row r="203" spans="2:20" x14ac:dyDescent="0.45">
      <c r="B203" s="3008"/>
      <c r="C203" s="2377"/>
      <c r="D203" s="3008"/>
      <c r="E203" s="2377"/>
      <c r="F203" s="2377"/>
      <c r="G203" s="2377"/>
      <c r="H203" s="2377"/>
      <c r="I203" s="2377"/>
      <c r="P203" s="2377"/>
      <c r="S203" s="3014"/>
      <c r="T203" s="3014"/>
    </row>
    <row r="204" spans="2:20" x14ac:dyDescent="0.45">
      <c r="B204" s="3008"/>
      <c r="C204" s="2377"/>
      <c r="D204" s="3008"/>
      <c r="E204" s="2377"/>
      <c r="F204" s="2377"/>
      <c r="G204" s="2377"/>
      <c r="H204" s="2377"/>
      <c r="I204" s="2377"/>
      <c r="P204" s="2377"/>
      <c r="S204" s="3014"/>
      <c r="T204" s="3014"/>
    </row>
    <row r="205" spans="2:20" x14ac:dyDescent="0.45">
      <c r="B205" s="3008"/>
      <c r="C205" s="2377"/>
      <c r="D205" s="3008"/>
      <c r="E205" s="2377"/>
      <c r="F205" s="2377"/>
      <c r="G205" s="2377"/>
      <c r="H205" s="2377"/>
      <c r="I205" s="2377"/>
      <c r="P205" s="2377"/>
      <c r="S205" s="3014"/>
      <c r="T205" s="3014"/>
    </row>
    <row r="206" spans="2:20" x14ac:dyDescent="0.45">
      <c r="B206" s="3008"/>
      <c r="C206" s="2377"/>
      <c r="D206" s="3008"/>
      <c r="E206" s="2377"/>
      <c r="F206" s="2377"/>
      <c r="G206" s="2377"/>
      <c r="H206" s="2377"/>
      <c r="I206" s="2377"/>
      <c r="P206" s="2377"/>
      <c r="S206" s="3014"/>
      <c r="T206" s="3014"/>
    </row>
    <row r="207" spans="2:20" x14ac:dyDescent="0.45">
      <c r="B207" s="3008"/>
      <c r="C207" s="2377"/>
      <c r="D207" s="3008"/>
      <c r="E207" s="2377"/>
      <c r="F207" s="2377"/>
      <c r="G207" s="2377"/>
      <c r="H207" s="2377"/>
      <c r="I207" s="2377"/>
      <c r="P207" s="2377"/>
      <c r="S207" s="3014"/>
      <c r="T207" s="3014"/>
    </row>
    <row r="208" spans="2:20" x14ac:dyDescent="0.45">
      <c r="B208" s="3008"/>
      <c r="C208" s="2377"/>
      <c r="D208" s="3008"/>
      <c r="E208" s="2377"/>
      <c r="F208" s="2377"/>
      <c r="G208" s="2377"/>
      <c r="H208" s="2377"/>
      <c r="I208" s="2377"/>
      <c r="P208" s="2377"/>
      <c r="S208" s="3014"/>
      <c r="T208" s="3014"/>
    </row>
    <row r="209" spans="2:20" x14ac:dyDescent="0.45">
      <c r="B209" s="3008"/>
      <c r="C209" s="2377"/>
      <c r="D209" s="3008"/>
      <c r="E209" s="2377"/>
      <c r="F209" s="2377"/>
      <c r="G209" s="2377"/>
      <c r="H209" s="2377"/>
      <c r="I209" s="2377"/>
      <c r="P209" s="2377"/>
      <c r="S209" s="3014"/>
      <c r="T209" s="3014"/>
    </row>
    <row r="210" spans="2:20" x14ac:dyDescent="0.45">
      <c r="B210" s="3008"/>
      <c r="C210" s="2377"/>
      <c r="D210" s="3008"/>
      <c r="E210" s="2377"/>
      <c r="F210" s="2377"/>
      <c r="G210" s="2377"/>
      <c r="H210" s="2377"/>
      <c r="I210" s="2377"/>
      <c r="P210" s="2377"/>
      <c r="S210" s="3014"/>
      <c r="T210" s="3014"/>
    </row>
    <row r="211" spans="2:20" x14ac:dyDescent="0.45">
      <c r="B211" s="3008"/>
      <c r="C211" s="2377"/>
      <c r="D211" s="3008"/>
      <c r="E211" s="2377"/>
      <c r="F211" s="2377"/>
      <c r="G211" s="2377"/>
      <c r="H211" s="2377"/>
      <c r="I211" s="2377"/>
      <c r="P211" s="2377"/>
      <c r="S211" s="3014"/>
      <c r="T211" s="3014"/>
    </row>
    <row r="212" spans="2:20" x14ac:dyDescent="0.45">
      <c r="B212" s="3008"/>
      <c r="C212" s="2377"/>
      <c r="D212" s="3008"/>
      <c r="E212" s="2377"/>
      <c r="F212" s="2377"/>
      <c r="G212" s="2377"/>
      <c r="H212" s="2377"/>
      <c r="I212" s="2377"/>
      <c r="P212" s="2377"/>
      <c r="S212" s="3014"/>
      <c r="T212" s="3014"/>
    </row>
    <row r="213" spans="2:20" x14ac:dyDescent="0.45">
      <c r="B213" s="3008"/>
      <c r="C213" s="2377"/>
      <c r="D213" s="3008"/>
      <c r="E213" s="2377"/>
      <c r="F213" s="2377"/>
      <c r="G213" s="2377"/>
      <c r="H213" s="2377"/>
      <c r="I213" s="2377"/>
      <c r="P213" s="2377"/>
      <c r="S213" s="3014"/>
      <c r="T213" s="3014"/>
    </row>
    <row r="214" spans="2:20" x14ac:dyDescent="0.45">
      <c r="B214" s="3008"/>
      <c r="C214" s="2377"/>
      <c r="D214" s="3008"/>
      <c r="E214" s="2377"/>
      <c r="F214" s="2377"/>
      <c r="G214" s="2377"/>
      <c r="H214" s="2377"/>
      <c r="I214" s="2377"/>
      <c r="P214" s="2377"/>
      <c r="S214" s="3014"/>
      <c r="T214" s="3014"/>
    </row>
    <row r="215" spans="2:20" x14ac:dyDescent="0.45">
      <c r="B215" s="3008"/>
      <c r="C215" s="2377"/>
      <c r="D215" s="3008"/>
      <c r="E215" s="2377"/>
      <c r="F215" s="2377"/>
      <c r="G215" s="2377"/>
      <c r="H215" s="2377"/>
      <c r="I215" s="2377"/>
      <c r="P215" s="2377"/>
      <c r="S215" s="3014"/>
      <c r="T215" s="3014"/>
    </row>
    <row r="216" spans="2:20" x14ac:dyDescent="0.45">
      <c r="B216" s="3008"/>
      <c r="C216" s="2377"/>
      <c r="D216" s="3008"/>
      <c r="E216" s="2377"/>
      <c r="F216" s="2377"/>
      <c r="G216" s="2377"/>
      <c r="H216" s="2377"/>
      <c r="I216" s="2377"/>
      <c r="P216" s="2377"/>
      <c r="S216" s="3014"/>
      <c r="T216" s="3014"/>
    </row>
    <row r="217" spans="2:20" x14ac:dyDescent="0.45">
      <c r="B217" s="3008"/>
      <c r="C217" s="2377"/>
      <c r="D217" s="3008"/>
      <c r="E217" s="2377"/>
      <c r="F217" s="2377"/>
      <c r="G217" s="2377"/>
      <c r="H217" s="2377"/>
      <c r="I217" s="2377"/>
      <c r="P217" s="2377"/>
      <c r="S217" s="3014"/>
      <c r="T217" s="3014"/>
    </row>
    <row r="218" spans="2:20" x14ac:dyDescent="0.45">
      <c r="B218" s="3008"/>
      <c r="C218" s="2377"/>
      <c r="D218" s="3008"/>
      <c r="E218" s="2377"/>
      <c r="F218" s="2377"/>
      <c r="G218" s="2377"/>
      <c r="H218" s="2377"/>
      <c r="I218" s="2377"/>
      <c r="P218" s="2377"/>
      <c r="S218" s="3014"/>
      <c r="T218" s="3014"/>
    </row>
    <row r="219" spans="2:20" x14ac:dyDescent="0.45">
      <c r="B219" s="3008"/>
      <c r="C219" s="2377"/>
      <c r="D219" s="3008"/>
      <c r="E219" s="2377"/>
      <c r="F219" s="2377"/>
      <c r="G219" s="2377"/>
      <c r="H219" s="2377"/>
      <c r="I219" s="2377"/>
      <c r="P219" s="2377"/>
      <c r="S219" s="2377"/>
      <c r="T219" s="2377"/>
    </row>
    <row r="220" spans="2:20" x14ac:dyDescent="0.45">
      <c r="B220" s="3008"/>
      <c r="C220" s="2377"/>
      <c r="D220" s="3008"/>
      <c r="E220" s="2377"/>
      <c r="F220" s="2377"/>
      <c r="G220" s="2377"/>
      <c r="H220" s="2377"/>
      <c r="I220" s="2377"/>
      <c r="P220" s="2377"/>
      <c r="S220" s="2377"/>
      <c r="T220" s="2377"/>
    </row>
    <row r="221" spans="2:20" x14ac:dyDescent="0.45">
      <c r="B221" s="3008"/>
      <c r="C221" s="2377"/>
      <c r="D221" s="3008"/>
      <c r="E221" s="2377"/>
      <c r="F221" s="2377"/>
      <c r="G221" s="2377"/>
      <c r="H221" s="2377"/>
      <c r="I221" s="2377"/>
      <c r="P221" s="2377"/>
      <c r="S221" s="3014"/>
      <c r="T221" s="3014"/>
    </row>
    <row r="222" spans="2:20" x14ac:dyDescent="0.45">
      <c r="B222" s="3008"/>
      <c r="C222" s="2377"/>
      <c r="D222" s="3008"/>
      <c r="E222" s="2377"/>
      <c r="F222" s="2377"/>
      <c r="G222" s="2377"/>
      <c r="H222" s="2377"/>
      <c r="I222" s="2377"/>
      <c r="P222" s="2377"/>
      <c r="S222" s="3014"/>
      <c r="T222" s="3014"/>
    </row>
    <row r="223" spans="2:20" x14ac:dyDescent="0.45">
      <c r="B223" s="3008"/>
      <c r="C223" s="2377"/>
      <c r="D223" s="3008"/>
      <c r="E223" s="2377"/>
      <c r="F223" s="2377"/>
      <c r="G223" s="2377"/>
      <c r="H223" s="2377"/>
      <c r="I223" s="2377"/>
      <c r="P223" s="2377"/>
      <c r="S223" s="3014"/>
      <c r="T223" s="3014"/>
    </row>
    <row r="224" spans="2:20" x14ac:dyDescent="0.45">
      <c r="B224" s="3008"/>
      <c r="C224" s="2377"/>
      <c r="D224" s="3008"/>
      <c r="E224" s="2377"/>
      <c r="F224" s="2377"/>
      <c r="G224" s="2377"/>
      <c r="H224" s="2377"/>
      <c r="I224" s="2377"/>
      <c r="P224" s="2377"/>
      <c r="S224" s="3014"/>
      <c r="T224" s="3014"/>
    </row>
    <row r="225" spans="2:20" x14ac:dyDescent="0.45">
      <c r="B225" s="3008"/>
      <c r="C225" s="2377"/>
      <c r="D225" s="3008"/>
      <c r="E225" s="2377"/>
      <c r="F225" s="2377"/>
      <c r="G225" s="2377"/>
      <c r="H225" s="2377"/>
      <c r="I225" s="2377"/>
      <c r="P225" s="2377"/>
      <c r="S225" s="3014"/>
      <c r="T225" s="3014"/>
    </row>
    <row r="226" spans="2:20" x14ac:dyDescent="0.45">
      <c r="B226" s="3008"/>
      <c r="C226" s="2377"/>
      <c r="D226" s="3008"/>
      <c r="E226" s="2377"/>
      <c r="F226" s="2377"/>
      <c r="G226" s="2377"/>
      <c r="H226" s="2377"/>
      <c r="I226" s="2377"/>
      <c r="P226" s="2377"/>
      <c r="S226" s="3014"/>
      <c r="T226" s="3014"/>
    </row>
    <row r="227" spans="2:20" x14ac:dyDescent="0.45">
      <c r="B227" s="3008"/>
      <c r="C227" s="2377"/>
      <c r="D227" s="3008"/>
      <c r="E227" s="2377"/>
      <c r="F227" s="2377"/>
      <c r="G227" s="2377"/>
      <c r="H227" s="2377"/>
      <c r="I227" s="2377"/>
      <c r="P227" s="2377"/>
      <c r="S227" s="3014"/>
      <c r="T227" s="3014"/>
    </row>
    <row r="228" spans="2:20" x14ac:dyDescent="0.45">
      <c r="B228" s="3008"/>
      <c r="C228" s="2377"/>
      <c r="D228" s="3008"/>
      <c r="E228" s="2377"/>
      <c r="F228" s="2377"/>
      <c r="G228" s="2377"/>
      <c r="H228" s="2377"/>
      <c r="I228" s="2377"/>
      <c r="P228" s="2377"/>
      <c r="S228" s="3014"/>
      <c r="T228" s="3014"/>
    </row>
    <row r="229" spans="2:20" x14ac:dyDescent="0.45">
      <c r="B229" s="3008"/>
      <c r="C229" s="2377"/>
      <c r="D229" s="3008"/>
      <c r="E229" s="2377"/>
      <c r="F229" s="2377"/>
      <c r="G229" s="2377"/>
      <c r="H229" s="2377"/>
      <c r="I229" s="2377"/>
      <c r="P229" s="2377"/>
      <c r="S229" s="3014"/>
      <c r="T229" s="3014"/>
    </row>
    <row r="230" spans="2:20" x14ac:dyDescent="0.45">
      <c r="E230" s="2377"/>
      <c r="F230" s="2377"/>
      <c r="G230" s="2377"/>
      <c r="H230" s="2377"/>
      <c r="I230" s="2377"/>
      <c r="P230" s="2377"/>
      <c r="S230" s="3014"/>
      <c r="T230" s="3014"/>
    </row>
    <row r="231" spans="2:20" x14ac:dyDescent="0.45">
      <c r="I231" s="2377"/>
      <c r="P231" s="2377"/>
      <c r="S231" s="2377"/>
      <c r="T231" s="2377"/>
    </row>
    <row r="232" spans="2:20" x14ac:dyDescent="0.45">
      <c r="B232" s="3009"/>
      <c r="C232" s="2377"/>
      <c r="D232" s="3008"/>
      <c r="E232" s="2377"/>
      <c r="F232" s="2377"/>
      <c r="G232" s="2377"/>
      <c r="H232" s="2377"/>
      <c r="I232" s="2377"/>
      <c r="P232" s="2377"/>
      <c r="S232" s="2377"/>
      <c r="T232" s="2377"/>
    </row>
    <row r="233" spans="2:20" x14ac:dyDescent="0.45">
      <c r="C233" s="2377"/>
      <c r="D233" s="2377"/>
      <c r="E233" s="3009"/>
      <c r="F233" s="3009"/>
      <c r="G233" s="3009"/>
      <c r="H233" s="3009"/>
      <c r="I233" s="2377"/>
      <c r="P233" s="2377"/>
      <c r="S233" s="2995"/>
      <c r="T233" s="2995"/>
    </row>
    <row r="234" spans="2:20" x14ac:dyDescent="0.45">
      <c r="C234" s="2377"/>
      <c r="D234" s="2377"/>
      <c r="E234" s="3009"/>
      <c r="F234" s="3009"/>
      <c r="G234" s="3009"/>
      <c r="H234" s="3009"/>
      <c r="I234" s="2377"/>
      <c r="P234" s="2377"/>
      <c r="S234" s="2995"/>
      <c r="T234" s="2995"/>
    </row>
    <row r="235" spans="2:20" x14ac:dyDescent="0.45">
      <c r="B235" s="3008"/>
      <c r="C235" s="2377"/>
      <c r="D235" s="2377"/>
      <c r="E235" s="2377"/>
      <c r="F235" s="2377"/>
      <c r="G235" s="2377"/>
      <c r="H235" s="2377"/>
      <c r="I235" s="2377"/>
      <c r="P235" s="2377"/>
      <c r="S235" s="2995"/>
      <c r="T235" s="2995"/>
    </row>
    <row r="236" spans="2:20" x14ac:dyDescent="0.45">
      <c r="C236" s="2377"/>
      <c r="D236" s="2377"/>
      <c r="E236" s="2377"/>
      <c r="F236" s="2377"/>
      <c r="G236" s="2377"/>
      <c r="H236" s="2377"/>
      <c r="I236" s="2377"/>
      <c r="P236" s="2377"/>
      <c r="S236" s="2995"/>
      <c r="T236" s="2995"/>
    </row>
    <row r="237" spans="2:20" x14ac:dyDescent="0.45">
      <c r="B237" s="3009"/>
      <c r="C237" s="3011"/>
      <c r="D237" s="3010"/>
      <c r="E237" s="3010"/>
      <c r="F237" s="3010"/>
      <c r="G237" s="3010"/>
      <c r="H237" s="3010"/>
      <c r="I237" s="3010"/>
      <c r="P237" s="2377"/>
      <c r="S237" s="2995"/>
      <c r="T237" s="2995"/>
    </row>
    <row r="238" spans="2:20" x14ac:dyDescent="0.45">
      <c r="B238" s="2377"/>
      <c r="C238" s="2377"/>
      <c r="D238" s="3009"/>
      <c r="E238" s="3013"/>
      <c r="F238" s="3013"/>
      <c r="G238" s="3013"/>
      <c r="H238" s="3013"/>
      <c r="I238" s="3013"/>
      <c r="P238" s="2377"/>
      <c r="S238" s="2995"/>
      <c r="T238" s="2995"/>
    </row>
    <row r="239" spans="2:20" x14ac:dyDescent="0.45">
      <c r="B239" s="2343"/>
      <c r="C239" s="2269"/>
      <c r="D239" s="2313"/>
      <c r="P239" s="2377"/>
      <c r="S239" s="2995"/>
      <c r="T239" s="2995"/>
    </row>
    <row r="240" spans="2:20" x14ac:dyDescent="0.45">
      <c r="B240" s="3008"/>
      <c r="C240" s="2377"/>
      <c r="D240" s="3008"/>
      <c r="E240" s="2377"/>
      <c r="F240" s="2377"/>
      <c r="G240" s="2377"/>
      <c r="H240" s="2377"/>
      <c r="I240" s="2377"/>
      <c r="P240" s="2377"/>
      <c r="S240" s="2995"/>
      <c r="T240" s="2995"/>
    </row>
    <row r="241" spans="2:20" x14ac:dyDescent="0.45">
      <c r="B241" s="3008"/>
      <c r="C241" s="2377"/>
      <c r="D241" s="3008"/>
      <c r="E241" s="2377"/>
      <c r="F241" s="2377"/>
      <c r="G241" s="2377"/>
      <c r="H241" s="2377"/>
      <c r="I241" s="2377"/>
      <c r="P241" s="2377"/>
      <c r="S241" s="2995"/>
      <c r="T241" s="2995"/>
    </row>
    <row r="242" spans="2:20" x14ac:dyDescent="0.45">
      <c r="B242" s="3008"/>
      <c r="C242" s="2377"/>
      <c r="D242" s="3008"/>
      <c r="E242" s="2377"/>
      <c r="F242" s="2377"/>
      <c r="G242" s="2377"/>
      <c r="H242" s="2377"/>
      <c r="I242" s="2377"/>
      <c r="P242" s="2377"/>
      <c r="S242" s="2995"/>
      <c r="T242" s="2995"/>
    </row>
    <row r="243" spans="2:20" x14ac:dyDescent="0.45">
      <c r="B243" s="3008"/>
      <c r="C243" s="2377"/>
      <c r="D243" s="3008"/>
      <c r="E243" s="2377"/>
      <c r="F243" s="2377"/>
      <c r="G243" s="2377"/>
      <c r="H243" s="2377"/>
      <c r="I243" s="2377"/>
      <c r="P243" s="2377"/>
      <c r="S243" s="2995"/>
      <c r="T243" s="2995"/>
    </row>
    <row r="244" spans="2:20" x14ac:dyDescent="0.45">
      <c r="B244" s="3008"/>
      <c r="C244" s="2377"/>
      <c r="D244" s="3008"/>
      <c r="E244" s="2377"/>
      <c r="F244" s="2377"/>
      <c r="G244" s="2377"/>
      <c r="H244" s="2377"/>
      <c r="I244" s="2377"/>
      <c r="P244" s="2377"/>
      <c r="S244" s="2995"/>
      <c r="T244" s="2995"/>
    </row>
    <row r="245" spans="2:20" x14ac:dyDescent="0.45">
      <c r="B245" s="3008"/>
      <c r="C245" s="2377"/>
      <c r="D245" s="3008"/>
      <c r="E245" s="2377"/>
      <c r="F245" s="2377"/>
      <c r="G245" s="2377"/>
      <c r="H245" s="2377"/>
      <c r="I245" s="2377"/>
      <c r="P245" s="2377"/>
      <c r="S245" s="2995"/>
      <c r="T245" s="2995"/>
    </row>
    <row r="246" spans="2:20" x14ac:dyDescent="0.45">
      <c r="B246" s="3008"/>
      <c r="C246" s="2377"/>
      <c r="D246" s="3008"/>
      <c r="E246" s="2377"/>
      <c r="F246" s="2377"/>
      <c r="G246" s="2377"/>
      <c r="H246" s="2377"/>
      <c r="I246" s="2377"/>
      <c r="P246" s="2377"/>
      <c r="S246" s="2995"/>
      <c r="T246" s="2995"/>
    </row>
    <row r="247" spans="2:20" x14ac:dyDescent="0.45">
      <c r="B247" s="3008"/>
      <c r="C247" s="2377"/>
      <c r="D247" s="3008"/>
      <c r="E247" s="2377"/>
      <c r="F247" s="2377"/>
      <c r="G247" s="2377"/>
      <c r="H247" s="2377"/>
      <c r="I247" s="2377"/>
      <c r="P247" s="2377"/>
      <c r="S247" s="2995"/>
      <c r="T247" s="2995"/>
    </row>
    <row r="248" spans="2:20" x14ac:dyDescent="0.45">
      <c r="B248" s="3008"/>
      <c r="C248" s="2377"/>
      <c r="D248" s="3008"/>
      <c r="E248" s="2377"/>
      <c r="F248" s="2377"/>
      <c r="G248" s="2377"/>
      <c r="H248" s="2377"/>
      <c r="I248" s="2377"/>
      <c r="P248" s="2377"/>
      <c r="S248" s="2995"/>
      <c r="T248" s="2995"/>
    </row>
    <row r="249" spans="2:20" x14ac:dyDescent="0.45">
      <c r="B249" s="3008"/>
      <c r="C249" s="2377"/>
      <c r="D249" s="3008"/>
      <c r="E249" s="2377"/>
      <c r="F249" s="2377"/>
      <c r="G249" s="2377"/>
      <c r="H249" s="2377"/>
      <c r="I249" s="2377"/>
      <c r="P249" s="2377"/>
      <c r="S249" s="2995"/>
      <c r="T249" s="2995"/>
    </row>
    <row r="250" spans="2:20" x14ac:dyDescent="0.45">
      <c r="B250" s="3008"/>
      <c r="C250" s="2377"/>
      <c r="D250" s="3008"/>
      <c r="E250" s="2377"/>
      <c r="F250" s="2377"/>
      <c r="G250" s="2377"/>
      <c r="H250" s="2377"/>
      <c r="I250" s="2377"/>
      <c r="P250" s="2377"/>
      <c r="S250" s="2995"/>
      <c r="T250" s="2995"/>
    </row>
    <row r="251" spans="2:20" x14ac:dyDescent="0.45">
      <c r="B251" s="3008"/>
      <c r="C251" s="2377"/>
      <c r="D251" s="3008"/>
      <c r="E251" s="2377"/>
      <c r="F251" s="2377"/>
      <c r="G251" s="2377"/>
      <c r="H251" s="2377"/>
      <c r="I251" s="2377"/>
      <c r="P251" s="2377"/>
      <c r="S251" s="2995"/>
      <c r="T251" s="2995"/>
    </row>
    <row r="252" spans="2:20" x14ac:dyDescent="0.45">
      <c r="B252" s="3008"/>
      <c r="C252" s="2377"/>
      <c r="D252" s="3008"/>
      <c r="E252" s="2377"/>
      <c r="F252" s="2377"/>
      <c r="G252" s="2377"/>
      <c r="H252" s="2377"/>
      <c r="I252" s="2377"/>
      <c r="P252" s="2377"/>
      <c r="S252" s="2995"/>
      <c r="T252" s="2995"/>
    </row>
    <row r="253" spans="2:20" x14ac:dyDescent="0.45">
      <c r="B253" s="3008"/>
      <c r="C253" s="2377"/>
      <c r="D253" s="3008"/>
      <c r="E253" s="2377"/>
      <c r="F253" s="2377"/>
      <c r="G253" s="2377"/>
      <c r="H253" s="2377"/>
      <c r="I253" s="2377"/>
      <c r="P253" s="2377"/>
      <c r="S253" s="2995"/>
      <c r="T253" s="2995"/>
    </row>
    <row r="254" spans="2:20" x14ac:dyDescent="0.45">
      <c r="B254" s="3008"/>
      <c r="C254" s="2377"/>
      <c r="D254" s="3008"/>
      <c r="E254" s="2377"/>
      <c r="F254" s="2377"/>
      <c r="G254" s="2377"/>
      <c r="H254" s="2377"/>
      <c r="I254" s="2377"/>
      <c r="L254" s="2993"/>
      <c r="M254" s="2993"/>
      <c r="N254" s="2993"/>
      <c r="O254" s="2993"/>
      <c r="S254" s="2995"/>
      <c r="T254" s="2995"/>
    </row>
    <row r="255" spans="2:20" x14ac:dyDescent="0.45">
      <c r="B255" s="3008"/>
      <c r="C255" s="2377"/>
      <c r="D255" s="3008"/>
      <c r="E255" s="2377"/>
      <c r="F255" s="2377"/>
      <c r="G255" s="2377"/>
      <c r="H255" s="2377"/>
      <c r="I255" s="2377"/>
      <c r="L255" s="2993"/>
      <c r="M255" s="2993"/>
      <c r="N255" s="2993"/>
      <c r="O255" s="2993"/>
      <c r="P255" s="2995"/>
      <c r="S255" s="2995"/>
      <c r="T255" s="2995"/>
    </row>
    <row r="256" spans="2:20" x14ac:dyDescent="0.45">
      <c r="B256" s="3008"/>
      <c r="C256" s="2377"/>
      <c r="D256" s="3008"/>
      <c r="E256" s="2377"/>
      <c r="F256" s="2377"/>
      <c r="G256" s="2377"/>
      <c r="H256" s="2377"/>
      <c r="I256" s="2377"/>
      <c r="K256" s="2993"/>
      <c r="S256" s="2995"/>
      <c r="T256" s="2995"/>
    </row>
    <row r="257" spans="2:20" x14ac:dyDescent="0.45">
      <c r="B257" s="3008"/>
      <c r="C257" s="2377"/>
      <c r="D257" s="3008"/>
      <c r="E257" s="2377"/>
      <c r="F257" s="2377"/>
      <c r="G257" s="2377"/>
      <c r="H257" s="2377"/>
      <c r="I257" s="2377"/>
      <c r="K257" s="2993"/>
      <c r="P257" s="2993"/>
      <c r="S257" s="2995"/>
      <c r="T257" s="2995"/>
    </row>
    <row r="258" spans="2:20" x14ac:dyDescent="0.45">
      <c r="B258" s="3008"/>
      <c r="C258" s="2377"/>
      <c r="D258" s="3008"/>
      <c r="E258" s="2377"/>
      <c r="F258" s="2377"/>
      <c r="G258" s="2377"/>
      <c r="H258" s="2377"/>
      <c r="I258" s="2377"/>
      <c r="S258" s="2995"/>
      <c r="T258" s="2995"/>
    </row>
    <row r="259" spans="2:20" x14ac:dyDescent="0.45">
      <c r="B259" s="3008"/>
      <c r="C259" s="2377"/>
      <c r="D259" s="3008"/>
      <c r="E259" s="2377"/>
      <c r="F259" s="2377"/>
      <c r="G259" s="2377"/>
      <c r="H259" s="2377"/>
      <c r="I259" s="2377"/>
      <c r="S259" s="2995"/>
      <c r="T259" s="2995"/>
    </row>
    <row r="260" spans="2:20" x14ac:dyDescent="0.45">
      <c r="B260" s="3008"/>
      <c r="C260" s="2377"/>
      <c r="D260" s="3008"/>
      <c r="E260" s="2377"/>
      <c r="F260" s="2377"/>
      <c r="G260" s="2377"/>
      <c r="H260" s="2377"/>
      <c r="I260" s="2377"/>
      <c r="S260" s="2995"/>
      <c r="T260" s="2995"/>
    </row>
    <row r="261" spans="2:20" x14ac:dyDescent="0.45">
      <c r="B261" s="3008"/>
      <c r="C261" s="2377"/>
      <c r="D261" s="3008"/>
      <c r="E261" s="2377"/>
      <c r="F261" s="2377"/>
      <c r="G261" s="2377"/>
      <c r="H261" s="2377"/>
      <c r="I261" s="2377"/>
      <c r="S261" s="2995"/>
      <c r="T261" s="2995"/>
    </row>
    <row r="262" spans="2:20" x14ac:dyDescent="0.45">
      <c r="B262" s="3008"/>
      <c r="C262" s="2377"/>
      <c r="D262" s="3008"/>
      <c r="E262" s="2377"/>
      <c r="F262" s="2377"/>
      <c r="G262" s="2377"/>
      <c r="H262" s="2377"/>
      <c r="I262" s="2377"/>
      <c r="P262" s="2995"/>
      <c r="S262" s="2995"/>
      <c r="T262" s="2995"/>
    </row>
    <row r="263" spans="2:20" x14ac:dyDescent="0.45">
      <c r="B263" s="3008"/>
      <c r="C263" s="2377"/>
      <c r="D263" s="3008"/>
      <c r="E263" s="2377"/>
      <c r="F263" s="2377"/>
      <c r="G263" s="2377"/>
      <c r="H263" s="2377"/>
      <c r="I263" s="2377"/>
      <c r="S263" s="2995"/>
      <c r="T263" s="2995"/>
    </row>
    <row r="264" spans="2:20" x14ac:dyDescent="0.45">
      <c r="B264" s="3008"/>
      <c r="C264" s="2377"/>
      <c r="D264" s="3008"/>
      <c r="E264" s="2377"/>
      <c r="F264" s="2377"/>
      <c r="G264" s="2377"/>
      <c r="H264" s="2377"/>
      <c r="I264" s="2377"/>
      <c r="S264" s="2995"/>
      <c r="T264" s="2995"/>
    </row>
    <row r="265" spans="2:20" x14ac:dyDescent="0.45">
      <c r="B265" s="3008"/>
      <c r="C265" s="2377"/>
      <c r="D265" s="3008"/>
      <c r="E265" s="2377"/>
      <c r="F265" s="2377"/>
      <c r="G265" s="2377"/>
      <c r="H265" s="2377"/>
      <c r="I265" s="2377"/>
      <c r="S265" s="2995"/>
      <c r="T265" s="2995"/>
    </row>
    <row r="266" spans="2:20" x14ac:dyDescent="0.45">
      <c r="B266" s="3008"/>
      <c r="C266" s="2377"/>
      <c r="D266" s="3008"/>
      <c r="E266" s="2377"/>
      <c r="F266" s="2377"/>
      <c r="G266" s="2377"/>
      <c r="H266" s="2377"/>
      <c r="I266" s="2377"/>
      <c r="S266" s="2377"/>
      <c r="T266" s="2377"/>
    </row>
    <row r="267" spans="2:20" x14ac:dyDescent="0.45">
      <c r="B267" s="3008"/>
      <c r="C267" s="2377"/>
      <c r="D267" s="3008"/>
      <c r="E267" s="2377"/>
      <c r="F267" s="2377"/>
      <c r="G267" s="2377"/>
      <c r="H267" s="2377"/>
      <c r="I267" s="2377"/>
      <c r="S267" s="2377"/>
      <c r="T267" s="2377"/>
    </row>
    <row r="268" spans="2:20" x14ac:dyDescent="0.45">
      <c r="B268" s="3008"/>
      <c r="C268" s="2377"/>
      <c r="D268" s="3008"/>
      <c r="E268" s="2377"/>
      <c r="F268" s="2377"/>
      <c r="G268" s="2377"/>
      <c r="H268" s="2377"/>
      <c r="I268" s="2377"/>
      <c r="P268" s="2995"/>
      <c r="S268" s="2377"/>
      <c r="T268" s="2377"/>
    </row>
    <row r="269" spans="2:20" x14ac:dyDescent="0.45">
      <c r="B269" s="3008"/>
      <c r="C269" s="2377"/>
      <c r="D269" s="3008"/>
      <c r="E269" s="2377"/>
      <c r="F269" s="2377"/>
      <c r="G269" s="2377"/>
      <c r="H269" s="2377"/>
      <c r="I269" s="2377"/>
      <c r="S269" s="2377"/>
      <c r="T269" s="2377"/>
    </row>
    <row r="270" spans="2:20" x14ac:dyDescent="0.45">
      <c r="B270" s="3008"/>
      <c r="C270" s="2377"/>
      <c r="D270" s="3008"/>
      <c r="E270" s="2377"/>
      <c r="F270" s="2377"/>
      <c r="G270" s="2377"/>
      <c r="H270" s="2377"/>
      <c r="I270" s="2377"/>
      <c r="S270" s="2377"/>
      <c r="T270" s="2377"/>
    </row>
    <row r="271" spans="2:20" x14ac:dyDescent="0.45">
      <c r="B271" s="3008"/>
      <c r="C271" s="2377"/>
      <c r="D271" s="3008"/>
      <c r="E271" s="2377"/>
      <c r="F271" s="2377"/>
      <c r="G271" s="2377"/>
      <c r="H271" s="2377"/>
      <c r="I271" s="2377"/>
      <c r="S271" s="2377"/>
      <c r="T271" s="2377"/>
    </row>
    <row r="272" spans="2:20" x14ac:dyDescent="0.45">
      <c r="B272" s="3008"/>
      <c r="C272" s="2377"/>
      <c r="D272" s="3008"/>
      <c r="E272" s="2377"/>
      <c r="F272" s="2377"/>
      <c r="G272" s="2377"/>
      <c r="H272" s="2377"/>
      <c r="I272" s="2377"/>
      <c r="S272" s="2377"/>
      <c r="T272" s="2377"/>
    </row>
    <row r="273" spans="2:21" x14ac:dyDescent="0.45">
      <c r="B273" s="3008"/>
      <c r="C273" s="2377"/>
      <c r="D273" s="3008"/>
      <c r="E273" s="2377"/>
      <c r="F273" s="2377"/>
      <c r="G273" s="2377"/>
      <c r="H273" s="2377"/>
      <c r="I273" s="2377"/>
      <c r="S273" s="2377"/>
      <c r="T273" s="2377"/>
    </row>
    <row r="274" spans="2:21" x14ac:dyDescent="0.45">
      <c r="B274" s="3008"/>
      <c r="C274" s="2377"/>
      <c r="D274" s="3008"/>
      <c r="E274" s="2377"/>
      <c r="F274" s="2377"/>
      <c r="G274" s="2377"/>
      <c r="H274" s="2377"/>
      <c r="I274" s="2377"/>
      <c r="P274" s="2995"/>
      <c r="S274" s="2377"/>
      <c r="T274" s="2377"/>
    </row>
    <row r="275" spans="2:21" x14ac:dyDescent="0.45">
      <c r="B275" s="3008"/>
      <c r="C275" s="2377"/>
      <c r="D275" s="3008"/>
      <c r="E275" s="2377"/>
      <c r="F275" s="2377"/>
      <c r="G275" s="2377"/>
      <c r="H275" s="2377"/>
      <c r="I275" s="2377"/>
      <c r="S275" s="2377"/>
      <c r="T275" s="2377"/>
    </row>
    <row r="276" spans="2:21" x14ac:dyDescent="0.45">
      <c r="B276" s="3008"/>
      <c r="C276" s="2377"/>
      <c r="D276" s="3008"/>
      <c r="E276" s="2377"/>
      <c r="F276" s="2377"/>
      <c r="G276" s="2377"/>
      <c r="H276" s="2377"/>
      <c r="I276" s="2377"/>
      <c r="S276" s="2377"/>
      <c r="T276" s="2377"/>
    </row>
    <row r="277" spans="2:21" x14ac:dyDescent="0.45">
      <c r="B277" s="3008"/>
      <c r="C277" s="2377"/>
      <c r="D277" s="3008"/>
      <c r="E277" s="2377"/>
      <c r="F277" s="2377"/>
      <c r="G277" s="2377"/>
      <c r="H277" s="2377"/>
      <c r="I277" s="2377"/>
    </row>
    <row r="278" spans="2:21" x14ac:dyDescent="0.45">
      <c r="B278" s="3008"/>
      <c r="C278" s="2377"/>
      <c r="D278" s="3008"/>
      <c r="E278" s="2377"/>
      <c r="F278" s="2377"/>
      <c r="G278" s="2377"/>
      <c r="H278" s="2377"/>
      <c r="I278" s="2377"/>
      <c r="Q278" s="2995"/>
      <c r="R278" s="2995"/>
      <c r="S278" s="2995"/>
      <c r="T278" s="2995"/>
    </row>
    <row r="279" spans="2:21" x14ac:dyDescent="0.45">
      <c r="B279" s="3008"/>
      <c r="C279" s="2377"/>
      <c r="D279" s="3008"/>
      <c r="E279" s="2377"/>
      <c r="F279" s="2377"/>
      <c r="G279" s="2377"/>
      <c r="H279" s="2377"/>
      <c r="I279" s="2377"/>
      <c r="J279" s="2995"/>
      <c r="U279" s="2993"/>
    </row>
    <row r="280" spans="2:21" x14ac:dyDescent="0.45">
      <c r="B280" s="3008"/>
      <c r="C280" s="2377"/>
      <c r="D280" s="3008"/>
      <c r="E280" s="2377"/>
      <c r="F280" s="2377"/>
      <c r="G280" s="2377"/>
      <c r="H280" s="2377"/>
      <c r="I280" s="2377"/>
      <c r="P280" s="2995"/>
      <c r="Q280" s="2993"/>
      <c r="R280" s="2996"/>
      <c r="S280" s="2993"/>
      <c r="T280" s="2993"/>
      <c r="U280" s="2993"/>
    </row>
    <row r="281" spans="2:21" x14ac:dyDescent="0.45">
      <c r="B281" s="3008"/>
      <c r="C281" s="2377"/>
      <c r="D281" s="3008"/>
      <c r="E281" s="2377"/>
      <c r="F281" s="2377"/>
      <c r="G281" s="2377"/>
      <c r="H281" s="2377"/>
      <c r="I281" s="2377"/>
      <c r="J281" s="2993"/>
      <c r="R281" s="2995"/>
    </row>
    <row r="282" spans="2:21" x14ac:dyDescent="0.45">
      <c r="B282" s="3008"/>
      <c r="C282" s="2377"/>
      <c r="D282" s="3008"/>
      <c r="E282" s="2377"/>
      <c r="F282" s="2377"/>
      <c r="G282" s="2377"/>
      <c r="H282" s="2377"/>
      <c r="I282" s="2377"/>
      <c r="J282" s="3012"/>
      <c r="R282" s="2995"/>
    </row>
    <row r="283" spans="2:21" x14ac:dyDescent="0.45">
      <c r="B283" s="3008"/>
      <c r="C283" s="2377"/>
      <c r="D283" s="3008"/>
      <c r="E283" s="2377"/>
      <c r="F283" s="2377"/>
      <c r="G283" s="2377"/>
      <c r="H283" s="2377"/>
      <c r="I283" s="2377"/>
      <c r="J283" s="3008"/>
      <c r="R283" s="2995"/>
    </row>
    <row r="284" spans="2:21" x14ac:dyDescent="0.45">
      <c r="B284" s="3008"/>
      <c r="C284" s="2377"/>
      <c r="D284" s="3008"/>
      <c r="E284" s="2377"/>
      <c r="F284" s="2377"/>
      <c r="G284" s="2377"/>
      <c r="H284" s="2377"/>
      <c r="I284" s="2377"/>
      <c r="J284" s="3008"/>
      <c r="R284" s="2995"/>
    </row>
    <row r="285" spans="2:21" x14ac:dyDescent="0.45">
      <c r="B285" s="3008"/>
      <c r="C285" s="2377"/>
      <c r="D285" s="3008"/>
      <c r="E285" s="2377"/>
      <c r="F285" s="2377"/>
      <c r="G285" s="2377"/>
      <c r="H285" s="2377"/>
      <c r="I285" s="2377"/>
      <c r="J285" s="3008"/>
      <c r="Q285" s="2995"/>
    </row>
    <row r="286" spans="2:21" x14ac:dyDescent="0.45">
      <c r="B286" s="3008"/>
      <c r="C286" s="2377"/>
      <c r="D286" s="3008"/>
      <c r="E286" s="2377"/>
      <c r="F286" s="2377"/>
      <c r="G286" s="2377"/>
      <c r="H286" s="2377"/>
      <c r="I286" s="2377"/>
      <c r="J286" s="3008"/>
      <c r="P286" s="2995"/>
      <c r="R286" s="2995"/>
    </row>
    <row r="287" spans="2:21" x14ac:dyDescent="0.45">
      <c r="B287" s="3008"/>
      <c r="C287" s="2377"/>
      <c r="D287" s="3008"/>
      <c r="E287" s="2377"/>
      <c r="F287" s="2377"/>
      <c r="G287" s="2377"/>
      <c r="H287" s="2377"/>
      <c r="I287" s="2377"/>
      <c r="J287" s="3008"/>
      <c r="R287" s="2995"/>
    </row>
    <row r="288" spans="2:21" x14ac:dyDescent="0.45">
      <c r="B288" s="3008"/>
      <c r="C288" s="2377"/>
      <c r="D288" s="3008"/>
      <c r="E288" s="2377"/>
      <c r="F288" s="2377"/>
      <c r="G288" s="2377"/>
      <c r="H288" s="2377"/>
      <c r="I288" s="2377"/>
      <c r="J288" s="3008"/>
      <c r="R288" s="2995"/>
    </row>
    <row r="289" spans="2:18" x14ac:dyDescent="0.45">
      <c r="B289" s="3008"/>
      <c r="C289" s="2377"/>
      <c r="D289" s="3008"/>
      <c r="E289" s="2377"/>
      <c r="F289" s="2377"/>
      <c r="G289" s="2377"/>
      <c r="H289" s="2377"/>
      <c r="I289" s="2377"/>
      <c r="J289" s="3008"/>
      <c r="R289" s="2995"/>
    </row>
    <row r="290" spans="2:18" x14ac:dyDescent="0.45">
      <c r="B290" s="3008"/>
      <c r="C290" s="2377"/>
      <c r="D290" s="3008"/>
      <c r="E290" s="2377"/>
      <c r="F290" s="2377"/>
      <c r="G290" s="2377"/>
      <c r="H290" s="2377"/>
      <c r="I290" s="2377"/>
      <c r="J290" s="3008"/>
      <c r="R290" s="2995"/>
    </row>
    <row r="291" spans="2:18" x14ac:dyDescent="0.45">
      <c r="B291" s="3008"/>
      <c r="C291" s="2377"/>
      <c r="D291" s="3008"/>
      <c r="E291" s="2377"/>
      <c r="F291" s="2377"/>
      <c r="G291" s="2377"/>
      <c r="H291" s="2377"/>
      <c r="I291" s="2377"/>
      <c r="J291" s="3008"/>
      <c r="Q291" s="2995"/>
    </row>
    <row r="292" spans="2:18" x14ac:dyDescent="0.45">
      <c r="B292" s="3008"/>
      <c r="C292" s="2377"/>
      <c r="D292" s="3008"/>
      <c r="E292" s="2377"/>
      <c r="F292" s="2377"/>
      <c r="G292" s="2377"/>
      <c r="H292" s="2377"/>
      <c r="I292" s="2377"/>
      <c r="J292" s="3008"/>
      <c r="P292" s="2995"/>
      <c r="R292" s="2995"/>
    </row>
    <row r="293" spans="2:18" x14ac:dyDescent="0.45">
      <c r="B293" s="3008"/>
      <c r="C293" s="2377"/>
      <c r="D293" s="3008"/>
      <c r="E293" s="2377"/>
      <c r="F293" s="2377"/>
      <c r="G293" s="2377"/>
      <c r="H293" s="2377"/>
      <c r="I293" s="2377"/>
      <c r="J293" s="3008"/>
      <c r="R293" s="2995"/>
    </row>
    <row r="294" spans="2:18" x14ac:dyDescent="0.45">
      <c r="B294" s="3008"/>
      <c r="C294" s="2377"/>
      <c r="D294" s="3008"/>
      <c r="E294" s="2377"/>
      <c r="F294" s="2377"/>
      <c r="G294" s="2377"/>
      <c r="H294" s="2377"/>
      <c r="I294" s="2377"/>
      <c r="J294" s="3008"/>
      <c r="R294" s="2995"/>
    </row>
    <row r="295" spans="2:18" x14ac:dyDescent="0.45">
      <c r="B295" s="3008"/>
      <c r="C295" s="2377"/>
      <c r="D295" s="3008"/>
      <c r="E295" s="2377"/>
      <c r="F295" s="2377"/>
      <c r="G295" s="2377"/>
      <c r="H295" s="2377"/>
      <c r="I295" s="2377"/>
      <c r="J295" s="3008"/>
      <c r="R295" s="2995"/>
    </row>
    <row r="296" spans="2:18" x14ac:dyDescent="0.45">
      <c r="B296" s="3008"/>
      <c r="C296" s="2377"/>
      <c r="D296" s="3008"/>
      <c r="E296" s="2377"/>
      <c r="F296" s="2377"/>
      <c r="G296" s="2377"/>
      <c r="H296" s="2377"/>
      <c r="I296" s="2377"/>
      <c r="J296" s="3008"/>
      <c r="R296" s="2995"/>
    </row>
    <row r="297" spans="2:18" x14ac:dyDescent="0.45">
      <c r="B297" s="3008"/>
      <c r="C297" s="2377"/>
      <c r="D297" s="3008"/>
      <c r="E297" s="2377"/>
      <c r="F297" s="2377"/>
      <c r="G297" s="2377"/>
      <c r="H297" s="2377"/>
      <c r="I297" s="2377"/>
      <c r="J297" s="3008"/>
      <c r="Q297" s="2995"/>
      <c r="R297" s="2995"/>
    </row>
    <row r="298" spans="2:18" x14ac:dyDescent="0.45">
      <c r="B298" s="3008"/>
      <c r="C298" s="2377"/>
      <c r="D298" s="3008"/>
      <c r="E298" s="2377"/>
      <c r="F298" s="2377"/>
      <c r="G298" s="2377"/>
      <c r="H298" s="2377"/>
      <c r="I298" s="2377"/>
      <c r="P298" s="2995"/>
      <c r="R298" s="2995"/>
    </row>
    <row r="299" spans="2:18" x14ac:dyDescent="0.45">
      <c r="B299" s="3008"/>
      <c r="C299" s="2377"/>
      <c r="D299" s="3008"/>
      <c r="E299" s="2377"/>
      <c r="F299" s="2377"/>
      <c r="G299" s="2377"/>
      <c r="H299" s="2377"/>
      <c r="I299" s="2377"/>
      <c r="J299" s="3008"/>
      <c r="R299" s="2995"/>
    </row>
    <row r="300" spans="2:18" x14ac:dyDescent="0.45">
      <c r="E300" s="2377"/>
      <c r="F300" s="2377"/>
      <c r="G300" s="2377"/>
      <c r="H300" s="2377"/>
      <c r="I300" s="2377"/>
      <c r="J300" s="3008"/>
      <c r="R300" s="2995"/>
    </row>
    <row r="301" spans="2:18" x14ac:dyDescent="0.45">
      <c r="I301" s="2377"/>
      <c r="J301" s="3008"/>
      <c r="R301" s="2995"/>
    </row>
    <row r="302" spans="2:18" x14ac:dyDescent="0.45">
      <c r="B302" s="3009"/>
      <c r="C302" s="2377"/>
      <c r="D302" s="3008"/>
      <c r="E302" s="2377"/>
      <c r="F302" s="2377"/>
      <c r="G302" s="2377"/>
      <c r="H302" s="2377"/>
      <c r="I302" s="2377"/>
      <c r="J302" s="3008"/>
      <c r="R302" s="2995"/>
    </row>
    <row r="303" spans="2:18" x14ac:dyDescent="0.45">
      <c r="C303" s="2377"/>
      <c r="D303" s="2377"/>
      <c r="E303" s="3009"/>
      <c r="F303" s="3009"/>
      <c r="G303" s="3009"/>
      <c r="H303" s="3009"/>
      <c r="I303" s="2377"/>
      <c r="J303" s="3008"/>
      <c r="Q303" s="2995"/>
    </row>
    <row r="304" spans="2:18" x14ac:dyDescent="0.45">
      <c r="C304" s="2377"/>
      <c r="D304" s="2377"/>
      <c r="E304" s="3009"/>
      <c r="F304" s="3009"/>
      <c r="G304" s="3009"/>
      <c r="H304" s="3009"/>
      <c r="I304" s="2377"/>
      <c r="J304" s="3008"/>
      <c r="P304" s="2995"/>
      <c r="R304" s="2995"/>
    </row>
    <row r="305" spans="2:18" x14ac:dyDescent="0.45">
      <c r="B305" s="3008"/>
      <c r="C305" s="2377"/>
      <c r="D305" s="2377"/>
      <c r="E305" s="2377"/>
      <c r="F305" s="2377"/>
      <c r="G305" s="2377"/>
      <c r="H305" s="2377"/>
      <c r="I305" s="2377"/>
      <c r="J305" s="3008"/>
      <c r="R305" s="2995"/>
    </row>
    <row r="306" spans="2:18" x14ac:dyDescent="0.45">
      <c r="B306" s="3009"/>
      <c r="C306" s="3011"/>
      <c r="D306" s="3010"/>
      <c r="R306" s="2995"/>
    </row>
    <row r="307" spans="2:18" x14ac:dyDescent="0.45">
      <c r="B307" s="2377"/>
      <c r="C307" s="2377"/>
      <c r="D307" s="3009"/>
      <c r="J307" s="3008"/>
      <c r="R307" s="2995"/>
    </row>
    <row r="308" spans="2:18" x14ac:dyDescent="0.45">
      <c r="B308" s="2343"/>
      <c r="C308" s="2269"/>
      <c r="D308" s="2313"/>
      <c r="J308" s="3008"/>
      <c r="R308" s="2995"/>
    </row>
    <row r="309" spans="2:18" x14ac:dyDescent="0.45">
      <c r="B309" s="3008"/>
      <c r="C309" s="2377"/>
      <c r="D309" s="3008"/>
      <c r="J309" s="3008"/>
      <c r="Q309" s="2995"/>
      <c r="R309" s="2995"/>
    </row>
    <row r="310" spans="2:18" x14ac:dyDescent="0.45">
      <c r="B310" s="3008"/>
      <c r="C310" s="2377"/>
      <c r="D310" s="3008"/>
      <c r="J310" s="3008"/>
      <c r="P310" s="2995"/>
      <c r="R310" s="2995"/>
    </row>
    <row r="311" spans="2:18" x14ac:dyDescent="0.45">
      <c r="B311" s="3008"/>
      <c r="C311" s="2377"/>
      <c r="D311" s="3008"/>
      <c r="J311" s="3008"/>
      <c r="R311" s="2995"/>
    </row>
    <row r="312" spans="2:18" x14ac:dyDescent="0.45">
      <c r="B312" s="3008"/>
      <c r="C312" s="2377"/>
      <c r="D312" s="3008"/>
      <c r="R312" s="2995"/>
    </row>
    <row r="313" spans="2:18" x14ac:dyDescent="0.45">
      <c r="B313" s="3008"/>
      <c r="C313" s="2377"/>
      <c r="D313" s="3008"/>
      <c r="J313" s="3008"/>
      <c r="R313" s="2995"/>
    </row>
    <row r="314" spans="2:18" x14ac:dyDescent="0.45">
      <c r="B314" s="3008"/>
      <c r="C314" s="2377"/>
      <c r="D314" s="3008"/>
      <c r="J314" s="3008"/>
      <c r="R314" s="2995"/>
    </row>
    <row r="315" spans="2:18" x14ac:dyDescent="0.45">
      <c r="B315" s="3008"/>
      <c r="C315" s="2377"/>
      <c r="D315" s="3008"/>
      <c r="J315" s="3008"/>
      <c r="Q315" s="2995"/>
    </row>
    <row r="316" spans="2:18" x14ac:dyDescent="0.45">
      <c r="B316" s="3008"/>
      <c r="C316" s="2377"/>
      <c r="D316" s="3008"/>
      <c r="J316" s="3008"/>
      <c r="P316" s="2995"/>
      <c r="R316" s="2995"/>
    </row>
    <row r="317" spans="2:18" x14ac:dyDescent="0.45">
      <c r="B317" s="3008"/>
      <c r="C317" s="2377"/>
      <c r="D317" s="3008"/>
      <c r="J317" s="3008"/>
      <c r="R317" s="2995"/>
    </row>
    <row r="318" spans="2:18" x14ac:dyDescent="0.45">
      <c r="B318" s="3008"/>
      <c r="C318" s="2377"/>
      <c r="D318" s="3008"/>
      <c r="R318" s="2995"/>
    </row>
    <row r="319" spans="2:18" x14ac:dyDescent="0.45">
      <c r="B319" s="3008"/>
      <c r="C319" s="2377"/>
      <c r="D319" s="3008"/>
      <c r="J319" s="3008"/>
      <c r="R319" s="2995"/>
    </row>
    <row r="320" spans="2:18" x14ac:dyDescent="0.45">
      <c r="B320" s="3008"/>
      <c r="C320" s="2377"/>
      <c r="D320" s="3008"/>
      <c r="J320" s="3008"/>
      <c r="R320" s="2995"/>
    </row>
    <row r="321" spans="2:18" x14ac:dyDescent="0.45">
      <c r="B321" s="3008"/>
      <c r="C321" s="2377"/>
      <c r="D321" s="3008"/>
      <c r="J321" s="3008"/>
      <c r="Q321" s="2995"/>
    </row>
    <row r="322" spans="2:18" x14ac:dyDescent="0.45">
      <c r="B322" s="3008"/>
      <c r="C322" s="2377"/>
      <c r="D322" s="3008"/>
      <c r="J322" s="3008"/>
      <c r="P322" s="2995"/>
      <c r="R322" s="2995"/>
    </row>
    <row r="323" spans="2:18" x14ac:dyDescent="0.45">
      <c r="B323" s="3008"/>
      <c r="C323" s="2377"/>
      <c r="D323" s="3008"/>
      <c r="J323" s="3008"/>
      <c r="R323" s="2995"/>
    </row>
    <row r="324" spans="2:18" x14ac:dyDescent="0.45">
      <c r="B324" s="3008"/>
      <c r="C324" s="2377"/>
      <c r="D324" s="3008"/>
      <c r="R324" s="2995"/>
    </row>
    <row r="325" spans="2:18" x14ac:dyDescent="0.45">
      <c r="B325" s="3008"/>
      <c r="C325" s="2377"/>
      <c r="D325" s="3008"/>
      <c r="J325" s="3008"/>
      <c r="R325" s="2995"/>
    </row>
    <row r="326" spans="2:18" x14ac:dyDescent="0.45">
      <c r="B326" s="3008"/>
      <c r="C326" s="2377"/>
      <c r="D326" s="3008"/>
      <c r="J326" s="3008"/>
      <c r="R326" s="2995"/>
    </row>
    <row r="327" spans="2:18" x14ac:dyDescent="0.45">
      <c r="B327" s="3008"/>
      <c r="C327" s="2377"/>
      <c r="D327" s="3008"/>
      <c r="J327" s="3008"/>
      <c r="Q327" s="2995"/>
    </row>
    <row r="328" spans="2:18" x14ac:dyDescent="0.45">
      <c r="B328" s="3008"/>
      <c r="C328" s="2377"/>
      <c r="D328" s="3008"/>
      <c r="J328" s="3008"/>
      <c r="P328" s="2995"/>
      <c r="R328" s="2995"/>
    </row>
    <row r="329" spans="2:18" x14ac:dyDescent="0.45">
      <c r="B329" s="3008"/>
      <c r="C329" s="2377"/>
      <c r="D329" s="3008"/>
      <c r="E329" s="2995"/>
      <c r="F329" s="2995"/>
      <c r="G329" s="2995"/>
      <c r="H329" s="2993"/>
      <c r="I329" s="2993"/>
      <c r="J329" s="3008"/>
      <c r="R329" s="2995"/>
    </row>
    <row r="330" spans="2:18" x14ac:dyDescent="0.45">
      <c r="B330" s="3008"/>
      <c r="C330" s="2377"/>
      <c r="D330" s="3008"/>
      <c r="R330" s="2995"/>
    </row>
    <row r="331" spans="2:18" x14ac:dyDescent="0.45">
      <c r="B331" s="3008"/>
      <c r="C331" s="2377"/>
      <c r="D331" s="3008"/>
      <c r="J331" s="3008"/>
      <c r="R331" s="2995"/>
    </row>
    <row r="332" spans="2:18" x14ac:dyDescent="0.45">
      <c r="B332" s="3008"/>
      <c r="C332" s="2377"/>
      <c r="D332" s="3008"/>
      <c r="J332" s="3008"/>
      <c r="R332" s="2995"/>
    </row>
    <row r="333" spans="2:18" x14ac:dyDescent="0.45">
      <c r="B333" s="3008"/>
      <c r="C333" s="2377"/>
      <c r="D333" s="3008"/>
      <c r="J333" s="3008"/>
      <c r="Q333" s="2995"/>
    </row>
    <row r="334" spans="2:18" x14ac:dyDescent="0.45">
      <c r="B334" s="3008"/>
      <c r="C334" s="2377"/>
      <c r="D334" s="3008"/>
      <c r="J334" s="3008"/>
      <c r="L334" s="2377"/>
      <c r="M334" s="2377"/>
      <c r="N334" s="2377"/>
      <c r="O334" s="2377"/>
      <c r="R334" s="2995"/>
    </row>
    <row r="335" spans="2:18" x14ac:dyDescent="0.45">
      <c r="B335" s="3008"/>
      <c r="C335" s="2377"/>
      <c r="D335" s="3008"/>
      <c r="J335" s="3008"/>
      <c r="R335" s="2995"/>
    </row>
    <row r="336" spans="2:18" x14ac:dyDescent="0.45">
      <c r="B336" s="3008"/>
      <c r="C336" s="2377"/>
      <c r="D336" s="3008"/>
      <c r="K336" s="2993"/>
      <c r="P336" s="2377"/>
      <c r="R336" s="2995"/>
    </row>
    <row r="337" spans="2:18" x14ac:dyDescent="0.45">
      <c r="B337" s="3008"/>
      <c r="C337" s="2377"/>
      <c r="D337" s="3008"/>
      <c r="J337" s="3008"/>
      <c r="R337" s="2995"/>
    </row>
    <row r="338" spans="2:18" x14ac:dyDescent="0.45">
      <c r="B338" s="3008"/>
      <c r="C338" s="2377"/>
      <c r="D338" s="3008"/>
      <c r="J338" s="3008"/>
      <c r="R338" s="2995"/>
    </row>
    <row r="339" spans="2:18" x14ac:dyDescent="0.45">
      <c r="B339" s="3008"/>
      <c r="C339" s="2377"/>
      <c r="D339" s="3008"/>
      <c r="J339" s="3008"/>
      <c r="Q339" s="2995"/>
    </row>
    <row r="340" spans="2:18" x14ac:dyDescent="0.45">
      <c r="B340" s="3008"/>
      <c r="C340" s="2377"/>
      <c r="D340" s="3008"/>
      <c r="J340" s="3008"/>
      <c r="R340" s="2995"/>
    </row>
    <row r="341" spans="2:18" x14ac:dyDescent="0.45">
      <c r="B341" s="3008"/>
      <c r="C341" s="2377"/>
      <c r="D341" s="3008"/>
      <c r="J341" s="3008"/>
      <c r="R341" s="2995"/>
    </row>
    <row r="342" spans="2:18" x14ac:dyDescent="0.45">
      <c r="B342" s="3008"/>
      <c r="C342" s="2377"/>
      <c r="D342" s="3008"/>
      <c r="R342" s="2995"/>
    </row>
    <row r="343" spans="2:18" x14ac:dyDescent="0.45">
      <c r="B343" s="3008"/>
      <c r="C343" s="2377"/>
      <c r="D343" s="3008"/>
      <c r="J343" s="3008"/>
      <c r="R343" s="2995"/>
    </row>
    <row r="344" spans="2:18" x14ac:dyDescent="0.45">
      <c r="B344" s="3008"/>
      <c r="C344" s="2377"/>
      <c r="D344" s="3008"/>
      <c r="J344" s="3008"/>
      <c r="R344" s="2995"/>
    </row>
    <row r="345" spans="2:18" x14ac:dyDescent="0.45">
      <c r="B345" s="3008"/>
      <c r="C345" s="2377"/>
      <c r="D345" s="3008"/>
      <c r="J345" s="3008"/>
      <c r="Q345" s="2995"/>
    </row>
    <row r="346" spans="2:18" x14ac:dyDescent="0.45">
      <c r="B346" s="3008"/>
      <c r="C346" s="2377"/>
      <c r="D346" s="3008"/>
      <c r="J346" s="3008"/>
      <c r="R346" s="2995"/>
    </row>
    <row r="347" spans="2:18" x14ac:dyDescent="0.45">
      <c r="B347" s="3008"/>
      <c r="C347" s="2377"/>
      <c r="D347" s="3008"/>
      <c r="J347" s="3008"/>
      <c r="R347" s="2995"/>
    </row>
    <row r="348" spans="2:18" x14ac:dyDescent="0.45">
      <c r="B348" s="3008"/>
      <c r="C348" s="2377"/>
      <c r="D348" s="3008"/>
      <c r="R348" s="2995"/>
    </row>
    <row r="349" spans="2:18" x14ac:dyDescent="0.45">
      <c r="B349" s="3008"/>
      <c r="C349" s="2377"/>
      <c r="D349" s="3008"/>
      <c r="J349" s="3008"/>
      <c r="R349" s="2995"/>
    </row>
    <row r="350" spans="2:18" x14ac:dyDescent="0.45">
      <c r="B350" s="3008"/>
      <c r="C350" s="2377"/>
      <c r="D350" s="3008"/>
      <c r="J350" s="3008"/>
      <c r="R350" s="2995"/>
    </row>
    <row r="351" spans="2:18" x14ac:dyDescent="0.45">
      <c r="B351" s="3008"/>
      <c r="C351" s="2377"/>
      <c r="D351" s="3008"/>
      <c r="J351" s="3008"/>
      <c r="Q351" s="2995"/>
    </row>
    <row r="352" spans="2:18" x14ac:dyDescent="0.45">
      <c r="B352" s="3008"/>
      <c r="C352" s="2377"/>
      <c r="D352" s="3008"/>
      <c r="J352" s="3008"/>
    </row>
    <row r="353" spans="1:45" x14ac:dyDescent="0.45">
      <c r="B353" s="3008"/>
      <c r="C353" s="2377"/>
      <c r="D353" s="3008"/>
      <c r="J353" s="3008"/>
    </row>
    <row r="354" spans="1:45" x14ac:dyDescent="0.45">
      <c r="B354" s="3008"/>
      <c r="C354" s="2377"/>
      <c r="D354" s="3008"/>
    </row>
    <row r="355" spans="1:45" x14ac:dyDescent="0.45">
      <c r="B355" s="3008"/>
      <c r="C355" s="2377"/>
      <c r="D355" s="3008"/>
    </row>
    <row r="356" spans="1:45" x14ac:dyDescent="0.45">
      <c r="B356" s="3008"/>
      <c r="C356" s="2377"/>
      <c r="D356" s="3008"/>
    </row>
    <row r="357" spans="1:45" x14ac:dyDescent="0.45">
      <c r="B357" s="3008"/>
      <c r="C357" s="2377"/>
      <c r="D357" s="3008"/>
    </row>
    <row r="358" spans="1:45" x14ac:dyDescent="0.45">
      <c r="B358" s="3008"/>
      <c r="C358" s="2377"/>
      <c r="D358" s="3008"/>
      <c r="V358" s="2993"/>
      <c r="W358" s="2993"/>
      <c r="X358" s="2993"/>
      <c r="Y358" s="2993"/>
    </row>
    <row r="359" spans="1:45" x14ac:dyDescent="0.45">
      <c r="B359" s="3008"/>
      <c r="C359" s="2377"/>
      <c r="D359" s="3008"/>
      <c r="Q359" s="2993"/>
      <c r="R359" s="2993"/>
      <c r="S359" s="2993"/>
      <c r="T359" s="2993"/>
      <c r="U359" s="2993"/>
      <c r="V359" s="2993"/>
      <c r="W359" s="2993"/>
      <c r="X359" s="2993"/>
      <c r="Y359" s="2993"/>
    </row>
    <row r="360" spans="1:45" s="2993" customFormat="1" x14ac:dyDescent="0.45">
      <c r="A360" s="2270"/>
      <c r="B360" s="3008"/>
      <c r="C360" s="2377"/>
      <c r="D360" s="3008"/>
      <c r="E360" s="2270"/>
      <c r="F360" s="2270"/>
      <c r="G360" s="2270"/>
      <c r="H360" s="2270"/>
      <c r="I360" s="2270"/>
      <c r="J360" s="2270"/>
      <c r="K360" s="2270"/>
      <c r="L360" s="2270"/>
      <c r="M360" s="2270"/>
      <c r="N360" s="2270"/>
      <c r="O360" s="2270"/>
      <c r="P360" s="2270"/>
      <c r="Q360" s="2270"/>
      <c r="R360" s="2270"/>
      <c r="S360" s="2270"/>
      <c r="T360" s="2270"/>
      <c r="U360" s="2270"/>
      <c r="V360" s="2270"/>
      <c r="W360" s="2270"/>
      <c r="X360" s="2270"/>
      <c r="Y360" s="2270"/>
      <c r="AB360" s="2270"/>
      <c r="AC360" s="2270"/>
      <c r="AD360" s="2270"/>
      <c r="AE360" s="2270"/>
      <c r="AF360" s="2270"/>
      <c r="AG360" s="2270"/>
      <c r="AH360" s="2270"/>
      <c r="AI360" s="2270"/>
      <c r="AJ360" s="2270"/>
      <c r="AK360" s="2270"/>
      <c r="AL360" s="2270"/>
      <c r="AM360" s="2270"/>
      <c r="AN360" s="2270"/>
      <c r="AO360" s="2270"/>
      <c r="AP360" s="2270"/>
      <c r="AQ360" s="2270"/>
      <c r="AR360" s="2270"/>
      <c r="AS360" s="2270"/>
    </row>
    <row r="361" spans="1:45" s="2993" customFormat="1" x14ac:dyDescent="0.45">
      <c r="A361" s="2270"/>
      <c r="B361" s="3008"/>
      <c r="C361" s="2377"/>
      <c r="D361" s="3008"/>
      <c r="E361" s="2270"/>
      <c r="F361" s="2270"/>
      <c r="G361" s="2270"/>
      <c r="H361" s="2270"/>
      <c r="I361" s="2270"/>
      <c r="K361" s="2270"/>
      <c r="L361" s="2270"/>
      <c r="M361" s="2270"/>
      <c r="N361" s="2270"/>
      <c r="O361" s="2270"/>
      <c r="P361" s="2270"/>
      <c r="Q361" s="2270"/>
      <c r="R361" s="2270"/>
      <c r="S361" s="2270"/>
      <c r="T361" s="2270"/>
      <c r="U361" s="2270"/>
      <c r="V361" s="2270"/>
      <c r="W361" s="2270"/>
      <c r="X361" s="2270"/>
      <c r="Y361" s="2270"/>
      <c r="AB361" s="2270"/>
      <c r="AC361" s="2270"/>
      <c r="AD361" s="2270"/>
      <c r="AE361" s="2270"/>
      <c r="AF361" s="2270"/>
      <c r="AG361" s="2270"/>
      <c r="AH361" s="2270"/>
      <c r="AI361" s="2270"/>
      <c r="AJ361" s="2270"/>
      <c r="AK361" s="2270"/>
      <c r="AL361" s="2270"/>
      <c r="AM361" s="2270"/>
      <c r="AN361" s="2270"/>
      <c r="AO361" s="2270"/>
      <c r="AP361" s="2270"/>
      <c r="AQ361" s="2270"/>
      <c r="AR361" s="2270"/>
      <c r="AS361" s="2270"/>
    </row>
    <row r="362" spans="1:45" ht="13.5" customHeight="1" x14ac:dyDescent="0.45">
      <c r="B362" s="3008"/>
      <c r="C362" s="2377"/>
      <c r="D362" s="3008"/>
    </row>
    <row r="363" spans="1:45" ht="13.5" customHeight="1" x14ac:dyDescent="0.45">
      <c r="B363" s="3008"/>
      <c r="C363" s="2377"/>
      <c r="D363" s="3008"/>
    </row>
    <row r="364" spans="1:45" x14ac:dyDescent="0.45">
      <c r="B364" s="3008"/>
      <c r="C364" s="2377"/>
      <c r="D364" s="3008"/>
    </row>
    <row r="365" spans="1:45" x14ac:dyDescent="0.45">
      <c r="B365" s="3008"/>
      <c r="C365" s="2377"/>
      <c r="D365" s="3008"/>
    </row>
    <row r="366" spans="1:45" x14ac:dyDescent="0.45">
      <c r="B366" s="3008"/>
      <c r="C366" s="2377"/>
      <c r="D366" s="3008"/>
    </row>
    <row r="367" spans="1:45" x14ac:dyDescent="0.45">
      <c r="B367" s="3008"/>
      <c r="C367" s="2377"/>
      <c r="D367" s="3008"/>
    </row>
    <row r="368" spans="1:45" x14ac:dyDescent="0.45">
      <c r="B368" s="3008"/>
      <c r="C368" s="2377"/>
      <c r="D368" s="3008"/>
    </row>
    <row r="371" spans="2:4" x14ac:dyDescent="0.45">
      <c r="B371" s="3009"/>
      <c r="C371" s="2377"/>
      <c r="D371" s="3008"/>
    </row>
    <row r="372" spans="2:4" x14ac:dyDescent="0.45">
      <c r="C372" s="2377"/>
      <c r="D372" s="2377"/>
    </row>
    <row r="373" spans="2:4" x14ac:dyDescent="0.45">
      <c r="C373" s="2377"/>
      <c r="D373" s="2377"/>
    </row>
    <row r="374" spans="2:4" x14ac:dyDescent="0.45">
      <c r="B374" s="3008"/>
      <c r="C374" s="2377"/>
      <c r="D374" s="2377"/>
    </row>
    <row r="429" spans="1:1" x14ac:dyDescent="0.45">
      <c r="A429" s="2993"/>
    </row>
    <row r="430" spans="1:1" x14ac:dyDescent="0.45">
      <c r="A430" s="2993"/>
    </row>
  </sheetData>
  <sheetProtection algorithmName="SHA-512" hashValue="4KNHarzIY80iIHnQ5ssIhGHx9q0tEGQAktnaR4LqsP6okcQs/1QXcQk04aKBbwSuQszf/5PPNaERTbdCQEdF+g==" saltValue="u6gxYgew73B0N53oMtGVXg==" spinCount="100000" sheet="1" objects="1" scenarios="1"/>
  <conditionalFormatting sqref="M13:O72">
    <cfRule type="cellIs" dxfId="25" priority="1" operator="equal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9EEA7-0E04-4B23-90AE-B7810B8CCE9A}">
  <sheetPr codeName="Sheet43">
    <tabColor theme="5" tint="0.39997558519241921"/>
    <pageSetUpPr autoPageBreaks="0" fitToPage="1"/>
  </sheetPr>
  <dimension ref="A1:Q111"/>
  <sheetViews>
    <sheetView showGridLines="0" workbookViewId="0"/>
  </sheetViews>
  <sheetFormatPr defaultColWidth="9" defaultRowHeight="14.25" customHeight="1" x14ac:dyDescent="0.45"/>
  <cols>
    <col min="1" max="1" width="34.265625" style="2270" customWidth="1"/>
    <col min="2" max="2" width="9" style="2270" customWidth="1"/>
    <col min="3" max="3" width="20" style="2270" customWidth="1"/>
    <col min="4" max="4" width="16.73046875" style="2270" customWidth="1"/>
    <col min="5" max="7" width="15" style="2270" customWidth="1"/>
    <col min="8" max="9" width="17.1328125" style="2270" customWidth="1"/>
    <col min="10" max="10" width="50" style="2270" customWidth="1"/>
    <col min="11" max="11" width="14" style="2270" customWidth="1"/>
    <col min="12" max="12" width="15" style="2270" customWidth="1"/>
    <col min="13" max="13" width="42.86328125" style="2270" customWidth="1"/>
    <col min="14" max="14" width="11" style="2270" customWidth="1"/>
    <col min="15" max="15" width="9.86328125" style="2270" hidden="1" customWidth="1"/>
    <col min="16" max="16" width="10.265625" style="2270" hidden="1" customWidth="1"/>
    <col min="17" max="17" width="0" style="2270" hidden="1" customWidth="1"/>
    <col min="18" max="16384" width="9" style="2270"/>
  </cols>
  <sheetData>
    <row r="1" spans="1:17" ht="25.5" customHeight="1" x14ac:dyDescent="0.45">
      <c r="A1" s="636" t="s">
        <v>29799</v>
      </c>
      <c r="B1" s="2476"/>
      <c r="C1" s="2472"/>
      <c r="D1" s="2475"/>
      <c r="E1" s="2475"/>
      <c r="F1" s="2475"/>
      <c r="G1" s="2475"/>
      <c r="H1" s="2383"/>
      <c r="I1" s="2383"/>
      <c r="J1" s="2384"/>
      <c r="K1" s="2384"/>
      <c r="L1" s="2384"/>
      <c r="M1" s="2383"/>
    </row>
    <row r="2" spans="1:17" ht="18" customHeight="1" x14ac:dyDescent="0.45">
      <c r="A2" s="1385" t="str">
        <f>IF(PROVIDER="","Provider name",PROVIDER&amp;" ("&amp;UKPRN&amp;")")</f>
        <v>Provider name</v>
      </c>
      <c r="B2" s="2361"/>
      <c r="C2" s="2472"/>
      <c r="D2" s="2473"/>
      <c r="E2" s="2473"/>
      <c r="F2" s="2473"/>
      <c r="G2" s="2473"/>
      <c r="H2" s="2383"/>
      <c r="I2" s="2383"/>
      <c r="J2" s="2384"/>
      <c r="K2" s="2384"/>
      <c r="L2" s="2384"/>
      <c r="M2" s="2383"/>
    </row>
    <row r="3" spans="1:17" ht="14.25" customHeight="1" x14ac:dyDescent="0.45">
      <c r="A3" s="1501" t="s">
        <v>27970</v>
      </c>
      <c r="B3" s="2361"/>
      <c r="C3" s="2472"/>
      <c r="D3" s="2473"/>
      <c r="E3" s="2473"/>
      <c r="F3" s="2473"/>
      <c r="G3" s="2473"/>
      <c r="H3" s="2383"/>
      <c r="I3" s="2383"/>
      <c r="J3" s="2384"/>
      <c r="K3" s="2384"/>
      <c r="L3" s="2384"/>
      <c r="M3" s="2383"/>
    </row>
    <row r="4" spans="1:17" ht="14.65" customHeight="1" x14ac:dyDescent="0.45">
      <c r="A4" s="1501" t="s">
        <v>27713</v>
      </c>
      <c r="B4" s="2361"/>
      <c r="C4" s="2472"/>
      <c r="D4" s="2471"/>
      <c r="E4" s="2471"/>
      <c r="F4" s="2471"/>
      <c r="G4" s="2471"/>
      <c r="H4" s="2383"/>
      <c r="I4" s="2383"/>
      <c r="J4" s="2384"/>
      <c r="K4" s="2384"/>
      <c r="L4" s="2384"/>
      <c r="M4" s="2383"/>
    </row>
    <row r="5" spans="1:17" ht="33" customHeight="1" thickBot="1" x14ac:dyDescent="0.5">
      <c r="A5" s="2470"/>
      <c r="B5" s="2368"/>
      <c r="C5" s="2400"/>
      <c r="D5" s="2469"/>
      <c r="E5" s="2469"/>
      <c r="F5" s="2469"/>
      <c r="G5" s="2469"/>
      <c r="H5" s="2358" t="str">
        <f>'FTE Table 6a Valid'!E3</f>
        <v>Validation: OK</v>
      </c>
      <c r="I5" s="2358"/>
      <c r="J5" s="2358" t="str">
        <f>'FTE Table 6a Valid'!F3</f>
        <v>Validation: OK</v>
      </c>
      <c r="K5" s="2468"/>
      <c r="L5" s="2468"/>
      <c r="M5" s="2467"/>
    </row>
    <row r="6" spans="1:17" ht="48" customHeight="1" thickTop="1" x14ac:dyDescent="0.45">
      <c r="A6" s="2269"/>
      <c r="B6" s="2269"/>
      <c r="C6" s="2269"/>
      <c r="D6" s="3125" t="s">
        <v>29703</v>
      </c>
      <c r="E6" s="3126" t="s">
        <v>29401</v>
      </c>
      <c r="F6" s="3126" t="s">
        <v>29400</v>
      </c>
      <c r="G6" s="3127" t="s">
        <v>29670</v>
      </c>
      <c r="H6" s="3128" t="s">
        <v>29736</v>
      </c>
      <c r="I6" s="3126" t="s">
        <v>29671</v>
      </c>
      <c r="J6" s="3127" t="s">
        <v>29399</v>
      </c>
      <c r="K6" s="3212" t="s">
        <v>29398</v>
      </c>
      <c r="L6" s="3213" t="s">
        <v>29397</v>
      </c>
      <c r="M6" s="3214" t="s">
        <v>29396</v>
      </c>
    </row>
    <row r="7" spans="1:17" ht="30" customHeight="1" x14ac:dyDescent="0.45">
      <c r="A7" s="2269"/>
      <c r="B7" s="2269"/>
      <c r="C7" s="2269"/>
      <c r="D7" s="3129" t="s">
        <v>27681</v>
      </c>
      <c r="E7" s="3130" t="s">
        <v>27681</v>
      </c>
      <c r="F7" s="3130" t="s">
        <v>27681</v>
      </c>
      <c r="G7" s="3131" t="s">
        <v>27681</v>
      </c>
      <c r="H7" s="3132"/>
      <c r="I7" s="3130" t="s">
        <v>27681</v>
      </c>
      <c r="J7" s="3114"/>
      <c r="K7" s="2356"/>
      <c r="L7" s="2355"/>
      <c r="M7" s="3114"/>
    </row>
    <row r="8" spans="1:17" ht="97.15" customHeight="1" x14ac:dyDescent="0.45">
      <c r="A8" s="2466" t="s">
        <v>27840</v>
      </c>
      <c r="B8" s="2353" t="s">
        <v>56</v>
      </c>
      <c r="C8" s="2352" t="s">
        <v>57</v>
      </c>
      <c r="D8" s="3133" t="str">
        <f>"Countable years in academic year 20"&amp;YEAR&amp;"-"&amp;RIGHT(YEAR+1,2)</f>
        <v>Countable years in academic year 2024-25</v>
      </c>
      <c r="E8" s="2347" t="s">
        <v>29682</v>
      </c>
      <c r="F8" s="2347" t="str">
        <f>"Aggregation level of multiplication factor used where different to last year"</f>
        <v>Aggregation level of multiplication factor used where different to last year</v>
      </c>
      <c r="G8" s="2346" t="s">
        <v>29672</v>
      </c>
      <c r="H8" s="2351" t="s">
        <v>29737</v>
      </c>
      <c r="I8" s="2350" t="s">
        <v>29752</v>
      </c>
      <c r="J8" s="2349" t="s">
        <v>29751</v>
      </c>
      <c r="K8" s="2348" t="s">
        <v>29395</v>
      </c>
      <c r="L8" s="2347" t="s">
        <v>29394</v>
      </c>
      <c r="M8" s="2346" t="s">
        <v>29393</v>
      </c>
      <c r="O8" s="2465" t="s">
        <v>27841</v>
      </c>
      <c r="P8" s="2465" t="s">
        <v>65</v>
      </c>
      <c r="Q8" s="2465" t="s">
        <v>66</v>
      </c>
    </row>
    <row r="9" spans="1:17" ht="14.65" customHeight="1" x14ac:dyDescent="0.45">
      <c r="A9" s="2429" t="s">
        <v>27842</v>
      </c>
      <c r="B9" s="2428" t="s">
        <v>204</v>
      </c>
      <c r="C9" s="2429" t="s">
        <v>27769</v>
      </c>
      <c r="D9" s="3134">
        <f>'6a_Health_full_time'!J13</f>
        <v>0</v>
      </c>
      <c r="E9" s="3135">
        <f>IF(D9=0,0,'Table 6a MF'!D2)</f>
        <v>0</v>
      </c>
      <c r="F9" s="3136" t="str">
        <f>IF(D9=0,"N/A",'Table 6a MF'!E2)</f>
        <v>N/A</v>
      </c>
      <c r="G9" s="3137">
        <f>D9*E9</f>
        <v>0</v>
      </c>
      <c r="H9" s="3237">
        <v>0</v>
      </c>
      <c r="I9" s="3138">
        <f>IF(H9&gt;0,D9*H9, 0)</f>
        <v>0</v>
      </c>
      <c r="J9" s="3224"/>
      <c r="K9" s="3249"/>
      <c r="L9" s="3250"/>
      <c r="M9" s="3251"/>
      <c r="O9" s="2366" t="s">
        <v>27843</v>
      </c>
      <c r="P9" s="2366" t="s">
        <v>27685</v>
      </c>
      <c r="Q9" s="2390" t="s">
        <v>27826</v>
      </c>
    </row>
    <row r="10" spans="1:17" ht="14.65" customHeight="1" x14ac:dyDescent="0.45">
      <c r="A10" s="2425" t="s">
        <v>27842</v>
      </c>
      <c r="B10" s="2419" t="s">
        <v>204</v>
      </c>
      <c r="C10" s="3310" t="s">
        <v>210</v>
      </c>
      <c r="D10" s="3311"/>
      <c r="E10" s="2464"/>
      <c r="F10" s="2463"/>
      <c r="G10" s="2462"/>
      <c r="H10" s="2461"/>
      <c r="I10" s="2460"/>
      <c r="J10" s="2459"/>
      <c r="K10" s="2458"/>
      <c r="L10" s="2457"/>
      <c r="M10" s="2456"/>
      <c r="O10" s="2366" t="s">
        <v>27843</v>
      </c>
      <c r="P10" s="2366" t="s">
        <v>27685</v>
      </c>
      <c r="Q10" s="2390" t="s">
        <v>27688</v>
      </c>
    </row>
    <row r="11" spans="1:17" ht="14.65" customHeight="1" x14ac:dyDescent="0.45">
      <c r="A11" s="2425" t="s">
        <v>27842</v>
      </c>
      <c r="B11" s="2417" t="s">
        <v>218</v>
      </c>
      <c r="C11" s="2416" t="s">
        <v>27769</v>
      </c>
      <c r="D11" s="3312">
        <f>'6a_Health_full_time'!J15</f>
        <v>0</v>
      </c>
      <c r="E11" s="3300">
        <f>IF(D11=0,0,'Table 6a MF'!D4)</f>
        <v>0</v>
      </c>
      <c r="F11" s="3301" t="str">
        <f>IF(D11=0,"N/A",'Table 6a MF'!E4)</f>
        <v>N/A</v>
      </c>
      <c r="G11" s="3302">
        <f t="shared" ref="G11:G73" si="0">D11*E11</f>
        <v>0</v>
      </c>
      <c r="H11" s="3252">
        <v>0</v>
      </c>
      <c r="I11" s="3163">
        <f t="shared" ref="I11:I73" si="1">IF(H11&gt;0,D11*H11, 0)</f>
        <v>0</v>
      </c>
      <c r="J11" s="3253"/>
      <c r="K11" s="3249"/>
      <c r="L11" s="3254"/>
      <c r="M11" s="3255"/>
      <c r="O11" s="2366" t="s">
        <v>27843</v>
      </c>
      <c r="P11" s="2366" t="s">
        <v>27691</v>
      </c>
      <c r="Q11" s="2390" t="s">
        <v>27826</v>
      </c>
    </row>
    <row r="12" spans="1:17" ht="14.65" customHeight="1" x14ac:dyDescent="0.45">
      <c r="A12" s="2427" t="s">
        <v>27842</v>
      </c>
      <c r="B12" s="2412" t="s">
        <v>218</v>
      </c>
      <c r="C12" s="2411" t="s">
        <v>210</v>
      </c>
      <c r="D12" s="3313"/>
      <c r="E12" s="2455"/>
      <c r="F12" s="2409"/>
      <c r="G12" s="2454"/>
      <c r="H12" s="2438"/>
      <c r="I12" s="2437"/>
      <c r="J12" s="2436"/>
      <c r="K12" s="2453"/>
      <c r="L12" s="2452"/>
      <c r="M12" s="2451"/>
      <c r="O12" s="2366" t="s">
        <v>27843</v>
      </c>
      <c r="P12" s="2366" t="s">
        <v>27691</v>
      </c>
      <c r="Q12" s="2390" t="s">
        <v>27688</v>
      </c>
    </row>
    <row r="13" spans="1:17" ht="14.65" customHeight="1" x14ac:dyDescent="0.45">
      <c r="A13" s="2416" t="s">
        <v>27844</v>
      </c>
      <c r="B13" s="2417" t="s">
        <v>204</v>
      </c>
      <c r="C13" s="2416" t="s">
        <v>27769</v>
      </c>
      <c r="D13" s="3314">
        <f>'6a_Health_full_time'!J17</f>
        <v>0</v>
      </c>
      <c r="E13" s="3297">
        <f>IF(D13=0,0,'Table 6a MF'!D6)</f>
        <v>0</v>
      </c>
      <c r="F13" s="3298" t="str">
        <f>IF(D13=0,"N/A",'Table 6a MF'!E6)</f>
        <v>N/A</v>
      </c>
      <c r="G13" s="3299">
        <f t="shared" si="0"/>
        <v>0</v>
      </c>
      <c r="H13" s="3256">
        <v>0</v>
      </c>
      <c r="I13" s="3306">
        <f t="shared" si="1"/>
        <v>0</v>
      </c>
      <c r="J13" s="3257"/>
      <c r="K13" s="3258"/>
      <c r="L13" s="3259"/>
      <c r="M13" s="3260"/>
      <c r="O13" s="2366" t="s">
        <v>27845</v>
      </c>
      <c r="P13" s="2366" t="s">
        <v>27685</v>
      </c>
      <c r="Q13" s="2390" t="s">
        <v>27826</v>
      </c>
    </row>
    <row r="14" spans="1:17" ht="14.65" customHeight="1" x14ac:dyDescent="0.45">
      <c r="A14" s="2425" t="s">
        <v>27844</v>
      </c>
      <c r="B14" s="2419" t="s">
        <v>204</v>
      </c>
      <c r="C14" s="3310" t="s">
        <v>210</v>
      </c>
      <c r="D14" s="3315"/>
      <c r="E14" s="2450"/>
      <c r="F14" s="2449"/>
      <c r="G14" s="2448"/>
      <c r="H14" s="2447"/>
      <c r="I14" s="2446"/>
      <c r="J14" s="2445"/>
      <c r="K14" s="2444"/>
      <c r="L14" s="2443"/>
      <c r="M14" s="2442"/>
      <c r="O14" s="2366" t="s">
        <v>27845</v>
      </c>
      <c r="P14" s="2366" t="s">
        <v>27685</v>
      </c>
      <c r="Q14" s="2390" t="s">
        <v>27688</v>
      </c>
    </row>
    <row r="15" spans="1:17" ht="14.65" customHeight="1" x14ac:dyDescent="0.45">
      <c r="A15" s="2425" t="s">
        <v>27844</v>
      </c>
      <c r="B15" s="2417" t="s">
        <v>218</v>
      </c>
      <c r="C15" s="2416" t="s">
        <v>27769</v>
      </c>
      <c r="D15" s="3159">
        <f>'6a_Health_full_time'!J19</f>
        <v>0</v>
      </c>
      <c r="E15" s="3160">
        <f>IF(D15=0,0,'Table 6a MF'!D8)</f>
        <v>0</v>
      </c>
      <c r="F15" s="3161" t="str">
        <f>IF(D15=0,"N/A",'Table 6a MF'!E8)</f>
        <v>N/A</v>
      </c>
      <c r="G15" s="3162">
        <f t="shared" si="0"/>
        <v>0</v>
      </c>
      <c r="H15" s="3252">
        <v>0</v>
      </c>
      <c r="I15" s="3163">
        <f t="shared" si="1"/>
        <v>0</v>
      </c>
      <c r="J15" s="3261"/>
      <c r="K15" s="3262"/>
      <c r="L15" s="3263"/>
      <c r="M15" s="3264"/>
      <c r="O15" s="2366" t="s">
        <v>27845</v>
      </c>
      <c r="P15" s="2366" t="s">
        <v>27691</v>
      </c>
      <c r="Q15" s="2390" t="s">
        <v>27826</v>
      </c>
    </row>
    <row r="16" spans="1:17" ht="14.65" customHeight="1" x14ac:dyDescent="0.45">
      <c r="A16" s="2427" t="s">
        <v>27844</v>
      </c>
      <c r="B16" s="2412" t="s">
        <v>218</v>
      </c>
      <c r="C16" s="2411" t="s">
        <v>210</v>
      </c>
      <c r="D16" s="3316"/>
      <c r="E16" s="2441"/>
      <c r="F16" s="2440"/>
      <c r="G16" s="2439"/>
      <c r="H16" s="2438"/>
      <c r="I16" s="2437"/>
      <c r="J16" s="2436"/>
      <c r="K16" s="2435"/>
      <c r="L16" s="2434"/>
      <c r="M16" s="2433"/>
      <c r="O16" s="2366" t="s">
        <v>27845</v>
      </c>
      <c r="P16" s="2366" t="s">
        <v>27691</v>
      </c>
      <c r="Q16" s="2390" t="s">
        <v>27688</v>
      </c>
    </row>
    <row r="17" spans="1:17" ht="14.65" customHeight="1" x14ac:dyDescent="0.45">
      <c r="A17" s="2416" t="s">
        <v>27846</v>
      </c>
      <c r="B17" s="2432" t="s">
        <v>204</v>
      </c>
      <c r="C17" s="3310" t="s">
        <v>212</v>
      </c>
      <c r="D17" s="3317">
        <f>'6a_Health_full_time'!J21</f>
        <v>0</v>
      </c>
      <c r="E17" s="3287">
        <f>IF(D17=0,0,'Table 6a MF'!D10)</f>
        <v>0</v>
      </c>
      <c r="F17" s="3288" t="str">
        <f>IF(D17=0,"N/A",'Table 6a MF'!E10)</f>
        <v>N/A</v>
      </c>
      <c r="G17" s="3289">
        <f t="shared" si="0"/>
        <v>0</v>
      </c>
      <c r="H17" s="3252">
        <v>0</v>
      </c>
      <c r="I17" s="3163">
        <f t="shared" si="1"/>
        <v>0</v>
      </c>
      <c r="J17" s="3261"/>
      <c r="K17" s="3249"/>
      <c r="L17" s="3254"/>
      <c r="M17" s="3255"/>
      <c r="O17" s="2366" t="s">
        <v>27845</v>
      </c>
      <c r="P17" s="2366" t="s">
        <v>27685</v>
      </c>
      <c r="Q17" s="2390" t="s">
        <v>27689</v>
      </c>
    </row>
    <row r="18" spans="1:17" ht="14.65" customHeight="1" x14ac:dyDescent="0.45">
      <c r="A18" s="2425" t="s">
        <v>27846</v>
      </c>
      <c r="B18" s="2431" t="s">
        <v>218</v>
      </c>
      <c r="C18" s="2411" t="s">
        <v>212</v>
      </c>
      <c r="D18" s="3149">
        <f>'6a_Health_full_time'!J22</f>
        <v>0</v>
      </c>
      <c r="E18" s="3150">
        <f>IF(D18=0,0,'Table 6a MF'!D11)</f>
        <v>0</v>
      </c>
      <c r="F18" s="3151" t="str">
        <f>IF(D18=0,"N/A",'Table 6a MF'!E11)</f>
        <v>N/A</v>
      </c>
      <c r="G18" s="3152">
        <f t="shared" si="0"/>
        <v>0</v>
      </c>
      <c r="H18" s="3265">
        <v>0</v>
      </c>
      <c r="I18" s="3169">
        <f t="shared" si="1"/>
        <v>0</v>
      </c>
      <c r="J18" s="3266"/>
      <c r="K18" s="3267"/>
      <c r="L18" s="3268"/>
      <c r="M18" s="3269"/>
      <c r="O18" s="2366" t="s">
        <v>27845</v>
      </c>
      <c r="P18" s="2366" t="s">
        <v>27691</v>
      </c>
      <c r="Q18" s="2390" t="s">
        <v>27689</v>
      </c>
    </row>
    <row r="19" spans="1:17" ht="14.65" customHeight="1" x14ac:dyDescent="0.45">
      <c r="A19" s="2429" t="s">
        <v>27847</v>
      </c>
      <c r="B19" s="2428" t="s">
        <v>204</v>
      </c>
      <c r="C19" s="2429" t="s">
        <v>27769</v>
      </c>
      <c r="D19" s="3134">
        <f>'6a_Health_full_time'!J23</f>
        <v>0</v>
      </c>
      <c r="E19" s="3135">
        <f>IF(D19=0,0,'Table 6a MF'!D12)</f>
        <v>0</v>
      </c>
      <c r="F19" s="3136" t="str">
        <f>IF(D19=0,"N/A",'Table 6a MF'!E12)</f>
        <v>N/A</v>
      </c>
      <c r="G19" s="3137">
        <f t="shared" si="0"/>
        <v>0</v>
      </c>
      <c r="H19" s="3237">
        <v>0</v>
      </c>
      <c r="I19" s="3138">
        <f t="shared" si="1"/>
        <v>0</v>
      </c>
      <c r="J19" s="3224"/>
      <c r="K19" s="3249"/>
      <c r="L19" s="3270"/>
      <c r="M19" s="3251"/>
      <c r="O19" s="2366" t="s">
        <v>27848</v>
      </c>
      <c r="P19" s="2366" t="s">
        <v>27685</v>
      </c>
      <c r="Q19" s="2390" t="s">
        <v>27826</v>
      </c>
    </row>
    <row r="20" spans="1:17" ht="14.65" customHeight="1" x14ac:dyDescent="0.45">
      <c r="A20" s="2425" t="s">
        <v>27847</v>
      </c>
      <c r="B20" s="2419" t="s">
        <v>204</v>
      </c>
      <c r="C20" s="3310" t="s">
        <v>210</v>
      </c>
      <c r="D20" s="3318">
        <f>'6a_Health_full_time'!J24</f>
        <v>0</v>
      </c>
      <c r="E20" s="3290">
        <f>IF(D20=0,0,'Table 6a MF'!D13)</f>
        <v>0</v>
      </c>
      <c r="F20" s="3291" t="str">
        <f>IF(D20=0,"N/A",'Table 6a MF'!E13)</f>
        <v>N/A</v>
      </c>
      <c r="G20" s="3292">
        <f t="shared" si="0"/>
        <v>0</v>
      </c>
      <c r="H20" s="3239">
        <v>0</v>
      </c>
      <c r="I20" s="3157">
        <f t="shared" si="1"/>
        <v>0</v>
      </c>
      <c r="J20" s="3233"/>
      <c r="K20" s="3271"/>
      <c r="L20" s="3272"/>
      <c r="M20" s="3273"/>
      <c r="O20" s="2366" t="s">
        <v>27848</v>
      </c>
      <c r="P20" s="2366" t="s">
        <v>27685</v>
      </c>
      <c r="Q20" s="2390" t="s">
        <v>27688</v>
      </c>
    </row>
    <row r="21" spans="1:17" ht="14.65" customHeight="1" x14ac:dyDescent="0.45">
      <c r="A21" s="2425" t="s">
        <v>27847</v>
      </c>
      <c r="B21" s="2417" t="s">
        <v>218</v>
      </c>
      <c r="C21" s="2416" t="s">
        <v>27769</v>
      </c>
      <c r="D21" s="3159">
        <f>'6a_Health_full_time'!J25</f>
        <v>0</v>
      </c>
      <c r="E21" s="3160">
        <f>IF(D21=0,0,'Table 6a MF'!D14)</f>
        <v>0</v>
      </c>
      <c r="F21" s="3161" t="str">
        <f>IF(D21=0,"N/A",'Table 6a MF'!E14)</f>
        <v>N/A</v>
      </c>
      <c r="G21" s="3162">
        <f t="shared" si="0"/>
        <v>0</v>
      </c>
      <c r="H21" s="3274">
        <v>0</v>
      </c>
      <c r="I21" s="3303">
        <f t="shared" si="1"/>
        <v>0</v>
      </c>
      <c r="J21" s="3275"/>
      <c r="K21" s="3276"/>
      <c r="L21" s="3263"/>
      <c r="M21" s="3264"/>
      <c r="O21" s="2366" t="s">
        <v>27848</v>
      </c>
      <c r="P21" s="2366" t="s">
        <v>27691</v>
      </c>
      <c r="Q21" s="2390" t="s">
        <v>27826</v>
      </c>
    </row>
    <row r="22" spans="1:17" ht="14.65" customHeight="1" x14ac:dyDescent="0.45">
      <c r="A22" s="2427" t="s">
        <v>27847</v>
      </c>
      <c r="B22" s="2412" t="s">
        <v>218</v>
      </c>
      <c r="C22" s="2411" t="s">
        <v>210</v>
      </c>
      <c r="D22" s="3319">
        <f>'6a_Health_full_time'!J26</f>
        <v>0</v>
      </c>
      <c r="E22" s="3293">
        <f>IF(D22=0,0,'Table 6a MF'!D15)</f>
        <v>0</v>
      </c>
      <c r="F22" s="3294" t="str">
        <f>IF(D22=0,"N/A",'Table 6a MF'!E15)</f>
        <v>N/A</v>
      </c>
      <c r="G22" s="3285">
        <f t="shared" si="0"/>
        <v>0</v>
      </c>
      <c r="H22" s="3277">
        <v>0</v>
      </c>
      <c r="I22" s="3304">
        <f t="shared" si="1"/>
        <v>0</v>
      </c>
      <c r="J22" s="3278"/>
      <c r="K22" s="3267"/>
      <c r="L22" s="3268"/>
      <c r="M22" s="3269"/>
      <c r="O22" s="2366" t="s">
        <v>27848</v>
      </c>
      <c r="P22" s="2366" t="s">
        <v>27691</v>
      </c>
      <c r="Q22" s="2390" t="s">
        <v>27688</v>
      </c>
    </row>
    <row r="23" spans="1:17" ht="14.65" customHeight="1" x14ac:dyDescent="0.45">
      <c r="A23" s="2416" t="s">
        <v>27849</v>
      </c>
      <c r="B23" s="2417" t="s">
        <v>204</v>
      </c>
      <c r="C23" s="2416" t="s">
        <v>27769</v>
      </c>
      <c r="D23" s="3134">
        <f>'6a_Health_full_time'!J27</f>
        <v>0</v>
      </c>
      <c r="E23" s="3135">
        <f>IF(D23=0,0,'Table 6a MF'!D16)</f>
        <v>0</v>
      </c>
      <c r="F23" s="3136" t="str">
        <f>IF(D23=0,"N/A",'Table 6a MF'!E16)</f>
        <v>N/A</v>
      </c>
      <c r="G23" s="3137">
        <f t="shared" si="0"/>
        <v>0</v>
      </c>
      <c r="H23" s="3237">
        <v>0</v>
      </c>
      <c r="I23" s="3138">
        <f t="shared" si="1"/>
        <v>0</v>
      </c>
      <c r="J23" s="3224"/>
      <c r="K23" s="3249"/>
      <c r="L23" s="3270"/>
      <c r="M23" s="3251"/>
      <c r="O23" s="2366" t="s">
        <v>27850</v>
      </c>
      <c r="P23" s="2366" t="s">
        <v>27685</v>
      </c>
      <c r="Q23" s="2390" t="s">
        <v>27826</v>
      </c>
    </row>
    <row r="24" spans="1:17" ht="14.65" customHeight="1" x14ac:dyDescent="0.45">
      <c r="A24" s="2425" t="s">
        <v>27849</v>
      </c>
      <c r="B24" s="2419" t="s">
        <v>204</v>
      </c>
      <c r="C24" s="3310" t="s">
        <v>210</v>
      </c>
      <c r="D24" s="3318">
        <f>'6a_Health_full_time'!J28</f>
        <v>0</v>
      </c>
      <c r="E24" s="3290">
        <f>IF(D24=0,0,'Table 6a MF'!D17)</f>
        <v>0</v>
      </c>
      <c r="F24" s="3291" t="str">
        <f>IF(D24=0,"N/A",'Table 6a MF'!E17)</f>
        <v>N/A</v>
      </c>
      <c r="G24" s="3292">
        <f t="shared" si="0"/>
        <v>0</v>
      </c>
      <c r="H24" s="3239">
        <v>0</v>
      </c>
      <c r="I24" s="3157">
        <f t="shared" si="1"/>
        <v>0</v>
      </c>
      <c r="J24" s="3233"/>
      <c r="K24" s="3271"/>
      <c r="L24" s="3272"/>
      <c r="M24" s="3273"/>
      <c r="O24" s="2366" t="s">
        <v>27850</v>
      </c>
      <c r="P24" s="2366" t="s">
        <v>27685</v>
      </c>
      <c r="Q24" s="2390" t="s">
        <v>27688</v>
      </c>
    </row>
    <row r="25" spans="1:17" ht="14.65" customHeight="1" x14ac:dyDescent="0.45">
      <c r="A25" s="2425" t="s">
        <v>27849</v>
      </c>
      <c r="B25" s="2417" t="s">
        <v>218</v>
      </c>
      <c r="C25" s="2416" t="s">
        <v>27769</v>
      </c>
      <c r="D25" s="3159">
        <f>'6a_Health_full_time'!J29</f>
        <v>0</v>
      </c>
      <c r="E25" s="3160">
        <f>IF(D25=0,0,'Table 6a MF'!D18)</f>
        <v>0</v>
      </c>
      <c r="F25" s="3161" t="str">
        <f>IF(D25=0,"N/A",'Table 6a MF'!E18)</f>
        <v>N/A</v>
      </c>
      <c r="G25" s="3162">
        <f t="shared" si="0"/>
        <v>0</v>
      </c>
      <c r="H25" s="3274">
        <v>0</v>
      </c>
      <c r="I25" s="3303">
        <f t="shared" si="1"/>
        <v>0</v>
      </c>
      <c r="J25" s="3275"/>
      <c r="K25" s="3276"/>
      <c r="L25" s="3263"/>
      <c r="M25" s="3264"/>
      <c r="O25" s="2366" t="s">
        <v>27850</v>
      </c>
      <c r="P25" s="2366" t="s">
        <v>27691</v>
      </c>
      <c r="Q25" s="2390" t="s">
        <v>27826</v>
      </c>
    </row>
    <row r="26" spans="1:17" ht="14.65" customHeight="1" x14ac:dyDescent="0.45">
      <c r="A26" s="2427" t="s">
        <v>27849</v>
      </c>
      <c r="B26" s="2412" t="s">
        <v>218</v>
      </c>
      <c r="C26" s="2411" t="s">
        <v>210</v>
      </c>
      <c r="D26" s="3319">
        <f>'6a_Health_full_time'!J30</f>
        <v>0</v>
      </c>
      <c r="E26" s="3293">
        <f>IF(D26=0,0,'Table 6a MF'!D19)</f>
        <v>0</v>
      </c>
      <c r="F26" s="3294" t="str">
        <f>IF(D26=0,"N/A",'Table 6a MF'!E19)</f>
        <v>N/A</v>
      </c>
      <c r="G26" s="3285">
        <f t="shared" si="0"/>
        <v>0</v>
      </c>
      <c r="H26" s="3277">
        <v>0</v>
      </c>
      <c r="I26" s="3304">
        <f t="shared" si="1"/>
        <v>0</v>
      </c>
      <c r="J26" s="3278"/>
      <c r="K26" s="3267"/>
      <c r="L26" s="3268"/>
      <c r="M26" s="3269"/>
      <c r="O26" s="2366" t="s">
        <v>27850</v>
      </c>
      <c r="P26" s="2366" t="s">
        <v>27691</v>
      </c>
      <c r="Q26" s="2390" t="s">
        <v>27688</v>
      </c>
    </row>
    <row r="27" spans="1:17" ht="14.65" customHeight="1" x14ac:dyDescent="0.45">
      <c r="A27" s="2426" t="s">
        <v>27851</v>
      </c>
      <c r="B27" s="2417" t="s">
        <v>204</v>
      </c>
      <c r="C27" s="2416" t="s">
        <v>27769</v>
      </c>
      <c r="D27" s="3134">
        <f>'6a_Health_full_time'!J31</f>
        <v>0</v>
      </c>
      <c r="E27" s="3135">
        <f>IF(D27=0,0,'Table 6a MF'!D20)</f>
        <v>0</v>
      </c>
      <c r="F27" s="3136" t="str">
        <f>IF(D27=0,"N/A",'Table 6a MF'!E20)</f>
        <v>N/A</v>
      </c>
      <c r="G27" s="3137">
        <f t="shared" si="0"/>
        <v>0</v>
      </c>
      <c r="H27" s="3237">
        <v>0</v>
      </c>
      <c r="I27" s="3138">
        <f t="shared" si="1"/>
        <v>0</v>
      </c>
      <c r="J27" s="3224"/>
      <c r="K27" s="3249"/>
      <c r="L27" s="3270"/>
      <c r="M27" s="3251"/>
      <c r="O27" s="2366" t="s">
        <v>27852</v>
      </c>
      <c r="P27" s="2366" t="s">
        <v>27685</v>
      </c>
      <c r="Q27" s="2390" t="s">
        <v>27826</v>
      </c>
    </row>
    <row r="28" spans="1:17" ht="14.65" customHeight="1" x14ac:dyDescent="0.45">
      <c r="A28" s="2420" t="s">
        <v>27851</v>
      </c>
      <c r="B28" s="2419" t="s">
        <v>204</v>
      </c>
      <c r="C28" s="3310" t="s">
        <v>210</v>
      </c>
      <c r="D28" s="3318">
        <f>'6a_Health_full_time'!J32</f>
        <v>0</v>
      </c>
      <c r="E28" s="3290">
        <f>IF(D28=0,0,'Table 6a MF'!D21)</f>
        <v>0</v>
      </c>
      <c r="F28" s="3291" t="str">
        <f>IF(D28=0,"N/A",'Table 6a MF'!E21)</f>
        <v>N/A</v>
      </c>
      <c r="G28" s="3292">
        <f t="shared" si="0"/>
        <v>0</v>
      </c>
      <c r="H28" s="3239">
        <v>0</v>
      </c>
      <c r="I28" s="3157">
        <f t="shared" si="1"/>
        <v>0</v>
      </c>
      <c r="J28" s="3233"/>
      <c r="K28" s="3271"/>
      <c r="L28" s="3272"/>
      <c r="M28" s="3273"/>
      <c r="O28" s="2366" t="s">
        <v>27852</v>
      </c>
      <c r="P28" s="2366" t="s">
        <v>27685</v>
      </c>
      <c r="Q28" s="2390" t="s">
        <v>27688</v>
      </c>
    </row>
    <row r="29" spans="1:17" ht="14.65" customHeight="1" x14ac:dyDescent="0.45">
      <c r="A29" s="2425" t="s">
        <v>27851</v>
      </c>
      <c r="B29" s="2417" t="s">
        <v>218</v>
      </c>
      <c r="C29" s="2416" t="s">
        <v>27769</v>
      </c>
      <c r="D29" s="3159">
        <f>'6a_Health_full_time'!J33</f>
        <v>0</v>
      </c>
      <c r="E29" s="3160">
        <f>IF(D29=0,0,'Table 6a MF'!D22)</f>
        <v>0</v>
      </c>
      <c r="F29" s="3161" t="str">
        <f>IF(D29=0,"N/A",'Table 6a MF'!E22)</f>
        <v>N/A</v>
      </c>
      <c r="G29" s="3162">
        <f t="shared" si="0"/>
        <v>0</v>
      </c>
      <c r="H29" s="3274">
        <v>0</v>
      </c>
      <c r="I29" s="3303">
        <f t="shared" si="1"/>
        <v>0</v>
      </c>
      <c r="J29" s="3275"/>
      <c r="K29" s="3276"/>
      <c r="L29" s="3263"/>
      <c r="M29" s="3264"/>
      <c r="O29" s="2366" t="s">
        <v>27852</v>
      </c>
      <c r="P29" s="2366" t="s">
        <v>27691</v>
      </c>
      <c r="Q29" s="2390" t="s">
        <v>27826</v>
      </c>
    </row>
    <row r="30" spans="1:17" ht="14.65" customHeight="1" x14ac:dyDescent="0.45">
      <c r="A30" s="2427" t="s">
        <v>27851</v>
      </c>
      <c r="B30" s="2412" t="s">
        <v>218</v>
      </c>
      <c r="C30" s="2411" t="s">
        <v>210</v>
      </c>
      <c r="D30" s="3319">
        <f>'6a_Health_full_time'!J34</f>
        <v>0</v>
      </c>
      <c r="E30" s="3293">
        <f>IF(D30=0,0,'Table 6a MF'!D23)</f>
        <v>0</v>
      </c>
      <c r="F30" s="3294" t="str">
        <f>IF(D30=0,"N/A",'Table 6a MF'!E23)</f>
        <v>N/A</v>
      </c>
      <c r="G30" s="3285">
        <f t="shared" si="0"/>
        <v>0</v>
      </c>
      <c r="H30" s="3277">
        <v>0</v>
      </c>
      <c r="I30" s="3304">
        <f t="shared" si="1"/>
        <v>0</v>
      </c>
      <c r="J30" s="3278"/>
      <c r="K30" s="3267"/>
      <c r="L30" s="3268"/>
      <c r="M30" s="3269"/>
      <c r="O30" s="2366" t="s">
        <v>27852</v>
      </c>
      <c r="P30" s="2366" t="s">
        <v>27691</v>
      </c>
      <c r="Q30" s="2390" t="s">
        <v>27688</v>
      </c>
    </row>
    <row r="31" spans="1:17" ht="14.65" customHeight="1" x14ac:dyDescent="0.45">
      <c r="A31" s="2426" t="s">
        <v>27853</v>
      </c>
      <c r="B31" s="2417" t="s">
        <v>204</v>
      </c>
      <c r="C31" s="2416" t="s">
        <v>27769</v>
      </c>
      <c r="D31" s="3134">
        <f>'6a_Health_full_time'!J35</f>
        <v>0</v>
      </c>
      <c r="E31" s="3135">
        <f>IF(D31=0,0,'Table 6a MF'!D24)</f>
        <v>0</v>
      </c>
      <c r="F31" s="3136" t="str">
        <f>IF(D31=0,"N/A",'Table 6a MF'!E24)</f>
        <v>N/A</v>
      </c>
      <c r="G31" s="3137">
        <f t="shared" si="0"/>
        <v>0</v>
      </c>
      <c r="H31" s="3237">
        <v>0</v>
      </c>
      <c r="I31" s="3138">
        <f t="shared" si="1"/>
        <v>0</v>
      </c>
      <c r="J31" s="3224"/>
      <c r="K31" s="3249"/>
      <c r="L31" s="3270"/>
      <c r="M31" s="3251"/>
      <c r="O31" s="2366" t="s">
        <v>27854</v>
      </c>
      <c r="P31" s="2366" t="s">
        <v>27685</v>
      </c>
      <c r="Q31" s="2390" t="s">
        <v>27826</v>
      </c>
    </row>
    <row r="32" spans="1:17" ht="14.65" customHeight="1" x14ac:dyDescent="0.45">
      <c r="A32" s="2420" t="s">
        <v>27853</v>
      </c>
      <c r="B32" s="2419" t="s">
        <v>204</v>
      </c>
      <c r="C32" s="3310" t="s">
        <v>210</v>
      </c>
      <c r="D32" s="3318">
        <f>'6a_Health_full_time'!J36</f>
        <v>0</v>
      </c>
      <c r="E32" s="3290">
        <f>IF(D32=0,0,'Table 6a MF'!D25)</f>
        <v>0</v>
      </c>
      <c r="F32" s="3291" t="str">
        <f>IF(D32=0,"N/A",'Table 6a MF'!E25)</f>
        <v>N/A</v>
      </c>
      <c r="G32" s="3292">
        <f t="shared" si="0"/>
        <v>0</v>
      </c>
      <c r="H32" s="3239">
        <v>0</v>
      </c>
      <c r="I32" s="3157">
        <f t="shared" si="1"/>
        <v>0</v>
      </c>
      <c r="J32" s="3233"/>
      <c r="K32" s="3271"/>
      <c r="L32" s="3272"/>
      <c r="M32" s="3273"/>
      <c r="O32" s="2366" t="s">
        <v>27854</v>
      </c>
      <c r="P32" s="2366" t="s">
        <v>27685</v>
      </c>
      <c r="Q32" s="2390" t="s">
        <v>27688</v>
      </c>
    </row>
    <row r="33" spans="1:17" ht="14.65" customHeight="1" x14ac:dyDescent="0.45">
      <c r="A33" s="2425" t="s">
        <v>27853</v>
      </c>
      <c r="B33" s="2417" t="s">
        <v>218</v>
      </c>
      <c r="C33" s="2416" t="s">
        <v>27769</v>
      </c>
      <c r="D33" s="3159">
        <f>'6a_Health_full_time'!J37</f>
        <v>0</v>
      </c>
      <c r="E33" s="3160">
        <f>IF(D33=0,0,'Table 6a MF'!D26)</f>
        <v>0</v>
      </c>
      <c r="F33" s="3161" t="str">
        <f>IF(D33=0,"N/A",'Table 6a MF'!E26)</f>
        <v>N/A</v>
      </c>
      <c r="G33" s="3162">
        <f t="shared" si="0"/>
        <v>0</v>
      </c>
      <c r="H33" s="3274">
        <v>0</v>
      </c>
      <c r="I33" s="3303">
        <f t="shared" si="1"/>
        <v>0</v>
      </c>
      <c r="J33" s="3275"/>
      <c r="K33" s="3276"/>
      <c r="L33" s="3263"/>
      <c r="M33" s="3264"/>
      <c r="O33" s="2366" t="s">
        <v>27854</v>
      </c>
      <c r="P33" s="2366" t="s">
        <v>27691</v>
      </c>
      <c r="Q33" s="2390" t="s">
        <v>27826</v>
      </c>
    </row>
    <row r="34" spans="1:17" ht="14.65" customHeight="1" x14ac:dyDescent="0.45">
      <c r="A34" s="2427" t="s">
        <v>27853</v>
      </c>
      <c r="B34" s="2412" t="s">
        <v>218</v>
      </c>
      <c r="C34" s="2411" t="s">
        <v>210</v>
      </c>
      <c r="D34" s="3319">
        <f>'6a_Health_full_time'!J38</f>
        <v>0</v>
      </c>
      <c r="E34" s="3293">
        <f>IF(D34=0,0,'Table 6a MF'!D27)</f>
        <v>0</v>
      </c>
      <c r="F34" s="3294" t="str">
        <f>IF(D34=0,"N/A",'Table 6a MF'!E27)</f>
        <v>N/A</v>
      </c>
      <c r="G34" s="3285">
        <f t="shared" si="0"/>
        <v>0</v>
      </c>
      <c r="H34" s="3277">
        <v>0</v>
      </c>
      <c r="I34" s="3304">
        <f t="shared" si="1"/>
        <v>0</v>
      </c>
      <c r="J34" s="3278"/>
      <c r="K34" s="3267"/>
      <c r="L34" s="3268"/>
      <c r="M34" s="3269"/>
      <c r="O34" s="2366" t="s">
        <v>27854</v>
      </c>
      <c r="P34" s="2366" t="s">
        <v>27691</v>
      </c>
      <c r="Q34" s="2390" t="s">
        <v>27688</v>
      </c>
    </row>
    <row r="35" spans="1:17" ht="14.65" customHeight="1" x14ac:dyDescent="0.45">
      <c r="A35" s="2426" t="s">
        <v>27855</v>
      </c>
      <c r="B35" s="2417" t="s">
        <v>204</v>
      </c>
      <c r="C35" s="2416" t="s">
        <v>27769</v>
      </c>
      <c r="D35" s="3134">
        <f>'6a_Health_full_time'!J39</f>
        <v>0</v>
      </c>
      <c r="E35" s="3135">
        <f>IF(D35=0,0,'Table 6a MF'!D28)</f>
        <v>0</v>
      </c>
      <c r="F35" s="3136" t="str">
        <f>IF(D35=0,"N/A",'Table 6a MF'!E28)</f>
        <v>N/A</v>
      </c>
      <c r="G35" s="3137">
        <f t="shared" si="0"/>
        <v>0</v>
      </c>
      <c r="H35" s="3237">
        <v>0</v>
      </c>
      <c r="I35" s="3138">
        <f t="shared" si="1"/>
        <v>0</v>
      </c>
      <c r="J35" s="3224"/>
      <c r="K35" s="3249"/>
      <c r="L35" s="3270"/>
      <c r="M35" s="3251"/>
      <c r="O35" s="2366" t="s">
        <v>27856</v>
      </c>
      <c r="P35" s="2366" t="s">
        <v>27685</v>
      </c>
      <c r="Q35" s="2390" t="s">
        <v>27826</v>
      </c>
    </row>
    <row r="36" spans="1:17" ht="14.65" customHeight="1" x14ac:dyDescent="0.45">
      <c r="A36" s="2420" t="s">
        <v>27855</v>
      </c>
      <c r="B36" s="2419" t="s">
        <v>204</v>
      </c>
      <c r="C36" s="3310" t="s">
        <v>210</v>
      </c>
      <c r="D36" s="3318">
        <f>'6a_Health_full_time'!J40</f>
        <v>0</v>
      </c>
      <c r="E36" s="3290">
        <f>IF(D36=0,0,'Table 6a MF'!D29)</f>
        <v>0</v>
      </c>
      <c r="F36" s="3291" t="str">
        <f>IF(D36=0,"N/A",'Table 6a MF'!E29)</f>
        <v>N/A</v>
      </c>
      <c r="G36" s="3292">
        <f t="shared" si="0"/>
        <v>0</v>
      </c>
      <c r="H36" s="3239">
        <v>0</v>
      </c>
      <c r="I36" s="3157">
        <f t="shared" si="1"/>
        <v>0</v>
      </c>
      <c r="J36" s="3233"/>
      <c r="K36" s="3271"/>
      <c r="L36" s="3272"/>
      <c r="M36" s="3273"/>
      <c r="O36" s="2366" t="s">
        <v>27856</v>
      </c>
      <c r="P36" s="2366" t="s">
        <v>27685</v>
      </c>
      <c r="Q36" s="2390" t="s">
        <v>27688</v>
      </c>
    </row>
    <row r="37" spans="1:17" ht="14.65" customHeight="1" x14ac:dyDescent="0.45">
      <c r="A37" s="2425" t="s">
        <v>27855</v>
      </c>
      <c r="B37" s="2417" t="s">
        <v>218</v>
      </c>
      <c r="C37" s="2416" t="s">
        <v>27769</v>
      </c>
      <c r="D37" s="3159">
        <f>'6a_Health_full_time'!J41</f>
        <v>0</v>
      </c>
      <c r="E37" s="3160">
        <f>IF(D37=0,0,'Table 6a MF'!D30)</f>
        <v>0</v>
      </c>
      <c r="F37" s="3161" t="str">
        <f>IF(D37=0,"N/A",'Table 6a MF'!E30)</f>
        <v>N/A</v>
      </c>
      <c r="G37" s="3162">
        <f t="shared" si="0"/>
        <v>0</v>
      </c>
      <c r="H37" s="3274">
        <v>0</v>
      </c>
      <c r="I37" s="3303">
        <f t="shared" si="1"/>
        <v>0</v>
      </c>
      <c r="J37" s="3275"/>
      <c r="K37" s="3276"/>
      <c r="L37" s="3263"/>
      <c r="M37" s="3264"/>
      <c r="O37" s="2366" t="s">
        <v>27856</v>
      </c>
      <c r="P37" s="2366" t="s">
        <v>27691</v>
      </c>
      <c r="Q37" s="2390" t="s">
        <v>27826</v>
      </c>
    </row>
    <row r="38" spans="1:17" ht="14.65" customHeight="1" x14ac:dyDescent="0.45">
      <c r="A38" s="2427" t="s">
        <v>27855</v>
      </c>
      <c r="B38" s="2412" t="s">
        <v>218</v>
      </c>
      <c r="C38" s="2411" t="s">
        <v>210</v>
      </c>
      <c r="D38" s="3319">
        <f>'6a_Health_full_time'!J42</f>
        <v>0</v>
      </c>
      <c r="E38" s="3293">
        <f>IF(D38=0,0,'Table 6a MF'!D31)</f>
        <v>0</v>
      </c>
      <c r="F38" s="3294" t="str">
        <f>IF(D38=0,"N/A",'Table 6a MF'!E31)</f>
        <v>N/A</v>
      </c>
      <c r="G38" s="3285">
        <f t="shared" si="0"/>
        <v>0</v>
      </c>
      <c r="H38" s="3277">
        <v>0</v>
      </c>
      <c r="I38" s="3304">
        <f t="shared" si="1"/>
        <v>0</v>
      </c>
      <c r="J38" s="3278"/>
      <c r="K38" s="3267"/>
      <c r="L38" s="3268"/>
      <c r="M38" s="3269"/>
      <c r="O38" s="2366" t="s">
        <v>27856</v>
      </c>
      <c r="P38" s="2366" t="s">
        <v>27691</v>
      </c>
      <c r="Q38" s="2390" t="s">
        <v>27688</v>
      </c>
    </row>
    <row r="39" spans="1:17" ht="14.65" customHeight="1" x14ac:dyDescent="0.45">
      <c r="A39" s="2426" t="s">
        <v>27857</v>
      </c>
      <c r="B39" s="2417" t="s">
        <v>204</v>
      </c>
      <c r="C39" s="2416" t="s">
        <v>27769</v>
      </c>
      <c r="D39" s="3134">
        <f>'6a_Health_full_time'!J43</f>
        <v>0</v>
      </c>
      <c r="E39" s="3135">
        <f>IF(D39=0,0,'Table 6a MF'!D32)</f>
        <v>0</v>
      </c>
      <c r="F39" s="3136" t="str">
        <f>IF(D39=0,"N/A",'Table 6a MF'!E32)</f>
        <v>N/A</v>
      </c>
      <c r="G39" s="3137">
        <f t="shared" si="0"/>
        <v>0</v>
      </c>
      <c r="H39" s="3237">
        <v>0</v>
      </c>
      <c r="I39" s="3138">
        <f t="shared" si="1"/>
        <v>0</v>
      </c>
      <c r="J39" s="3224"/>
      <c r="K39" s="3249"/>
      <c r="L39" s="3270"/>
      <c r="M39" s="3251"/>
      <c r="O39" s="2366" t="s">
        <v>27858</v>
      </c>
      <c r="P39" s="2366" t="s">
        <v>27685</v>
      </c>
      <c r="Q39" s="2390" t="s">
        <v>27826</v>
      </c>
    </row>
    <row r="40" spans="1:17" ht="14.65" customHeight="1" x14ac:dyDescent="0.45">
      <c r="A40" s="2420" t="s">
        <v>27857</v>
      </c>
      <c r="B40" s="2419" t="s">
        <v>204</v>
      </c>
      <c r="C40" s="3310" t="s">
        <v>210</v>
      </c>
      <c r="D40" s="3318">
        <f>'6a_Health_full_time'!J44</f>
        <v>0</v>
      </c>
      <c r="E40" s="3290">
        <f>IF(D40=0,0,'Table 6a MF'!D33)</f>
        <v>0</v>
      </c>
      <c r="F40" s="3291" t="str">
        <f>IF(D40=0,"N/A",'Table 6a MF'!E33)</f>
        <v>N/A</v>
      </c>
      <c r="G40" s="3292">
        <f t="shared" si="0"/>
        <v>0</v>
      </c>
      <c r="H40" s="3239">
        <v>0</v>
      </c>
      <c r="I40" s="3157">
        <f t="shared" si="1"/>
        <v>0</v>
      </c>
      <c r="J40" s="3233"/>
      <c r="K40" s="3271"/>
      <c r="L40" s="3272"/>
      <c r="M40" s="3273"/>
      <c r="O40" s="2366" t="s">
        <v>27858</v>
      </c>
      <c r="P40" s="2366" t="s">
        <v>27685</v>
      </c>
      <c r="Q40" s="2390" t="s">
        <v>27688</v>
      </c>
    </row>
    <row r="41" spans="1:17" ht="14.65" customHeight="1" x14ac:dyDescent="0.45">
      <c r="A41" s="2425" t="s">
        <v>27857</v>
      </c>
      <c r="B41" s="2417" t="s">
        <v>218</v>
      </c>
      <c r="C41" s="2416" t="s">
        <v>27769</v>
      </c>
      <c r="D41" s="3159">
        <f>'6a_Health_full_time'!J45</f>
        <v>0</v>
      </c>
      <c r="E41" s="3160">
        <f>IF(D41=0,0,'Table 6a MF'!D34)</f>
        <v>0</v>
      </c>
      <c r="F41" s="3161" t="str">
        <f>IF(D41=0,"N/A",'Table 6a MF'!E34)</f>
        <v>N/A</v>
      </c>
      <c r="G41" s="3162">
        <f t="shared" si="0"/>
        <v>0</v>
      </c>
      <c r="H41" s="3274">
        <v>0</v>
      </c>
      <c r="I41" s="3303">
        <f t="shared" si="1"/>
        <v>0</v>
      </c>
      <c r="J41" s="3275"/>
      <c r="K41" s="3276"/>
      <c r="L41" s="3263"/>
      <c r="M41" s="3264"/>
      <c r="O41" s="2366" t="s">
        <v>27858</v>
      </c>
      <c r="P41" s="2366" t="s">
        <v>27691</v>
      </c>
      <c r="Q41" s="2390" t="s">
        <v>27826</v>
      </c>
    </row>
    <row r="42" spans="1:17" ht="14.65" customHeight="1" x14ac:dyDescent="0.45">
      <c r="A42" s="2427" t="s">
        <v>27857</v>
      </c>
      <c r="B42" s="2412" t="s">
        <v>218</v>
      </c>
      <c r="C42" s="2411" t="s">
        <v>210</v>
      </c>
      <c r="D42" s="3319">
        <f>'6a_Health_full_time'!J46</f>
        <v>0</v>
      </c>
      <c r="E42" s="3293">
        <f>IF(D42=0,0,'Table 6a MF'!D35)</f>
        <v>0</v>
      </c>
      <c r="F42" s="3294" t="str">
        <f>IF(D42=0,"N/A",'Table 6a MF'!E35)</f>
        <v>N/A</v>
      </c>
      <c r="G42" s="3285">
        <f t="shared" si="0"/>
        <v>0</v>
      </c>
      <c r="H42" s="3277">
        <v>0</v>
      </c>
      <c r="I42" s="3304">
        <f t="shared" si="1"/>
        <v>0</v>
      </c>
      <c r="J42" s="3278"/>
      <c r="K42" s="3267"/>
      <c r="L42" s="3268"/>
      <c r="M42" s="3269"/>
      <c r="O42" s="2366" t="s">
        <v>27858</v>
      </c>
      <c r="P42" s="2366" t="s">
        <v>27691</v>
      </c>
      <c r="Q42" s="2390" t="s">
        <v>27688</v>
      </c>
    </row>
    <row r="43" spans="1:17" ht="14.65" customHeight="1" x14ac:dyDescent="0.45">
      <c r="A43" s="2426" t="s">
        <v>27859</v>
      </c>
      <c r="B43" s="2417" t="s">
        <v>204</v>
      </c>
      <c r="C43" s="2416" t="s">
        <v>27769</v>
      </c>
      <c r="D43" s="3134">
        <f>'6a_Health_full_time'!J47</f>
        <v>0</v>
      </c>
      <c r="E43" s="3135">
        <f>IF(D43=0,0,'Table 6a MF'!D36)</f>
        <v>0</v>
      </c>
      <c r="F43" s="3136" t="str">
        <f>IF(D43=0,"N/A",'Table 6a MF'!E36)</f>
        <v>N/A</v>
      </c>
      <c r="G43" s="3137">
        <f t="shared" si="0"/>
        <v>0</v>
      </c>
      <c r="H43" s="3237">
        <v>0</v>
      </c>
      <c r="I43" s="3138">
        <f t="shared" si="1"/>
        <v>0</v>
      </c>
      <c r="J43" s="3224"/>
      <c r="K43" s="3249"/>
      <c r="L43" s="3270"/>
      <c r="M43" s="3251"/>
      <c r="O43" s="2366" t="s">
        <v>27860</v>
      </c>
      <c r="P43" s="2366" t="s">
        <v>27685</v>
      </c>
      <c r="Q43" s="2390" t="s">
        <v>27826</v>
      </c>
    </row>
    <row r="44" spans="1:17" ht="14.65" customHeight="1" x14ac:dyDescent="0.45">
      <c r="A44" s="2420" t="s">
        <v>27859</v>
      </c>
      <c r="B44" s="2419" t="s">
        <v>204</v>
      </c>
      <c r="C44" s="3310" t="s">
        <v>210</v>
      </c>
      <c r="D44" s="3318">
        <f>'6a_Health_full_time'!J48</f>
        <v>0</v>
      </c>
      <c r="E44" s="3290">
        <f>IF(D44=0,0,'Table 6a MF'!D37)</f>
        <v>0</v>
      </c>
      <c r="F44" s="3291" t="str">
        <f>IF(D44=0,"N/A",'Table 6a MF'!E37)</f>
        <v>N/A</v>
      </c>
      <c r="G44" s="3292">
        <f t="shared" si="0"/>
        <v>0</v>
      </c>
      <c r="H44" s="3239">
        <v>0</v>
      </c>
      <c r="I44" s="3157">
        <f t="shared" si="1"/>
        <v>0</v>
      </c>
      <c r="J44" s="3233"/>
      <c r="K44" s="3271"/>
      <c r="L44" s="3272"/>
      <c r="M44" s="3273"/>
      <c r="O44" s="2366" t="s">
        <v>27860</v>
      </c>
      <c r="P44" s="2366" t="s">
        <v>27685</v>
      </c>
      <c r="Q44" s="2390" t="s">
        <v>27688</v>
      </c>
    </row>
    <row r="45" spans="1:17" ht="14.65" customHeight="1" x14ac:dyDescent="0.45">
      <c r="A45" s="2425" t="s">
        <v>27859</v>
      </c>
      <c r="B45" s="2417" t="s">
        <v>218</v>
      </c>
      <c r="C45" s="2416" t="s">
        <v>27769</v>
      </c>
      <c r="D45" s="3159">
        <f>'6a_Health_full_time'!J49</f>
        <v>0</v>
      </c>
      <c r="E45" s="3160">
        <f>IF(D45=0,0,'Table 6a MF'!D38)</f>
        <v>0</v>
      </c>
      <c r="F45" s="3161" t="str">
        <f>IF(D45=0,"N/A",'Table 6a MF'!E38)</f>
        <v>N/A</v>
      </c>
      <c r="G45" s="3162">
        <f t="shared" si="0"/>
        <v>0</v>
      </c>
      <c r="H45" s="3274">
        <v>0</v>
      </c>
      <c r="I45" s="3303">
        <f t="shared" si="1"/>
        <v>0</v>
      </c>
      <c r="J45" s="3275"/>
      <c r="K45" s="3276"/>
      <c r="L45" s="3263"/>
      <c r="M45" s="3264"/>
      <c r="O45" s="2366" t="s">
        <v>27860</v>
      </c>
      <c r="P45" s="2366" t="s">
        <v>27691</v>
      </c>
      <c r="Q45" s="2390" t="s">
        <v>27826</v>
      </c>
    </row>
    <row r="46" spans="1:17" ht="14.65" customHeight="1" x14ac:dyDescent="0.45">
      <c r="A46" s="2427" t="s">
        <v>27859</v>
      </c>
      <c r="B46" s="2412" t="s">
        <v>218</v>
      </c>
      <c r="C46" s="2411" t="s">
        <v>210</v>
      </c>
      <c r="D46" s="3319">
        <f>'6a_Health_full_time'!J50</f>
        <v>0</v>
      </c>
      <c r="E46" s="3293">
        <f>IF(D46=0,0,'Table 6a MF'!D39)</f>
        <v>0</v>
      </c>
      <c r="F46" s="3294" t="str">
        <f>IF(D46=0,"N/A",'Table 6a MF'!E39)</f>
        <v>N/A</v>
      </c>
      <c r="G46" s="3285">
        <f t="shared" si="0"/>
        <v>0</v>
      </c>
      <c r="H46" s="3277">
        <v>0</v>
      </c>
      <c r="I46" s="3304">
        <f t="shared" si="1"/>
        <v>0</v>
      </c>
      <c r="J46" s="3278"/>
      <c r="K46" s="3267"/>
      <c r="L46" s="3268"/>
      <c r="M46" s="3269"/>
      <c r="O46" s="2366" t="s">
        <v>27860</v>
      </c>
      <c r="P46" s="2366" t="s">
        <v>27691</v>
      </c>
      <c r="Q46" s="2390" t="s">
        <v>27688</v>
      </c>
    </row>
    <row r="47" spans="1:17" ht="14.65" customHeight="1" x14ac:dyDescent="0.45">
      <c r="A47" s="2426" t="s">
        <v>27861</v>
      </c>
      <c r="B47" s="2417" t="s">
        <v>204</v>
      </c>
      <c r="C47" s="2416" t="s">
        <v>27769</v>
      </c>
      <c r="D47" s="3134">
        <f>'6a_Health_full_time'!J51</f>
        <v>0</v>
      </c>
      <c r="E47" s="3135">
        <f>IF(D47=0,0,'Table 6a MF'!D40)</f>
        <v>0</v>
      </c>
      <c r="F47" s="3136" t="str">
        <f>IF(D47=0,"N/A",'Table 6a MF'!E40)</f>
        <v>N/A</v>
      </c>
      <c r="G47" s="3137">
        <f t="shared" si="0"/>
        <v>0</v>
      </c>
      <c r="H47" s="3237">
        <v>0</v>
      </c>
      <c r="I47" s="3138">
        <f t="shared" si="1"/>
        <v>0</v>
      </c>
      <c r="J47" s="3224"/>
      <c r="K47" s="3249"/>
      <c r="L47" s="3270"/>
      <c r="M47" s="3251"/>
      <c r="O47" s="2366" t="s">
        <v>27862</v>
      </c>
      <c r="P47" s="2366" t="s">
        <v>27685</v>
      </c>
      <c r="Q47" s="2390" t="s">
        <v>27826</v>
      </c>
    </row>
    <row r="48" spans="1:17" ht="14.65" customHeight="1" x14ac:dyDescent="0.45">
      <c r="A48" s="2420" t="s">
        <v>27861</v>
      </c>
      <c r="B48" s="2419" t="s">
        <v>204</v>
      </c>
      <c r="C48" s="3310" t="s">
        <v>210</v>
      </c>
      <c r="D48" s="3318">
        <f>'6a_Health_full_time'!J52</f>
        <v>0</v>
      </c>
      <c r="E48" s="3290">
        <f>IF(D48=0,0,'Table 6a MF'!D41)</f>
        <v>0</v>
      </c>
      <c r="F48" s="3291" t="str">
        <f>IF(D48=0,"N/A",'Table 6a MF'!E41)</f>
        <v>N/A</v>
      </c>
      <c r="G48" s="3292">
        <f t="shared" si="0"/>
        <v>0</v>
      </c>
      <c r="H48" s="3239">
        <v>0</v>
      </c>
      <c r="I48" s="3157">
        <f t="shared" si="1"/>
        <v>0</v>
      </c>
      <c r="J48" s="3233"/>
      <c r="K48" s="3271"/>
      <c r="L48" s="3272"/>
      <c r="M48" s="3273"/>
      <c r="O48" s="2366" t="s">
        <v>27862</v>
      </c>
      <c r="P48" s="2366" t="s">
        <v>27685</v>
      </c>
      <c r="Q48" s="2390" t="s">
        <v>27688</v>
      </c>
    </row>
    <row r="49" spans="1:17" ht="14.65" customHeight="1" x14ac:dyDescent="0.45">
      <c r="A49" s="2425" t="s">
        <v>27861</v>
      </c>
      <c r="B49" s="2417" t="s">
        <v>218</v>
      </c>
      <c r="C49" s="2416" t="s">
        <v>27769</v>
      </c>
      <c r="D49" s="3159">
        <f>'6a_Health_full_time'!J53</f>
        <v>0</v>
      </c>
      <c r="E49" s="3160">
        <f>IF(D49=0,0,'Table 6a MF'!D42)</f>
        <v>0</v>
      </c>
      <c r="F49" s="3161" t="str">
        <f>IF(D49=0,"N/A",'Table 6a MF'!E42)</f>
        <v>N/A</v>
      </c>
      <c r="G49" s="3162">
        <f t="shared" si="0"/>
        <v>0</v>
      </c>
      <c r="H49" s="3274">
        <v>0</v>
      </c>
      <c r="I49" s="3303">
        <f t="shared" si="1"/>
        <v>0</v>
      </c>
      <c r="J49" s="3275"/>
      <c r="K49" s="3276"/>
      <c r="L49" s="3263"/>
      <c r="M49" s="3264"/>
      <c r="O49" s="2366" t="s">
        <v>27862</v>
      </c>
      <c r="P49" s="2366" t="s">
        <v>27691</v>
      </c>
      <c r="Q49" s="2390" t="s">
        <v>27826</v>
      </c>
    </row>
    <row r="50" spans="1:17" ht="14.65" customHeight="1" x14ac:dyDescent="0.45">
      <c r="A50" s="2427" t="s">
        <v>27861</v>
      </c>
      <c r="B50" s="2412" t="s">
        <v>218</v>
      </c>
      <c r="C50" s="2411" t="s">
        <v>210</v>
      </c>
      <c r="D50" s="3319">
        <f>'6a_Health_full_time'!J54</f>
        <v>0</v>
      </c>
      <c r="E50" s="3293">
        <f>IF(D50=0,0,'Table 6a MF'!D43)</f>
        <v>0</v>
      </c>
      <c r="F50" s="3294" t="str">
        <f>IF(D50=0,"N/A",'Table 6a MF'!E43)</f>
        <v>N/A</v>
      </c>
      <c r="G50" s="3285">
        <f t="shared" si="0"/>
        <v>0</v>
      </c>
      <c r="H50" s="3277">
        <v>0</v>
      </c>
      <c r="I50" s="3304">
        <f t="shared" si="1"/>
        <v>0</v>
      </c>
      <c r="J50" s="3278"/>
      <c r="K50" s="3267"/>
      <c r="L50" s="3268"/>
      <c r="M50" s="3269"/>
      <c r="O50" s="2366" t="s">
        <v>27862</v>
      </c>
      <c r="P50" s="2366" t="s">
        <v>27691</v>
      </c>
      <c r="Q50" s="2390" t="s">
        <v>27688</v>
      </c>
    </row>
    <row r="51" spans="1:17" ht="14.65" customHeight="1" x14ac:dyDescent="0.45">
      <c r="A51" s="2426" t="s">
        <v>27863</v>
      </c>
      <c r="B51" s="2417" t="s">
        <v>204</v>
      </c>
      <c r="C51" s="2416" t="s">
        <v>27769</v>
      </c>
      <c r="D51" s="3134">
        <f>'6a_Health_full_time'!J55</f>
        <v>0</v>
      </c>
      <c r="E51" s="3135">
        <f>IF(D51=0,0,'Table 6a MF'!D44)</f>
        <v>0</v>
      </c>
      <c r="F51" s="3136" t="str">
        <f>IF(D51=0,"N/A",'Table 6a MF'!E44)</f>
        <v>N/A</v>
      </c>
      <c r="G51" s="3137">
        <f t="shared" si="0"/>
        <v>0</v>
      </c>
      <c r="H51" s="3237">
        <v>0</v>
      </c>
      <c r="I51" s="3138">
        <f t="shared" si="1"/>
        <v>0</v>
      </c>
      <c r="J51" s="3224"/>
      <c r="K51" s="3249"/>
      <c r="L51" s="3270"/>
      <c r="M51" s="3251"/>
      <c r="O51" s="2366" t="s">
        <v>27864</v>
      </c>
      <c r="P51" s="2366" t="s">
        <v>27685</v>
      </c>
      <c r="Q51" s="2390" t="s">
        <v>27826</v>
      </c>
    </row>
    <row r="52" spans="1:17" ht="14.65" customHeight="1" x14ac:dyDescent="0.45">
      <c r="A52" s="2420" t="s">
        <v>27863</v>
      </c>
      <c r="B52" s="2419" t="s">
        <v>204</v>
      </c>
      <c r="C52" s="3310" t="s">
        <v>210</v>
      </c>
      <c r="D52" s="3318">
        <f>'6a_Health_full_time'!J56</f>
        <v>0</v>
      </c>
      <c r="E52" s="3290">
        <f>IF(D52=0,0,'Table 6a MF'!D45)</f>
        <v>0</v>
      </c>
      <c r="F52" s="3291" t="str">
        <f>IF(D52=0,"N/A",'Table 6a MF'!E45)</f>
        <v>N/A</v>
      </c>
      <c r="G52" s="3292">
        <f t="shared" si="0"/>
        <v>0</v>
      </c>
      <c r="H52" s="3239">
        <v>0</v>
      </c>
      <c r="I52" s="3157">
        <f t="shared" si="1"/>
        <v>0</v>
      </c>
      <c r="J52" s="3233"/>
      <c r="K52" s="3271"/>
      <c r="L52" s="3272"/>
      <c r="M52" s="3273"/>
      <c r="O52" s="2366" t="s">
        <v>27864</v>
      </c>
      <c r="P52" s="2366" t="s">
        <v>27685</v>
      </c>
      <c r="Q52" s="2390" t="s">
        <v>27688</v>
      </c>
    </row>
    <row r="53" spans="1:17" ht="14.65" customHeight="1" x14ac:dyDescent="0.45">
      <c r="A53" s="2425" t="s">
        <v>27863</v>
      </c>
      <c r="B53" s="2417" t="s">
        <v>218</v>
      </c>
      <c r="C53" s="2416" t="s">
        <v>27769</v>
      </c>
      <c r="D53" s="3159">
        <f>'6a_Health_full_time'!J57</f>
        <v>0</v>
      </c>
      <c r="E53" s="3160">
        <f>IF(D53=0,0,'Table 6a MF'!D46)</f>
        <v>0</v>
      </c>
      <c r="F53" s="3161" t="str">
        <f>IF(D53=0,"N/A",'Table 6a MF'!E46)</f>
        <v>N/A</v>
      </c>
      <c r="G53" s="3162">
        <f t="shared" si="0"/>
        <v>0</v>
      </c>
      <c r="H53" s="3274">
        <v>0</v>
      </c>
      <c r="I53" s="3303">
        <f t="shared" si="1"/>
        <v>0</v>
      </c>
      <c r="J53" s="3275"/>
      <c r="K53" s="3276"/>
      <c r="L53" s="3263"/>
      <c r="M53" s="3264"/>
      <c r="O53" s="2366" t="s">
        <v>27864</v>
      </c>
      <c r="P53" s="2366" t="s">
        <v>27691</v>
      </c>
      <c r="Q53" s="2390" t="s">
        <v>27826</v>
      </c>
    </row>
    <row r="54" spans="1:17" ht="14.65" customHeight="1" x14ac:dyDescent="0.45">
      <c r="A54" s="2427" t="s">
        <v>27863</v>
      </c>
      <c r="B54" s="2412" t="s">
        <v>218</v>
      </c>
      <c r="C54" s="2411" t="s">
        <v>210</v>
      </c>
      <c r="D54" s="3319">
        <f>'6a_Health_full_time'!J58</f>
        <v>0</v>
      </c>
      <c r="E54" s="3293">
        <f>IF(D54=0,0,'Table 6a MF'!D47)</f>
        <v>0</v>
      </c>
      <c r="F54" s="3294" t="str">
        <f>IF(D54=0,"N/A",'Table 6a MF'!E47)</f>
        <v>N/A</v>
      </c>
      <c r="G54" s="3285">
        <f t="shared" si="0"/>
        <v>0</v>
      </c>
      <c r="H54" s="3277">
        <v>0</v>
      </c>
      <c r="I54" s="3304">
        <f t="shared" si="1"/>
        <v>0</v>
      </c>
      <c r="J54" s="3278"/>
      <c r="K54" s="3267"/>
      <c r="L54" s="3268"/>
      <c r="M54" s="3269"/>
      <c r="O54" s="2366" t="s">
        <v>27864</v>
      </c>
      <c r="P54" s="2366" t="s">
        <v>27691</v>
      </c>
      <c r="Q54" s="2390" t="s">
        <v>27688</v>
      </c>
    </row>
    <row r="55" spans="1:17" ht="14.65" customHeight="1" x14ac:dyDescent="0.45">
      <c r="A55" s="2416" t="s">
        <v>27865</v>
      </c>
      <c r="B55" s="2417" t="s">
        <v>204</v>
      </c>
      <c r="C55" s="2416" t="s">
        <v>27769</v>
      </c>
      <c r="D55" s="3134">
        <f>'6a_Health_full_time'!J59</f>
        <v>0</v>
      </c>
      <c r="E55" s="3135">
        <f>IF(D55=0,0,'Table 6a MF'!D48)</f>
        <v>0</v>
      </c>
      <c r="F55" s="3136" t="str">
        <f>IF(D55=0,"N/A",'Table 6a MF'!E48)</f>
        <v>N/A</v>
      </c>
      <c r="G55" s="3137">
        <f t="shared" si="0"/>
        <v>0</v>
      </c>
      <c r="H55" s="3237">
        <v>0</v>
      </c>
      <c r="I55" s="3138">
        <f t="shared" si="1"/>
        <v>0</v>
      </c>
      <c r="J55" s="3224"/>
      <c r="K55" s="3249"/>
      <c r="L55" s="3270"/>
      <c r="M55" s="3251"/>
      <c r="O55" s="2366" t="s">
        <v>27866</v>
      </c>
      <c r="P55" s="2366" t="s">
        <v>27685</v>
      </c>
      <c r="Q55" s="2390" t="s">
        <v>27826</v>
      </c>
    </row>
    <row r="56" spans="1:17" ht="14.65" customHeight="1" x14ac:dyDescent="0.45">
      <c r="A56" s="2425" t="s">
        <v>27865</v>
      </c>
      <c r="B56" s="2419" t="s">
        <v>204</v>
      </c>
      <c r="C56" s="3310" t="s">
        <v>210</v>
      </c>
      <c r="D56" s="3318">
        <f>'6a_Health_full_time'!J60</f>
        <v>0</v>
      </c>
      <c r="E56" s="3290">
        <f>IF(D56=0,0,'Table 6a MF'!D49)</f>
        <v>0</v>
      </c>
      <c r="F56" s="3291" t="str">
        <f>IF(D56=0,"N/A",'Table 6a MF'!E49)</f>
        <v>N/A</v>
      </c>
      <c r="G56" s="3292">
        <f t="shared" si="0"/>
        <v>0</v>
      </c>
      <c r="H56" s="3239">
        <v>0</v>
      </c>
      <c r="I56" s="3157">
        <f t="shared" si="1"/>
        <v>0</v>
      </c>
      <c r="J56" s="3233"/>
      <c r="K56" s="3271"/>
      <c r="L56" s="3272"/>
      <c r="M56" s="3273"/>
      <c r="O56" s="2366" t="s">
        <v>27866</v>
      </c>
      <c r="P56" s="2366" t="s">
        <v>27685</v>
      </c>
      <c r="Q56" s="2390" t="s">
        <v>27688</v>
      </c>
    </row>
    <row r="57" spans="1:17" ht="14.65" customHeight="1" x14ac:dyDescent="0.45">
      <c r="A57" s="2425" t="s">
        <v>27865</v>
      </c>
      <c r="B57" s="2417" t="s">
        <v>218</v>
      </c>
      <c r="C57" s="2416" t="s">
        <v>27769</v>
      </c>
      <c r="D57" s="3159">
        <f>'6a_Health_full_time'!J61</f>
        <v>0</v>
      </c>
      <c r="E57" s="3160">
        <f>IF(D57=0,0,'Table 6a MF'!D50)</f>
        <v>0</v>
      </c>
      <c r="F57" s="3161" t="str">
        <f>IF(D57=0,"N/A",'Table 6a MF'!E50)</f>
        <v>N/A</v>
      </c>
      <c r="G57" s="3162">
        <f t="shared" si="0"/>
        <v>0</v>
      </c>
      <c r="H57" s="3274">
        <v>0</v>
      </c>
      <c r="I57" s="3303">
        <f t="shared" si="1"/>
        <v>0</v>
      </c>
      <c r="J57" s="3275"/>
      <c r="K57" s="3276"/>
      <c r="L57" s="3263"/>
      <c r="M57" s="3264"/>
      <c r="O57" s="2366" t="s">
        <v>27866</v>
      </c>
      <c r="P57" s="2366" t="s">
        <v>27691</v>
      </c>
      <c r="Q57" s="2390" t="s">
        <v>27826</v>
      </c>
    </row>
    <row r="58" spans="1:17" ht="14.65" customHeight="1" x14ac:dyDescent="0.45">
      <c r="A58" s="2427" t="s">
        <v>27865</v>
      </c>
      <c r="B58" s="2412" t="s">
        <v>218</v>
      </c>
      <c r="C58" s="2411" t="s">
        <v>210</v>
      </c>
      <c r="D58" s="3319">
        <f>'6a_Health_full_time'!J62</f>
        <v>0</v>
      </c>
      <c r="E58" s="3293">
        <f>IF(D58=0,0,'Table 6a MF'!D51)</f>
        <v>0</v>
      </c>
      <c r="F58" s="3294" t="str">
        <f>IF(D58=0,"N/A",'Table 6a MF'!E51)</f>
        <v>N/A</v>
      </c>
      <c r="G58" s="3285">
        <f t="shared" si="0"/>
        <v>0</v>
      </c>
      <c r="H58" s="3277">
        <v>0</v>
      </c>
      <c r="I58" s="3304">
        <f t="shared" si="1"/>
        <v>0</v>
      </c>
      <c r="J58" s="3278"/>
      <c r="K58" s="3267"/>
      <c r="L58" s="3268"/>
      <c r="M58" s="3269"/>
      <c r="O58" s="2366" t="s">
        <v>27866</v>
      </c>
      <c r="P58" s="2366" t="s">
        <v>27691</v>
      </c>
      <c r="Q58" s="2390" t="s">
        <v>27688</v>
      </c>
    </row>
    <row r="59" spans="1:17" ht="14.65" customHeight="1" x14ac:dyDescent="0.45">
      <c r="A59" s="2426" t="s">
        <v>27867</v>
      </c>
      <c r="B59" s="2417" t="s">
        <v>204</v>
      </c>
      <c r="C59" s="2416" t="s">
        <v>27769</v>
      </c>
      <c r="D59" s="3134">
        <f>'6a_Health_full_time'!J63</f>
        <v>0</v>
      </c>
      <c r="E59" s="3135">
        <f>IF(D59=0,0,'Table 6a MF'!D52)</f>
        <v>0</v>
      </c>
      <c r="F59" s="3136" t="str">
        <f>IF(D59=0,"N/A",'Table 6a MF'!E52)</f>
        <v>N/A</v>
      </c>
      <c r="G59" s="3137">
        <f t="shared" si="0"/>
        <v>0</v>
      </c>
      <c r="H59" s="3237">
        <v>0</v>
      </c>
      <c r="I59" s="3138">
        <f t="shared" si="1"/>
        <v>0</v>
      </c>
      <c r="J59" s="3224"/>
      <c r="K59" s="3249"/>
      <c r="L59" s="3270"/>
      <c r="M59" s="3251"/>
      <c r="O59" s="2366" t="s">
        <v>27868</v>
      </c>
      <c r="P59" s="2366" t="s">
        <v>27685</v>
      </c>
      <c r="Q59" s="2390" t="s">
        <v>27826</v>
      </c>
    </row>
    <row r="60" spans="1:17" ht="14.65" customHeight="1" x14ac:dyDescent="0.45">
      <c r="A60" s="2420" t="s">
        <v>27867</v>
      </c>
      <c r="B60" s="2419" t="s">
        <v>204</v>
      </c>
      <c r="C60" s="3310" t="s">
        <v>210</v>
      </c>
      <c r="D60" s="3318">
        <f>'6a_Health_full_time'!J64</f>
        <v>0</v>
      </c>
      <c r="E60" s="3290">
        <f>IF(D60=0,0,'Table 6a MF'!D53)</f>
        <v>0</v>
      </c>
      <c r="F60" s="3291" t="str">
        <f>IF(D60=0,"N/A",'Table 6a MF'!E53)</f>
        <v>N/A</v>
      </c>
      <c r="G60" s="3292">
        <f t="shared" si="0"/>
        <v>0</v>
      </c>
      <c r="H60" s="3239">
        <v>0</v>
      </c>
      <c r="I60" s="3157">
        <f t="shared" si="1"/>
        <v>0</v>
      </c>
      <c r="J60" s="3233"/>
      <c r="K60" s="3271"/>
      <c r="L60" s="3272"/>
      <c r="M60" s="3273"/>
      <c r="O60" s="2366" t="s">
        <v>27868</v>
      </c>
      <c r="P60" s="2366" t="s">
        <v>27685</v>
      </c>
      <c r="Q60" s="2390" t="s">
        <v>27688</v>
      </c>
    </row>
    <row r="61" spans="1:17" ht="14.65" customHeight="1" x14ac:dyDescent="0.45">
      <c r="A61" s="2425" t="s">
        <v>27867</v>
      </c>
      <c r="B61" s="2417" t="s">
        <v>218</v>
      </c>
      <c r="C61" s="2416" t="s">
        <v>27769</v>
      </c>
      <c r="D61" s="3159">
        <f>'6a_Health_full_time'!J65</f>
        <v>0</v>
      </c>
      <c r="E61" s="3160">
        <f>IF(D61=0,0,'Table 6a MF'!D54)</f>
        <v>0</v>
      </c>
      <c r="F61" s="3161" t="str">
        <f>IF(D61=0,"N/A",'Table 6a MF'!E54)</f>
        <v>N/A</v>
      </c>
      <c r="G61" s="3162">
        <f t="shared" si="0"/>
        <v>0</v>
      </c>
      <c r="H61" s="3274">
        <v>0</v>
      </c>
      <c r="I61" s="3303">
        <f t="shared" si="1"/>
        <v>0</v>
      </c>
      <c r="J61" s="3275"/>
      <c r="K61" s="3276"/>
      <c r="L61" s="3263"/>
      <c r="M61" s="3264"/>
      <c r="O61" s="2366" t="s">
        <v>27868</v>
      </c>
      <c r="P61" s="2366" t="s">
        <v>27691</v>
      </c>
      <c r="Q61" s="2390" t="s">
        <v>27826</v>
      </c>
    </row>
    <row r="62" spans="1:17" ht="14.65" customHeight="1" x14ac:dyDescent="0.45">
      <c r="A62" s="2427" t="s">
        <v>27867</v>
      </c>
      <c r="B62" s="2412" t="s">
        <v>218</v>
      </c>
      <c r="C62" s="2411" t="s">
        <v>210</v>
      </c>
      <c r="D62" s="3319">
        <f>'6a_Health_full_time'!J66</f>
        <v>0</v>
      </c>
      <c r="E62" s="3293">
        <f>IF(D62=0,0,'Table 6a MF'!D55)</f>
        <v>0</v>
      </c>
      <c r="F62" s="3294" t="str">
        <f>IF(D62=0,"N/A",'Table 6a MF'!E55)</f>
        <v>N/A</v>
      </c>
      <c r="G62" s="3285">
        <f t="shared" si="0"/>
        <v>0</v>
      </c>
      <c r="H62" s="3277">
        <v>0</v>
      </c>
      <c r="I62" s="3304">
        <f t="shared" si="1"/>
        <v>0</v>
      </c>
      <c r="J62" s="3278"/>
      <c r="K62" s="3267"/>
      <c r="L62" s="3268"/>
      <c r="M62" s="3269"/>
      <c r="O62" s="2366" t="s">
        <v>27868</v>
      </c>
      <c r="P62" s="2366" t="s">
        <v>27691</v>
      </c>
      <c r="Q62" s="2390" t="s">
        <v>27688</v>
      </c>
    </row>
    <row r="63" spans="1:17" ht="14.65" customHeight="1" x14ac:dyDescent="0.45">
      <c r="A63" s="2416" t="s">
        <v>27869</v>
      </c>
      <c r="B63" s="2417" t="s">
        <v>204</v>
      </c>
      <c r="C63" s="2416" t="s">
        <v>27769</v>
      </c>
      <c r="D63" s="3134">
        <f>'6a_Health_full_time'!J67</f>
        <v>0</v>
      </c>
      <c r="E63" s="3135">
        <f>IF(D63=0,0,'Table 6a MF'!D56)</f>
        <v>0</v>
      </c>
      <c r="F63" s="3136" t="str">
        <f>IF(D63=0,"N/A",'Table 6a MF'!E56)</f>
        <v>N/A</v>
      </c>
      <c r="G63" s="3137">
        <f t="shared" si="0"/>
        <v>0</v>
      </c>
      <c r="H63" s="3237">
        <v>0</v>
      </c>
      <c r="I63" s="3138">
        <f t="shared" si="1"/>
        <v>0</v>
      </c>
      <c r="J63" s="3224"/>
      <c r="K63" s="3249"/>
      <c r="L63" s="3270"/>
      <c r="M63" s="3251"/>
      <c r="O63" s="2366" t="s">
        <v>27870</v>
      </c>
      <c r="P63" s="2366" t="s">
        <v>27685</v>
      </c>
      <c r="Q63" s="2390" t="s">
        <v>27826</v>
      </c>
    </row>
    <row r="64" spans="1:17" ht="14.65" customHeight="1" x14ac:dyDescent="0.45">
      <c r="A64" s="2425" t="s">
        <v>27869</v>
      </c>
      <c r="B64" s="2419" t="s">
        <v>204</v>
      </c>
      <c r="C64" s="3310" t="s">
        <v>210</v>
      </c>
      <c r="D64" s="3318">
        <f>'6a_Health_full_time'!J68</f>
        <v>0</v>
      </c>
      <c r="E64" s="3290">
        <f>IF(D64=0,0,'Table 6a MF'!D57)</f>
        <v>0</v>
      </c>
      <c r="F64" s="3291" t="str">
        <f>IF(D64=0,"N/A",'Table 6a MF'!E57)</f>
        <v>N/A</v>
      </c>
      <c r="G64" s="3292">
        <f t="shared" si="0"/>
        <v>0</v>
      </c>
      <c r="H64" s="3239">
        <v>0</v>
      </c>
      <c r="I64" s="3157">
        <f t="shared" si="1"/>
        <v>0</v>
      </c>
      <c r="J64" s="3233"/>
      <c r="K64" s="3271"/>
      <c r="L64" s="3272"/>
      <c r="M64" s="3273"/>
      <c r="O64" s="2366" t="s">
        <v>27870</v>
      </c>
      <c r="P64" s="2366" t="s">
        <v>27685</v>
      </c>
      <c r="Q64" s="2390" t="s">
        <v>27688</v>
      </c>
    </row>
    <row r="65" spans="1:17" ht="14.65" customHeight="1" x14ac:dyDescent="0.45">
      <c r="A65" s="2425" t="s">
        <v>27869</v>
      </c>
      <c r="B65" s="2417" t="s">
        <v>218</v>
      </c>
      <c r="C65" s="2416" t="s">
        <v>27769</v>
      </c>
      <c r="D65" s="3159">
        <f>'6a_Health_full_time'!J69</f>
        <v>0</v>
      </c>
      <c r="E65" s="3160">
        <f>IF(D65=0,0,'Table 6a MF'!D58)</f>
        <v>0</v>
      </c>
      <c r="F65" s="3161" t="str">
        <f>IF(D65=0,"N/A",'Table 6a MF'!E58)</f>
        <v>N/A</v>
      </c>
      <c r="G65" s="3162">
        <f t="shared" si="0"/>
        <v>0</v>
      </c>
      <c r="H65" s="3274">
        <v>0</v>
      </c>
      <c r="I65" s="3303">
        <f t="shared" si="1"/>
        <v>0</v>
      </c>
      <c r="J65" s="3275"/>
      <c r="K65" s="3276"/>
      <c r="L65" s="3263"/>
      <c r="M65" s="3264"/>
      <c r="O65" s="2366" t="s">
        <v>27870</v>
      </c>
      <c r="P65" s="2366" t="s">
        <v>27691</v>
      </c>
      <c r="Q65" s="2390" t="s">
        <v>27826</v>
      </c>
    </row>
    <row r="66" spans="1:17" ht="14.65" customHeight="1" x14ac:dyDescent="0.45">
      <c r="A66" s="2427" t="s">
        <v>27869</v>
      </c>
      <c r="B66" s="2412" t="s">
        <v>218</v>
      </c>
      <c r="C66" s="2411" t="s">
        <v>210</v>
      </c>
      <c r="D66" s="3319">
        <f>'6a_Health_full_time'!J70</f>
        <v>0</v>
      </c>
      <c r="E66" s="3293">
        <f>IF(D66=0,0,'Table 6a MF'!D59)</f>
        <v>0</v>
      </c>
      <c r="F66" s="3294" t="str">
        <f>IF(D66=0,"N/A",'Table 6a MF'!E59)</f>
        <v>N/A</v>
      </c>
      <c r="G66" s="3285">
        <f t="shared" si="0"/>
        <v>0</v>
      </c>
      <c r="H66" s="3277">
        <v>0</v>
      </c>
      <c r="I66" s="3304">
        <f t="shared" si="1"/>
        <v>0</v>
      </c>
      <c r="J66" s="3278"/>
      <c r="K66" s="3267"/>
      <c r="L66" s="3268"/>
      <c r="M66" s="3269"/>
      <c r="O66" s="2366" t="s">
        <v>27870</v>
      </c>
      <c r="P66" s="2366" t="s">
        <v>27691</v>
      </c>
      <c r="Q66" s="2390" t="s">
        <v>27688</v>
      </c>
    </row>
    <row r="67" spans="1:17" ht="14.65" customHeight="1" x14ac:dyDescent="0.45">
      <c r="A67" s="2426" t="s">
        <v>27871</v>
      </c>
      <c r="B67" s="2417" t="s">
        <v>204</v>
      </c>
      <c r="C67" s="2416" t="s">
        <v>27769</v>
      </c>
      <c r="D67" s="3134">
        <f>'6a_Health_full_time'!J71</f>
        <v>0</v>
      </c>
      <c r="E67" s="3135">
        <f>IF(D67=0,0,'Table 6a MF'!D60)</f>
        <v>0</v>
      </c>
      <c r="F67" s="3136" t="str">
        <f>IF(D67=0,"N/A",'Table 6a MF'!E60)</f>
        <v>N/A</v>
      </c>
      <c r="G67" s="3137">
        <f t="shared" si="0"/>
        <v>0</v>
      </c>
      <c r="H67" s="3237">
        <v>0</v>
      </c>
      <c r="I67" s="3138">
        <f t="shared" si="1"/>
        <v>0</v>
      </c>
      <c r="J67" s="3224"/>
      <c r="K67" s="3249"/>
      <c r="L67" s="3270"/>
      <c r="M67" s="3251"/>
      <c r="O67" s="2366" t="s">
        <v>27872</v>
      </c>
      <c r="P67" s="2366" t="s">
        <v>27685</v>
      </c>
      <c r="Q67" s="2390" t="s">
        <v>27826</v>
      </c>
    </row>
    <row r="68" spans="1:17" ht="14.65" customHeight="1" x14ac:dyDescent="0.45">
      <c r="A68" s="2420" t="s">
        <v>27871</v>
      </c>
      <c r="B68" s="2419" t="s">
        <v>204</v>
      </c>
      <c r="C68" s="3310" t="s">
        <v>210</v>
      </c>
      <c r="D68" s="3318">
        <f>'6a_Health_full_time'!J72</f>
        <v>0</v>
      </c>
      <c r="E68" s="3290">
        <f>IF(D68=0,0,'Table 6a MF'!D61)</f>
        <v>0</v>
      </c>
      <c r="F68" s="3291" t="str">
        <f>IF(D68=0,"N/A",'Table 6a MF'!E61)</f>
        <v>N/A</v>
      </c>
      <c r="G68" s="3292">
        <f t="shared" si="0"/>
        <v>0</v>
      </c>
      <c r="H68" s="3239">
        <v>0</v>
      </c>
      <c r="I68" s="3157">
        <f t="shared" si="1"/>
        <v>0</v>
      </c>
      <c r="J68" s="3233"/>
      <c r="K68" s="3271"/>
      <c r="L68" s="3272"/>
      <c r="M68" s="3273"/>
      <c r="O68" s="2366" t="s">
        <v>27872</v>
      </c>
      <c r="P68" s="2366" t="s">
        <v>27685</v>
      </c>
      <c r="Q68" s="2390" t="s">
        <v>27688</v>
      </c>
    </row>
    <row r="69" spans="1:17" ht="14.65" customHeight="1" x14ac:dyDescent="0.45">
      <c r="A69" s="2425" t="s">
        <v>27871</v>
      </c>
      <c r="B69" s="2417" t="s">
        <v>218</v>
      </c>
      <c r="C69" s="2416" t="s">
        <v>27769</v>
      </c>
      <c r="D69" s="3159">
        <f>'6a_Health_full_time'!J73</f>
        <v>0</v>
      </c>
      <c r="E69" s="3160">
        <f>IF(D69=0,0,'Table 6a MF'!D62)</f>
        <v>0</v>
      </c>
      <c r="F69" s="3161" t="str">
        <f>IF(D69=0,"N/A",'Table 6a MF'!E62)</f>
        <v>N/A</v>
      </c>
      <c r="G69" s="3162">
        <f t="shared" si="0"/>
        <v>0</v>
      </c>
      <c r="H69" s="3274">
        <v>0</v>
      </c>
      <c r="I69" s="3303">
        <f t="shared" si="1"/>
        <v>0</v>
      </c>
      <c r="J69" s="3275"/>
      <c r="K69" s="3276"/>
      <c r="L69" s="3263"/>
      <c r="M69" s="3264"/>
      <c r="O69" s="2366" t="s">
        <v>27872</v>
      </c>
      <c r="P69" s="2366" t="s">
        <v>27691</v>
      </c>
      <c r="Q69" s="2390" t="s">
        <v>27826</v>
      </c>
    </row>
    <row r="70" spans="1:17" ht="14.65" customHeight="1" x14ac:dyDescent="0.45">
      <c r="A70" s="2427" t="s">
        <v>27871</v>
      </c>
      <c r="B70" s="2412" t="s">
        <v>218</v>
      </c>
      <c r="C70" s="2411" t="s">
        <v>210</v>
      </c>
      <c r="D70" s="3319">
        <f>'6a_Health_full_time'!J74</f>
        <v>0</v>
      </c>
      <c r="E70" s="3293">
        <f>IF(D70=0,0,'Table 6a MF'!D63)</f>
        <v>0</v>
      </c>
      <c r="F70" s="3294" t="str">
        <f>IF(D70=0,"N/A",'Table 6a MF'!E63)</f>
        <v>N/A</v>
      </c>
      <c r="G70" s="3285">
        <f t="shared" si="0"/>
        <v>0</v>
      </c>
      <c r="H70" s="3277">
        <v>0</v>
      </c>
      <c r="I70" s="3304">
        <f t="shared" si="1"/>
        <v>0</v>
      </c>
      <c r="J70" s="3278"/>
      <c r="K70" s="3267"/>
      <c r="L70" s="3268"/>
      <c r="M70" s="3269"/>
      <c r="O70" s="2366" t="s">
        <v>27872</v>
      </c>
      <c r="P70" s="2366" t="s">
        <v>27691</v>
      </c>
      <c r="Q70" s="2390" t="s">
        <v>27688</v>
      </c>
    </row>
    <row r="71" spans="1:17" ht="14.65" customHeight="1" x14ac:dyDescent="0.45">
      <c r="A71" s="2426" t="s">
        <v>27873</v>
      </c>
      <c r="B71" s="2417" t="s">
        <v>204</v>
      </c>
      <c r="C71" s="2416" t="s">
        <v>27769</v>
      </c>
      <c r="D71" s="3134">
        <f>'6a_Health_full_time'!J75</f>
        <v>0</v>
      </c>
      <c r="E71" s="3135">
        <f>IF(D71=0,0,'Table 6a MF'!D64)</f>
        <v>0</v>
      </c>
      <c r="F71" s="3136" t="str">
        <f>IF(D71=0,"N/A",'Table 6a MF'!E64)</f>
        <v>N/A</v>
      </c>
      <c r="G71" s="3137">
        <f t="shared" si="0"/>
        <v>0</v>
      </c>
      <c r="H71" s="3237">
        <v>0</v>
      </c>
      <c r="I71" s="3138">
        <f t="shared" si="1"/>
        <v>0</v>
      </c>
      <c r="J71" s="3224"/>
      <c r="K71" s="3249"/>
      <c r="L71" s="3270"/>
      <c r="M71" s="3251"/>
      <c r="O71" s="2366" t="s">
        <v>27874</v>
      </c>
      <c r="P71" s="2366" t="s">
        <v>27685</v>
      </c>
      <c r="Q71" s="2390" t="s">
        <v>27826</v>
      </c>
    </row>
    <row r="72" spans="1:17" ht="14.65" customHeight="1" x14ac:dyDescent="0.45">
      <c r="A72" s="2420" t="s">
        <v>27873</v>
      </c>
      <c r="B72" s="2419" t="s">
        <v>204</v>
      </c>
      <c r="C72" s="3310" t="s">
        <v>210</v>
      </c>
      <c r="D72" s="3318">
        <f>'6a_Health_full_time'!J76</f>
        <v>0</v>
      </c>
      <c r="E72" s="3290">
        <f>IF(D72=0,0,'Table 6a MF'!D65)</f>
        <v>0</v>
      </c>
      <c r="F72" s="3291" t="str">
        <f>IF(D72=0,"N/A",'Table 6a MF'!E65)</f>
        <v>N/A</v>
      </c>
      <c r="G72" s="3292">
        <f t="shared" si="0"/>
        <v>0</v>
      </c>
      <c r="H72" s="3239">
        <v>0</v>
      </c>
      <c r="I72" s="3157">
        <f t="shared" si="1"/>
        <v>0</v>
      </c>
      <c r="J72" s="3233"/>
      <c r="K72" s="3271"/>
      <c r="L72" s="3272"/>
      <c r="M72" s="3273"/>
      <c r="O72" s="2366" t="s">
        <v>27874</v>
      </c>
      <c r="P72" s="2366" t="s">
        <v>27685</v>
      </c>
      <c r="Q72" s="2390" t="s">
        <v>27688</v>
      </c>
    </row>
    <row r="73" spans="1:17" ht="14.65" customHeight="1" x14ac:dyDescent="0.45">
      <c r="A73" s="2425" t="s">
        <v>27873</v>
      </c>
      <c r="B73" s="2417" t="s">
        <v>218</v>
      </c>
      <c r="C73" s="2416" t="s">
        <v>27769</v>
      </c>
      <c r="D73" s="3159">
        <f>'6a_Health_full_time'!J77</f>
        <v>0</v>
      </c>
      <c r="E73" s="3160">
        <f>IF(D73=0,0,'Table 6a MF'!D66)</f>
        <v>0</v>
      </c>
      <c r="F73" s="3161" t="str">
        <f>IF(D73=0,"N/A",'Table 6a MF'!E66)</f>
        <v>N/A</v>
      </c>
      <c r="G73" s="3162">
        <f t="shared" si="0"/>
        <v>0</v>
      </c>
      <c r="H73" s="3274">
        <v>0</v>
      </c>
      <c r="I73" s="3303">
        <f t="shared" si="1"/>
        <v>0</v>
      </c>
      <c r="J73" s="3275"/>
      <c r="K73" s="3276"/>
      <c r="L73" s="3263"/>
      <c r="M73" s="3264"/>
      <c r="O73" s="2366" t="s">
        <v>27874</v>
      </c>
      <c r="P73" s="2366" t="s">
        <v>27691</v>
      </c>
      <c r="Q73" s="2390" t="s">
        <v>27826</v>
      </c>
    </row>
    <row r="74" spans="1:17" ht="14.65" customHeight="1" x14ac:dyDescent="0.45">
      <c r="A74" s="2427" t="s">
        <v>27873</v>
      </c>
      <c r="B74" s="2412" t="s">
        <v>218</v>
      </c>
      <c r="C74" s="2411" t="s">
        <v>210</v>
      </c>
      <c r="D74" s="3319">
        <f>'6a_Health_full_time'!J78</f>
        <v>0</v>
      </c>
      <c r="E74" s="3293">
        <f>IF(D74=0,0,'Table 6a MF'!D67)</f>
        <v>0</v>
      </c>
      <c r="F74" s="3294" t="str">
        <f>IF(D74=0,"N/A",'Table 6a MF'!E67)</f>
        <v>N/A</v>
      </c>
      <c r="G74" s="3285">
        <f t="shared" ref="G74:G82" si="2">D74*E74</f>
        <v>0</v>
      </c>
      <c r="H74" s="3277">
        <v>0</v>
      </c>
      <c r="I74" s="3304">
        <f t="shared" ref="I74:I82" si="3">IF(H74&gt;0,D74*H74, 0)</f>
        <v>0</v>
      </c>
      <c r="J74" s="3278"/>
      <c r="K74" s="3267"/>
      <c r="L74" s="3268"/>
      <c r="M74" s="3269"/>
      <c r="O74" s="2366" t="s">
        <v>27874</v>
      </c>
      <c r="P74" s="2366" t="s">
        <v>27691</v>
      </c>
      <c r="Q74" s="2390" t="s">
        <v>27688</v>
      </c>
    </row>
    <row r="75" spans="1:17" ht="14.65" customHeight="1" x14ac:dyDescent="0.45">
      <c r="A75" s="2426" t="s">
        <v>27875</v>
      </c>
      <c r="B75" s="2428" t="s">
        <v>204</v>
      </c>
      <c r="C75" s="2429" t="s">
        <v>27769</v>
      </c>
      <c r="D75" s="3134">
        <f>'6a_Health_full_time'!J79</f>
        <v>0</v>
      </c>
      <c r="E75" s="3135">
        <f>IF(D75=0,0,'Table 6a MF'!D68)</f>
        <v>0</v>
      </c>
      <c r="F75" s="3136" t="str">
        <f>IF(D75=0,"N/A",'Table 6a MF'!E68)</f>
        <v>N/A</v>
      </c>
      <c r="G75" s="3137">
        <f t="shared" si="2"/>
        <v>0</v>
      </c>
      <c r="H75" s="3237">
        <v>0</v>
      </c>
      <c r="I75" s="3138">
        <f t="shared" si="3"/>
        <v>0</v>
      </c>
      <c r="J75" s="3224"/>
      <c r="K75" s="3249"/>
      <c r="L75" s="3270"/>
      <c r="M75" s="3251"/>
      <c r="O75" s="2366" t="s">
        <v>27876</v>
      </c>
      <c r="P75" s="2366" t="s">
        <v>27685</v>
      </c>
      <c r="Q75" s="2390" t="s">
        <v>27826</v>
      </c>
    </row>
    <row r="76" spans="1:17" ht="14.65" customHeight="1" x14ac:dyDescent="0.45">
      <c r="A76" s="2420" t="s">
        <v>27875</v>
      </c>
      <c r="B76" s="2419" t="s">
        <v>204</v>
      </c>
      <c r="C76" s="3310" t="s">
        <v>210</v>
      </c>
      <c r="D76" s="3318">
        <f>'6a_Health_full_time'!J80</f>
        <v>0</v>
      </c>
      <c r="E76" s="3290">
        <f>IF(D76=0,0,'Table 6a MF'!D69)</f>
        <v>0</v>
      </c>
      <c r="F76" s="3291" t="str">
        <f>IF(D76=0,"N/A",'Table 6a MF'!E69)</f>
        <v>N/A</v>
      </c>
      <c r="G76" s="3292">
        <f t="shared" si="2"/>
        <v>0</v>
      </c>
      <c r="H76" s="3239">
        <v>0</v>
      </c>
      <c r="I76" s="3157">
        <f t="shared" si="3"/>
        <v>0</v>
      </c>
      <c r="J76" s="3233"/>
      <c r="K76" s="3271"/>
      <c r="L76" s="3272"/>
      <c r="M76" s="3273"/>
      <c r="O76" s="2366" t="s">
        <v>27876</v>
      </c>
      <c r="P76" s="2366" t="s">
        <v>27685</v>
      </c>
      <c r="Q76" s="2390" t="s">
        <v>27688</v>
      </c>
    </row>
    <row r="77" spans="1:17" ht="14.65" customHeight="1" x14ac:dyDescent="0.45">
      <c r="A77" s="2425" t="s">
        <v>27875</v>
      </c>
      <c r="B77" s="2417" t="s">
        <v>218</v>
      </c>
      <c r="C77" s="2416" t="s">
        <v>27769</v>
      </c>
      <c r="D77" s="3159">
        <f>'6a_Health_full_time'!J81</f>
        <v>0</v>
      </c>
      <c r="E77" s="3160">
        <f>IF(D77=0,0,'Table 6a MF'!D70)</f>
        <v>0</v>
      </c>
      <c r="F77" s="3161" t="str">
        <f>IF(D77=0,"N/A",'Table 6a MF'!E70)</f>
        <v>N/A</v>
      </c>
      <c r="G77" s="3162">
        <f t="shared" si="2"/>
        <v>0</v>
      </c>
      <c r="H77" s="3274">
        <v>0</v>
      </c>
      <c r="I77" s="3303">
        <f t="shared" si="3"/>
        <v>0</v>
      </c>
      <c r="J77" s="3275"/>
      <c r="K77" s="3276"/>
      <c r="L77" s="3263"/>
      <c r="M77" s="3264"/>
      <c r="O77" s="2366" t="s">
        <v>27876</v>
      </c>
      <c r="P77" s="2366" t="s">
        <v>27691</v>
      </c>
      <c r="Q77" s="2390" t="s">
        <v>27826</v>
      </c>
    </row>
    <row r="78" spans="1:17" ht="14.65" customHeight="1" x14ac:dyDescent="0.45">
      <c r="A78" s="2427" t="s">
        <v>27875</v>
      </c>
      <c r="B78" s="2412" t="s">
        <v>218</v>
      </c>
      <c r="C78" s="2411" t="s">
        <v>210</v>
      </c>
      <c r="D78" s="3319">
        <f>'6a_Health_full_time'!J82</f>
        <v>0</v>
      </c>
      <c r="E78" s="3293">
        <f>IF(D78=0,0,'Table 6a MF'!D71)</f>
        <v>0</v>
      </c>
      <c r="F78" s="3294" t="str">
        <f>IF(D78=0,"N/A",'Table 6a MF'!E71)</f>
        <v>N/A</v>
      </c>
      <c r="G78" s="3285">
        <f t="shared" si="2"/>
        <v>0</v>
      </c>
      <c r="H78" s="3277">
        <v>0</v>
      </c>
      <c r="I78" s="3304">
        <f t="shared" si="3"/>
        <v>0</v>
      </c>
      <c r="J78" s="3278"/>
      <c r="K78" s="3267"/>
      <c r="L78" s="3268"/>
      <c r="M78" s="3269"/>
      <c r="O78" s="2366" t="s">
        <v>27876</v>
      </c>
      <c r="P78" s="2366" t="s">
        <v>27691</v>
      </c>
      <c r="Q78" s="2390" t="s">
        <v>27688</v>
      </c>
    </row>
    <row r="79" spans="1:17" ht="14.65" customHeight="1" x14ac:dyDescent="0.45">
      <c r="A79" s="2426" t="s">
        <v>27877</v>
      </c>
      <c r="B79" s="2417" t="s">
        <v>204</v>
      </c>
      <c r="C79" s="2416" t="s">
        <v>27769</v>
      </c>
      <c r="D79" s="3134">
        <f>'6a_Health_full_time'!J83</f>
        <v>0</v>
      </c>
      <c r="E79" s="3135">
        <f>IF(D79=0,0,'Table 6a MF'!D72)</f>
        <v>0</v>
      </c>
      <c r="F79" s="3136" t="str">
        <f>IF(D79=0,"N/A",'Table 6a MF'!E72)</f>
        <v>N/A</v>
      </c>
      <c r="G79" s="3137">
        <f t="shared" si="2"/>
        <v>0</v>
      </c>
      <c r="H79" s="3237">
        <v>0</v>
      </c>
      <c r="I79" s="3138">
        <f t="shared" si="3"/>
        <v>0</v>
      </c>
      <c r="J79" s="3224"/>
      <c r="K79" s="3249"/>
      <c r="L79" s="3270"/>
      <c r="M79" s="3251"/>
      <c r="O79" s="2366" t="s">
        <v>27878</v>
      </c>
      <c r="P79" s="2366" t="s">
        <v>27685</v>
      </c>
      <c r="Q79" s="2390" t="s">
        <v>27826</v>
      </c>
    </row>
    <row r="80" spans="1:17" ht="14.65" customHeight="1" x14ac:dyDescent="0.45">
      <c r="A80" s="2420" t="s">
        <v>27877</v>
      </c>
      <c r="B80" s="2419" t="s">
        <v>204</v>
      </c>
      <c r="C80" s="3310" t="s">
        <v>210</v>
      </c>
      <c r="D80" s="3318">
        <f>'6a_Health_full_time'!J84</f>
        <v>0</v>
      </c>
      <c r="E80" s="3290">
        <f>IF(D80=0,0,'Table 6a MF'!D73)</f>
        <v>0</v>
      </c>
      <c r="F80" s="3291" t="str">
        <f>IF(D80=0,"N/A",'Table 6a MF'!E73)</f>
        <v>N/A</v>
      </c>
      <c r="G80" s="3292">
        <f t="shared" si="2"/>
        <v>0</v>
      </c>
      <c r="H80" s="3239">
        <v>0</v>
      </c>
      <c r="I80" s="3157">
        <f t="shared" si="3"/>
        <v>0</v>
      </c>
      <c r="J80" s="3233"/>
      <c r="K80" s="3271"/>
      <c r="L80" s="3272"/>
      <c r="M80" s="3273"/>
      <c r="O80" s="2366" t="s">
        <v>27878</v>
      </c>
      <c r="P80" s="2366" t="s">
        <v>27685</v>
      </c>
      <c r="Q80" s="2390" t="s">
        <v>27688</v>
      </c>
    </row>
    <row r="81" spans="1:17" ht="14.65" customHeight="1" x14ac:dyDescent="0.45">
      <c r="A81" s="2425" t="s">
        <v>27877</v>
      </c>
      <c r="B81" s="2417" t="s">
        <v>218</v>
      </c>
      <c r="C81" s="2416" t="s">
        <v>27769</v>
      </c>
      <c r="D81" s="3159">
        <f>'6a_Health_full_time'!J85</f>
        <v>0</v>
      </c>
      <c r="E81" s="3160">
        <f>IF(D81=0,0,'Table 6a MF'!D74)</f>
        <v>0</v>
      </c>
      <c r="F81" s="3161" t="str">
        <f>IF(D81=0,"N/A",'Table 6a MF'!E74)</f>
        <v>N/A</v>
      </c>
      <c r="G81" s="3162">
        <f t="shared" si="2"/>
        <v>0</v>
      </c>
      <c r="H81" s="3274">
        <v>0</v>
      </c>
      <c r="I81" s="3303">
        <f t="shared" si="3"/>
        <v>0</v>
      </c>
      <c r="J81" s="3275"/>
      <c r="K81" s="3276"/>
      <c r="L81" s="3263"/>
      <c r="M81" s="3264"/>
      <c r="O81" s="2366" t="s">
        <v>27878</v>
      </c>
      <c r="P81" s="2366" t="s">
        <v>27691</v>
      </c>
      <c r="Q81" s="2390" t="s">
        <v>27826</v>
      </c>
    </row>
    <row r="82" spans="1:17" ht="14.65" customHeight="1" thickBot="1" x14ac:dyDescent="0.5">
      <c r="A82" s="2424" t="s">
        <v>27877</v>
      </c>
      <c r="B82" s="2423" t="s">
        <v>218</v>
      </c>
      <c r="C82" s="2422" t="s">
        <v>210</v>
      </c>
      <c r="D82" s="3320">
        <f>'6a_Health_full_time'!J86</f>
        <v>0</v>
      </c>
      <c r="E82" s="3177">
        <f>IF(D82=0,0,'Table 6a MF'!D75)</f>
        <v>0</v>
      </c>
      <c r="F82" s="3295" t="str">
        <f>IF(D82=0,"N/A",'Table 6a MF'!E75)</f>
        <v>N/A</v>
      </c>
      <c r="G82" s="3296">
        <f t="shared" si="2"/>
        <v>0</v>
      </c>
      <c r="H82" s="3279">
        <v>0</v>
      </c>
      <c r="I82" s="3305">
        <f t="shared" si="3"/>
        <v>0</v>
      </c>
      <c r="J82" s="3280"/>
      <c r="K82" s="3281"/>
      <c r="L82" s="3282"/>
      <c r="M82" s="3283"/>
      <c r="O82" s="2366" t="s">
        <v>27878</v>
      </c>
      <c r="P82" s="2366" t="s">
        <v>27691</v>
      </c>
      <c r="Q82" s="2390" t="s">
        <v>27688</v>
      </c>
    </row>
    <row r="83" spans="1:17" ht="14.65" customHeight="1" thickTop="1" x14ac:dyDescent="0.45">
      <c r="A83" s="2421" t="s">
        <v>27879</v>
      </c>
      <c r="B83" s="2417" t="s">
        <v>204</v>
      </c>
      <c r="C83" s="2416" t="s">
        <v>27769</v>
      </c>
      <c r="D83" s="3321">
        <f>'6a_Health_full_time'!J87</f>
        <v>0</v>
      </c>
      <c r="E83" s="2318"/>
      <c r="F83" s="2327"/>
      <c r="G83" s="3182">
        <f>SUM(G9,G13,G19,G23,G27,G31,G35,G39,G43,G47,G51,G55,G59,G63,G67,G71,G75,G79)</f>
        <v>0</v>
      </c>
      <c r="H83" s="2415"/>
      <c r="I83" s="2414"/>
      <c r="J83" s="2413"/>
      <c r="K83" s="2304"/>
      <c r="L83" s="2303"/>
      <c r="M83" s="2303"/>
      <c r="N83" s="2391"/>
      <c r="O83" s="2366" t="s">
        <v>28321</v>
      </c>
      <c r="P83" s="2366" t="s">
        <v>27685</v>
      </c>
      <c r="Q83" s="2390" t="s">
        <v>27826</v>
      </c>
    </row>
    <row r="84" spans="1:17" ht="14.65" customHeight="1" x14ac:dyDescent="0.45">
      <c r="A84" s="2420" t="s">
        <v>27879</v>
      </c>
      <c r="B84" s="2419" t="s">
        <v>204</v>
      </c>
      <c r="C84" s="3310" t="s">
        <v>27880</v>
      </c>
      <c r="D84" s="3322">
        <f>'6a_Health_full_time'!J88</f>
        <v>0</v>
      </c>
      <c r="E84" s="2318"/>
      <c r="F84" s="2317"/>
      <c r="G84" s="3284">
        <f>SUM(G17,G20,G24,G28,G32,G36,G40,G44,G48,G52,G56,G60,G64,G68,G72,G76,G80)</f>
        <v>0</v>
      </c>
      <c r="H84" s="2415"/>
      <c r="I84" s="2414"/>
      <c r="J84" s="2413"/>
      <c r="K84" s="2304"/>
      <c r="L84" s="2303"/>
      <c r="M84" s="2303"/>
      <c r="N84" s="2391"/>
      <c r="O84" s="2366" t="s">
        <v>28321</v>
      </c>
      <c r="P84" s="2366" t="s">
        <v>27685</v>
      </c>
      <c r="Q84" s="2390" t="s">
        <v>27688</v>
      </c>
    </row>
    <row r="85" spans="1:17" ht="14.65" customHeight="1" x14ac:dyDescent="0.45">
      <c r="A85" s="2388" t="s">
        <v>27879</v>
      </c>
      <c r="B85" s="2417" t="s">
        <v>218</v>
      </c>
      <c r="C85" s="2416" t="s">
        <v>27769</v>
      </c>
      <c r="D85" s="3323">
        <f>'6a_Health_full_time'!J89</f>
        <v>0</v>
      </c>
      <c r="E85" s="2318"/>
      <c r="F85" s="2317"/>
      <c r="G85" s="3162">
        <f>SUM(G11,G15,G21,G25,G29,G33,G37,G41,G45,G49,G53,G57,G61,G65,G69,G73,G77,G81)</f>
        <v>0</v>
      </c>
      <c r="H85" s="2415"/>
      <c r="I85" s="2414"/>
      <c r="J85" s="2413"/>
      <c r="K85" s="2304"/>
      <c r="L85" s="2303"/>
      <c r="M85" s="2303"/>
      <c r="N85" s="2391"/>
      <c r="O85" s="2366" t="s">
        <v>28321</v>
      </c>
      <c r="P85" s="2366" t="s">
        <v>27691</v>
      </c>
      <c r="Q85" s="2390" t="s">
        <v>27826</v>
      </c>
    </row>
    <row r="86" spans="1:17" ht="14.65" customHeight="1" x14ac:dyDescent="0.45">
      <c r="A86" s="2388" t="s">
        <v>27879</v>
      </c>
      <c r="B86" s="2412" t="s">
        <v>218</v>
      </c>
      <c r="C86" s="2411" t="s">
        <v>27880</v>
      </c>
      <c r="D86" s="3324">
        <f>'6a_Health_full_time'!J90</f>
        <v>0</v>
      </c>
      <c r="E86" s="2410"/>
      <c r="F86" s="2409"/>
      <c r="G86" s="3285">
        <f>SUM(G18,G22,G26,G30,G34,G38,G42,G46,G50,G54,G58,G62,G66,G70,G74,G78,G82)</f>
        <v>0</v>
      </c>
      <c r="H86" s="2408"/>
      <c r="I86" s="2407"/>
      <c r="J86" s="2406"/>
      <c r="K86" s="2405"/>
      <c r="L86" s="2404"/>
      <c r="M86" s="2403"/>
      <c r="N86" s="2391"/>
      <c r="O86" s="2366" t="s">
        <v>28321</v>
      </c>
      <c r="P86" s="2366" t="s">
        <v>27691</v>
      </c>
      <c r="Q86" s="2390" t="s">
        <v>27688</v>
      </c>
    </row>
    <row r="87" spans="1:17" ht="14.65" customHeight="1" thickBot="1" x14ac:dyDescent="0.5">
      <c r="A87" s="2402" t="s">
        <v>27879</v>
      </c>
      <c r="B87" s="2401" t="s">
        <v>27695</v>
      </c>
      <c r="C87" s="2400" t="s">
        <v>27696</v>
      </c>
      <c r="D87" s="3325">
        <f>'6a_Health_full_time'!J91</f>
        <v>0</v>
      </c>
      <c r="E87" s="2399"/>
      <c r="F87" s="2398"/>
      <c r="G87" s="3286">
        <f>SUM(G83:G86)</f>
        <v>0</v>
      </c>
      <c r="H87" s="2397"/>
      <c r="I87" s="2396"/>
      <c r="J87" s="2395"/>
      <c r="K87" s="2394"/>
      <c r="L87" s="2393"/>
      <c r="M87" s="2392"/>
      <c r="N87" s="2391"/>
      <c r="O87" s="2366" t="s">
        <v>28321</v>
      </c>
      <c r="P87" s="2366" t="s">
        <v>203</v>
      </c>
      <c r="Q87" s="2390" t="s">
        <v>28321</v>
      </c>
    </row>
    <row r="88" spans="1:17" ht="14.25" hidden="1" customHeight="1" x14ac:dyDescent="0.45">
      <c r="A88" s="2388"/>
      <c r="B88" s="2361"/>
      <c r="C88" s="2364"/>
      <c r="D88" s="2389"/>
      <c r="E88" s="2389"/>
      <c r="F88" s="2389"/>
      <c r="G88" s="2389"/>
      <c r="H88" s="2389"/>
      <c r="I88" s="2389"/>
      <c r="J88" s="2384"/>
      <c r="K88" s="2384"/>
      <c r="L88" s="2384"/>
      <c r="M88" s="2362"/>
    </row>
    <row r="89" spans="1:17" ht="14.25" hidden="1" customHeight="1" x14ac:dyDescent="0.45">
      <c r="A89" s="2388"/>
      <c r="B89" s="2361"/>
      <c r="C89" s="2385"/>
      <c r="D89"/>
      <c r="E89"/>
      <c r="F89"/>
      <c r="G89" s="3104" t="s">
        <v>29724</v>
      </c>
      <c r="H89" s="2282" t="s">
        <v>29390</v>
      </c>
      <c r="I89" s="2285"/>
      <c r="J89" s="2378" t="s">
        <v>29389</v>
      </c>
      <c r="K89" s="2282" t="s">
        <v>29388</v>
      </c>
      <c r="L89" s="2282" t="s">
        <v>29387</v>
      </c>
      <c r="M89" s="2282" t="s">
        <v>29386</v>
      </c>
    </row>
    <row r="90" spans="1:17" ht="14.25" customHeight="1" x14ac:dyDescent="0.45">
      <c r="A90" s="2383"/>
      <c r="B90" s="2362"/>
      <c r="C90" s="2385"/>
      <c r="D90" s="2362"/>
      <c r="E90" s="2362"/>
      <c r="F90" s="2362"/>
      <c r="G90" s="2362"/>
      <c r="H90" s="2362"/>
      <c r="I90" s="2362"/>
      <c r="J90" s="2384"/>
      <c r="K90" s="2384"/>
      <c r="L90" s="2384"/>
      <c r="M90" s="2362"/>
    </row>
    <row r="91" spans="1:17" ht="14.25" customHeight="1" x14ac:dyDescent="0.45">
      <c r="A91" s="657" t="s">
        <v>29405</v>
      </c>
      <c r="B91" s="657"/>
      <c r="C91" s="657"/>
      <c r="D91" s="657"/>
      <c r="E91" s="657"/>
      <c r="F91" s="657"/>
      <c r="G91" s="657"/>
      <c r="H91" s="657"/>
      <c r="I91" s="657"/>
      <c r="J91" s="1348"/>
      <c r="K91" s="1348"/>
      <c r="L91" s="1348"/>
      <c r="M91" s="657"/>
    </row>
    <row r="92" spans="1:17" ht="14.25" customHeight="1" x14ac:dyDescent="0.45">
      <c r="A92" s="2269" t="s">
        <v>29753</v>
      </c>
      <c r="B92" s="2361"/>
      <c r="C92" s="2364"/>
      <c r="D92" s="2361"/>
      <c r="E92" s="2362"/>
      <c r="F92" s="2362"/>
      <c r="G92" s="2362"/>
      <c r="H92" s="2362"/>
      <c r="I92" s="2362"/>
      <c r="J92" s="2384"/>
      <c r="K92" s="2384"/>
      <c r="L92" s="2384"/>
      <c r="M92" s="2362"/>
    </row>
    <row r="93" spans="1:17" ht="14.25" customHeight="1" x14ac:dyDescent="0.45">
      <c r="A93" s="2278" t="str">
        <f>'FTE Table 6a Valid'!E89</f>
        <v/>
      </c>
      <c r="B93" s="2387"/>
      <c r="C93" s="2386"/>
      <c r="D93" s="2364"/>
      <c r="E93" s="2362"/>
      <c r="F93" s="2362"/>
      <c r="G93" s="2362"/>
      <c r="H93" s="2362"/>
      <c r="I93" s="2362"/>
      <c r="J93" s="2384"/>
      <c r="K93" s="2384"/>
      <c r="L93" s="2384"/>
      <c r="M93" s="2362"/>
    </row>
    <row r="94" spans="1:17" ht="14.25" customHeight="1" x14ac:dyDescent="0.45">
      <c r="A94" s="2280" t="s">
        <v>29757</v>
      </c>
      <c r="B94" s="2387"/>
      <c r="C94" s="2386"/>
      <c r="D94" s="2364"/>
      <c r="E94" s="2362"/>
      <c r="F94" s="2362"/>
      <c r="G94" s="2362"/>
      <c r="H94" s="2362"/>
      <c r="I94" s="2362"/>
      <c r="J94" s="2384"/>
      <c r="K94" s="2384"/>
      <c r="L94" s="2384"/>
      <c r="M94" s="2362"/>
    </row>
    <row r="95" spans="1:17" ht="14.25" customHeight="1" x14ac:dyDescent="0.45">
      <c r="A95" s="2279" t="str">
        <f>'FTE Table 6a Valid'!F89</f>
        <v/>
      </c>
      <c r="B95" s="2387"/>
      <c r="C95" s="2386"/>
      <c r="D95" s="2364"/>
      <c r="E95" s="2362"/>
      <c r="F95" s="2362"/>
      <c r="G95" s="2362"/>
      <c r="H95" s="2362"/>
      <c r="I95" s="2362"/>
      <c r="J95" s="2384"/>
      <c r="K95" s="2384"/>
      <c r="L95" s="2384"/>
      <c r="M95" s="2362"/>
    </row>
    <row r="96" spans="1:17" ht="14.25" customHeight="1" x14ac:dyDescent="0.45">
      <c r="A96" s="2269" t="s">
        <v>29749</v>
      </c>
      <c r="B96" s="2387"/>
      <c r="C96" s="2386"/>
      <c r="D96" s="2364"/>
      <c r="E96" s="2362"/>
      <c r="F96" s="2362"/>
      <c r="G96" s="2362"/>
      <c r="H96" s="2362"/>
      <c r="I96" s="2362"/>
      <c r="J96" s="2384"/>
      <c r="K96" s="2384"/>
      <c r="L96" s="2384"/>
      <c r="M96" s="2362"/>
    </row>
    <row r="97" spans="1:13" ht="14.25" customHeight="1" x14ac:dyDescent="0.45">
      <c r="A97" s="2274" t="str">
        <f>'FTE Table 6a Valid'!G89</f>
        <v/>
      </c>
      <c r="B97" s="2387"/>
      <c r="C97" s="2386"/>
      <c r="D97" s="2364"/>
      <c r="E97" s="2362"/>
      <c r="F97" s="2362"/>
      <c r="G97" s="2362"/>
      <c r="H97" s="2362"/>
      <c r="I97" s="2362"/>
      <c r="J97" s="2384"/>
      <c r="K97" s="2384"/>
      <c r="L97" s="2384"/>
      <c r="M97" s="2362"/>
    </row>
    <row r="98" spans="1:13" ht="14.25" customHeight="1" x14ac:dyDescent="0.45">
      <c r="A98" s="2269" t="s">
        <v>29750</v>
      </c>
      <c r="B98" s="2387"/>
      <c r="C98" s="2386"/>
      <c r="D98" s="2364"/>
      <c r="E98" s="2362"/>
      <c r="F98" s="2362"/>
      <c r="G98" s="2362"/>
      <c r="H98" s="2362"/>
      <c r="I98" s="2362"/>
      <c r="J98" s="2384"/>
      <c r="K98" s="2384"/>
      <c r="L98" s="2384"/>
      <c r="M98" s="2362"/>
    </row>
    <row r="99" spans="1:13" ht="14.25" customHeight="1" x14ac:dyDescent="0.45">
      <c r="A99" s="2278" t="str">
        <f>'FTE Table 6a Valid'!H89</f>
        <v/>
      </c>
      <c r="B99" s="2387"/>
      <c r="C99" s="2386"/>
      <c r="D99" s="2364"/>
      <c r="E99" s="2362"/>
      <c r="F99" s="2362"/>
      <c r="G99" s="2362"/>
      <c r="H99" s="2362"/>
      <c r="I99" s="2362"/>
      <c r="J99" s="2384"/>
      <c r="K99" s="2384"/>
      <c r="L99" s="2384"/>
      <c r="M99" s="2362"/>
    </row>
    <row r="100" spans="1:13" ht="14.25" customHeight="1" x14ac:dyDescent="0.45">
      <c r="A100" s="1035" t="s">
        <v>29754</v>
      </c>
      <c r="B100" s="2387"/>
      <c r="C100" s="2386"/>
      <c r="D100" s="2364"/>
      <c r="E100" s="2362"/>
      <c r="F100" s="2362"/>
      <c r="G100" s="2362"/>
      <c r="H100" s="2362"/>
      <c r="I100" s="2362"/>
      <c r="J100" s="2384"/>
      <c r="K100" s="2384"/>
      <c r="L100" s="2384"/>
      <c r="M100" s="2362"/>
    </row>
    <row r="101" spans="1:13" ht="14.25" customHeight="1" x14ac:dyDescent="0.45">
      <c r="A101" s="2278" t="str">
        <f>'FTE Table 6a Valid'!I89</f>
        <v/>
      </c>
      <c r="B101" s="2387"/>
      <c r="C101" s="2386"/>
      <c r="D101" s="2364"/>
      <c r="E101" s="2362"/>
      <c r="F101" s="2362"/>
      <c r="G101" s="2362"/>
      <c r="H101" s="2362"/>
      <c r="I101" s="2362"/>
      <c r="J101" s="2384"/>
      <c r="K101" s="2384"/>
      <c r="L101" s="2384"/>
      <c r="M101" s="2362"/>
    </row>
    <row r="102" spans="1:13" ht="14.25" customHeight="1" x14ac:dyDescent="0.45">
      <c r="A102" s="2277"/>
      <c r="B102" s="2387"/>
      <c r="C102" s="2386"/>
      <c r="D102" s="2364"/>
      <c r="E102" s="2362"/>
      <c r="F102" s="2362"/>
      <c r="G102" s="2362"/>
      <c r="H102" s="2362"/>
      <c r="I102" s="2362"/>
      <c r="J102" s="2384"/>
      <c r="K102" s="2384"/>
      <c r="L102" s="2384"/>
      <c r="M102" s="2362"/>
    </row>
    <row r="103" spans="1:13" ht="14.25" customHeight="1" x14ac:dyDescent="0.45">
      <c r="A103" s="2276"/>
      <c r="B103" s="2387"/>
      <c r="C103" s="2386"/>
      <c r="D103" s="2364"/>
      <c r="E103" s="2362"/>
      <c r="F103" s="2362"/>
      <c r="G103" s="2362"/>
      <c r="H103" s="2362"/>
      <c r="I103" s="2362"/>
      <c r="J103" s="2384"/>
      <c r="K103" s="2384"/>
      <c r="L103" s="2384"/>
      <c r="M103" s="2362"/>
    </row>
    <row r="104" spans="1:13" ht="14.25" customHeight="1" x14ac:dyDescent="0.45">
      <c r="A104" s="2269"/>
      <c r="B104" s="2387"/>
      <c r="C104" s="2386"/>
      <c r="D104" s="2364"/>
      <c r="E104" s="2362"/>
      <c r="F104" s="2362"/>
      <c r="G104" s="2362"/>
      <c r="H104" s="2362"/>
      <c r="I104" s="2362"/>
      <c r="J104" s="2384"/>
      <c r="K104" s="2384"/>
      <c r="L104" s="2384"/>
      <c r="M104" s="2362"/>
    </row>
    <row r="105" spans="1:13" ht="14.25" customHeight="1" x14ac:dyDescent="0.45">
      <c r="A105" s="2275"/>
      <c r="B105" s="657"/>
      <c r="C105" s="657"/>
      <c r="D105" s="657"/>
      <c r="E105" s="657"/>
      <c r="F105" s="657"/>
      <c r="G105" s="657"/>
      <c r="H105" s="657"/>
      <c r="I105" s="657"/>
      <c r="J105" s="1348"/>
      <c r="K105" s="1348"/>
      <c r="L105" s="1348"/>
      <c r="M105" s="657"/>
    </row>
    <row r="106" spans="1:13" ht="14.25" customHeight="1" x14ac:dyDescent="0.45">
      <c r="A106" s="2269"/>
      <c r="B106" s="2362"/>
      <c r="C106" s="2385"/>
      <c r="D106" s="2362"/>
      <c r="E106" s="2362"/>
      <c r="F106" s="2362"/>
      <c r="G106" s="2362"/>
      <c r="H106" s="2362"/>
      <c r="I106" s="2362"/>
      <c r="J106" s="2384"/>
      <c r="K106" s="2384"/>
      <c r="L106" s="2384"/>
      <c r="M106" s="2362"/>
    </row>
    <row r="107" spans="1:13" ht="14.25" customHeight="1" x14ac:dyDescent="0.45">
      <c r="A107" s="2274"/>
      <c r="B107" s="2362"/>
      <c r="C107" s="2385"/>
      <c r="D107" s="2362"/>
      <c r="E107" s="2362"/>
      <c r="F107" s="2362"/>
      <c r="G107" s="2362"/>
      <c r="H107" s="2362"/>
      <c r="I107" s="2362"/>
      <c r="J107" s="2384"/>
      <c r="K107" s="2384"/>
      <c r="L107" s="2384"/>
      <c r="M107" s="2362"/>
    </row>
    <row r="108" spans="1:13" ht="14.25" customHeight="1" x14ac:dyDescent="0.45">
      <c r="A108" s="2383"/>
      <c r="B108" s="2362"/>
      <c r="C108" s="2385"/>
      <c r="D108" s="2362"/>
      <c r="E108" s="2362"/>
      <c r="F108" s="2362"/>
      <c r="G108" s="2362"/>
      <c r="H108" s="2362"/>
      <c r="I108" s="2362"/>
      <c r="J108" s="2384"/>
      <c r="K108" s="2384"/>
      <c r="L108" s="2384"/>
      <c r="M108" s="2362"/>
    </row>
    <row r="109" spans="1:13" ht="14.25" customHeight="1" x14ac:dyDescent="0.45">
      <c r="A109" s="2382"/>
      <c r="B109" s="2362"/>
      <c r="C109" s="2385"/>
      <c r="D109" s="2362"/>
      <c r="E109" s="2362"/>
      <c r="F109" s="2362"/>
      <c r="G109" s="2362"/>
      <c r="H109" s="2362"/>
      <c r="I109" s="2362"/>
      <c r="J109" s="2384"/>
      <c r="K109" s="2384"/>
      <c r="L109" s="2384"/>
      <c r="M109" s="2362"/>
    </row>
    <row r="110" spans="1:13" ht="14.25" customHeight="1" x14ac:dyDescent="0.45">
      <c r="A110" s="2383"/>
    </row>
    <row r="111" spans="1:13" ht="14.25" customHeight="1" x14ac:dyDescent="0.45">
      <c r="A111" s="2382"/>
    </row>
  </sheetData>
  <sheetProtection algorithmName="SHA-512" hashValue="fK/p/t8WB3Q1WOh3+roHiWYGYDr168Ww0grbrYdVo3J58iyvFCWE9yv+vNQQIp0CtrrmKHFK2zJQ0nLjnt2+fQ==" saltValue="BasqVOmn48K7atw8joxWaQ==" spinCount="100000" sheet="1" objects="1" scenarios="1"/>
  <conditionalFormatting sqref="D9:M87">
    <cfRule type="cellIs" dxfId="24" priority="3" operator="equal">
      <formula>0</formula>
    </cfRule>
  </conditionalFormatting>
  <conditionalFormatting sqref="F9:F82">
    <cfRule type="expression" dxfId="23" priority="10">
      <formula>IF(AND(F9="N/A",D9=0),1,0)</formula>
    </cfRule>
  </conditionalFormatting>
  <conditionalFormatting sqref="H5">
    <cfRule type="cellIs" dxfId="22" priority="1" operator="notEqual">
      <formula>"Validation: OK"</formula>
    </cfRule>
  </conditionalFormatting>
  <conditionalFormatting sqref="H9:H82">
    <cfRule type="expression" dxfId="21" priority="2">
      <formula>IF($G9=0, 1, 0)</formula>
    </cfRule>
  </conditionalFormatting>
  <conditionalFormatting sqref="I9:J82">
    <cfRule type="expression" dxfId="20" priority="414596">
      <formula>IF($H9=0,1,0)</formula>
    </cfRule>
  </conditionalFormatting>
  <conditionalFormatting sqref="J5">
    <cfRule type="cellIs" dxfId="19" priority="5" operator="notEqual">
      <formula>"Validation: OK"</formula>
    </cfRule>
  </conditionalFormatting>
  <conditionalFormatting sqref="K9:K82">
    <cfRule type="cellIs" dxfId="18" priority="8" operator="equal">
      <formula>"No"</formula>
    </cfRule>
  </conditionalFormatting>
  <dataValidations count="4">
    <dataValidation type="custom" allowBlank="1" showInputMessage="1" showErrorMessage="1" errorTitle="Validation check" error="This cell can only contain numbers between 0 and 1 to two decimal places" sqref="I9:I82" xr:uid="{DEB26FAC-1AC3-453C-9BF1-BAAABC1D6D00}">
      <formula1>AND(I9&lt;=1,I9&gt;=0,ROUND(I9,2)=I9)</formula1>
    </dataValidation>
    <dataValidation type="custom" allowBlank="1" showInputMessage="1" showErrorMessage="1" errorTitle="Validation check" error="Table 1, Column 1 can only contain postive values up to two decimal places or zero." sqref="G9:G82 D9:D87 E9:E82" xr:uid="{D4C024F8-E3F6-401B-B23A-C419D7347014}">
      <formula1>AND(D9&gt;=0,ROUND(D9,2)=D9)</formula1>
    </dataValidation>
    <dataValidation type="custom" allowBlank="1" showInputMessage="1" showErrorMessage="1" errorTitle="Please check the following:" error="1. Previous columns are filled in._x000a_2. The explanation is within 2000 characters." sqref="J9:J82" xr:uid="{EBC3BB3C-32F0-4B0E-A1D4-4AB32C26A0E9}">
      <formula1>AND(#REF!&lt;&gt;"", #REF!&lt;&gt;"", OR(#REF!&lt;&gt;"", $H9&lt;&gt;""), LEN($J9)&lt;=2000)</formula1>
    </dataValidation>
    <dataValidation type="custom" allowBlank="1" showInputMessage="1" showErrorMessage="1" errorTitle="Validation check" error="Please select a representation category and level first. This cell can only contain numbers between 0 and 1 to two decimal places." sqref="H9:H82" xr:uid="{B12D9D42-4DC6-4392-81E5-4A1A682CF63A}">
      <formula1>AND(#REF!="Own rate", $H9&lt;=1,$H9&gt;=0,ROUND($H9,2)=$H9)</formula1>
    </dataValidation>
  </dataValidations>
  <printOptions horizontalCentered="1"/>
  <pageMargins left="0.25" right="0.25" top="0.75" bottom="0.75" header="0.3" footer="0.3"/>
  <pageSetup paperSize="8" orientation="landscape" horizontalDpi="1200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379D4-CA43-4C71-BEA0-56EFF7D7F958}">
  <sheetPr codeName="Sheet44"/>
  <dimension ref="A1:I77"/>
  <sheetViews>
    <sheetView workbookViewId="0"/>
  </sheetViews>
  <sheetFormatPr defaultColWidth="9.1328125" defaultRowHeight="14.25" x14ac:dyDescent="0.45"/>
  <cols>
    <col min="1" max="5" width="20" style="2270" customWidth="1"/>
    <col min="6" max="16384" width="9.1328125" style="2270"/>
  </cols>
  <sheetData>
    <row r="1" spans="1:9" x14ac:dyDescent="0.45">
      <c r="A1" s="2466" t="s">
        <v>27840</v>
      </c>
      <c r="B1" s="2466" t="s">
        <v>56</v>
      </c>
      <c r="C1" s="2466" t="s">
        <v>57</v>
      </c>
      <c r="D1" s="3006" t="s">
        <v>29391</v>
      </c>
      <c r="E1" s="3006" t="s">
        <v>29734</v>
      </c>
      <c r="G1" s="2465" t="s">
        <v>27841</v>
      </c>
      <c r="H1" s="2465" t="s">
        <v>65</v>
      </c>
      <c r="I1" s="2465" t="s">
        <v>66</v>
      </c>
    </row>
    <row r="2" spans="1:9" x14ac:dyDescent="0.45">
      <c r="A2" s="2429" t="s">
        <v>27842</v>
      </c>
      <c r="B2" s="2428" t="s">
        <v>204</v>
      </c>
      <c r="C2" s="2429" t="s">
        <v>27769</v>
      </c>
      <c r="D2" s="3004">
        <v>0</v>
      </c>
      <c r="E2" s="3105"/>
      <c r="G2" s="2366" t="s">
        <v>27843</v>
      </c>
      <c r="H2" s="2366" t="s">
        <v>27685</v>
      </c>
      <c r="I2" s="2390" t="s">
        <v>27826</v>
      </c>
    </row>
    <row r="3" spans="1:9" x14ac:dyDescent="0.45">
      <c r="A3" s="2425" t="s">
        <v>27842</v>
      </c>
      <c r="B3" s="2419" t="s">
        <v>204</v>
      </c>
      <c r="C3" s="2418" t="s">
        <v>210</v>
      </c>
      <c r="D3" s="3002">
        <v>0</v>
      </c>
      <c r="E3" s="3106"/>
      <c r="G3" s="2366" t="s">
        <v>27843</v>
      </c>
      <c r="H3" s="2366" t="s">
        <v>27685</v>
      </c>
      <c r="I3" s="2390" t="s">
        <v>27688</v>
      </c>
    </row>
    <row r="4" spans="1:9" x14ac:dyDescent="0.45">
      <c r="A4" s="2425" t="s">
        <v>27842</v>
      </c>
      <c r="B4" s="2417" t="s">
        <v>218</v>
      </c>
      <c r="C4" s="2416" t="s">
        <v>27769</v>
      </c>
      <c r="D4" s="3002">
        <v>0</v>
      </c>
      <c r="E4" s="3106"/>
      <c r="G4" s="2366" t="s">
        <v>27843</v>
      </c>
      <c r="H4" s="2366" t="s">
        <v>27691</v>
      </c>
      <c r="I4" s="2390" t="s">
        <v>27826</v>
      </c>
    </row>
    <row r="5" spans="1:9" x14ac:dyDescent="0.45">
      <c r="A5" s="2427" t="s">
        <v>27842</v>
      </c>
      <c r="B5" s="2412" t="s">
        <v>218</v>
      </c>
      <c r="C5" s="2411" t="s">
        <v>210</v>
      </c>
      <c r="D5" s="3062">
        <v>0</v>
      </c>
      <c r="E5" s="3107"/>
      <c r="G5" s="2366" t="s">
        <v>27843</v>
      </c>
      <c r="H5" s="2366" t="s">
        <v>27691</v>
      </c>
      <c r="I5" s="2390" t="s">
        <v>27688</v>
      </c>
    </row>
    <row r="6" spans="1:9" x14ac:dyDescent="0.45">
      <c r="A6" s="2416" t="s">
        <v>27844</v>
      </c>
      <c r="B6" s="2417" t="s">
        <v>204</v>
      </c>
      <c r="C6" s="2416" t="s">
        <v>27769</v>
      </c>
      <c r="D6" s="3063">
        <v>0</v>
      </c>
      <c r="E6" s="3108"/>
      <c r="G6" s="2366" t="s">
        <v>27845</v>
      </c>
      <c r="H6" s="2366" t="s">
        <v>27685</v>
      </c>
      <c r="I6" s="2390" t="s">
        <v>27826</v>
      </c>
    </row>
    <row r="7" spans="1:9" x14ac:dyDescent="0.45">
      <c r="A7" s="2425" t="s">
        <v>27844</v>
      </c>
      <c r="B7" s="2419" t="s">
        <v>204</v>
      </c>
      <c r="C7" s="2418" t="s">
        <v>210</v>
      </c>
      <c r="D7" s="3002">
        <v>0</v>
      </c>
      <c r="E7" s="3106"/>
      <c r="G7" s="2366" t="s">
        <v>27845</v>
      </c>
      <c r="H7" s="2366" t="s">
        <v>27685</v>
      </c>
      <c r="I7" s="2390" t="s">
        <v>27688</v>
      </c>
    </row>
    <row r="8" spans="1:9" x14ac:dyDescent="0.45">
      <c r="A8" s="2425" t="s">
        <v>27844</v>
      </c>
      <c r="B8" s="2417" t="s">
        <v>218</v>
      </c>
      <c r="C8" s="2416" t="s">
        <v>27769</v>
      </c>
      <c r="D8" s="3002">
        <v>0</v>
      </c>
      <c r="E8" s="3106"/>
      <c r="G8" s="2366" t="s">
        <v>27845</v>
      </c>
      <c r="H8" s="2366" t="s">
        <v>27691</v>
      </c>
      <c r="I8" s="2390" t="s">
        <v>27826</v>
      </c>
    </row>
    <row r="9" spans="1:9" x14ac:dyDescent="0.45">
      <c r="A9" s="2427" t="s">
        <v>27844</v>
      </c>
      <c r="B9" s="2412" t="s">
        <v>218</v>
      </c>
      <c r="C9" s="2411" t="s">
        <v>210</v>
      </c>
      <c r="D9" s="3062">
        <v>0</v>
      </c>
      <c r="E9" s="3107"/>
      <c r="G9" s="2366" t="s">
        <v>27845</v>
      </c>
      <c r="H9" s="2366" t="s">
        <v>27691</v>
      </c>
      <c r="I9" s="2390" t="s">
        <v>27688</v>
      </c>
    </row>
    <row r="10" spans="1:9" x14ac:dyDescent="0.45">
      <c r="A10" s="2416" t="s">
        <v>27846</v>
      </c>
      <c r="B10" s="2432" t="s">
        <v>204</v>
      </c>
      <c r="C10" s="2418" t="s">
        <v>212</v>
      </c>
      <c r="D10" s="3063">
        <v>0</v>
      </c>
      <c r="E10" s="3108"/>
      <c r="G10" s="2366" t="s">
        <v>27845</v>
      </c>
      <c r="H10" s="2366" t="s">
        <v>27685</v>
      </c>
      <c r="I10" s="2390" t="s">
        <v>27689</v>
      </c>
    </row>
    <row r="11" spans="1:9" x14ac:dyDescent="0.45">
      <c r="A11" s="2425" t="s">
        <v>27846</v>
      </c>
      <c r="B11" s="2431" t="s">
        <v>218</v>
      </c>
      <c r="C11" s="2430" t="s">
        <v>212</v>
      </c>
      <c r="D11" s="3062">
        <v>0</v>
      </c>
      <c r="E11" s="3107"/>
      <c r="G11" s="2366" t="s">
        <v>27845</v>
      </c>
      <c r="H11" s="2366" t="s">
        <v>27691</v>
      </c>
      <c r="I11" s="2390" t="s">
        <v>27689</v>
      </c>
    </row>
    <row r="12" spans="1:9" x14ac:dyDescent="0.45">
      <c r="A12" s="2429" t="s">
        <v>27847</v>
      </c>
      <c r="B12" s="2428" t="s">
        <v>204</v>
      </c>
      <c r="C12" s="2429" t="s">
        <v>27769</v>
      </c>
      <c r="D12" s="3063">
        <v>0</v>
      </c>
      <c r="E12" s="3108"/>
      <c r="G12" s="2366" t="s">
        <v>27848</v>
      </c>
      <c r="H12" s="2366" t="s">
        <v>27685</v>
      </c>
      <c r="I12" s="2390" t="s">
        <v>27826</v>
      </c>
    </row>
    <row r="13" spans="1:9" x14ac:dyDescent="0.45">
      <c r="A13" s="2425" t="s">
        <v>27847</v>
      </c>
      <c r="B13" s="2419" t="s">
        <v>204</v>
      </c>
      <c r="C13" s="2418" t="s">
        <v>210</v>
      </c>
      <c r="D13" s="3002">
        <v>0</v>
      </c>
      <c r="E13" s="3106"/>
      <c r="G13" s="2366" t="s">
        <v>27848</v>
      </c>
      <c r="H13" s="2366" t="s">
        <v>27685</v>
      </c>
      <c r="I13" s="2390" t="s">
        <v>27688</v>
      </c>
    </row>
    <row r="14" spans="1:9" x14ac:dyDescent="0.45">
      <c r="A14" s="2425" t="s">
        <v>27847</v>
      </c>
      <c r="B14" s="2417" t="s">
        <v>218</v>
      </c>
      <c r="C14" s="2416" t="s">
        <v>27769</v>
      </c>
      <c r="D14" s="3002">
        <v>0</v>
      </c>
      <c r="E14" s="3106"/>
      <c r="G14" s="2366" t="s">
        <v>27848</v>
      </c>
      <c r="H14" s="2366" t="s">
        <v>27691</v>
      </c>
      <c r="I14" s="2390" t="s">
        <v>27826</v>
      </c>
    </row>
    <row r="15" spans="1:9" x14ac:dyDescent="0.45">
      <c r="A15" s="2427" t="s">
        <v>27847</v>
      </c>
      <c r="B15" s="2412" t="s">
        <v>218</v>
      </c>
      <c r="C15" s="2411" t="s">
        <v>210</v>
      </c>
      <c r="D15" s="3062">
        <v>0</v>
      </c>
      <c r="E15" s="3107"/>
      <c r="G15" s="2366" t="s">
        <v>27848</v>
      </c>
      <c r="H15" s="2366" t="s">
        <v>27691</v>
      </c>
      <c r="I15" s="2390" t="s">
        <v>27688</v>
      </c>
    </row>
    <row r="16" spans="1:9" x14ac:dyDescent="0.45">
      <c r="A16" s="2416" t="s">
        <v>27849</v>
      </c>
      <c r="B16" s="2417" t="s">
        <v>204</v>
      </c>
      <c r="C16" s="2416" t="s">
        <v>27769</v>
      </c>
      <c r="D16" s="3063">
        <v>0</v>
      </c>
      <c r="E16" s="3108"/>
      <c r="G16" s="2366" t="s">
        <v>27850</v>
      </c>
      <c r="H16" s="2366" t="s">
        <v>27685</v>
      </c>
      <c r="I16" s="2390" t="s">
        <v>27826</v>
      </c>
    </row>
    <row r="17" spans="1:9" x14ac:dyDescent="0.45">
      <c r="A17" s="2425" t="s">
        <v>27849</v>
      </c>
      <c r="B17" s="2419" t="s">
        <v>204</v>
      </c>
      <c r="C17" s="2418" t="s">
        <v>210</v>
      </c>
      <c r="D17" s="3002">
        <v>0</v>
      </c>
      <c r="E17" s="3106"/>
      <c r="G17" s="2366" t="s">
        <v>27850</v>
      </c>
      <c r="H17" s="2366" t="s">
        <v>27685</v>
      </c>
      <c r="I17" s="2390" t="s">
        <v>27688</v>
      </c>
    </row>
    <row r="18" spans="1:9" x14ac:dyDescent="0.45">
      <c r="A18" s="2425" t="s">
        <v>27849</v>
      </c>
      <c r="B18" s="2417" t="s">
        <v>218</v>
      </c>
      <c r="C18" s="2416" t="s">
        <v>27769</v>
      </c>
      <c r="D18" s="3002">
        <v>0</v>
      </c>
      <c r="E18" s="3106"/>
      <c r="G18" s="2366" t="s">
        <v>27850</v>
      </c>
      <c r="H18" s="2366" t="s">
        <v>27691</v>
      </c>
      <c r="I18" s="2390" t="s">
        <v>27826</v>
      </c>
    </row>
    <row r="19" spans="1:9" x14ac:dyDescent="0.45">
      <c r="A19" s="2427" t="s">
        <v>27849</v>
      </c>
      <c r="B19" s="2412" t="s">
        <v>218</v>
      </c>
      <c r="C19" s="2411" t="s">
        <v>210</v>
      </c>
      <c r="D19" s="3062">
        <v>0</v>
      </c>
      <c r="E19" s="3107"/>
      <c r="G19" s="2366" t="s">
        <v>27850</v>
      </c>
      <c r="H19" s="2366" t="s">
        <v>27691</v>
      </c>
      <c r="I19" s="2390" t="s">
        <v>27688</v>
      </c>
    </row>
    <row r="20" spans="1:9" x14ac:dyDescent="0.45">
      <c r="A20" s="2426" t="s">
        <v>27851</v>
      </c>
      <c r="B20" s="2417" t="s">
        <v>204</v>
      </c>
      <c r="C20" s="2416" t="s">
        <v>27769</v>
      </c>
      <c r="D20" s="3063">
        <v>0</v>
      </c>
      <c r="E20" s="3108"/>
      <c r="G20" s="2366" t="s">
        <v>27852</v>
      </c>
      <c r="H20" s="2366" t="s">
        <v>27685</v>
      </c>
      <c r="I20" s="2390" t="s">
        <v>27826</v>
      </c>
    </row>
    <row r="21" spans="1:9" x14ac:dyDescent="0.45">
      <c r="A21" s="2420" t="s">
        <v>27851</v>
      </c>
      <c r="B21" s="2419" t="s">
        <v>204</v>
      </c>
      <c r="C21" s="2418" t="s">
        <v>210</v>
      </c>
      <c r="D21" s="3002">
        <v>0</v>
      </c>
      <c r="E21" s="3106"/>
      <c r="G21" s="2366" t="s">
        <v>27852</v>
      </c>
      <c r="H21" s="2366" t="s">
        <v>27685</v>
      </c>
      <c r="I21" s="2390" t="s">
        <v>27688</v>
      </c>
    </row>
    <row r="22" spans="1:9" x14ac:dyDescent="0.45">
      <c r="A22" s="2425" t="s">
        <v>27851</v>
      </c>
      <c r="B22" s="2417" t="s">
        <v>218</v>
      </c>
      <c r="C22" s="2416" t="s">
        <v>27769</v>
      </c>
      <c r="D22" s="3002">
        <v>0</v>
      </c>
      <c r="E22" s="3106"/>
      <c r="G22" s="2366" t="s">
        <v>27852</v>
      </c>
      <c r="H22" s="2366" t="s">
        <v>27691</v>
      </c>
      <c r="I22" s="2390" t="s">
        <v>27826</v>
      </c>
    </row>
    <row r="23" spans="1:9" x14ac:dyDescent="0.45">
      <c r="A23" s="2427" t="s">
        <v>27851</v>
      </c>
      <c r="B23" s="2412" t="s">
        <v>218</v>
      </c>
      <c r="C23" s="2411" t="s">
        <v>210</v>
      </c>
      <c r="D23" s="3062">
        <v>0</v>
      </c>
      <c r="E23" s="3107"/>
      <c r="G23" s="2366" t="s">
        <v>27852</v>
      </c>
      <c r="H23" s="2366" t="s">
        <v>27691</v>
      </c>
      <c r="I23" s="2390" t="s">
        <v>27688</v>
      </c>
    </row>
    <row r="24" spans="1:9" ht="27" x14ac:dyDescent="0.45">
      <c r="A24" s="2426" t="s">
        <v>27853</v>
      </c>
      <c r="B24" s="2417" t="s">
        <v>204</v>
      </c>
      <c r="C24" s="2416" t="s">
        <v>27769</v>
      </c>
      <c r="D24" s="3063">
        <v>0</v>
      </c>
      <c r="E24" s="3108"/>
      <c r="G24" s="2366" t="s">
        <v>27854</v>
      </c>
      <c r="H24" s="2366" t="s">
        <v>27685</v>
      </c>
      <c r="I24" s="2390" t="s">
        <v>27826</v>
      </c>
    </row>
    <row r="25" spans="1:9" ht="27" x14ac:dyDescent="0.45">
      <c r="A25" s="2420" t="s">
        <v>27853</v>
      </c>
      <c r="B25" s="2419" t="s">
        <v>204</v>
      </c>
      <c r="C25" s="2418" t="s">
        <v>210</v>
      </c>
      <c r="D25" s="3002">
        <v>0</v>
      </c>
      <c r="E25" s="3106"/>
      <c r="G25" s="2366" t="s">
        <v>27854</v>
      </c>
      <c r="H25" s="2366" t="s">
        <v>27685</v>
      </c>
      <c r="I25" s="2390" t="s">
        <v>27688</v>
      </c>
    </row>
    <row r="26" spans="1:9" x14ac:dyDescent="0.45">
      <c r="A26" s="2425" t="s">
        <v>27853</v>
      </c>
      <c r="B26" s="2417" t="s">
        <v>218</v>
      </c>
      <c r="C26" s="2416" t="s">
        <v>27769</v>
      </c>
      <c r="D26" s="3002">
        <v>0</v>
      </c>
      <c r="E26" s="3106"/>
      <c r="G26" s="2366" t="s">
        <v>27854</v>
      </c>
      <c r="H26" s="2366" t="s">
        <v>27691</v>
      </c>
      <c r="I26" s="2390" t="s">
        <v>27826</v>
      </c>
    </row>
    <row r="27" spans="1:9" x14ac:dyDescent="0.45">
      <c r="A27" s="2427" t="s">
        <v>27853</v>
      </c>
      <c r="B27" s="2412" t="s">
        <v>218</v>
      </c>
      <c r="C27" s="2411" t="s">
        <v>210</v>
      </c>
      <c r="D27" s="3062">
        <v>0</v>
      </c>
      <c r="E27" s="3107"/>
      <c r="G27" s="2366" t="s">
        <v>27854</v>
      </c>
      <c r="H27" s="2366" t="s">
        <v>27691</v>
      </c>
      <c r="I27" s="2390" t="s">
        <v>27688</v>
      </c>
    </row>
    <row r="28" spans="1:9" ht="27" x14ac:dyDescent="0.45">
      <c r="A28" s="2426" t="s">
        <v>27855</v>
      </c>
      <c r="B28" s="2417" t="s">
        <v>204</v>
      </c>
      <c r="C28" s="2416" t="s">
        <v>27769</v>
      </c>
      <c r="D28" s="3063">
        <v>0</v>
      </c>
      <c r="E28" s="3108"/>
      <c r="G28" s="2366" t="s">
        <v>27856</v>
      </c>
      <c r="H28" s="2366" t="s">
        <v>27685</v>
      </c>
      <c r="I28" s="2390" t="s">
        <v>27826</v>
      </c>
    </row>
    <row r="29" spans="1:9" ht="27" x14ac:dyDescent="0.45">
      <c r="A29" s="2420" t="s">
        <v>27855</v>
      </c>
      <c r="B29" s="2419" t="s">
        <v>204</v>
      </c>
      <c r="C29" s="2418" t="s">
        <v>210</v>
      </c>
      <c r="D29" s="3002">
        <v>0</v>
      </c>
      <c r="E29" s="3106"/>
      <c r="G29" s="2366" t="s">
        <v>27856</v>
      </c>
      <c r="H29" s="2366" t="s">
        <v>27685</v>
      </c>
      <c r="I29" s="2390" t="s">
        <v>27688</v>
      </c>
    </row>
    <row r="30" spans="1:9" x14ac:dyDescent="0.45">
      <c r="A30" s="2425" t="s">
        <v>27855</v>
      </c>
      <c r="B30" s="2417" t="s">
        <v>218</v>
      </c>
      <c r="C30" s="2416" t="s">
        <v>27769</v>
      </c>
      <c r="D30" s="3002">
        <v>0</v>
      </c>
      <c r="E30" s="3106"/>
      <c r="G30" s="2366" t="s">
        <v>27856</v>
      </c>
      <c r="H30" s="2366" t="s">
        <v>27691</v>
      </c>
      <c r="I30" s="2390" t="s">
        <v>27826</v>
      </c>
    </row>
    <row r="31" spans="1:9" x14ac:dyDescent="0.45">
      <c r="A31" s="2427" t="s">
        <v>27855</v>
      </c>
      <c r="B31" s="2412" t="s">
        <v>218</v>
      </c>
      <c r="C31" s="2411" t="s">
        <v>210</v>
      </c>
      <c r="D31" s="3062">
        <v>0</v>
      </c>
      <c r="E31" s="3107"/>
      <c r="G31" s="2366" t="s">
        <v>27856</v>
      </c>
      <c r="H31" s="2366" t="s">
        <v>27691</v>
      </c>
      <c r="I31" s="2390" t="s">
        <v>27688</v>
      </c>
    </row>
    <row r="32" spans="1:9" ht="27" x14ac:dyDescent="0.45">
      <c r="A32" s="2426" t="s">
        <v>27857</v>
      </c>
      <c r="B32" s="2417" t="s">
        <v>204</v>
      </c>
      <c r="C32" s="2416" t="s">
        <v>27769</v>
      </c>
      <c r="D32" s="3063">
        <v>0</v>
      </c>
      <c r="E32" s="3108"/>
      <c r="G32" s="2366" t="s">
        <v>27858</v>
      </c>
      <c r="H32" s="2366" t="s">
        <v>27685</v>
      </c>
      <c r="I32" s="2390" t="s">
        <v>27826</v>
      </c>
    </row>
    <row r="33" spans="1:9" ht="27" x14ac:dyDescent="0.45">
      <c r="A33" s="2420" t="s">
        <v>27857</v>
      </c>
      <c r="B33" s="2419" t="s">
        <v>204</v>
      </c>
      <c r="C33" s="2418" t="s">
        <v>210</v>
      </c>
      <c r="D33" s="3002">
        <v>0</v>
      </c>
      <c r="E33" s="3106"/>
      <c r="G33" s="2366" t="s">
        <v>27858</v>
      </c>
      <c r="H33" s="2366" t="s">
        <v>27685</v>
      </c>
      <c r="I33" s="2390" t="s">
        <v>27688</v>
      </c>
    </row>
    <row r="34" spans="1:9" x14ac:dyDescent="0.45">
      <c r="A34" s="2425" t="s">
        <v>27857</v>
      </c>
      <c r="B34" s="2417" t="s">
        <v>218</v>
      </c>
      <c r="C34" s="2416" t="s">
        <v>27769</v>
      </c>
      <c r="D34" s="3002">
        <v>0</v>
      </c>
      <c r="E34" s="3106"/>
      <c r="G34" s="2366" t="s">
        <v>27858</v>
      </c>
      <c r="H34" s="2366" t="s">
        <v>27691</v>
      </c>
      <c r="I34" s="2390" t="s">
        <v>27826</v>
      </c>
    </row>
    <row r="35" spans="1:9" x14ac:dyDescent="0.45">
      <c r="A35" s="2427" t="s">
        <v>27857</v>
      </c>
      <c r="B35" s="2412" t="s">
        <v>218</v>
      </c>
      <c r="C35" s="2411" t="s">
        <v>210</v>
      </c>
      <c r="D35" s="3062">
        <v>0</v>
      </c>
      <c r="E35" s="3107"/>
      <c r="G35" s="2366" t="s">
        <v>27858</v>
      </c>
      <c r="H35" s="2366" t="s">
        <v>27691</v>
      </c>
      <c r="I35" s="2390" t="s">
        <v>27688</v>
      </c>
    </row>
    <row r="36" spans="1:9" ht="27" x14ac:dyDescent="0.45">
      <c r="A36" s="2426" t="s">
        <v>27859</v>
      </c>
      <c r="B36" s="2417" t="s">
        <v>204</v>
      </c>
      <c r="C36" s="2416" t="s">
        <v>27769</v>
      </c>
      <c r="D36" s="3063">
        <v>0</v>
      </c>
      <c r="E36" s="3108"/>
      <c r="G36" s="2366" t="s">
        <v>27860</v>
      </c>
      <c r="H36" s="2366" t="s">
        <v>27685</v>
      </c>
      <c r="I36" s="2390" t="s">
        <v>27826</v>
      </c>
    </row>
    <row r="37" spans="1:9" ht="27" x14ac:dyDescent="0.45">
      <c r="A37" s="2420" t="s">
        <v>27859</v>
      </c>
      <c r="B37" s="2419" t="s">
        <v>204</v>
      </c>
      <c r="C37" s="2418" t="s">
        <v>210</v>
      </c>
      <c r="D37" s="3002">
        <v>0</v>
      </c>
      <c r="E37" s="3106"/>
      <c r="G37" s="2366" t="s">
        <v>27860</v>
      </c>
      <c r="H37" s="2366" t="s">
        <v>27685</v>
      </c>
      <c r="I37" s="2390" t="s">
        <v>27688</v>
      </c>
    </row>
    <row r="38" spans="1:9" x14ac:dyDescent="0.45">
      <c r="A38" s="2425" t="s">
        <v>27859</v>
      </c>
      <c r="B38" s="2417" t="s">
        <v>218</v>
      </c>
      <c r="C38" s="2416" t="s">
        <v>27769</v>
      </c>
      <c r="D38" s="3002">
        <v>0</v>
      </c>
      <c r="E38" s="3106"/>
      <c r="G38" s="2366" t="s">
        <v>27860</v>
      </c>
      <c r="H38" s="2366" t="s">
        <v>27691</v>
      </c>
      <c r="I38" s="2390" t="s">
        <v>27826</v>
      </c>
    </row>
    <row r="39" spans="1:9" x14ac:dyDescent="0.45">
      <c r="A39" s="2427" t="s">
        <v>27859</v>
      </c>
      <c r="B39" s="2412" t="s">
        <v>218</v>
      </c>
      <c r="C39" s="2411" t="s">
        <v>210</v>
      </c>
      <c r="D39" s="3062">
        <v>0</v>
      </c>
      <c r="E39" s="3107"/>
      <c r="G39" s="2366" t="s">
        <v>27860</v>
      </c>
      <c r="H39" s="2366" t="s">
        <v>27691</v>
      </c>
      <c r="I39" s="2390" t="s">
        <v>27688</v>
      </c>
    </row>
    <row r="40" spans="1:9" ht="27" x14ac:dyDescent="0.45">
      <c r="A40" s="2426" t="s">
        <v>27861</v>
      </c>
      <c r="B40" s="2417" t="s">
        <v>204</v>
      </c>
      <c r="C40" s="2416" t="s">
        <v>27769</v>
      </c>
      <c r="D40" s="3063">
        <v>0</v>
      </c>
      <c r="E40" s="3108"/>
      <c r="G40" s="2366" t="s">
        <v>27862</v>
      </c>
      <c r="H40" s="2366" t="s">
        <v>27685</v>
      </c>
      <c r="I40" s="2390" t="s">
        <v>27826</v>
      </c>
    </row>
    <row r="41" spans="1:9" ht="27" x14ac:dyDescent="0.45">
      <c r="A41" s="2420" t="s">
        <v>27861</v>
      </c>
      <c r="B41" s="2419" t="s">
        <v>204</v>
      </c>
      <c r="C41" s="2418" t="s">
        <v>210</v>
      </c>
      <c r="D41" s="3002">
        <v>0</v>
      </c>
      <c r="E41" s="3106"/>
      <c r="G41" s="2366" t="s">
        <v>27862</v>
      </c>
      <c r="H41" s="2366" t="s">
        <v>27685</v>
      </c>
      <c r="I41" s="2390" t="s">
        <v>27688</v>
      </c>
    </row>
    <row r="42" spans="1:9" x14ac:dyDescent="0.45">
      <c r="A42" s="2425" t="s">
        <v>27861</v>
      </c>
      <c r="B42" s="2417" t="s">
        <v>218</v>
      </c>
      <c r="C42" s="2416" t="s">
        <v>27769</v>
      </c>
      <c r="D42" s="3002">
        <v>0</v>
      </c>
      <c r="E42" s="3106"/>
      <c r="G42" s="2366" t="s">
        <v>27862</v>
      </c>
      <c r="H42" s="2366" t="s">
        <v>27691</v>
      </c>
      <c r="I42" s="2390" t="s">
        <v>27826</v>
      </c>
    </row>
    <row r="43" spans="1:9" x14ac:dyDescent="0.45">
      <c r="A43" s="2427" t="s">
        <v>27861</v>
      </c>
      <c r="B43" s="2412" t="s">
        <v>218</v>
      </c>
      <c r="C43" s="2411" t="s">
        <v>210</v>
      </c>
      <c r="D43" s="3062">
        <v>0</v>
      </c>
      <c r="E43" s="3107"/>
      <c r="G43" s="2366" t="s">
        <v>27862</v>
      </c>
      <c r="H43" s="2366" t="s">
        <v>27691</v>
      </c>
      <c r="I43" s="2390" t="s">
        <v>27688</v>
      </c>
    </row>
    <row r="44" spans="1:9" ht="27" x14ac:dyDescent="0.45">
      <c r="A44" s="2426" t="s">
        <v>27863</v>
      </c>
      <c r="B44" s="2417" t="s">
        <v>204</v>
      </c>
      <c r="C44" s="2416" t="s">
        <v>27769</v>
      </c>
      <c r="D44" s="3063">
        <v>0</v>
      </c>
      <c r="E44" s="3108"/>
      <c r="G44" s="2366" t="s">
        <v>27864</v>
      </c>
      <c r="H44" s="2366" t="s">
        <v>27685</v>
      </c>
      <c r="I44" s="2390" t="s">
        <v>27826</v>
      </c>
    </row>
    <row r="45" spans="1:9" ht="27" x14ac:dyDescent="0.45">
      <c r="A45" s="2420" t="s">
        <v>27863</v>
      </c>
      <c r="B45" s="2419" t="s">
        <v>204</v>
      </c>
      <c r="C45" s="2418" t="s">
        <v>210</v>
      </c>
      <c r="D45" s="3002">
        <v>0</v>
      </c>
      <c r="E45" s="3106"/>
      <c r="G45" s="2366" t="s">
        <v>27864</v>
      </c>
      <c r="H45" s="2366" t="s">
        <v>27685</v>
      </c>
      <c r="I45" s="2390" t="s">
        <v>27688</v>
      </c>
    </row>
    <row r="46" spans="1:9" x14ac:dyDescent="0.45">
      <c r="A46" s="2425" t="s">
        <v>27863</v>
      </c>
      <c r="B46" s="2417" t="s">
        <v>218</v>
      </c>
      <c r="C46" s="2416" t="s">
        <v>27769</v>
      </c>
      <c r="D46" s="3002">
        <v>0</v>
      </c>
      <c r="E46" s="3106"/>
      <c r="G46" s="2366" t="s">
        <v>27864</v>
      </c>
      <c r="H46" s="2366" t="s">
        <v>27691</v>
      </c>
      <c r="I46" s="2390" t="s">
        <v>27826</v>
      </c>
    </row>
    <row r="47" spans="1:9" x14ac:dyDescent="0.45">
      <c r="A47" s="2427" t="s">
        <v>27863</v>
      </c>
      <c r="B47" s="2412" t="s">
        <v>218</v>
      </c>
      <c r="C47" s="2411" t="s">
        <v>210</v>
      </c>
      <c r="D47" s="3062">
        <v>0</v>
      </c>
      <c r="E47" s="3107"/>
      <c r="G47" s="2366" t="s">
        <v>27864</v>
      </c>
      <c r="H47" s="2366" t="s">
        <v>27691</v>
      </c>
      <c r="I47" s="2390" t="s">
        <v>27688</v>
      </c>
    </row>
    <row r="48" spans="1:9" x14ac:dyDescent="0.45">
      <c r="A48" s="2416" t="s">
        <v>27865</v>
      </c>
      <c r="B48" s="2417" t="s">
        <v>204</v>
      </c>
      <c r="C48" s="2416" t="s">
        <v>27769</v>
      </c>
      <c r="D48" s="3063">
        <v>0</v>
      </c>
      <c r="E48" s="3108"/>
      <c r="G48" s="2366" t="s">
        <v>27866</v>
      </c>
      <c r="H48" s="2366" t="s">
        <v>27685</v>
      </c>
      <c r="I48" s="2390" t="s">
        <v>27826</v>
      </c>
    </row>
    <row r="49" spans="1:9" x14ac:dyDescent="0.45">
      <c r="A49" s="2425" t="s">
        <v>27865</v>
      </c>
      <c r="B49" s="2419" t="s">
        <v>204</v>
      </c>
      <c r="C49" s="2418" t="s">
        <v>210</v>
      </c>
      <c r="D49" s="3002">
        <v>0</v>
      </c>
      <c r="E49" s="3106"/>
      <c r="G49" s="2366" t="s">
        <v>27866</v>
      </c>
      <c r="H49" s="2366" t="s">
        <v>27685</v>
      </c>
      <c r="I49" s="2390" t="s">
        <v>27688</v>
      </c>
    </row>
    <row r="50" spans="1:9" x14ac:dyDescent="0.45">
      <c r="A50" s="2425" t="s">
        <v>27865</v>
      </c>
      <c r="B50" s="2417" t="s">
        <v>218</v>
      </c>
      <c r="C50" s="2416" t="s">
        <v>27769</v>
      </c>
      <c r="D50" s="3002">
        <v>0</v>
      </c>
      <c r="E50" s="3106"/>
      <c r="G50" s="2366" t="s">
        <v>27866</v>
      </c>
      <c r="H50" s="2366" t="s">
        <v>27691</v>
      </c>
      <c r="I50" s="2390" t="s">
        <v>27826</v>
      </c>
    </row>
    <row r="51" spans="1:9" x14ac:dyDescent="0.45">
      <c r="A51" s="2427" t="s">
        <v>27865</v>
      </c>
      <c r="B51" s="2412" t="s">
        <v>218</v>
      </c>
      <c r="C51" s="2411" t="s">
        <v>210</v>
      </c>
      <c r="D51" s="3062">
        <v>0</v>
      </c>
      <c r="E51" s="3107"/>
      <c r="G51" s="2366" t="s">
        <v>27866</v>
      </c>
      <c r="H51" s="2366" t="s">
        <v>27691</v>
      </c>
      <c r="I51" s="2390" t="s">
        <v>27688</v>
      </c>
    </row>
    <row r="52" spans="1:9" ht="27" x14ac:dyDescent="0.45">
      <c r="A52" s="2426" t="s">
        <v>27867</v>
      </c>
      <c r="B52" s="2417" t="s">
        <v>204</v>
      </c>
      <c r="C52" s="2416" t="s">
        <v>27769</v>
      </c>
      <c r="D52" s="3063">
        <v>0</v>
      </c>
      <c r="E52" s="3108"/>
      <c r="G52" s="2366" t="s">
        <v>27868</v>
      </c>
      <c r="H52" s="2366" t="s">
        <v>27685</v>
      </c>
      <c r="I52" s="2390" t="s">
        <v>27826</v>
      </c>
    </row>
    <row r="53" spans="1:9" ht="27" x14ac:dyDescent="0.45">
      <c r="A53" s="2420" t="s">
        <v>27867</v>
      </c>
      <c r="B53" s="2419" t="s">
        <v>204</v>
      </c>
      <c r="C53" s="2418" t="s">
        <v>210</v>
      </c>
      <c r="D53" s="3002">
        <v>0</v>
      </c>
      <c r="E53" s="3106"/>
      <c r="G53" s="2366" t="s">
        <v>27868</v>
      </c>
      <c r="H53" s="2366" t="s">
        <v>27685</v>
      </c>
      <c r="I53" s="2390" t="s">
        <v>27688</v>
      </c>
    </row>
    <row r="54" spans="1:9" x14ac:dyDescent="0.45">
      <c r="A54" s="2425" t="s">
        <v>27867</v>
      </c>
      <c r="B54" s="2417" t="s">
        <v>218</v>
      </c>
      <c r="C54" s="2416" t="s">
        <v>27769</v>
      </c>
      <c r="D54" s="3002">
        <v>0</v>
      </c>
      <c r="E54" s="3106"/>
      <c r="G54" s="2366" t="s">
        <v>27868</v>
      </c>
      <c r="H54" s="2366" t="s">
        <v>27691</v>
      </c>
      <c r="I54" s="2390" t="s">
        <v>27826</v>
      </c>
    </row>
    <row r="55" spans="1:9" x14ac:dyDescent="0.45">
      <c r="A55" s="2427" t="s">
        <v>27867</v>
      </c>
      <c r="B55" s="2412" t="s">
        <v>218</v>
      </c>
      <c r="C55" s="2411" t="s">
        <v>210</v>
      </c>
      <c r="D55" s="3062">
        <v>0</v>
      </c>
      <c r="E55" s="3107"/>
      <c r="G55" s="2366" t="s">
        <v>27868</v>
      </c>
      <c r="H55" s="2366" t="s">
        <v>27691</v>
      </c>
      <c r="I55" s="2390" t="s">
        <v>27688</v>
      </c>
    </row>
    <row r="56" spans="1:9" x14ac:dyDescent="0.45">
      <c r="A56" s="2416" t="s">
        <v>27869</v>
      </c>
      <c r="B56" s="2417" t="s">
        <v>204</v>
      </c>
      <c r="C56" s="2416" t="s">
        <v>27769</v>
      </c>
      <c r="D56" s="3063">
        <v>0</v>
      </c>
      <c r="E56" s="3108"/>
      <c r="G56" s="2366" t="s">
        <v>27870</v>
      </c>
      <c r="H56" s="2366" t="s">
        <v>27685</v>
      </c>
      <c r="I56" s="2390" t="s">
        <v>27826</v>
      </c>
    </row>
    <row r="57" spans="1:9" x14ac:dyDescent="0.45">
      <c r="A57" s="2425" t="s">
        <v>27869</v>
      </c>
      <c r="B57" s="3067" t="s">
        <v>204</v>
      </c>
      <c r="C57" s="3066" t="s">
        <v>210</v>
      </c>
      <c r="D57" s="3002">
        <v>0</v>
      </c>
      <c r="E57" s="3106"/>
      <c r="G57" s="2366" t="s">
        <v>27870</v>
      </c>
      <c r="H57" s="2366" t="s">
        <v>27685</v>
      </c>
      <c r="I57" s="2390" t="s">
        <v>27688</v>
      </c>
    </row>
    <row r="58" spans="1:9" x14ac:dyDescent="0.45">
      <c r="A58" s="2425" t="s">
        <v>27869</v>
      </c>
      <c r="B58" s="2417" t="s">
        <v>218</v>
      </c>
      <c r="C58" s="2416" t="s">
        <v>27769</v>
      </c>
      <c r="D58" s="3002">
        <v>0</v>
      </c>
      <c r="E58" s="3106"/>
      <c r="G58" s="2366" t="s">
        <v>27870</v>
      </c>
      <c r="H58" s="2366" t="s">
        <v>27691</v>
      </c>
      <c r="I58" s="2390" t="s">
        <v>27826</v>
      </c>
    </row>
    <row r="59" spans="1:9" x14ac:dyDescent="0.45">
      <c r="A59" s="2427" t="s">
        <v>27869</v>
      </c>
      <c r="B59" s="2412" t="s">
        <v>218</v>
      </c>
      <c r="C59" s="2411" t="s">
        <v>210</v>
      </c>
      <c r="D59" s="3062">
        <v>0</v>
      </c>
      <c r="E59" s="3107"/>
      <c r="G59" s="2366" t="s">
        <v>27870</v>
      </c>
      <c r="H59" s="2366" t="s">
        <v>27691</v>
      </c>
      <c r="I59" s="2390" t="s">
        <v>27688</v>
      </c>
    </row>
    <row r="60" spans="1:9" x14ac:dyDescent="0.45">
      <c r="A60" s="2426" t="s">
        <v>27871</v>
      </c>
      <c r="B60" s="2417" t="s">
        <v>204</v>
      </c>
      <c r="C60" s="2416" t="s">
        <v>27769</v>
      </c>
      <c r="D60" s="3063">
        <v>0</v>
      </c>
      <c r="E60" s="3108"/>
      <c r="G60" s="2366" t="s">
        <v>27872</v>
      </c>
      <c r="H60" s="2366" t="s">
        <v>27685</v>
      </c>
      <c r="I60" s="2390" t="s">
        <v>27826</v>
      </c>
    </row>
    <row r="61" spans="1:9" x14ac:dyDescent="0.45">
      <c r="A61" s="2420" t="s">
        <v>27871</v>
      </c>
      <c r="B61" s="2419" t="s">
        <v>204</v>
      </c>
      <c r="C61" s="2418" t="s">
        <v>210</v>
      </c>
      <c r="D61" s="3002">
        <v>0</v>
      </c>
      <c r="E61" s="3106"/>
      <c r="G61" s="2366" t="s">
        <v>27872</v>
      </c>
      <c r="H61" s="2366" t="s">
        <v>27685</v>
      </c>
      <c r="I61" s="2390" t="s">
        <v>27688</v>
      </c>
    </row>
    <row r="62" spans="1:9" x14ac:dyDescent="0.45">
      <c r="A62" s="2425" t="s">
        <v>27871</v>
      </c>
      <c r="B62" s="2417" t="s">
        <v>218</v>
      </c>
      <c r="C62" s="2416" t="s">
        <v>27769</v>
      </c>
      <c r="D62" s="3002">
        <v>0</v>
      </c>
      <c r="E62" s="3106"/>
      <c r="G62" s="2366" t="s">
        <v>27872</v>
      </c>
      <c r="H62" s="2366" t="s">
        <v>27691</v>
      </c>
      <c r="I62" s="2390" t="s">
        <v>27826</v>
      </c>
    </row>
    <row r="63" spans="1:9" x14ac:dyDescent="0.45">
      <c r="A63" s="2427" t="s">
        <v>27871</v>
      </c>
      <c r="B63" s="2412" t="s">
        <v>218</v>
      </c>
      <c r="C63" s="2411" t="s">
        <v>210</v>
      </c>
      <c r="D63" s="3062">
        <v>0</v>
      </c>
      <c r="E63" s="3107"/>
      <c r="G63" s="2366" t="s">
        <v>27872</v>
      </c>
      <c r="H63" s="2366" t="s">
        <v>27691</v>
      </c>
      <c r="I63" s="2390" t="s">
        <v>27688</v>
      </c>
    </row>
    <row r="64" spans="1:9" ht="27" x14ac:dyDescent="0.45">
      <c r="A64" s="2426" t="s">
        <v>27873</v>
      </c>
      <c r="B64" s="2417" t="s">
        <v>204</v>
      </c>
      <c r="C64" s="2416" t="s">
        <v>27769</v>
      </c>
      <c r="D64" s="3063">
        <v>0</v>
      </c>
      <c r="E64" s="3108"/>
      <c r="G64" s="2366" t="s">
        <v>27874</v>
      </c>
      <c r="H64" s="2366" t="s">
        <v>27685</v>
      </c>
      <c r="I64" s="2390" t="s">
        <v>27826</v>
      </c>
    </row>
    <row r="65" spans="1:9" ht="27" x14ac:dyDescent="0.45">
      <c r="A65" s="2420" t="s">
        <v>27873</v>
      </c>
      <c r="B65" s="2419" t="s">
        <v>204</v>
      </c>
      <c r="C65" s="2418" t="s">
        <v>210</v>
      </c>
      <c r="D65" s="3002">
        <v>0</v>
      </c>
      <c r="E65" s="3106"/>
      <c r="G65" s="2366" t="s">
        <v>27874</v>
      </c>
      <c r="H65" s="2366" t="s">
        <v>27685</v>
      </c>
      <c r="I65" s="2390" t="s">
        <v>27688</v>
      </c>
    </row>
    <row r="66" spans="1:9" x14ac:dyDescent="0.45">
      <c r="A66" s="2425" t="s">
        <v>27873</v>
      </c>
      <c r="B66" s="2417" t="s">
        <v>218</v>
      </c>
      <c r="C66" s="2416" t="s">
        <v>27769</v>
      </c>
      <c r="D66" s="3002">
        <v>0</v>
      </c>
      <c r="E66" s="3106"/>
      <c r="G66" s="2366" t="s">
        <v>27874</v>
      </c>
      <c r="H66" s="2366" t="s">
        <v>27691</v>
      </c>
      <c r="I66" s="2390" t="s">
        <v>27826</v>
      </c>
    </row>
    <row r="67" spans="1:9" x14ac:dyDescent="0.45">
      <c r="A67" s="2427" t="s">
        <v>27873</v>
      </c>
      <c r="B67" s="2412" t="s">
        <v>218</v>
      </c>
      <c r="C67" s="2411" t="s">
        <v>210</v>
      </c>
      <c r="D67" s="3062">
        <v>0</v>
      </c>
      <c r="E67" s="3107"/>
      <c r="G67" s="2366" t="s">
        <v>27874</v>
      </c>
      <c r="H67" s="2366" t="s">
        <v>27691</v>
      </c>
      <c r="I67" s="2390" t="s">
        <v>27688</v>
      </c>
    </row>
    <row r="68" spans="1:9" ht="27" x14ac:dyDescent="0.45">
      <c r="A68" s="2426" t="s">
        <v>27875</v>
      </c>
      <c r="B68" s="2417" t="s">
        <v>204</v>
      </c>
      <c r="C68" s="2416" t="s">
        <v>27769</v>
      </c>
      <c r="D68" s="3062">
        <v>0</v>
      </c>
      <c r="E68" s="3107"/>
      <c r="G68" s="2366" t="s">
        <v>27876</v>
      </c>
      <c r="H68" s="2366" t="s">
        <v>27685</v>
      </c>
      <c r="I68" s="2390" t="s">
        <v>27826</v>
      </c>
    </row>
    <row r="69" spans="1:9" ht="27" x14ac:dyDescent="0.45">
      <c r="A69" s="2420" t="s">
        <v>27875</v>
      </c>
      <c r="B69" s="3065" t="s">
        <v>204</v>
      </c>
      <c r="C69" s="3064" t="s">
        <v>210</v>
      </c>
      <c r="D69" s="3063">
        <v>0</v>
      </c>
      <c r="E69" s="3108"/>
      <c r="G69" s="2366" t="s">
        <v>27876</v>
      </c>
      <c r="H69" s="2366" t="s">
        <v>27685</v>
      </c>
      <c r="I69" s="2390" t="s">
        <v>27688</v>
      </c>
    </row>
    <row r="70" spans="1:9" x14ac:dyDescent="0.45">
      <c r="A70" s="2425" t="s">
        <v>27875</v>
      </c>
      <c r="B70" s="2417" t="s">
        <v>218</v>
      </c>
      <c r="C70" s="2416" t="s">
        <v>27769</v>
      </c>
      <c r="D70" s="3002">
        <v>0</v>
      </c>
      <c r="E70" s="3106"/>
      <c r="G70" s="2366" t="s">
        <v>27876</v>
      </c>
      <c r="H70" s="2366" t="s">
        <v>27691</v>
      </c>
      <c r="I70" s="2390" t="s">
        <v>27826</v>
      </c>
    </row>
    <row r="71" spans="1:9" x14ac:dyDescent="0.45">
      <c r="A71" s="2427" t="s">
        <v>27875</v>
      </c>
      <c r="B71" s="2412" t="s">
        <v>218</v>
      </c>
      <c r="C71" s="2411" t="s">
        <v>210</v>
      </c>
      <c r="D71" s="3062">
        <v>0</v>
      </c>
      <c r="E71" s="3107"/>
      <c r="G71" s="2366" t="s">
        <v>27876</v>
      </c>
      <c r="H71" s="2366" t="s">
        <v>27691</v>
      </c>
      <c r="I71" s="2390" t="s">
        <v>27688</v>
      </c>
    </row>
    <row r="72" spans="1:9" ht="27" x14ac:dyDescent="0.45">
      <c r="A72" s="2426" t="s">
        <v>27877</v>
      </c>
      <c r="B72" s="2417" t="s">
        <v>204</v>
      </c>
      <c r="C72" s="2416" t="s">
        <v>27769</v>
      </c>
      <c r="D72" s="3063">
        <v>0</v>
      </c>
      <c r="E72" s="3108"/>
      <c r="G72" s="2366" t="s">
        <v>27878</v>
      </c>
      <c r="H72" s="2366" t="s">
        <v>27685</v>
      </c>
      <c r="I72" s="2390" t="s">
        <v>27826</v>
      </c>
    </row>
    <row r="73" spans="1:9" ht="27" x14ac:dyDescent="0.45">
      <c r="A73" s="2420" t="s">
        <v>27877</v>
      </c>
      <c r="B73" s="2419" t="s">
        <v>204</v>
      </c>
      <c r="C73" s="2418" t="s">
        <v>210</v>
      </c>
      <c r="D73" s="3002">
        <v>0</v>
      </c>
      <c r="E73" s="3106"/>
      <c r="G73" s="2366" t="s">
        <v>27878</v>
      </c>
      <c r="H73" s="2366" t="s">
        <v>27685</v>
      </c>
      <c r="I73" s="2390" t="s">
        <v>27688</v>
      </c>
    </row>
    <row r="74" spans="1:9" x14ac:dyDescent="0.45">
      <c r="A74" s="2425" t="s">
        <v>27877</v>
      </c>
      <c r="B74" s="2417" t="s">
        <v>218</v>
      </c>
      <c r="C74" s="2416" t="s">
        <v>27769</v>
      </c>
      <c r="D74" s="3002">
        <v>0</v>
      </c>
      <c r="E74" s="3106"/>
      <c r="G74" s="2366" t="s">
        <v>27878</v>
      </c>
      <c r="H74" s="2366" t="s">
        <v>27691</v>
      </c>
      <c r="I74" s="2390" t="s">
        <v>27826</v>
      </c>
    </row>
    <row r="75" spans="1:9" x14ac:dyDescent="0.45">
      <c r="A75" s="2427" t="s">
        <v>27877</v>
      </c>
      <c r="B75" s="2412" t="s">
        <v>218</v>
      </c>
      <c r="C75" s="2411" t="s">
        <v>210</v>
      </c>
      <c r="D75" s="3062">
        <v>0</v>
      </c>
      <c r="E75" s="3107"/>
      <c r="G75" s="2366" t="s">
        <v>27878</v>
      </c>
      <c r="H75" s="2366" t="s">
        <v>27691</v>
      </c>
      <c r="I75" s="2390" t="s">
        <v>27688</v>
      </c>
    </row>
    <row r="77" spans="1:9" x14ac:dyDescent="0.45">
      <c r="D77" s="3113" t="s">
        <v>29392</v>
      </c>
      <c r="E77" s="3113" t="s">
        <v>29735</v>
      </c>
    </row>
  </sheetData>
  <sheetProtection algorithmName="SHA-512" hashValue="OBw/XNYaTB0ggQftB/q77214oflye/RS5GoPMNruHa3V81hB6if7zLJHRsBVrQgF7rnUSci60jxGbOUUkof4tQ==" saltValue="i9WccugboWgo0/3y5DPmNw==" spinCount="100000" sheet="1" objects="1" scenarios="1"/>
  <conditionalFormatting sqref="D2:E75">
    <cfRule type="cellIs" dxfId="17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D2:D75" xr:uid="{A8840B3B-613B-4691-92FD-D9CB63DBC27F}">
      <formula1>AND(D2&gt;=0,ROUND(D2,2)=D2)</formula1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AC27C-D047-4716-969B-5AAC696832F7}">
  <sheetPr codeName="Sheet45"/>
  <dimension ref="A1:AO198"/>
  <sheetViews>
    <sheetView workbookViewId="0"/>
  </sheetViews>
  <sheetFormatPr defaultColWidth="9" defaultRowHeight="14.25" x14ac:dyDescent="0.45"/>
  <cols>
    <col min="1" max="1" width="9" style="2270"/>
    <col min="2" max="2" width="20.59765625" style="2270" customWidth="1"/>
    <col min="3" max="3" width="18.265625" style="2270" customWidth="1"/>
    <col min="4" max="4" width="17" style="2270" bestFit="1" customWidth="1"/>
    <col min="5" max="9" width="12" style="2270" customWidth="1"/>
    <col min="10" max="10" width="10" style="2270" customWidth="1"/>
    <col min="11" max="11" width="17.73046875" style="2270" customWidth="1"/>
    <col min="12" max="12" width="14" style="2270" customWidth="1"/>
    <col min="13" max="14" width="11.9296875" style="2270" customWidth="1"/>
    <col min="15" max="16384" width="9" style="2270"/>
  </cols>
  <sheetData>
    <row r="1" spans="1:31" ht="15.4" x14ac:dyDescent="0.45">
      <c r="A1" s="3057" t="s">
        <v>29654</v>
      </c>
    </row>
    <row r="2" spans="1:31" x14ac:dyDescent="0.45">
      <c r="D2" s="2995" t="s">
        <v>28277</v>
      </c>
      <c r="E2" s="3056" t="s">
        <v>29649</v>
      </c>
      <c r="F2" s="3036" t="s">
        <v>29399</v>
      </c>
      <c r="G2"/>
      <c r="H2"/>
      <c r="I2"/>
      <c r="K2" s="3036"/>
      <c r="L2" s="3036"/>
    </row>
    <row r="3" spans="1:31" ht="26.25" x14ac:dyDescent="0.45">
      <c r="B3" s="3055" t="s">
        <v>343</v>
      </c>
      <c r="D3" s="2377">
        <f>IF(AND(E3="Validation: OK",F3="Validation: OK"),0,1)</f>
        <v>0</v>
      </c>
      <c r="E3" s="3119" t="str">
        <f>IF(AND(E89="",F89="",H89="",I89=""),"Validation: OK","Validation: Failure (see below table)")</f>
        <v>Validation: OK</v>
      </c>
      <c r="F3" s="3120" t="str">
        <f>IF(AND(G89="",H89="",I89=""),"Validation: OK","Validation: Failure (see below table)")</f>
        <v>Validation: OK</v>
      </c>
      <c r="G3"/>
      <c r="H3"/>
      <c r="I3"/>
    </row>
    <row r="4" spans="1:31" x14ac:dyDescent="0.45">
      <c r="B4" s="3055"/>
      <c r="C4" s="2995"/>
      <c r="D4" s="2995"/>
      <c r="E4" s="2995"/>
      <c r="F4" s="2995"/>
      <c r="G4" s="2995"/>
      <c r="H4" s="2995"/>
      <c r="I4" s="2995"/>
      <c r="K4" s="2995"/>
      <c r="L4" s="2995"/>
      <c r="M4" s="2995"/>
      <c r="N4" s="2995"/>
      <c r="O4" s="2995"/>
      <c r="P4" s="2995"/>
    </row>
    <row r="5" spans="1:31" ht="139.5" customHeight="1" x14ac:dyDescent="0.45">
      <c r="B5" s="3054" t="s">
        <v>346</v>
      </c>
      <c r="C5" s="3053"/>
      <c r="D5" s="3023"/>
      <c r="E5" s="3052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K5" s="2995"/>
      <c r="M5" s="2995"/>
      <c r="N5" s="2995"/>
      <c r="O5" s="2995"/>
      <c r="P5" s="2995"/>
    </row>
    <row r="6" spans="1:31" x14ac:dyDescent="0.45">
      <c r="B6" s="3048" t="s">
        <v>363</v>
      </c>
      <c r="C6" s="2995"/>
      <c r="E6" s="2982">
        <v>1</v>
      </c>
      <c r="F6" s="2270">
        <v>1</v>
      </c>
      <c r="G6" s="2270">
        <v>1</v>
      </c>
      <c r="H6" s="2270">
        <v>1</v>
      </c>
      <c r="I6" s="2982">
        <v>1</v>
      </c>
      <c r="K6" s="2995"/>
      <c r="M6" s="2995"/>
      <c r="N6" s="2995"/>
      <c r="O6" s="2995"/>
    </row>
    <row r="7" spans="1:31" s="2993" customFormat="1" ht="12.75" customHeight="1" x14ac:dyDescent="0.45">
      <c r="B7" s="3046"/>
      <c r="C7" s="3044"/>
      <c r="D7" s="3044"/>
      <c r="E7" s="3044"/>
      <c r="F7" s="3044"/>
      <c r="G7" s="3044"/>
      <c r="H7" s="3045"/>
      <c r="I7" s="3045"/>
      <c r="K7" s="2996"/>
      <c r="L7" s="2270"/>
      <c r="M7" s="2996"/>
      <c r="N7" s="2996"/>
      <c r="O7" s="2996"/>
      <c r="AD7" s="2270"/>
      <c r="AE7" s="2270"/>
    </row>
    <row r="8" spans="1:31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K8" s="2996"/>
      <c r="L8" s="2996"/>
      <c r="M8" s="2996"/>
      <c r="N8" s="2996"/>
      <c r="O8" s="2996"/>
      <c r="AD8" s="2270"/>
      <c r="AE8" s="2270"/>
    </row>
    <row r="9" spans="1:31" s="2993" customFormat="1" ht="26.25" x14ac:dyDescent="0.45">
      <c r="B9" s="3041"/>
      <c r="C9" s="3039"/>
      <c r="D9" s="3037"/>
      <c r="E9" s="3040"/>
      <c r="F9" s="3218">
        <v>0.02</v>
      </c>
      <c r="G9" s="3217" t="s">
        <v>29755</v>
      </c>
      <c r="H9" s="3039"/>
      <c r="I9" s="3038">
        <v>0.05</v>
      </c>
      <c r="M9" s="3036"/>
      <c r="N9" s="2270"/>
      <c r="P9" s="2270"/>
      <c r="Q9" s="2270"/>
      <c r="R9" s="2270"/>
      <c r="S9" s="2270" t="s">
        <v>29631</v>
      </c>
      <c r="T9" s="2270" t="s">
        <v>29630</v>
      </c>
      <c r="W9" s="2270"/>
      <c r="X9" s="2270"/>
    </row>
    <row r="10" spans="1:31" s="2993" customFormat="1" ht="26.25" x14ac:dyDescent="0.45">
      <c r="B10" s="3215"/>
      <c r="C10" s="3011"/>
      <c r="D10" s="3059"/>
      <c r="E10" s="3009"/>
      <c r="F10" s="3216">
        <v>0.05</v>
      </c>
      <c r="G10" s="3059" t="s">
        <v>29756</v>
      </c>
      <c r="H10" s="3011"/>
      <c r="I10" s="3216"/>
      <c r="L10" s="3036" t="s">
        <v>27709</v>
      </c>
      <c r="M10" s="3036"/>
      <c r="N10" s="2270"/>
      <c r="P10" s="2270"/>
      <c r="Q10" s="2270"/>
      <c r="R10" s="2270"/>
      <c r="S10" s="2270"/>
      <c r="T10" s="2270"/>
      <c r="W10" s="2270"/>
      <c r="X10" s="2270"/>
    </row>
    <row r="11" spans="1:31" x14ac:dyDescent="0.45">
      <c r="B11" s="3035"/>
      <c r="C11" s="2377"/>
      <c r="D11" s="3009"/>
      <c r="E11" s="2377" t="s">
        <v>29639</v>
      </c>
      <c r="F11" s="2377" t="s">
        <v>29638</v>
      </c>
      <c r="G11" s="2377" t="s">
        <v>29637</v>
      </c>
      <c r="H11" s="2377" t="s">
        <v>29636</v>
      </c>
      <c r="I11" s="2377" t="s">
        <v>29635</v>
      </c>
      <c r="K11" s="2377" t="s">
        <v>29648</v>
      </c>
      <c r="L11" s="3308" t="s">
        <v>29760</v>
      </c>
      <c r="M11" s="3034"/>
      <c r="N11" s="3308" t="s">
        <v>29761</v>
      </c>
      <c r="S11" s="2270" t="s">
        <v>29629</v>
      </c>
      <c r="T11" s="2270" t="s">
        <v>29628</v>
      </c>
    </row>
    <row r="12" spans="1:31" ht="13.15" customHeight="1" x14ac:dyDescent="0.45">
      <c r="A12" s="3021"/>
      <c r="B12" s="2354" t="s">
        <v>200</v>
      </c>
      <c r="C12" s="2353" t="s">
        <v>56</v>
      </c>
      <c r="D12" s="2352" t="s">
        <v>57</v>
      </c>
      <c r="E12" s="2270" t="s">
        <v>29647</v>
      </c>
      <c r="F12" s="2270" t="s">
        <v>29646</v>
      </c>
      <c r="G12" s="2270" t="s">
        <v>29646</v>
      </c>
      <c r="H12" s="2270" t="s">
        <v>29645</v>
      </c>
      <c r="I12" s="2270" t="s">
        <v>29392</v>
      </c>
      <c r="K12" s="2995"/>
      <c r="L12" s="2993" t="s">
        <v>29643</v>
      </c>
      <c r="M12" s="2993" t="s">
        <v>29641</v>
      </c>
      <c r="N12" s="2993" t="s">
        <v>29399</v>
      </c>
      <c r="S12" s="2270" t="s">
        <v>29626</v>
      </c>
      <c r="T12" s="2270" t="s">
        <v>29625</v>
      </c>
    </row>
    <row r="13" spans="1:31" ht="13.15" customHeight="1" x14ac:dyDescent="0.45">
      <c r="A13" s="3021"/>
      <c r="B13" s="3093" t="s">
        <v>27842</v>
      </c>
      <c r="C13" s="3084" t="s">
        <v>204</v>
      </c>
      <c r="D13" s="3093" t="s">
        <v>27769</v>
      </c>
      <c r="E13" s="3029" t="str">
        <f>IF(AND($E$6=1, ROUND(FTE_6a_Health_full_time!$H9, 2)&lt;&gt;FTE_6a_Health_full_time!$H9), CONCATENATE("Price group", " ", $B12, ", ", $C12, " ", "Length", ", Level ", $D12, "; "), "")</f>
        <v/>
      </c>
      <c r="F13" s="3028" t="str">
        <f>IF(AND($F$6=1,FTE_6a_Health_full_time!$E9&lt;&gt;0,ABS(FTE_6a_Health_full_time!$H9-FTE_6a_Health_full_time!$E9)&lt;$F$9),CONCATENATE("Price group"," ",$B13,", ",$C13," ","Length",", Level ",$D13,"; "),"")</f>
        <v/>
      </c>
      <c r="G13" s="3029" t="str">
        <f>IF(AND($G$6=1,LEN(FTE_6a_Health_full_time!$J9)&gt;2000), CONCATENATE("Price group", " ", $B13, ", ", $C13, " ", "Length", ", Level ", $D13, "; "), "")</f>
        <v/>
      </c>
      <c r="H13" s="3029" t="str">
        <f>IF(AND($H$6=1,OR(AND(FTE_6a_Health_full_time!$H9=0,FTE_6a_Health_full_time!$J9&lt;&gt;""),AND(FTE_6a_Health_full_time!$H9&lt;&gt;0,FTE_6a_Health_full_time!$J9=""))),CONCATENATE("Price group"," ",$B13,", ",$C13," ","Length",", Level ",$D13,"; "),"")</f>
        <v/>
      </c>
      <c r="I13" s="3028" t="str">
        <f>IF(AND($I$6=1,FTE_6a_Health_full_time!$G9=0,OR(FTE_6a_Health_full_time!$H9&lt;&gt;0,FTE_6a_Health_full_time!$J9&lt;&gt;"")),CONCATENATE("Price group"," ",$B13,", ",$C13," ","Length",", Level ",$D13,"; "),"")</f>
        <v/>
      </c>
      <c r="K13" s="3092" t="s">
        <v>27842</v>
      </c>
      <c r="L13" s="3024">
        <f>IF(OR(E13&lt;&gt;"",F13&lt;&gt;"",H13&lt;&gt;"",I13&lt;&gt;""),1,0)</f>
        <v>0</v>
      </c>
      <c r="M13" s="3025"/>
      <c r="N13" s="3024">
        <f>IF(OR(G13&lt;&gt;"",H13&lt;&gt;"",I13&lt;&gt;""),1,0)</f>
        <v>0</v>
      </c>
      <c r="S13" s="2270" t="s">
        <v>29624</v>
      </c>
      <c r="T13" s="2270" t="s">
        <v>29623</v>
      </c>
    </row>
    <row r="14" spans="1:31" ht="13.15" customHeight="1" x14ac:dyDescent="0.45">
      <c r="A14" s="3021"/>
      <c r="B14" s="3079" t="s">
        <v>27842</v>
      </c>
      <c r="C14" s="3101"/>
      <c r="D14" s="3100"/>
      <c r="E14" s="3096"/>
      <c r="F14" s="3096"/>
      <c r="G14" s="3097"/>
      <c r="H14" s="3096" t="str">
        <f>IF(AND($H$6=1,OR(AND(FTE_6a_Health_full_time!$H10=0,FTE_6a_Health_full_time!$J10&lt;&gt;""),AND(FTE_6a_Health_full_time!$H10&lt;&gt;0,FTE_6a_Health_full_time!$J10=""))),CONCATENATE("Price group"," ",$B14,", ",$C14," ","Length",", Level ",$D14,"; "),"")</f>
        <v/>
      </c>
      <c r="I14" s="3096" t="str">
        <f>IF(AND($I$6=1,FTE_6a_Health_full_time!$G10=0,OR(FTE_6a_Health_full_time!$H10&lt;&gt;0,FTE_6a_Health_full_time!$J10&lt;&gt;"")),CONCATENATE("Price group"," ",$B14,", ",$C14," ","Length",", Level ",$D14,"; "),"")</f>
        <v/>
      </c>
      <c r="K14" s="3076" t="s">
        <v>27842</v>
      </c>
      <c r="L14" s="3024">
        <f t="shared" ref="L14:L77" si="0">IF(OR(E14&lt;&gt;"",F14&lt;&gt;"",H14&lt;&gt;"",I14&lt;&gt;""),1,0)</f>
        <v>0</v>
      </c>
      <c r="M14" s="3025"/>
      <c r="N14" s="3024">
        <f t="shared" ref="N14:N77" si="1">IF(OR(G14&lt;&gt;"",H14&lt;&gt;"",I14&lt;&gt;""),1,0)</f>
        <v>0</v>
      </c>
      <c r="S14" s="2270" t="s">
        <v>29622</v>
      </c>
      <c r="T14" s="2270" t="s">
        <v>29621</v>
      </c>
    </row>
    <row r="15" spans="1:31" ht="13.15" customHeight="1" x14ac:dyDescent="0.45">
      <c r="A15" s="3021"/>
      <c r="B15" s="3079" t="s">
        <v>27842</v>
      </c>
      <c r="C15" s="3078" t="s">
        <v>218</v>
      </c>
      <c r="D15" s="3077" t="s">
        <v>27769</v>
      </c>
      <c r="E15" s="3072" t="str">
        <f>IF(AND($E$6=1, ROUND(FTE_6a_Health_full_time!$H11, 2)&lt;&gt;FTE_6a_Health_full_time!$H11), CONCATENATE("Price group", " ", $B14, ", ", $C14, " ", "Length", ", Level ", $D14, "; "), "")</f>
        <v/>
      </c>
      <c r="F15" s="3072" t="str">
        <f>IF(AND($F$6=1,FTE_6a_Health_full_time!$E11&lt;&gt;0,ABS(FTE_6a_Health_full_time!$H11-FTE_6a_Health_full_time!$E11)&lt;$F$9),CONCATENATE("Price group"," ",$B15,", ",$C15," ","Length",", Level ",$D15,"; "),"")</f>
        <v/>
      </c>
      <c r="G15" s="3029" t="str">
        <f>IF(AND($G$6=1,LEN(FTE_6a_Health_full_time!$J11)&gt;2000), CONCATENATE("Price group", " ", $B15, ", ", $C15, " ", "Length", ", Level ", $D15, "; "), "")</f>
        <v/>
      </c>
      <c r="H15" s="3072" t="str">
        <f>IF(AND($H$6=1,OR(AND(FTE_6a_Health_full_time!$H11=0,FTE_6a_Health_full_time!$J11&lt;&gt;""),AND(FTE_6a_Health_full_time!$H11&lt;&gt;0,FTE_6a_Health_full_time!$J11=""))),CONCATENATE("Price group"," ",$B15,", ",$C15," ","Length",", Level ",$D15,"; "),"")</f>
        <v/>
      </c>
      <c r="I15" s="3072" t="str">
        <f>IF(AND($I$6=1,FTE_6a_Health_full_time!$G11=0,OR(FTE_6a_Health_full_time!$H11&lt;&gt;0,FTE_6a_Health_full_time!$J11&lt;&gt;"")),CONCATENATE("Price group"," ",$B15,", ",$C15," ","Length",", Level ",$D15,"; "),"")</f>
        <v/>
      </c>
      <c r="K15" s="3076" t="s">
        <v>27842</v>
      </c>
      <c r="L15" s="3024">
        <f t="shared" si="0"/>
        <v>0</v>
      </c>
      <c r="M15" s="3025"/>
      <c r="N15" s="3024">
        <f t="shared" si="1"/>
        <v>0</v>
      </c>
      <c r="S15" s="2270" t="s">
        <v>29640</v>
      </c>
      <c r="T15" s="2270" t="s">
        <v>29620</v>
      </c>
    </row>
    <row r="16" spans="1:31" ht="13.15" customHeight="1" x14ac:dyDescent="0.45">
      <c r="A16" s="3021"/>
      <c r="B16" s="3075" t="s">
        <v>27842</v>
      </c>
      <c r="C16" s="3101"/>
      <c r="D16" s="3098"/>
      <c r="E16" s="3096"/>
      <c r="F16" s="3096"/>
      <c r="G16" s="3097"/>
      <c r="H16" s="3096" t="str">
        <f>IF(AND($H$6=1,OR(AND(FTE_6a_Health_full_time!$H12=0,FTE_6a_Health_full_time!$J12&lt;&gt;""),AND(FTE_6a_Health_full_time!$H12&lt;&gt;0,FTE_6a_Health_full_time!$J12=""))),CONCATENATE("Price group"," ",$B16,", ",$C16," ","Length",", Level ",$D16,"; "),"")</f>
        <v/>
      </c>
      <c r="I16" s="3096" t="str">
        <f>IF(AND($I$6=1,FTE_6a_Health_full_time!$G12=0,OR(FTE_6a_Health_full_time!$H12&lt;&gt;0,FTE_6a_Health_full_time!$J12&lt;&gt;"")),CONCATENATE("Price group"," ",$B16,", ",$C16," ","Length",", Level ",$D16,"; "),"")</f>
        <v/>
      </c>
      <c r="K16" s="3070" t="s">
        <v>27842</v>
      </c>
      <c r="L16" s="3024">
        <f t="shared" si="0"/>
        <v>0</v>
      </c>
      <c r="M16" s="3025"/>
      <c r="N16" s="3024">
        <f t="shared" si="1"/>
        <v>0</v>
      </c>
      <c r="S16" s="2270" t="s">
        <v>27964</v>
      </c>
      <c r="T16" s="2270" t="s">
        <v>29619</v>
      </c>
    </row>
    <row r="17" spans="1:14" ht="13.15" customHeight="1" x14ac:dyDescent="0.45">
      <c r="A17" s="3021"/>
      <c r="B17" s="3077" t="s">
        <v>27844</v>
      </c>
      <c r="C17" s="3084" t="s">
        <v>204</v>
      </c>
      <c r="D17" s="3077" t="s">
        <v>27769</v>
      </c>
      <c r="E17" s="3072" t="str">
        <f>IF(AND($E$6=1, ROUND(FTE_6a_Health_full_time!$H13, 2)&lt;&gt;FTE_6a_Health_full_time!$H13), CONCATENATE("Price group", " ", $B16, ", ", $C16, " ", "Length", ", Level ", $D16, "; "), "")</f>
        <v/>
      </c>
      <c r="F17" s="3072" t="str">
        <f>IF(AND($F$6=1,FTE_6a_Health_full_time!$E13&lt;&gt;0,ABS(FTE_6a_Health_full_time!$H13-FTE_6a_Health_full_time!$E13)&lt;$F$9),CONCATENATE("Price group"," ",$B17,", ",$C17," ","Length",", Level ",$D17,"; "),"")</f>
        <v/>
      </c>
      <c r="G17" s="3029" t="str">
        <f>IF(AND($G$6=1,LEN(FTE_6a_Health_full_time!$J13)&gt;2000), CONCATENATE("Price group", " ", $B17, ", ", $C17, " ", "Length", ", Level ", $D17, "; "), "")</f>
        <v/>
      </c>
      <c r="H17" s="3072" t="str">
        <f>IF(AND($H$6=1,OR(AND(FTE_6a_Health_full_time!$H13=0,FTE_6a_Health_full_time!$J13&lt;&gt;""),AND(FTE_6a_Health_full_time!$H13&lt;&gt;0,FTE_6a_Health_full_time!$J13=""))),CONCATENATE("Price group"," ",$B17,", ",$C17," ","Length",", Level ",$D17,"; "),"")</f>
        <v/>
      </c>
      <c r="I17" s="3072" t="str">
        <f>IF(AND($I$6=1,FTE_6a_Health_full_time!$G13=0,OR(FTE_6a_Health_full_time!$H13&lt;&gt;0,FTE_6a_Health_full_time!$J13&lt;&gt;"")),CONCATENATE("Price group"," ",$B17,", ",$C17," ","Length",", Level ",$D17,"; "),"")</f>
        <v/>
      </c>
      <c r="K17" s="3091" t="s">
        <v>27844</v>
      </c>
      <c r="L17" s="3024">
        <f t="shared" si="0"/>
        <v>0</v>
      </c>
      <c r="M17" s="3025"/>
      <c r="N17" s="3024">
        <f t="shared" si="1"/>
        <v>0</v>
      </c>
    </row>
    <row r="18" spans="1:14" ht="13.15" customHeight="1" x14ac:dyDescent="0.45">
      <c r="A18" s="3021"/>
      <c r="B18" s="3079" t="s">
        <v>27844</v>
      </c>
      <c r="C18" s="3101"/>
      <c r="D18" s="3100"/>
      <c r="E18" s="3096"/>
      <c r="F18" s="3096"/>
      <c r="G18" s="3097"/>
      <c r="H18" s="3096" t="str">
        <f>IF(AND($H$6=1,OR(AND(FTE_6a_Health_full_time!$H14=0,FTE_6a_Health_full_time!$J14&lt;&gt;""),AND(FTE_6a_Health_full_time!$H14&lt;&gt;0,FTE_6a_Health_full_time!$J14=""))),CONCATENATE("Price group"," ",$B18,", ",$C18," ","Length",", Level ",$D18,"; "),"")</f>
        <v/>
      </c>
      <c r="I18" s="3096" t="str">
        <f>IF(AND($I$6=1,FTE_6a_Health_full_time!$G14=0,OR(FTE_6a_Health_full_time!$H14&lt;&gt;0,FTE_6a_Health_full_time!$J14&lt;&gt;"")),CONCATENATE("Price group"," ",$B18,", ",$C18," ","Length",", Level ",$D18,"; "),"")</f>
        <v/>
      </c>
      <c r="K18" s="3076" t="s">
        <v>27844</v>
      </c>
      <c r="L18" s="3024">
        <f t="shared" si="0"/>
        <v>0</v>
      </c>
      <c r="M18" s="3025"/>
      <c r="N18" s="3024">
        <f t="shared" si="1"/>
        <v>0</v>
      </c>
    </row>
    <row r="19" spans="1:14" ht="13.15" customHeight="1" x14ac:dyDescent="0.45">
      <c r="A19" s="3021"/>
      <c r="B19" s="3079" t="s">
        <v>27844</v>
      </c>
      <c r="C19" s="3078" t="s">
        <v>218</v>
      </c>
      <c r="D19" s="3077" t="s">
        <v>27769</v>
      </c>
      <c r="E19" s="3072" t="str">
        <f>IF(AND($E$6=1, ROUND(FTE_6a_Health_full_time!$H15, 2)&lt;&gt;FTE_6a_Health_full_time!$H15), CONCATENATE("Price group", " ", $B18, ", ", $C18, " ", "Length", ", Level ", $D18, "; "), "")</f>
        <v/>
      </c>
      <c r="F19" s="3072" t="str">
        <f>IF(AND($F$6=1,FTE_6a_Health_full_time!$E15&lt;&gt;0,ABS(FTE_6a_Health_full_time!$H15-FTE_6a_Health_full_time!$E15)&lt;$F$9),CONCATENATE("Price group"," ",$B19,", ",$C19," ","Length",", Level ",$D19,"; "),"")</f>
        <v/>
      </c>
      <c r="G19" s="3029" t="str">
        <f>IF(AND($G$6=1,LEN(FTE_6a_Health_full_time!$J15)&gt;2000), CONCATENATE("Price group", " ", $B19, ", ", $C19, " ", "Length", ", Level ", $D19, "; "), "")</f>
        <v/>
      </c>
      <c r="H19" s="3072" t="str">
        <f>IF(AND($H$6=1,OR(AND(FTE_6a_Health_full_time!$H15=0,FTE_6a_Health_full_time!$J15&lt;&gt;""),AND(FTE_6a_Health_full_time!$H15&lt;&gt;0,FTE_6a_Health_full_time!$J15=""))),CONCATENATE("Price group"," ",$B19,", ",$C19," ","Length",", Level ",$D19,"; "),"")</f>
        <v/>
      </c>
      <c r="I19" s="3072" t="str">
        <f>IF(AND($I$6=1,FTE_6a_Health_full_time!$G15=0,OR(FTE_6a_Health_full_time!$H15&lt;&gt;0,FTE_6a_Health_full_time!$J15&lt;&gt;"")),CONCATENATE("Price group"," ",$B19,", ",$C19," ","Length",", Level ",$D19,"; "),"")</f>
        <v/>
      </c>
      <c r="K19" s="3076" t="s">
        <v>27844</v>
      </c>
      <c r="L19" s="3024">
        <f t="shared" si="0"/>
        <v>0</v>
      </c>
      <c r="M19" s="3025"/>
      <c r="N19" s="3024">
        <f t="shared" si="1"/>
        <v>0</v>
      </c>
    </row>
    <row r="20" spans="1:14" ht="13.15" customHeight="1" x14ac:dyDescent="0.45">
      <c r="A20" s="3021"/>
      <c r="B20" s="3075" t="s">
        <v>27844</v>
      </c>
      <c r="C20" s="3099"/>
      <c r="D20" s="3098"/>
      <c r="E20" s="3096"/>
      <c r="F20" s="3096"/>
      <c r="G20" s="3097"/>
      <c r="H20" s="3096" t="str">
        <f>IF(AND($H$6=1,OR(AND(FTE_6a_Health_full_time!$H16=0,FTE_6a_Health_full_time!$J16&lt;&gt;""),AND(FTE_6a_Health_full_time!$H16&lt;&gt;0,FTE_6a_Health_full_time!$J16=""))),CONCATENATE("Price group"," ",$B20,", ",$C20," ","Length",", Level ",$D20,"; "),"")</f>
        <v/>
      </c>
      <c r="I20" s="3096" t="str">
        <f>IF(AND($I$6=1,FTE_6a_Health_full_time!$G16=0,OR(FTE_6a_Health_full_time!$H16&lt;&gt;0,FTE_6a_Health_full_time!$J16&lt;&gt;"")),CONCATENATE("Price group"," ",$B20,", ",$C20," ","Length",", Level ",$D20,"; "),"")</f>
        <v/>
      </c>
      <c r="K20" s="3070" t="s">
        <v>27844</v>
      </c>
      <c r="L20" s="3024">
        <f t="shared" si="0"/>
        <v>0</v>
      </c>
      <c r="M20" s="3025"/>
      <c r="N20" s="3024">
        <f t="shared" si="1"/>
        <v>0</v>
      </c>
    </row>
    <row r="21" spans="1:14" ht="13.15" customHeight="1" x14ac:dyDescent="0.45">
      <c r="A21" s="3021"/>
      <c r="B21" s="3077" t="s">
        <v>27846</v>
      </c>
      <c r="C21" s="3095" t="s">
        <v>204</v>
      </c>
      <c r="D21" s="3081" t="s">
        <v>212</v>
      </c>
      <c r="E21" s="3072" t="str">
        <f>IF(AND($E$6=1, ROUND(FTE_6a_Health_full_time!$H17, 2)&lt;&gt;FTE_6a_Health_full_time!$H17), CONCATENATE("Price group", " ", $B20, ", ", $C20, " ", "Length", ", Level ", $D20, "; "), "")</f>
        <v/>
      </c>
      <c r="F21" s="3072" t="str">
        <f>IF(AND($F$6=1,FTE_6a_Health_full_time!$E17&lt;&gt;0,ABS(FTE_6a_Health_full_time!$H17-FTE_6a_Health_full_time!$E17)&lt;$F$10),CONCATENATE("Price group"," ",$B21,", ",$C21," ","Length",", Level ",$D21,"; "),"")</f>
        <v/>
      </c>
      <c r="G21" s="3029" t="str">
        <f>IF(AND($G$6=1,LEN(FTE_6a_Health_full_time!$J17)&gt;2000), CONCATENATE("Price group", " ", $B21, ", ", $C21, " ", "Length", ", Level ", $D21, "; "), "")</f>
        <v/>
      </c>
      <c r="H21" s="3072" t="str">
        <f>IF(AND($H$6=1,OR(AND(FTE_6a_Health_full_time!$H17=0,FTE_6a_Health_full_time!$J17&lt;&gt;""),AND(FTE_6a_Health_full_time!$H17&lt;&gt;0,FTE_6a_Health_full_time!$J17=""))),CONCATENATE("Price group"," ",$B21,", ",$C21," ","Length",", Level ",$D21,"; "),"")</f>
        <v/>
      </c>
      <c r="I21" s="3072" t="str">
        <f>IF(AND($I$6=1,FTE_6a_Health_full_time!$G17=0,OR(FTE_6a_Health_full_time!$H17&lt;&gt;0,FTE_6a_Health_full_time!$J17&lt;&gt;"")),CONCATENATE("Price group"," ",$B21,", ",$C21," ","Length",", Level ",$D21,"; "),"")</f>
        <v/>
      </c>
      <c r="K21" s="3091" t="s">
        <v>27846</v>
      </c>
      <c r="L21" s="3024">
        <f t="shared" si="0"/>
        <v>0</v>
      </c>
      <c r="M21" s="3025"/>
      <c r="N21" s="3024">
        <f t="shared" si="1"/>
        <v>0</v>
      </c>
    </row>
    <row r="22" spans="1:14" ht="13.15" customHeight="1" x14ac:dyDescent="0.45">
      <c r="A22" s="3021"/>
      <c r="B22" s="3079" t="s">
        <v>27846</v>
      </c>
      <c r="C22" s="3074" t="s">
        <v>218</v>
      </c>
      <c r="D22" s="3094" t="s">
        <v>212</v>
      </c>
      <c r="E22" s="3072" t="str">
        <f>IF(AND($E$6=1, ROUND(FTE_6a_Health_full_time!$H18, 2)&lt;&gt;FTE_6a_Health_full_time!$H18), CONCATENATE("Price group", " ", $B21, ", ", $C21, " ", "Length", ", Level ", $D21, "; "), "")</f>
        <v/>
      </c>
      <c r="F22" s="3072" t="str">
        <f>IF(AND($F$6=1,FTE_6a_Health_full_time!$E18&lt;&gt;0,ABS(FTE_6a_Health_full_time!$H18-FTE_6a_Health_full_time!$E18)&lt;$F$10),CONCATENATE("Price group"," ",$B22,", ",$C22," ","Length",", Level ",$D22,"; "),"")</f>
        <v/>
      </c>
      <c r="G22" s="3029" t="str">
        <f>IF(AND($G$6=1,LEN(FTE_6a_Health_full_time!$J18)&gt;2000), CONCATENATE("Price group", " ", $B22, ", ", $C22, " ", "Length", ", Level ", $D22, "; "), "")</f>
        <v/>
      </c>
      <c r="H22" s="3072" t="str">
        <f>IF(AND($H$6=1,OR(AND(FTE_6a_Health_full_time!$H18=0,FTE_6a_Health_full_time!$J18&lt;&gt;""),AND(FTE_6a_Health_full_time!$H18&lt;&gt;0,FTE_6a_Health_full_time!$J18=""))),CONCATENATE("Price group"," ",$B22,", ",$C22," ","Length",", Level ",$D22,"; "),"")</f>
        <v/>
      </c>
      <c r="I22" s="3072" t="str">
        <f>IF(AND($I$6=1,FTE_6a_Health_full_time!$G18=0,OR(FTE_6a_Health_full_time!$H18&lt;&gt;0,FTE_6a_Health_full_time!$J18&lt;&gt;"")),CONCATENATE("Price group"," ",$B22,", ",$C22," ","Length",", Level ",$D22,"; "),"")</f>
        <v/>
      </c>
      <c r="K22" s="3076" t="s">
        <v>27846</v>
      </c>
      <c r="L22" s="3024">
        <f t="shared" si="0"/>
        <v>0</v>
      </c>
      <c r="M22" s="3025"/>
      <c r="N22" s="3024">
        <f t="shared" si="1"/>
        <v>0</v>
      </c>
    </row>
    <row r="23" spans="1:14" ht="13.15" customHeight="1" x14ac:dyDescent="0.45">
      <c r="A23" s="3021"/>
      <c r="B23" s="3093" t="s">
        <v>27847</v>
      </c>
      <c r="C23" s="3084" t="s">
        <v>204</v>
      </c>
      <c r="D23" s="3093" t="s">
        <v>27769</v>
      </c>
      <c r="E23" s="3072" t="str">
        <f>IF(AND($E$6=1, ROUND(FTE_6a_Health_full_time!$H19, 2)&lt;&gt;FTE_6a_Health_full_time!$H19), CONCATENATE("Price group", " ", $B22, ", ", $C22, " ", "Length", ", Level ", $D22, "; "), "")</f>
        <v/>
      </c>
      <c r="F23" s="3072" t="str">
        <f>IF(AND($F$6=1,FTE_6a_Health_full_time!$E19&lt;&gt;0,ABS(FTE_6a_Health_full_time!$H19-FTE_6a_Health_full_time!$E19)&lt;$F$10),CONCATENATE("Price group"," ",$B23,", ",$C23," ","Length",", Level ",$D23,"; "),"")</f>
        <v/>
      </c>
      <c r="G23" s="3029" t="str">
        <f>IF(AND($G$6=1,LEN(FTE_6a_Health_full_time!$J19)&gt;2000), CONCATENATE("Price group", " ", $B23, ", ", $C23, " ", "Length", ", Level ", $D23, "; "), "")</f>
        <v/>
      </c>
      <c r="H23" s="3072" t="str">
        <f>IF(AND($H$6=1,OR(AND(FTE_6a_Health_full_time!$H19=0,FTE_6a_Health_full_time!$J19&lt;&gt;""),AND(FTE_6a_Health_full_time!$H19&lt;&gt;0,FTE_6a_Health_full_time!$J19=""))),CONCATENATE("Price group"," ",$B23,", ",$C23," ","Length",", Level ",$D23,"; "),"")</f>
        <v/>
      </c>
      <c r="I23" s="3072" t="str">
        <f>IF(AND($I$6=1,FTE_6a_Health_full_time!$G19=0,OR(FTE_6a_Health_full_time!$H19&lt;&gt;0,FTE_6a_Health_full_time!$J19&lt;&gt;"")),CONCATENATE("Price group"," ",$B23,", ",$C23," ","Length",", Level ",$D23,"; "),"")</f>
        <v/>
      </c>
      <c r="K23" s="3092" t="s">
        <v>27847</v>
      </c>
      <c r="L23" s="3024">
        <f t="shared" si="0"/>
        <v>0</v>
      </c>
      <c r="M23" s="3025"/>
      <c r="N23" s="3024">
        <f t="shared" si="1"/>
        <v>0</v>
      </c>
    </row>
    <row r="24" spans="1:14" ht="13.15" customHeight="1" x14ac:dyDescent="0.45">
      <c r="A24" s="3021"/>
      <c r="B24" s="3079" t="s">
        <v>27847</v>
      </c>
      <c r="C24" s="3078" t="s">
        <v>204</v>
      </c>
      <c r="D24" s="3081" t="s">
        <v>210</v>
      </c>
      <c r="E24" s="3072" t="str">
        <f>IF(AND($E$6=1, ROUND(FTE_6a_Health_full_time!$H20, 2)&lt;&gt;FTE_6a_Health_full_time!$H20), CONCATENATE("Price group", " ", $B23, ", ", $C23, " ", "Length", ", Level ", $D23, "; "), "")</f>
        <v/>
      </c>
      <c r="F24" s="3072" t="str">
        <f>IF(AND($F$6=1,FTE_6a_Health_full_time!$E20&lt;&gt;0,ABS(FTE_6a_Health_full_time!$H20-FTE_6a_Health_full_time!$E20)&lt;$F$10),CONCATENATE("Price group"," ",$B24,", ",$C24," ","Length",", Level ",$D24,"; "),"")</f>
        <v/>
      </c>
      <c r="G24" s="3029" t="str">
        <f>IF(AND($G$6=1,LEN(FTE_6a_Health_full_time!$J20)&gt;2000), CONCATENATE("Price group", " ", $B24, ", ", $C24, " ", "Length", ", Level ", $D24, "; "), "")</f>
        <v/>
      </c>
      <c r="H24" s="3072" t="str">
        <f>IF(AND($H$6=1,OR(AND(FTE_6a_Health_full_time!$H20=0,FTE_6a_Health_full_time!$J20&lt;&gt;""),AND(FTE_6a_Health_full_time!$H20&lt;&gt;0,FTE_6a_Health_full_time!$J20=""))),CONCATENATE("Price group"," ",$B24,", ",$C24," ","Length",", Level ",$D24,"; "),"")</f>
        <v/>
      </c>
      <c r="I24" s="3072" t="str">
        <f>IF(AND($I$6=1,FTE_6a_Health_full_time!$G20=0,OR(FTE_6a_Health_full_time!$H20&lt;&gt;0,FTE_6a_Health_full_time!$J20&lt;&gt;"")),CONCATENATE("Price group"," ",$B24,", ",$C24," ","Length",", Level ",$D24,"; "),"")</f>
        <v/>
      </c>
      <c r="K24" s="3076" t="s">
        <v>27847</v>
      </c>
      <c r="L24" s="3024">
        <f t="shared" si="0"/>
        <v>0</v>
      </c>
      <c r="M24" s="3025"/>
      <c r="N24" s="3024">
        <f t="shared" si="1"/>
        <v>0</v>
      </c>
    </row>
    <row r="25" spans="1:14" ht="13.15" customHeight="1" x14ac:dyDescent="0.45">
      <c r="A25" s="3021"/>
      <c r="B25" s="3079" t="s">
        <v>27847</v>
      </c>
      <c r="C25" s="3078" t="s">
        <v>218</v>
      </c>
      <c r="D25" s="3077" t="s">
        <v>27769</v>
      </c>
      <c r="E25" s="3072" t="str">
        <f>IF(AND($E$6=1, ROUND(FTE_6a_Health_full_time!$H21, 2)&lt;&gt;FTE_6a_Health_full_time!$H21), CONCATENATE("Price group", " ", $B24, ", ", $C24, " ", "Length", ", Level ", $D24, "; "), "")</f>
        <v/>
      </c>
      <c r="F25" s="3072" t="str">
        <f>IF(AND($F$6=1,FTE_6a_Health_full_time!$E21&lt;&gt;0,ABS(FTE_6a_Health_full_time!$H21-FTE_6a_Health_full_time!$E21)&lt;$F$10),CONCATENATE("Price group"," ",$B25,", ",$C25," ","Length",", Level ",$D25,"; "),"")</f>
        <v/>
      </c>
      <c r="G25" s="3029" t="str">
        <f>IF(AND($G$6=1,LEN(FTE_6a_Health_full_time!$J21)&gt;2000), CONCATENATE("Price group", " ", $B25, ", ", $C25, " ", "Length", ", Level ", $D25, "; "), "")</f>
        <v/>
      </c>
      <c r="H25" s="3072" t="str">
        <f>IF(AND($H$6=1,OR(AND(FTE_6a_Health_full_time!$H21=0,FTE_6a_Health_full_time!$J21&lt;&gt;""),AND(FTE_6a_Health_full_time!$H21&lt;&gt;0,FTE_6a_Health_full_time!$J21=""))),CONCATENATE("Price group"," ",$B25,", ",$C25," ","Length",", Level ",$D25,"; "),"")</f>
        <v/>
      </c>
      <c r="I25" s="3072" t="str">
        <f>IF(AND($I$6=1,FTE_6a_Health_full_time!$G21=0,OR(FTE_6a_Health_full_time!$H21&lt;&gt;0,FTE_6a_Health_full_time!$J21&lt;&gt;"")),CONCATENATE("Price group"," ",$B25,", ",$C25," ","Length",", Level ",$D25,"; "),"")</f>
        <v/>
      </c>
      <c r="K25" s="3076" t="s">
        <v>27847</v>
      </c>
      <c r="L25" s="3024">
        <f t="shared" si="0"/>
        <v>0</v>
      </c>
      <c r="M25" s="3025"/>
      <c r="N25" s="3024">
        <f t="shared" si="1"/>
        <v>0</v>
      </c>
    </row>
    <row r="26" spans="1:14" ht="13.15" customHeight="1" x14ac:dyDescent="0.45">
      <c r="A26" s="3021"/>
      <c r="B26" s="3075" t="s">
        <v>27847</v>
      </c>
      <c r="C26" s="3078" t="s">
        <v>218</v>
      </c>
      <c r="D26" s="3073" t="s">
        <v>210</v>
      </c>
      <c r="E26" s="3072" t="str">
        <f>IF(AND($E$6=1, ROUND(FTE_6a_Health_full_time!$H22, 2)&lt;&gt;FTE_6a_Health_full_time!$H22), CONCATENATE("Price group", " ", $B25, ", ", $C25, " ", "Length", ", Level ", $D25, "; "), "")</f>
        <v/>
      </c>
      <c r="F26" s="3072" t="str">
        <f>IF(AND($F$6=1,FTE_6a_Health_full_time!$E22&lt;&gt;0,ABS(FTE_6a_Health_full_time!$H22-FTE_6a_Health_full_time!$E22)&lt;$F$10),CONCATENATE("Price group"," ",$B26,", ",$C26," ","Length",", Level ",$D26,"; "),"")</f>
        <v/>
      </c>
      <c r="G26" s="3029" t="str">
        <f>IF(AND($G$6=1,LEN(FTE_6a_Health_full_time!$J22)&gt;2000), CONCATENATE("Price group", " ", $B26, ", ", $C26, " ", "Length", ", Level ", $D26, "; "), "")</f>
        <v/>
      </c>
      <c r="H26" s="3072" t="str">
        <f>IF(AND($H$6=1,OR(AND(FTE_6a_Health_full_time!$H22=0,FTE_6a_Health_full_time!$J22&lt;&gt;""),AND(FTE_6a_Health_full_time!$H22&lt;&gt;0,FTE_6a_Health_full_time!$J22=""))),CONCATENATE("Price group"," ",$B26,", ",$C26," ","Length",", Level ",$D26,"; "),"")</f>
        <v/>
      </c>
      <c r="I26" s="3072" t="str">
        <f>IF(AND($I$6=1,FTE_6a_Health_full_time!$G22=0,OR(FTE_6a_Health_full_time!$H22&lt;&gt;0,FTE_6a_Health_full_time!$J22&lt;&gt;"")),CONCATENATE("Price group"," ",$B26,", ",$C26," ","Length",", Level ",$D26,"; "),"")</f>
        <v/>
      </c>
      <c r="K26" s="3070" t="s">
        <v>27847</v>
      </c>
      <c r="L26" s="3024">
        <f t="shared" si="0"/>
        <v>0</v>
      </c>
      <c r="M26" s="3025"/>
      <c r="N26" s="3024">
        <f t="shared" si="1"/>
        <v>0</v>
      </c>
    </row>
    <row r="27" spans="1:14" ht="13.15" customHeight="1" x14ac:dyDescent="0.45">
      <c r="A27" s="3021"/>
      <c r="B27" s="3077" t="s">
        <v>27849</v>
      </c>
      <c r="C27" s="3084" t="s">
        <v>204</v>
      </c>
      <c r="D27" s="3077" t="s">
        <v>27769</v>
      </c>
      <c r="E27" s="3072" t="str">
        <f>IF(AND($E$6=1, ROUND(FTE_6a_Health_full_time!$H23, 2)&lt;&gt;FTE_6a_Health_full_time!$H23), CONCATENATE("Price group", " ", $B26, ", ", $C26, " ", "Length", ", Level ", $D26, "; "), "")</f>
        <v/>
      </c>
      <c r="F27" s="3072" t="str">
        <f>IF(AND($F$6=1,FTE_6a_Health_full_time!$E23&lt;&gt;0,ABS(FTE_6a_Health_full_time!$H23-FTE_6a_Health_full_time!$E23)&lt;$F$10),CONCATENATE("Price group"," ",$B27,", ",$C27," ","Length",", Level ",$D27,"; "),"")</f>
        <v/>
      </c>
      <c r="G27" s="3029" t="str">
        <f>IF(AND($G$6=1,LEN(FTE_6a_Health_full_time!$J23)&gt;2000), CONCATENATE("Price group", " ", $B27, ", ", $C27, " ", "Length", ", Level ", $D27, "; "), "")</f>
        <v/>
      </c>
      <c r="H27" s="3072" t="str">
        <f>IF(AND($H$6=1,OR(AND(FTE_6a_Health_full_time!$H23=0,FTE_6a_Health_full_time!$J23&lt;&gt;""),AND(FTE_6a_Health_full_time!$H23&lt;&gt;0,FTE_6a_Health_full_time!$J23=""))),CONCATENATE("Price group"," ",$B27,", ",$C27," ","Length",", Level ",$D27,"; "),"")</f>
        <v/>
      </c>
      <c r="I27" s="3072" t="str">
        <f>IF(AND($I$6=1,FTE_6a_Health_full_time!$G23=0,OR(FTE_6a_Health_full_time!$H23&lt;&gt;0,FTE_6a_Health_full_time!$J23&lt;&gt;"")),CONCATENATE("Price group"," ",$B27,", ",$C27," ","Length",", Level ",$D27,"; "),"")</f>
        <v/>
      </c>
      <c r="K27" s="3091" t="s">
        <v>27849</v>
      </c>
      <c r="L27" s="3024">
        <f t="shared" si="0"/>
        <v>0</v>
      </c>
      <c r="M27" s="3025"/>
      <c r="N27" s="3024">
        <f t="shared" si="1"/>
        <v>0</v>
      </c>
    </row>
    <row r="28" spans="1:14" ht="13.15" customHeight="1" x14ac:dyDescent="0.45">
      <c r="A28" s="3021"/>
      <c r="B28" s="3079" t="s">
        <v>27849</v>
      </c>
      <c r="C28" s="3078" t="s">
        <v>204</v>
      </c>
      <c r="D28" s="3081" t="s">
        <v>210</v>
      </c>
      <c r="E28" s="3072" t="str">
        <f>IF(AND($E$6=1, ROUND(FTE_6a_Health_full_time!$H24, 2)&lt;&gt;FTE_6a_Health_full_time!$H24), CONCATENATE("Price group", " ", $B27, ", ", $C27, " ", "Length", ", Level ", $D27, "; "), "")</f>
        <v/>
      </c>
      <c r="F28" s="3072" t="str">
        <f>IF(AND($F$6=1,FTE_6a_Health_full_time!$E24&lt;&gt;0,ABS(FTE_6a_Health_full_time!$H24-FTE_6a_Health_full_time!$E24)&lt;$F$10),CONCATENATE("Price group"," ",$B28,", ",$C28," ","Length",", Level ",$D28,"; "),"")</f>
        <v/>
      </c>
      <c r="G28" s="3029" t="str">
        <f>IF(AND($G$6=1,LEN(FTE_6a_Health_full_time!$J24)&gt;2000), CONCATENATE("Price group", " ", $B28, ", ", $C28, " ", "Length", ", Level ", $D28, "; "), "")</f>
        <v/>
      </c>
      <c r="H28" s="3072" t="str">
        <f>IF(AND($H$6=1,OR(AND(FTE_6a_Health_full_time!$H24=0,FTE_6a_Health_full_time!$J24&lt;&gt;""),AND(FTE_6a_Health_full_time!$H24&lt;&gt;0,FTE_6a_Health_full_time!$J24=""))),CONCATENATE("Price group"," ",$B28,", ",$C28," ","Length",", Level ",$D28,"; "),"")</f>
        <v/>
      </c>
      <c r="I28" s="3072" t="str">
        <f>IF(AND($I$6=1,FTE_6a_Health_full_time!$G24=0,OR(FTE_6a_Health_full_time!$H24&lt;&gt;0,FTE_6a_Health_full_time!$J24&lt;&gt;"")),CONCATENATE("Price group"," ",$B28,", ",$C28," ","Length",", Level ",$D28,"; "),"")</f>
        <v/>
      </c>
      <c r="K28" s="3076" t="s">
        <v>27849</v>
      </c>
      <c r="L28" s="3024">
        <f t="shared" si="0"/>
        <v>0</v>
      </c>
      <c r="M28" s="3025"/>
      <c r="N28" s="3024">
        <f t="shared" si="1"/>
        <v>0</v>
      </c>
    </row>
    <row r="29" spans="1:14" ht="13.15" customHeight="1" x14ac:dyDescent="0.45">
      <c r="A29" s="3021"/>
      <c r="B29" s="3079" t="s">
        <v>27849</v>
      </c>
      <c r="C29" s="3078" t="s">
        <v>218</v>
      </c>
      <c r="D29" s="3077" t="s">
        <v>27769</v>
      </c>
      <c r="E29" s="3072" t="str">
        <f>IF(AND($E$6=1, ROUND(FTE_6a_Health_full_time!$H25, 2)&lt;&gt;FTE_6a_Health_full_time!$H25), CONCATENATE("Price group", " ", $B28, ", ", $C28, " ", "Length", ", Level ", $D28, "; "), "")</f>
        <v/>
      </c>
      <c r="F29" s="3072" t="str">
        <f>IF(AND($F$6=1,FTE_6a_Health_full_time!$E25&lt;&gt;0,ABS(FTE_6a_Health_full_time!$H25-FTE_6a_Health_full_time!$E25)&lt;$F$10),CONCATENATE("Price group"," ",$B29,", ",$C29," ","Length",", Level ",$D29,"; "),"")</f>
        <v/>
      </c>
      <c r="G29" s="3029" t="str">
        <f>IF(AND($G$6=1,LEN(FTE_6a_Health_full_time!$J25)&gt;2000), CONCATENATE("Price group", " ", $B29, ", ", $C29, " ", "Length", ", Level ", $D29, "; "), "")</f>
        <v/>
      </c>
      <c r="H29" s="3072" t="str">
        <f>IF(AND($H$6=1,OR(AND(FTE_6a_Health_full_time!$H25=0,FTE_6a_Health_full_time!$J25&lt;&gt;""),AND(FTE_6a_Health_full_time!$H25&lt;&gt;0,FTE_6a_Health_full_time!$J25=""))),CONCATENATE("Price group"," ",$B29,", ",$C29," ","Length",", Level ",$D29,"; "),"")</f>
        <v/>
      </c>
      <c r="I29" s="3072" t="str">
        <f>IF(AND($I$6=1,FTE_6a_Health_full_time!$G25=0,OR(FTE_6a_Health_full_time!$H25&lt;&gt;0,FTE_6a_Health_full_time!$J25&lt;&gt;"")),CONCATENATE("Price group"," ",$B29,", ",$C29," ","Length",", Level ",$D29,"; "),"")</f>
        <v/>
      </c>
      <c r="K29" s="3076" t="s">
        <v>27849</v>
      </c>
      <c r="L29" s="3024">
        <f t="shared" si="0"/>
        <v>0</v>
      </c>
      <c r="M29" s="3025"/>
      <c r="N29" s="3024">
        <f t="shared" si="1"/>
        <v>0</v>
      </c>
    </row>
    <row r="30" spans="1:14" ht="13.15" customHeight="1" x14ac:dyDescent="0.45">
      <c r="A30" s="3021"/>
      <c r="B30" s="3075" t="s">
        <v>27849</v>
      </c>
      <c r="C30" s="3078" t="s">
        <v>218</v>
      </c>
      <c r="D30" s="3073" t="s">
        <v>210</v>
      </c>
      <c r="E30" s="3072" t="str">
        <f>IF(AND($E$6=1, ROUND(FTE_6a_Health_full_time!$H26, 2)&lt;&gt;FTE_6a_Health_full_time!$H26), CONCATENATE("Price group", " ", $B29, ", ", $C29, " ", "Length", ", Level ", $D29, "; "), "")</f>
        <v/>
      </c>
      <c r="F30" s="3072" t="str">
        <f>IF(AND($F$6=1,FTE_6a_Health_full_time!$E26&lt;&gt;0,ABS(FTE_6a_Health_full_time!$H26-FTE_6a_Health_full_time!$E26)&lt;$F$10),CONCATENATE("Price group"," ",$B30,", ",$C30," ","Length",", Level ",$D30,"; "),"")</f>
        <v/>
      </c>
      <c r="G30" s="3029" t="str">
        <f>IF(AND($G$6=1,LEN(FTE_6a_Health_full_time!$J26)&gt;2000), CONCATENATE("Price group", " ", $B30, ", ", $C30, " ", "Length", ", Level ", $D30, "; "), "")</f>
        <v/>
      </c>
      <c r="H30" s="3072" t="str">
        <f>IF(AND($H$6=1,OR(AND(FTE_6a_Health_full_time!$H26=0,FTE_6a_Health_full_time!$J26&lt;&gt;""),AND(FTE_6a_Health_full_time!$H26&lt;&gt;0,FTE_6a_Health_full_time!$J26=""))),CONCATENATE("Price group"," ",$B30,", ",$C30," ","Length",", Level ",$D30,"; "),"")</f>
        <v/>
      </c>
      <c r="I30" s="3072" t="str">
        <f>IF(AND($I$6=1,FTE_6a_Health_full_time!$G26=0,OR(FTE_6a_Health_full_time!$H26&lt;&gt;0,FTE_6a_Health_full_time!$J26&lt;&gt;"")),CONCATENATE("Price group"," ",$B30,", ",$C30," ","Length",", Level ",$D30,"; "),"")</f>
        <v/>
      </c>
      <c r="K30" s="3070" t="s">
        <v>27849</v>
      </c>
      <c r="L30" s="3024">
        <f t="shared" si="0"/>
        <v>0</v>
      </c>
      <c r="M30" s="3025"/>
      <c r="N30" s="3024">
        <f t="shared" si="1"/>
        <v>0</v>
      </c>
    </row>
    <row r="31" spans="1:14" ht="13.15" customHeight="1" x14ac:dyDescent="0.45">
      <c r="A31" s="3021"/>
      <c r="B31" s="3085" t="s">
        <v>27851</v>
      </c>
      <c r="C31" s="3084" t="s">
        <v>204</v>
      </c>
      <c r="D31" s="3077" t="s">
        <v>27769</v>
      </c>
      <c r="E31" s="3072" t="str">
        <f>IF(AND($E$6=1, ROUND(FTE_6a_Health_full_time!$H27, 2)&lt;&gt;FTE_6a_Health_full_time!$H27), CONCATENATE("Price group", " ", $B30, ", ", $C30, " ", "Length", ", Level ", $D30, "; "), "")</f>
        <v/>
      </c>
      <c r="F31" s="3072" t="str">
        <f>IF(AND($F$6=1,FTE_6a_Health_full_time!$E27&lt;&gt;0,ABS(FTE_6a_Health_full_time!$H27-FTE_6a_Health_full_time!$E27)&lt;$F$10),CONCATENATE("Price group"," ",$B31,", ",$C31," ","Length",", Level ",$D31,"; "),"")</f>
        <v/>
      </c>
      <c r="G31" s="3029" t="str">
        <f>IF(AND($G$6=1,LEN(FTE_6a_Health_full_time!$J27)&gt;2000), CONCATENATE("Price group", " ", $B31, ", ", $C31, " ", "Length", ", Level ", $D31, "; "), "")</f>
        <v/>
      </c>
      <c r="H31" s="3072" t="str">
        <f>IF(AND($H$6=1,OR(AND(FTE_6a_Health_full_time!$H27=0,FTE_6a_Health_full_time!$J27&lt;&gt;""),AND(FTE_6a_Health_full_time!$H27&lt;&gt;0,FTE_6a_Health_full_time!$J27=""))),CONCATENATE("Price group"," ",$B31,", ",$C31," ","Length",", Level ",$D31,"; "),"")</f>
        <v/>
      </c>
      <c r="I31" s="3072" t="str">
        <f>IF(AND($I$6=1,FTE_6a_Health_full_time!$G27=0,OR(FTE_6a_Health_full_time!$H27&lt;&gt;0,FTE_6a_Health_full_time!$J27&lt;&gt;"")),CONCATENATE("Price group"," ",$B31,", ",$C31," ","Length",", Level ",$D31,"; "),"")</f>
        <v/>
      </c>
      <c r="K31" s="3083" t="s">
        <v>27851</v>
      </c>
      <c r="L31" s="3024">
        <f t="shared" si="0"/>
        <v>0</v>
      </c>
      <c r="M31" s="3025"/>
      <c r="N31" s="3024">
        <f t="shared" si="1"/>
        <v>0</v>
      </c>
    </row>
    <row r="32" spans="1:14" ht="13.15" customHeight="1" x14ac:dyDescent="0.45">
      <c r="A32" s="3021"/>
      <c r="B32" s="3082" t="s">
        <v>27851</v>
      </c>
      <c r="C32" s="3078" t="s">
        <v>204</v>
      </c>
      <c r="D32" s="3081" t="s">
        <v>210</v>
      </c>
      <c r="E32" s="3072" t="str">
        <f>IF(AND($E$6=1, ROUND(FTE_6a_Health_full_time!$H28, 2)&lt;&gt;FTE_6a_Health_full_time!$H28), CONCATENATE("Price group", " ", $B31, ", ", $C31, " ", "Length", ", Level ", $D31, "; "), "")</f>
        <v/>
      </c>
      <c r="F32" s="3072" t="str">
        <f>IF(AND($F$6=1,FTE_6a_Health_full_time!$E28&lt;&gt;0,ABS(FTE_6a_Health_full_time!$H28-FTE_6a_Health_full_time!$E28)&lt;$F$10),CONCATENATE("Price group"," ",$B32,", ",$C32," ","Length",", Level ",$D32,"; "),"")</f>
        <v/>
      </c>
      <c r="G32" s="3029" t="str">
        <f>IF(AND($G$6=1,LEN(FTE_6a_Health_full_time!$J28)&gt;2000), CONCATENATE("Price group", " ", $B32, ", ", $C32, " ", "Length", ", Level ", $D32, "; "), "")</f>
        <v/>
      </c>
      <c r="H32" s="3072" t="str">
        <f>IF(AND($H$6=1,OR(AND(FTE_6a_Health_full_time!$H28=0,FTE_6a_Health_full_time!$J28&lt;&gt;""),AND(FTE_6a_Health_full_time!$H28&lt;&gt;0,FTE_6a_Health_full_time!$J28=""))),CONCATENATE("Price group"," ",$B32,", ",$C32," ","Length",", Level ",$D32,"; "),"")</f>
        <v/>
      </c>
      <c r="I32" s="3072" t="str">
        <f>IF(AND($I$6=1,FTE_6a_Health_full_time!$G28=0,OR(FTE_6a_Health_full_time!$H28&lt;&gt;0,FTE_6a_Health_full_time!$J28&lt;&gt;"")),CONCATENATE("Price group"," ",$B32,", ",$C32," ","Length",", Level ",$D32,"; "),"")</f>
        <v/>
      </c>
      <c r="K32" s="3080" t="s">
        <v>27851</v>
      </c>
      <c r="L32" s="3024">
        <f t="shared" si="0"/>
        <v>0</v>
      </c>
      <c r="M32" s="3025"/>
      <c r="N32" s="3024">
        <f t="shared" si="1"/>
        <v>0</v>
      </c>
    </row>
    <row r="33" spans="1:14" ht="13.15" customHeight="1" x14ac:dyDescent="0.45">
      <c r="A33" s="3021"/>
      <c r="B33" s="3079" t="s">
        <v>27851</v>
      </c>
      <c r="C33" s="3078" t="s">
        <v>218</v>
      </c>
      <c r="D33" s="3077" t="s">
        <v>27769</v>
      </c>
      <c r="E33" s="3072" t="str">
        <f>IF(AND($E$6=1, ROUND(FTE_6a_Health_full_time!$H29, 2)&lt;&gt;FTE_6a_Health_full_time!$H29), CONCATENATE("Price group", " ", $B32, ", ", $C32, " ", "Length", ", Level ", $D32, "; "), "")</f>
        <v/>
      </c>
      <c r="F33" s="3072" t="str">
        <f>IF(AND($F$6=1,FTE_6a_Health_full_time!$E29&lt;&gt;0,ABS(FTE_6a_Health_full_time!$H29-FTE_6a_Health_full_time!$E29)&lt;$F$10),CONCATENATE("Price group"," ",$B33,", ",$C33," ","Length",", Level ",$D33,"; "),"")</f>
        <v/>
      </c>
      <c r="G33" s="3029" t="str">
        <f>IF(AND($G$6=1,LEN(FTE_6a_Health_full_time!$J29)&gt;2000), CONCATENATE("Price group", " ", $B33, ", ", $C33, " ", "Length", ", Level ", $D33, "; "), "")</f>
        <v/>
      </c>
      <c r="H33" s="3072" t="str">
        <f>IF(AND($H$6=1,OR(AND(FTE_6a_Health_full_time!$H29=0,FTE_6a_Health_full_time!$J29&lt;&gt;""),AND(FTE_6a_Health_full_time!$H29&lt;&gt;0,FTE_6a_Health_full_time!$J29=""))),CONCATENATE("Price group"," ",$B33,", ",$C33," ","Length",", Level ",$D33,"; "),"")</f>
        <v/>
      </c>
      <c r="I33" s="3072" t="str">
        <f>IF(AND($I$6=1,FTE_6a_Health_full_time!$G29=0,OR(FTE_6a_Health_full_time!$H29&lt;&gt;0,FTE_6a_Health_full_time!$J29&lt;&gt;"")),CONCATENATE("Price group"," ",$B33,", ",$C33," ","Length",", Level ",$D33,"; "),"")</f>
        <v/>
      </c>
      <c r="K33" s="3076" t="s">
        <v>27851</v>
      </c>
      <c r="L33" s="3024">
        <f t="shared" si="0"/>
        <v>0</v>
      </c>
      <c r="M33" s="3025"/>
      <c r="N33" s="3024">
        <f t="shared" si="1"/>
        <v>0</v>
      </c>
    </row>
    <row r="34" spans="1:14" ht="13.15" customHeight="1" x14ac:dyDescent="0.45">
      <c r="A34" s="3021"/>
      <c r="B34" s="3075" t="s">
        <v>27851</v>
      </c>
      <c r="C34" s="3078" t="s">
        <v>218</v>
      </c>
      <c r="D34" s="3073" t="s">
        <v>210</v>
      </c>
      <c r="E34" s="3072" t="str">
        <f>IF(AND($E$6=1, ROUND(FTE_6a_Health_full_time!$H30, 2)&lt;&gt;FTE_6a_Health_full_time!$H30), CONCATENATE("Price group", " ", $B33, ", ", $C33, " ", "Length", ", Level ", $D33, "; "), "")</f>
        <v/>
      </c>
      <c r="F34" s="3072" t="str">
        <f>IF(AND($F$6=1,FTE_6a_Health_full_time!$E30&lt;&gt;0,ABS(FTE_6a_Health_full_time!$H30-FTE_6a_Health_full_time!$E30)&lt;$F$10),CONCATENATE("Price group"," ",$B34,", ",$C34," ","Length",", Level ",$D34,"; "),"")</f>
        <v/>
      </c>
      <c r="G34" s="3029" t="str">
        <f>IF(AND($G$6=1,LEN(FTE_6a_Health_full_time!$J30)&gt;2000), CONCATENATE("Price group", " ", $B34, ", ", $C34, " ", "Length", ", Level ", $D34, "; "), "")</f>
        <v/>
      </c>
      <c r="H34" s="3072" t="str">
        <f>IF(AND($H$6=1,OR(AND(FTE_6a_Health_full_time!$H30=0,FTE_6a_Health_full_time!$J30&lt;&gt;""),AND(FTE_6a_Health_full_time!$H30&lt;&gt;0,FTE_6a_Health_full_time!$J30=""))),CONCATENATE("Price group"," ",$B34,", ",$C34," ","Length",", Level ",$D34,"; "),"")</f>
        <v/>
      </c>
      <c r="I34" s="3072" t="str">
        <f>IF(AND($I$6=1,FTE_6a_Health_full_time!$G30=0,OR(FTE_6a_Health_full_time!$H30&lt;&gt;0,FTE_6a_Health_full_time!$J30&lt;&gt;"")),CONCATENATE("Price group"," ",$B34,", ",$C34," ","Length",", Level ",$D34,"; "),"")</f>
        <v/>
      </c>
      <c r="K34" s="3070" t="s">
        <v>27851</v>
      </c>
      <c r="L34" s="3024">
        <f t="shared" si="0"/>
        <v>0</v>
      </c>
      <c r="M34" s="3025"/>
      <c r="N34" s="3024">
        <f t="shared" si="1"/>
        <v>0</v>
      </c>
    </row>
    <row r="35" spans="1:14" ht="13.15" customHeight="1" x14ac:dyDescent="0.45">
      <c r="A35" s="3021"/>
      <c r="B35" s="3085" t="s">
        <v>27853</v>
      </c>
      <c r="C35" s="3084" t="s">
        <v>204</v>
      </c>
      <c r="D35" s="3077" t="s">
        <v>27769</v>
      </c>
      <c r="E35" s="3072" t="str">
        <f>IF(AND($E$6=1, ROUND(FTE_6a_Health_full_time!$H31, 2)&lt;&gt;FTE_6a_Health_full_time!$H31), CONCATENATE("Price group", " ", $B34, ", ", $C34, " ", "Length", ", Level ", $D34, "; "), "")</f>
        <v/>
      </c>
      <c r="F35" s="3072" t="str">
        <f>IF(AND($F$6=1,FTE_6a_Health_full_time!$E31&lt;&gt;0,ABS(FTE_6a_Health_full_time!$H31-FTE_6a_Health_full_time!$E31)&lt;$F$10),CONCATENATE("Price group"," ",$B35,", ",$C35," ","Length",", Level ",$D35,"; "),"")</f>
        <v/>
      </c>
      <c r="G35" s="3029" t="str">
        <f>IF(AND($G$6=1,LEN(FTE_6a_Health_full_time!$J31)&gt;2000), CONCATENATE("Price group", " ", $B35, ", ", $C35, " ", "Length", ", Level ", $D35, "; "), "")</f>
        <v/>
      </c>
      <c r="H35" s="3072" t="str">
        <f>IF(AND($H$6=1,OR(AND(FTE_6a_Health_full_time!$H31=0,FTE_6a_Health_full_time!$J31&lt;&gt;""),AND(FTE_6a_Health_full_time!$H31&lt;&gt;0,FTE_6a_Health_full_time!$J31=""))),CONCATENATE("Price group"," ",$B35,", ",$C35," ","Length",", Level ",$D35,"; "),"")</f>
        <v/>
      </c>
      <c r="I35" s="3072" t="str">
        <f>IF(AND($I$6=1,FTE_6a_Health_full_time!$G31=0,OR(FTE_6a_Health_full_time!$H31&lt;&gt;0,FTE_6a_Health_full_time!$J31&lt;&gt;"")),CONCATENATE("Price group"," ",$B35,", ",$C35," ","Length",", Level ",$D35,"; "),"")</f>
        <v/>
      </c>
      <c r="K35" s="3083" t="s">
        <v>27853</v>
      </c>
      <c r="L35" s="3024">
        <f t="shared" si="0"/>
        <v>0</v>
      </c>
      <c r="M35" s="3025"/>
      <c r="N35" s="3024">
        <f t="shared" si="1"/>
        <v>0</v>
      </c>
    </row>
    <row r="36" spans="1:14" ht="13.15" customHeight="1" x14ac:dyDescent="0.45">
      <c r="A36" s="3021"/>
      <c r="B36" s="3082" t="s">
        <v>27853</v>
      </c>
      <c r="C36" s="3078" t="s">
        <v>204</v>
      </c>
      <c r="D36" s="3081" t="s">
        <v>210</v>
      </c>
      <c r="E36" s="3072" t="str">
        <f>IF(AND($E$6=1, ROUND(FTE_6a_Health_full_time!$H32, 2)&lt;&gt;FTE_6a_Health_full_time!$H32), CONCATENATE("Price group", " ", $B35, ", ", $C35, " ", "Length", ", Level ", $D35, "; "), "")</f>
        <v/>
      </c>
      <c r="F36" s="3072" t="str">
        <f>IF(AND($F$6=1,FTE_6a_Health_full_time!$E32&lt;&gt;0,ABS(FTE_6a_Health_full_time!$H32-FTE_6a_Health_full_time!$E32)&lt;$F$10),CONCATENATE("Price group"," ",$B36,", ",$C36," ","Length",", Level ",$D36,"; "),"")</f>
        <v/>
      </c>
      <c r="G36" s="3029" t="str">
        <f>IF(AND($G$6=1,LEN(FTE_6a_Health_full_time!$J32)&gt;2000), CONCATENATE("Price group", " ", $B36, ", ", $C36, " ", "Length", ", Level ", $D36, "; "), "")</f>
        <v/>
      </c>
      <c r="H36" s="3072" t="str">
        <f>IF(AND($H$6=1,OR(AND(FTE_6a_Health_full_time!$H32=0,FTE_6a_Health_full_time!$J32&lt;&gt;""),AND(FTE_6a_Health_full_time!$H32&lt;&gt;0,FTE_6a_Health_full_time!$J32=""))),CONCATENATE("Price group"," ",$B36,", ",$C36," ","Length",", Level ",$D36,"; "),"")</f>
        <v/>
      </c>
      <c r="I36" s="3072" t="str">
        <f>IF(AND($I$6=1,FTE_6a_Health_full_time!$G32=0,OR(FTE_6a_Health_full_time!$H32&lt;&gt;0,FTE_6a_Health_full_time!$J32&lt;&gt;"")),CONCATENATE("Price group"," ",$B36,", ",$C36," ","Length",", Level ",$D36,"; "),"")</f>
        <v/>
      </c>
      <c r="K36" s="3080" t="s">
        <v>27853</v>
      </c>
      <c r="L36" s="3024">
        <f t="shared" si="0"/>
        <v>0</v>
      </c>
      <c r="M36" s="3025"/>
      <c r="N36" s="3024">
        <f t="shared" si="1"/>
        <v>0</v>
      </c>
    </row>
    <row r="37" spans="1:14" ht="13.15" customHeight="1" x14ac:dyDescent="0.45">
      <c r="A37" s="3021"/>
      <c r="B37" s="3079" t="s">
        <v>27853</v>
      </c>
      <c r="C37" s="3078" t="s">
        <v>218</v>
      </c>
      <c r="D37" s="3077" t="s">
        <v>27769</v>
      </c>
      <c r="E37" s="3072" t="str">
        <f>IF(AND($E$6=1, ROUND(FTE_6a_Health_full_time!$H33, 2)&lt;&gt;FTE_6a_Health_full_time!$H33), CONCATENATE("Price group", " ", $B36, ", ", $C36, " ", "Length", ", Level ", $D36, "; "), "")</f>
        <v/>
      </c>
      <c r="F37" s="3072" t="str">
        <f>IF(AND($F$6=1,FTE_6a_Health_full_time!$E33&lt;&gt;0,ABS(FTE_6a_Health_full_time!$H33-FTE_6a_Health_full_time!$E33)&lt;$F$10),CONCATENATE("Price group"," ",$B37,", ",$C37," ","Length",", Level ",$D37,"; "),"")</f>
        <v/>
      </c>
      <c r="G37" s="3029" t="str">
        <f>IF(AND($G$6=1,LEN(FTE_6a_Health_full_time!$J33)&gt;2000), CONCATENATE("Price group", " ", $B37, ", ", $C37, " ", "Length", ", Level ", $D37, "; "), "")</f>
        <v/>
      </c>
      <c r="H37" s="3072" t="str">
        <f>IF(AND($H$6=1,OR(AND(FTE_6a_Health_full_time!$H33=0,FTE_6a_Health_full_time!$J33&lt;&gt;""),AND(FTE_6a_Health_full_time!$H33&lt;&gt;0,FTE_6a_Health_full_time!$J33=""))),CONCATENATE("Price group"," ",$B37,", ",$C37," ","Length",", Level ",$D37,"; "),"")</f>
        <v/>
      </c>
      <c r="I37" s="3072" t="str">
        <f>IF(AND($I$6=1,FTE_6a_Health_full_time!$G33=0,OR(FTE_6a_Health_full_time!$H33&lt;&gt;0,FTE_6a_Health_full_time!$J33&lt;&gt;"")),CONCATENATE("Price group"," ",$B37,", ",$C37," ","Length",", Level ",$D37,"; "),"")</f>
        <v/>
      </c>
      <c r="K37" s="3076" t="s">
        <v>27853</v>
      </c>
      <c r="L37" s="3024">
        <f t="shared" si="0"/>
        <v>0</v>
      </c>
      <c r="M37" s="3025"/>
      <c r="N37" s="3024">
        <f t="shared" si="1"/>
        <v>0</v>
      </c>
    </row>
    <row r="38" spans="1:14" ht="13.15" customHeight="1" x14ac:dyDescent="0.45">
      <c r="A38" s="3021"/>
      <c r="B38" s="3075" t="s">
        <v>27853</v>
      </c>
      <c r="C38" s="3078" t="s">
        <v>218</v>
      </c>
      <c r="D38" s="3073" t="s">
        <v>210</v>
      </c>
      <c r="E38" s="3072" t="str">
        <f>IF(AND($E$6=1, ROUND(FTE_6a_Health_full_time!$H34, 2)&lt;&gt;FTE_6a_Health_full_time!$H34), CONCATENATE("Price group", " ", $B37, ", ", $C37, " ", "Length", ", Level ", $D37, "; "), "")</f>
        <v/>
      </c>
      <c r="F38" s="3072" t="str">
        <f>IF(AND($F$6=1,FTE_6a_Health_full_time!$E34&lt;&gt;0,ABS(FTE_6a_Health_full_time!$H34-FTE_6a_Health_full_time!$E34)&lt;$F$10),CONCATENATE("Price group"," ",$B38,", ",$C38," ","Length",", Level ",$D38,"; "),"")</f>
        <v/>
      </c>
      <c r="G38" s="3029" t="str">
        <f>IF(AND($G$6=1,LEN(FTE_6a_Health_full_time!$J34)&gt;2000), CONCATENATE("Price group", " ", $B38, ", ", $C38, " ", "Length", ", Level ", $D38, "; "), "")</f>
        <v/>
      </c>
      <c r="H38" s="3072" t="str">
        <f>IF(AND($H$6=1,OR(AND(FTE_6a_Health_full_time!$H34=0,FTE_6a_Health_full_time!$J34&lt;&gt;""),AND(FTE_6a_Health_full_time!$H34&lt;&gt;0,FTE_6a_Health_full_time!$J34=""))),CONCATENATE("Price group"," ",$B38,", ",$C38," ","Length",", Level ",$D38,"; "),"")</f>
        <v/>
      </c>
      <c r="I38" s="3072" t="str">
        <f>IF(AND($I$6=1,FTE_6a_Health_full_time!$G34=0,OR(FTE_6a_Health_full_time!$H34&lt;&gt;0,FTE_6a_Health_full_time!$J34&lt;&gt;"")),CONCATENATE("Price group"," ",$B38,", ",$C38," ","Length",", Level ",$D38,"; "),"")</f>
        <v/>
      </c>
      <c r="K38" s="3070" t="s">
        <v>27853</v>
      </c>
      <c r="L38" s="3024">
        <f t="shared" si="0"/>
        <v>0</v>
      </c>
      <c r="M38" s="3025"/>
      <c r="N38" s="3024">
        <f t="shared" si="1"/>
        <v>0</v>
      </c>
    </row>
    <row r="39" spans="1:14" ht="13.15" customHeight="1" x14ac:dyDescent="0.45">
      <c r="A39" s="3021"/>
      <c r="B39" s="3085" t="s">
        <v>27855</v>
      </c>
      <c r="C39" s="3084" t="s">
        <v>204</v>
      </c>
      <c r="D39" s="3077" t="s">
        <v>27769</v>
      </c>
      <c r="E39" s="3072" t="str">
        <f>IF(AND($E$6=1, ROUND(FTE_6a_Health_full_time!$H35, 2)&lt;&gt;FTE_6a_Health_full_time!$H35), CONCATENATE("Price group", " ", $B38, ", ", $C38, " ", "Length", ", Level ", $D38, "; "), "")</f>
        <v/>
      </c>
      <c r="F39" s="3072" t="str">
        <f>IF(AND($F$6=1,FTE_6a_Health_full_time!$E35&lt;&gt;0,ABS(FTE_6a_Health_full_time!$H35-FTE_6a_Health_full_time!$E35)&lt;$F$10),CONCATENATE("Price group"," ",$B39,", ",$C39," ","Length",", Level ",$D39,"; "),"")</f>
        <v/>
      </c>
      <c r="G39" s="3029" t="str">
        <f>IF(AND($G$6=1,LEN(FTE_6a_Health_full_time!$J35)&gt;2000), CONCATENATE("Price group", " ", $B39, ", ", $C39, " ", "Length", ", Level ", $D39, "; "), "")</f>
        <v/>
      </c>
      <c r="H39" s="3072" t="str">
        <f>IF(AND($H$6=1,OR(AND(FTE_6a_Health_full_time!$H35=0,FTE_6a_Health_full_time!$J35&lt;&gt;""),AND(FTE_6a_Health_full_time!$H35&lt;&gt;0,FTE_6a_Health_full_time!$J35=""))),CONCATENATE("Price group"," ",$B39,", ",$C39," ","Length",", Level ",$D39,"; "),"")</f>
        <v/>
      </c>
      <c r="I39" s="3072" t="str">
        <f>IF(AND($I$6=1,FTE_6a_Health_full_time!$G35=0,OR(FTE_6a_Health_full_time!$H35&lt;&gt;0,FTE_6a_Health_full_time!$J35&lt;&gt;"")),CONCATENATE("Price group"," ",$B39,", ",$C39," ","Length",", Level ",$D39,"; "),"")</f>
        <v/>
      </c>
      <c r="K39" s="3083" t="s">
        <v>27855</v>
      </c>
      <c r="L39" s="3024">
        <f t="shared" si="0"/>
        <v>0</v>
      </c>
      <c r="M39" s="3025"/>
      <c r="N39" s="3024">
        <f t="shared" si="1"/>
        <v>0</v>
      </c>
    </row>
    <row r="40" spans="1:14" ht="13.15" customHeight="1" x14ac:dyDescent="0.45">
      <c r="A40" s="3021"/>
      <c r="B40" s="3082" t="s">
        <v>27855</v>
      </c>
      <c r="C40" s="3078" t="s">
        <v>204</v>
      </c>
      <c r="D40" s="3081" t="s">
        <v>210</v>
      </c>
      <c r="E40" s="3072" t="str">
        <f>IF(AND($E$6=1, ROUND(FTE_6a_Health_full_time!$H36, 2)&lt;&gt;FTE_6a_Health_full_time!$H36), CONCATENATE("Price group", " ", $B39, ", ", $C39, " ", "Length", ", Level ", $D39, "; "), "")</f>
        <v/>
      </c>
      <c r="F40" s="3072" t="str">
        <f>IF(AND($F$6=1,FTE_6a_Health_full_time!$E36&lt;&gt;0,ABS(FTE_6a_Health_full_time!$H36-FTE_6a_Health_full_time!$E36)&lt;$F$10),CONCATENATE("Price group"," ",$B40,", ",$C40," ","Length",", Level ",$D40,"; "),"")</f>
        <v/>
      </c>
      <c r="G40" s="3029" t="str">
        <f>IF(AND($G$6=1,LEN(FTE_6a_Health_full_time!$J36)&gt;2000), CONCATENATE("Price group", " ", $B40, ", ", $C40, " ", "Length", ", Level ", $D40, "; "), "")</f>
        <v/>
      </c>
      <c r="H40" s="3072" t="str">
        <f>IF(AND($H$6=1,OR(AND(FTE_6a_Health_full_time!$H36=0,FTE_6a_Health_full_time!$J36&lt;&gt;""),AND(FTE_6a_Health_full_time!$H36&lt;&gt;0,FTE_6a_Health_full_time!$J36=""))),CONCATENATE("Price group"," ",$B40,", ",$C40," ","Length",", Level ",$D40,"; "),"")</f>
        <v/>
      </c>
      <c r="I40" s="3072" t="str">
        <f>IF(AND($I$6=1,FTE_6a_Health_full_time!$G36=0,OR(FTE_6a_Health_full_time!$H36&lt;&gt;0,FTE_6a_Health_full_time!$J36&lt;&gt;"")),CONCATENATE("Price group"," ",$B40,", ",$C40," ","Length",", Level ",$D40,"; "),"")</f>
        <v/>
      </c>
      <c r="K40" s="3080" t="s">
        <v>27855</v>
      </c>
      <c r="L40" s="3024">
        <f t="shared" si="0"/>
        <v>0</v>
      </c>
      <c r="M40" s="3025"/>
      <c r="N40" s="3024">
        <f t="shared" si="1"/>
        <v>0</v>
      </c>
    </row>
    <row r="41" spans="1:14" ht="13.15" customHeight="1" x14ac:dyDescent="0.45">
      <c r="A41" s="3021"/>
      <c r="B41" s="3079" t="s">
        <v>27855</v>
      </c>
      <c r="C41" s="3078" t="s">
        <v>218</v>
      </c>
      <c r="D41" s="3077" t="s">
        <v>27769</v>
      </c>
      <c r="E41" s="3072" t="str">
        <f>IF(AND($E$6=1, ROUND(FTE_6a_Health_full_time!$H37, 2)&lt;&gt;FTE_6a_Health_full_time!$H37), CONCATENATE("Price group", " ", $B40, ", ", $C40, " ", "Length", ", Level ", $D40, "; "), "")</f>
        <v/>
      </c>
      <c r="F41" s="3072" t="str">
        <f>IF(AND($F$6=1,FTE_6a_Health_full_time!$E37&lt;&gt;0,ABS(FTE_6a_Health_full_time!$H37-FTE_6a_Health_full_time!$E37)&lt;$F$10),CONCATENATE("Price group"," ",$B41,", ",$C41," ","Length",", Level ",$D41,"; "),"")</f>
        <v/>
      </c>
      <c r="G41" s="3029" t="str">
        <f>IF(AND($G$6=1,LEN(FTE_6a_Health_full_time!$J37)&gt;2000), CONCATENATE("Price group", " ", $B41, ", ", $C41, " ", "Length", ", Level ", $D41, "; "), "")</f>
        <v/>
      </c>
      <c r="H41" s="3072" t="str">
        <f>IF(AND($H$6=1,OR(AND(FTE_6a_Health_full_time!$H37=0,FTE_6a_Health_full_time!$J37&lt;&gt;""),AND(FTE_6a_Health_full_time!$H37&lt;&gt;0,FTE_6a_Health_full_time!$J37=""))),CONCATENATE("Price group"," ",$B41,", ",$C41," ","Length",", Level ",$D41,"; "),"")</f>
        <v/>
      </c>
      <c r="I41" s="3072" t="str">
        <f>IF(AND($I$6=1,FTE_6a_Health_full_time!$G37=0,OR(FTE_6a_Health_full_time!$H37&lt;&gt;0,FTE_6a_Health_full_time!$J37&lt;&gt;"")),CONCATENATE("Price group"," ",$B41,", ",$C41," ","Length",", Level ",$D41,"; "),"")</f>
        <v/>
      </c>
      <c r="K41" s="3076" t="s">
        <v>27855</v>
      </c>
      <c r="L41" s="3024">
        <f t="shared" si="0"/>
        <v>0</v>
      </c>
      <c r="M41" s="3025"/>
      <c r="N41" s="3024">
        <f t="shared" si="1"/>
        <v>0</v>
      </c>
    </row>
    <row r="42" spans="1:14" ht="13.15" customHeight="1" x14ac:dyDescent="0.45">
      <c r="A42" s="3021"/>
      <c r="B42" s="3075" t="s">
        <v>27855</v>
      </c>
      <c r="C42" s="3078" t="s">
        <v>218</v>
      </c>
      <c r="D42" s="3073" t="s">
        <v>210</v>
      </c>
      <c r="E42" s="3072" t="str">
        <f>IF(AND($E$6=1, ROUND(FTE_6a_Health_full_time!$H38, 2)&lt;&gt;FTE_6a_Health_full_time!$H38), CONCATENATE("Price group", " ", $B41, ", ", $C41, " ", "Length", ", Level ", $D41, "; "), "")</f>
        <v/>
      </c>
      <c r="F42" s="3072" t="str">
        <f>IF(AND($F$6=1,FTE_6a_Health_full_time!$E38&lt;&gt;0,ABS(FTE_6a_Health_full_time!$H38-FTE_6a_Health_full_time!$E38)&lt;$F$10),CONCATENATE("Price group"," ",$B42,", ",$C42," ","Length",", Level ",$D42,"; "),"")</f>
        <v/>
      </c>
      <c r="G42" s="3029" t="str">
        <f>IF(AND($G$6=1,LEN(FTE_6a_Health_full_time!$J38)&gt;2000), CONCATENATE("Price group", " ", $B42, ", ", $C42, " ", "Length", ", Level ", $D42, "; "), "")</f>
        <v/>
      </c>
      <c r="H42" s="3072" t="str">
        <f>IF(AND($H$6=1,OR(AND(FTE_6a_Health_full_time!$H38=0,FTE_6a_Health_full_time!$J38&lt;&gt;""),AND(FTE_6a_Health_full_time!$H38&lt;&gt;0,FTE_6a_Health_full_time!$J38=""))),CONCATENATE("Price group"," ",$B42,", ",$C42," ","Length",", Level ",$D42,"; "),"")</f>
        <v/>
      </c>
      <c r="I42" s="3072" t="str">
        <f>IF(AND($I$6=1,FTE_6a_Health_full_time!$G38=0,OR(FTE_6a_Health_full_time!$H38&lt;&gt;0,FTE_6a_Health_full_time!$J38&lt;&gt;"")),CONCATENATE("Price group"," ",$B42,", ",$C42," ","Length",", Level ",$D42,"; "),"")</f>
        <v/>
      </c>
      <c r="K42" s="3070" t="s">
        <v>27855</v>
      </c>
      <c r="L42" s="3024">
        <f t="shared" si="0"/>
        <v>0</v>
      </c>
      <c r="M42" s="3025"/>
      <c r="N42" s="3024">
        <f t="shared" si="1"/>
        <v>0</v>
      </c>
    </row>
    <row r="43" spans="1:14" ht="13.15" customHeight="1" x14ac:dyDescent="0.45">
      <c r="A43" s="3021"/>
      <c r="B43" s="3085" t="s">
        <v>27857</v>
      </c>
      <c r="C43" s="3084" t="s">
        <v>204</v>
      </c>
      <c r="D43" s="3077" t="s">
        <v>27769</v>
      </c>
      <c r="E43" s="3072" t="str">
        <f>IF(AND($E$6=1, ROUND(FTE_6a_Health_full_time!$H39, 2)&lt;&gt;FTE_6a_Health_full_time!$H39), CONCATENATE("Price group", " ", $B42, ", ", $C42, " ", "Length", ", Level ", $D42, "; "), "")</f>
        <v/>
      </c>
      <c r="F43" s="3072" t="str">
        <f>IF(AND($F$6=1,FTE_6a_Health_full_time!$E39&lt;&gt;0,ABS(FTE_6a_Health_full_time!$H39-FTE_6a_Health_full_time!$E39)&lt;$F$10),CONCATENATE("Price group"," ",$B43,", ",$C43," ","Length",", Level ",$D43,"; "),"")</f>
        <v/>
      </c>
      <c r="G43" s="3029" t="str">
        <f>IF(AND($G$6=1,LEN(FTE_6a_Health_full_time!$J39)&gt;2000), CONCATENATE("Price group", " ", $B43, ", ", $C43, " ", "Length", ", Level ", $D43, "; "), "")</f>
        <v/>
      </c>
      <c r="H43" s="3072" t="str">
        <f>IF(AND($H$6=1,OR(AND(FTE_6a_Health_full_time!$H39=0,FTE_6a_Health_full_time!$J39&lt;&gt;""),AND(FTE_6a_Health_full_time!$H39&lt;&gt;0,FTE_6a_Health_full_time!$J39=""))),CONCATENATE("Price group"," ",$B43,", ",$C43," ","Length",", Level ",$D43,"; "),"")</f>
        <v/>
      </c>
      <c r="I43" s="3072" t="str">
        <f>IF(AND($I$6=1,FTE_6a_Health_full_time!$G39=0,OR(FTE_6a_Health_full_time!$H39&lt;&gt;0,FTE_6a_Health_full_time!$J39&lt;&gt;"")),CONCATENATE("Price group"," ",$B43,", ",$C43," ","Length",", Level ",$D43,"; "),"")</f>
        <v/>
      </c>
      <c r="K43" s="3083" t="s">
        <v>27857</v>
      </c>
      <c r="L43" s="3024">
        <f t="shared" si="0"/>
        <v>0</v>
      </c>
      <c r="M43" s="3025"/>
      <c r="N43" s="3024">
        <f t="shared" si="1"/>
        <v>0</v>
      </c>
    </row>
    <row r="44" spans="1:14" ht="13.15" customHeight="1" x14ac:dyDescent="0.45">
      <c r="A44" s="3021"/>
      <c r="B44" s="3082" t="s">
        <v>27857</v>
      </c>
      <c r="C44" s="3078" t="s">
        <v>204</v>
      </c>
      <c r="D44" s="3081" t="s">
        <v>210</v>
      </c>
      <c r="E44" s="3072" t="str">
        <f>IF(AND($E$6=1, ROUND(FTE_6a_Health_full_time!$H40, 2)&lt;&gt;FTE_6a_Health_full_time!$H40), CONCATENATE("Price group", " ", $B43, ", ", $C43, " ", "Length", ", Level ", $D43, "; "), "")</f>
        <v/>
      </c>
      <c r="F44" s="3072" t="str">
        <f>IF(AND($F$6=1,FTE_6a_Health_full_time!$E40&lt;&gt;0,ABS(FTE_6a_Health_full_time!$H40-FTE_6a_Health_full_time!$E40)&lt;$F$10),CONCATENATE("Price group"," ",$B44,", ",$C44," ","Length",", Level ",$D44,"; "),"")</f>
        <v/>
      </c>
      <c r="G44" s="3029" t="str">
        <f>IF(AND($G$6=1,LEN(FTE_6a_Health_full_time!$J40)&gt;2000), CONCATENATE("Price group", " ", $B44, ", ", $C44, " ", "Length", ", Level ", $D44, "; "), "")</f>
        <v/>
      </c>
      <c r="H44" s="3072" t="str">
        <f>IF(AND($H$6=1,OR(AND(FTE_6a_Health_full_time!$H40=0,FTE_6a_Health_full_time!$J40&lt;&gt;""),AND(FTE_6a_Health_full_time!$H40&lt;&gt;0,FTE_6a_Health_full_time!$J40=""))),CONCATENATE("Price group"," ",$B44,", ",$C44," ","Length",", Level ",$D44,"; "),"")</f>
        <v/>
      </c>
      <c r="I44" s="3072" t="str">
        <f>IF(AND($I$6=1,FTE_6a_Health_full_time!$G40=0,OR(FTE_6a_Health_full_time!$H40&lt;&gt;0,FTE_6a_Health_full_time!$J40&lt;&gt;"")),CONCATENATE("Price group"," ",$B44,", ",$C44," ","Length",", Level ",$D44,"; "),"")</f>
        <v/>
      </c>
      <c r="K44" s="3080" t="s">
        <v>27857</v>
      </c>
      <c r="L44" s="3024">
        <f t="shared" si="0"/>
        <v>0</v>
      </c>
      <c r="M44" s="3025"/>
      <c r="N44" s="3024">
        <f t="shared" si="1"/>
        <v>0</v>
      </c>
    </row>
    <row r="45" spans="1:14" ht="13.15" customHeight="1" x14ac:dyDescent="0.45">
      <c r="A45" s="3021"/>
      <c r="B45" s="3079" t="s">
        <v>27857</v>
      </c>
      <c r="C45" s="3078" t="s">
        <v>218</v>
      </c>
      <c r="D45" s="3077" t="s">
        <v>27769</v>
      </c>
      <c r="E45" s="3072" t="str">
        <f>IF(AND($E$6=1, ROUND(FTE_6a_Health_full_time!$H41, 2)&lt;&gt;FTE_6a_Health_full_time!$H41), CONCATENATE("Price group", " ", $B44, ", ", $C44, " ", "Length", ", Level ", $D44, "; "), "")</f>
        <v/>
      </c>
      <c r="F45" s="3072" t="str">
        <f>IF(AND($F$6=1,FTE_6a_Health_full_time!$E41&lt;&gt;0,ABS(FTE_6a_Health_full_time!$H41-FTE_6a_Health_full_time!$E41)&lt;$F$10),CONCATENATE("Price group"," ",$B45,", ",$C45," ","Length",", Level ",$D45,"; "),"")</f>
        <v/>
      </c>
      <c r="G45" s="3029" t="str">
        <f>IF(AND($G$6=1,LEN(FTE_6a_Health_full_time!$J41)&gt;2000), CONCATENATE("Price group", " ", $B45, ", ", $C45, " ", "Length", ", Level ", $D45, "; "), "")</f>
        <v/>
      </c>
      <c r="H45" s="3072" t="str">
        <f>IF(AND($H$6=1,OR(AND(FTE_6a_Health_full_time!$H41=0,FTE_6a_Health_full_time!$J41&lt;&gt;""),AND(FTE_6a_Health_full_time!$H41&lt;&gt;0,FTE_6a_Health_full_time!$J41=""))),CONCATENATE("Price group"," ",$B45,", ",$C45," ","Length",", Level ",$D45,"; "),"")</f>
        <v/>
      </c>
      <c r="I45" s="3072" t="str">
        <f>IF(AND($I$6=1,FTE_6a_Health_full_time!$G41=0,OR(FTE_6a_Health_full_time!$H41&lt;&gt;0,FTE_6a_Health_full_time!$J41&lt;&gt;"")),CONCATENATE("Price group"," ",$B45,", ",$C45," ","Length",", Level ",$D45,"; "),"")</f>
        <v/>
      </c>
      <c r="K45" s="3076" t="s">
        <v>27857</v>
      </c>
      <c r="L45" s="3024">
        <f t="shared" si="0"/>
        <v>0</v>
      </c>
      <c r="M45" s="3025"/>
      <c r="N45" s="3024">
        <f t="shared" si="1"/>
        <v>0</v>
      </c>
    </row>
    <row r="46" spans="1:14" ht="13.15" customHeight="1" x14ac:dyDescent="0.45">
      <c r="A46" s="3021"/>
      <c r="B46" s="3075" t="s">
        <v>27857</v>
      </c>
      <c r="C46" s="3078" t="s">
        <v>218</v>
      </c>
      <c r="D46" s="3073" t="s">
        <v>210</v>
      </c>
      <c r="E46" s="3072" t="str">
        <f>IF(AND($E$6=1, ROUND(FTE_6a_Health_full_time!$H42, 2)&lt;&gt;FTE_6a_Health_full_time!$H42), CONCATENATE("Price group", " ", $B45, ", ", $C45, " ", "Length", ", Level ", $D45, "; "), "")</f>
        <v/>
      </c>
      <c r="F46" s="3072" t="str">
        <f>IF(AND($F$6=1,FTE_6a_Health_full_time!$E42&lt;&gt;0,ABS(FTE_6a_Health_full_time!$H42-FTE_6a_Health_full_time!$E42)&lt;$F$10),CONCATENATE("Price group"," ",$B46,", ",$C46," ","Length",", Level ",$D46,"; "),"")</f>
        <v/>
      </c>
      <c r="G46" s="3029" t="str">
        <f>IF(AND($G$6=1,LEN(FTE_6a_Health_full_time!$J42)&gt;2000), CONCATENATE("Price group", " ", $B46, ", ", $C46, " ", "Length", ", Level ", $D46, "; "), "")</f>
        <v/>
      </c>
      <c r="H46" s="3072" t="str">
        <f>IF(AND($H$6=1,OR(AND(FTE_6a_Health_full_time!$H42=0,FTE_6a_Health_full_time!$J42&lt;&gt;""),AND(FTE_6a_Health_full_time!$H42&lt;&gt;0,FTE_6a_Health_full_time!$J42=""))),CONCATENATE("Price group"," ",$B46,", ",$C46," ","Length",", Level ",$D46,"; "),"")</f>
        <v/>
      </c>
      <c r="I46" s="3072" t="str">
        <f>IF(AND($I$6=1,FTE_6a_Health_full_time!$G42=0,OR(FTE_6a_Health_full_time!$H42&lt;&gt;0,FTE_6a_Health_full_time!$J42&lt;&gt;"")),CONCATENATE("Price group"," ",$B46,", ",$C46," ","Length",", Level ",$D46,"; "),"")</f>
        <v/>
      </c>
      <c r="K46" s="3070" t="s">
        <v>27857</v>
      </c>
      <c r="L46" s="3024">
        <f t="shared" si="0"/>
        <v>0</v>
      </c>
      <c r="M46" s="3025"/>
      <c r="N46" s="3024">
        <f t="shared" si="1"/>
        <v>0</v>
      </c>
    </row>
    <row r="47" spans="1:14" ht="13.15" customHeight="1" x14ac:dyDescent="0.45">
      <c r="A47" s="3021"/>
      <c r="B47" s="3085" t="s">
        <v>27859</v>
      </c>
      <c r="C47" s="3084" t="s">
        <v>204</v>
      </c>
      <c r="D47" s="3077" t="s">
        <v>27769</v>
      </c>
      <c r="E47" s="3072" t="str">
        <f>IF(AND($E$6=1, ROUND(FTE_6a_Health_full_time!$H43, 2)&lt;&gt;FTE_6a_Health_full_time!$H43), CONCATENATE("Price group", " ", $B46, ", ", $C46, " ", "Length", ", Level ", $D46, "; "), "")</f>
        <v/>
      </c>
      <c r="F47" s="3072" t="str">
        <f>IF(AND($F$6=1,FTE_6a_Health_full_time!$E43&lt;&gt;0,ABS(FTE_6a_Health_full_time!$H43-FTE_6a_Health_full_time!$E43)&lt;$F$10),CONCATENATE("Price group"," ",$B47,", ",$C47," ","Length",", Level ",$D47,"; "),"")</f>
        <v/>
      </c>
      <c r="G47" s="3029" t="str">
        <f>IF(AND($G$6=1,LEN(FTE_6a_Health_full_time!$J43)&gt;2000), CONCATENATE("Price group", " ", $B47, ", ", $C47, " ", "Length", ", Level ", $D47, "; "), "")</f>
        <v/>
      </c>
      <c r="H47" s="3072" t="str">
        <f>IF(AND($H$6=1,OR(AND(FTE_6a_Health_full_time!$H43=0,FTE_6a_Health_full_time!$J43&lt;&gt;""),AND(FTE_6a_Health_full_time!$H43&lt;&gt;0,FTE_6a_Health_full_time!$J43=""))),CONCATENATE("Price group"," ",$B47,", ",$C47," ","Length",", Level ",$D47,"; "),"")</f>
        <v/>
      </c>
      <c r="I47" s="3072" t="str">
        <f>IF(AND($I$6=1,FTE_6a_Health_full_time!$G43=0,OR(FTE_6a_Health_full_time!$H43&lt;&gt;0,FTE_6a_Health_full_time!$J43&lt;&gt;"")),CONCATENATE("Price group"," ",$B47,", ",$C47," ","Length",", Level ",$D47,"; "),"")</f>
        <v/>
      </c>
      <c r="K47" s="3083" t="s">
        <v>27859</v>
      </c>
      <c r="L47" s="3024">
        <f t="shared" si="0"/>
        <v>0</v>
      </c>
      <c r="M47" s="3025"/>
      <c r="N47" s="3024">
        <f t="shared" si="1"/>
        <v>0</v>
      </c>
    </row>
    <row r="48" spans="1:14" ht="13.15" customHeight="1" x14ac:dyDescent="0.45">
      <c r="A48" s="3021"/>
      <c r="B48" s="3082" t="s">
        <v>27859</v>
      </c>
      <c r="C48" s="3078" t="s">
        <v>204</v>
      </c>
      <c r="D48" s="3081" t="s">
        <v>210</v>
      </c>
      <c r="E48" s="3072" t="str">
        <f>IF(AND($E$6=1, ROUND(FTE_6a_Health_full_time!$H44, 2)&lt;&gt;FTE_6a_Health_full_time!$H44), CONCATENATE("Price group", " ", $B47, ", ", $C47, " ", "Length", ", Level ", $D47, "; "), "")</f>
        <v/>
      </c>
      <c r="F48" s="3072" t="str">
        <f>IF(AND($F$6=1,FTE_6a_Health_full_time!$E44&lt;&gt;0,ABS(FTE_6a_Health_full_time!$H44-FTE_6a_Health_full_time!$E44)&lt;$F$10),CONCATENATE("Price group"," ",$B48,", ",$C48," ","Length",", Level ",$D48,"; "),"")</f>
        <v/>
      </c>
      <c r="G48" s="3029" t="str">
        <f>IF(AND($G$6=1,LEN(FTE_6a_Health_full_time!$J44)&gt;2000), CONCATENATE("Price group", " ", $B48, ", ", $C48, " ", "Length", ", Level ", $D48, "; "), "")</f>
        <v/>
      </c>
      <c r="H48" s="3072" t="str">
        <f>IF(AND($H$6=1,OR(AND(FTE_6a_Health_full_time!$H44=0,FTE_6a_Health_full_time!$J44&lt;&gt;""),AND(FTE_6a_Health_full_time!$H44&lt;&gt;0,FTE_6a_Health_full_time!$J44=""))),CONCATENATE("Price group"," ",$B48,", ",$C48," ","Length",", Level ",$D48,"; "),"")</f>
        <v/>
      </c>
      <c r="I48" s="3072" t="str">
        <f>IF(AND($I$6=1,FTE_6a_Health_full_time!$G44=0,OR(FTE_6a_Health_full_time!$H44&lt;&gt;0,FTE_6a_Health_full_time!$J44&lt;&gt;"")),CONCATENATE("Price group"," ",$B48,", ",$C48," ","Length",", Level ",$D48,"; "),"")</f>
        <v/>
      </c>
      <c r="K48" s="3080" t="s">
        <v>27859</v>
      </c>
      <c r="L48" s="3024">
        <f t="shared" si="0"/>
        <v>0</v>
      </c>
      <c r="M48" s="3025"/>
      <c r="N48" s="3024">
        <f t="shared" si="1"/>
        <v>0</v>
      </c>
    </row>
    <row r="49" spans="1:14" ht="13.15" customHeight="1" x14ac:dyDescent="0.45">
      <c r="A49" s="3021"/>
      <c r="B49" s="3079" t="s">
        <v>27859</v>
      </c>
      <c r="C49" s="3078" t="s">
        <v>218</v>
      </c>
      <c r="D49" s="3077" t="s">
        <v>27769</v>
      </c>
      <c r="E49" s="3072" t="str">
        <f>IF(AND($E$6=1, ROUND(FTE_6a_Health_full_time!$H45, 2)&lt;&gt;FTE_6a_Health_full_time!$H45), CONCATENATE("Price group", " ", $B48, ", ", $C48, " ", "Length", ", Level ", $D48, "; "), "")</f>
        <v/>
      </c>
      <c r="F49" s="3072" t="str">
        <f>IF(AND($F$6=1,FTE_6a_Health_full_time!$E45&lt;&gt;0,ABS(FTE_6a_Health_full_time!$H45-FTE_6a_Health_full_time!$E45)&lt;$F$10),CONCATENATE("Price group"," ",$B49,", ",$C49," ","Length",", Level ",$D49,"; "),"")</f>
        <v/>
      </c>
      <c r="G49" s="3029" t="str">
        <f>IF(AND($G$6=1,LEN(FTE_6a_Health_full_time!$J45)&gt;2000), CONCATENATE("Price group", " ", $B49, ", ", $C49, " ", "Length", ", Level ", $D49, "; "), "")</f>
        <v/>
      </c>
      <c r="H49" s="3072" t="str">
        <f>IF(AND($H$6=1,OR(AND(FTE_6a_Health_full_time!$H45=0,FTE_6a_Health_full_time!$J45&lt;&gt;""),AND(FTE_6a_Health_full_time!$H45&lt;&gt;0,FTE_6a_Health_full_time!$J45=""))),CONCATENATE("Price group"," ",$B49,", ",$C49," ","Length",", Level ",$D49,"; "),"")</f>
        <v/>
      </c>
      <c r="I49" s="3072" t="str">
        <f>IF(AND($I$6=1,FTE_6a_Health_full_time!$G45=0,OR(FTE_6a_Health_full_time!$H45&lt;&gt;0,FTE_6a_Health_full_time!$J45&lt;&gt;"")),CONCATENATE("Price group"," ",$B49,", ",$C49," ","Length",", Level ",$D49,"; "),"")</f>
        <v/>
      </c>
      <c r="K49" s="3076" t="s">
        <v>27859</v>
      </c>
      <c r="L49" s="3024">
        <f t="shared" si="0"/>
        <v>0</v>
      </c>
      <c r="M49" s="3025"/>
      <c r="N49" s="3024">
        <f t="shared" si="1"/>
        <v>0</v>
      </c>
    </row>
    <row r="50" spans="1:14" ht="13.15" customHeight="1" x14ac:dyDescent="0.45">
      <c r="A50" s="3021"/>
      <c r="B50" s="3075" t="s">
        <v>27859</v>
      </c>
      <c r="C50" s="3078" t="s">
        <v>218</v>
      </c>
      <c r="D50" s="3073" t="s">
        <v>210</v>
      </c>
      <c r="E50" s="3072" t="str">
        <f>IF(AND($E$6=1, ROUND(FTE_6a_Health_full_time!$H46, 2)&lt;&gt;FTE_6a_Health_full_time!$H46), CONCATENATE("Price group", " ", $B49, ", ", $C49, " ", "Length", ", Level ", $D49, "; "), "")</f>
        <v/>
      </c>
      <c r="F50" s="3072" t="str">
        <f>IF(AND($F$6=1,FTE_6a_Health_full_time!$E46&lt;&gt;0,ABS(FTE_6a_Health_full_time!$H46-FTE_6a_Health_full_time!$E46)&lt;$F$10),CONCATENATE("Price group"," ",$B50,", ",$C50," ","Length",", Level ",$D50,"; "),"")</f>
        <v/>
      </c>
      <c r="G50" s="3029" t="str">
        <f>IF(AND($G$6=1,LEN(FTE_6a_Health_full_time!$J46)&gt;2000), CONCATENATE("Price group", " ", $B50, ", ", $C50, " ", "Length", ", Level ", $D50, "; "), "")</f>
        <v/>
      </c>
      <c r="H50" s="3072" t="str">
        <f>IF(AND($H$6=1,OR(AND(FTE_6a_Health_full_time!$H46=0,FTE_6a_Health_full_time!$J46&lt;&gt;""),AND(FTE_6a_Health_full_time!$H46&lt;&gt;0,FTE_6a_Health_full_time!$J46=""))),CONCATENATE("Price group"," ",$B50,", ",$C50," ","Length",", Level ",$D50,"; "),"")</f>
        <v/>
      </c>
      <c r="I50" s="3072" t="str">
        <f>IF(AND($I$6=1,FTE_6a_Health_full_time!$G46=0,OR(FTE_6a_Health_full_time!$H46&lt;&gt;0,FTE_6a_Health_full_time!$J46&lt;&gt;"")),CONCATENATE("Price group"," ",$B50,", ",$C50," ","Length",", Level ",$D50,"; "),"")</f>
        <v/>
      </c>
      <c r="K50" s="3070" t="s">
        <v>27859</v>
      </c>
      <c r="L50" s="3024">
        <f t="shared" si="0"/>
        <v>0</v>
      </c>
      <c r="M50" s="3025"/>
      <c r="N50" s="3024">
        <f t="shared" si="1"/>
        <v>0</v>
      </c>
    </row>
    <row r="51" spans="1:14" ht="13.15" customHeight="1" x14ac:dyDescent="0.45">
      <c r="A51" s="3021"/>
      <c r="B51" s="3085" t="s">
        <v>27861</v>
      </c>
      <c r="C51" s="3084" t="s">
        <v>204</v>
      </c>
      <c r="D51" s="3077" t="s">
        <v>27769</v>
      </c>
      <c r="E51" s="3072" t="str">
        <f>IF(AND($E$6=1, ROUND(FTE_6a_Health_full_time!$H47, 2)&lt;&gt;FTE_6a_Health_full_time!$H47), CONCATENATE("Price group", " ", $B50, ", ", $C50, " ", "Length", ", Level ", $D50, "; "), "")</f>
        <v/>
      </c>
      <c r="F51" s="3072" t="str">
        <f>IF(AND($F$6=1,FTE_6a_Health_full_time!$E47&lt;&gt;0,ABS(FTE_6a_Health_full_time!$H47-FTE_6a_Health_full_time!$E47)&lt;$F$10),CONCATENATE("Price group"," ",$B51,", ",$C51," ","Length",", Level ",$D51,"; "),"")</f>
        <v/>
      </c>
      <c r="G51" s="3029" t="str">
        <f>IF(AND($G$6=1,LEN(FTE_6a_Health_full_time!$J47)&gt;2000), CONCATENATE("Price group", " ", $B51, ", ", $C51, " ", "Length", ", Level ", $D51, "; "), "")</f>
        <v/>
      </c>
      <c r="H51" s="3072" t="str">
        <f>IF(AND($H$6=1,OR(AND(FTE_6a_Health_full_time!$H47=0,FTE_6a_Health_full_time!$J47&lt;&gt;""),AND(FTE_6a_Health_full_time!$H47&lt;&gt;0,FTE_6a_Health_full_time!$J47=""))),CONCATENATE("Price group"," ",$B51,", ",$C51," ","Length",", Level ",$D51,"; "),"")</f>
        <v/>
      </c>
      <c r="I51" s="3072" t="str">
        <f>IF(AND($I$6=1,FTE_6a_Health_full_time!$G47=0,OR(FTE_6a_Health_full_time!$H47&lt;&gt;0,FTE_6a_Health_full_time!$J47&lt;&gt;"")),CONCATENATE("Price group"," ",$B51,", ",$C51," ","Length",", Level ",$D51,"; "),"")</f>
        <v/>
      </c>
      <c r="K51" s="3083" t="s">
        <v>27861</v>
      </c>
      <c r="L51" s="3024">
        <f t="shared" si="0"/>
        <v>0</v>
      </c>
      <c r="M51" s="3025"/>
      <c r="N51" s="3024">
        <f t="shared" si="1"/>
        <v>0</v>
      </c>
    </row>
    <row r="52" spans="1:14" ht="13.15" customHeight="1" x14ac:dyDescent="0.45">
      <c r="A52" s="3021"/>
      <c r="B52" s="3082" t="s">
        <v>27861</v>
      </c>
      <c r="C52" s="3078" t="s">
        <v>204</v>
      </c>
      <c r="D52" s="3081" t="s">
        <v>210</v>
      </c>
      <c r="E52" s="3072" t="str">
        <f>IF(AND($E$6=1, ROUND(FTE_6a_Health_full_time!$H48, 2)&lt;&gt;FTE_6a_Health_full_time!$H48), CONCATENATE("Price group", " ", $B51, ", ", $C51, " ", "Length", ", Level ", $D51, "; "), "")</f>
        <v/>
      </c>
      <c r="F52" s="3072" t="str">
        <f>IF(AND($F$6=1,FTE_6a_Health_full_time!$E48&lt;&gt;0,ABS(FTE_6a_Health_full_time!$H48-FTE_6a_Health_full_time!$E48)&lt;$F$10),CONCATENATE("Price group"," ",$B52,", ",$C52," ","Length",", Level ",$D52,"; "),"")</f>
        <v/>
      </c>
      <c r="G52" s="3029" t="str">
        <f>IF(AND($G$6=1,LEN(FTE_6a_Health_full_time!$J48)&gt;2000), CONCATENATE("Price group", " ", $B52, ", ", $C52, " ", "Length", ", Level ", $D52, "; "), "")</f>
        <v/>
      </c>
      <c r="H52" s="3072" t="str">
        <f>IF(AND($H$6=1,OR(AND(FTE_6a_Health_full_time!$H48=0,FTE_6a_Health_full_time!$J48&lt;&gt;""),AND(FTE_6a_Health_full_time!$H48&lt;&gt;0,FTE_6a_Health_full_time!$J48=""))),CONCATENATE("Price group"," ",$B52,", ",$C52," ","Length",", Level ",$D52,"; "),"")</f>
        <v/>
      </c>
      <c r="I52" s="3072" t="str">
        <f>IF(AND($I$6=1,FTE_6a_Health_full_time!$G48=0,OR(FTE_6a_Health_full_time!$H48&lt;&gt;0,FTE_6a_Health_full_time!$J48&lt;&gt;"")),CONCATENATE("Price group"," ",$B52,", ",$C52," ","Length",", Level ",$D52,"; "),"")</f>
        <v/>
      </c>
      <c r="K52" s="3080" t="s">
        <v>27861</v>
      </c>
      <c r="L52" s="3024">
        <f t="shared" si="0"/>
        <v>0</v>
      </c>
      <c r="M52" s="3025"/>
      <c r="N52" s="3024">
        <f t="shared" si="1"/>
        <v>0</v>
      </c>
    </row>
    <row r="53" spans="1:14" ht="13.15" customHeight="1" x14ac:dyDescent="0.45">
      <c r="A53" s="3021"/>
      <c r="B53" s="3079" t="s">
        <v>27861</v>
      </c>
      <c r="C53" s="3078" t="s">
        <v>218</v>
      </c>
      <c r="D53" s="3077" t="s">
        <v>27769</v>
      </c>
      <c r="E53" s="3072" t="str">
        <f>IF(AND($E$6=1, ROUND(FTE_6a_Health_full_time!$H49, 2)&lt;&gt;FTE_6a_Health_full_time!$H49), CONCATENATE("Price group", " ", $B52, ", ", $C52, " ", "Length", ", Level ", $D52, "; "), "")</f>
        <v/>
      </c>
      <c r="F53" s="3072" t="str">
        <f>IF(AND($F$6=1,FTE_6a_Health_full_time!$E49&lt;&gt;0,ABS(FTE_6a_Health_full_time!$H49-FTE_6a_Health_full_time!$E49)&lt;$F$10),CONCATENATE("Price group"," ",$B53,", ",$C53," ","Length",", Level ",$D53,"; "),"")</f>
        <v/>
      </c>
      <c r="G53" s="3029" t="str">
        <f>IF(AND($G$6=1,LEN(FTE_6a_Health_full_time!$J49)&gt;2000), CONCATENATE("Price group", " ", $B53, ", ", $C53, " ", "Length", ", Level ", $D53, "; "), "")</f>
        <v/>
      </c>
      <c r="H53" s="3072" t="str">
        <f>IF(AND($H$6=1,OR(AND(FTE_6a_Health_full_time!$H49=0,FTE_6a_Health_full_time!$J49&lt;&gt;""),AND(FTE_6a_Health_full_time!$H49&lt;&gt;0,FTE_6a_Health_full_time!$J49=""))),CONCATENATE("Price group"," ",$B53,", ",$C53," ","Length",", Level ",$D53,"; "),"")</f>
        <v/>
      </c>
      <c r="I53" s="3072" t="str">
        <f>IF(AND($I$6=1,FTE_6a_Health_full_time!$G49=0,OR(FTE_6a_Health_full_time!$H49&lt;&gt;0,FTE_6a_Health_full_time!$J49&lt;&gt;"")),CONCATENATE("Price group"," ",$B53,", ",$C53," ","Length",", Level ",$D53,"; "),"")</f>
        <v/>
      </c>
      <c r="K53" s="3076" t="s">
        <v>27861</v>
      </c>
      <c r="L53" s="3024">
        <f t="shared" si="0"/>
        <v>0</v>
      </c>
      <c r="M53" s="3025"/>
      <c r="N53" s="3024">
        <f t="shared" si="1"/>
        <v>0</v>
      </c>
    </row>
    <row r="54" spans="1:14" ht="13.15" customHeight="1" x14ac:dyDescent="0.45">
      <c r="A54" s="3021"/>
      <c r="B54" s="3075" t="s">
        <v>27861</v>
      </c>
      <c r="C54" s="3078" t="s">
        <v>218</v>
      </c>
      <c r="D54" s="3073" t="s">
        <v>210</v>
      </c>
      <c r="E54" s="3072" t="str">
        <f>IF(AND($E$6=1, ROUND(FTE_6a_Health_full_time!$H50, 2)&lt;&gt;FTE_6a_Health_full_time!$H50), CONCATENATE("Price group", " ", $B53, ", ", $C53, " ", "Length", ", Level ", $D53, "; "), "")</f>
        <v/>
      </c>
      <c r="F54" s="3072" t="str">
        <f>IF(AND($F$6=1,FTE_6a_Health_full_time!$E50&lt;&gt;0,ABS(FTE_6a_Health_full_time!$H50-FTE_6a_Health_full_time!$E50)&lt;$F$10),CONCATENATE("Price group"," ",$B54,", ",$C54," ","Length",", Level ",$D54,"; "),"")</f>
        <v/>
      </c>
      <c r="G54" s="3029" t="str">
        <f>IF(AND($G$6=1,LEN(FTE_6a_Health_full_time!$J50)&gt;2000), CONCATENATE("Price group", " ", $B54, ", ", $C54, " ", "Length", ", Level ", $D54, "; "), "")</f>
        <v/>
      </c>
      <c r="H54" s="3072" t="str">
        <f>IF(AND($H$6=1,OR(AND(FTE_6a_Health_full_time!$H50=0,FTE_6a_Health_full_time!$J50&lt;&gt;""),AND(FTE_6a_Health_full_time!$H50&lt;&gt;0,FTE_6a_Health_full_time!$J50=""))),CONCATENATE("Price group"," ",$B54,", ",$C54," ","Length",", Level ",$D54,"; "),"")</f>
        <v/>
      </c>
      <c r="I54" s="3072" t="str">
        <f>IF(AND($I$6=1,FTE_6a_Health_full_time!$G50=0,OR(FTE_6a_Health_full_time!$H50&lt;&gt;0,FTE_6a_Health_full_time!$J50&lt;&gt;"")),CONCATENATE("Price group"," ",$B54,", ",$C54," ","Length",", Level ",$D54,"; "),"")</f>
        <v/>
      </c>
      <c r="K54" s="3070" t="s">
        <v>27861</v>
      </c>
      <c r="L54" s="3024">
        <f t="shared" si="0"/>
        <v>0</v>
      </c>
      <c r="M54" s="3025"/>
      <c r="N54" s="3024">
        <f t="shared" si="1"/>
        <v>0</v>
      </c>
    </row>
    <row r="55" spans="1:14" ht="13.15" customHeight="1" x14ac:dyDescent="0.45">
      <c r="A55" s="3021"/>
      <c r="B55" s="3085" t="s">
        <v>27863</v>
      </c>
      <c r="C55" s="3084" t="s">
        <v>204</v>
      </c>
      <c r="D55" s="3077" t="s">
        <v>27769</v>
      </c>
      <c r="E55" s="3072" t="str">
        <f>IF(AND($E$6=1, ROUND(FTE_6a_Health_full_time!$H51, 2)&lt;&gt;FTE_6a_Health_full_time!$H51), CONCATENATE("Price group", " ", $B54, ", ", $C54, " ", "Length", ", Level ", $D54, "; "), "")</f>
        <v/>
      </c>
      <c r="F55" s="3072" t="str">
        <f>IF(AND($F$6=1,FTE_6a_Health_full_time!$E51&lt;&gt;0,ABS(FTE_6a_Health_full_time!$H51-FTE_6a_Health_full_time!$E51)&lt;$F$10),CONCATENATE("Price group"," ",$B55,", ",$C55," ","Length",", Level ",$D55,"; "),"")</f>
        <v/>
      </c>
      <c r="G55" s="3029" t="str">
        <f>IF(AND($G$6=1,LEN(FTE_6a_Health_full_time!$J51)&gt;2000), CONCATENATE("Price group", " ", $B55, ", ", $C55, " ", "Length", ", Level ", $D55, "; "), "")</f>
        <v/>
      </c>
      <c r="H55" s="3072" t="str">
        <f>IF(AND($H$6=1,OR(AND(FTE_6a_Health_full_time!$H51=0,FTE_6a_Health_full_time!$J51&lt;&gt;""),AND(FTE_6a_Health_full_time!$H51&lt;&gt;0,FTE_6a_Health_full_time!$J51=""))),CONCATENATE("Price group"," ",$B55,", ",$C55," ","Length",", Level ",$D55,"; "),"")</f>
        <v/>
      </c>
      <c r="I55" s="3072" t="str">
        <f>IF(AND($I$6=1,FTE_6a_Health_full_time!$G51=0,OR(FTE_6a_Health_full_time!$H51&lt;&gt;0,FTE_6a_Health_full_time!$J51&lt;&gt;"")),CONCATENATE("Price group"," ",$B55,", ",$C55," ","Length",", Level ",$D55,"; "),"")</f>
        <v/>
      </c>
      <c r="K55" s="3083" t="s">
        <v>27863</v>
      </c>
      <c r="L55" s="3024">
        <f t="shared" si="0"/>
        <v>0</v>
      </c>
      <c r="M55" s="3025"/>
      <c r="N55" s="3024">
        <f t="shared" si="1"/>
        <v>0</v>
      </c>
    </row>
    <row r="56" spans="1:14" ht="13.15" customHeight="1" x14ac:dyDescent="0.45">
      <c r="A56" s="3021"/>
      <c r="B56" s="3082" t="s">
        <v>27863</v>
      </c>
      <c r="C56" s="3078" t="s">
        <v>204</v>
      </c>
      <c r="D56" s="3081" t="s">
        <v>210</v>
      </c>
      <c r="E56" s="3072" t="str">
        <f>IF(AND($E$6=1, ROUND(FTE_6a_Health_full_time!$H52, 2)&lt;&gt;FTE_6a_Health_full_time!$H52), CONCATENATE("Price group", " ", $B55, ", ", $C55, " ", "Length", ", Level ", $D55, "; "), "")</f>
        <v/>
      </c>
      <c r="F56" s="3072" t="str">
        <f>IF(AND($F$6=1,FTE_6a_Health_full_time!$E52&lt;&gt;0,ABS(FTE_6a_Health_full_time!$H52-FTE_6a_Health_full_time!$E52)&lt;$F$10),CONCATENATE("Price group"," ",$B56,", ",$C56," ","Length",", Level ",$D56,"; "),"")</f>
        <v/>
      </c>
      <c r="G56" s="3029" t="str">
        <f>IF(AND($G$6=1,LEN(FTE_6a_Health_full_time!$J52)&gt;2000), CONCATENATE("Price group", " ", $B56, ", ", $C56, " ", "Length", ", Level ", $D56, "; "), "")</f>
        <v/>
      </c>
      <c r="H56" s="3072" t="str">
        <f>IF(AND($H$6=1,OR(AND(FTE_6a_Health_full_time!$H52=0,FTE_6a_Health_full_time!$J52&lt;&gt;""),AND(FTE_6a_Health_full_time!$H52&lt;&gt;0,FTE_6a_Health_full_time!$J52=""))),CONCATENATE("Price group"," ",$B56,", ",$C56," ","Length",", Level ",$D56,"; "),"")</f>
        <v/>
      </c>
      <c r="I56" s="3072" t="str">
        <f>IF(AND($I$6=1,FTE_6a_Health_full_time!$G52=0,OR(FTE_6a_Health_full_time!$H52&lt;&gt;0,FTE_6a_Health_full_time!$J52&lt;&gt;"")),CONCATENATE("Price group"," ",$B56,", ",$C56," ","Length",", Level ",$D56,"; "),"")</f>
        <v/>
      </c>
      <c r="K56" s="3080" t="s">
        <v>27863</v>
      </c>
      <c r="L56" s="3024">
        <f t="shared" si="0"/>
        <v>0</v>
      </c>
      <c r="M56" s="3025"/>
      <c r="N56" s="3024">
        <f t="shared" si="1"/>
        <v>0</v>
      </c>
    </row>
    <row r="57" spans="1:14" ht="13.15" customHeight="1" x14ac:dyDescent="0.45">
      <c r="A57" s="3021"/>
      <c r="B57" s="3079" t="s">
        <v>27863</v>
      </c>
      <c r="C57" s="3078" t="s">
        <v>218</v>
      </c>
      <c r="D57" s="3077" t="s">
        <v>27769</v>
      </c>
      <c r="E57" s="3072" t="str">
        <f>IF(AND($E$6=1, ROUND(FTE_6a_Health_full_time!$H53, 2)&lt;&gt;FTE_6a_Health_full_time!$H53), CONCATENATE("Price group", " ", $B56, ", ", $C56, " ", "Length", ", Level ", $D56, "; "), "")</f>
        <v/>
      </c>
      <c r="F57" s="3072" t="str">
        <f>IF(AND($F$6=1,FTE_6a_Health_full_time!$E53&lt;&gt;0,ABS(FTE_6a_Health_full_time!$H53-FTE_6a_Health_full_time!$E53)&lt;$F$10),CONCATENATE("Price group"," ",$B57,", ",$C57," ","Length",", Level ",$D57,"; "),"")</f>
        <v/>
      </c>
      <c r="G57" s="3029" t="str">
        <f>IF(AND($G$6=1,LEN(FTE_6a_Health_full_time!$J53)&gt;2000), CONCATENATE("Price group", " ", $B57, ", ", $C57, " ", "Length", ", Level ", $D57, "; "), "")</f>
        <v/>
      </c>
      <c r="H57" s="3072" t="str">
        <f>IF(AND($H$6=1,OR(AND(FTE_6a_Health_full_time!$H53=0,FTE_6a_Health_full_time!$J53&lt;&gt;""),AND(FTE_6a_Health_full_time!$H53&lt;&gt;0,FTE_6a_Health_full_time!$J53=""))),CONCATENATE("Price group"," ",$B57,", ",$C57," ","Length",", Level ",$D57,"; "),"")</f>
        <v/>
      </c>
      <c r="I57" s="3072" t="str">
        <f>IF(AND($I$6=1,FTE_6a_Health_full_time!$G53=0,OR(FTE_6a_Health_full_time!$H53&lt;&gt;0,FTE_6a_Health_full_time!$J53&lt;&gt;"")),CONCATENATE("Price group"," ",$B57,", ",$C57," ","Length",", Level ",$D57,"; "),"")</f>
        <v/>
      </c>
      <c r="K57" s="3076" t="s">
        <v>27863</v>
      </c>
      <c r="L57" s="3024">
        <f t="shared" si="0"/>
        <v>0</v>
      </c>
      <c r="M57" s="3025"/>
      <c r="N57" s="3024">
        <f t="shared" si="1"/>
        <v>0</v>
      </c>
    </row>
    <row r="58" spans="1:14" ht="13.15" customHeight="1" x14ac:dyDescent="0.45">
      <c r="A58" s="3021"/>
      <c r="B58" s="3075" t="s">
        <v>27863</v>
      </c>
      <c r="C58" s="3078" t="s">
        <v>218</v>
      </c>
      <c r="D58" s="3073" t="s">
        <v>210</v>
      </c>
      <c r="E58" s="3072" t="str">
        <f>IF(AND($E$6=1, ROUND(FTE_6a_Health_full_time!$H54, 2)&lt;&gt;FTE_6a_Health_full_time!$H54), CONCATENATE("Price group", " ", $B57, ", ", $C57, " ", "Length", ", Level ", $D57, "; "), "")</f>
        <v/>
      </c>
      <c r="F58" s="3072" t="str">
        <f>IF(AND($F$6=1,FTE_6a_Health_full_time!$E54&lt;&gt;0,ABS(FTE_6a_Health_full_time!$H54-FTE_6a_Health_full_time!$E54)&lt;$F$10),CONCATENATE("Price group"," ",$B58,", ",$C58," ","Length",", Level ",$D58,"; "),"")</f>
        <v/>
      </c>
      <c r="G58" s="3029" t="str">
        <f>IF(AND($G$6=1,LEN(FTE_6a_Health_full_time!$J54)&gt;2000), CONCATENATE("Price group", " ", $B58, ", ", $C58, " ", "Length", ", Level ", $D58, "; "), "")</f>
        <v/>
      </c>
      <c r="H58" s="3072" t="str">
        <f>IF(AND($H$6=1,OR(AND(FTE_6a_Health_full_time!$H54=0,FTE_6a_Health_full_time!$J54&lt;&gt;""),AND(FTE_6a_Health_full_time!$H54&lt;&gt;0,FTE_6a_Health_full_time!$J54=""))),CONCATENATE("Price group"," ",$B58,", ",$C58," ","Length",", Level ",$D58,"; "),"")</f>
        <v/>
      </c>
      <c r="I58" s="3072" t="str">
        <f>IF(AND($I$6=1,FTE_6a_Health_full_time!$G54=0,OR(FTE_6a_Health_full_time!$H54&lt;&gt;0,FTE_6a_Health_full_time!$J54&lt;&gt;"")),CONCATENATE("Price group"," ",$B58,", ",$C58," ","Length",", Level ",$D58,"; "),"")</f>
        <v/>
      </c>
      <c r="K58" s="3070" t="s">
        <v>27863</v>
      </c>
      <c r="L58" s="3024">
        <f t="shared" si="0"/>
        <v>0</v>
      </c>
      <c r="M58" s="3025"/>
      <c r="N58" s="3024">
        <f t="shared" si="1"/>
        <v>0</v>
      </c>
    </row>
    <row r="59" spans="1:14" ht="13.15" customHeight="1" x14ac:dyDescent="0.45">
      <c r="A59" s="3021"/>
      <c r="B59" s="3077" t="s">
        <v>27865</v>
      </c>
      <c r="C59" s="3084" t="s">
        <v>204</v>
      </c>
      <c r="D59" s="3077" t="s">
        <v>27769</v>
      </c>
      <c r="E59" s="3072" t="str">
        <f>IF(AND($E$6=1, ROUND(FTE_6a_Health_full_time!$H55, 2)&lt;&gt;FTE_6a_Health_full_time!$H55), CONCATENATE("Price group", " ", $B58, ", ", $C58, " ", "Length", ", Level ", $D58, "; "), "")</f>
        <v/>
      </c>
      <c r="F59" s="3072" t="str">
        <f>IF(AND($F$6=1,FTE_6a_Health_full_time!$E55&lt;&gt;0,ABS(FTE_6a_Health_full_time!$H55-FTE_6a_Health_full_time!$E55)&lt;$F$10),CONCATENATE("Price group"," ",$B59,", ",$C59," ","Length",", Level ",$D59,"; "),"")</f>
        <v/>
      </c>
      <c r="G59" s="3029" t="str">
        <f>IF(AND($G$6=1,LEN(FTE_6a_Health_full_time!$J55)&gt;2000), CONCATENATE("Price group", " ", $B59, ", ", $C59, " ", "Length", ", Level ", $D59, "; "), "")</f>
        <v/>
      </c>
      <c r="H59" s="3072" t="str">
        <f>IF(AND($H$6=1,OR(AND(FTE_6a_Health_full_time!$H55=0,FTE_6a_Health_full_time!$J55&lt;&gt;""),AND(FTE_6a_Health_full_time!$H55&lt;&gt;0,FTE_6a_Health_full_time!$J55=""))),CONCATENATE("Price group"," ",$B59,", ",$C59," ","Length",", Level ",$D59,"; "),"")</f>
        <v/>
      </c>
      <c r="I59" s="3072" t="str">
        <f>IF(AND($I$6=1,FTE_6a_Health_full_time!$G55=0,OR(FTE_6a_Health_full_time!$H55&lt;&gt;0,FTE_6a_Health_full_time!$J55&lt;&gt;"")),CONCATENATE("Price group"," ",$B59,", ",$C59," ","Length",", Level ",$D59,"; "),"")</f>
        <v/>
      </c>
      <c r="K59" s="3091" t="s">
        <v>27865</v>
      </c>
      <c r="L59" s="3024">
        <f t="shared" si="0"/>
        <v>0</v>
      </c>
      <c r="M59" s="3025"/>
      <c r="N59" s="3024">
        <f t="shared" si="1"/>
        <v>0</v>
      </c>
    </row>
    <row r="60" spans="1:14" ht="13.15" customHeight="1" x14ac:dyDescent="0.45">
      <c r="A60" s="3021"/>
      <c r="B60" s="3079" t="s">
        <v>27865</v>
      </c>
      <c r="C60" s="3078" t="s">
        <v>204</v>
      </c>
      <c r="D60" s="3081" t="s">
        <v>210</v>
      </c>
      <c r="E60" s="3072" t="str">
        <f>IF(AND($E$6=1, ROUND(FTE_6a_Health_full_time!$H56, 2)&lt;&gt;FTE_6a_Health_full_time!$H56), CONCATENATE("Price group", " ", $B59, ", ", $C59, " ", "Length", ", Level ", $D59, "; "), "")</f>
        <v/>
      </c>
      <c r="F60" s="3072" t="str">
        <f>IF(AND($F$6=1,FTE_6a_Health_full_time!$E56&lt;&gt;0,ABS(FTE_6a_Health_full_time!$H56-FTE_6a_Health_full_time!$E56)&lt;$F$10),CONCATENATE("Price group"," ",$B60,", ",$C60," ","Length",", Level ",$D60,"; "),"")</f>
        <v/>
      </c>
      <c r="G60" s="3029" t="str">
        <f>IF(AND($G$6=1,LEN(FTE_6a_Health_full_time!$J56)&gt;2000), CONCATENATE("Price group", " ", $B60, ", ", $C60, " ", "Length", ", Level ", $D60, "; "), "")</f>
        <v/>
      </c>
      <c r="H60" s="3072" t="str">
        <f>IF(AND($H$6=1,OR(AND(FTE_6a_Health_full_time!$H56=0,FTE_6a_Health_full_time!$J56&lt;&gt;""),AND(FTE_6a_Health_full_time!$H56&lt;&gt;0,FTE_6a_Health_full_time!$J56=""))),CONCATENATE("Price group"," ",$B60,", ",$C60," ","Length",", Level ",$D60,"; "),"")</f>
        <v/>
      </c>
      <c r="I60" s="3072" t="str">
        <f>IF(AND($I$6=1,FTE_6a_Health_full_time!$G56=0,OR(FTE_6a_Health_full_time!$H56&lt;&gt;0,FTE_6a_Health_full_time!$J56&lt;&gt;"")),CONCATENATE("Price group"," ",$B60,", ",$C60," ","Length",", Level ",$D60,"; "),"")</f>
        <v/>
      </c>
      <c r="K60" s="3076" t="s">
        <v>27865</v>
      </c>
      <c r="L60" s="3024">
        <f t="shared" si="0"/>
        <v>0</v>
      </c>
      <c r="M60" s="3025"/>
      <c r="N60" s="3024">
        <f t="shared" si="1"/>
        <v>0</v>
      </c>
    </row>
    <row r="61" spans="1:14" ht="13.15" customHeight="1" x14ac:dyDescent="0.45">
      <c r="A61" s="3021"/>
      <c r="B61" s="3079" t="s">
        <v>27865</v>
      </c>
      <c r="C61" s="3078" t="s">
        <v>218</v>
      </c>
      <c r="D61" s="3077" t="s">
        <v>27769</v>
      </c>
      <c r="E61" s="3072" t="str">
        <f>IF(AND($E$6=1, ROUND(FTE_6a_Health_full_time!$H57, 2)&lt;&gt;FTE_6a_Health_full_time!$H57), CONCATENATE("Price group", " ", $B60, ", ", $C60, " ", "Length", ", Level ", $D60, "; "), "")</f>
        <v/>
      </c>
      <c r="F61" s="3072" t="str">
        <f>IF(AND($F$6=1,FTE_6a_Health_full_time!$E57&lt;&gt;0,ABS(FTE_6a_Health_full_time!$H57-FTE_6a_Health_full_time!$E57)&lt;$F$10),CONCATENATE("Price group"," ",$B61,", ",$C61," ","Length",", Level ",$D61,"; "),"")</f>
        <v/>
      </c>
      <c r="G61" s="3029" t="str">
        <f>IF(AND($G$6=1,LEN(FTE_6a_Health_full_time!$J57)&gt;2000), CONCATENATE("Price group", " ", $B61, ", ", $C61, " ", "Length", ", Level ", $D61, "; "), "")</f>
        <v/>
      </c>
      <c r="H61" s="3072" t="str">
        <f>IF(AND($H$6=1,OR(AND(FTE_6a_Health_full_time!$H57=0,FTE_6a_Health_full_time!$J57&lt;&gt;""),AND(FTE_6a_Health_full_time!$H57&lt;&gt;0,FTE_6a_Health_full_time!$J57=""))),CONCATENATE("Price group"," ",$B61,", ",$C61," ","Length",", Level ",$D61,"; "),"")</f>
        <v/>
      </c>
      <c r="I61" s="3072" t="str">
        <f>IF(AND($I$6=1,FTE_6a_Health_full_time!$G57=0,OR(FTE_6a_Health_full_time!$H57&lt;&gt;0,FTE_6a_Health_full_time!$J57&lt;&gt;"")),CONCATENATE("Price group"," ",$B61,", ",$C61," ","Length",", Level ",$D61,"; "),"")</f>
        <v/>
      </c>
      <c r="K61" s="3076" t="s">
        <v>27865</v>
      </c>
      <c r="L61" s="3024">
        <f t="shared" si="0"/>
        <v>0</v>
      </c>
      <c r="M61" s="3025"/>
      <c r="N61" s="3024">
        <f t="shared" si="1"/>
        <v>0</v>
      </c>
    </row>
    <row r="62" spans="1:14" ht="13.15" customHeight="1" x14ac:dyDescent="0.45">
      <c r="A62" s="3021"/>
      <c r="B62" s="3075" t="s">
        <v>27865</v>
      </c>
      <c r="C62" s="3078" t="s">
        <v>218</v>
      </c>
      <c r="D62" s="3073" t="s">
        <v>210</v>
      </c>
      <c r="E62" s="3072" t="str">
        <f>IF(AND($E$6=1, ROUND(FTE_6a_Health_full_time!$H58, 2)&lt;&gt;FTE_6a_Health_full_time!$H58), CONCATENATE("Price group", " ", $B61, ", ", $C61, " ", "Length", ", Level ", $D61, "; "), "")</f>
        <v/>
      </c>
      <c r="F62" s="3072" t="str">
        <f>IF(AND($F$6=1,FTE_6a_Health_full_time!$E58&lt;&gt;0,ABS(FTE_6a_Health_full_time!$H58-FTE_6a_Health_full_time!$E58)&lt;$F$10),CONCATENATE("Price group"," ",$B62,", ",$C62," ","Length",", Level ",$D62,"; "),"")</f>
        <v/>
      </c>
      <c r="G62" s="3029" t="str">
        <f>IF(AND($G$6=1,LEN(FTE_6a_Health_full_time!$J58)&gt;2000), CONCATENATE("Price group", " ", $B62, ", ", $C62, " ", "Length", ", Level ", $D62, "; "), "")</f>
        <v/>
      </c>
      <c r="H62" s="3072" t="str">
        <f>IF(AND($H$6=1,OR(AND(FTE_6a_Health_full_time!$H58=0,FTE_6a_Health_full_time!$J58&lt;&gt;""),AND(FTE_6a_Health_full_time!$H58&lt;&gt;0,FTE_6a_Health_full_time!$J58=""))),CONCATENATE("Price group"," ",$B62,", ",$C62," ","Length",", Level ",$D62,"; "),"")</f>
        <v/>
      </c>
      <c r="I62" s="3072" t="str">
        <f>IF(AND($I$6=1,FTE_6a_Health_full_time!$G58=0,OR(FTE_6a_Health_full_time!$H58&lt;&gt;0,FTE_6a_Health_full_time!$J58&lt;&gt;"")),CONCATENATE("Price group"," ",$B62,", ",$C62," ","Length",", Level ",$D62,"; "),"")</f>
        <v/>
      </c>
      <c r="K62" s="3070" t="s">
        <v>27865</v>
      </c>
      <c r="L62" s="3024">
        <f t="shared" si="0"/>
        <v>0</v>
      </c>
      <c r="M62" s="3025"/>
      <c r="N62" s="3024">
        <f t="shared" si="1"/>
        <v>0</v>
      </c>
    </row>
    <row r="63" spans="1:14" ht="13.15" customHeight="1" x14ac:dyDescent="0.45">
      <c r="A63" s="3021"/>
      <c r="B63" s="3085" t="s">
        <v>27867</v>
      </c>
      <c r="C63" s="3084" t="s">
        <v>204</v>
      </c>
      <c r="D63" s="3077" t="s">
        <v>27769</v>
      </c>
      <c r="E63" s="3072" t="str">
        <f>IF(AND($E$6=1, ROUND(FTE_6a_Health_full_time!$H59, 2)&lt;&gt;FTE_6a_Health_full_time!$H59), CONCATENATE("Price group", " ", $B62, ", ", $C62, " ", "Length", ", Level ", $D62, "; "), "")</f>
        <v/>
      </c>
      <c r="F63" s="3072" t="str">
        <f>IF(AND($F$6=1,FTE_6a_Health_full_time!$E59&lt;&gt;0,ABS(FTE_6a_Health_full_time!$H59-FTE_6a_Health_full_time!$E59)&lt;$F$10),CONCATENATE("Price group"," ",$B63,", ",$C63," ","Length",", Level ",$D63,"; "),"")</f>
        <v/>
      </c>
      <c r="G63" s="3029" t="str">
        <f>IF(AND($G$6=1,LEN(FTE_6a_Health_full_time!$J59)&gt;2000), CONCATENATE("Price group", " ", $B63, ", ", $C63, " ", "Length", ", Level ", $D63, "; "), "")</f>
        <v/>
      </c>
      <c r="H63" s="3072" t="str">
        <f>IF(AND($H$6=1,OR(AND(FTE_6a_Health_full_time!$H59=0,FTE_6a_Health_full_time!$J59&lt;&gt;""),AND(FTE_6a_Health_full_time!$H59&lt;&gt;0,FTE_6a_Health_full_time!$J59=""))),CONCATENATE("Price group"," ",$B63,", ",$C63," ","Length",", Level ",$D63,"; "),"")</f>
        <v/>
      </c>
      <c r="I63" s="3072" t="str">
        <f>IF(AND($I$6=1,FTE_6a_Health_full_time!$G59=0,OR(FTE_6a_Health_full_time!$H59&lt;&gt;0,FTE_6a_Health_full_time!$J59&lt;&gt;"")),CONCATENATE("Price group"," ",$B63,", ",$C63," ","Length",", Level ",$D63,"; "),"")</f>
        <v/>
      </c>
      <c r="K63" s="3083" t="s">
        <v>27867</v>
      </c>
      <c r="L63" s="3024">
        <f t="shared" si="0"/>
        <v>0</v>
      </c>
      <c r="M63" s="3025"/>
      <c r="N63" s="3024">
        <f t="shared" si="1"/>
        <v>0</v>
      </c>
    </row>
    <row r="64" spans="1:14" ht="13.15" customHeight="1" x14ac:dyDescent="0.45">
      <c r="A64" s="3021"/>
      <c r="B64" s="3082" t="s">
        <v>27867</v>
      </c>
      <c r="C64" s="3078" t="s">
        <v>204</v>
      </c>
      <c r="D64" s="3081" t="s">
        <v>210</v>
      </c>
      <c r="E64" s="3072" t="str">
        <f>IF(AND($E$6=1, ROUND(FTE_6a_Health_full_time!$H60, 2)&lt;&gt;FTE_6a_Health_full_time!$H60), CONCATENATE("Price group", " ", $B63, ", ", $C63, " ", "Length", ", Level ", $D63, "; "), "")</f>
        <v/>
      </c>
      <c r="F64" s="3072" t="str">
        <f>IF(AND($F$6=1,FTE_6a_Health_full_time!$E60&lt;&gt;0,ABS(FTE_6a_Health_full_time!$H60-FTE_6a_Health_full_time!$E60)&lt;$F$10),CONCATENATE("Price group"," ",$B64,", ",$C64," ","Length",", Level ",$D64,"; "),"")</f>
        <v/>
      </c>
      <c r="G64" s="3029" t="str">
        <f>IF(AND($G$6=1,LEN(FTE_6a_Health_full_time!$J60)&gt;2000), CONCATENATE("Price group", " ", $B64, ", ", $C64, " ", "Length", ", Level ", $D64, "; "), "")</f>
        <v/>
      </c>
      <c r="H64" s="3072" t="str">
        <f>IF(AND($H$6=1,OR(AND(FTE_6a_Health_full_time!$H60=0,FTE_6a_Health_full_time!$J60&lt;&gt;""),AND(FTE_6a_Health_full_time!$H60&lt;&gt;0,FTE_6a_Health_full_time!$J60=""))),CONCATENATE("Price group"," ",$B64,", ",$C64," ","Length",", Level ",$D64,"; "),"")</f>
        <v/>
      </c>
      <c r="I64" s="3072" t="str">
        <f>IF(AND($I$6=1,FTE_6a_Health_full_time!$G60=0,OR(FTE_6a_Health_full_time!$H60&lt;&gt;0,FTE_6a_Health_full_time!$J60&lt;&gt;"")),CONCATENATE("Price group"," ",$B64,", ",$C64," ","Length",", Level ",$D64,"; "),"")</f>
        <v/>
      </c>
      <c r="K64" s="3080" t="s">
        <v>27867</v>
      </c>
      <c r="L64" s="3024">
        <f t="shared" si="0"/>
        <v>0</v>
      </c>
      <c r="M64" s="3025"/>
      <c r="N64" s="3024">
        <f t="shared" si="1"/>
        <v>0</v>
      </c>
    </row>
    <row r="65" spans="1:16" ht="13.15" customHeight="1" x14ac:dyDescent="0.45">
      <c r="A65" s="3021"/>
      <c r="B65" s="3079" t="s">
        <v>27867</v>
      </c>
      <c r="C65" s="3078" t="s">
        <v>218</v>
      </c>
      <c r="D65" s="3077" t="s">
        <v>27769</v>
      </c>
      <c r="E65" s="3072" t="str">
        <f>IF(AND($E$6=1, ROUND(FTE_6a_Health_full_time!$H61, 2)&lt;&gt;FTE_6a_Health_full_time!$H61), CONCATENATE("Price group", " ", $B64, ", ", $C64, " ", "Length", ", Level ", $D64, "; "), "")</f>
        <v/>
      </c>
      <c r="F65" s="3072" t="str">
        <f>IF(AND($F$6=1,FTE_6a_Health_full_time!$E61&lt;&gt;0,ABS(FTE_6a_Health_full_time!$H61-FTE_6a_Health_full_time!$E61)&lt;$F$10),CONCATENATE("Price group"," ",$B65,", ",$C65," ","Length",", Level ",$D65,"; "),"")</f>
        <v/>
      </c>
      <c r="G65" s="3029" t="str">
        <f>IF(AND($G$6=1,LEN(FTE_6a_Health_full_time!$J61)&gt;2000), CONCATENATE("Price group", " ", $B65, ", ", $C65, " ", "Length", ", Level ", $D65, "; "), "")</f>
        <v/>
      </c>
      <c r="H65" s="3072" t="str">
        <f>IF(AND($H$6=1,OR(AND(FTE_6a_Health_full_time!$H61=0,FTE_6a_Health_full_time!$J61&lt;&gt;""),AND(FTE_6a_Health_full_time!$H61&lt;&gt;0,FTE_6a_Health_full_time!$J61=""))),CONCATENATE("Price group"," ",$B65,", ",$C65," ","Length",", Level ",$D65,"; "),"")</f>
        <v/>
      </c>
      <c r="I65" s="3072" t="str">
        <f>IF(AND($I$6=1,FTE_6a_Health_full_time!$G61=0,OR(FTE_6a_Health_full_time!$H61&lt;&gt;0,FTE_6a_Health_full_time!$J61&lt;&gt;"")),CONCATENATE("Price group"," ",$B65,", ",$C65," ","Length",", Level ",$D65,"; "),"")</f>
        <v/>
      </c>
      <c r="K65" s="3076" t="s">
        <v>27867</v>
      </c>
      <c r="L65" s="3024">
        <f t="shared" si="0"/>
        <v>0</v>
      </c>
      <c r="M65" s="3025"/>
      <c r="N65" s="3024">
        <f t="shared" si="1"/>
        <v>0</v>
      </c>
    </row>
    <row r="66" spans="1:16" ht="13.15" customHeight="1" x14ac:dyDescent="0.45">
      <c r="A66" s="3021"/>
      <c r="B66" s="3075" t="s">
        <v>27867</v>
      </c>
      <c r="C66" s="3078" t="s">
        <v>218</v>
      </c>
      <c r="D66" s="3073" t="s">
        <v>210</v>
      </c>
      <c r="E66" s="3072" t="str">
        <f>IF(AND($E$6=1, ROUND(FTE_6a_Health_full_time!$H62, 2)&lt;&gt;FTE_6a_Health_full_time!$H62), CONCATENATE("Price group", " ", $B65, ", ", $C65, " ", "Length", ", Level ", $D65, "; "), "")</f>
        <v/>
      </c>
      <c r="F66" s="3072" t="str">
        <f>IF(AND($F$6=1,FTE_6a_Health_full_time!$E62&lt;&gt;0,ABS(FTE_6a_Health_full_time!$H62-FTE_6a_Health_full_time!$E62)&lt;$F$10),CONCATENATE("Price group"," ",$B66,", ",$C66," ","Length",", Level ",$D66,"; "),"")</f>
        <v/>
      </c>
      <c r="G66" s="3029" t="str">
        <f>IF(AND($G$6=1,LEN(FTE_6a_Health_full_time!$J62)&gt;2000), CONCATENATE("Price group", " ", $B66, ", ", $C66, " ", "Length", ", Level ", $D66, "; "), "")</f>
        <v/>
      </c>
      <c r="H66" s="3072" t="str">
        <f>IF(AND($H$6=1,OR(AND(FTE_6a_Health_full_time!$H62=0,FTE_6a_Health_full_time!$J62&lt;&gt;""),AND(FTE_6a_Health_full_time!$H62&lt;&gt;0,FTE_6a_Health_full_time!$J62=""))),CONCATENATE("Price group"," ",$B66,", ",$C66," ","Length",", Level ",$D66,"; "),"")</f>
        <v/>
      </c>
      <c r="I66" s="3072" t="str">
        <f>IF(AND($I$6=1,FTE_6a_Health_full_time!$G62=0,OR(FTE_6a_Health_full_time!$H62&lt;&gt;0,FTE_6a_Health_full_time!$J62&lt;&gt;"")),CONCATENATE("Price group"," ",$B66,", ",$C66," ","Length",", Level ",$D66,"; "),"")</f>
        <v/>
      </c>
      <c r="K66" s="3070" t="s">
        <v>27867</v>
      </c>
      <c r="L66" s="3024">
        <f t="shared" si="0"/>
        <v>0</v>
      </c>
      <c r="M66" s="3025"/>
      <c r="N66" s="3024">
        <f t="shared" si="1"/>
        <v>0</v>
      </c>
    </row>
    <row r="67" spans="1:16" ht="13.15" customHeight="1" x14ac:dyDescent="0.45">
      <c r="A67" s="3021"/>
      <c r="B67" s="3077" t="s">
        <v>27869</v>
      </c>
      <c r="C67" s="3084" t="s">
        <v>204</v>
      </c>
      <c r="D67" s="3077" t="s">
        <v>27769</v>
      </c>
      <c r="E67" s="3072" t="str">
        <f>IF(AND($E$6=1, ROUND(FTE_6a_Health_full_time!$H63, 2)&lt;&gt;FTE_6a_Health_full_time!$H63), CONCATENATE("Price group", " ", $B66, ", ", $C66, " ", "Length", ", Level ", $D66, "; "), "")</f>
        <v/>
      </c>
      <c r="F67" s="3072" t="str">
        <f>IF(AND($F$6=1,FTE_6a_Health_full_time!$E63&lt;&gt;0,ABS(FTE_6a_Health_full_time!$H63-FTE_6a_Health_full_time!$E63)&lt;$F$10),CONCATENATE("Price group"," ",$B67,", ",$C67," ","Length",", Level ",$D67,"; "),"")</f>
        <v/>
      </c>
      <c r="G67" s="3029" t="str">
        <f>IF(AND($G$6=1,LEN(FTE_6a_Health_full_time!$J63)&gt;2000), CONCATENATE("Price group", " ", $B67, ", ", $C67, " ", "Length", ", Level ", $D67, "; "), "")</f>
        <v/>
      </c>
      <c r="H67" s="3072" t="str">
        <f>IF(AND($H$6=1,OR(AND(FTE_6a_Health_full_time!$H63=0,FTE_6a_Health_full_time!$J63&lt;&gt;""),AND(FTE_6a_Health_full_time!$H63&lt;&gt;0,FTE_6a_Health_full_time!$J63=""))),CONCATENATE("Price group"," ",$B67,", ",$C67," ","Length",", Level ",$D67,"; "),"")</f>
        <v/>
      </c>
      <c r="I67" s="3072" t="str">
        <f>IF(AND($I$6=1,FTE_6a_Health_full_time!$G63=0,OR(FTE_6a_Health_full_time!$H63&lt;&gt;0,FTE_6a_Health_full_time!$J63&lt;&gt;"")),CONCATENATE("Price group"," ",$B67,", ",$C67," ","Length",", Level ",$D67,"; "),"")</f>
        <v/>
      </c>
      <c r="K67" s="3091" t="s">
        <v>27869</v>
      </c>
      <c r="L67" s="3024">
        <f t="shared" si="0"/>
        <v>0</v>
      </c>
      <c r="M67" s="3025"/>
      <c r="N67" s="3024">
        <f t="shared" si="1"/>
        <v>0</v>
      </c>
    </row>
    <row r="68" spans="1:16" ht="13.15" customHeight="1" x14ac:dyDescent="0.45">
      <c r="A68" s="3021"/>
      <c r="B68" s="3079" t="s">
        <v>27869</v>
      </c>
      <c r="C68" s="3078" t="s">
        <v>204</v>
      </c>
      <c r="D68" s="3090" t="s">
        <v>210</v>
      </c>
      <c r="E68" s="3072" t="str">
        <f>IF(AND($E$6=1, ROUND(FTE_6a_Health_full_time!$H64, 2)&lt;&gt;FTE_6a_Health_full_time!$H64), CONCATENATE("Price group", " ", $B67, ", ", $C67, " ", "Length", ", Level ", $D67, "; "), "")</f>
        <v/>
      </c>
      <c r="F68" s="3072" t="str">
        <f>IF(AND($F$6=1,FTE_6a_Health_full_time!$E64&lt;&gt;0,ABS(FTE_6a_Health_full_time!$H64-FTE_6a_Health_full_time!$E64)&lt;$F$10),CONCATENATE("Price group"," ",$B68,", ",$C68," ","Length",", Level ",$D68,"; "),"")</f>
        <v/>
      </c>
      <c r="G68" s="3029" t="str">
        <f>IF(AND($G$6=1,LEN(FTE_6a_Health_full_time!$J64)&gt;2000), CONCATENATE("Price group", " ", $B68, ", ", $C68, " ", "Length", ", Level ", $D68, "; "), "")</f>
        <v/>
      </c>
      <c r="H68" s="3072" t="str">
        <f>IF(AND($H$6=1,OR(AND(FTE_6a_Health_full_time!$H64=0,FTE_6a_Health_full_time!$J64&lt;&gt;""),AND(FTE_6a_Health_full_time!$H64&lt;&gt;0,FTE_6a_Health_full_time!$J64=""))),CONCATENATE("Price group"," ",$B68,", ",$C68," ","Length",", Level ",$D68,"; "),"")</f>
        <v/>
      </c>
      <c r="I68" s="3072" t="str">
        <f>IF(AND($I$6=1,FTE_6a_Health_full_time!$G64=0,OR(FTE_6a_Health_full_time!$H64&lt;&gt;0,FTE_6a_Health_full_time!$J64&lt;&gt;"")),CONCATENATE("Price group"," ",$B68,", ",$C68," ","Length",", Level ",$D68,"; "),"")</f>
        <v/>
      </c>
      <c r="K68" s="3076" t="s">
        <v>27869</v>
      </c>
      <c r="L68" s="3024">
        <f t="shared" si="0"/>
        <v>0</v>
      </c>
      <c r="M68" s="3025"/>
      <c r="N68" s="3024">
        <f t="shared" si="1"/>
        <v>0</v>
      </c>
    </row>
    <row r="69" spans="1:16" ht="13.15" customHeight="1" x14ac:dyDescent="0.45">
      <c r="A69" s="3021"/>
      <c r="B69" s="3079" t="s">
        <v>27869</v>
      </c>
      <c r="C69" s="3078" t="s">
        <v>218</v>
      </c>
      <c r="D69" s="3077" t="s">
        <v>27769</v>
      </c>
      <c r="E69" s="3072" t="str">
        <f>IF(AND($E$6=1, ROUND(FTE_6a_Health_full_time!$H65, 2)&lt;&gt;FTE_6a_Health_full_time!$H65), CONCATENATE("Price group", " ", $B68, ", ", $C68, " ", "Length", ", Level ", $D68, "; "), "")</f>
        <v/>
      </c>
      <c r="F69" s="3072" t="str">
        <f>IF(AND($F$6=1,FTE_6a_Health_full_time!$E65&lt;&gt;0,ABS(FTE_6a_Health_full_time!$H65-FTE_6a_Health_full_time!$E65)&lt;$F$10),CONCATENATE("Price group"," ",$B69,", ",$C69," ","Length",", Level ",$D69,"; "),"")</f>
        <v/>
      </c>
      <c r="G69" s="3029" t="str">
        <f>IF(AND($G$6=1,LEN(FTE_6a_Health_full_time!$J65)&gt;2000), CONCATENATE("Price group", " ", $B69, ", ", $C69, " ", "Length", ", Level ", $D69, "; "), "")</f>
        <v/>
      </c>
      <c r="H69" s="3072" t="str">
        <f>IF(AND($H$6=1,OR(AND(FTE_6a_Health_full_time!$H65=0,FTE_6a_Health_full_time!$J65&lt;&gt;""),AND(FTE_6a_Health_full_time!$H65&lt;&gt;0,FTE_6a_Health_full_time!$J65=""))),CONCATENATE("Price group"," ",$B69,", ",$C69," ","Length",", Level ",$D69,"; "),"")</f>
        <v/>
      </c>
      <c r="I69" s="3072" t="str">
        <f>IF(AND($I$6=1,FTE_6a_Health_full_time!$G65=0,OR(FTE_6a_Health_full_time!$H65&lt;&gt;0,FTE_6a_Health_full_time!$J65&lt;&gt;"")),CONCATENATE("Price group"," ",$B69,", ",$C69," ","Length",", Level ",$D69,"; "),"")</f>
        <v/>
      </c>
      <c r="K69" s="3076" t="s">
        <v>27869</v>
      </c>
      <c r="L69" s="3024">
        <f t="shared" si="0"/>
        <v>0</v>
      </c>
      <c r="M69" s="3025"/>
      <c r="N69" s="3024">
        <f t="shared" si="1"/>
        <v>0</v>
      </c>
    </row>
    <row r="70" spans="1:16" ht="13.15" customHeight="1" x14ac:dyDescent="0.45">
      <c r="A70" s="3021"/>
      <c r="B70" s="3075" t="s">
        <v>27869</v>
      </c>
      <c r="C70" s="3078" t="s">
        <v>218</v>
      </c>
      <c r="D70" s="3073" t="s">
        <v>210</v>
      </c>
      <c r="E70" s="3072" t="str">
        <f>IF(AND($E$6=1, ROUND(FTE_6a_Health_full_time!$H66, 2)&lt;&gt;FTE_6a_Health_full_time!$H66), CONCATENATE("Price group", " ", $B69, ", ", $C69, " ", "Length", ", Level ", $D69, "; "), "")</f>
        <v/>
      </c>
      <c r="F70" s="3072" t="str">
        <f>IF(AND($F$6=1,FTE_6a_Health_full_time!$E66&lt;&gt;0,ABS(FTE_6a_Health_full_time!$H66-FTE_6a_Health_full_time!$E66)&lt;$F$10),CONCATENATE("Price group"," ",$B70,", ",$C70," ","Length",", Level ",$D70,"; "),"")</f>
        <v/>
      </c>
      <c r="G70" s="3029" t="str">
        <f>IF(AND($G$6=1,LEN(FTE_6a_Health_full_time!$J66)&gt;2000), CONCATENATE("Price group", " ", $B70, ", ", $C70, " ", "Length", ", Level ", $D70, "; "), "")</f>
        <v/>
      </c>
      <c r="H70" s="3072" t="str">
        <f>IF(AND($H$6=1,OR(AND(FTE_6a_Health_full_time!$H66=0,FTE_6a_Health_full_time!$J66&lt;&gt;""),AND(FTE_6a_Health_full_time!$H66&lt;&gt;0,FTE_6a_Health_full_time!$J66=""))),CONCATENATE("Price group"," ",$B70,", ",$C70," ","Length",", Level ",$D70,"; "),"")</f>
        <v/>
      </c>
      <c r="I70" s="3072" t="str">
        <f>IF(AND($I$6=1,FTE_6a_Health_full_time!$G66=0,OR(FTE_6a_Health_full_time!$H66&lt;&gt;0,FTE_6a_Health_full_time!$J66&lt;&gt;"")),CONCATENATE("Price group"," ",$B70,", ",$C70," ","Length",", Level ",$D70,"; "),"")</f>
        <v/>
      </c>
      <c r="K70" s="3070" t="s">
        <v>27869</v>
      </c>
      <c r="L70" s="3024">
        <f t="shared" si="0"/>
        <v>0</v>
      </c>
      <c r="M70" s="3025"/>
      <c r="N70" s="3024">
        <f t="shared" si="1"/>
        <v>0</v>
      </c>
    </row>
    <row r="71" spans="1:16" ht="13.15" customHeight="1" x14ac:dyDescent="0.45">
      <c r="A71" s="3021"/>
      <c r="B71" s="3085" t="s">
        <v>27871</v>
      </c>
      <c r="C71" s="3084" t="s">
        <v>204</v>
      </c>
      <c r="D71" s="3077" t="s">
        <v>27769</v>
      </c>
      <c r="E71" s="3072" t="str">
        <f>IF(AND($E$6=1, ROUND(FTE_6a_Health_full_time!$H67, 2)&lt;&gt;FTE_6a_Health_full_time!$H67), CONCATENATE("Price group", " ", $B70, ", ", $C70, " ", "Length", ", Level ", $D70, "; "), "")</f>
        <v/>
      </c>
      <c r="F71" s="3072" t="str">
        <f>IF(AND($F$6=1,FTE_6a_Health_full_time!$E67&lt;&gt;0,ABS(FTE_6a_Health_full_time!$H67-FTE_6a_Health_full_time!$E67)&lt;$F$10),CONCATENATE("Price group"," ",$B71,", ",$C71," ","Length",", Level ",$D71,"; "),"")</f>
        <v/>
      </c>
      <c r="G71" s="3029" t="str">
        <f>IF(AND($G$6=1,LEN(FTE_6a_Health_full_time!$J67)&gt;2000), CONCATENATE("Price group", " ", $B71, ", ", $C71, " ", "Length", ", Level ", $D71, "; "), "")</f>
        <v/>
      </c>
      <c r="H71" s="3072" t="str">
        <f>IF(AND($H$6=1,OR(AND(FTE_6a_Health_full_time!$H67=0,FTE_6a_Health_full_time!$J67&lt;&gt;""),AND(FTE_6a_Health_full_time!$H67&lt;&gt;0,FTE_6a_Health_full_time!$J67=""))),CONCATENATE("Price group"," ",$B71,", ",$C71," ","Length",", Level ",$D71,"; "),"")</f>
        <v/>
      </c>
      <c r="I71" s="3072" t="str">
        <f>IF(AND($I$6=1,FTE_6a_Health_full_time!$G67=0,OR(FTE_6a_Health_full_time!$H67&lt;&gt;0,FTE_6a_Health_full_time!$J67&lt;&gt;"")),CONCATENATE("Price group"," ",$B71,", ",$C71," ","Length",", Level ",$D71,"; "),"")</f>
        <v/>
      </c>
      <c r="K71" s="3083" t="s">
        <v>27871</v>
      </c>
      <c r="L71" s="3024">
        <f t="shared" si="0"/>
        <v>0</v>
      </c>
      <c r="M71" s="3025"/>
      <c r="N71" s="3024">
        <f t="shared" si="1"/>
        <v>0</v>
      </c>
    </row>
    <row r="72" spans="1:16" ht="13.15" customHeight="1" x14ac:dyDescent="0.45">
      <c r="A72" s="3021"/>
      <c r="B72" s="3082" t="s">
        <v>27871</v>
      </c>
      <c r="C72" s="3078" t="s">
        <v>204</v>
      </c>
      <c r="D72" s="3081" t="s">
        <v>210</v>
      </c>
      <c r="E72" s="3072" t="str">
        <f>IF(AND($E$6=1, ROUND(FTE_6a_Health_full_time!$H68, 2)&lt;&gt;FTE_6a_Health_full_time!$H68), CONCATENATE("Price group", " ", $B71, ", ", $C71, " ", "Length", ", Level ", $D71, "; "), "")</f>
        <v/>
      </c>
      <c r="F72" s="3072" t="str">
        <f>IF(AND($F$6=1,FTE_6a_Health_full_time!$E68&lt;&gt;0,ABS(FTE_6a_Health_full_time!$H68-FTE_6a_Health_full_time!$E68)&lt;$F$10),CONCATENATE("Price group"," ",$B72,", ",$C72," ","Length",", Level ",$D72,"; "),"")</f>
        <v/>
      </c>
      <c r="G72" s="3029" t="str">
        <f>IF(AND($G$6=1,LEN(FTE_6a_Health_full_time!$J68)&gt;2000), CONCATENATE("Price group", " ", $B72, ", ", $C72, " ", "Length", ", Level ", $D72, "; "), "")</f>
        <v/>
      </c>
      <c r="H72" s="3072" t="str">
        <f>IF(AND($H$6=1,OR(AND(FTE_6a_Health_full_time!$H68=0,FTE_6a_Health_full_time!$J68&lt;&gt;""),AND(FTE_6a_Health_full_time!$H68&lt;&gt;0,FTE_6a_Health_full_time!$J68=""))),CONCATENATE("Price group"," ",$B72,", ",$C72," ","Length",", Level ",$D72,"; "),"")</f>
        <v/>
      </c>
      <c r="I72" s="3072" t="str">
        <f>IF(AND($I$6=1,FTE_6a_Health_full_time!$G68=0,OR(FTE_6a_Health_full_time!$H68&lt;&gt;0,FTE_6a_Health_full_time!$J68&lt;&gt;"")),CONCATENATE("Price group"," ",$B72,", ",$C72," ","Length",", Level ",$D72,"; "),"")</f>
        <v/>
      </c>
      <c r="K72" s="3080" t="s">
        <v>27871</v>
      </c>
      <c r="L72" s="3024">
        <f t="shared" si="0"/>
        <v>0</v>
      </c>
      <c r="M72" s="3025"/>
      <c r="N72" s="3024">
        <f t="shared" si="1"/>
        <v>0</v>
      </c>
    </row>
    <row r="73" spans="1:16" ht="13.15" customHeight="1" x14ac:dyDescent="0.45">
      <c r="A73" s="3021"/>
      <c r="B73" s="3079" t="s">
        <v>27871</v>
      </c>
      <c r="C73" s="3078" t="s">
        <v>218</v>
      </c>
      <c r="D73" s="3077" t="s">
        <v>27769</v>
      </c>
      <c r="E73" s="3072" t="str">
        <f>IF(AND($E$6=1, ROUND(FTE_6a_Health_full_time!$H69, 2)&lt;&gt;FTE_6a_Health_full_time!$H69), CONCATENATE("Price group", " ", $B72, ", ", $C72, " ", "Length", ", Level ", $D72, "; "), "")</f>
        <v/>
      </c>
      <c r="F73" s="3072" t="str">
        <f>IF(AND($F$6=1,FTE_6a_Health_full_time!$E69&lt;&gt;0,ABS(FTE_6a_Health_full_time!$H69-FTE_6a_Health_full_time!$E69)&lt;$F$10),CONCATENATE("Price group"," ",$B73,", ",$C73," ","Length",", Level ",$D73,"; "),"")</f>
        <v/>
      </c>
      <c r="G73" s="3029" t="str">
        <f>IF(AND($G$6=1,LEN(FTE_6a_Health_full_time!$J69)&gt;2000), CONCATENATE("Price group", " ", $B73, ", ", $C73, " ", "Length", ", Level ", $D73, "; "), "")</f>
        <v/>
      </c>
      <c r="H73" s="3072" t="str">
        <f>IF(AND($H$6=1,OR(AND(FTE_6a_Health_full_time!$H69=0,FTE_6a_Health_full_time!$J69&lt;&gt;""),AND(FTE_6a_Health_full_time!$H69&lt;&gt;0,FTE_6a_Health_full_time!$J69=""))),CONCATENATE("Price group"," ",$B73,", ",$C73," ","Length",", Level ",$D73,"; "),"")</f>
        <v/>
      </c>
      <c r="I73" s="3072" t="str">
        <f>IF(AND($I$6=1,FTE_6a_Health_full_time!$G69=0,OR(FTE_6a_Health_full_time!$H69&lt;&gt;0,FTE_6a_Health_full_time!$J69&lt;&gt;"")),CONCATENATE("Price group"," ",$B73,", ",$C73," ","Length",", Level ",$D73,"; "),"")</f>
        <v/>
      </c>
      <c r="K73" s="3076" t="s">
        <v>27871</v>
      </c>
      <c r="L73" s="3024">
        <f t="shared" si="0"/>
        <v>0</v>
      </c>
      <c r="M73" s="3025"/>
      <c r="N73" s="3024">
        <f t="shared" si="1"/>
        <v>0</v>
      </c>
    </row>
    <row r="74" spans="1:16" ht="13.15" customHeight="1" x14ac:dyDescent="0.45">
      <c r="A74" s="3021"/>
      <c r="B74" s="3075" t="s">
        <v>27871</v>
      </c>
      <c r="C74" s="3078" t="s">
        <v>218</v>
      </c>
      <c r="D74" s="3073" t="s">
        <v>210</v>
      </c>
      <c r="E74" s="3072" t="str">
        <f>IF(AND($E$6=1, ROUND(FTE_6a_Health_full_time!$H70, 2)&lt;&gt;FTE_6a_Health_full_time!$H70), CONCATENATE("Price group", " ", $B73, ", ", $C73, " ", "Length", ", Level ", $D73, "; "), "")</f>
        <v/>
      </c>
      <c r="F74" s="3072" t="str">
        <f>IF(AND($F$6=1,FTE_6a_Health_full_time!$E70&lt;&gt;0,ABS(FTE_6a_Health_full_time!$H70-FTE_6a_Health_full_time!$E70)&lt;$F$10),CONCATENATE("Price group"," ",$B74,", ",$C74," ","Length",", Level ",$D74,"; "),"")</f>
        <v/>
      </c>
      <c r="G74" s="3029" t="str">
        <f>IF(AND($G$6=1,LEN(FTE_6a_Health_full_time!$J70)&gt;2000), CONCATENATE("Price group", " ", $B74, ", ", $C74, " ", "Length", ", Level ", $D74, "; "), "")</f>
        <v/>
      </c>
      <c r="H74" s="3071" t="str">
        <f>IF(AND($H$6=1,OR(AND(FTE_6a_Health_full_time!$H70=0,FTE_6a_Health_full_time!$J70&lt;&gt;""),AND(FTE_6a_Health_full_time!$H70&lt;&gt;0,FTE_6a_Health_full_time!$J70=""))),CONCATENATE("Price group"," ",$B74,", ",$C74," ","Length",", Level ",$D74,"; "),"")</f>
        <v/>
      </c>
      <c r="I74" s="3071" t="str">
        <f>IF(AND($I$6=1,FTE_6a_Health_full_time!$G70=0,OR(FTE_6a_Health_full_time!$H70&lt;&gt;0,FTE_6a_Health_full_time!$J70&lt;&gt;"")),CONCATENATE("Price group"," ",$B74,", ",$C74," ","Length",", Level ",$D74,"; "),"")</f>
        <v/>
      </c>
      <c r="K74" s="3070" t="s">
        <v>27871</v>
      </c>
      <c r="L74" s="3024">
        <f t="shared" si="0"/>
        <v>0</v>
      </c>
      <c r="M74" s="3025"/>
      <c r="N74" s="3024">
        <f t="shared" si="1"/>
        <v>0</v>
      </c>
    </row>
    <row r="75" spans="1:16" ht="13.15" customHeight="1" x14ac:dyDescent="0.45">
      <c r="A75" s="3021"/>
      <c r="B75" s="3085" t="s">
        <v>27873</v>
      </c>
      <c r="C75" s="3084" t="s">
        <v>204</v>
      </c>
      <c r="D75" s="3077" t="s">
        <v>27769</v>
      </c>
      <c r="E75" s="3072" t="str">
        <f>IF(AND($E$6=1, ROUND(FTE_6a_Health_full_time!$H71, 2)&lt;&gt;FTE_6a_Health_full_time!$H71), CONCATENATE("Price group", " ", $B74, ", ", $C74, " ", "Length", ", Level ", $D74, "; "), "")</f>
        <v/>
      </c>
      <c r="F75" s="3072" t="str">
        <f>IF(AND($F$6=1,FTE_6a_Health_full_time!$E71&lt;&gt;0,ABS(FTE_6a_Health_full_time!$H71-FTE_6a_Health_full_time!$E71)&lt;$F$10),CONCATENATE("Price group"," ",$B75,", ",$C75," ","Length",", Level ",$D75,"; "),"")</f>
        <v/>
      </c>
      <c r="G75" s="3029" t="str">
        <f>IF(AND($G$6=1,LEN(FTE_6a_Health_full_time!$J71)&gt;2000), CONCATENATE("Price group", " ", $B75, ", ", $C75, " ", "Length", ", Level ", $D75, "; "), "")</f>
        <v/>
      </c>
      <c r="H75" s="3072" t="str">
        <f>IF(AND($H$6=1,OR(AND(FTE_6a_Health_full_time!$H71=0,FTE_6a_Health_full_time!$J71&lt;&gt;""),AND(FTE_6a_Health_full_time!$H71&lt;&gt;0,FTE_6a_Health_full_time!$J71=""))),CONCATENATE("Price group"," ",$B75,", ",$C75," ","Length",", Level ",$D75,"; "),"")</f>
        <v/>
      </c>
      <c r="I75" s="3072" t="str">
        <f>IF(AND($I$6=1,FTE_6a_Health_full_time!$G71=0,OR(FTE_6a_Health_full_time!$H71&lt;&gt;0,FTE_6a_Health_full_time!$J71&lt;&gt;"")),CONCATENATE("Price group"," ",$B75,", ",$C75," ","Length",", Level ",$D75,"; "),"")</f>
        <v/>
      </c>
      <c r="K75" s="3083" t="s">
        <v>27873</v>
      </c>
      <c r="L75" s="3024">
        <f t="shared" si="0"/>
        <v>0</v>
      </c>
      <c r="M75" s="3025"/>
      <c r="N75" s="3024">
        <f t="shared" si="1"/>
        <v>0</v>
      </c>
    </row>
    <row r="76" spans="1:16" ht="13.15" customHeight="1" x14ac:dyDescent="0.45">
      <c r="A76" s="3021"/>
      <c r="B76" s="3082" t="s">
        <v>27873</v>
      </c>
      <c r="C76" s="3078" t="s">
        <v>204</v>
      </c>
      <c r="D76" s="3081" t="s">
        <v>210</v>
      </c>
      <c r="E76" s="3072" t="str">
        <f>IF(AND($E$6=1, ROUND(FTE_6a_Health_full_time!$H72, 2)&lt;&gt;FTE_6a_Health_full_time!$H72), CONCATENATE("Price group", " ", $B75, ", ", $C75, " ", "Length", ", Level ", $D75, "; "), "")</f>
        <v/>
      </c>
      <c r="F76" s="3072" t="str">
        <f>IF(AND($F$6=1,FTE_6a_Health_full_time!$E72&lt;&gt;0,ABS(FTE_6a_Health_full_time!$H72-FTE_6a_Health_full_time!$E72)&lt;$F$10),CONCATENATE("Price group"," ",$B76,", ",$C76," ","Length",", Level ",$D76,"; "),"")</f>
        <v/>
      </c>
      <c r="G76" s="3029" t="str">
        <f>IF(AND($G$6=1,LEN(FTE_6a_Health_full_time!$J72)&gt;2000), CONCATENATE("Price group", " ", $B76, ", ", $C76, " ", "Length", ", Level ", $D76, "; "), "")</f>
        <v/>
      </c>
      <c r="H76" s="3089" t="str">
        <f>IF(AND($H$6=1,OR(AND(FTE_6a_Health_full_time!$H72=0,FTE_6a_Health_full_time!$J72&lt;&gt;""),AND(FTE_6a_Health_full_time!$H72&lt;&gt;0,FTE_6a_Health_full_time!$J72=""))),CONCATENATE("Price group"," ",$B76,", ",$C76," ","Length",", Level ",$D76,"; "),"")</f>
        <v/>
      </c>
      <c r="I76" s="3089" t="str">
        <f>IF(AND($I$6=1,FTE_6a_Health_full_time!$G72=0,OR(FTE_6a_Health_full_time!$H72&lt;&gt;0,FTE_6a_Health_full_time!$J72&lt;&gt;"")),CONCATENATE("Price group"," ",$B76,", ",$C76," ","Length",", Level ",$D76,"; "),"")</f>
        <v/>
      </c>
      <c r="K76" s="3080" t="s">
        <v>27873</v>
      </c>
      <c r="L76" s="3024">
        <f t="shared" si="0"/>
        <v>0</v>
      </c>
      <c r="M76" s="3025"/>
      <c r="N76" s="3024">
        <f t="shared" si="1"/>
        <v>0</v>
      </c>
    </row>
    <row r="77" spans="1:16" ht="13.15" customHeight="1" x14ac:dyDescent="0.45">
      <c r="A77" s="3021"/>
      <c r="B77" s="3079" t="s">
        <v>27873</v>
      </c>
      <c r="C77" s="3078" t="s">
        <v>218</v>
      </c>
      <c r="D77" s="3077" t="s">
        <v>27769</v>
      </c>
      <c r="E77" s="3072" t="str">
        <f>IF(AND($E$6=1, ROUND(FTE_6a_Health_full_time!$H73, 2)&lt;&gt;FTE_6a_Health_full_time!$H73), CONCATENATE("Price group", " ", $B76, ", ", $C76, " ", "Length", ", Level ", $D76, "; "), "")</f>
        <v/>
      </c>
      <c r="F77" s="3072" t="str">
        <f>IF(AND($F$6=1,FTE_6a_Health_full_time!$E73&lt;&gt;0,ABS(FTE_6a_Health_full_time!$H73-FTE_6a_Health_full_time!$E73)&lt;$F$10),CONCATENATE("Price group"," ",$B77,", ",$C77," ","Length",", Level ",$D77,"; "),"")</f>
        <v/>
      </c>
      <c r="G77" s="3029" t="str">
        <f>IF(AND($G$6=1,LEN(FTE_6a_Health_full_time!$J73)&gt;2000), CONCATENATE("Price group", " ", $B77, ", ", $C77, " ", "Length", ", Level ", $D77, "; "), "")</f>
        <v/>
      </c>
      <c r="H77" s="3089" t="str">
        <f>IF(AND($H$6=1,OR(AND(FTE_6a_Health_full_time!$H73=0,FTE_6a_Health_full_time!$J73&lt;&gt;""),AND(FTE_6a_Health_full_time!$H73&lt;&gt;0,FTE_6a_Health_full_time!$J73=""))),CONCATENATE("Price group"," ",$B77,", ",$C77," ","Length",", Level ",$D77,"; "),"")</f>
        <v/>
      </c>
      <c r="I77" s="3089" t="str">
        <f>IF(AND($I$6=1,FTE_6a_Health_full_time!$G73=0,OR(FTE_6a_Health_full_time!$H73&lt;&gt;0,FTE_6a_Health_full_time!$J73&lt;&gt;"")),CONCATENATE("Price group"," ",$B77,", ",$C77," ","Length",", Level ",$D77,"; "),"")</f>
        <v/>
      </c>
      <c r="K77" s="3076" t="s">
        <v>27873</v>
      </c>
      <c r="L77" s="3024">
        <f t="shared" si="0"/>
        <v>0</v>
      </c>
      <c r="M77" s="3025"/>
      <c r="N77" s="3024">
        <f t="shared" si="1"/>
        <v>0</v>
      </c>
      <c r="P77" s="2377"/>
    </row>
    <row r="78" spans="1:16" ht="13.15" customHeight="1" x14ac:dyDescent="0.45">
      <c r="A78" s="3021"/>
      <c r="B78" s="3075" t="s">
        <v>27873</v>
      </c>
      <c r="C78" s="3078" t="s">
        <v>218</v>
      </c>
      <c r="D78" s="3073" t="s">
        <v>210</v>
      </c>
      <c r="E78" s="3072" t="str">
        <f>IF(AND($E$6=1, ROUND(FTE_6a_Health_full_time!$H74, 2)&lt;&gt;FTE_6a_Health_full_time!$H74), CONCATENATE("Price group", " ", $B77, ", ", $C77, " ", "Length", ", Level ", $D77, "; "), "")</f>
        <v/>
      </c>
      <c r="F78" s="3072" t="str">
        <f>IF(AND($F$6=1,FTE_6a_Health_full_time!$E74&lt;&gt;0,ABS(FTE_6a_Health_full_time!$H74-FTE_6a_Health_full_time!$E74)&lt;$F$10),CONCATENATE("Price group"," ",$B78,", ",$C78," ","Length",", Level ",$D78,"; "),"")</f>
        <v/>
      </c>
      <c r="G78" s="3029" t="str">
        <f>IF(AND($G$6=1,LEN(FTE_6a_Health_full_time!$J74)&gt;2000), CONCATENATE("Price group", " ", $B78, ", ", $C78, " ", "Length", ", Level ", $D78, "; "), "")</f>
        <v/>
      </c>
      <c r="H78" s="3072" t="str">
        <f>IF(AND($H$6=1,OR(AND(FTE_6a_Health_full_time!$H74=0,FTE_6a_Health_full_time!$J74&lt;&gt;""),AND(FTE_6a_Health_full_time!$H74&lt;&gt;0,FTE_6a_Health_full_time!$J74=""))),CONCATENATE("Price group"," ",$B78,", ",$C78," ","Length",", Level ",$D78,"; "),"")</f>
        <v/>
      </c>
      <c r="I78" s="3072" t="str">
        <f>IF(AND($I$6=1,FTE_6a_Health_full_time!$G74=0,OR(FTE_6a_Health_full_time!$H74&lt;&gt;0,FTE_6a_Health_full_time!$J74&lt;&gt;"")),CONCATENATE("Price group"," ",$B78,", ",$C78," ","Length",", Level ",$D78,"; "),"")</f>
        <v/>
      </c>
      <c r="K78" s="3070" t="s">
        <v>27873</v>
      </c>
      <c r="L78" s="3024">
        <f t="shared" ref="L78:L86" si="2">IF(OR(E78&lt;&gt;"",F78&lt;&gt;"",H78&lt;&gt;"",I78&lt;&gt;""),1,0)</f>
        <v>0</v>
      </c>
      <c r="M78" s="3025"/>
      <c r="N78" s="3024">
        <f t="shared" ref="N78:N86" si="3">IF(OR(G78&lt;&gt;"",H78&lt;&gt;"",I78&lt;&gt;""),1,0)</f>
        <v>0</v>
      </c>
      <c r="P78" s="2377"/>
    </row>
    <row r="79" spans="1:16" ht="13.15" customHeight="1" x14ac:dyDescent="0.45">
      <c r="A79" s="3021"/>
      <c r="B79" s="3085" t="s">
        <v>27875</v>
      </c>
      <c r="C79" s="3084" t="s">
        <v>204</v>
      </c>
      <c r="D79" s="3077" t="s">
        <v>27769</v>
      </c>
      <c r="E79" s="3072" t="str">
        <f>IF(AND($E$6=1, ROUND(FTE_6a_Health_full_time!$H75, 2)&lt;&gt;FTE_6a_Health_full_time!$H75), CONCATENATE("Price group", " ", $B78, ", ", $C78, " ", "Length", ", Level ", $D78, "; "), "")</f>
        <v/>
      </c>
      <c r="F79" s="3072" t="str">
        <f>IF(AND($F$6=1,FTE_6a_Health_full_time!$E75&lt;&gt;0,ABS(FTE_6a_Health_full_time!$H75-FTE_6a_Health_full_time!$E75)&lt;$F$10),CONCATENATE("Price group"," ",$B79,", ",$C79," ","Length",", Level ",$D79,"; "),"")</f>
        <v/>
      </c>
      <c r="G79" s="3029" t="str">
        <f>IF(AND($G$6=1,LEN(FTE_6a_Health_full_time!$J75)&gt;2000), CONCATENATE("Price group", " ", $B79, ", ", $C79, " ", "Length", ", Level ", $D79, "; "), "")</f>
        <v/>
      </c>
      <c r="H79" s="3072" t="str">
        <f>IF(AND($H$6=1,OR(AND(FTE_6a_Health_full_time!$H75=0,FTE_6a_Health_full_time!$J75&lt;&gt;""),AND(FTE_6a_Health_full_time!$H75&lt;&gt;0,FTE_6a_Health_full_time!$J75=""))),CONCATENATE("Price group"," ",$B79,", ",$C79," ","Length",", Level ",$D79,"; "),"")</f>
        <v/>
      </c>
      <c r="I79" s="3072" t="str">
        <f>IF(AND($I$6=1,FTE_6a_Health_full_time!$G75=0,OR(FTE_6a_Health_full_time!$H75&lt;&gt;0,FTE_6a_Health_full_time!$J75&lt;&gt;"")),CONCATENATE("Price group"," ",$B79,", ",$C79," ","Length",", Level ",$D79,"; "),"")</f>
        <v/>
      </c>
      <c r="K79" s="3083" t="s">
        <v>27875</v>
      </c>
      <c r="L79" s="3024">
        <f t="shared" si="2"/>
        <v>0</v>
      </c>
      <c r="M79" s="3025"/>
      <c r="N79" s="3024">
        <f t="shared" si="3"/>
        <v>0</v>
      </c>
      <c r="P79" s="2377"/>
    </row>
    <row r="80" spans="1:16" ht="13.15" customHeight="1" x14ac:dyDescent="0.45">
      <c r="A80" s="3021"/>
      <c r="B80" s="3082" t="s">
        <v>27875</v>
      </c>
      <c r="C80" s="3078" t="s">
        <v>204</v>
      </c>
      <c r="D80" s="3088" t="s">
        <v>210</v>
      </c>
      <c r="E80" s="3072" t="str">
        <f>IF(AND($E$6=1, ROUND(FTE_6a_Health_full_time!$H76, 2)&lt;&gt;FTE_6a_Health_full_time!$H76), CONCATENATE("Price group", " ", $B79, ", ", $C79, " ", "Length", ", Level ", $D79, "; "), "")</f>
        <v/>
      </c>
      <c r="F80" s="3072" t="str">
        <f>IF(AND($F$6=1,FTE_6a_Health_full_time!$E76&lt;&gt;0,ABS(FTE_6a_Health_full_time!$H76-FTE_6a_Health_full_time!$E76)&lt;$F$10),CONCATENATE("Price group"," ",$B80,", ",$C80," ","Length",", Level ",$D80,"; "),"")</f>
        <v/>
      </c>
      <c r="G80" s="3029" t="str">
        <f>IF(AND($G$6=1,LEN(FTE_6a_Health_full_time!$J76)&gt;2000), CONCATENATE("Price group", " ", $B80, ", ", $C80, " ", "Length", ", Level ", $D80, "; "), "")</f>
        <v/>
      </c>
      <c r="H80" s="3087" t="str">
        <f>IF(AND($H$6=1,OR(AND(FTE_6a_Health_full_time!$H76=0,FTE_6a_Health_full_time!$J76&lt;&gt;""),AND(FTE_6a_Health_full_time!$H76&lt;&gt;0,FTE_6a_Health_full_time!$J76=""))),CONCATENATE("Price group"," ",$B80,", ",$C80," ","Length",", Level ",$D80,"; "),"")</f>
        <v/>
      </c>
      <c r="I80" s="3087" t="str">
        <f>IF(AND($I$6=1,FTE_6a_Health_full_time!$G76=0,OR(FTE_6a_Health_full_time!$H76&lt;&gt;0,FTE_6a_Health_full_time!$J76&lt;&gt;"")),CONCATENATE("Price group"," ",$B80,", ",$C80," ","Length",", Level ",$D80,"; "),"")</f>
        <v/>
      </c>
      <c r="K80" s="3080" t="s">
        <v>27875</v>
      </c>
      <c r="L80" s="3024">
        <f t="shared" si="2"/>
        <v>0</v>
      </c>
      <c r="M80" s="3025"/>
      <c r="N80" s="3024">
        <f t="shared" si="3"/>
        <v>0</v>
      </c>
      <c r="P80" s="2377"/>
    </row>
    <row r="81" spans="1:16" ht="13.15" customHeight="1" x14ac:dyDescent="0.45">
      <c r="A81" s="3021"/>
      <c r="B81" s="3079" t="s">
        <v>27875</v>
      </c>
      <c r="C81" s="3078" t="s">
        <v>218</v>
      </c>
      <c r="D81" s="3077" t="s">
        <v>27769</v>
      </c>
      <c r="E81" s="3072" t="str">
        <f>IF(AND($E$6=1, ROUND(FTE_6a_Health_full_time!$H77, 2)&lt;&gt;FTE_6a_Health_full_time!$H77), CONCATENATE("Price group", " ", $B80, ", ", $C80, " ", "Length", ", Level ", $D80, "; "), "")</f>
        <v/>
      </c>
      <c r="F81" s="3072" t="str">
        <f>IF(AND($F$6=1,FTE_6a_Health_full_time!$E77&lt;&gt;0,ABS(FTE_6a_Health_full_time!$H77-FTE_6a_Health_full_time!$E77)&lt;$F$10),CONCATENATE("Price group"," ",$B81,", ",$C81," ","Length",", Level ",$D81,"; "),"")</f>
        <v/>
      </c>
      <c r="G81" s="3029" t="str">
        <f>IF(AND($G$6=1,LEN(FTE_6a_Health_full_time!$J77)&gt;2000), CONCATENATE("Price group", " ", $B81, ", ", $C81, " ", "Length", ", Level ", $D81, "; "), "")</f>
        <v/>
      </c>
      <c r="H81" s="3086" t="str">
        <f>IF(AND($H$6=1,OR(AND(FTE_6a_Health_full_time!$H77=0,FTE_6a_Health_full_time!$J77&lt;&gt;""),AND(FTE_6a_Health_full_time!$H77&lt;&gt;0,FTE_6a_Health_full_time!$J77=""))),CONCATENATE("Price group"," ",$B81,", ",$C81," ","Length",", Level ",$D81,"; "),"")</f>
        <v/>
      </c>
      <c r="I81" s="3086" t="str">
        <f>IF(AND($I$6=1,FTE_6a_Health_full_time!$G77=0,OR(FTE_6a_Health_full_time!$H77&lt;&gt;0,FTE_6a_Health_full_time!$J77&lt;&gt;"")),CONCATENATE("Price group"," ",$B81,", ",$C81," ","Length",", Level ",$D81,"; "),"")</f>
        <v/>
      </c>
      <c r="K81" s="3076" t="s">
        <v>27875</v>
      </c>
      <c r="L81" s="3024">
        <f t="shared" si="2"/>
        <v>0</v>
      </c>
      <c r="M81" s="3025"/>
      <c r="N81" s="3024">
        <f t="shared" si="3"/>
        <v>0</v>
      </c>
      <c r="P81" s="2377"/>
    </row>
    <row r="82" spans="1:16" ht="13.15" customHeight="1" x14ac:dyDescent="0.45">
      <c r="A82" s="3021"/>
      <c r="B82" s="3075" t="s">
        <v>27875</v>
      </c>
      <c r="C82" s="3078" t="s">
        <v>218</v>
      </c>
      <c r="D82" s="3073" t="s">
        <v>210</v>
      </c>
      <c r="E82" s="3072" t="str">
        <f>IF(AND($E$6=1, ROUND(FTE_6a_Health_full_time!$H78, 2)&lt;&gt;FTE_6a_Health_full_time!$H78), CONCATENATE("Price group", " ", $B81, ", ", $C81, " ", "Length", ", Level ", $D81, "; "), "")</f>
        <v/>
      </c>
      <c r="F82" s="3072" t="str">
        <f>IF(AND($F$6=1,FTE_6a_Health_full_time!$E78&lt;&gt;0,ABS(FTE_6a_Health_full_time!$H78-FTE_6a_Health_full_time!$E78)&lt;$F$10),CONCATENATE("Price group"," ",$B82,", ",$C82," ","Length",", Level ",$D82,"; "),"")</f>
        <v/>
      </c>
      <c r="G82" s="3029" t="str">
        <f>IF(AND($G$6=1,LEN(FTE_6a_Health_full_time!$J78)&gt;2000), CONCATENATE("Price group", " ", $B82, ", ", $C82, " ", "Length", ", Level ", $D82, "; "), "")</f>
        <v/>
      </c>
      <c r="H82" s="3071" t="str">
        <f>IF(AND($H$6=1,OR(AND(FTE_6a_Health_full_time!$H78=0,FTE_6a_Health_full_time!$J78&lt;&gt;""),AND(FTE_6a_Health_full_time!$H78&lt;&gt;0,FTE_6a_Health_full_time!$J78=""))),CONCATENATE("Price group"," ",$B82,", ",$C82," ","Length",", Level ",$D82,"; "),"")</f>
        <v/>
      </c>
      <c r="I82" s="3071" t="str">
        <f>IF(AND($I$6=1,FTE_6a_Health_full_time!$G78=0,OR(FTE_6a_Health_full_time!$H78&lt;&gt;0,FTE_6a_Health_full_time!$J78&lt;&gt;"")),CONCATENATE("Price group"," ",$B82,", ",$C82," ","Length",", Level ",$D82,"; "),"")</f>
        <v/>
      </c>
      <c r="K82" s="3070" t="s">
        <v>27875</v>
      </c>
      <c r="L82" s="3024">
        <f t="shared" si="2"/>
        <v>0</v>
      </c>
      <c r="M82" s="3025"/>
      <c r="N82" s="3024">
        <f t="shared" si="3"/>
        <v>0</v>
      </c>
      <c r="P82" s="2377"/>
    </row>
    <row r="83" spans="1:16" ht="13.15" customHeight="1" x14ac:dyDescent="0.45">
      <c r="A83" s="3021"/>
      <c r="B83" s="3085" t="s">
        <v>27877</v>
      </c>
      <c r="C83" s="3084" t="s">
        <v>204</v>
      </c>
      <c r="D83" s="3077" t="s">
        <v>27769</v>
      </c>
      <c r="E83" s="3072" t="str">
        <f>IF(AND($E$6=1, ROUND(FTE_6a_Health_full_time!$H79, 2)&lt;&gt;FTE_6a_Health_full_time!$H79), CONCATENATE("Price group", " ", $B82, ", ", $C82, " ", "Length", ", Level ", $D82, "; "), "")</f>
        <v/>
      </c>
      <c r="F83" s="3072" t="str">
        <f>IF(AND($F$6=1,FTE_6a_Health_full_time!$E79&lt;&gt;0,ABS(FTE_6a_Health_full_time!$H79-FTE_6a_Health_full_time!$E79)&lt;$F$10),CONCATENATE("Price group"," ",$B83,", ",$C83," ","Length",", Level ",$D83,"; "),"")</f>
        <v/>
      </c>
      <c r="G83" s="3029" t="str">
        <f>IF(AND($G$6=1,LEN(FTE_6a_Health_full_time!$J79)&gt;2000), CONCATENATE("Price group", " ", $B83, ", ", $C83, " ", "Length", ", Level ", $D83, "; "), "")</f>
        <v/>
      </c>
      <c r="H83" s="3072" t="str">
        <f>IF(AND($H$6=1,OR(AND(FTE_6a_Health_full_time!$H79=0,FTE_6a_Health_full_time!$J79&lt;&gt;""),AND(FTE_6a_Health_full_time!$H79&lt;&gt;0,FTE_6a_Health_full_time!$J79=""))),CONCATENATE("Price group"," ",$B83,", ",$C83," ","Length",", Level ",$D83,"; "),"")</f>
        <v/>
      </c>
      <c r="I83" s="3072" t="str">
        <f>IF(AND($I$6=1,FTE_6a_Health_full_time!$G79=0,OR(FTE_6a_Health_full_time!$H79&lt;&gt;0,FTE_6a_Health_full_time!$J79&lt;&gt;"")),CONCATENATE("Price group"," ",$B83,", ",$C83," ","Length",", Level ",$D83,"; "),"")</f>
        <v/>
      </c>
      <c r="K83" s="3083" t="s">
        <v>27877</v>
      </c>
      <c r="L83" s="3024">
        <f t="shared" si="2"/>
        <v>0</v>
      </c>
      <c r="M83" s="3025"/>
      <c r="N83" s="3024">
        <f t="shared" si="3"/>
        <v>0</v>
      </c>
      <c r="P83" s="2377"/>
    </row>
    <row r="84" spans="1:16" ht="13.15" customHeight="1" x14ac:dyDescent="0.45">
      <c r="A84" s="3021"/>
      <c r="B84" s="3082" t="s">
        <v>27877</v>
      </c>
      <c r="C84" s="3078" t="s">
        <v>204</v>
      </c>
      <c r="D84" s="3081" t="s">
        <v>210</v>
      </c>
      <c r="E84" s="3072" t="str">
        <f>IF(AND($E$6=1, ROUND(FTE_6a_Health_full_time!$H80, 2)&lt;&gt;FTE_6a_Health_full_time!$H80), CONCATENATE("Price group", " ", $B83, ", ", $C83, " ", "Length", ", Level ", $D83, "; "), "")</f>
        <v/>
      </c>
      <c r="F84" s="3072" t="str">
        <f>IF(AND($F$6=1,FTE_6a_Health_full_time!$E80&lt;&gt;0,ABS(FTE_6a_Health_full_time!$H80-FTE_6a_Health_full_time!$E80)&lt;$F$10),CONCATENATE("Price group"," ",$B84,", ",$C84," ","Length",", Level ",$D84,"; "),"")</f>
        <v/>
      </c>
      <c r="G84" s="3029" t="str">
        <f>IF(AND($G$6=1,LEN(FTE_6a_Health_full_time!$J80)&gt;2000), CONCATENATE("Price group", " ", $B84, ", ", $C84, " ", "Length", ", Level ", $D84, "; "), "")</f>
        <v/>
      </c>
      <c r="H84" s="3072" t="str">
        <f>IF(AND($H$6=1,OR(AND(FTE_6a_Health_full_time!$H80=0,FTE_6a_Health_full_time!$J80&lt;&gt;""),AND(FTE_6a_Health_full_time!$H80&lt;&gt;0,FTE_6a_Health_full_time!$J80=""))),CONCATENATE("Price group"," ",$B84,", ",$C84," ","Length",", Level ",$D84,"; "),"")</f>
        <v/>
      </c>
      <c r="I84" s="3072" t="str">
        <f>IF(AND($I$6=1,FTE_6a_Health_full_time!$G80=0,OR(FTE_6a_Health_full_time!$H80&lt;&gt;0,FTE_6a_Health_full_time!$J80&lt;&gt;"")),CONCATENATE("Price group"," ",$B84,", ",$C84," ","Length",", Level ",$D84,"; "),"")</f>
        <v/>
      </c>
      <c r="K84" s="3080" t="s">
        <v>27877</v>
      </c>
      <c r="L84" s="3024">
        <f t="shared" si="2"/>
        <v>0</v>
      </c>
      <c r="M84" s="3025"/>
      <c r="N84" s="3024">
        <f t="shared" si="3"/>
        <v>0</v>
      </c>
      <c r="P84" s="2377"/>
    </row>
    <row r="85" spans="1:16" ht="13.15" customHeight="1" x14ac:dyDescent="0.45">
      <c r="A85" s="3021"/>
      <c r="B85" s="3079" t="s">
        <v>27877</v>
      </c>
      <c r="C85" s="3078" t="s">
        <v>218</v>
      </c>
      <c r="D85" s="3077" t="s">
        <v>27769</v>
      </c>
      <c r="E85" s="3072" t="str">
        <f>IF(AND($E$6=1, ROUND(FTE_6a_Health_full_time!$H81, 2)&lt;&gt;FTE_6a_Health_full_time!$H81), CONCATENATE("Price group", " ", $B84, ", ", $C84, " ", "Length", ", Level ", $D84, "; "), "")</f>
        <v/>
      </c>
      <c r="F85" s="3072" t="str">
        <f>IF(AND($F$6=1,FTE_6a_Health_full_time!$E81&lt;&gt;0,ABS(FTE_6a_Health_full_time!$H81-FTE_6a_Health_full_time!$E81)&lt;$F$10),CONCATENATE("Price group"," ",$B85,", ",$C85," ","Length",", Level ",$D85,"; "),"")</f>
        <v/>
      </c>
      <c r="G85" s="3029" t="str">
        <f>IF(AND($G$6=1,LEN(FTE_6a_Health_full_time!$J81)&gt;2000), CONCATENATE("Price group", " ", $B85, ", ", $C85, " ", "Length", ", Level ", $D85, "; "), "")</f>
        <v/>
      </c>
      <c r="H85" s="3072" t="str">
        <f>IF(AND($H$6=1,OR(AND(FTE_6a_Health_full_time!$H81=0,FTE_6a_Health_full_time!$J81&lt;&gt;""),AND(FTE_6a_Health_full_time!$H81&lt;&gt;0,FTE_6a_Health_full_time!$J81=""))),CONCATENATE("Price group"," ",$B85,", ",$C85," ","Length",", Level ",$D85,"; "),"")</f>
        <v/>
      </c>
      <c r="I85" s="3072" t="str">
        <f>IF(AND($I$6=1,FTE_6a_Health_full_time!$G81=0,OR(FTE_6a_Health_full_time!$H81&lt;&gt;0,FTE_6a_Health_full_time!$J81&lt;&gt;"")),CONCATENATE("Price group"," ",$B85,", ",$C85," ","Length",", Level ",$D85,"; "),"")</f>
        <v/>
      </c>
      <c r="K85" s="3076" t="s">
        <v>27877</v>
      </c>
      <c r="L85" s="3024">
        <f t="shared" si="2"/>
        <v>0</v>
      </c>
      <c r="M85" s="3025"/>
      <c r="N85" s="3024">
        <f t="shared" si="3"/>
        <v>0</v>
      </c>
      <c r="P85" s="2377"/>
    </row>
    <row r="86" spans="1:16" ht="13.15" customHeight="1" x14ac:dyDescent="0.45">
      <c r="A86" s="3021"/>
      <c r="B86" s="3075" t="s">
        <v>27877</v>
      </c>
      <c r="C86" s="3074" t="s">
        <v>218</v>
      </c>
      <c r="D86" s="3073" t="s">
        <v>210</v>
      </c>
      <c r="E86" s="3072" t="str">
        <f>IF(AND($E$6=1, ROUND(FTE_6a_Health_full_time!$H82, 2)&lt;&gt;FTE_6a_Health_full_time!$H82), CONCATENATE("Price group", " ", $B85, ", ", $C85, " ", "Length", ", Level ", $D85, "; "), "")</f>
        <v/>
      </c>
      <c r="F86" s="3072" t="str">
        <f>IF(AND($F$6=1,FTE_6a_Health_full_time!$E82&lt;&gt;0,ABS(FTE_6a_Health_full_time!$H82-FTE_6a_Health_full_time!$E82)&lt;$F$10),CONCATENATE("Price group"," ",$B86,", ",$C86," ","Length",", Level ",$D86,"; "),"")</f>
        <v/>
      </c>
      <c r="G86" s="3027" t="str">
        <f>IF(AND($G$6=1,LEN(FTE_6a_Health_full_time!$J82)&gt;2000), CONCATENATE("Price group", " ", $B86, ", ", $C86, " ", "Length", ", Level ", $D86, "; "), "")</f>
        <v/>
      </c>
      <c r="H86" s="3072" t="str">
        <f>IF(AND($H$6=1,OR(AND(FTE_6a_Health_full_time!$H82=0,FTE_6a_Health_full_time!$J82&lt;&gt;""),AND(FTE_6a_Health_full_time!$H82&lt;&gt;0,FTE_6a_Health_full_time!$J82=""))),CONCATENATE("Price group"," ",$B86,", ",$C86," ","Length",", Level ",$D86,"; "),"")</f>
        <v/>
      </c>
      <c r="I86" s="3072" t="str">
        <f>IF(AND($I$6=1,FTE_6a_Health_full_time!$G82=0,OR(FTE_6a_Health_full_time!$H82&lt;&gt;0,FTE_6a_Health_full_time!$J82&lt;&gt;"")),CONCATENATE("Price group"," ",$B86,", ",$C86," ","Length",", Level ",$D86,"; "),"")</f>
        <v/>
      </c>
      <c r="K86" s="3070" t="s">
        <v>27877</v>
      </c>
      <c r="L86" s="3024">
        <f t="shared" si="2"/>
        <v>0</v>
      </c>
      <c r="M86" s="3025"/>
      <c r="N86" s="3024">
        <f t="shared" si="3"/>
        <v>0</v>
      </c>
    </row>
    <row r="87" spans="1:16" x14ac:dyDescent="0.45">
      <c r="A87" s="3021"/>
    </row>
    <row r="88" spans="1:16" x14ac:dyDescent="0.45">
      <c r="A88" s="3021"/>
      <c r="E88" s="2377" t="s">
        <v>29639</v>
      </c>
      <c r="F88" s="2377" t="s">
        <v>29638</v>
      </c>
      <c r="G88" s="2377" t="s">
        <v>29637</v>
      </c>
      <c r="H88" s="2377" t="s">
        <v>29636</v>
      </c>
      <c r="I88" s="2377" t="s">
        <v>29635</v>
      </c>
    </row>
    <row r="89" spans="1:16" x14ac:dyDescent="0.45">
      <c r="A89" s="3021"/>
      <c r="B89" s="2270" t="str">
        <f>_xlfn.TEXTJOIN("", TRUE, E13:E86)</f>
        <v/>
      </c>
      <c r="E89" s="3121" t="str">
        <f>_xlfn.TEXTJOIN("",TRUE,E$13:E$86)</f>
        <v/>
      </c>
      <c r="F89" s="3121" t="str">
        <f>_xlfn.TEXTJOIN("",TRUE,F$13:F$86)</f>
        <v/>
      </c>
      <c r="G89" s="3122" t="str">
        <f>_xlfn.TEXTJOIN("",TRUE,G$13:G$86)</f>
        <v/>
      </c>
      <c r="H89" s="3123" t="str">
        <f>_xlfn.TEXTJOIN("",TRUE,H$13:H$86)</f>
        <v/>
      </c>
      <c r="I89" s="3124" t="str">
        <f>_xlfn.TEXTJOIN("",TRUE,I$13:I$86)</f>
        <v/>
      </c>
    </row>
    <row r="90" spans="1:16" x14ac:dyDescent="0.45">
      <c r="A90" s="3021"/>
    </row>
    <row r="91" spans="1:16" x14ac:dyDescent="0.45">
      <c r="A91" s="3021"/>
      <c r="B91" s="3069"/>
      <c r="C91" s="3018"/>
      <c r="D91" s="3018"/>
      <c r="E91" s="3018"/>
      <c r="F91" s="3018"/>
      <c r="G91" s="3018"/>
      <c r="H91" s="3018"/>
      <c r="I91" s="3018"/>
    </row>
    <row r="92" spans="1:16" x14ac:dyDescent="0.45">
      <c r="B92" s="3068"/>
      <c r="C92" s="3068"/>
      <c r="D92" s="3068"/>
      <c r="E92" s="3068"/>
      <c r="F92" s="3068"/>
      <c r="G92" s="3068"/>
      <c r="H92" s="3068"/>
      <c r="I92" s="3068"/>
    </row>
    <row r="93" spans="1:16" x14ac:dyDescent="0.45">
      <c r="M93" s="2995"/>
      <c r="N93" s="2995"/>
    </row>
    <row r="94" spans="1:16" x14ac:dyDescent="0.45">
      <c r="M94" s="2995"/>
      <c r="N94" s="2995"/>
    </row>
    <row r="95" spans="1:16" x14ac:dyDescent="0.45">
      <c r="M95" s="2995"/>
      <c r="N95" s="2995"/>
    </row>
    <row r="96" spans="1:16" x14ac:dyDescent="0.45">
      <c r="M96" s="2995"/>
      <c r="N96" s="2995"/>
    </row>
    <row r="97" spans="13:21" x14ac:dyDescent="0.45">
      <c r="M97" s="2995"/>
      <c r="N97" s="2995"/>
    </row>
    <row r="99" spans="13:21" x14ac:dyDescent="0.45">
      <c r="M99" s="2995"/>
      <c r="N99" s="2995"/>
    </row>
    <row r="100" spans="13:21" x14ac:dyDescent="0.45">
      <c r="M100" s="2995"/>
      <c r="N100" s="2995"/>
    </row>
    <row r="101" spans="13:21" x14ac:dyDescent="0.45">
      <c r="M101" s="2995"/>
      <c r="N101" s="2995"/>
    </row>
    <row r="102" spans="13:21" x14ac:dyDescent="0.45">
      <c r="M102" s="2995"/>
      <c r="N102" s="2995"/>
    </row>
    <row r="103" spans="13:21" x14ac:dyDescent="0.45">
      <c r="M103" s="2995"/>
      <c r="N103" s="2995"/>
    </row>
    <row r="111" spans="13:21" x14ac:dyDescent="0.45">
      <c r="R111" s="2993"/>
      <c r="S111" s="2993"/>
      <c r="T111" s="2993"/>
      <c r="U111" s="2993"/>
    </row>
    <row r="112" spans="13:21" x14ac:dyDescent="0.45">
      <c r="M112" s="2993"/>
      <c r="N112" s="2993"/>
      <c r="O112" s="2993"/>
      <c r="P112" s="2993"/>
      <c r="Q112" s="2993"/>
      <c r="R112" s="2993"/>
      <c r="S112" s="2993"/>
      <c r="T112" s="2993"/>
      <c r="U112" s="2993"/>
    </row>
    <row r="113" spans="2:41" s="2993" customFormat="1" x14ac:dyDescent="0.45">
      <c r="B113" s="2270"/>
      <c r="C113" s="2270"/>
      <c r="D113" s="2270"/>
      <c r="E113" s="2270"/>
      <c r="F113" s="2270"/>
      <c r="G113" s="2270"/>
      <c r="H113" s="2270"/>
      <c r="I113" s="2270"/>
      <c r="K113" s="2270"/>
      <c r="L113" s="2270"/>
      <c r="M113" s="2270"/>
      <c r="N113" s="2270"/>
      <c r="O113" s="2270"/>
      <c r="P113" s="2270"/>
      <c r="Q113" s="2270"/>
      <c r="R113" s="2270"/>
      <c r="S113" s="2270"/>
      <c r="T113" s="2270"/>
      <c r="U113" s="2270"/>
      <c r="X113" s="2270"/>
      <c r="Y113" s="2270"/>
      <c r="Z113" s="2270"/>
      <c r="AA113" s="2270"/>
      <c r="AB113" s="2270"/>
      <c r="AC113" s="2270"/>
      <c r="AD113" s="2270"/>
      <c r="AE113" s="2270"/>
      <c r="AF113" s="2270"/>
      <c r="AG113" s="2270"/>
      <c r="AH113" s="2270"/>
      <c r="AI113" s="2270"/>
      <c r="AJ113" s="2270"/>
      <c r="AK113" s="2270"/>
      <c r="AL113" s="2270"/>
      <c r="AM113" s="2270"/>
      <c r="AN113" s="2270"/>
      <c r="AO113" s="2270"/>
    </row>
    <row r="114" spans="2:41" s="2993" customFormat="1" x14ac:dyDescent="0.45">
      <c r="B114" s="2270"/>
      <c r="C114" s="2270"/>
      <c r="D114" s="2270"/>
      <c r="E114" s="2270"/>
      <c r="F114" s="2270"/>
      <c r="G114" s="2270"/>
      <c r="H114" s="2270"/>
      <c r="I114" s="2270"/>
      <c r="K114" s="2270"/>
      <c r="L114" s="2270"/>
      <c r="M114" s="2270"/>
      <c r="N114" s="2270"/>
      <c r="O114" s="2270"/>
      <c r="P114" s="2270"/>
      <c r="Q114" s="2270"/>
      <c r="R114" s="2270"/>
      <c r="S114" s="2270"/>
      <c r="T114" s="2270"/>
      <c r="U114" s="2270"/>
      <c r="X114" s="2270"/>
      <c r="Y114" s="2270"/>
      <c r="Z114" s="2270"/>
      <c r="AA114" s="2270"/>
      <c r="AB114" s="2270"/>
      <c r="AC114" s="2270"/>
      <c r="AD114" s="2270"/>
      <c r="AE114" s="2270"/>
      <c r="AF114" s="2270"/>
      <c r="AG114" s="2270"/>
      <c r="AH114" s="2270"/>
      <c r="AI114" s="2270"/>
      <c r="AJ114" s="2270"/>
      <c r="AK114" s="2270"/>
      <c r="AL114" s="2270"/>
      <c r="AM114" s="2270"/>
      <c r="AN114" s="2270"/>
      <c r="AO114" s="2270"/>
    </row>
    <row r="115" spans="2:41" ht="13.5" customHeight="1" x14ac:dyDescent="0.45"/>
    <row r="116" spans="2:41" ht="13.5" customHeight="1" x14ac:dyDescent="0.45"/>
    <row r="118" spans="2:41" ht="12.75" customHeight="1" x14ac:dyDescent="0.45"/>
    <row r="198" ht="12.75" customHeight="1" x14ac:dyDescent="0.45"/>
  </sheetData>
  <sheetProtection algorithmName="SHA-512" hashValue="iXZjYazOc7Ir40Nt8TFl0++vuxcu3u51QI5CpZiC6EWzUtCKK9nT/7iUqpmyb263FB11g11vhl/KzUpma6vKfQ==" saltValue="FoB3FWhXO/uGFEXidljgqg==" spinCount="100000" sheet="1" objects="1" scenarios="1"/>
  <conditionalFormatting sqref="L13:N86">
    <cfRule type="cellIs" dxfId="16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S219"/>
  <sheetViews>
    <sheetView workbookViewId="0"/>
  </sheetViews>
  <sheetFormatPr defaultColWidth="9" defaultRowHeight="12.75" x14ac:dyDescent="0.35"/>
  <cols>
    <col min="2" max="2" width="17.59765625" customWidth="1"/>
    <col min="3" max="3" width="17" customWidth="1"/>
    <col min="4" max="4" width="18.86328125" customWidth="1"/>
    <col min="5" max="23" width="9" customWidth="1"/>
    <col min="26" max="26" width="15.265625" customWidth="1"/>
    <col min="27" max="27" width="27.59765625" bestFit="1" customWidth="1"/>
    <col min="39" max="39" width="16.1328125" bestFit="1" customWidth="1"/>
  </cols>
  <sheetData>
    <row r="1" spans="1:45" ht="17.649999999999999" x14ac:dyDescent="0.5">
      <c r="A1" s="194" t="s">
        <v>185</v>
      </c>
    </row>
    <row r="3" spans="1:45" ht="15" x14ac:dyDescent="0.4">
      <c r="B3" s="102" t="s">
        <v>186</v>
      </c>
      <c r="X3" s="102"/>
      <c r="AB3" s="102" t="s">
        <v>30</v>
      </c>
      <c r="AC3" s="102"/>
      <c r="AD3" s="102"/>
      <c r="AE3" s="102" t="s">
        <v>32</v>
      </c>
      <c r="AF3" s="102"/>
      <c r="AG3" s="102"/>
      <c r="AH3" s="102" t="s">
        <v>34</v>
      </c>
      <c r="AL3" s="102" t="s">
        <v>38</v>
      </c>
    </row>
    <row r="4" spans="1:45" ht="13.5" thickBot="1" x14ac:dyDescent="0.4">
      <c r="X4" s="7"/>
      <c r="Y4" s="7"/>
      <c r="Z4" s="7"/>
      <c r="AA4" s="7"/>
      <c r="AB4" s="84"/>
      <c r="AC4" s="1400"/>
      <c r="AD4" s="1400"/>
      <c r="AE4" s="84"/>
      <c r="AF4" s="1401"/>
      <c r="AG4" s="1401"/>
      <c r="AH4" s="84"/>
      <c r="AI4" s="7"/>
      <c r="AJ4" s="7"/>
    </row>
    <row r="5" spans="1:45" ht="12.75" customHeight="1" x14ac:dyDescent="0.4">
      <c r="B5" s="63"/>
      <c r="C5" s="64"/>
      <c r="D5" s="65"/>
      <c r="E5" s="33" t="s">
        <v>187</v>
      </c>
      <c r="F5" s="32"/>
      <c r="G5" s="32"/>
      <c r="H5" s="36"/>
      <c r="I5" s="32"/>
      <c r="J5" s="32"/>
      <c r="K5" s="36"/>
      <c r="L5" s="32"/>
      <c r="M5" s="34"/>
      <c r="N5" s="33" t="s">
        <v>188</v>
      </c>
      <c r="O5" s="32"/>
      <c r="P5" s="32"/>
      <c r="Q5" s="36"/>
      <c r="R5" s="32"/>
      <c r="S5" s="32"/>
      <c r="T5" s="36"/>
      <c r="U5" s="32"/>
      <c r="V5" s="37"/>
      <c r="W5" s="7"/>
      <c r="X5" s="1402"/>
      <c r="Y5" s="32"/>
      <c r="Z5" s="32"/>
      <c r="AA5" s="32"/>
      <c r="AB5" s="33" t="s">
        <v>189</v>
      </c>
      <c r="AC5" s="92"/>
      <c r="AD5" s="92"/>
      <c r="AE5" s="33" t="s">
        <v>190</v>
      </c>
      <c r="AF5" s="92"/>
      <c r="AG5" s="92"/>
      <c r="AH5" s="33" t="s">
        <v>191</v>
      </c>
      <c r="AI5" s="92"/>
      <c r="AJ5" s="93"/>
      <c r="AL5" s="1402"/>
      <c r="AM5" s="32"/>
      <c r="AN5" s="295" t="s">
        <v>192</v>
      </c>
      <c r="AO5" s="1403"/>
      <c r="AP5" s="296" t="s">
        <v>193</v>
      </c>
      <c r="AQ5" s="1404"/>
      <c r="AR5" s="3369" t="s">
        <v>194</v>
      </c>
    </row>
    <row r="6" spans="1:45" ht="25.9" x14ac:dyDescent="0.4">
      <c r="B6" s="66"/>
      <c r="C6" s="1576"/>
      <c r="D6" s="67"/>
      <c r="E6" s="3371" t="s">
        <v>192</v>
      </c>
      <c r="F6" s="3372"/>
      <c r="G6" s="3373"/>
      <c r="H6" s="3371" t="s">
        <v>193</v>
      </c>
      <c r="I6" s="3372"/>
      <c r="J6" s="3373"/>
      <c r="K6" s="3371" t="s">
        <v>194</v>
      </c>
      <c r="L6" s="3372"/>
      <c r="M6" s="3373"/>
      <c r="N6" s="3371" t="s">
        <v>192</v>
      </c>
      <c r="O6" s="3372"/>
      <c r="P6" s="3373"/>
      <c r="Q6" s="3371" t="s">
        <v>193</v>
      </c>
      <c r="R6" s="3372"/>
      <c r="S6" s="3373"/>
      <c r="T6" s="3371" t="s">
        <v>194</v>
      </c>
      <c r="U6" s="3372"/>
      <c r="V6" s="3374"/>
      <c r="W6" s="83"/>
      <c r="X6" s="1405"/>
      <c r="Y6" s="7"/>
      <c r="Z6" s="7"/>
      <c r="AA6" s="8"/>
      <c r="AB6" s="1577"/>
      <c r="AC6" s="85"/>
      <c r="AD6" s="86"/>
      <c r="AE6" s="1577"/>
      <c r="AF6" s="85"/>
      <c r="AG6" s="85"/>
      <c r="AH6" s="1577"/>
      <c r="AI6" s="85"/>
      <c r="AJ6" s="94"/>
      <c r="AL6" s="96"/>
      <c r="AM6" s="7"/>
      <c r="AN6" s="1578" t="s">
        <v>195</v>
      </c>
      <c r="AO6" s="80" t="s">
        <v>196</v>
      </c>
      <c r="AP6" s="72" t="s">
        <v>195</v>
      </c>
      <c r="AQ6" s="80" t="s">
        <v>196</v>
      </c>
      <c r="AR6" s="3370"/>
    </row>
    <row r="7" spans="1:45" ht="25.5" customHeight="1" x14ac:dyDescent="0.35">
      <c r="B7" s="68" t="s">
        <v>197</v>
      </c>
      <c r="C7" s="69" t="s">
        <v>198</v>
      </c>
      <c r="D7" s="1406" t="s">
        <v>199</v>
      </c>
      <c r="E7" s="35" t="s">
        <v>197</v>
      </c>
      <c r="F7" s="1407" t="s">
        <v>198</v>
      </c>
      <c r="G7" s="1408" t="s">
        <v>199</v>
      </c>
      <c r="H7" s="35" t="s">
        <v>197</v>
      </c>
      <c r="I7" s="1407" t="s">
        <v>198</v>
      </c>
      <c r="J7" s="1408" t="s">
        <v>199</v>
      </c>
      <c r="K7" s="35" t="s">
        <v>197</v>
      </c>
      <c r="L7" s="1407" t="s">
        <v>198</v>
      </c>
      <c r="M7" s="1408" t="s">
        <v>199</v>
      </c>
      <c r="N7" s="35" t="s">
        <v>197</v>
      </c>
      <c r="O7" s="1407" t="s">
        <v>198</v>
      </c>
      <c r="P7" s="1407" t="s">
        <v>199</v>
      </c>
      <c r="Q7" s="35" t="s">
        <v>197</v>
      </c>
      <c r="R7" s="1407" t="s">
        <v>198</v>
      </c>
      <c r="S7" s="1407" t="s">
        <v>199</v>
      </c>
      <c r="T7" s="35" t="s">
        <v>197</v>
      </c>
      <c r="U7" s="1407" t="s">
        <v>198</v>
      </c>
      <c r="V7" s="38" t="s">
        <v>199</v>
      </c>
      <c r="W7" s="29"/>
      <c r="X7" s="95" t="s">
        <v>200</v>
      </c>
      <c r="Y7" s="1409" t="s">
        <v>56</v>
      </c>
      <c r="Z7" s="1410" t="s">
        <v>57</v>
      </c>
      <c r="AA7" s="1388"/>
      <c r="AB7" s="35" t="s">
        <v>192</v>
      </c>
      <c r="AC7" s="1407" t="s">
        <v>193</v>
      </c>
      <c r="AD7" s="38" t="s">
        <v>194</v>
      </c>
      <c r="AE7" s="35" t="s">
        <v>192</v>
      </c>
      <c r="AF7" s="1407" t="s">
        <v>193</v>
      </c>
      <c r="AG7" s="38" t="s">
        <v>194</v>
      </c>
      <c r="AH7" s="35" t="s">
        <v>192</v>
      </c>
      <c r="AI7" s="1407" t="s">
        <v>193</v>
      </c>
      <c r="AJ7" s="38" t="s">
        <v>194</v>
      </c>
      <c r="AL7" s="103" t="s">
        <v>55</v>
      </c>
      <c r="AM7" s="52" t="s">
        <v>57</v>
      </c>
      <c r="AN7" s="35" t="s">
        <v>201</v>
      </c>
      <c r="AO7" s="81" t="s">
        <v>202</v>
      </c>
      <c r="AP7" s="1411" t="s">
        <v>201</v>
      </c>
      <c r="AQ7" s="81" t="s">
        <v>202</v>
      </c>
      <c r="AR7" s="38"/>
    </row>
    <row r="8" spans="1:45" ht="12.75" customHeight="1" x14ac:dyDescent="0.35">
      <c r="B8" s="70" t="str">
        <f>IF(Courses!B14&lt;&gt;"",CONCATENATE(Courses!E14,"/",Courses!L14,"/",Courses!K14),"")</f>
        <v/>
      </c>
      <c r="C8" s="1579" t="str">
        <f>IF(AND(Courses!B14&lt;&gt;"",Courses!G14&lt;&gt;""),CONCATENATE(Courses!G14,"/",Courses!L14,"/",Courses!K14),"")</f>
        <v/>
      </c>
      <c r="D8" s="71" t="str">
        <f>IF(AND(Courses!B14&lt;&gt;"",Courses!I14&lt;&gt;""),CONCATENATE(Courses!I14,"/",Courses!L14,"/",Courses!K14),"")</f>
        <v/>
      </c>
      <c r="E8" s="1580">
        <f>IF(AND('Courses Valid'!C20=0,Courses!E14&lt;&gt;"",Courses!F14&gt;0,SUM(Courses!M14,Courses!N14)&gt;0),Courses!F14*SUM(Courses!M14,Courses!N14),0)</f>
        <v>0</v>
      </c>
      <c r="F8" s="41">
        <f>IF(AND('Courses Valid'!C20=0,Courses!G14&lt;&gt;"",Courses!H14&gt;0,SUM(Courses!M14,Courses!N14)&gt;0),Courses!H14*SUM(Courses!M14,Courses!N14),0)</f>
        <v>0</v>
      </c>
      <c r="G8" s="105">
        <f>IF(AND('Courses Valid'!C20=0,Courses!I14&lt;&gt;"",Courses!J14&gt;0,SUM(Courses!M14,Courses!N14)&gt;0),Courses!J14*SUM(Courses!M14,Courses!N14),0)</f>
        <v>0</v>
      </c>
      <c r="H8" s="1580">
        <f>IF(AND('Courses Valid'!C20=0,Courses!E14&lt;&gt;"",Courses!F14&gt;0,SUM(Courses!O14,Courses!P14)&gt;0),Courses!F14*SUM(Courses!O14,Courses!P14),0)</f>
        <v>0</v>
      </c>
      <c r="I8" s="41">
        <f>IF(AND('Courses Valid'!C20=0,Courses!G14&lt;&gt;"",Courses!H14&gt;0,SUM(Courses!O14,Courses!P14)&gt;0),Courses!H14*SUM(Courses!O14,Courses!P14),0)</f>
        <v>0</v>
      </c>
      <c r="J8" s="105">
        <f>IF(AND('Courses Valid'!C20=0,Courses!I14&lt;&gt;"",Courses!J14&gt;0,SUM(Courses!O14,Courses!P14)&gt;0),Courses!J14*SUM(Courses!O14,Courses!P14),0)</f>
        <v>0</v>
      </c>
      <c r="K8" s="1580">
        <f>IF(AND('Courses Valid'!C20=0,Courses!E14&lt;&gt;"",Courses!F14&gt;0,Courses!Q14&gt;0),Courses!F14*Courses!Q14,0)</f>
        <v>0</v>
      </c>
      <c r="L8" s="41">
        <f>IF(AND('Courses Valid'!C20=0,Courses!G14&lt;&gt;"",Courses!H14&gt;0,Courses!Q14&gt;0),Courses!H14*Courses!Q14,0)</f>
        <v>0</v>
      </c>
      <c r="M8" s="105">
        <f>IF(AND('Courses Valid'!C20=0,Courses!I14&lt;&gt;"",Courses!J14&gt;0,Courses!Q14&gt;0),Courses!J14*Courses!Q14,0)</f>
        <v>0</v>
      </c>
      <c r="N8" s="1580">
        <f>IF(AND('Courses Valid'!C20=0,Courses!E14&lt;&gt;"",Courses!F14&gt;0,SUM(Courses!W14,Courses!X14)&gt;0),Courses!F14*SUM(Courses!W14,Courses!X14),0)</f>
        <v>0</v>
      </c>
      <c r="O8" s="41">
        <f>IF(AND('Courses Valid'!C20=0,Courses!G14&lt;&gt;"",Courses!H14&gt;0,SUM(Courses!W14,Courses!X14)&gt;0),Courses!H14*SUM(Courses!W14,Courses!X14),0)</f>
        <v>0</v>
      </c>
      <c r="P8" s="41">
        <f>IF(AND('Courses Valid'!C20=0,Courses!I14&lt;&gt;"",Courses!J14&gt;0,SUM(Courses!W14,Courses!X14)&gt;0),Courses!J14*SUM(Courses!W14,Courses!X14),0)</f>
        <v>0</v>
      </c>
      <c r="Q8" s="1580">
        <f>IF(AND('Courses Valid'!C20=0,Courses!E14&lt;&gt;"",Courses!F14&gt;0,SUM(Courses!Y14,Courses!Z14)&gt;0),Courses!F14*SUM(Courses!Y14,Courses!Z14),0)</f>
        <v>0</v>
      </c>
      <c r="R8" s="41">
        <f>IF(AND('Courses Valid'!C20=0,Courses!G14&lt;&gt;"",Courses!H14&gt;0,SUM(Courses!Y14,Courses!Z14)&gt;0),Courses!H14*SUM(Courses!Y14,Courses!Z14),0)</f>
        <v>0</v>
      </c>
      <c r="S8" s="105">
        <f>IF(AND('Courses Valid'!C20=0,Courses!I14&lt;&gt;"",Courses!J14&gt;0,SUM(Courses!Y14,Courses!Z14)&gt;0),Courses!J14*SUM(Courses!Y14,Courses!Z14),0)</f>
        <v>0</v>
      </c>
      <c r="T8" s="41">
        <f>IF(AND('Courses Valid'!C20=0,Courses!E14&lt;&gt;"",Courses!F14&gt;0,Courses!AA14&gt;0),Courses!F14*Courses!AA14,0)</f>
        <v>0</v>
      </c>
      <c r="U8" s="41">
        <f>IF(AND('Courses Valid'!C20=0,Courses!G14&lt;&gt;"",Courses!H14&gt;0,Courses!AA14&gt;0),Courses!H14*Courses!AA14,0)</f>
        <v>0</v>
      </c>
      <c r="V8" s="106">
        <f>IF(AND('Courses Valid'!C20=0,Courses!I14&lt;&gt;"",Courses!J14&gt;0,Courses!AA14&gt;0),Courses!J14*Courses!AA14,0)</f>
        <v>0</v>
      </c>
      <c r="W8" s="41"/>
      <c r="X8" s="1767" t="s">
        <v>203</v>
      </c>
      <c r="Y8" s="1412" t="s">
        <v>204</v>
      </c>
      <c r="Z8" s="525" t="s">
        <v>205</v>
      </c>
      <c r="AA8" s="1413" t="s">
        <v>206</v>
      </c>
      <c r="AB8" s="1768">
        <f>SUM(SUMIF($B$8:$B$219,$AA8,$E$8:$E$219),SUMIF($C$8:$C$219,$AA8,$F$8:$F$219),SUMIF($D$8:$D$219,$AA8,$G$8:$G$219))</f>
        <v>0</v>
      </c>
      <c r="AC8" s="1678">
        <f>SUM(SUMIF($B$8:$B$219,$AA8,$H$8:$H$219),SUMIF($C$8:$C$219,$AA8,$I$8:$I$219),SUMIF($D$8:$D$219,$AA8,$J$8:$J$219))</f>
        <v>0</v>
      </c>
      <c r="AD8" s="1679">
        <f>SUM(SUMIF($B$8:$B$219,$AA8,$K$8:$K$219),SUMIF($C$8:$C$219,$AA8,$L$8:$L$219),SUMIF($D$8:$D$219,$AA8,$M$8:$M$219))</f>
        <v>0</v>
      </c>
      <c r="AE8" s="1578"/>
      <c r="AF8" s="29"/>
      <c r="AG8" s="29"/>
      <c r="AH8" s="1768">
        <f>SUM(SUMIF($B$8:$B$219,$AA8,$N$8:$N$219),SUMIF($C$8:$C$219,$AA8,$O$8:$O$219),SUMIF($D$8:$D$219,$AA8,$P$8:$P$219))</f>
        <v>0</v>
      </c>
      <c r="AI8" s="1678">
        <f>SUM(SUMIF($B$8:$B$219,$AA8,$Q$8:$Q$219),SUMIF($C$8:$C$219,$AA8,$R$8:$R$219),SUMIF($D$8:$D$219,$AA8,$S$8:$S$219))</f>
        <v>0</v>
      </c>
      <c r="AJ8" s="1680">
        <f>SUM(SUMIF($B$8:$B$219,$AA8,$T$8:$T$219),SUMIF($C$8:$C$219,$AA8,$U$8:$U$219),SUMIF($D$8:$D$219,$AA8,$V$8:$V$219))</f>
        <v>0</v>
      </c>
      <c r="AL8" s="1769" t="s">
        <v>207</v>
      </c>
      <c r="AM8" s="651" t="s">
        <v>205</v>
      </c>
      <c r="AN8" s="1768">
        <f>SUM(SUMIF(Courses!$K$14:$K$213,'Column 1'!$AM8,Courses!M$14:M$213),SUMIF(Courses!$K$14:$K$213,'Column 1'!$AM8,Courses!R$14:R$213))</f>
        <v>0</v>
      </c>
      <c r="AO8" s="1678">
        <f>SUM(SUMIF(Courses!$K$14:$K$213,'Column 1'!$AM8,Courses!N$14:N$213),SUMIF(Courses!$K$14:$K$213,'Column 1'!$AM8,Courses!S$14:S$213))</f>
        <v>0</v>
      </c>
      <c r="AP8" s="1678">
        <f>SUM(SUMIF(Courses!$K$14:$K$213,'Column 1'!$AM8,Courses!O$14:O$213),SUMIF(Courses!$K$14:$K$213,'Column 1'!$AM8,Courses!T$14:T$213))</f>
        <v>0</v>
      </c>
      <c r="AQ8" s="1678">
        <f>SUM(SUMIF(Courses!$K$14:$K$213,'Column 1'!$AM8,Courses!P$14:P$213),SUMIF(Courses!$K$14:$K$213,'Column 1'!$AM8,Courses!U$14:U$213))</f>
        <v>0</v>
      </c>
      <c r="AR8" s="1680">
        <f>SUM(SUMIF(Courses!$K$14:$K$213,'Column 1'!$AM8,Courses!Q$14:Q$213),SUMIF(Courses!$K$14:$K$213,'Column 1'!$AM8,Courses!V$14:V$213))</f>
        <v>0</v>
      </c>
    </row>
    <row r="9" spans="1:45" ht="12.75" customHeight="1" x14ac:dyDescent="0.35">
      <c r="B9" s="70" t="str">
        <f>IF(Courses!B15&lt;&gt;"",CONCATENATE(Courses!E15,"/",Courses!L15,"/",Courses!K15),"")</f>
        <v/>
      </c>
      <c r="C9" s="1579" t="str">
        <f>IF(AND(Courses!B15&lt;&gt;"",Courses!G15&lt;&gt;""),CONCATENATE(Courses!G15,"/",Courses!L15,"/",Courses!K15),"")</f>
        <v/>
      </c>
      <c r="D9" s="71" t="str">
        <f>IF(AND(Courses!B15&lt;&gt;"",Courses!I15&lt;&gt;""),CONCATENATE(Courses!I15,"/",Courses!L15,"/",Courses!K15),"")</f>
        <v/>
      </c>
      <c r="E9" s="1580">
        <f>IF(AND('Courses Valid'!C21=0,Courses!E15&lt;&gt;"",Courses!F15&gt;0,SUM(Courses!M15,Courses!N15)&gt;0),Courses!F15*SUM(Courses!M15,Courses!N15),0)</f>
        <v>0</v>
      </c>
      <c r="F9" s="41">
        <f>IF(AND('Courses Valid'!C21=0,Courses!G15&lt;&gt;"",Courses!H15&gt;0,SUM(Courses!M15,Courses!N15)&gt;0),Courses!H15*SUM(Courses!M15,Courses!N15),0)</f>
        <v>0</v>
      </c>
      <c r="G9" s="105">
        <f>IF(AND('Courses Valid'!C21=0,Courses!I15&lt;&gt;"",Courses!J15&gt;0,SUM(Courses!M15,Courses!N15)&gt;0),Courses!J15*SUM(Courses!M15,Courses!N15),0)</f>
        <v>0</v>
      </c>
      <c r="H9" s="1580">
        <f>IF(AND('Courses Valid'!C21=0,Courses!E15&lt;&gt;"",Courses!F15&gt;0,SUM(Courses!O15,Courses!P15)&gt;0),Courses!F15*SUM(Courses!O15,Courses!P15),0)</f>
        <v>0</v>
      </c>
      <c r="I9" s="41">
        <f>IF(AND('Courses Valid'!C21=0,Courses!G15&lt;&gt;"",Courses!H15&gt;0,SUM(Courses!O15,Courses!P15)&gt;0),Courses!H15*SUM(Courses!O15,Courses!P15),0)</f>
        <v>0</v>
      </c>
      <c r="J9" s="105">
        <f>IF(AND('Courses Valid'!C21=0,Courses!I15&lt;&gt;"",Courses!J15&gt;0,SUM(Courses!O15,Courses!P15)&gt;0),Courses!J15*SUM(Courses!O15,Courses!P15),0)</f>
        <v>0</v>
      </c>
      <c r="K9" s="1580">
        <f>IF(AND('Courses Valid'!C21=0,Courses!E15&lt;&gt;"",Courses!F15&gt;0,Courses!Q15&gt;0),Courses!F15*Courses!Q15,0)</f>
        <v>0</v>
      </c>
      <c r="L9" s="41">
        <f>IF(AND('Courses Valid'!C21=0,Courses!G15&lt;&gt;"",Courses!H15&gt;0,Courses!Q15&gt;0),Courses!H15*Courses!Q15,0)</f>
        <v>0</v>
      </c>
      <c r="M9" s="105">
        <f>IF(AND('Courses Valid'!C21=0,Courses!I15&lt;&gt;"",Courses!J15&gt;0,Courses!Q15&gt;0),Courses!J15*Courses!Q15,0)</f>
        <v>0</v>
      </c>
      <c r="N9" s="41">
        <f>IF(AND('Courses Valid'!C21=0,Courses!E15&lt;&gt;"",Courses!F15&gt;0,SUM(Courses!W15,Courses!X15)&gt;0),Courses!F15*SUM(Courses!W15,Courses!X15),0)</f>
        <v>0</v>
      </c>
      <c r="O9" s="41">
        <f>IF(AND('Courses Valid'!C21=0,Courses!G15&lt;&gt;"",Courses!H15&gt;0,SUM(Courses!W15,Courses!X15)&gt;0),Courses!H15*SUM(Courses!W15,Courses!X15),0)</f>
        <v>0</v>
      </c>
      <c r="P9" s="41">
        <f>IF(AND('Courses Valid'!C21=0,Courses!I15&lt;&gt;"",Courses!J15&gt;0,SUM(Courses!W15,Courses!X15)&gt;0),Courses!J15*SUM(Courses!W15,Courses!X15),0)</f>
        <v>0</v>
      </c>
      <c r="Q9" s="1580">
        <f>IF(AND('Courses Valid'!C21=0,Courses!E15&lt;&gt;"",Courses!F15&gt;0,SUM(Courses!Y15,Courses!Z15)&gt;0),Courses!F15*SUM(Courses!Y15,Courses!Z15),0)</f>
        <v>0</v>
      </c>
      <c r="R9" s="41">
        <f>IF(AND('Courses Valid'!C21=0,Courses!G15&lt;&gt;"",Courses!H15&gt;0,SUM(Courses!Y15,Courses!Z15)&gt;0),Courses!H15*SUM(Courses!Y15,Courses!Z15),0)</f>
        <v>0</v>
      </c>
      <c r="S9" s="105">
        <f>IF(AND('Courses Valid'!C21=0,Courses!I15&lt;&gt;"",Courses!J15&gt;0,SUM(Courses!Y15,Courses!Z15)&gt;0),Courses!J15*SUM(Courses!Y15,Courses!Z15),0)</f>
        <v>0</v>
      </c>
      <c r="T9" s="41">
        <f>IF(AND('Courses Valid'!C21=0,Courses!E15&lt;&gt;"",Courses!F15&gt;0,Courses!AA15&gt;0),Courses!F15*Courses!AA15,0)</f>
        <v>0</v>
      </c>
      <c r="U9" s="41">
        <f>IF(AND('Courses Valid'!C21=0,Courses!G15&lt;&gt;"",Courses!H15&gt;0,Courses!AA15&gt;0),Courses!H15*Courses!AA15,0)</f>
        <v>0</v>
      </c>
      <c r="V9" s="106">
        <f>IF(AND('Courses Valid'!C21=0,Courses!I15&lt;&gt;"",Courses!J15&gt;0,Courses!AA15&gt;0),Courses!J15*Courses!AA15,0)</f>
        <v>0</v>
      </c>
      <c r="W9" s="41"/>
      <c r="X9" s="96"/>
      <c r="Y9" s="7"/>
      <c r="Z9" s="13" t="s">
        <v>208</v>
      </c>
      <c r="AA9" s="642" t="s">
        <v>209</v>
      </c>
      <c r="AB9" s="47">
        <f t="shared" ref="AB9:AB72" si="0">SUM(SUMIF($B$8:$B$219,$AA9,$E$8:$E$219),SUMIF($C$8:$C$219,$AA9,$F$8:$F$219),SUMIF($D$8:$D$219,$AA9,$G$8:$G$219))</f>
        <v>0</v>
      </c>
      <c r="AC9" s="48">
        <f t="shared" ref="AC9:AC72" si="1">SUM(SUMIF($B$8:$B$219,$AA9,$H$8:$H$219),SUMIF($C$8:$C$219,$AA9,$I$8:$I$219),SUMIF($D$8:$D$219,$AA9,$J$8:$J$219))</f>
        <v>0</v>
      </c>
      <c r="AD9" s="49">
        <f t="shared" ref="AD9:AD72" si="2">SUM(SUMIF($B$8:$B$219,$AA9,$K$8:$K$219),SUMIF($C$8:$C$219,$AA9,$L$8:$L$219),SUMIF($D$8:$D$219,$AA9,$M$8:$M$219))</f>
        <v>0</v>
      </c>
      <c r="AE9" s="1578"/>
      <c r="AF9" s="29"/>
      <c r="AG9" s="29"/>
      <c r="AH9" s="643">
        <f t="shared" ref="AH9:AH72" si="3">SUM(SUMIF($B$8:$B$219,$AA9,$N$8:$N$219),SUMIF($C$8:$C$219,$AA9,$O$8:$O$219),SUMIF($D$8:$D$219,$AA9,$P$8:$P$219))</f>
        <v>0</v>
      </c>
      <c r="AI9" s="635">
        <f t="shared" ref="AI9:AI72" si="4">SUM(SUMIF($B$8:$B$219,$AA9,$Q$8:$Q$219),SUMIF($C$8:$C$219,$AA9,$R$8:$R$219),SUMIF($D$8:$D$219,$AA9,$S$8:$S$219))</f>
        <v>0</v>
      </c>
      <c r="AJ9" s="634">
        <f t="shared" ref="AJ9:AJ72" si="5">SUM(SUMIF($B$8:$B$219,$AA9,$T$8:$T$219),SUMIF($C$8:$C$219,$AA9,$U$8:$U$219),SUMIF($D$8:$D$219,$AA9,$V$8:$V$219))</f>
        <v>0</v>
      </c>
      <c r="AL9" s="293"/>
      <c r="AM9" s="294" t="s">
        <v>208</v>
      </c>
      <c r="AN9" s="643">
        <f>SUM(SUMIF(Courses!$K$14:$K$213,'Column 1'!$AM9,Courses!M$14:M$213),SUMIF(Courses!$K$14:$K$213,'Column 1'!$AM9,Courses!R$14:R$213))</f>
        <v>0</v>
      </c>
      <c r="AO9" s="635">
        <f>SUM(SUMIF(Courses!$K$14:$K$213,'Column 1'!$AM9,Courses!N$14:N$213),SUMIF(Courses!$K$14:$K$213,'Column 1'!$AM9,Courses!S$14:S$213))</f>
        <v>0</v>
      </c>
      <c r="AP9" s="635">
        <f>SUM(SUMIF(Courses!$K$14:$K$213,'Column 1'!$AM9,Courses!O$14:O$213),SUMIF(Courses!$K$14:$K$213,'Column 1'!$AM9,Courses!T$14:T$213))</f>
        <v>0</v>
      </c>
      <c r="AQ9" s="635">
        <f>SUM(SUMIF(Courses!$K$14:$K$213,'Column 1'!$AM9,Courses!P$14:P$213),SUMIF(Courses!$K$14:$K$213,'Column 1'!$AM9,Courses!U$14:U$213))</f>
        <v>0</v>
      </c>
      <c r="AR9" s="634">
        <f>SUM(SUMIF(Courses!$K$14:$K$213,'Column 1'!$AM9,Courses!Q$14:Q$213),SUMIF(Courses!$K$14:$K$213,'Column 1'!$AM9,Courses!V$14:V$213))</f>
        <v>0</v>
      </c>
    </row>
    <row r="10" spans="1:45" x14ac:dyDescent="0.35">
      <c r="B10" s="70" t="str">
        <f>IF(Courses!B16&lt;&gt;"",CONCATENATE(Courses!E16,"/",Courses!L16,"/",Courses!K16),"")</f>
        <v/>
      </c>
      <c r="C10" s="1579" t="str">
        <f>IF(AND(Courses!B16&lt;&gt;"",Courses!G16&lt;&gt;""),CONCATENATE(Courses!G16,"/",Courses!L16,"/",Courses!K16),"")</f>
        <v/>
      </c>
      <c r="D10" s="71" t="str">
        <f>IF(AND(Courses!B16&lt;&gt;"",Courses!I16&lt;&gt;""),CONCATENATE(Courses!I16,"/",Courses!L16,"/",Courses!K16),"")</f>
        <v/>
      </c>
      <c r="E10" s="1580">
        <f>IF(AND('Courses Valid'!C22=0,Courses!E16&lt;&gt;"",Courses!F16&gt;0,SUM(Courses!M16,Courses!N16)&gt;0),Courses!F16*SUM(Courses!M16,Courses!N16),0)</f>
        <v>0</v>
      </c>
      <c r="F10" s="41">
        <f>IF(AND('Courses Valid'!C22=0,Courses!G16&lt;&gt;"",Courses!H16&gt;0,SUM(Courses!M16,Courses!N16)&gt;0),Courses!H16*SUM(Courses!M16,Courses!N16),0)</f>
        <v>0</v>
      </c>
      <c r="G10" s="105">
        <f>IF(AND('Courses Valid'!C22=0,Courses!I16&lt;&gt;"",Courses!J16&gt;0,SUM(Courses!M16,Courses!N16)&gt;0),Courses!J16*SUM(Courses!M16,Courses!N16),0)</f>
        <v>0</v>
      </c>
      <c r="H10" s="1580">
        <f>IF(AND('Courses Valid'!C22=0,Courses!E16&lt;&gt;"",Courses!F16&gt;0,SUM(Courses!O16,Courses!P16)&gt;0),Courses!F16*SUM(Courses!O16,Courses!P16),0)</f>
        <v>0</v>
      </c>
      <c r="I10" s="41">
        <f>IF(AND('Courses Valid'!C22=0,Courses!G16&lt;&gt;"",Courses!H16&gt;0,SUM(Courses!O16,Courses!P16)&gt;0),Courses!H16*SUM(Courses!O16,Courses!P16),0)</f>
        <v>0</v>
      </c>
      <c r="J10" s="105">
        <f>IF(AND('Courses Valid'!C22=0,Courses!I16&lt;&gt;"",Courses!J16&gt;0,SUM(Courses!O16,Courses!P16)&gt;0),Courses!J16*SUM(Courses!O16,Courses!P16),0)</f>
        <v>0</v>
      </c>
      <c r="K10" s="1580">
        <f>IF(AND('Courses Valid'!C22=0,Courses!E16&lt;&gt;"",Courses!F16&gt;0,Courses!Q16&gt;0),Courses!F16*Courses!Q16,0)</f>
        <v>0</v>
      </c>
      <c r="L10" s="41">
        <f>IF(AND('Courses Valid'!C22=0,Courses!G16&lt;&gt;"",Courses!H16&gt;0,Courses!Q16&gt;0),Courses!H16*Courses!Q16,0)</f>
        <v>0</v>
      </c>
      <c r="M10" s="105">
        <f>IF(AND('Courses Valid'!C22=0,Courses!I16&lt;&gt;"",Courses!J16&gt;0,Courses!Q16&gt;0),Courses!J16*Courses!Q16,0)</f>
        <v>0</v>
      </c>
      <c r="N10" s="41">
        <f>IF(AND('Courses Valid'!C22=0,Courses!E16&lt;&gt;"",Courses!F16&gt;0,SUM(Courses!W16,Courses!X16)&gt;0),Courses!F16*SUM(Courses!W16,Courses!X16),0)</f>
        <v>0</v>
      </c>
      <c r="O10" s="41">
        <f>IF(AND('Courses Valid'!C22=0,Courses!G16&lt;&gt;"",Courses!H16&gt;0,SUM(Courses!W16,Courses!X16)&gt;0),Courses!H16*SUM(Courses!W16,Courses!X16),0)</f>
        <v>0</v>
      </c>
      <c r="P10" s="41">
        <f>IF(AND('Courses Valid'!C22=0,Courses!I16&lt;&gt;"",Courses!J16&gt;0,SUM(Courses!W16,Courses!X16)&gt;0),Courses!J16*SUM(Courses!W16,Courses!X16),0)</f>
        <v>0</v>
      </c>
      <c r="Q10" s="1580">
        <f>IF(AND('Courses Valid'!C22=0,Courses!E16&lt;&gt;"",Courses!F16&gt;0,SUM(Courses!Y16,Courses!Z16)&gt;0),Courses!F16*SUM(Courses!Y16,Courses!Z16),0)</f>
        <v>0</v>
      </c>
      <c r="R10" s="41">
        <f>IF(AND('Courses Valid'!C22=0,Courses!G16&lt;&gt;"",Courses!H16&gt;0,SUM(Courses!Y16,Courses!Z16)&gt;0),Courses!H16*SUM(Courses!Y16,Courses!Z16),0)</f>
        <v>0</v>
      </c>
      <c r="S10" s="105">
        <f>IF(AND('Courses Valid'!C22=0,Courses!I16&lt;&gt;"",Courses!J16&gt;0,SUM(Courses!Y16,Courses!Z16)&gt;0),Courses!J16*SUM(Courses!Y16,Courses!Z16),0)</f>
        <v>0</v>
      </c>
      <c r="T10" s="41">
        <f>IF(AND('Courses Valid'!C22=0,Courses!E16&lt;&gt;"",Courses!F16&gt;0,Courses!AA16&gt;0),Courses!F16*Courses!AA16,0)</f>
        <v>0</v>
      </c>
      <c r="U10" s="41">
        <f>IF(AND('Courses Valid'!C22=0,Courses!G16&lt;&gt;"",Courses!H16&gt;0,Courses!AA16&gt;0),Courses!H16*Courses!AA16,0)</f>
        <v>0</v>
      </c>
      <c r="V10" s="106">
        <f>IF(AND('Courses Valid'!C22=0,Courses!I16&lt;&gt;"",Courses!J16&gt;0,Courses!AA16&gt;0),Courses!J16*Courses!AA16,0)</f>
        <v>0</v>
      </c>
      <c r="W10" s="41"/>
      <c r="X10" s="96"/>
      <c r="Y10" s="7"/>
      <c r="Z10" s="13" t="s">
        <v>210</v>
      </c>
      <c r="AA10" s="642" t="s">
        <v>211</v>
      </c>
      <c r="AB10" s="47">
        <f t="shared" si="0"/>
        <v>0</v>
      </c>
      <c r="AC10" s="48">
        <f t="shared" si="1"/>
        <v>0</v>
      </c>
      <c r="AD10" s="49">
        <f t="shared" si="2"/>
        <v>0</v>
      </c>
      <c r="AE10" s="1578"/>
      <c r="AF10" s="29"/>
      <c r="AG10" s="29"/>
      <c r="AH10" s="47">
        <f t="shared" si="3"/>
        <v>0</v>
      </c>
      <c r="AI10" s="48">
        <f t="shared" si="4"/>
        <v>0</v>
      </c>
      <c r="AJ10" s="97">
        <f t="shared" si="5"/>
        <v>0</v>
      </c>
      <c r="AL10" s="293"/>
      <c r="AM10" s="294" t="s">
        <v>210</v>
      </c>
      <c r="AN10" s="47">
        <f>SUM(SUMIF(Courses!$K$14:$K$213,'Column 1'!$AM10,Courses!M$14:M$213),SUMIF(Courses!$K$14:$K$213,'Column 1'!$AM10,Courses!R$14:R$213))</f>
        <v>0</v>
      </c>
      <c r="AO10" s="48">
        <f>SUM(SUMIF(Courses!$K$14:$K$213,'Column 1'!$AM10,Courses!N$14:N$213),SUMIF(Courses!$K$14:$K$213,'Column 1'!$AM10,Courses!S$14:S$213))</f>
        <v>0</v>
      </c>
      <c r="AP10" s="48">
        <f>SUM(SUMIF(Courses!$K$14:$K$213,'Column 1'!$AM10,Courses!O$14:O$213),SUMIF(Courses!$K$14:$K$213,'Column 1'!$AM10,Courses!T$14:T$213))</f>
        <v>0</v>
      </c>
      <c r="AQ10" s="48">
        <f>SUM(SUMIF(Courses!$K$14:$K$213,'Column 1'!$AM10,Courses!P$14:P$213),SUMIF(Courses!$K$14:$K$213,'Column 1'!$AM10,Courses!U$14:U$213))</f>
        <v>0</v>
      </c>
      <c r="AR10" s="97">
        <f>SUM(SUMIF(Courses!$K$14:$K$213,'Column 1'!$AM10,Courses!Q$14:Q$213),SUMIF(Courses!$K$14:$K$213,'Column 1'!$AM10,Courses!V$14:V$213))</f>
        <v>0</v>
      </c>
    </row>
    <row r="11" spans="1:45" x14ac:dyDescent="0.35">
      <c r="B11" s="70" t="str">
        <f>IF(Courses!B17&lt;&gt;"",CONCATENATE(Courses!E17,"/",Courses!L17,"/",Courses!K17),"")</f>
        <v/>
      </c>
      <c r="C11" s="1579" t="str">
        <f>IF(AND(Courses!B17&lt;&gt;"",Courses!G17&lt;&gt;""),CONCATENATE(Courses!G17,"/",Courses!L17,"/",Courses!K17),"")</f>
        <v/>
      </c>
      <c r="D11" s="71" t="str">
        <f>IF(AND(Courses!B17&lt;&gt;"",Courses!I17&lt;&gt;""),CONCATENATE(Courses!I17,"/",Courses!L17,"/",Courses!K17),"")</f>
        <v/>
      </c>
      <c r="E11" s="1580">
        <f>IF(AND('Courses Valid'!C23=0,Courses!E17&lt;&gt;"",Courses!F17&gt;0,SUM(Courses!M17,Courses!N17)&gt;0),Courses!F17*SUM(Courses!M17,Courses!N17),0)</f>
        <v>0</v>
      </c>
      <c r="F11" s="41">
        <f>IF(AND('Courses Valid'!C23=0,Courses!G17&lt;&gt;"",Courses!H17&gt;0,SUM(Courses!M17,Courses!N17)&gt;0),Courses!H17*SUM(Courses!M17,Courses!N17),0)</f>
        <v>0</v>
      </c>
      <c r="G11" s="105">
        <f>IF(AND('Courses Valid'!C23=0,Courses!I17&lt;&gt;"",Courses!J17&gt;0,SUM(Courses!M17,Courses!N17)&gt;0),Courses!J17*SUM(Courses!M17,Courses!N17),0)</f>
        <v>0</v>
      </c>
      <c r="H11" s="1580">
        <f>IF(AND('Courses Valid'!C23=0,Courses!E17&lt;&gt;"",Courses!F17&gt;0,SUM(Courses!O17,Courses!P17)&gt;0),Courses!F17*SUM(Courses!O17,Courses!P17),0)</f>
        <v>0</v>
      </c>
      <c r="I11" s="41">
        <f>IF(AND('Courses Valid'!C23=0,Courses!G17&lt;&gt;"",Courses!H17&gt;0,SUM(Courses!O17,Courses!P17)&gt;0),Courses!H17*SUM(Courses!O17,Courses!P17),0)</f>
        <v>0</v>
      </c>
      <c r="J11" s="105">
        <f>IF(AND('Courses Valid'!C23=0,Courses!I17&lt;&gt;"",Courses!J17&gt;0,SUM(Courses!O17,Courses!P17)&gt;0),Courses!J17*SUM(Courses!O17,Courses!P17),0)</f>
        <v>0</v>
      </c>
      <c r="K11" s="1580">
        <f>IF(AND('Courses Valid'!C23=0,Courses!E17&lt;&gt;"",Courses!F17&gt;0,Courses!Q17&gt;0),Courses!F17*Courses!Q17,0)</f>
        <v>0</v>
      </c>
      <c r="L11" s="41">
        <f>IF(AND('Courses Valid'!C23=0,Courses!G17&lt;&gt;"",Courses!H17&gt;0,Courses!Q17&gt;0),Courses!H17*Courses!Q17,0)</f>
        <v>0</v>
      </c>
      <c r="M11" s="105">
        <f>IF(AND('Courses Valid'!C23=0,Courses!I17&lt;&gt;"",Courses!J17&gt;0,Courses!Q17&gt;0),Courses!J17*Courses!Q17,0)</f>
        <v>0</v>
      </c>
      <c r="N11" s="41">
        <f>IF(AND('Courses Valid'!C23=0,Courses!E17&lt;&gt;"",Courses!F17&gt;0,SUM(Courses!W17,Courses!X17)&gt;0),Courses!F17*SUM(Courses!W17,Courses!X17),0)</f>
        <v>0</v>
      </c>
      <c r="O11" s="41">
        <f>IF(AND('Courses Valid'!C23=0,Courses!G17&lt;&gt;"",Courses!H17&gt;0,SUM(Courses!W17,Courses!X17)&gt;0),Courses!H17*SUM(Courses!W17,Courses!X17),0)</f>
        <v>0</v>
      </c>
      <c r="P11" s="41">
        <f>IF(AND('Courses Valid'!C23=0,Courses!I17&lt;&gt;"",Courses!J17&gt;0,SUM(Courses!W17,Courses!X17)&gt;0),Courses!J17*SUM(Courses!W17,Courses!X17),0)</f>
        <v>0</v>
      </c>
      <c r="Q11" s="1580">
        <f>IF(AND('Courses Valid'!C23=0,Courses!E17&lt;&gt;"",Courses!F17&gt;0,SUM(Courses!Y17,Courses!Z17)&gt;0),Courses!F17*SUM(Courses!Y17,Courses!Z17),0)</f>
        <v>0</v>
      </c>
      <c r="R11" s="41">
        <f>IF(AND('Courses Valid'!C23=0,Courses!G17&lt;&gt;"",Courses!H17&gt;0,SUM(Courses!Y17,Courses!Z17)&gt;0),Courses!H17*SUM(Courses!Y17,Courses!Z17),0)</f>
        <v>0</v>
      </c>
      <c r="S11" s="105">
        <f>IF(AND('Courses Valid'!C23=0,Courses!I17&lt;&gt;"",Courses!J17&gt;0,SUM(Courses!Y17,Courses!Z17)&gt;0),Courses!J17*SUM(Courses!Y17,Courses!Z17),0)</f>
        <v>0</v>
      </c>
      <c r="T11" s="41">
        <f>IF(AND('Courses Valid'!C23=0,Courses!E17&lt;&gt;"",Courses!F17&gt;0,Courses!AA17&gt;0),Courses!F17*Courses!AA17,0)</f>
        <v>0</v>
      </c>
      <c r="U11" s="41">
        <f>IF(AND('Courses Valid'!C23=0,Courses!G17&lt;&gt;"",Courses!H17&gt;0,Courses!AA17&gt;0),Courses!H17*Courses!AA17,0)</f>
        <v>0</v>
      </c>
      <c r="V11" s="106">
        <f>IF(AND('Courses Valid'!C23=0,Courses!I17&lt;&gt;"",Courses!J17&gt;0,Courses!AA17&gt;0),Courses!J17*Courses!AA17,0)</f>
        <v>0</v>
      </c>
      <c r="W11" s="41"/>
      <c r="X11" s="96"/>
      <c r="Y11" s="7"/>
      <c r="Z11" s="13" t="s">
        <v>212</v>
      </c>
      <c r="AA11" s="642" t="s">
        <v>213</v>
      </c>
      <c r="AB11" s="45">
        <f t="shared" si="0"/>
        <v>0</v>
      </c>
      <c r="AC11" s="51">
        <f t="shared" si="1"/>
        <v>0</v>
      </c>
      <c r="AD11" s="46">
        <f t="shared" si="2"/>
        <v>0</v>
      </c>
      <c r="AE11" s="1578"/>
      <c r="AF11" s="29"/>
      <c r="AG11" s="29"/>
      <c r="AH11" s="45">
        <f t="shared" si="3"/>
        <v>0</v>
      </c>
      <c r="AI11" s="51">
        <f t="shared" si="4"/>
        <v>0</v>
      </c>
      <c r="AJ11" s="98">
        <f t="shared" si="5"/>
        <v>0</v>
      </c>
      <c r="AL11" s="104"/>
      <c r="AM11" s="234" t="s">
        <v>212</v>
      </c>
      <c r="AN11" s="45">
        <f>SUM(SUMIF(Courses!$K$14:$K$213,'Column 1'!$AM11,Courses!M$14:M$213),SUMIF(Courses!$K$14:$K$213,'Column 1'!$AM11,Courses!R$14:R$213))</f>
        <v>0</v>
      </c>
      <c r="AO11" s="51">
        <f>SUM(SUMIF(Courses!$K$14:$K$213,'Column 1'!$AM11,Courses!N$14:N$213),SUMIF(Courses!$K$14:$K$213,'Column 1'!$AM11,Courses!S$14:S$213))</f>
        <v>0</v>
      </c>
      <c r="AP11" s="51">
        <f>SUM(SUMIF(Courses!$K$14:$K$213,'Column 1'!$AM11,Courses!O$14:O$213),SUMIF(Courses!$K$14:$K$213,'Column 1'!$AM11,Courses!T$14:T$213))</f>
        <v>0</v>
      </c>
      <c r="AQ11" s="51">
        <f>SUM(SUMIF(Courses!$K$14:$K$213,'Column 1'!$AM11,Courses!P$14:P$213),SUMIF(Courses!$K$14:$K$213,'Column 1'!$AM11,Courses!U$14:U$213))</f>
        <v>0</v>
      </c>
      <c r="AR11" s="98">
        <f>SUM(SUMIF(Courses!$K$14:$K$213,'Column 1'!$AM11,Courses!Q$14:Q$213),SUMIF(Courses!$K$14:$K$213,'Column 1'!$AM11,Courses!V$14:V$213))</f>
        <v>0</v>
      </c>
    </row>
    <row r="12" spans="1:45" x14ac:dyDescent="0.35">
      <c r="B12" s="70" t="str">
        <f>IF(Courses!B18&lt;&gt;"",CONCATENATE(Courses!E18,"/",Courses!L18,"/",Courses!K18),"")</f>
        <v/>
      </c>
      <c r="C12" s="1579" t="str">
        <f>IF(AND(Courses!B18&lt;&gt;"",Courses!G18&lt;&gt;""),CONCATENATE(Courses!G18,"/",Courses!L18,"/",Courses!K18),"")</f>
        <v/>
      </c>
      <c r="D12" s="71" t="str">
        <f>IF(AND(Courses!B18&lt;&gt;"",Courses!I18&lt;&gt;""),CONCATENATE(Courses!I18,"/",Courses!L18,"/",Courses!K18),"")</f>
        <v/>
      </c>
      <c r="E12" s="1580">
        <f>IF(AND('Courses Valid'!C24=0,Courses!E18&lt;&gt;"",Courses!F18&gt;0,SUM(Courses!M18,Courses!N18)&gt;0),Courses!F18*SUM(Courses!M18,Courses!N18),0)</f>
        <v>0</v>
      </c>
      <c r="F12" s="41">
        <f>IF(AND('Courses Valid'!C24=0,Courses!G18&lt;&gt;"",Courses!H18&gt;0,SUM(Courses!M18,Courses!N18)&gt;0),Courses!H18*SUM(Courses!M18,Courses!N18),0)</f>
        <v>0</v>
      </c>
      <c r="G12" s="105">
        <f>IF(AND('Courses Valid'!C24=0,Courses!I18&lt;&gt;"",Courses!J18&gt;0,SUM(Courses!M18,Courses!N18)&gt;0),Courses!J18*SUM(Courses!M18,Courses!N18),0)</f>
        <v>0</v>
      </c>
      <c r="H12" s="1580">
        <f>IF(AND('Courses Valid'!C24=0,Courses!E18&lt;&gt;"",Courses!F18&gt;0,SUM(Courses!O18,Courses!P18)&gt;0),Courses!F18*SUM(Courses!O18,Courses!P18),0)</f>
        <v>0</v>
      </c>
      <c r="I12" s="41">
        <f>IF(AND('Courses Valid'!C24=0,Courses!G18&lt;&gt;"",Courses!H18&gt;0,SUM(Courses!O18,Courses!P18)&gt;0),Courses!H18*SUM(Courses!O18,Courses!P18),0)</f>
        <v>0</v>
      </c>
      <c r="J12" s="105">
        <f>IF(AND('Courses Valid'!C24=0,Courses!I18&lt;&gt;"",Courses!J18&gt;0,SUM(Courses!O18,Courses!P18)&gt;0),Courses!J18*SUM(Courses!O18,Courses!P18),0)</f>
        <v>0</v>
      </c>
      <c r="K12" s="1580">
        <f>IF(AND('Courses Valid'!C24=0,Courses!E18&lt;&gt;"",Courses!F18&gt;0,Courses!Q18&gt;0),Courses!F18*Courses!Q18,0)</f>
        <v>0</v>
      </c>
      <c r="L12" s="41">
        <f>IF(AND('Courses Valid'!C24=0,Courses!G18&lt;&gt;"",Courses!H18&gt;0,Courses!Q18&gt;0),Courses!H18*Courses!Q18,0)</f>
        <v>0</v>
      </c>
      <c r="M12" s="105">
        <f>IF(AND('Courses Valid'!C24=0,Courses!I18&lt;&gt;"",Courses!J18&gt;0,Courses!Q18&gt;0),Courses!J18*Courses!Q18,0)</f>
        <v>0</v>
      </c>
      <c r="N12" s="41">
        <f>IF(AND('Courses Valid'!C24=0,Courses!E18&lt;&gt;"",Courses!F18&gt;0,SUM(Courses!W18,Courses!X18)&gt;0),Courses!F18*SUM(Courses!W18,Courses!X18),0)</f>
        <v>0</v>
      </c>
      <c r="O12" s="41">
        <f>IF(AND('Courses Valid'!C24=0,Courses!G18&lt;&gt;"",Courses!H18&gt;0,SUM(Courses!W18,Courses!X18)&gt;0),Courses!H18*SUM(Courses!W18,Courses!X18),0)</f>
        <v>0</v>
      </c>
      <c r="P12" s="41">
        <f>IF(AND('Courses Valid'!C24=0,Courses!I18&lt;&gt;"",Courses!J18&gt;0,SUM(Courses!W18,Courses!X18)&gt;0),Courses!J18*SUM(Courses!W18,Courses!X18),0)</f>
        <v>0</v>
      </c>
      <c r="Q12" s="1580">
        <f>IF(AND('Courses Valid'!C24=0,Courses!E18&lt;&gt;"",Courses!F18&gt;0,SUM(Courses!Y18,Courses!Z18)&gt;0),Courses!F18*SUM(Courses!Y18,Courses!Z18),0)</f>
        <v>0</v>
      </c>
      <c r="R12" s="41">
        <f>IF(AND('Courses Valid'!C24=0,Courses!G18&lt;&gt;"",Courses!H18&gt;0,SUM(Courses!Y18,Courses!Z18)&gt;0),Courses!H18*SUM(Courses!Y18,Courses!Z18),0)</f>
        <v>0</v>
      </c>
      <c r="S12" s="105">
        <f>IF(AND('Courses Valid'!C24=0,Courses!I18&lt;&gt;"",Courses!J18&gt;0,SUM(Courses!Y18,Courses!Z18)&gt;0),Courses!J18*SUM(Courses!Y18,Courses!Z18),0)</f>
        <v>0</v>
      </c>
      <c r="T12" s="41">
        <f>IF(AND('Courses Valid'!C24=0,Courses!E18&lt;&gt;"",Courses!F18&gt;0,Courses!AA18&gt;0),Courses!F18*Courses!AA18,0)</f>
        <v>0</v>
      </c>
      <c r="U12" s="41">
        <f>IF(AND('Courses Valid'!C24=0,Courses!G18&lt;&gt;"",Courses!H18&gt;0,Courses!AA18&gt;0),Courses!H18*Courses!AA18,0)</f>
        <v>0</v>
      </c>
      <c r="V12" s="106">
        <f>IF(AND('Courses Valid'!C24=0,Courses!I18&lt;&gt;"",Courses!J18&gt;0,Courses!AA18&gt;0),Courses!J18*Courses!AA18,0)</f>
        <v>0</v>
      </c>
      <c r="W12" s="41"/>
      <c r="X12" s="99"/>
      <c r="Y12" s="7"/>
      <c r="Z12" s="13" t="s">
        <v>214</v>
      </c>
      <c r="AA12" s="642" t="s">
        <v>215</v>
      </c>
      <c r="AB12" s="45">
        <f t="shared" si="0"/>
        <v>0</v>
      </c>
      <c r="AC12" s="51">
        <f t="shared" si="1"/>
        <v>0</v>
      </c>
      <c r="AD12" s="46">
        <f t="shared" si="2"/>
        <v>0</v>
      </c>
      <c r="AE12" s="1578"/>
      <c r="AF12" s="29"/>
      <c r="AG12" s="29"/>
      <c r="AH12" s="45">
        <f t="shared" si="3"/>
        <v>0</v>
      </c>
      <c r="AI12" s="51">
        <f t="shared" si="4"/>
        <v>0</v>
      </c>
      <c r="AJ12" s="98">
        <f t="shared" si="5"/>
        <v>0</v>
      </c>
      <c r="AL12" s="235"/>
      <c r="AM12" s="294" t="s">
        <v>214</v>
      </c>
      <c r="AN12" s="45">
        <f>SUM(SUMIF(Courses!$K$14:$K$213,'Column 1'!$AM12,Courses!M$14:M$213),SUMIF(Courses!$K$14:$K$213,'Column 1'!$AM12,Courses!R$14:R$213))</f>
        <v>0</v>
      </c>
      <c r="AO12" s="51">
        <f>SUM(SUMIF(Courses!$K$14:$K$213,'Column 1'!$AM12,Courses!N$14:N$213),SUMIF(Courses!$K$14:$K$213,'Column 1'!$AM12,Courses!S$14:S$213))</f>
        <v>0</v>
      </c>
      <c r="AP12" s="51">
        <f>SUM(SUMIF(Courses!$K$14:$K$213,'Column 1'!$AM12,Courses!O$14:O$213),SUMIF(Courses!$K$14:$K$213,'Column 1'!$AM12,Courses!T$14:T$213))</f>
        <v>0</v>
      </c>
      <c r="AQ12" s="51">
        <f>SUM(SUMIF(Courses!$K$14:$K$213,'Column 1'!$AM12,Courses!P$14:P$213),SUMIF(Courses!$K$14:$K$213,'Column 1'!$AM12,Courses!U$14:U$213))</f>
        <v>0</v>
      </c>
      <c r="AR12" s="98">
        <f>SUM(SUMIF(Courses!$K$14:$K$213,'Column 1'!$AM12,Courses!Q$14:Q$213),SUMIF(Courses!$K$14:$K$213,'Column 1'!$AM12,Courses!V$14:V$213))</f>
        <v>0</v>
      </c>
    </row>
    <row r="13" spans="1:45" x14ac:dyDescent="0.35">
      <c r="B13" s="70" t="str">
        <f>IF(Courses!B19&lt;&gt;"",CONCATENATE(Courses!E19,"/",Courses!L19,"/",Courses!K19),"")</f>
        <v/>
      </c>
      <c r="C13" s="1579" t="str">
        <f>IF(AND(Courses!B19&lt;&gt;"",Courses!G19&lt;&gt;""),CONCATENATE(Courses!G19,"/",Courses!L19,"/",Courses!K19),"")</f>
        <v/>
      </c>
      <c r="D13" s="71" t="str">
        <f>IF(AND(Courses!B19&lt;&gt;"",Courses!I19&lt;&gt;""),CONCATENATE(Courses!I19,"/",Courses!L19,"/",Courses!K19),"")</f>
        <v/>
      </c>
      <c r="E13" s="1580">
        <f>IF(AND('Courses Valid'!C25=0,Courses!E19&lt;&gt;"",Courses!F19&gt;0,SUM(Courses!M19,Courses!N19)&gt;0),Courses!F19*SUM(Courses!M19,Courses!N19),0)</f>
        <v>0</v>
      </c>
      <c r="F13" s="41">
        <f>IF(AND('Courses Valid'!C25=0,Courses!G19&lt;&gt;"",Courses!H19&gt;0,SUM(Courses!M19,Courses!N19)&gt;0),Courses!H19*SUM(Courses!M19,Courses!N19),0)</f>
        <v>0</v>
      </c>
      <c r="G13" s="105">
        <f>IF(AND('Courses Valid'!C25=0,Courses!I19&lt;&gt;"",Courses!J19&gt;0,SUM(Courses!M19,Courses!N19)&gt;0),Courses!J19*SUM(Courses!M19,Courses!N19),0)</f>
        <v>0</v>
      </c>
      <c r="H13" s="1580">
        <f>IF(AND('Courses Valid'!C25=0,Courses!E19&lt;&gt;"",Courses!F19&gt;0,SUM(Courses!O19,Courses!P19)&gt;0),Courses!F19*SUM(Courses!O19,Courses!P19),0)</f>
        <v>0</v>
      </c>
      <c r="I13" s="41">
        <f>IF(AND('Courses Valid'!C25=0,Courses!G19&lt;&gt;"",Courses!H19&gt;0,SUM(Courses!O19,Courses!P19)&gt;0),Courses!H19*SUM(Courses!O19,Courses!P19),0)</f>
        <v>0</v>
      </c>
      <c r="J13" s="105">
        <f>IF(AND('Courses Valid'!C25=0,Courses!I19&lt;&gt;"",Courses!J19&gt;0,SUM(Courses!O19,Courses!P19)&gt;0),Courses!J19*SUM(Courses!O19,Courses!P19),0)</f>
        <v>0</v>
      </c>
      <c r="K13" s="1580">
        <f>IF(AND('Courses Valid'!C25=0,Courses!E19&lt;&gt;"",Courses!F19&gt;0,Courses!Q19&gt;0),Courses!F19*Courses!Q19,0)</f>
        <v>0</v>
      </c>
      <c r="L13" s="41">
        <f>IF(AND('Courses Valid'!C25=0,Courses!G19&lt;&gt;"",Courses!H19&gt;0,Courses!Q19&gt;0),Courses!H19*Courses!Q19,0)</f>
        <v>0</v>
      </c>
      <c r="M13" s="105">
        <f>IF(AND('Courses Valid'!C25=0,Courses!I19&lt;&gt;"",Courses!J19&gt;0,Courses!Q19&gt;0),Courses!J19*Courses!Q19,0)</f>
        <v>0</v>
      </c>
      <c r="N13" s="41">
        <f>IF(AND('Courses Valid'!C25=0,Courses!E19&lt;&gt;"",Courses!F19&gt;0,SUM(Courses!W19,Courses!X19)&gt;0),Courses!F19*SUM(Courses!W19,Courses!X19),0)</f>
        <v>0</v>
      </c>
      <c r="O13" s="41">
        <f>IF(AND('Courses Valid'!C25=0,Courses!G19&lt;&gt;"",Courses!H19&gt;0,SUM(Courses!W19,Courses!X19)&gt;0),Courses!H19*SUM(Courses!W19,Courses!X19),0)</f>
        <v>0</v>
      </c>
      <c r="P13" s="41">
        <f>IF(AND('Courses Valid'!C25=0,Courses!I19&lt;&gt;"",Courses!J19&gt;0,SUM(Courses!W19,Courses!X19)&gt;0),Courses!J19*SUM(Courses!W19,Courses!X19),0)</f>
        <v>0</v>
      </c>
      <c r="Q13" s="1580">
        <f>IF(AND('Courses Valid'!C25=0,Courses!E19&lt;&gt;"",Courses!F19&gt;0,SUM(Courses!Y19,Courses!Z19)&gt;0),Courses!F19*SUM(Courses!Y19,Courses!Z19),0)</f>
        <v>0</v>
      </c>
      <c r="R13" s="41">
        <f>IF(AND('Courses Valid'!C25=0,Courses!G19&lt;&gt;"",Courses!H19&gt;0,SUM(Courses!Y19,Courses!Z19)&gt;0),Courses!H19*SUM(Courses!Y19,Courses!Z19),0)</f>
        <v>0</v>
      </c>
      <c r="S13" s="105">
        <f>IF(AND('Courses Valid'!C25=0,Courses!I19&lt;&gt;"",Courses!J19&gt;0,SUM(Courses!Y19,Courses!Z19)&gt;0),Courses!J19*SUM(Courses!Y19,Courses!Z19),0)</f>
        <v>0</v>
      </c>
      <c r="T13" s="41">
        <f>IF(AND('Courses Valid'!C25=0,Courses!E19&lt;&gt;"",Courses!F19&gt;0,Courses!AA19&gt;0),Courses!F19*Courses!AA19,0)</f>
        <v>0</v>
      </c>
      <c r="U13" s="41">
        <f>IF(AND('Courses Valid'!C25=0,Courses!G19&lt;&gt;"",Courses!H19&gt;0,Courses!AA19&gt;0),Courses!H19*Courses!AA19,0)</f>
        <v>0</v>
      </c>
      <c r="V13" s="106">
        <f>IF(AND('Courses Valid'!C25=0,Courses!I19&lt;&gt;"",Courses!J19&gt;0,Courses!AA19&gt;0),Courses!J19*Courses!AA19,0)</f>
        <v>0</v>
      </c>
      <c r="W13" s="524"/>
      <c r="X13" s="235"/>
      <c r="Z13" s="13" t="s">
        <v>216</v>
      </c>
      <c r="AA13" s="642" t="s">
        <v>217</v>
      </c>
      <c r="AB13" s="45">
        <f t="shared" si="0"/>
        <v>0</v>
      </c>
      <c r="AC13" s="51">
        <f t="shared" si="1"/>
        <v>0</v>
      </c>
      <c r="AD13" s="46">
        <f t="shared" si="2"/>
        <v>0</v>
      </c>
      <c r="AE13" s="1578"/>
      <c r="AF13" s="29"/>
      <c r="AG13" s="29"/>
      <c r="AH13" s="45">
        <f t="shared" si="3"/>
        <v>0</v>
      </c>
      <c r="AI13" s="51">
        <f t="shared" si="4"/>
        <v>0</v>
      </c>
      <c r="AJ13" s="98">
        <f t="shared" si="5"/>
        <v>0</v>
      </c>
      <c r="AK13" s="297"/>
      <c r="AL13" s="520"/>
      <c r="AM13" s="307" t="s">
        <v>216</v>
      </c>
      <c r="AN13" s="45">
        <f>SUM(SUMIF(Courses!$K$14:$K$213,'Column 1'!$AM13,Courses!M$14:M$213),SUMIF(Courses!$K$14:$K$213,'Column 1'!$AM13,Courses!R$14:R$213))</f>
        <v>0</v>
      </c>
      <c r="AO13" s="51">
        <f>SUM(SUMIF(Courses!$K$14:$K$213,'Column 1'!$AM13,Courses!N$14:N$213),SUMIF(Courses!$K$14:$K$213,'Column 1'!$AM13,Courses!S$14:S$213))</f>
        <v>0</v>
      </c>
      <c r="AP13" s="51">
        <f>SUM(SUMIF(Courses!$K$14:$K$213,'Column 1'!$AM13,Courses!O$14:O$213),SUMIF(Courses!$K$14:$K$213,'Column 1'!$AM13,Courses!T$14:T$213))</f>
        <v>0</v>
      </c>
      <c r="AQ13" s="51">
        <f>SUM(SUMIF(Courses!$K$14:$K$213,'Column 1'!$AM13,Courses!P$14:P$213),SUMIF(Courses!$K$14:$K$213,'Column 1'!$AM13,Courses!U$14:U$213))</f>
        <v>0</v>
      </c>
      <c r="AR13" s="98">
        <f>SUM(SUMIF(Courses!$K$14:$K$213,'Column 1'!$AM13,Courses!Q$14:Q$213),SUMIF(Courses!$K$14:$K$213,'Column 1'!$AM13,Courses!V$14:V$213))</f>
        <v>0</v>
      </c>
      <c r="AS13" s="235"/>
    </row>
    <row r="14" spans="1:45" x14ac:dyDescent="0.35">
      <c r="B14" s="70" t="str">
        <f>IF(Courses!B20&lt;&gt;"",CONCATENATE(Courses!E20,"/",Courses!L20,"/",Courses!K20),"")</f>
        <v/>
      </c>
      <c r="C14" s="1579" t="str">
        <f>IF(AND(Courses!B20&lt;&gt;"",Courses!G20&lt;&gt;""),CONCATENATE(Courses!G20,"/",Courses!L20,"/",Courses!K20),"")</f>
        <v/>
      </c>
      <c r="D14" s="71" t="str">
        <f>IF(AND(Courses!B20&lt;&gt;"",Courses!I20&lt;&gt;""),CONCATENATE(Courses!I20,"/",Courses!L20,"/",Courses!K20),"")</f>
        <v/>
      </c>
      <c r="E14" s="1580">
        <f>IF(AND('Courses Valid'!C26=0,Courses!E20&lt;&gt;"",Courses!F20&gt;0,SUM(Courses!M20,Courses!N20)&gt;0),Courses!F20*SUM(Courses!M20,Courses!N20),0)</f>
        <v>0</v>
      </c>
      <c r="F14" s="41">
        <f>IF(AND('Courses Valid'!C26=0,Courses!G20&lt;&gt;"",Courses!H20&gt;0,SUM(Courses!M20,Courses!N20)&gt;0),Courses!H20*SUM(Courses!M20,Courses!N20),0)</f>
        <v>0</v>
      </c>
      <c r="G14" s="105">
        <f>IF(AND('Courses Valid'!C26=0,Courses!I20&lt;&gt;"",Courses!J20&gt;0,SUM(Courses!M20,Courses!N20)&gt;0),Courses!J20*SUM(Courses!M20,Courses!N20),0)</f>
        <v>0</v>
      </c>
      <c r="H14" s="1580">
        <f>IF(AND('Courses Valid'!C26=0,Courses!E20&lt;&gt;"",Courses!F20&gt;0,SUM(Courses!O20,Courses!P20)&gt;0),Courses!F20*SUM(Courses!O20,Courses!P20),0)</f>
        <v>0</v>
      </c>
      <c r="I14" s="41">
        <f>IF(AND('Courses Valid'!C26=0,Courses!G20&lt;&gt;"",Courses!H20&gt;0,SUM(Courses!O20,Courses!P20)&gt;0),Courses!H20*SUM(Courses!O20,Courses!P20),0)</f>
        <v>0</v>
      </c>
      <c r="J14" s="105">
        <f>IF(AND('Courses Valid'!C26=0,Courses!I20&lt;&gt;"",Courses!J20&gt;0,SUM(Courses!O20,Courses!P20)&gt;0),Courses!J20*SUM(Courses!O20,Courses!P20),0)</f>
        <v>0</v>
      </c>
      <c r="K14" s="1580">
        <f>IF(AND('Courses Valid'!C26=0,Courses!E20&lt;&gt;"",Courses!F20&gt;0,Courses!Q20&gt;0),Courses!F20*Courses!Q20,0)</f>
        <v>0</v>
      </c>
      <c r="L14" s="41">
        <f>IF(AND('Courses Valid'!C26=0,Courses!G20&lt;&gt;"",Courses!H20&gt;0,Courses!Q20&gt;0),Courses!H20*Courses!Q20,0)</f>
        <v>0</v>
      </c>
      <c r="M14" s="105">
        <f>IF(AND('Courses Valid'!C26=0,Courses!I20&lt;&gt;"",Courses!J20&gt;0,Courses!Q20&gt;0),Courses!J20*Courses!Q20,0)</f>
        <v>0</v>
      </c>
      <c r="N14" s="41">
        <f>IF(AND('Courses Valid'!C26=0,Courses!E20&lt;&gt;"",Courses!F20&gt;0,SUM(Courses!W20,Courses!X20)&gt;0),Courses!F20*SUM(Courses!W20,Courses!X20),0)</f>
        <v>0</v>
      </c>
      <c r="O14" s="41">
        <f>IF(AND('Courses Valid'!C26=0,Courses!G20&lt;&gt;"",Courses!H20&gt;0,SUM(Courses!W20,Courses!X20)&gt;0),Courses!H20*SUM(Courses!W20,Courses!X20),0)</f>
        <v>0</v>
      </c>
      <c r="P14" s="41">
        <f>IF(AND('Courses Valid'!C26=0,Courses!I20&lt;&gt;"",Courses!J20&gt;0,SUM(Courses!W20,Courses!X20)&gt;0),Courses!J20*SUM(Courses!W20,Courses!X20),0)</f>
        <v>0</v>
      </c>
      <c r="Q14" s="1580">
        <f>IF(AND('Courses Valid'!C26=0,Courses!E20&lt;&gt;"",Courses!F20&gt;0,SUM(Courses!Y20,Courses!Z20)&gt;0),Courses!F20*SUM(Courses!Y20,Courses!Z20),0)</f>
        <v>0</v>
      </c>
      <c r="R14" s="41">
        <f>IF(AND('Courses Valid'!C26=0,Courses!G20&lt;&gt;"",Courses!H20&gt;0,SUM(Courses!Y20,Courses!Z20)&gt;0),Courses!H20*SUM(Courses!Y20,Courses!Z20),0)</f>
        <v>0</v>
      </c>
      <c r="S14" s="105">
        <f>IF(AND('Courses Valid'!C26=0,Courses!I20&lt;&gt;"",Courses!J20&gt;0,SUM(Courses!Y20,Courses!Z20)&gt;0),Courses!J20*SUM(Courses!Y20,Courses!Z20),0)</f>
        <v>0</v>
      </c>
      <c r="T14" s="41">
        <f>IF(AND('Courses Valid'!C26=0,Courses!E20&lt;&gt;"",Courses!F20&gt;0,Courses!AA20&gt;0),Courses!F20*Courses!AA20,0)</f>
        <v>0</v>
      </c>
      <c r="U14" s="41">
        <f>IF(AND('Courses Valid'!C26=0,Courses!G20&lt;&gt;"",Courses!H20&gt;0,Courses!AA20&gt;0),Courses!H20*Courses!AA20,0)</f>
        <v>0</v>
      </c>
      <c r="V14" s="106">
        <f>IF(AND('Courses Valid'!C26=0,Courses!I20&lt;&gt;"",Courses!J20&gt;0,Courses!AA20&gt;0),Courses!J20*Courses!AA20,0)</f>
        <v>0</v>
      </c>
      <c r="W14" s="524"/>
      <c r="X14" s="99"/>
      <c r="Y14" s="1414" t="s">
        <v>218</v>
      </c>
      <c r="Z14" s="12" t="s">
        <v>205</v>
      </c>
      <c r="AA14" s="1413" t="s">
        <v>219</v>
      </c>
      <c r="AB14" s="521">
        <f t="shared" si="0"/>
        <v>0</v>
      </c>
      <c r="AC14" s="50">
        <f t="shared" si="1"/>
        <v>0</v>
      </c>
      <c r="AD14" s="44">
        <f t="shared" si="2"/>
        <v>0</v>
      </c>
      <c r="AE14" s="1578"/>
      <c r="AF14" s="29"/>
      <c r="AG14" s="29"/>
      <c r="AH14" s="521">
        <f t="shared" si="3"/>
        <v>0</v>
      </c>
      <c r="AI14" s="50">
        <f t="shared" si="4"/>
        <v>0</v>
      </c>
      <c r="AJ14" s="100">
        <f t="shared" si="5"/>
        <v>0</v>
      </c>
      <c r="AL14" s="1770" t="s">
        <v>191</v>
      </c>
      <c r="AM14" s="651" t="s">
        <v>205</v>
      </c>
      <c r="AN14" s="521">
        <f>SUMIF(Courses!$K$14:$K$213,'Column 1'!$AM14,Courses!W$14:W$213)</f>
        <v>0</v>
      </c>
      <c r="AO14" s="50">
        <f>SUMIF(Courses!$K$14:$K$213,'Column 1'!$AM14,Courses!X$14:X$213)</f>
        <v>0</v>
      </c>
      <c r="AP14" s="50">
        <f>SUMIF(Courses!$K$14:$K$213,'Column 1'!$AM14,Courses!Y$14:Y$213)</f>
        <v>0</v>
      </c>
      <c r="AQ14" s="50">
        <f>SUMIF(Courses!$K$14:$K$213,'Column 1'!$AM14,Courses!Z$14:Z$213)</f>
        <v>0</v>
      </c>
      <c r="AR14" s="100">
        <f>SUMIF(Courses!$K$14:$K$213,'Column 1'!$AM14,Courses!AA$14:AA$213)</f>
        <v>0</v>
      </c>
    </row>
    <row r="15" spans="1:45" x14ac:dyDescent="0.35">
      <c r="B15" s="70" t="str">
        <f>IF(Courses!B21&lt;&gt;"",CONCATENATE(Courses!E21,"/",Courses!L21,"/",Courses!K21),"")</f>
        <v/>
      </c>
      <c r="C15" s="1579" t="str">
        <f>IF(AND(Courses!B21&lt;&gt;"",Courses!G21&lt;&gt;""),CONCATENATE(Courses!G21,"/",Courses!L21,"/",Courses!K21),"")</f>
        <v/>
      </c>
      <c r="D15" s="71" t="str">
        <f>IF(AND(Courses!B21&lt;&gt;"",Courses!I21&lt;&gt;""),CONCATENATE(Courses!I21,"/",Courses!L21,"/",Courses!K21),"")</f>
        <v/>
      </c>
      <c r="E15" s="1580">
        <f>IF(AND('Courses Valid'!C27=0,Courses!E21&lt;&gt;"",Courses!F21&gt;0,SUM(Courses!M21,Courses!N21)&gt;0),Courses!F21*SUM(Courses!M21,Courses!N21),0)</f>
        <v>0</v>
      </c>
      <c r="F15" s="41">
        <f>IF(AND('Courses Valid'!C27=0,Courses!G21&lt;&gt;"",Courses!H21&gt;0,SUM(Courses!M21,Courses!N21)&gt;0),Courses!H21*SUM(Courses!M21,Courses!N21),0)</f>
        <v>0</v>
      </c>
      <c r="G15" s="105">
        <f>IF(AND('Courses Valid'!C27=0,Courses!I21&lt;&gt;"",Courses!J21&gt;0,SUM(Courses!M21,Courses!N21)&gt;0),Courses!J21*SUM(Courses!M21,Courses!N21),0)</f>
        <v>0</v>
      </c>
      <c r="H15" s="1580">
        <f>IF(AND('Courses Valid'!C27=0,Courses!E21&lt;&gt;"",Courses!F21&gt;0,SUM(Courses!O21,Courses!P21)&gt;0),Courses!F21*SUM(Courses!O21,Courses!P21),0)</f>
        <v>0</v>
      </c>
      <c r="I15" s="41">
        <f>IF(AND('Courses Valid'!C27=0,Courses!G21&lt;&gt;"",Courses!H21&gt;0,SUM(Courses!O21,Courses!P21)&gt;0),Courses!H21*SUM(Courses!O21,Courses!P21),0)</f>
        <v>0</v>
      </c>
      <c r="J15" s="105">
        <f>IF(AND('Courses Valid'!C27=0,Courses!I21&lt;&gt;"",Courses!J21&gt;0,SUM(Courses!O21,Courses!P21)&gt;0),Courses!J21*SUM(Courses!O21,Courses!P21),0)</f>
        <v>0</v>
      </c>
      <c r="K15" s="1580">
        <f>IF(AND('Courses Valid'!C27=0,Courses!E21&lt;&gt;"",Courses!F21&gt;0,Courses!Q21&gt;0),Courses!F21*Courses!Q21,0)</f>
        <v>0</v>
      </c>
      <c r="L15" s="41">
        <f>IF(AND('Courses Valid'!C27=0,Courses!G21&lt;&gt;"",Courses!H21&gt;0,Courses!Q21&gt;0),Courses!H21*Courses!Q21,0)</f>
        <v>0</v>
      </c>
      <c r="M15" s="105">
        <f>IF(AND('Courses Valid'!C27=0,Courses!I21&lt;&gt;"",Courses!J21&gt;0,Courses!Q21&gt;0),Courses!J21*Courses!Q21,0)</f>
        <v>0</v>
      </c>
      <c r="N15" s="41">
        <f>IF(AND('Courses Valid'!C27=0,Courses!E21&lt;&gt;"",Courses!F21&gt;0,SUM(Courses!W21,Courses!X21)&gt;0),Courses!F21*SUM(Courses!W21,Courses!X21),0)</f>
        <v>0</v>
      </c>
      <c r="O15" s="41">
        <f>IF(AND('Courses Valid'!C27=0,Courses!G21&lt;&gt;"",Courses!H21&gt;0,SUM(Courses!W21,Courses!X21)&gt;0),Courses!H21*SUM(Courses!W21,Courses!X21),0)</f>
        <v>0</v>
      </c>
      <c r="P15" s="41">
        <f>IF(AND('Courses Valid'!C27=0,Courses!I21&lt;&gt;"",Courses!J21&gt;0,SUM(Courses!W21,Courses!X21)&gt;0),Courses!J21*SUM(Courses!W21,Courses!X21),0)</f>
        <v>0</v>
      </c>
      <c r="Q15" s="1580">
        <f>IF(AND('Courses Valid'!C27=0,Courses!E21&lt;&gt;"",Courses!F21&gt;0,SUM(Courses!Y21,Courses!Z21)&gt;0),Courses!F21*SUM(Courses!Y21,Courses!Z21),0)</f>
        <v>0</v>
      </c>
      <c r="R15" s="41">
        <f>IF(AND('Courses Valid'!C27=0,Courses!G21&lt;&gt;"",Courses!H21&gt;0,SUM(Courses!Y21,Courses!Z21)&gt;0),Courses!H21*SUM(Courses!Y21,Courses!Z21),0)</f>
        <v>0</v>
      </c>
      <c r="S15" s="105">
        <f>IF(AND('Courses Valid'!C27=0,Courses!I21&lt;&gt;"",Courses!J21&gt;0,SUM(Courses!Y21,Courses!Z21)&gt;0),Courses!J21*SUM(Courses!Y21,Courses!Z21),0)</f>
        <v>0</v>
      </c>
      <c r="T15" s="41">
        <f>IF(AND('Courses Valid'!C27=0,Courses!E21&lt;&gt;"",Courses!F21&gt;0,Courses!AA21&gt;0),Courses!F21*Courses!AA21,0)</f>
        <v>0</v>
      </c>
      <c r="U15" s="41">
        <f>IF(AND('Courses Valid'!C27=0,Courses!G21&lt;&gt;"",Courses!H21&gt;0,Courses!AA21&gt;0),Courses!H21*Courses!AA21,0)</f>
        <v>0</v>
      </c>
      <c r="V15" s="106">
        <f>IF(AND('Courses Valid'!C27=0,Courses!I21&lt;&gt;"",Courses!J21&gt;0,Courses!AA21&gt;0),Courses!J21*Courses!AA21,0)</f>
        <v>0</v>
      </c>
      <c r="W15" s="524"/>
      <c r="X15" s="99"/>
      <c r="Y15" s="53"/>
      <c r="Z15" s="13" t="s">
        <v>208</v>
      </c>
      <c r="AA15" s="642" t="s">
        <v>220</v>
      </c>
      <c r="AB15" s="643">
        <f t="shared" si="0"/>
        <v>0</v>
      </c>
      <c r="AC15" s="635">
        <f t="shared" si="1"/>
        <v>0</v>
      </c>
      <c r="AD15" s="632">
        <f t="shared" si="2"/>
        <v>0</v>
      </c>
      <c r="AE15" s="1578"/>
      <c r="AF15" s="29"/>
      <c r="AG15" s="29"/>
      <c r="AH15" s="643">
        <f t="shared" si="3"/>
        <v>0</v>
      </c>
      <c r="AI15" s="635">
        <f t="shared" si="4"/>
        <v>0</v>
      </c>
      <c r="AJ15" s="634">
        <f t="shared" si="5"/>
        <v>0</v>
      </c>
      <c r="AL15" s="644"/>
      <c r="AM15" s="294" t="s">
        <v>208</v>
      </c>
      <c r="AN15" s="643">
        <f>SUMIF(Courses!$K$14:$K$213,'Column 1'!$AM15,Courses!W$14:W$213)</f>
        <v>0</v>
      </c>
      <c r="AO15" s="635">
        <f>SUMIF(Courses!$K$14:$K$213,'Column 1'!$AM15,Courses!X$14:X$213)</f>
        <v>0</v>
      </c>
      <c r="AP15" s="635">
        <f>SUMIF(Courses!$K$14:$K$213,'Column 1'!$AM15,Courses!Y$14:Y$213)</f>
        <v>0</v>
      </c>
      <c r="AQ15" s="635">
        <f>SUMIF(Courses!$K$14:$K$213,'Column 1'!$AM15,Courses!Z$14:Z$213)</f>
        <v>0</v>
      </c>
      <c r="AR15" s="634">
        <f>SUMIF(Courses!$K$14:$K$213,'Column 1'!$AM15,Courses!AA$14:AA$213)</f>
        <v>0</v>
      </c>
    </row>
    <row r="16" spans="1:45" x14ac:dyDescent="0.35">
      <c r="B16" s="70" t="str">
        <f>IF(Courses!B22&lt;&gt;"",CONCATENATE(Courses!E22,"/",Courses!L22,"/",Courses!K22),"")</f>
        <v/>
      </c>
      <c r="C16" s="1579" t="str">
        <f>IF(AND(Courses!B22&lt;&gt;"",Courses!G22&lt;&gt;""),CONCATENATE(Courses!G22,"/",Courses!L22,"/",Courses!K22),"")</f>
        <v/>
      </c>
      <c r="D16" s="71" t="str">
        <f>IF(AND(Courses!B22&lt;&gt;"",Courses!I22&lt;&gt;""),CONCATENATE(Courses!I22,"/",Courses!L22,"/",Courses!K22),"")</f>
        <v/>
      </c>
      <c r="E16" s="1580">
        <f>IF(AND('Courses Valid'!C28=0,Courses!E22&lt;&gt;"",Courses!F22&gt;0,SUM(Courses!M22,Courses!N22)&gt;0),Courses!F22*SUM(Courses!M22,Courses!N22),0)</f>
        <v>0</v>
      </c>
      <c r="F16" s="41">
        <f>IF(AND('Courses Valid'!C28=0,Courses!G22&lt;&gt;"",Courses!H22&gt;0,SUM(Courses!M22,Courses!N22)&gt;0),Courses!H22*SUM(Courses!M22,Courses!N22),0)</f>
        <v>0</v>
      </c>
      <c r="G16" s="105">
        <f>IF(AND('Courses Valid'!C28=0,Courses!I22&lt;&gt;"",Courses!J22&gt;0,SUM(Courses!M22,Courses!N22)&gt;0),Courses!J22*SUM(Courses!M22,Courses!N22),0)</f>
        <v>0</v>
      </c>
      <c r="H16" s="1580">
        <f>IF(AND('Courses Valid'!C28=0,Courses!E22&lt;&gt;"",Courses!F22&gt;0,SUM(Courses!O22,Courses!P22)&gt;0),Courses!F22*SUM(Courses!O22,Courses!P22),0)</f>
        <v>0</v>
      </c>
      <c r="I16" s="41">
        <f>IF(AND('Courses Valid'!C28=0,Courses!G22&lt;&gt;"",Courses!H22&gt;0,SUM(Courses!O22,Courses!P22)&gt;0),Courses!H22*SUM(Courses!O22,Courses!P22),0)</f>
        <v>0</v>
      </c>
      <c r="J16" s="105">
        <f>IF(AND('Courses Valid'!C28=0,Courses!I22&lt;&gt;"",Courses!J22&gt;0,SUM(Courses!O22,Courses!P22)&gt;0),Courses!J22*SUM(Courses!O22,Courses!P22),0)</f>
        <v>0</v>
      </c>
      <c r="K16" s="1580">
        <f>IF(AND('Courses Valid'!C28=0,Courses!E22&lt;&gt;"",Courses!F22&gt;0,Courses!Q22&gt;0),Courses!F22*Courses!Q22,0)</f>
        <v>0</v>
      </c>
      <c r="L16" s="41">
        <f>IF(AND('Courses Valid'!C28=0,Courses!G22&lt;&gt;"",Courses!H22&gt;0,Courses!Q22&gt;0),Courses!H22*Courses!Q22,0)</f>
        <v>0</v>
      </c>
      <c r="M16" s="105">
        <f>IF(AND('Courses Valid'!C28=0,Courses!I22&lt;&gt;"",Courses!J22&gt;0,Courses!Q22&gt;0),Courses!J22*Courses!Q22,0)</f>
        <v>0</v>
      </c>
      <c r="N16" s="41">
        <f>IF(AND('Courses Valid'!C28=0,Courses!E22&lt;&gt;"",Courses!F22&gt;0,SUM(Courses!W22,Courses!X22)&gt;0),Courses!F22*SUM(Courses!W22,Courses!X22),0)</f>
        <v>0</v>
      </c>
      <c r="O16" s="41">
        <f>IF(AND('Courses Valid'!C28=0,Courses!G22&lt;&gt;"",Courses!H22&gt;0,SUM(Courses!W22,Courses!X22)&gt;0),Courses!H22*SUM(Courses!W22,Courses!X22),0)</f>
        <v>0</v>
      </c>
      <c r="P16" s="41">
        <f>IF(AND('Courses Valid'!C28=0,Courses!I22&lt;&gt;"",Courses!J22&gt;0,SUM(Courses!W22,Courses!X22)&gt;0),Courses!J22*SUM(Courses!W22,Courses!X22),0)</f>
        <v>0</v>
      </c>
      <c r="Q16" s="1580">
        <f>IF(AND('Courses Valid'!C28=0,Courses!E22&lt;&gt;"",Courses!F22&gt;0,SUM(Courses!Y22,Courses!Z22)&gt;0),Courses!F22*SUM(Courses!Y22,Courses!Z22),0)</f>
        <v>0</v>
      </c>
      <c r="R16" s="41">
        <f>IF(AND('Courses Valid'!C28=0,Courses!G22&lt;&gt;"",Courses!H22&gt;0,SUM(Courses!Y22,Courses!Z22)&gt;0),Courses!H22*SUM(Courses!Y22,Courses!Z22),0)</f>
        <v>0</v>
      </c>
      <c r="S16" s="105">
        <f>IF(AND('Courses Valid'!C28=0,Courses!I22&lt;&gt;"",Courses!J22&gt;0,SUM(Courses!Y22,Courses!Z22)&gt;0),Courses!J22*SUM(Courses!Y22,Courses!Z22),0)</f>
        <v>0</v>
      </c>
      <c r="T16" s="41">
        <f>IF(AND('Courses Valid'!C28=0,Courses!E22&lt;&gt;"",Courses!F22&gt;0,Courses!AA22&gt;0),Courses!F22*Courses!AA22,0)</f>
        <v>0</v>
      </c>
      <c r="U16" s="41">
        <f>IF(AND('Courses Valid'!C28=0,Courses!G22&lt;&gt;"",Courses!H22&gt;0,Courses!AA22&gt;0),Courses!H22*Courses!AA22,0)</f>
        <v>0</v>
      </c>
      <c r="V16" s="106">
        <f>IF(AND('Courses Valid'!C28=0,Courses!I22&lt;&gt;"",Courses!J22&gt;0,Courses!AA22&gt;0),Courses!J22*Courses!AA22,0)</f>
        <v>0</v>
      </c>
      <c r="W16" s="524"/>
      <c r="X16" s="99"/>
      <c r="Y16" s="53"/>
      <c r="Z16" s="13" t="s">
        <v>210</v>
      </c>
      <c r="AA16" s="642" t="s">
        <v>221</v>
      </c>
      <c r="AB16" s="47">
        <f t="shared" si="0"/>
        <v>0</v>
      </c>
      <c r="AC16" s="48">
        <f t="shared" si="1"/>
        <v>0</v>
      </c>
      <c r="AD16" s="49">
        <f t="shared" si="2"/>
        <v>0</v>
      </c>
      <c r="AE16" s="1578"/>
      <c r="AF16" s="29"/>
      <c r="AG16" s="29"/>
      <c r="AH16" s="47">
        <f t="shared" si="3"/>
        <v>0</v>
      </c>
      <c r="AI16" s="48">
        <f t="shared" si="4"/>
        <v>0</v>
      </c>
      <c r="AJ16" s="97">
        <f t="shared" si="5"/>
        <v>0</v>
      </c>
      <c r="AL16" s="235"/>
      <c r="AM16" s="237" t="s">
        <v>210</v>
      </c>
      <c r="AN16" s="47">
        <f>SUMIF(Courses!$K$14:$K$213,'Column 1'!$AM16,Courses!W$14:W$213)</f>
        <v>0</v>
      </c>
      <c r="AO16" s="48">
        <f>SUMIF(Courses!$K$14:$K$213,'Column 1'!$AM16,Courses!X$14:X$213)</f>
        <v>0</v>
      </c>
      <c r="AP16" s="48">
        <f>SUMIF(Courses!$K$14:$K$213,'Column 1'!$AM16,Courses!Y$14:Y$213)</f>
        <v>0</v>
      </c>
      <c r="AQ16" s="48">
        <f>SUMIF(Courses!$K$14:$K$213,'Column 1'!$AM16,Courses!Z$14:Z$213)</f>
        <v>0</v>
      </c>
      <c r="AR16" s="97">
        <f>SUMIF(Courses!$K$14:$K$213,'Column 1'!$AM16,Courses!AA$14:AA$213)</f>
        <v>0</v>
      </c>
    </row>
    <row r="17" spans="2:45" x14ac:dyDescent="0.35">
      <c r="B17" s="70" t="str">
        <f>IF(Courses!B23&lt;&gt;"",CONCATENATE(Courses!E23,"/",Courses!L23,"/",Courses!K23),"")</f>
        <v/>
      </c>
      <c r="C17" s="1579" t="str">
        <f>IF(AND(Courses!B23&lt;&gt;"",Courses!G23&lt;&gt;""),CONCATENATE(Courses!G23,"/",Courses!L23,"/",Courses!K23),"")</f>
        <v/>
      </c>
      <c r="D17" s="71" t="str">
        <f>IF(AND(Courses!B23&lt;&gt;"",Courses!I23&lt;&gt;""),CONCATENATE(Courses!I23,"/",Courses!L23,"/",Courses!K23),"")</f>
        <v/>
      </c>
      <c r="E17" s="1580">
        <f>IF(AND('Courses Valid'!C29=0,Courses!E23&lt;&gt;"",Courses!F23&gt;0,SUM(Courses!M23,Courses!N23)&gt;0),Courses!F23*SUM(Courses!M23,Courses!N23),0)</f>
        <v>0</v>
      </c>
      <c r="F17" s="41">
        <f>IF(AND('Courses Valid'!C29=0,Courses!G23&lt;&gt;"",Courses!H23&gt;0,SUM(Courses!M23,Courses!N23)&gt;0),Courses!H23*SUM(Courses!M23,Courses!N23),0)</f>
        <v>0</v>
      </c>
      <c r="G17" s="105">
        <f>IF(AND('Courses Valid'!C29=0,Courses!I23&lt;&gt;"",Courses!J23&gt;0,SUM(Courses!M23,Courses!N23)&gt;0),Courses!J23*SUM(Courses!M23,Courses!N23),0)</f>
        <v>0</v>
      </c>
      <c r="H17" s="1580">
        <f>IF(AND('Courses Valid'!C29=0,Courses!E23&lt;&gt;"",Courses!F23&gt;0,SUM(Courses!O23,Courses!P23)&gt;0),Courses!F23*SUM(Courses!O23,Courses!P23),0)</f>
        <v>0</v>
      </c>
      <c r="I17" s="41">
        <f>IF(AND('Courses Valid'!C29=0,Courses!G23&lt;&gt;"",Courses!H23&gt;0,SUM(Courses!O23,Courses!P23)&gt;0),Courses!H23*SUM(Courses!O23,Courses!P23),0)</f>
        <v>0</v>
      </c>
      <c r="J17" s="105">
        <f>IF(AND('Courses Valid'!C29=0,Courses!I23&lt;&gt;"",Courses!J23&gt;0,SUM(Courses!O23,Courses!P23)&gt;0),Courses!J23*SUM(Courses!O23,Courses!P23),0)</f>
        <v>0</v>
      </c>
      <c r="K17" s="1580">
        <f>IF(AND('Courses Valid'!C29=0,Courses!E23&lt;&gt;"",Courses!F23&gt;0,Courses!Q23&gt;0),Courses!F23*Courses!Q23,0)</f>
        <v>0</v>
      </c>
      <c r="L17" s="41">
        <f>IF(AND('Courses Valid'!C29=0,Courses!G23&lt;&gt;"",Courses!H23&gt;0,Courses!Q23&gt;0),Courses!H23*Courses!Q23,0)</f>
        <v>0</v>
      </c>
      <c r="M17" s="105">
        <f>IF(AND('Courses Valid'!C29=0,Courses!I23&lt;&gt;"",Courses!J23&gt;0,Courses!Q23&gt;0),Courses!J23*Courses!Q23,0)</f>
        <v>0</v>
      </c>
      <c r="N17" s="41">
        <f>IF(AND('Courses Valid'!C29=0,Courses!E23&lt;&gt;"",Courses!F23&gt;0,SUM(Courses!W23,Courses!X23)&gt;0),Courses!F23*SUM(Courses!W23,Courses!X23),0)</f>
        <v>0</v>
      </c>
      <c r="O17" s="41">
        <f>IF(AND('Courses Valid'!C29=0,Courses!G23&lt;&gt;"",Courses!H23&gt;0,SUM(Courses!W23,Courses!X23)&gt;0),Courses!H23*SUM(Courses!W23,Courses!X23),0)</f>
        <v>0</v>
      </c>
      <c r="P17" s="41">
        <f>IF(AND('Courses Valid'!C29=0,Courses!I23&lt;&gt;"",Courses!J23&gt;0,SUM(Courses!W23,Courses!X23)&gt;0),Courses!J23*SUM(Courses!W23,Courses!X23),0)</f>
        <v>0</v>
      </c>
      <c r="Q17" s="1580">
        <f>IF(AND('Courses Valid'!C29=0,Courses!E23&lt;&gt;"",Courses!F23&gt;0,SUM(Courses!Y23,Courses!Z23)&gt;0),Courses!F23*SUM(Courses!Y23,Courses!Z23),0)</f>
        <v>0</v>
      </c>
      <c r="R17" s="41">
        <f>IF(AND('Courses Valid'!C29=0,Courses!G23&lt;&gt;"",Courses!H23&gt;0,SUM(Courses!Y23,Courses!Z23)&gt;0),Courses!H23*SUM(Courses!Y23,Courses!Z23),0)</f>
        <v>0</v>
      </c>
      <c r="S17" s="105">
        <f>IF(AND('Courses Valid'!C29=0,Courses!I23&lt;&gt;"",Courses!J23&gt;0,SUM(Courses!Y23,Courses!Z23)&gt;0),Courses!J23*SUM(Courses!Y23,Courses!Z23),0)</f>
        <v>0</v>
      </c>
      <c r="T17" s="41">
        <f>IF(AND('Courses Valid'!C29=0,Courses!E23&lt;&gt;"",Courses!F23&gt;0,Courses!AA23&gt;0),Courses!F23*Courses!AA23,0)</f>
        <v>0</v>
      </c>
      <c r="U17" s="41">
        <f>IF(AND('Courses Valid'!C29=0,Courses!G23&lt;&gt;"",Courses!H23&gt;0,Courses!AA23&gt;0),Courses!H23*Courses!AA23,0)</f>
        <v>0</v>
      </c>
      <c r="V17" s="106">
        <f>IF(AND('Courses Valid'!C29=0,Courses!I23&lt;&gt;"",Courses!J23&gt;0,Courses!AA23&gt;0),Courses!J23*Courses!AA23,0)</f>
        <v>0</v>
      </c>
      <c r="W17" s="524"/>
      <c r="X17" s="99"/>
      <c r="Y17" s="53"/>
      <c r="Z17" s="13" t="s">
        <v>212</v>
      </c>
      <c r="AA17" s="642" t="s">
        <v>222</v>
      </c>
      <c r="AB17" s="45">
        <f t="shared" si="0"/>
        <v>0</v>
      </c>
      <c r="AC17" s="51">
        <f t="shared" si="1"/>
        <v>0</v>
      </c>
      <c r="AD17" s="46">
        <f t="shared" si="2"/>
        <v>0</v>
      </c>
      <c r="AE17" s="1578"/>
      <c r="AF17" s="29"/>
      <c r="AG17" s="29"/>
      <c r="AH17" s="45">
        <f t="shared" si="3"/>
        <v>0</v>
      </c>
      <c r="AI17" s="51">
        <f t="shared" si="4"/>
        <v>0</v>
      </c>
      <c r="AJ17" s="98">
        <f t="shared" si="5"/>
        <v>0</v>
      </c>
      <c r="AK17" s="297"/>
      <c r="AL17" s="104"/>
      <c r="AM17" s="294" t="s">
        <v>212</v>
      </c>
      <c r="AN17" s="45">
        <f>SUMIF(Courses!$K$14:$K$213,'Column 1'!$AM17,Courses!W$14:W$213)</f>
        <v>0</v>
      </c>
      <c r="AO17" s="51">
        <f>SUMIF(Courses!$K$14:$K$213,'Column 1'!$AM17,Courses!X$14:X$213)</f>
        <v>0</v>
      </c>
      <c r="AP17" s="51">
        <f>SUMIF(Courses!$K$14:$K$213,'Column 1'!$AM17,Courses!Y$14:Y$213)</f>
        <v>0</v>
      </c>
      <c r="AQ17" s="51">
        <f>SUMIF(Courses!$K$14:$K$213,'Column 1'!$AM17,Courses!Z$14:Z$213)</f>
        <v>0</v>
      </c>
      <c r="AR17" s="98">
        <f>SUMIF(Courses!$K$14:$K$213,'Column 1'!$AM17,Courses!AA$14:AA$213)</f>
        <v>0</v>
      </c>
    </row>
    <row r="18" spans="2:45" x14ac:dyDescent="0.35">
      <c r="B18" s="70" t="str">
        <f>IF(Courses!B24&lt;&gt;"",CONCATENATE(Courses!E24,"/",Courses!L24,"/",Courses!K24),"")</f>
        <v/>
      </c>
      <c r="C18" s="1579" t="str">
        <f>IF(AND(Courses!B24&lt;&gt;"",Courses!G24&lt;&gt;""),CONCATENATE(Courses!G24,"/",Courses!L24,"/",Courses!K24),"")</f>
        <v/>
      </c>
      <c r="D18" s="71" t="str">
        <f>IF(AND(Courses!B24&lt;&gt;"",Courses!I24&lt;&gt;""),CONCATENATE(Courses!I24,"/",Courses!L24,"/",Courses!K24),"")</f>
        <v/>
      </c>
      <c r="E18" s="1580">
        <f>IF(AND('Courses Valid'!C30=0,Courses!E24&lt;&gt;"",Courses!F24&gt;0,SUM(Courses!M24,Courses!N24)&gt;0),Courses!F24*SUM(Courses!M24,Courses!N24),0)</f>
        <v>0</v>
      </c>
      <c r="F18" s="41">
        <f>IF(AND('Courses Valid'!C30=0,Courses!G24&lt;&gt;"",Courses!H24&gt;0,SUM(Courses!M24,Courses!N24)&gt;0),Courses!H24*SUM(Courses!M24,Courses!N24),0)</f>
        <v>0</v>
      </c>
      <c r="G18" s="105">
        <f>IF(AND('Courses Valid'!C30=0,Courses!I24&lt;&gt;"",Courses!J24&gt;0,SUM(Courses!M24,Courses!N24)&gt;0),Courses!J24*SUM(Courses!M24,Courses!N24),0)</f>
        <v>0</v>
      </c>
      <c r="H18" s="1580">
        <f>IF(AND('Courses Valid'!C30=0,Courses!E24&lt;&gt;"",Courses!F24&gt;0,SUM(Courses!O24,Courses!P24)&gt;0),Courses!F24*SUM(Courses!O24,Courses!P24),0)</f>
        <v>0</v>
      </c>
      <c r="I18" s="41">
        <f>IF(AND('Courses Valid'!C30=0,Courses!G24&lt;&gt;"",Courses!H24&gt;0,SUM(Courses!O24,Courses!P24)&gt;0),Courses!H24*SUM(Courses!O24,Courses!P24),0)</f>
        <v>0</v>
      </c>
      <c r="J18" s="105">
        <f>IF(AND('Courses Valid'!C30=0,Courses!I24&lt;&gt;"",Courses!J24&gt;0,SUM(Courses!O24,Courses!P24)&gt;0),Courses!J24*SUM(Courses!O24,Courses!P24),0)</f>
        <v>0</v>
      </c>
      <c r="K18" s="1580">
        <f>IF(AND('Courses Valid'!C30=0,Courses!E24&lt;&gt;"",Courses!F24&gt;0,Courses!Q24&gt;0),Courses!F24*Courses!Q24,0)</f>
        <v>0</v>
      </c>
      <c r="L18" s="41">
        <f>IF(AND('Courses Valid'!C30=0,Courses!G24&lt;&gt;"",Courses!H24&gt;0,Courses!Q24&gt;0),Courses!H24*Courses!Q24,0)</f>
        <v>0</v>
      </c>
      <c r="M18" s="105">
        <f>IF(AND('Courses Valid'!C30=0,Courses!I24&lt;&gt;"",Courses!J24&gt;0,Courses!Q24&gt;0),Courses!J24*Courses!Q24,0)</f>
        <v>0</v>
      </c>
      <c r="N18" s="41">
        <f>IF(AND('Courses Valid'!C30=0,Courses!E24&lt;&gt;"",Courses!F24&gt;0,SUM(Courses!W24,Courses!X24)&gt;0),Courses!F24*SUM(Courses!W24,Courses!X24),0)</f>
        <v>0</v>
      </c>
      <c r="O18" s="41">
        <f>IF(AND('Courses Valid'!C30=0,Courses!G24&lt;&gt;"",Courses!H24&gt;0,SUM(Courses!W24,Courses!X24)&gt;0),Courses!H24*SUM(Courses!W24,Courses!X24),0)</f>
        <v>0</v>
      </c>
      <c r="P18" s="41">
        <f>IF(AND('Courses Valid'!C30=0,Courses!I24&lt;&gt;"",Courses!J24&gt;0,SUM(Courses!W24,Courses!X24)&gt;0),Courses!J24*SUM(Courses!W24,Courses!X24),0)</f>
        <v>0</v>
      </c>
      <c r="Q18" s="1580">
        <f>IF(AND('Courses Valid'!C30=0,Courses!E24&lt;&gt;"",Courses!F24&gt;0,SUM(Courses!Y24,Courses!Z24)&gt;0),Courses!F24*SUM(Courses!Y24,Courses!Z24),0)</f>
        <v>0</v>
      </c>
      <c r="R18" s="41">
        <f>IF(AND('Courses Valid'!C30=0,Courses!G24&lt;&gt;"",Courses!H24&gt;0,SUM(Courses!Y24,Courses!Z24)&gt;0),Courses!H24*SUM(Courses!Y24,Courses!Z24),0)</f>
        <v>0</v>
      </c>
      <c r="S18" s="105">
        <f>IF(AND('Courses Valid'!C30=0,Courses!I24&lt;&gt;"",Courses!J24&gt;0,SUM(Courses!Y24,Courses!Z24)&gt;0),Courses!J24*SUM(Courses!Y24,Courses!Z24),0)</f>
        <v>0</v>
      </c>
      <c r="T18" s="41">
        <f>IF(AND('Courses Valid'!C30=0,Courses!E24&lt;&gt;"",Courses!F24&gt;0,Courses!AA24&gt;0),Courses!F24*Courses!AA24,0)</f>
        <v>0</v>
      </c>
      <c r="U18" s="41">
        <f>IF(AND('Courses Valid'!C30=0,Courses!G24&lt;&gt;"",Courses!H24&gt;0,Courses!AA24&gt;0),Courses!H24*Courses!AA24,0)</f>
        <v>0</v>
      </c>
      <c r="V18" s="106">
        <f>IF(AND('Courses Valid'!C30=0,Courses!I24&lt;&gt;"",Courses!J24&gt;0,Courses!AA24&gt;0),Courses!J24*Courses!AA24,0)</f>
        <v>0</v>
      </c>
      <c r="W18" s="524"/>
      <c r="X18" s="99"/>
      <c r="Y18" s="7"/>
      <c r="Z18" s="13" t="s">
        <v>214</v>
      </c>
      <c r="AA18" s="642" t="s">
        <v>223</v>
      </c>
      <c r="AB18" s="45">
        <f t="shared" si="0"/>
        <v>0</v>
      </c>
      <c r="AC18" s="51">
        <f t="shared" si="1"/>
        <v>0</v>
      </c>
      <c r="AD18" s="46">
        <f t="shared" si="2"/>
        <v>0</v>
      </c>
      <c r="AE18" s="1578"/>
      <c r="AF18" s="29"/>
      <c r="AG18" s="29"/>
      <c r="AH18" s="45">
        <f t="shared" si="3"/>
        <v>0</v>
      </c>
      <c r="AI18" s="51">
        <f t="shared" si="4"/>
        <v>0</v>
      </c>
      <c r="AJ18" s="98">
        <f t="shared" si="5"/>
        <v>0</v>
      </c>
      <c r="AL18" s="104"/>
      <c r="AM18" t="s">
        <v>214</v>
      </c>
      <c r="AN18" s="45">
        <f>SUMIF(Courses!$K$14:$K$213,'Column 1'!$AM18,Courses!W$14:W$213)</f>
        <v>0</v>
      </c>
      <c r="AO18" s="51">
        <f>SUMIF(Courses!$K$14:$K$213,'Column 1'!$AM18,Courses!X$14:X$213)</f>
        <v>0</v>
      </c>
      <c r="AP18" s="51">
        <f>SUMIF(Courses!$K$14:$K$213,'Column 1'!$AM18,Courses!Y$14:Y$213)</f>
        <v>0</v>
      </c>
      <c r="AQ18" s="51">
        <f>SUMIF(Courses!$K$14:$K$213,'Column 1'!$AM18,Courses!Z$14:Z$213)</f>
        <v>0</v>
      </c>
      <c r="AR18" s="98">
        <f>SUMIF(Courses!$K$14:$K$213,'Column 1'!$AM18,Courses!AA$14:AA$213)</f>
        <v>0</v>
      </c>
    </row>
    <row r="19" spans="2:45" ht="13.15" thickBot="1" x14ac:dyDescent="0.4">
      <c r="B19" s="70" t="str">
        <f>IF(Courses!B25&lt;&gt;"",CONCATENATE(Courses!E25,"/",Courses!L25,"/",Courses!K25),"")</f>
        <v/>
      </c>
      <c r="C19" s="1579" t="str">
        <f>IF(AND(Courses!B25&lt;&gt;"",Courses!G25&lt;&gt;""),CONCATENATE(Courses!G25,"/",Courses!L25,"/",Courses!K25),"")</f>
        <v/>
      </c>
      <c r="D19" s="71" t="str">
        <f>IF(AND(Courses!B25&lt;&gt;"",Courses!I25&lt;&gt;""),CONCATENATE(Courses!I25,"/",Courses!L25,"/",Courses!K25),"")</f>
        <v/>
      </c>
      <c r="E19" s="1580">
        <f>IF(AND('Courses Valid'!C31=0,Courses!E25&lt;&gt;"",Courses!F25&gt;0,SUM(Courses!M25,Courses!N25)&gt;0),Courses!F25*SUM(Courses!M25,Courses!N25),0)</f>
        <v>0</v>
      </c>
      <c r="F19" s="41">
        <f>IF(AND('Courses Valid'!C31=0,Courses!G25&lt;&gt;"",Courses!H25&gt;0,SUM(Courses!M25,Courses!N25)&gt;0),Courses!H25*SUM(Courses!M25,Courses!N25),0)</f>
        <v>0</v>
      </c>
      <c r="G19" s="105">
        <f>IF(AND('Courses Valid'!C31=0,Courses!I25&lt;&gt;"",Courses!J25&gt;0,SUM(Courses!M25,Courses!N25)&gt;0),Courses!J25*SUM(Courses!M25,Courses!N25),0)</f>
        <v>0</v>
      </c>
      <c r="H19" s="1580">
        <f>IF(AND('Courses Valid'!C31=0,Courses!E25&lt;&gt;"",Courses!F25&gt;0,SUM(Courses!O25,Courses!P25)&gt;0),Courses!F25*SUM(Courses!O25,Courses!P25),0)</f>
        <v>0</v>
      </c>
      <c r="I19" s="41">
        <f>IF(AND('Courses Valid'!C31=0,Courses!G25&lt;&gt;"",Courses!H25&gt;0,SUM(Courses!O25,Courses!P25)&gt;0),Courses!H25*SUM(Courses!O25,Courses!P25),0)</f>
        <v>0</v>
      </c>
      <c r="J19" s="105">
        <f>IF(AND('Courses Valid'!C31=0,Courses!I25&lt;&gt;"",Courses!J25&gt;0,SUM(Courses!O25,Courses!P25)&gt;0),Courses!J25*SUM(Courses!O25,Courses!P25),0)</f>
        <v>0</v>
      </c>
      <c r="K19" s="1580">
        <f>IF(AND('Courses Valid'!C31=0,Courses!E25&lt;&gt;"",Courses!F25&gt;0,Courses!Q25&gt;0),Courses!F25*Courses!Q25,0)</f>
        <v>0</v>
      </c>
      <c r="L19" s="41">
        <f>IF(AND('Courses Valid'!C31=0,Courses!G25&lt;&gt;"",Courses!H25&gt;0,Courses!Q25&gt;0),Courses!H25*Courses!Q25,0)</f>
        <v>0</v>
      </c>
      <c r="M19" s="105">
        <f>IF(AND('Courses Valid'!C31=0,Courses!I25&lt;&gt;"",Courses!J25&gt;0,Courses!Q25&gt;0),Courses!J25*Courses!Q25,0)</f>
        <v>0</v>
      </c>
      <c r="N19" s="41">
        <f>IF(AND('Courses Valid'!C31=0,Courses!E25&lt;&gt;"",Courses!F25&gt;0,SUM(Courses!W25,Courses!X25)&gt;0),Courses!F25*SUM(Courses!W25,Courses!X25),0)</f>
        <v>0</v>
      </c>
      <c r="O19" s="41">
        <f>IF(AND('Courses Valid'!C31=0,Courses!G25&lt;&gt;"",Courses!H25&gt;0,SUM(Courses!W25,Courses!X25)&gt;0),Courses!H25*SUM(Courses!W25,Courses!X25),0)</f>
        <v>0</v>
      </c>
      <c r="P19" s="41">
        <f>IF(AND('Courses Valid'!C31=0,Courses!I25&lt;&gt;"",Courses!J25&gt;0,SUM(Courses!W25,Courses!X25)&gt;0),Courses!J25*SUM(Courses!W25,Courses!X25),0)</f>
        <v>0</v>
      </c>
      <c r="Q19" s="1580">
        <f>IF(AND('Courses Valid'!C31=0,Courses!E25&lt;&gt;"",Courses!F25&gt;0,SUM(Courses!Y25,Courses!Z25)&gt;0),Courses!F25*SUM(Courses!Y25,Courses!Z25),0)</f>
        <v>0</v>
      </c>
      <c r="R19" s="41">
        <f>IF(AND('Courses Valid'!C31=0,Courses!G25&lt;&gt;"",Courses!H25&gt;0,SUM(Courses!Y25,Courses!Z25)&gt;0),Courses!H25*SUM(Courses!Y25,Courses!Z25),0)</f>
        <v>0</v>
      </c>
      <c r="S19" s="105">
        <f>IF(AND('Courses Valid'!C31=0,Courses!I25&lt;&gt;"",Courses!J25&gt;0,SUM(Courses!Y25,Courses!Z25)&gt;0),Courses!J25*SUM(Courses!Y25,Courses!Z25),0)</f>
        <v>0</v>
      </c>
      <c r="T19" s="41">
        <f>IF(AND('Courses Valid'!C31=0,Courses!E25&lt;&gt;"",Courses!F25&gt;0,Courses!AA25&gt;0),Courses!F25*Courses!AA25,0)</f>
        <v>0</v>
      </c>
      <c r="U19" s="41">
        <f>IF(AND('Courses Valid'!C31=0,Courses!G25&lt;&gt;"",Courses!H25&gt;0,Courses!AA25&gt;0),Courses!H25*Courses!AA25,0)</f>
        <v>0</v>
      </c>
      <c r="V19" s="106">
        <f>IF(AND('Courses Valid'!C31=0,Courses!I25&lt;&gt;"",Courses!J25&gt;0,Courses!AA25&gt;0),Courses!J25*Courses!AA25,0)</f>
        <v>0</v>
      </c>
      <c r="W19" s="524"/>
      <c r="X19" s="235"/>
      <c r="Z19" s="13" t="s">
        <v>216</v>
      </c>
      <c r="AA19" s="642" t="s">
        <v>224</v>
      </c>
      <c r="AB19" s="45">
        <f t="shared" si="0"/>
        <v>0</v>
      </c>
      <c r="AC19" s="51">
        <f t="shared" si="1"/>
        <v>0</v>
      </c>
      <c r="AD19" s="46">
        <f t="shared" si="2"/>
        <v>0</v>
      </c>
      <c r="AE19" s="1578"/>
      <c r="AF19" s="29"/>
      <c r="AG19" s="29"/>
      <c r="AH19" s="522">
        <f t="shared" si="3"/>
        <v>0</v>
      </c>
      <c r="AI19" s="523">
        <f t="shared" si="4"/>
        <v>0</v>
      </c>
      <c r="AJ19" s="526">
        <f t="shared" si="5"/>
        <v>0</v>
      </c>
      <c r="AK19" s="297"/>
      <c r="AL19" s="302"/>
      <c r="AM19" s="652" t="s">
        <v>216</v>
      </c>
      <c r="AN19" s="89">
        <f>SUMIF(Courses!$K$14:$K$213,'Column 1'!$AM19,Courses!W$14:W$213)</f>
        <v>0</v>
      </c>
      <c r="AO19" s="90">
        <f>SUMIF(Courses!$K$14:$K$213,'Column 1'!$AM19,Courses!X$14:X$213)</f>
        <v>0</v>
      </c>
      <c r="AP19" s="90">
        <f>SUMIF(Courses!$K$14:$K$213,'Column 1'!$AM19,Courses!Y$14:Y$213)</f>
        <v>0</v>
      </c>
      <c r="AQ19" s="90">
        <f>SUMIF(Courses!$K$14:$K$213,'Column 1'!$AM19,Courses!Z$14:Z$213)</f>
        <v>0</v>
      </c>
      <c r="AR19" s="101">
        <f>SUMIF(Courses!$K$14:$K$213,'Column 1'!$AM19,Courses!AA$14:AA$213)</f>
        <v>0</v>
      </c>
      <c r="AS19" s="235"/>
    </row>
    <row r="20" spans="2:45" x14ac:dyDescent="0.35">
      <c r="B20" s="70" t="str">
        <f>IF(Courses!B26&lt;&gt;"",CONCATENATE(Courses!E26,"/",Courses!L26,"/",Courses!K26),"")</f>
        <v/>
      </c>
      <c r="C20" s="1579" t="str">
        <f>IF(AND(Courses!B26&lt;&gt;"",Courses!G26&lt;&gt;""),CONCATENATE(Courses!G26,"/",Courses!L26,"/",Courses!K26),"")</f>
        <v/>
      </c>
      <c r="D20" s="71" t="str">
        <f>IF(AND(Courses!B26&lt;&gt;"",Courses!I26&lt;&gt;""),CONCATENATE(Courses!I26,"/",Courses!L26,"/",Courses!K26),"")</f>
        <v/>
      </c>
      <c r="E20" s="1580">
        <f>IF(AND('Courses Valid'!C32=0,Courses!E26&lt;&gt;"",Courses!F26&gt;0,SUM(Courses!M26,Courses!N26)&gt;0),Courses!F26*SUM(Courses!M26,Courses!N26),0)</f>
        <v>0</v>
      </c>
      <c r="F20" s="41">
        <f>IF(AND('Courses Valid'!C32=0,Courses!G26&lt;&gt;"",Courses!H26&gt;0,SUM(Courses!M26,Courses!N26)&gt;0),Courses!H26*SUM(Courses!M26,Courses!N26),0)</f>
        <v>0</v>
      </c>
      <c r="G20" s="105">
        <f>IF(AND('Courses Valid'!C32=0,Courses!I26&lt;&gt;"",Courses!J26&gt;0,SUM(Courses!M26,Courses!N26)&gt;0),Courses!J26*SUM(Courses!M26,Courses!N26),0)</f>
        <v>0</v>
      </c>
      <c r="H20" s="1580">
        <f>IF(AND('Courses Valid'!C32=0,Courses!E26&lt;&gt;"",Courses!F26&gt;0,SUM(Courses!O26,Courses!P26)&gt;0),Courses!F26*SUM(Courses!O26,Courses!P26),0)</f>
        <v>0</v>
      </c>
      <c r="I20" s="41">
        <f>IF(AND('Courses Valid'!C32=0,Courses!G26&lt;&gt;"",Courses!H26&gt;0,SUM(Courses!O26,Courses!P26)&gt;0),Courses!H26*SUM(Courses!O26,Courses!P26),0)</f>
        <v>0</v>
      </c>
      <c r="J20" s="105">
        <f>IF(AND('Courses Valid'!C32=0,Courses!I26&lt;&gt;"",Courses!J26&gt;0,SUM(Courses!O26,Courses!P26)&gt;0),Courses!J26*SUM(Courses!O26,Courses!P26),0)</f>
        <v>0</v>
      </c>
      <c r="K20" s="1580">
        <f>IF(AND('Courses Valid'!C32=0,Courses!E26&lt;&gt;"",Courses!F26&gt;0,Courses!Q26&gt;0),Courses!F26*Courses!Q26,0)</f>
        <v>0</v>
      </c>
      <c r="L20" s="41">
        <f>IF(AND('Courses Valid'!C32=0,Courses!G26&lt;&gt;"",Courses!H26&gt;0,Courses!Q26&gt;0),Courses!H26*Courses!Q26,0)</f>
        <v>0</v>
      </c>
      <c r="M20" s="105">
        <f>IF(AND('Courses Valid'!C32=0,Courses!I26&lt;&gt;"",Courses!J26&gt;0,Courses!Q26&gt;0),Courses!J26*Courses!Q26,0)</f>
        <v>0</v>
      </c>
      <c r="N20" s="41">
        <f>IF(AND('Courses Valid'!C32=0,Courses!E26&lt;&gt;"",Courses!F26&gt;0,SUM(Courses!W26,Courses!X26)&gt;0),Courses!F26*SUM(Courses!W26,Courses!X26),0)</f>
        <v>0</v>
      </c>
      <c r="O20" s="41">
        <f>IF(AND('Courses Valid'!C32=0,Courses!G26&lt;&gt;"",Courses!H26&gt;0,SUM(Courses!W26,Courses!X26)&gt;0),Courses!H26*SUM(Courses!W26,Courses!X26),0)</f>
        <v>0</v>
      </c>
      <c r="P20" s="41">
        <f>IF(AND('Courses Valid'!C32=0,Courses!I26&lt;&gt;"",Courses!J26&gt;0,SUM(Courses!W26,Courses!X26)&gt;0),Courses!J26*SUM(Courses!W26,Courses!X26),0)</f>
        <v>0</v>
      </c>
      <c r="Q20" s="1580">
        <f>IF(AND('Courses Valid'!C32=0,Courses!E26&lt;&gt;"",Courses!F26&gt;0,SUM(Courses!Y26,Courses!Z26)&gt;0),Courses!F26*SUM(Courses!Y26,Courses!Z26),0)</f>
        <v>0</v>
      </c>
      <c r="R20" s="41">
        <f>IF(AND('Courses Valid'!C32=0,Courses!G26&lt;&gt;"",Courses!H26&gt;0,SUM(Courses!Y26,Courses!Z26)&gt;0),Courses!H26*SUM(Courses!Y26,Courses!Z26),0)</f>
        <v>0</v>
      </c>
      <c r="S20" s="105">
        <f>IF(AND('Courses Valid'!C32=0,Courses!I26&lt;&gt;"",Courses!J26&gt;0,SUM(Courses!Y26,Courses!Z26)&gt;0),Courses!J26*SUM(Courses!Y26,Courses!Z26),0)</f>
        <v>0</v>
      </c>
      <c r="T20" s="41">
        <f>IF(AND('Courses Valid'!C32=0,Courses!E26&lt;&gt;"",Courses!F26&gt;0,Courses!AA26&gt;0),Courses!F26*Courses!AA26,0)</f>
        <v>0</v>
      </c>
      <c r="U20" s="41">
        <f>IF(AND('Courses Valid'!C32=0,Courses!G26&lt;&gt;"",Courses!H26&gt;0,Courses!AA26&gt;0),Courses!H26*Courses!AA26,0)</f>
        <v>0</v>
      </c>
      <c r="V20" s="106">
        <f>IF(AND('Courses Valid'!C32=0,Courses!I26&lt;&gt;"",Courses!J26&gt;0,Courses!AA26&gt;0),Courses!J26*Courses!AA26,0)</f>
        <v>0</v>
      </c>
      <c r="W20" s="524"/>
      <c r="X20" s="1767" t="s">
        <v>225</v>
      </c>
      <c r="Y20" s="1412" t="s">
        <v>204</v>
      </c>
      <c r="Z20" s="525" t="s">
        <v>205</v>
      </c>
      <c r="AA20" s="1413" t="s">
        <v>226</v>
      </c>
      <c r="AB20" s="1768">
        <f t="shared" si="0"/>
        <v>0</v>
      </c>
      <c r="AC20" s="1678">
        <f t="shared" si="1"/>
        <v>0</v>
      </c>
      <c r="AD20" s="1679">
        <f t="shared" si="2"/>
        <v>0</v>
      </c>
      <c r="AE20" s="1771"/>
      <c r="AF20" s="301"/>
      <c r="AG20" s="1772"/>
      <c r="AH20" s="1768">
        <f t="shared" si="3"/>
        <v>0</v>
      </c>
      <c r="AI20" s="1678">
        <f t="shared" si="4"/>
        <v>0</v>
      </c>
      <c r="AJ20" s="1680">
        <f t="shared" si="5"/>
        <v>0</v>
      </c>
    </row>
    <row r="21" spans="2:45" x14ac:dyDescent="0.35">
      <c r="B21" s="70" t="str">
        <f>IF(Courses!B27&lt;&gt;"",CONCATENATE(Courses!E27,"/",Courses!L27,"/",Courses!K27),"")</f>
        <v/>
      </c>
      <c r="C21" s="1579" t="str">
        <f>IF(AND(Courses!B27&lt;&gt;"",Courses!G27&lt;&gt;""),CONCATENATE(Courses!G27,"/",Courses!L27,"/",Courses!K27),"")</f>
        <v/>
      </c>
      <c r="D21" s="71" t="str">
        <f>IF(AND(Courses!B27&lt;&gt;"",Courses!I27&lt;&gt;""),CONCATENATE(Courses!I27,"/",Courses!L27,"/",Courses!K27),"")</f>
        <v/>
      </c>
      <c r="E21" s="1580">
        <f>IF(AND('Courses Valid'!C33=0,Courses!E27&lt;&gt;"",Courses!F27&gt;0,SUM(Courses!M27,Courses!N27)&gt;0),Courses!F27*SUM(Courses!M27,Courses!N27),0)</f>
        <v>0</v>
      </c>
      <c r="F21" s="41">
        <f>IF(AND('Courses Valid'!C33=0,Courses!G27&lt;&gt;"",Courses!H27&gt;0,SUM(Courses!M27,Courses!N27)&gt;0),Courses!H27*SUM(Courses!M27,Courses!N27),0)</f>
        <v>0</v>
      </c>
      <c r="G21" s="105">
        <f>IF(AND('Courses Valid'!C33=0,Courses!I27&lt;&gt;"",Courses!J27&gt;0,SUM(Courses!M27,Courses!N27)&gt;0),Courses!J27*SUM(Courses!M27,Courses!N27),0)</f>
        <v>0</v>
      </c>
      <c r="H21" s="1580">
        <f>IF(AND('Courses Valid'!C33=0,Courses!E27&lt;&gt;"",Courses!F27&gt;0,SUM(Courses!O27,Courses!P27)&gt;0),Courses!F27*SUM(Courses!O27,Courses!P27),0)</f>
        <v>0</v>
      </c>
      <c r="I21" s="41">
        <f>IF(AND('Courses Valid'!C33=0,Courses!G27&lt;&gt;"",Courses!H27&gt;0,SUM(Courses!O27,Courses!P27)&gt;0),Courses!H27*SUM(Courses!O27,Courses!P27),0)</f>
        <v>0</v>
      </c>
      <c r="J21" s="105">
        <f>IF(AND('Courses Valid'!C33=0,Courses!I27&lt;&gt;"",Courses!J27&gt;0,SUM(Courses!O27,Courses!P27)&gt;0),Courses!J27*SUM(Courses!O27,Courses!P27),0)</f>
        <v>0</v>
      </c>
      <c r="K21" s="1580">
        <f>IF(AND('Courses Valid'!C33=0,Courses!E27&lt;&gt;"",Courses!F27&gt;0,Courses!Q27&gt;0),Courses!F27*Courses!Q27,0)</f>
        <v>0</v>
      </c>
      <c r="L21" s="41">
        <f>IF(AND('Courses Valid'!C33=0,Courses!G27&lt;&gt;"",Courses!H27&gt;0,Courses!Q27&gt;0),Courses!H27*Courses!Q27,0)</f>
        <v>0</v>
      </c>
      <c r="M21" s="105">
        <f>IF(AND('Courses Valid'!C33=0,Courses!I27&lt;&gt;"",Courses!J27&gt;0,Courses!Q27&gt;0),Courses!J27*Courses!Q27,0)</f>
        <v>0</v>
      </c>
      <c r="N21" s="41">
        <f>IF(AND('Courses Valid'!C33=0,Courses!E27&lt;&gt;"",Courses!F27&gt;0,SUM(Courses!W27,Courses!X27)&gt;0),Courses!F27*SUM(Courses!W27,Courses!X27),0)</f>
        <v>0</v>
      </c>
      <c r="O21" s="41">
        <f>IF(AND('Courses Valid'!C33=0,Courses!G27&lt;&gt;"",Courses!H27&gt;0,SUM(Courses!W27,Courses!X27)&gt;0),Courses!H27*SUM(Courses!W27,Courses!X27),0)</f>
        <v>0</v>
      </c>
      <c r="P21" s="41">
        <f>IF(AND('Courses Valid'!C33=0,Courses!I27&lt;&gt;"",Courses!J27&gt;0,SUM(Courses!W27,Courses!X27)&gt;0),Courses!J27*SUM(Courses!W27,Courses!X27),0)</f>
        <v>0</v>
      </c>
      <c r="Q21" s="1580">
        <f>IF(AND('Courses Valid'!C33=0,Courses!E27&lt;&gt;"",Courses!F27&gt;0,SUM(Courses!Y27,Courses!Z27)&gt;0),Courses!F27*SUM(Courses!Y27,Courses!Z27),0)</f>
        <v>0</v>
      </c>
      <c r="R21" s="41">
        <f>IF(AND('Courses Valid'!C33=0,Courses!G27&lt;&gt;"",Courses!H27&gt;0,SUM(Courses!Y27,Courses!Z27)&gt;0),Courses!H27*SUM(Courses!Y27,Courses!Z27),0)</f>
        <v>0</v>
      </c>
      <c r="S21" s="105">
        <f>IF(AND('Courses Valid'!C33=0,Courses!I27&lt;&gt;"",Courses!J27&gt;0,SUM(Courses!Y27,Courses!Z27)&gt;0),Courses!J27*SUM(Courses!Y27,Courses!Z27),0)</f>
        <v>0</v>
      </c>
      <c r="T21" s="41">
        <f>IF(AND('Courses Valid'!C33=0,Courses!E27&lt;&gt;"",Courses!F27&gt;0,Courses!AA27&gt;0),Courses!F27*Courses!AA27,0)</f>
        <v>0</v>
      </c>
      <c r="U21" s="41">
        <f>IF(AND('Courses Valid'!C33=0,Courses!G27&lt;&gt;"",Courses!H27&gt;0,Courses!AA27&gt;0),Courses!H27*Courses!AA27,0)</f>
        <v>0</v>
      </c>
      <c r="V21" s="106">
        <f>IF(AND('Courses Valid'!C33=0,Courses!I27&lt;&gt;"",Courses!J27&gt;0,Courses!AA27&gt;0),Courses!J27*Courses!AA27,0)</f>
        <v>0</v>
      </c>
      <c r="W21" s="524"/>
      <c r="X21" s="96"/>
      <c r="Y21" s="7"/>
      <c r="Z21" s="13" t="s">
        <v>208</v>
      </c>
      <c r="AA21" s="642" t="s">
        <v>227</v>
      </c>
      <c r="AB21" s="643">
        <f>SUM(SUMIF($B$8:$B$219,$AA21,$E$8:$E$219),SUMIF($C$8:$C$219,$AA21,$F$8:$F$219),SUMIF($D$8:$D$219,$AA21,$G$8:$G$219))</f>
        <v>0</v>
      </c>
      <c r="AC21" s="635">
        <f t="shared" si="1"/>
        <v>0</v>
      </c>
      <c r="AD21" s="632">
        <f t="shared" si="2"/>
        <v>0</v>
      </c>
      <c r="AE21" s="87"/>
      <c r="AF21" s="87"/>
      <c r="AG21" s="88"/>
      <c r="AH21" s="643">
        <f t="shared" si="3"/>
        <v>0</v>
      </c>
      <c r="AI21" s="635">
        <f t="shared" si="4"/>
        <v>0</v>
      </c>
      <c r="AJ21" s="634">
        <f t="shared" si="5"/>
        <v>0</v>
      </c>
    </row>
    <row r="22" spans="2:45" x14ac:dyDescent="0.35">
      <c r="B22" s="70" t="str">
        <f>IF(Courses!B28&lt;&gt;"",CONCATENATE(Courses!E28,"/",Courses!L28,"/",Courses!K28),"")</f>
        <v/>
      </c>
      <c r="C22" s="1579" t="str">
        <f>IF(AND(Courses!B28&lt;&gt;"",Courses!G28&lt;&gt;""),CONCATENATE(Courses!G28,"/",Courses!L28,"/",Courses!K28),"")</f>
        <v/>
      </c>
      <c r="D22" s="71" t="str">
        <f>IF(AND(Courses!B28&lt;&gt;"",Courses!I28&lt;&gt;""),CONCATENATE(Courses!I28,"/",Courses!L28,"/",Courses!K28),"")</f>
        <v/>
      </c>
      <c r="E22" s="1580">
        <f>IF(AND('Courses Valid'!C34=0,Courses!E28&lt;&gt;"",Courses!F28&gt;0,SUM(Courses!M28,Courses!N28)&gt;0),Courses!F28*SUM(Courses!M28,Courses!N28),0)</f>
        <v>0</v>
      </c>
      <c r="F22" s="41">
        <f>IF(AND('Courses Valid'!C34=0,Courses!G28&lt;&gt;"",Courses!H28&gt;0,SUM(Courses!M28,Courses!N28)&gt;0),Courses!H28*SUM(Courses!M28,Courses!N28),0)</f>
        <v>0</v>
      </c>
      <c r="G22" s="105">
        <f>IF(AND('Courses Valid'!C34=0,Courses!I28&lt;&gt;"",Courses!J28&gt;0,SUM(Courses!M28,Courses!N28)&gt;0),Courses!J28*SUM(Courses!M28,Courses!N28),0)</f>
        <v>0</v>
      </c>
      <c r="H22" s="1580">
        <f>IF(AND('Courses Valid'!C34=0,Courses!E28&lt;&gt;"",Courses!F28&gt;0,SUM(Courses!O28,Courses!P28)&gt;0),Courses!F28*SUM(Courses!O28,Courses!P28),0)</f>
        <v>0</v>
      </c>
      <c r="I22" s="41">
        <f>IF(AND('Courses Valid'!C34=0,Courses!G28&lt;&gt;"",Courses!H28&gt;0,SUM(Courses!O28,Courses!P28)&gt;0),Courses!H28*SUM(Courses!O28,Courses!P28),0)</f>
        <v>0</v>
      </c>
      <c r="J22" s="105">
        <f>IF(AND('Courses Valid'!C34=0,Courses!I28&lt;&gt;"",Courses!J28&gt;0,SUM(Courses!O28,Courses!P28)&gt;0),Courses!J28*SUM(Courses!O28,Courses!P28),0)</f>
        <v>0</v>
      </c>
      <c r="K22" s="1580">
        <f>IF(AND('Courses Valid'!C34=0,Courses!E28&lt;&gt;"",Courses!F28&gt;0,Courses!Q28&gt;0),Courses!F28*Courses!Q28,0)</f>
        <v>0</v>
      </c>
      <c r="L22" s="41">
        <f>IF(AND('Courses Valid'!C34=0,Courses!G28&lt;&gt;"",Courses!H28&gt;0,Courses!Q28&gt;0),Courses!H28*Courses!Q28,0)</f>
        <v>0</v>
      </c>
      <c r="M22" s="105">
        <f>IF(AND('Courses Valid'!C34=0,Courses!I28&lt;&gt;"",Courses!J28&gt;0,Courses!Q28&gt;0),Courses!J28*Courses!Q28,0)</f>
        <v>0</v>
      </c>
      <c r="N22" s="41">
        <f>IF(AND('Courses Valid'!C34=0,Courses!E28&lt;&gt;"",Courses!F28&gt;0,SUM(Courses!W28,Courses!X28)&gt;0),Courses!F28*SUM(Courses!W28,Courses!X28),0)</f>
        <v>0</v>
      </c>
      <c r="O22" s="41">
        <f>IF(AND('Courses Valid'!C34=0,Courses!G28&lt;&gt;"",Courses!H28&gt;0,SUM(Courses!W28,Courses!X28)&gt;0),Courses!H28*SUM(Courses!W28,Courses!X28),0)</f>
        <v>0</v>
      </c>
      <c r="P22" s="41">
        <f>IF(AND('Courses Valid'!C34=0,Courses!I28&lt;&gt;"",Courses!J28&gt;0,SUM(Courses!W28,Courses!X28)&gt;0),Courses!J28*SUM(Courses!W28,Courses!X28),0)</f>
        <v>0</v>
      </c>
      <c r="Q22" s="1580">
        <f>IF(AND('Courses Valid'!C34=0,Courses!E28&lt;&gt;"",Courses!F28&gt;0,SUM(Courses!Y28,Courses!Z28)&gt;0),Courses!F28*SUM(Courses!Y28,Courses!Z28),0)</f>
        <v>0</v>
      </c>
      <c r="R22" s="41">
        <f>IF(AND('Courses Valid'!C34=0,Courses!G28&lt;&gt;"",Courses!H28&gt;0,SUM(Courses!Y28,Courses!Z28)&gt;0),Courses!H28*SUM(Courses!Y28,Courses!Z28),0)</f>
        <v>0</v>
      </c>
      <c r="S22" s="105">
        <f>IF(AND('Courses Valid'!C34=0,Courses!I28&lt;&gt;"",Courses!J28&gt;0,SUM(Courses!Y28,Courses!Z28)&gt;0),Courses!J28*SUM(Courses!Y28,Courses!Z28),0)</f>
        <v>0</v>
      </c>
      <c r="T22" s="41">
        <f>IF(AND('Courses Valid'!C34=0,Courses!E28&lt;&gt;"",Courses!F28&gt;0,Courses!AA28&gt;0),Courses!F28*Courses!AA28,0)</f>
        <v>0</v>
      </c>
      <c r="U22" s="41">
        <f>IF(AND('Courses Valid'!C34=0,Courses!G28&lt;&gt;"",Courses!H28&gt;0,Courses!AA28&gt;0),Courses!H28*Courses!AA28,0)</f>
        <v>0</v>
      </c>
      <c r="V22" s="106">
        <f>IF(AND('Courses Valid'!C34=0,Courses!I28&lt;&gt;"",Courses!J28&gt;0,Courses!AA28&gt;0),Courses!J28*Courses!AA28,0)</f>
        <v>0</v>
      </c>
      <c r="W22" s="524"/>
      <c r="X22" s="96"/>
      <c r="Y22" s="7"/>
      <c r="Z22" s="13" t="s">
        <v>210</v>
      </c>
      <c r="AA22" s="642" t="s">
        <v>228</v>
      </c>
      <c r="AB22" s="47">
        <f t="shared" si="0"/>
        <v>0</v>
      </c>
      <c r="AC22" s="48">
        <f t="shared" si="1"/>
        <v>0</v>
      </c>
      <c r="AD22" s="49">
        <f t="shared" si="2"/>
        <v>0</v>
      </c>
      <c r="AE22" s="87"/>
      <c r="AF22" s="87"/>
      <c r="AG22" s="88"/>
      <c r="AH22" s="47">
        <f t="shared" si="3"/>
        <v>0</v>
      </c>
      <c r="AI22" s="48">
        <f t="shared" si="4"/>
        <v>0</v>
      </c>
      <c r="AJ22" s="97">
        <f t="shared" si="5"/>
        <v>0</v>
      </c>
    </row>
    <row r="23" spans="2:45" x14ac:dyDescent="0.35">
      <c r="B23" s="70" t="str">
        <f>IF(Courses!B29&lt;&gt;"",CONCATENATE(Courses!E29,"/",Courses!L29,"/",Courses!K29),"")</f>
        <v/>
      </c>
      <c r="C23" s="1579" t="str">
        <f>IF(AND(Courses!B29&lt;&gt;"",Courses!G29&lt;&gt;""),CONCATENATE(Courses!G29,"/",Courses!L29,"/",Courses!K29),"")</f>
        <v/>
      </c>
      <c r="D23" s="71" t="str">
        <f>IF(AND(Courses!B29&lt;&gt;"",Courses!I29&lt;&gt;""),CONCATENATE(Courses!I29,"/",Courses!L29,"/",Courses!K29),"")</f>
        <v/>
      </c>
      <c r="E23" s="1580">
        <f>IF(AND('Courses Valid'!C35=0,Courses!E29&lt;&gt;"",Courses!F29&gt;0,SUM(Courses!M29,Courses!N29)&gt;0),Courses!F29*SUM(Courses!M29,Courses!N29),0)</f>
        <v>0</v>
      </c>
      <c r="F23" s="41">
        <f>IF(AND('Courses Valid'!C35=0,Courses!G29&lt;&gt;"",Courses!H29&gt;0,SUM(Courses!M29,Courses!N29)&gt;0),Courses!H29*SUM(Courses!M29,Courses!N29),0)</f>
        <v>0</v>
      </c>
      <c r="G23" s="105">
        <f>IF(AND('Courses Valid'!C35=0,Courses!I29&lt;&gt;"",Courses!J29&gt;0,SUM(Courses!M29,Courses!N29)&gt;0),Courses!J29*SUM(Courses!M29,Courses!N29),0)</f>
        <v>0</v>
      </c>
      <c r="H23" s="1580">
        <f>IF(AND('Courses Valid'!C35=0,Courses!E29&lt;&gt;"",Courses!F29&gt;0,SUM(Courses!O29,Courses!P29)&gt;0),Courses!F29*SUM(Courses!O29,Courses!P29),0)</f>
        <v>0</v>
      </c>
      <c r="I23" s="41">
        <f>IF(AND('Courses Valid'!C35=0,Courses!G29&lt;&gt;"",Courses!H29&gt;0,SUM(Courses!O29,Courses!P29)&gt;0),Courses!H29*SUM(Courses!O29,Courses!P29),0)</f>
        <v>0</v>
      </c>
      <c r="J23" s="105">
        <f>IF(AND('Courses Valid'!C35=0,Courses!I29&lt;&gt;"",Courses!J29&gt;0,SUM(Courses!O29,Courses!P29)&gt;0),Courses!J29*SUM(Courses!O29,Courses!P29),0)</f>
        <v>0</v>
      </c>
      <c r="K23" s="1580">
        <f>IF(AND('Courses Valid'!C35=0,Courses!E29&lt;&gt;"",Courses!F29&gt;0,Courses!Q29&gt;0),Courses!F29*Courses!Q29,0)</f>
        <v>0</v>
      </c>
      <c r="L23" s="41">
        <f>IF(AND('Courses Valid'!C35=0,Courses!G29&lt;&gt;"",Courses!H29&gt;0,Courses!Q29&gt;0),Courses!H29*Courses!Q29,0)</f>
        <v>0</v>
      </c>
      <c r="M23" s="105">
        <f>IF(AND('Courses Valid'!C35=0,Courses!I29&lt;&gt;"",Courses!J29&gt;0,Courses!Q29&gt;0),Courses!J29*Courses!Q29,0)</f>
        <v>0</v>
      </c>
      <c r="N23" s="41">
        <f>IF(AND('Courses Valid'!C35=0,Courses!E29&lt;&gt;"",Courses!F29&gt;0,SUM(Courses!W29,Courses!X29)&gt;0),Courses!F29*SUM(Courses!W29,Courses!X29),0)</f>
        <v>0</v>
      </c>
      <c r="O23" s="41">
        <f>IF(AND('Courses Valid'!C35=0,Courses!G29&lt;&gt;"",Courses!H29&gt;0,SUM(Courses!W29,Courses!X29)&gt;0),Courses!H29*SUM(Courses!W29,Courses!X29),0)</f>
        <v>0</v>
      </c>
      <c r="P23" s="41">
        <f>IF(AND('Courses Valid'!C35=0,Courses!I29&lt;&gt;"",Courses!J29&gt;0,SUM(Courses!W29,Courses!X29)&gt;0),Courses!J29*SUM(Courses!W29,Courses!X29),0)</f>
        <v>0</v>
      </c>
      <c r="Q23" s="1580">
        <f>IF(AND('Courses Valid'!C35=0,Courses!E29&lt;&gt;"",Courses!F29&gt;0,SUM(Courses!Y29,Courses!Z29)&gt;0),Courses!F29*SUM(Courses!Y29,Courses!Z29),0)</f>
        <v>0</v>
      </c>
      <c r="R23" s="41">
        <f>IF(AND('Courses Valid'!C35=0,Courses!G29&lt;&gt;"",Courses!H29&gt;0,SUM(Courses!Y29,Courses!Z29)&gt;0),Courses!H29*SUM(Courses!Y29,Courses!Z29),0)</f>
        <v>0</v>
      </c>
      <c r="S23" s="105">
        <f>IF(AND('Courses Valid'!C35=0,Courses!I29&lt;&gt;"",Courses!J29&gt;0,SUM(Courses!Y29,Courses!Z29)&gt;0),Courses!J29*SUM(Courses!Y29,Courses!Z29),0)</f>
        <v>0</v>
      </c>
      <c r="T23" s="41">
        <f>IF(AND('Courses Valid'!C35=0,Courses!E29&lt;&gt;"",Courses!F29&gt;0,Courses!AA29&gt;0),Courses!F29*Courses!AA29,0)</f>
        <v>0</v>
      </c>
      <c r="U23" s="41">
        <f>IF(AND('Courses Valid'!C35=0,Courses!G29&lt;&gt;"",Courses!H29&gt;0,Courses!AA29&gt;0),Courses!H29*Courses!AA29,0)</f>
        <v>0</v>
      </c>
      <c r="V23" s="106">
        <f>IF(AND('Courses Valid'!C35=0,Courses!I29&lt;&gt;"",Courses!J29&gt;0,Courses!AA29&gt;0),Courses!J29*Courses!AA29,0)</f>
        <v>0</v>
      </c>
      <c r="W23" s="524"/>
      <c r="X23" s="96"/>
      <c r="Y23" s="7"/>
      <c r="Z23" s="13" t="s">
        <v>212</v>
      </c>
      <c r="AA23" s="642" t="s">
        <v>229</v>
      </c>
      <c r="AB23" s="45">
        <f t="shared" si="0"/>
        <v>0</v>
      </c>
      <c r="AC23" s="51">
        <f t="shared" si="1"/>
        <v>0</v>
      </c>
      <c r="AD23" s="46">
        <f t="shared" si="2"/>
        <v>0</v>
      </c>
      <c r="AE23" s="87"/>
      <c r="AF23" s="87"/>
      <c r="AG23" s="88"/>
      <c r="AH23" s="45">
        <f t="shared" si="3"/>
        <v>0</v>
      </c>
      <c r="AI23" s="51">
        <f t="shared" si="4"/>
        <v>0</v>
      </c>
      <c r="AJ23" s="98">
        <f t="shared" si="5"/>
        <v>0</v>
      </c>
    </row>
    <row r="24" spans="2:45" x14ac:dyDescent="0.35">
      <c r="B24" s="70" t="str">
        <f>IF(Courses!B30&lt;&gt;"",CONCATENATE(Courses!E30,"/",Courses!L30,"/",Courses!K30),"")</f>
        <v/>
      </c>
      <c r="C24" s="1579" t="str">
        <f>IF(AND(Courses!B30&lt;&gt;"",Courses!G30&lt;&gt;""),CONCATENATE(Courses!G30,"/",Courses!L30,"/",Courses!K30),"")</f>
        <v/>
      </c>
      <c r="D24" s="71" t="str">
        <f>IF(AND(Courses!B30&lt;&gt;"",Courses!I30&lt;&gt;""),CONCATENATE(Courses!I30,"/",Courses!L30,"/",Courses!K30),"")</f>
        <v/>
      </c>
      <c r="E24" s="1580">
        <f>IF(AND('Courses Valid'!C36=0,Courses!E30&lt;&gt;"",Courses!F30&gt;0,SUM(Courses!M30,Courses!N30)&gt;0),Courses!F30*SUM(Courses!M30,Courses!N30),0)</f>
        <v>0</v>
      </c>
      <c r="F24" s="41">
        <f>IF(AND('Courses Valid'!C36=0,Courses!G30&lt;&gt;"",Courses!H30&gt;0,SUM(Courses!M30,Courses!N30)&gt;0),Courses!H30*SUM(Courses!M30,Courses!N30),0)</f>
        <v>0</v>
      </c>
      <c r="G24" s="105">
        <f>IF(AND('Courses Valid'!C36=0,Courses!I30&lt;&gt;"",Courses!J30&gt;0,SUM(Courses!M30,Courses!N30)&gt;0),Courses!J30*SUM(Courses!M30,Courses!N30),0)</f>
        <v>0</v>
      </c>
      <c r="H24" s="1580">
        <f>IF(AND('Courses Valid'!C36=0,Courses!E30&lt;&gt;"",Courses!F30&gt;0,SUM(Courses!O30,Courses!P30)&gt;0),Courses!F30*SUM(Courses!O30,Courses!P30),0)</f>
        <v>0</v>
      </c>
      <c r="I24" s="41">
        <f>IF(AND('Courses Valid'!C36=0,Courses!G30&lt;&gt;"",Courses!H30&gt;0,SUM(Courses!O30,Courses!P30)&gt;0),Courses!H30*SUM(Courses!O30,Courses!P30),0)</f>
        <v>0</v>
      </c>
      <c r="J24" s="105">
        <f>IF(AND('Courses Valid'!C36=0,Courses!I30&lt;&gt;"",Courses!J30&gt;0,SUM(Courses!O30,Courses!P30)&gt;0),Courses!J30*SUM(Courses!O30,Courses!P30),0)</f>
        <v>0</v>
      </c>
      <c r="K24" s="1580">
        <f>IF(AND('Courses Valid'!C36=0,Courses!E30&lt;&gt;"",Courses!F30&gt;0,Courses!Q30&gt;0),Courses!F30*Courses!Q30,0)</f>
        <v>0</v>
      </c>
      <c r="L24" s="41">
        <f>IF(AND('Courses Valid'!C36=0,Courses!G30&lt;&gt;"",Courses!H30&gt;0,Courses!Q30&gt;0),Courses!H30*Courses!Q30,0)</f>
        <v>0</v>
      </c>
      <c r="M24" s="105">
        <f>IF(AND('Courses Valid'!C36=0,Courses!I30&lt;&gt;"",Courses!J30&gt;0,Courses!Q30&gt;0),Courses!J30*Courses!Q30,0)</f>
        <v>0</v>
      </c>
      <c r="N24" s="41">
        <f>IF(AND('Courses Valid'!C36=0,Courses!E30&lt;&gt;"",Courses!F30&gt;0,SUM(Courses!W30,Courses!X30)&gt;0),Courses!F30*SUM(Courses!W30,Courses!X30),0)</f>
        <v>0</v>
      </c>
      <c r="O24" s="41">
        <f>IF(AND('Courses Valid'!C36=0,Courses!G30&lt;&gt;"",Courses!H30&gt;0,SUM(Courses!W30,Courses!X30)&gt;0),Courses!H30*SUM(Courses!W30,Courses!X30),0)</f>
        <v>0</v>
      </c>
      <c r="P24" s="41">
        <f>IF(AND('Courses Valid'!C36=0,Courses!I30&lt;&gt;"",Courses!J30&gt;0,SUM(Courses!W30,Courses!X30)&gt;0),Courses!J30*SUM(Courses!W30,Courses!X30),0)</f>
        <v>0</v>
      </c>
      <c r="Q24" s="1580">
        <f>IF(AND('Courses Valid'!C36=0,Courses!E30&lt;&gt;"",Courses!F30&gt;0,SUM(Courses!Y30,Courses!Z30)&gt;0),Courses!F30*SUM(Courses!Y30,Courses!Z30),0)</f>
        <v>0</v>
      </c>
      <c r="R24" s="41">
        <f>IF(AND('Courses Valid'!C36=0,Courses!G30&lt;&gt;"",Courses!H30&gt;0,SUM(Courses!Y30,Courses!Z30)&gt;0),Courses!H30*SUM(Courses!Y30,Courses!Z30),0)</f>
        <v>0</v>
      </c>
      <c r="S24" s="105">
        <f>IF(AND('Courses Valid'!C36=0,Courses!I30&lt;&gt;"",Courses!J30&gt;0,SUM(Courses!Y30,Courses!Z30)&gt;0),Courses!J30*SUM(Courses!Y30,Courses!Z30),0)</f>
        <v>0</v>
      </c>
      <c r="T24" s="41">
        <f>IF(AND('Courses Valid'!C36=0,Courses!E30&lt;&gt;"",Courses!F30&gt;0,Courses!AA30&gt;0),Courses!F30*Courses!AA30,0)</f>
        <v>0</v>
      </c>
      <c r="U24" s="41">
        <f>IF(AND('Courses Valid'!C36=0,Courses!G30&lt;&gt;"",Courses!H30&gt;0,Courses!AA30&gt;0),Courses!H30*Courses!AA30,0)</f>
        <v>0</v>
      </c>
      <c r="V24" s="106">
        <f>IF(AND('Courses Valid'!C36=0,Courses!I30&lt;&gt;"",Courses!J30&gt;0,Courses!AA30&gt;0),Courses!J30*Courses!AA30,0)</f>
        <v>0</v>
      </c>
      <c r="W24" s="524"/>
      <c r="X24" s="99"/>
      <c r="Y24" s="7"/>
      <c r="Z24" s="13" t="s">
        <v>214</v>
      </c>
      <c r="AA24" s="642" t="s">
        <v>230</v>
      </c>
      <c r="AB24" s="45">
        <f t="shared" si="0"/>
        <v>0</v>
      </c>
      <c r="AC24" s="51">
        <f t="shared" si="1"/>
        <v>0</v>
      </c>
      <c r="AD24" s="46">
        <f t="shared" si="2"/>
        <v>0</v>
      </c>
      <c r="AE24" s="87"/>
      <c r="AF24" s="87"/>
      <c r="AG24" s="88"/>
      <c r="AH24" s="45">
        <f t="shared" si="3"/>
        <v>0</v>
      </c>
      <c r="AI24" s="51">
        <f t="shared" si="4"/>
        <v>0</v>
      </c>
      <c r="AJ24" s="98">
        <f t="shared" si="5"/>
        <v>0</v>
      </c>
    </row>
    <row r="25" spans="2:45" x14ac:dyDescent="0.35">
      <c r="B25" s="70" t="str">
        <f>IF(Courses!B31&lt;&gt;"",CONCATENATE(Courses!E31,"/",Courses!L31,"/",Courses!K31),"")</f>
        <v/>
      </c>
      <c r="C25" s="1579" t="str">
        <f>IF(AND(Courses!B31&lt;&gt;"",Courses!G31&lt;&gt;""),CONCATENATE(Courses!G31,"/",Courses!L31,"/",Courses!K31),"")</f>
        <v/>
      </c>
      <c r="D25" s="71" t="str">
        <f>IF(AND(Courses!B31&lt;&gt;"",Courses!I31&lt;&gt;""),CONCATENATE(Courses!I31,"/",Courses!L31,"/",Courses!K31),"")</f>
        <v/>
      </c>
      <c r="E25" s="1580">
        <f>IF(AND('Courses Valid'!C37=0,Courses!E31&lt;&gt;"",Courses!F31&gt;0,SUM(Courses!M31,Courses!N31)&gt;0),Courses!F31*SUM(Courses!M31,Courses!N31),0)</f>
        <v>0</v>
      </c>
      <c r="F25" s="41">
        <f>IF(AND('Courses Valid'!C37=0,Courses!G31&lt;&gt;"",Courses!H31&gt;0,SUM(Courses!M31,Courses!N31)&gt;0),Courses!H31*SUM(Courses!M31,Courses!N31),0)</f>
        <v>0</v>
      </c>
      <c r="G25" s="105">
        <f>IF(AND('Courses Valid'!C37=0,Courses!I31&lt;&gt;"",Courses!J31&gt;0,SUM(Courses!M31,Courses!N31)&gt;0),Courses!J31*SUM(Courses!M31,Courses!N31),0)</f>
        <v>0</v>
      </c>
      <c r="H25" s="1580">
        <f>IF(AND('Courses Valid'!C37=0,Courses!E31&lt;&gt;"",Courses!F31&gt;0,SUM(Courses!O31,Courses!P31)&gt;0),Courses!F31*SUM(Courses!O31,Courses!P31),0)</f>
        <v>0</v>
      </c>
      <c r="I25" s="41">
        <f>IF(AND('Courses Valid'!C37=0,Courses!G31&lt;&gt;"",Courses!H31&gt;0,SUM(Courses!O31,Courses!P31)&gt;0),Courses!H31*SUM(Courses!O31,Courses!P31),0)</f>
        <v>0</v>
      </c>
      <c r="J25" s="105">
        <f>IF(AND('Courses Valid'!C37=0,Courses!I31&lt;&gt;"",Courses!J31&gt;0,SUM(Courses!O31,Courses!P31)&gt;0),Courses!J31*SUM(Courses!O31,Courses!P31),0)</f>
        <v>0</v>
      </c>
      <c r="K25" s="1580">
        <f>IF(AND('Courses Valid'!C37=0,Courses!E31&lt;&gt;"",Courses!F31&gt;0,Courses!Q31&gt;0),Courses!F31*Courses!Q31,0)</f>
        <v>0</v>
      </c>
      <c r="L25" s="41">
        <f>IF(AND('Courses Valid'!C37=0,Courses!G31&lt;&gt;"",Courses!H31&gt;0,Courses!Q31&gt;0),Courses!H31*Courses!Q31,0)</f>
        <v>0</v>
      </c>
      <c r="M25" s="105">
        <f>IF(AND('Courses Valid'!C37=0,Courses!I31&lt;&gt;"",Courses!J31&gt;0,Courses!Q31&gt;0),Courses!J31*Courses!Q31,0)</f>
        <v>0</v>
      </c>
      <c r="N25" s="41">
        <f>IF(AND('Courses Valid'!C37=0,Courses!E31&lt;&gt;"",Courses!F31&gt;0,SUM(Courses!W31,Courses!X31)&gt;0),Courses!F31*SUM(Courses!W31,Courses!X31),0)</f>
        <v>0</v>
      </c>
      <c r="O25" s="41">
        <f>IF(AND('Courses Valid'!C37=0,Courses!G31&lt;&gt;"",Courses!H31&gt;0,SUM(Courses!W31,Courses!X31)&gt;0),Courses!H31*SUM(Courses!W31,Courses!X31),0)</f>
        <v>0</v>
      </c>
      <c r="P25" s="41">
        <f>IF(AND('Courses Valid'!C37=0,Courses!I31&lt;&gt;"",Courses!J31&gt;0,SUM(Courses!W31,Courses!X31)&gt;0),Courses!J31*SUM(Courses!W31,Courses!X31),0)</f>
        <v>0</v>
      </c>
      <c r="Q25" s="1580">
        <f>IF(AND('Courses Valid'!C37=0,Courses!E31&lt;&gt;"",Courses!F31&gt;0,SUM(Courses!Y31,Courses!Z31)&gt;0),Courses!F31*SUM(Courses!Y31,Courses!Z31),0)</f>
        <v>0</v>
      </c>
      <c r="R25" s="41">
        <f>IF(AND('Courses Valid'!C37=0,Courses!G31&lt;&gt;"",Courses!H31&gt;0,SUM(Courses!Y31,Courses!Z31)&gt;0),Courses!H31*SUM(Courses!Y31,Courses!Z31),0)</f>
        <v>0</v>
      </c>
      <c r="S25" s="105">
        <f>IF(AND('Courses Valid'!C37=0,Courses!I31&lt;&gt;"",Courses!J31&gt;0,SUM(Courses!Y31,Courses!Z31)&gt;0),Courses!J31*SUM(Courses!Y31,Courses!Z31),0)</f>
        <v>0</v>
      </c>
      <c r="T25" s="41">
        <f>IF(AND('Courses Valid'!C37=0,Courses!E31&lt;&gt;"",Courses!F31&gt;0,Courses!AA31&gt;0),Courses!F31*Courses!AA31,0)</f>
        <v>0</v>
      </c>
      <c r="U25" s="41">
        <f>IF(AND('Courses Valid'!C37=0,Courses!G31&lt;&gt;"",Courses!H31&gt;0,Courses!AA31&gt;0),Courses!H31*Courses!AA31,0)</f>
        <v>0</v>
      </c>
      <c r="V25" s="106">
        <f>IF(AND('Courses Valid'!C37=0,Courses!I31&lt;&gt;"",Courses!J31&gt;0,Courses!AA31&gt;0),Courses!J31*Courses!AA31,0)</f>
        <v>0</v>
      </c>
      <c r="W25" s="524"/>
      <c r="X25" s="235"/>
      <c r="Z25" s="13" t="s">
        <v>216</v>
      </c>
      <c r="AA25" s="642" t="s">
        <v>231</v>
      </c>
      <c r="AB25" s="45">
        <f t="shared" si="0"/>
        <v>0</v>
      </c>
      <c r="AC25" s="51">
        <f t="shared" si="1"/>
        <v>0</v>
      </c>
      <c r="AD25" s="46">
        <f t="shared" si="2"/>
        <v>0</v>
      </c>
      <c r="AG25" s="183"/>
      <c r="AH25" s="45">
        <f t="shared" si="3"/>
        <v>0</v>
      </c>
      <c r="AI25" s="51">
        <f t="shared" si="4"/>
        <v>0</v>
      </c>
      <c r="AJ25" s="98">
        <f t="shared" si="5"/>
        <v>0</v>
      </c>
    </row>
    <row r="26" spans="2:45" x14ac:dyDescent="0.35">
      <c r="B26" s="70" t="str">
        <f>IF(Courses!B32&lt;&gt;"",CONCATENATE(Courses!E32,"/",Courses!L32,"/",Courses!K32),"")</f>
        <v/>
      </c>
      <c r="C26" s="1579" t="str">
        <f>IF(AND(Courses!B32&lt;&gt;"",Courses!G32&lt;&gt;""),CONCATENATE(Courses!G32,"/",Courses!L32,"/",Courses!K32),"")</f>
        <v/>
      </c>
      <c r="D26" s="71" t="str">
        <f>IF(AND(Courses!B32&lt;&gt;"",Courses!I32&lt;&gt;""),CONCATENATE(Courses!I32,"/",Courses!L32,"/",Courses!K32),"")</f>
        <v/>
      </c>
      <c r="E26" s="1580">
        <f>IF(AND('Courses Valid'!C38=0,Courses!E32&lt;&gt;"",Courses!F32&gt;0,SUM(Courses!M32,Courses!N32)&gt;0),Courses!F32*SUM(Courses!M32,Courses!N32),0)</f>
        <v>0</v>
      </c>
      <c r="F26" s="41">
        <f>IF(AND('Courses Valid'!C38=0,Courses!G32&lt;&gt;"",Courses!H32&gt;0,SUM(Courses!M32,Courses!N32)&gt;0),Courses!H32*SUM(Courses!M32,Courses!N32),0)</f>
        <v>0</v>
      </c>
      <c r="G26" s="105">
        <f>IF(AND('Courses Valid'!C38=0,Courses!I32&lt;&gt;"",Courses!J32&gt;0,SUM(Courses!M32,Courses!N32)&gt;0),Courses!J32*SUM(Courses!M32,Courses!N32),0)</f>
        <v>0</v>
      </c>
      <c r="H26" s="1580">
        <f>IF(AND('Courses Valid'!C38=0,Courses!E32&lt;&gt;"",Courses!F32&gt;0,SUM(Courses!O32,Courses!P32)&gt;0),Courses!F32*SUM(Courses!O32,Courses!P32),0)</f>
        <v>0</v>
      </c>
      <c r="I26" s="41">
        <f>IF(AND('Courses Valid'!C38=0,Courses!G32&lt;&gt;"",Courses!H32&gt;0,SUM(Courses!O32,Courses!P32)&gt;0),Courses!H32*SUM(Courses!O32,Courses!P32),0)</f>
        <v>0</v>
      </c>
      <c r="J26" s="105">
        <f>IF(AND('Courses Valid'!C38=0,Courses!I32&lt;&gt;"",Courses!J32&gt;0,SUM(Courses!O32,Courses!P32)&gt;0),Courses!J32*SUM(Courses!O32,Courses!P32),0)</f>
        <v>0</v>
      </c>
      <c r="K26" s="1580">
        <f>IF(AND('Courses Valid'!C38=0,Courses!E32&lt;&gt;"",Courses!F32&gt;0,Courses!Q32&gt;0),Courses!F32*Courses!Q32,0)</f>
        <v>0</v>
      </c>
      <c r="L26" s="41">
        <f>IF(AND('Courses Valid'!C38=0,Courses!G32&lt;&gt;"",Courses!H32&gt;0,Courses!Q32&gt;0),Courses!H32*Courses!Q32,0)</f>
        <v>0</v>
      </c>
      <c r="M26" s="105">
        <f>IF(AND('Courses Valid'!C38=0,Courses!I32&lt;&gt;"",Courses!J32&gt;0,Courses!Q32&gt;0),Courses!J32*Courses!Q32,0)</f>
        <v>0</v>
      </c>
      <c r="N26" s="41">
        <f>IF(AND('Courses Valid'!C38=0,Courses!E32&lt;&gt;"",Courses!F32&gt;0,SUM(Courses!W32,Courses!X32)&gt;0),Courses!F32*SUM(Courses!W32,Courses!X32),0)</f>
        <v>0</v>
      </c>
      <c r="O26" s="41">
        <f>IF(AND('Courses Valid'!C38=0,Courses!G32&lt;&gt;"",Courses!H32&gt;0,SUM(Courses!W32,Courses!X32)&gt;0),Courses!H32*SUM(Courses!W32,Courses!X32),0)</f>
        <v>0</v>
      </c>
      <c r="P26" s="41">
        <f>IF(AND('Courses Valid'!C38=0,Courses!I32&lt;&gt;"",Courses!J32&gt;0,SUM(Courses!W32,Courses!X32)&gt;0),Courses!J32*SUM(Courses!W32,Courses!X32),0)</f>
        <v>0</v>
      </c>
      <c r="Q26" s="1580">
        <f>IF(AND('Courses Valid'!C38=0,Courses!E32&lt;&gt;"",Courses!F32&gt;0,SUM(Courses!Y32,Courses!Z32)&gt;0),Courses!F32*SUM(Courses!Y32,Courses!Z32),0)</f>
        <v>0</v>
      </c>
      <c r="R26" s="41">
        <f>IF(AND('Courses Valid'!C38=0,Courses!G32&lt;&gt;"",Courses!H32&gt;0,SUM(Courses!Y32,Courses!Z32)&gt;0),Courses!H32*SUM(Courses!Y32,Courses!Z32),0)</f>
        <v>0</v>
      </c>
      <c r="S26" s="105">
        <f>IF(AND('Courses Valid'!C38=0,Courses!I32&lt;&gt;"",Courses!J32&gt;0,SUM(Courses!Y32,Courses!Z32)&gt;0),Courses!J32*SUM(Courses!Y32,Courses!Z32),0)</f>
        <v>0</v>
      </c>
      <c r="T26" s="41">
        <f>IF(AND('Courses Valid'!C38=0,Courses!E32&lt;&gt;"",Courses!F32&gt;0,Courses!AA32&gt;0),Courses!F32*Courses!AA32,0)</f>
        <v>0</v>
      </c>
      <c r="U26" s="41">
        <f>IF(AND('Courses Valid'!C38=0,Courses!G32&lt;&gt;"",Courses!H32&gt;0,Courses!AA32&gt;0),Courses!H32*Courses!AA32,0)</f>
        <v>0</v>
      </c>
      <c r="V26" s="106">
        <f>IF(AND('Courses Valid'!C38=0,Courses!I32&lt;&gt;"",Courses!J32&gt;0,Courses!AA32&gt;0),Courses!J32*Courses!AA32,0)</f>
        <v>0</v>
      </c>
      <c r="W26" s="524"/>
      <c r="X26" s="99"/>
      <c r="Y26" s="1414" t="s">
        <v>218</v>
      </c>
      <c r="Z26" s="12" t="s">
        <v>205</v>
      </c>
      <c r="AA26" s="645" t="s">
        <v>232</v>
      </c>
      <c r="AB26" s="521">
        <f t="shared" si="0"/>
        <v>0</v>
      </c>
      <c r="AC26" s="50">
        <f t="shared" si="1"/>
        <v>0</v>
      </c>
      <c r="AD26" s="44">
        <f t="shared" si="2"/>
        <v>0</v>
      </c>
      <c r="AE26" s="87"/>
      <c r="AF26" s="87"/>
      <c r="AG26" s="88"/>
      <c r="AH26" s="300">
        <f t="shared" si="3"/>
        <v>0</v>
      </c>
      <c r="AI26" s="50">
        <f t="shared" si="4"/>
        <v>0</v>
      </c>
      <c r="AJ26" s="100">
        <f t="shared" si="5"/>
        <v>0</v>
      </c>
    </row>
    <row r="27" spans="2:45" x14ac:dyDescent="0.35">
      <c r="B27" s="70" t="str">
        <f>IF(Courses!B33&lt;&gt;"",CONCATENATE(Courses!E33,"/",Courses!L33,"/",Courses!K33),"")</f>
        <v/>
      </c>
      <c r="C27" s="1579" t="str">
        <f>IF(AND(Courses!B33&lt;&gt;"",Courses!G33&lt;&gt;""),CONCATENATE(Courses!G33,"/",Courses!L33,"/",Courses!K33),"")</f>
        <v/>
      </c>
      <c r="D27" s="71" t="str">
        <f>IF(AND(Courses!B33&lt;&gt;"",Courses!I33&lt;&gt;""),CONCATENATE(Courses!I33,"/",Courses!L33,"/",Courses!K33),"")</f>
        <v/>
      </c>
      <c r="E27" s="1580">
        <f>IF(AND('Courses Valid'!C39=0,Courses!E33&lt;&gt;"",Courses!F33&gt;0,SUM(Courses!M33,Courses!N33)&gt;0),Courses!F33*SUM(Courses!M33,Courses!N33),0)</f>
        <v>0</v>
      </c>
      <c r="F27" s="41">
        <f>IF(AND('Courses Valid'!C39=0,Courses!G33&lt;&gt;"",Courses!H33&gt;0,SUM(Courses!M33,Courses!N33)&gt;0),Courses!H33*SUM(Courses!M33,Courses!N33),0)</f>
        <v>0</v>
      </c>
      <c r="G27" s="105">
        <f>IF(AND('Courses Valid'!C39=0,Courses!I33&lt;&gt;"",Courses!J33&gt;0,SUM(Courses!M33,Courses!N33)&gt;0),Courses!J33*SUM(Courses!M33,Courses!N33),0)</f>
        <v>0</v>
      </c>
      <c r="H27" s="1580">
        <f>IF(AND('Courses Valid'!C39=0,Courses!E33&lt;&gt;"",Courses!F33&gt;0,SUM(Courses!O33,Courses!P33)&gt;0),Courses!F33*SUM(Courses!O33,Courses!P33),0)</f>
        <v>0</v>
      </c>
      <c r="I27" s="41">
        <f>IF(AND('Courses Valid'!C39=0,Courses!G33&lt;&gt;"",Courses!H33&gt;0,SUM(Courses!O33,Courses!P33)&gt;0),Courses!H33*SUM(Courses!O33,Courses!P33),0)</f>
        <v>0</v>
      </c>
      <c r="J27" s="105">
        <f>IF(AND('Courses Valid'!C39=0,Courses!I33&lt;&gt;"",Courses!J33&gt;0,SUM(Courses!O33,Courses!P33)&gt;0),Courses!J33*SUM(Courses!O33,Courses!P33),0)</f>
        <v>0</v>
      </c>
      <c r="K27" s="1580">
        <f>IF(AND('Courses Valid'!C39=0,Courses!E33&lt;&gt;"",Courses!F33&gt;0,Courses!Q33&gt;0),Courses!F33*Courses!Q33,0)</f>
        <v>0</v>
      </c>
      <c r="L27" s="41">
        <f>IF(AND('Courses Valid'!C39=0,Courses!G33&lt;&gt;"",Courses!H33&gt;0,Courses!Q33&gt;0),Courses!H33*Courses!Q33,0)</f>
        <v>0</v>
      </c>
      <c r="M27" s="105">
        <f>IF(AND('Courses Valid'!C39=0,Courses!I33&lt;&gt;"",Courses!J33&gt;0,Courses!Q33&gt;0),Courses!J33*Courses!Q33,0)</f>
        <v>0</v>
      </c>
      <c r="N27" s="41">
        <f>IF(AND('Courses Valid'!C39=0,Courses!E33&lt;&gt;"",Courses!F33&gt;0,SUM(Courses!W33,Courses!X33)&gt;0),Courses!F33*SUM(Courses!W33,Courses!X33),0)</f>
        <v>0</v>
      </c>
      <c r="O27" s="41">
        <f>IF(AND('Courses Valid'!C39=0,Courses!G33&lt;&gt;"",Courses!H33&gt;0,SUM(Courses!W33,Courses!X33)&gt;0),Courses!H33*SUM(Courses!W33,Courses!X33),0)</f>
        <v>0</v>
      </c>
      <c r="P27" s="41">
        <f>IF(AND('Courses Valid'!C39=0,Courses!I33&lt;&gt;"",Courses!J33&gt;0,SUM(Courses!W33,Courses!X33)&gt;0),Courses!J33*SUM(Courses!W33,Courses!X33),0)</f>
        <v>0</v>
      </c>
      <c r="Q27" s="1580">
        <f>IF(AND('Courses Valid'!C39=0,Courses!E33&lt;&gt;"",Courses!F33&gt;0,SUM(Courses!Y33,Courses!Z33)&gt;0),Courses!F33*SUM(Courses!Y33,Courses!Z33),0)</f>
        <v>0</v>
      </c>
      <c r="R27" s="41">
        <f>IF(AND('Courses Valid'!C39=0,Courses!G33&lt;&gt;"",Courses!H33&gt;0,SUM(Courses!Y33,Courses!Z33)&gt;0),Courses!H33*SUM(Courses!Y33,Courses!Z33),0)</f>
        <v>0</v>
      </c>
      <c r="S27" s="105">
        <f>IF(AND('Courses Valid'!C39=0,Courses!I33&lt;&gt;"",Courses!J33&gt;0,SUM(Courses!Y33,Courses!Z33)&gt;0),Courses!J33*SUM(Courses!Y33,Courses!Z33),0)</f>
        <v>0</v>
      </c>
      <c r="T27" s="41">
        <f>IF(AND('Courses Valid'!C39=0,Courses!E33&lt;&gt;"",Courses!F33&gt;0,Courses!AA33&gt;0),Courses!F33*Courses!AA33,0)</f>
        <v>0</v>
      </c>
      <c r="U27" s="41">
        <f>IF(AND('Courses Valid'!C39=0,Courses!G33&lt;&gt;"",Courses!H33&gt;0,Courses!AA33&gt;0),Courses!H33*Courses!AA33,0)</f>
        <v>0</v>
      </c>
      <c r="V27" s="106">
        <f>IF(AND('Courses Valid'!C39=0,Courses!I33&lt;&gt;"",Courses!J33&gt;0,Courses!AA33&gt;0),Courses!J33*Courses!AA33,0)</f>
        <v>0</v>
      </c>
      <c r="W27" s="524"/>
      <c r="X27" s="99"/>
      <c r="Y27" s="53"/>
      <c r="Z27" s="13" t="s">
        <v>208</v>
      </c>
      <c r="AA27" s="642" t="s">
        <v>233</v>
      </c>
      <c r="AB27" s="643">
        <f t="shared" si="0"/>
        <v>0</v>
      </c>
      <c r="AC27" s="635">
        <f t="shared" si="1"/>
        <v>0</v>
      </c>
      <c r="AD27" s="632">
        <f t="shared" si="2"/>
        <v>0</v>
      </c>
      <c r="AE27" s="87"/>
      <c r="AF27" s="87"/>
      <c r="AG27" s="88"/>
      <c r="AH27" s="633">
        <f t="shared" si="3"/>
        <v>0</v>
      </c>
      <c r="AI27" s="635">
        <f t="shared" si="4"/>
        <v>0</v>
      </c>
      <c r="AJ27" s="634">
        <f t="shared" si="5"/>
        <v>0</v>
      </c>
    </row>
    <row r="28" spans="2:45" x14ac:dyDescent="0.35">
      <c r="B28" s="70" t="str">
        <f>IF(Courses!B34&lt;&gt;"",CONCATENATE(Courses!E34,"/",Courses!L34,"/",Courses!K34),"")</f>
        <v/>
      </c>
      <c r="C28" s="1579" t="str">
        <f>IF(AND(Courses!B34&lt;&gt;"",Courses!G34&lt;&gt;""),CONCATENATE(Courses!G34,"/",Courses!L34,"/",Courses!K34),"")</f>
        <v/>
      </c>
      <c r="D28" s="71" t="str">
        <f>IF(AND(Courses!B34&lt;&gt;"",Courses!I34&lt;&gt;""),CONCATENATE(Courses!I34,"/",Courses!L34,"/",Courses!K34),"")</f>
        <v/>
      </c>
      <c r="E28" s="1580">
        <f>IF(AND('Courses Valid'!C40=0,Courses!E34&lt;&gt;"",Courses!F34&gt;0,SUM(Courses!M34,Courses!N34)&gt;0),Courses!F34*SUM(Courses!M34,Courses!N34),0)</f>
        <v>0</v>
      </c>
      <c r="F28" s="41">
        <f>IF(AND('Courses Valid'!C40=0,Courses!G34&lt;&gt;"",Courses!H34&gt;0,SUM(Courses!M34,Courses!N34)&gt;0),Courses!H34*SUM(Courses!M34,Courses!N34),0)</f>
        <v>0</v>
      </c>
      <c r="G28" s="105">
        <f>IF(AND('Courses Valid'!C40=0,Courses!I34&lt;&gt;"",Courses!J34&gt;0,SUM(Courses!M34,Courses!N34)&gt;0),Courses!J34*SUM(Courses!M34,Courses!N34),0)</f>
        <v>0</v>
      </c>
      <c r="H28" s="1580">
        <f>IF(AND('Courses Valid'!C40=0,Courses!E34&lt;&gt;"",Courses!F34&gt;0,SUM(Courses!O34,Courses!P34)&gt;0),Courses!F34*SUM(Courses!O34,Courses!P34),0)</f>
        <v>0</v>
      </c>
      <c r="I28" s="41">
        <f>IF(AND('Courses Valid'!C40=0,Courses!G34&lt;&gt;"",Courses!H34&gt;0,SUM(Courses!O34,Courses!P34)&gt;0),Courses!H34*SUM(Courses!O34,Courses!P34),0)</f>
        <v>0</v>
      </c>
      <c r="J28" s="105">
        <f>IF(AND('Courses Valid'!C40=0,Courses!I34&lt;&gt;"",Courses!J34&gt;0,SUM(Courses!O34,Courses!P34)&gt;0),Courses!J34*SUM(Courses!O34,Courses!P34),0)</f>
        <v>0</v>
      </c>
      <c r="K28" s="1580">
        <f>IF(AND('Courses Valid'!C40=0,Courses!E34&lt;&gt;"",Courses!F34&gt;0,Courses!Q34&gt;0),Courses!F34*Courses!Q34,0)</f>
        <v>0</v>
      </c>
      <c r="L28" s="41">
        <f>IF(AND('Courses Valid'!C40=0,Courses!G34&lt;&gt;"",Courses!H34&gt;0,Courses!Q34&gt;0),Courses!H34*Courses!Q34,0)</f>
        <v>0</v>
      </c>
      <c r="M28" s="105">
        <f>IF(AND('Courses Valid'!C40=0,Courses!I34&lt;&gt;"",Courses!J34&gt;0,Courses!Q34&gt;0),Courses!J34*Courses!Q34,0)</f>
        <v>0</v>
      </c>
      <c r="N28" s="41">
        <f>IF(AND('Courses Valid'!C40=0,Courses!E34&lt;&gt;"",Courses!F34&gt;0,SUM(Courses!W34,Courses!X34)&gt;0),Courses!F34*SUM(Courses!W34,Courses!X34),0)</f>
        <v>0</v>
      </c>
      <c r="O28" s="41">
        <f>IF(AND('Courses Valid'!C40=0,Courses!G34&lt;&gt;"",Courses!H34&gt;0,SUM(Courses!W34,Courses!X34)&gt;0),Courses!H34*SUM(Courses!W34,Courses!X34),0)</f>
        <v>0</v>
      </c>
      <c r="P28" s="41">
        <f>IF(AND('Courses Valid'!C40=0,Courses!I34&lt;&gt;"",Courses!J34&gt;0,SUM(Courses!W34,Courses!X34)&gt;0),Courses!J34*SUM(Courses!W34,Courses!X34),0)</f>
        <v>0</v>
      </c>
      <c r="Q28" s="1580">
        <f>IF(AND('Courses Valid'!C40=0,Courses!E34&lt;&gt;"",Courses!F34&gt;0,SUM(Courses!Y34,Courses!Z34)&gt;0),Courses!F34*SUM(Courses!Y34,Courses!Z34),0)</f>
        <v>0</v>
      </c>
      <c r="R28" s="41">
        <f>IF(AND('Courses Valid'!C40=0,Courses!G34&lt;&gt;"",Courses!H34&gt;0,SUM(Courses!Y34,Courses!Z34)&gt;0),Courses!H34*SUM(Courses!Y34,Courses!Z34),0)</f>
        <v>0</v>
      </c>
      <c r="S28" s="105">
        <f>IF(AND('Courses Valid'!C40=0,Courses!I34&lt;&gt;"",Courses!J34&gt;0,SUM(Courses!Y34,Courses!Z34)&gt;0),Courses!J34*SUM(Courses!Y34,Courses!Z34),0)</f>
        <v>0</v>
      </c>
      <c r="T28" s="41">
        <f>IF(AND('Courses Valid'!C40=0,Courses!E34&lt;&gt;"",Courses!F34&gt;0,Courses!AA34&gt;0),Courses!F34*Courses!AA34,0)</f>
        <v>0</v>
      </c>
      <c r="U28" s="41">
        <f>IF(AND('Courses Valid'!C40=0,Courses!G34&lt;&gt;"",Courses!H34&gt;0,Courses!AA34&gt;0),Courses!H34*Courses!AA34,0)</f>
        <v>0</v>
      </c>
      <c r="V28" s="106">
        <f>IF(AND('Courses Valid'!C40=0,Courses!I34&lt;&gt;"",Courses!J34&gt;0,Courses!AA34&gt;0),Courses!J34*Courses!AA34,0)</f>
        <v>0</v>
      </c>
      <c r="W28" s="524"/>
      <c r="X28" s="99"/>
      <c r="Y28" s="53"/>
      <c r="Z28" s="13" t="s">
        <v>210</v>
      </c>
      <c r="AA28" s="642" t="s">
        <v>234</v>
      </c>
      <c r="AB28" s="47">
        <f t="shared" si="0"/>
        <v>0</v>
      </c>
      <c r="AC28" s="48">
        <f t="shared" si="1"/>
        <v>0</v>
      </c>
      <c r="AD28" s="49">
        <f t="shared" si="2"/>
        <v>0</v>
      </c>
      <c r="AE28" s="87"/>
      <c r="AF28" s="87"/>
      <c r="AG28" s="88"/>
      <c r="AH28" s="298">
        <f t="shared" si="3"/>
        <v>0</v>
      </c>
      <c r="AI28" s="48">
        <f t="shared" si="4"/>
        <v>0</v>
      </c>
      <c r="AJ28" s="97">
        <f t="shared" si="5"/>
        <v>0</v>
      </c>
    </row>
    <row r="29" spans="2:45" x14ac:dyDescent="0.35">
      <c r="B29" s="70" t="str">
        <f>IF(Courses!B35&lt;&gt;"",CONCATENATE(Courses!E35,"/",Courses!L35,"/",Courses!K35),"")</f>
        <v/>
      </c>
      <c r="C29" s="1579" t="str">
        <f>IF(AND(Courses!B35&lt;&gt;"",Courses!G35&lt;&gt;""),CONCATENATE(Courses!G35,"/",Courses!L35,"/",Courses!K35),"")</f>
        <v/>
      </c>
      <c r="D29" s="71" t="str">
        <f>IF(AND(Courses!B35&lt;&gt;"",Courses!I35&lt;&gt;""),CONCATENATE(Courses!I35,"/",Courses!L35,"/",Courses!K35),"")</f>
        <v/>
      </c>
      <c r="E29" s="1580">
        <f>IF(AND('Courses Valid'!C41=0,Courses!E35&lt;&gt;"",Courses!F35&gt;0,SUM(Courses!M35,Courses!N35)&gt;0),Courses!F35*SUM(Courses!M35,Courses!N35),0)</f>
        <v>0</v>
      </c>
      <c r="F29" s="41">
        <f>IF(AND('Courses Valid'!C41=0,Courses!G35&lt;&gt;"",Courses!H35&gt;0,SUM(Courses!M35,Courses!N35)&gt;0),Courses!H35*SUM(Courses!M35,Courses!N35),0)</f>
        <v>0</v>
      </c>
      <c r="G29" s="105">
        <f>IF(AND('Courses Valid'!C41=0,Courses!I35&lt;&gt;"",Courses!J35&gt;0,SUM(Courses!M35,Courses!N35)&gt;0),Courses!J35*SUM(Courses!M35,Courses!N35),0)</f>
        <v>0</v>
      </c>
      <c r="H29" s="1580">
        <f>IF(AND('Courses Valid'!C41=0,Courses!E35&lt;&gt;"",Courses!F35&gt;0,SUM(Courses!O35,Courses!P35)&gt;0),Courses!F35*SUM(Courses!O35,Courses!P35),0)</f>
        <v>0</v>
      </c>
      <c r="I29" s="41">
        <f>IF(AND('Courses Valid'!C41=0,Courses!G35&lt;&gt;"",Courses!H35&gt;0,SUM(Courses!O35,Courses!P35)&gt;0),Courses!H35*SUM(Courses!O35,Courses!P35),0)</f>
        <v>0</v>
      </c>
      <c r="J29" s="105">
        <f>IF(AND('Courses Valid'!C41=0,Courses!I35&lt;&gt;"",Courses!J35&gt;0,SUM(Courses!O35,Courses!P35)&gt;0),Courses!J35*SUM(Courses!O35,Courses!P35),0)</f>
        <v>0</v>
      </c>
      <c r="K29" s="1580">
        <f>IF(AND('Courses Valid'!C41=0,Courses!E35&lt;&gt;"",Courses!F35&gt;0,Courses!Q35&gt;0),Courses!F35*Courses!Q35,0)</f>
        <v>0</v>
      </c>
      <c r="L29" s="41">
        <f>IF(AND('Courses Valid'!C41=0,Courses!G35&lt;&gt;"",Courses!H35&gt;0,Courses!Q35&gt;0),Courses!H35*Courses!Q35,0)</f>
        <v>0</v>
      </c>
      <c r="M29" s="105">
        <f>IF(AND('Courses Valid'!C41=0,Courses!I35&lt;&gt;"",Courses!J35&gt;0,Courses!Q35&gt;0),Courses!J35*Courses!Q35,0)</f>
        <v>0</v>
      </c>
      <c r="N29" s="41">
        <f>IF(AND('Courses Valid'!C41=0,Courses!E35&lt;&gt;"",Courses!F35&gt;0,SUM(Courses!W35,Courses!X35)&gt;0),Courses!F35*SUM(Courses!W35,Courses!X35),0)</f>
        <v>0</v>
      </c>
      <c r="O29" s="41">
        <f>IF(AND('Courses Valid'!C41=0,Courses!G35&lt;&gt;"",Courses!H35&gt;0,SUM(Courses!W35,Courses!X35)&gt;0),Courses!H35*SUM(Courses!W35,Courses!X35),0)</f>
        <v>0</v>
      </c>
      <c r="P29" s="41">
        <f>IF(AND('Courses Valid'!C41=0,Courses!I35&lt;&gt;"",Courses!J35&gt;0,SUM(Courses!W35,Courses!X35)&gt;0),Courses!J35*SUM(Courses!W35,Courses!X35),0)</f>
        <v>0</v>
      </c>
      <c r="Q29" s="1580">
        <f>IF(AND('Courses Valid'!C41=0,Courses!E35&lt;&gt;"",Courses!F35&gt;0,SUM(Courses!Y35,Courses!Z35)&gt;0),Courses!F35*SUM(Courses!Y35,Courses!Z35),0)</f>
        <v>0</v>
      </c>
      <c r="R29" s="41">
        <f>IF(AND('Courses Valid'!C41=0,Courses!G35&lt;&gt;"",Courses!H35&gt;0,SUM(Courses!Y35,Courses!Z35)&gt;0),Courses!H35*SUM(Courses!Y35,Courses!Z35),0)</f>
        <v>0</v>
      </c>
      <c r="S29" s="105">
        <f>IF(AND('Courses Valid'!C41=0,Courses!I35&lt;&gt;"",Courses!J35&gt;0,SUM(Courses!Y35,Courses!Z35)&gt;0),Courses!J35*SUM(Courses!Y35,Courses!Z35),0)</f>
        <v>0</v>
      </c>
      <c r="T29" s="41">
        <f>IF(AND('Courses Valid'!C41=0,Courses!E35&lt;&gt;"",Courses!F35&gt;0,Courses!AA35&gt;0),Courses!F35*Courses!AA35,0)</f>
        <v>0</v>
      </c>
      <c r="U29" s="41">
        <f>IF(AND('Courses Valid'!C41=0,Courses!G35&lt;&gt;"",Courses!H35&gt;0,Courses!AA35&gt;0),Courses!H35*Courses!AA35,0)</f>
        <v>0</v>
      </c>
      <c r="V29" s="106">
        <f>IF(AND('Courses Valid'!C41=0,Courses!I35&lt;&gt;"",Courses!J35&gt;0,Courses!AA35&gt;0),Courses!J35*Courses!AA35,0)</f>
        <v>0</v>
      </c>
      <c r="W29" s="524"/>
      <c r="X29" s="99"/>
      <c r="Y29" s="53"/>
      <c r="Z29" s="13" t="s">
        <v>212</v>
      </c>
      <c r="AA29" s="642" t="s">
        <v>235</v>
      </c>
      <c r="AB29" s="45">
        <f t="shared" si="0"/>
        <v>0</v>
      </c>
      <c r="AC29" s="51">
        <f t="shared" si="1"/>
        <v>0</v>
      </c>
      <c r="AD29" s="46">
        <f t="shared" si="2"/>
        <v>0</v>
      </c>
      <c r="AE29" s="87"/>
      <c r="AF29" s="87"/>
      <c r="AG29" s="88"/>
      <c r="AH29" s="299">
        <f t="shared" si="3"/>
        <v>0</v>
      </c>
      <c r="AI29" s="51">
        <f t="shared" si="4"/>
        <v>0</v>
      </c>
      <c r="AJ29" s="98">
        <f t="shared" si="5"/>
        <v>0</v>
      </c>
    </row>
    <row r="30" spans="2:45" x14ac:dyDescent="0.35">
      <c r="B30" s="70" t="str">
        <f>IF(Courses!B36&lt;&gt;"",CONCATENATE(Courses!E36,"/",Courses!L36,"/",Courses!K36),"")</f>
        <v/>
      </c>
      <c r="C30" s="1579" t="str">
        <f>IF(AND(Courses!B36&lt;&gt;"",Courses!G36&lt;&gt;""),CONCATENATE(Courses!G36,"/",Courses!L36,"/",Courses!K36),"")</f>
        <v/>
      </c>
      <c r="D30" s="71" t="str">
        <f>IF(AND(Courses!B36&lt;&gt;"",Courses!I36&lt;&gt;""),CONCATENATE(Courses!I36,"/",Courses!L36,"/",Courses!K36),"")</f>
        <v/>
      </c>
      <c r="E30" s="1580">
        <f>IF(AND('Courses Valid'!C42=0,Courses!E36&lt;&gt;"",Courses!F36&gt;0,SUM(Courses!M36,Courses!N36)&gt;0),Courses!F36*SUM(Courses!M36,Courses!N36),0)</f>
        <v>0</v>
      </c>
      <c r="F30" s="41">
        <f>IF(AND('Courses Valid'!C42=0,Courses!G36&lt;&gt;"",Courses!H36&gt;0,SUM(Courses!M36,Courses!N36)&gt;0),Courses!H36*SUM(Courses!M36,Courses!N36),0)</f>
        <v>0</v>
      </c>
      <c r="G30" s="105">
        <f>IF(AND('Courses Valid'!C42=0,Courses!I36&lt;&gt;"",Courses!J36&gt;0,SUM(Courses!M36,Courses!N36)&gt;0),Courses!J36*SUM(Courses!M36,Courses!N36),0)</f>
        <v>0</v>
      </c>
      <c r="H30" s="1580">
        <f>IF(AND('Courses Valid'!C42=0,Courses!E36&lt;&gt;"",Courses!F36&gt;0,SUM(Courses!O36,Courses!P36)&gt;0),Courses!F36*SUM(Courses!O36,Courses!P36),0)</f>
        <v>0</v>
      </c>
      <c r="I30" s="41">
        <f>IF(AND('Courses Valid'!C42=0,Courses!G36&lt;&gt;"",Courses!H36&gt;0,SUM(Courses!O36,Courses!P36)&gt;0),Courses!H36*SUM(Courses!O36,Courses!P36),0)</f>
        <v>0</v>
      </c>
      <c r="J30" s="105">
        <f>IF(AND('Courses Valid'!C42=0,Courses!I36&lt;&gt;"",Courses!J36&gt;0,SUM(Courses!O36,Courses!P36)&gt;0),Courses!J36*SUM(Courses!O36,Courses!P36),0)</f>
        <v>0</v>
      </c>
      <c r="K30" s="1580">
        <f>IF(AND('Courses Valid'!C42=0,Courses!E36&lt;&gt;"",Courses!F36&gt;0,Courses!Q36&gt;0),Courses!F36*Courses!Q36,0)</f>
        <v>0</v>
      </c>
      <c r="L30" s="41">
        <f>IF(AND('Courses Valid'!C42=0,Courses!G36&lt;&gt;"",Courses!H36&gt;0,Courses!Q36&gt;0),Courses!H36*Courses!Q36,0)</f>
        <v>0</v>
      </c>
      <c r="M30" s="105">
        <f>IF(AND('Courses Valid'!C42=0,Courses!I36&lt;&gt;"",Courses!J36&gt;0,Courses!Q36&gt;0),Courses!J36*Courses!Q36,0)</f>
        <v>0</v>
      </c>
      <c r="N30" s="41">
        <f>IF(AND('Courses Valid'!C42=0,Courses!E36&lt;&gt;"",Courses!F36&gt;0,SUM(Courses!W36,Courses!X36)&gt;0),Courses!F36*SUM(Courses!W36,Courses!X36),0)</f>
        <v>0</v>
      </c>
      <c r="O30" s="41">
        <f>IF(AND('Courses Valid'!C42=0,Courses!G36&lt;&gt;"",Courses!H36&gt;0,SUM(Courses!W36,Courses!X36)&gt;0),Courses!H36*SUM(Courses!W36,Courses!X36),0)</f>
        <v>0</v>
      </c>
      <c r="P30" s="41">
        <f>IF(AND('Courses Valid'!C42=0,Courses!I36&lt;&gt;"",Courses!J36&gt;0,SUM(Courses!W36,Courses!X36)&gt;0),Courses!J36*SUM(Courses!W36,Courses!X36),0)</f>
        <v>0</v>
      </c>
      <c r="Q30" s="1580">
        <f>IF(AND('Courses Valid'!C42=0,Courses!E36&lt;&gt;"",Courses!F36&gt;0,SUM(Courses!Y36,Courses!Z36)&gt;0),Courses!F36*SUM(Courses!Y36,Courses!Z36),0)</f>
        <v>0</v>
      </c>
      <c r="R30" s="41">
        <f>IF(AND('Courses Valid'!C42=0,Courses!G36&lt;&gt;"",Courses!H36&gt;0,SUM(Courses!Y36,Courses!Z36)&gt;0),Courses!H36*SUM(Courses!Y36,Courses!Z36),0)</f>
        <v>0</v>
      </c>
      <c r="S30" s="105">
        <f>IF(AND('Courses Valid'!C42=0,Courses!I36&lt;&gt;"",Courses!J36&gt;0,SUM(Courses!Y36,Courses!Z36)&gt;0),Courses!J36*SUM(Courses!Y36,Courses!Z36),0)</f>
        <v>0</v>
      </c>
      <c r="T30" s="41">
        <f>IF(AND('Courses Valid'!C42=0,Courses!E36&lt;&gt;"",Courses!F36&gt;0,Courses!AA36&gt;0),Courses!F36*Courses!AA36,0)</f>
        <v>0</v>
      </c>
      <c r="U30" s="41">
        <f>IF(AND('Courses Valid'!C42=0,Courses!G36&lt;&gt;"",Courses!H36&gt;0,Courses!AA36&gt;0),Courses!H36*Courses!AA36,0)</f>
        <v>0</v>
      </c>
      <c r="V30" s="106">
        <f>IF(AND('Courses Valid'!C42=0,Courses!I36&lt;&gt;"",Courses!J36&gt;0,Courses!AA36&gt;0),Courses!J36*Courses!AA36,0)</f>
        <v>0</v>
      </c>
      <c r="W30" s="524"/>
      <c r="X30" s="99"/>
      <c r="Y30" s="7"/>
      <c r="Z30" s="13" t="s">
        <v>214</v>
      </c>
      <c r="AA30" s="642" t="s">
        <v>236</v>
      </c>
      <c r="AB30" s="45">
        <f t="shared" si="0"/>
        <v>0</v>
      </c>
      <c r="AC30" s="51">
        <f t="shared" si="1"/>
        <v>0</v>
      </c>
      <c r="AD30" s="46">
        <f t="shared" si="2"/>
        <v>0</v>
      </c>
      <c r="AE30" s="87"/>
      <c r="AF30" s="87"/>
      <c r="AG30" s="88"/>
      <c r="AH30" s="299">
        <f t="shared" si="3"/>
        <v>0</v>
      </c>
      <c r="AI30" s="51">
        <f t="shared" si="4"/>
        <v>0</v>
      </c>
      <c r="AJ30" s="98">
        <f t="shared" si="5"/>
        <v>0</v>
      </c>
    </row>
    <row r="31" spans="2:45" x14ac:dyDescent="0.35">
      <c r="B31" s="70" t="str">
        <f>IF(Courses!B37&lt;&gt;"",CONCATENATE(Courses!E37,"/",Courses!L37,"/",Courses!K37),"")</f>
        <v/>
      </c>
      <c r="C31" s="1579" t="str">
        <f>IF(AND(Courses!B37&lt;&gt;"",Courses!G37&lt;&gt;""),CONCATENATE(Courses!G37,"/",Courses!L37,"/",Courses!K37),"")</f>
        <v/>
      </c>
      <c r="D31" s="71" t="str">
        <f>IF(AND(Courses!B37&lt;&gt;"",Courses!I37&lt;&gt;""),CONCATENATE(Courses!I37,"/",Courses!L37,"/",Courses!K37),"")</f>
        <v/>
      </c>
      <c r="E31" s="1580">
        <f>IF(AND('Courses Valid'!C43=0,Courses!E37&lt;&gt;"",Courses!F37&gt;0,SUM(Courses!M37,Courses!N37)&gt;0),Courses!F37*SUM(Courses!M37,Courses!N37),0)</f>
        <v>0</v>
      </c>
      <c r="F31" s="41">
        <f>IF(AND('Courses Valid'!C43=0,Courses!G37&lt;&gt;"",Courses!H37&gt;0,SUM(Courses!M37,Courses!N37)&gt;0),Courses!H37*SUM(Courses!M37,Courses!N37),0)</f>
        <v>0</v>
      </c>
      <c r="G31" s="105">
        <f>IF(AND('Courses Valid'!C43=0,Courses!I37&lt;&gt;"",Courses!J37&gt;0,SUM(Courses!M37,Courses!N37)&gt;0),Courses!J37*SUM(Courses!M37,Courses!N37),0)</f>
        <v>0</v>
      </c>
      <c r="H31" s="1580">
        <f>IF(AND('Courses Valid'!C43=0,Courses!E37&lt;&gt;"",Courses!F37&gt;0,SUM(Courses!O37,Courses!P37)&gt;0),Courses!F37*SUM(Courses!O37,Courses!P37),0)</f>
        <v>0</v>
      </c>
      <c r="I31" s="41">
        <f>IF(AND('Courses Valid'!C43=0,Courses!G37&lt;&gt;"",Courses!H37&gt;0,SUM(Courses!O37,Courses!P37)&gt;0),Courses!H37*SUM(Courses!O37,Courses!P37),0)</f>
        <v>0</v>
      </c>
      <c r="J31" s="105">
        <f>IF(AND('Courses Valid'!C43=0,Courses!I37&lt;&gt;"",Courses!J37&gt;0,SUM(Courses!O37,Courses!P37)&gt;0),Courses!J37*SUM(Courses!O37,Courses!P37),0)</f>
        <v>0</v>
      </c>
      <c r="K31" s="1580">
        <f>IF(AND('Courses Valid'!C43=0,Courses!E37&lt;&gt;"",Courses!F37&gt;0,Courses!Q37&gt;0),Courses!F37*Courses!Q37,0)</f>
        <v>0</v>
      </c>
      <c r="L31" s="41">
        <f>IF(AND('Courses Valid'!C43=0,Courses!G37&lt;&gt;"",Courses!H37&gt;0,Courses!Q37&gt;0),Courses!H37*Courses!Q37,0)</f>
        <v>0</v>
      </c>
      <c r="M31" s="105">
        <f>IF(AND('Courses Valid'!C43=0,Courses!I37&lt;&gt;"",Courses!J37&gt;0,Courses!Q37&gt;0),Courses!J37*Courses!Q37,0)</f>
        <v>0</v>
      </c>
      <c r="N31" s="41">
        <f>IF(AND('Courses Valid'!C43=0,Courses!E37&lt;&gt;"",Courses!F37&gt;0,SUM(Courses!W37,Courses!X37)&gt;0),Courses!F37*SUM(Courses!W37,Courses!X37),0)</f>
        <v>0</v>
      </c>
      <c r="O31" s="41">
        <f>IF(AND('Courses Valid'!C43=0,Courses!G37&lt;&gt;"",Courses!H37&gt;0,SUM(Courses!W37,Courses!X37)&gt;0),Courses!H37*SUM(Courses!W37,Courses!X37),0)</f>
        <v>0</v>
      </c>
      <c r="P31" s="41">
        <f>IF(AND('Courses Valid'!C43=0,Courses!I37&lt;&gt;"",Courses!J37&gt;0,SUM(Courses!W37,Courses!X37)&gt;0),Courses!J37*SUM(Courses!W37,Courses!X37),0)</f>
        <v>0</v>
      </c>
      <c r="Q31" s="1580">
        <f>IF(AND('Courses Valid'!C43=0,Courses!E37&lt;&gt;"",Courses!F37&gt;0,SUM(Courses!Y37,Courses!Z37)&gt;0),Courses!F37*SUM(Courses!Y37,Courses!Z37),0)</f>
        <v>0</v>
      </c>
      <c r="R31" s="41">
        <f>IF(AND('Courses Valid'!C43=0,Courses!G37&lt;&gt;"",Courses!H37&gt;0,SUM(Courses!Y37,Courses!Z37)&gt;0),Courses!H37*SUM(Courses!Y37,Courses!Z37),0)</f>
        <v>0</v>
      </c>
      <c r="S31" s="105">
        <f>IF(AND('Courses Valid'!C43=0,Courses!I37&lt;&gt;"",Courses!J37&gt;0,SUM(Courses!Y37,Courses!Z37)&gt;0),Courses!J37*SUM(Courses!Y37,Courses!Z37),0)</f>
        <v>0</v>
      </c>
      <c r="T31" s="41">
        <f>IF(AND('Courses Valid'!C43=0,Courses!E37&lt;&gt;"",Courses!F37&gt;0,Courses!AA37&gt;0),Courses!F37*Courses!AA37,0)</f>
        <v>0</v>
      </c>
      <c r="U31" s="41">
        <f>IF(AND('Courses Valid'!C43=0,Courses!G37&lt;&gt;"",Courses!H37&gt;0,Courses!AA37&gt;0),Courses!H37*Courses!AA37,0)</f>
        <v>0</v>
      </c>
      <c r="V31" s="106">
        <f>IF(AND('Courses Valid'!C43=0,Courses!I37&lt;&gt;"",Courses!J37&gt;0,Courses!AA37&gt;0),Courses!J37*Courses!AA37,0)</f>
        <v>0</v>
      </c>
      <c r="W31" s="524"/>
      <c r="X31" s="235"/>
      <c r="Z31" s="13" t="s">
        <v>216</v>
      </c>
      <c r="AA31" s="642" t="s">
        <v>237</v>
      </c>
      <c r="AB31" s="45">
        <f t="shared" si="0"/>
        <v>0</v>
      </c>
      <c r="AC31" s="51">
        <f t="shared" si="1"/>
        <v>0</v>
      </c>
      <c r="AD31" s="46">
        <f t="shared" si="2"/>
        <v>0</v>
      </c>
      <c r="AG31" s="183"/>
      <c r="AH31" s="299">
        <f t="shared" si="3"/>
        <v>0</v>
      </c>
      <c r="AI31" s="51">
        <f t="shared" si="4"/>
        <v>0</v>
      </c>
      <c r="AJ31" s="98">
        <f t="shared" si="5"/>
        <v>0</v>
      </c>
    </row>
    <row r="32" spans="2:45" x14ac:dyDescent="0.35">
      <c r="B32" s="70" t="str">
        <f>IF(Courses!B38&lt;&gt;"",CONCATENATE(Courses!E38,"/",Courses!L38,"/",Courses!K38),"")</f>
        <v/>
      </c>
      <c r="C32" s="1579" t="str">
        <f>IF(AND(Courses!B38&lt;&gt;"",Courses!G38&lt;&gt;""),CONCATENATE(Courses!G38,"/",Courses!L38,"/",Courses!K38),"")</f>
        <v/>
      </c>
      <c r="D32" s="71" t="str">
        <f>IF(AND(Courses!B38&lt;&gt;"",Courses!I38&lt;&gt;""),CONCATENATE(Courses!I38,"/",Courses!L38,"/",Courses!K38),"")</f>
        <v/>
      </c>
      <c r="E32" s="1580">
        <f>IF(AND('Courses Valid'!C44=0,Courses!E38&lt;&gt;"",Courses!F38&gt;0,SUM(Courses!M38,Courses!N38)&gt;0),Courses!F38*SUM(Courses!M38,Courses!N38),0)</f>
        <v>0</v>
      </c>
      <c r="F32" s="41">
        <f>IF(AND('Courses Valid'!C44=0,Courses!G38&lt;&gt;"",Courses!H38&gt;0,SUM(Courses!M38,Courses!N38)&gt;0),Courses!H38*SUM(Courses!M38,Courses!N38),0)</f>
        <v>0</v>
      </c>
      <c r="G32" s="105">
        <f>IF(AND('Courses Valid'!C44=0,Courses!I38&lt;&gt;"",Courses!J38&gt;0,SUM(Courses!M38,Courses!N38)&gt;0),Courses!J38*SUM(Courses!M38,Courses!N38),0)</f>
        <v>0</v>
      </c>
      <c r="H32" s="1580">
        <f>IF(AND('Courses Valid'!C44=0,Courses!E38&lt;&gt;"",Courses!F38&gt;0,SUM(Courses!O38,Courses!P38)&gt;0),Courses!F38*SUM(Courses!O38,Courses!P38),0)</f>
        <v>0</v>
      </c>
      <c r="I32" s="41">
        <f>IF(AND('Courses Valid'!C44=0,Courses!G38&lt;&gt;"",Courses!H38&gt;0,SUM(Courses!O38,Courses!P38)&gt;0),Courses!H38*SUM(Courses!O38,Courses!P38),0)</f>
        <v>0</v>
      </c>
      <c r="J32" s="105">
        <f>IF(AND('Courses Valid'!C44=0,Courses!I38&lt;&gt;"",Courses!J38&gt;0,SUM(Courses!O38,Courses!P38)&gt;0),Courses!J38*SUM(Courses!O38,Courses!P38),0)</f>
        <v>0</v>
      </c>
      <c r="K32" s="1580">
        <f>IF(AND('Courses Valid'!C44=0,Courses!E38&lt;&gt;"",Courses!F38&gt;0,Courses!Q38&gt;0),Courses!F38*Courses!Q38,0)</f>
        <v>0</v>
      </c>
      <c r="L32" s="41">
        <f>IF(AND('Courses Valid'!C44=0,Courses!G38&lt;&gt;"",Courses!H38&gt;0,Courses!Q38&gt;0),Courses!H38*Courses!Q38,0)</f>
        <v>0</v>
      </c>
      <c r="M32" s="105">
        <f>IF(AND('Courses Valid'!C44=0,Courses!I38&lt;&gt;"",Courses!J38&gt;0,Courses!Q38&gt;0),Courses!J38*Courses!Q38,0)</f>
        <v>0</v>
      </c>
      <c r="N32" s="41">
        <f>IF(AND('Courses Valid'!C44=0,Courses!E38&lt;&gt;"",Courses!F38&gt;0,SUM(Courses!W38,Courses!X38)&gt;0),Courses!F38*SUM(Courses!W38,Courses!X38),0)</f>
        <v>0</v>
      </c>
      <c r="O32" s="41">
        <f>IF(AND('Courses Valid'!C44=0,Courses!G38&lt;&gt;"",Courses!H38&gt;0,SUM(Courses!W38,Courses!X38)&gt;0),Courses!H38*SUM(Courses!W38,Courses!X38),0)</f>
        <v>0</v>
      </c>
      <c r="P32" s="41">
        <f>IF(AND('Courses Valid'!C44=0,Courses!I38&lt;&gt;"",Courses!J38&gt;0,SUM(Courses!W38,Courses!X38)&gt;0),Courses!J38*SUM(Courses!W38,Courses!X38),0)</f>
        <v>0</v>
      </c>
      <c r="Q32" s="1580">
        <f>IF(AND('Courses Valid'!C44=0,Courses!E38&lt;&gt;"",Courses!F38&gt;0,SUM(Courses!Y38,Courses!Z38)&gt;0),Courses!F38*SUM(Courses!Y38,Courses!Z38),0)</f>
        <v>0</v>
      </c>
      <c r="R32" s="41">
        <f>IF(AND('Courses Valid'!C44=0,Courses!G38&lt;&gt;"",Courses!H38&gt;0,SUM(Courses!Y38,Courses!Z38)&gt;0),Courses!H38*SUM(Courses!Y38,Courses!Z38),0)</f>
        <v>0</v>
      </c>
      <c r="S32" s="105">
        <f>IF(AND('Courses Valid'!C44=0,Courses!I38&lt;&gt;"",Courses!J38&gt;0,SUM(Courses!Y38,Courses!Z38)&gt;0),Courses!J38*SUM(Courses!Y38,Courses!Z38),0)</f>
        <v>0</v>
      </c>
      <c r="T32" s="41">
        <f>IF(AND('Courses Valid'!C44=0,Courses!E38&lt;&gt;"",Courses!F38&gt;0,Courses!AA38&gt;0),Courses!F38*Courses!AA38,0)</f>
        <v>0</v>
      </c>
      <c r="U32" s="41">
        <f>IF(AND('Courses Valid'!C44=0,Courses!G38&lt;&gt;"",Courses!H38&gt;0,Courses!AA38&gt;0),Courses!H38*Courses!AA38,0)</f>
        <v>0</v>
      </c>
      <c r="V32" s="106">
        <f>IF(AND('Courses Valid'!C44=0,Courses!I38&lt;&gt;"",Courses!J38&gt;0,Courses!AA38&gt;0),Courses!J38*Courses!AA38,0)</f>
        <v>0</v>
      </c>
      <c r="W32" s="524"/>
      <c r="X32" s="1767" t="s">
        <v>238</v>
      </c>
      <c r="Y32" s="1412" t="s">
        <v>204</v>
      </c>
      <c r="Z32" s="525" t="s">
        <v>205</v>
      </c>
      <c r="AA32" s="1413" t="s">
        <v>239</v>
      </c>
      <c r="AB32" s="1768">
        <f t="shared" si="0"/>
        <v>0</v>
      </c>
      <c r="AC32" s="1678">
        <f t="shared" si="1"/>
        <v>0</v>
      </c>
      <c r="AD32" s="1679">
        <f t="shared" si="2"/>
        <v>0</v>
      </c>
      <c r="AE32" s="87"/>
      <c r="AF32" s="87"/>
      <c r="AG32" s="88"/>
      <c r="AH32" s="1773">
        <f t="shared" si="3"/>
        <v>0</v>
      </c>
      <c r="AI32" s="1678">
        <f t="shared" si="4"/>
        <v>0</v>
      </c>
      <c r="AJ32" s="1680">
        <f t="shared" si="5"/>
        <v>0</v>
      </c>
    </row>
    <row r="33" spans="2:36" x14ac:dyDescent="0.35">
      <c r="B33" s="70" t="str">
        <f>IF(Courses!B39&lt;&gt;"",CONCATENATE(Courses!E39,"/",Courses!L39,"/",Courses!K39),"")</f>
        <v/>
      </c>
      <c r="C33" s="1579" t="str">
        <f>IF(AND(Courses!B39&lt;&gt;"",Courses!G39&lt;&gt;""),CONCATENATE(Courses!G39,"/",Courses!L39,"/",Courses!K39),"")</f>
        <v/>
      </c>
      <c r="D33" s="71" t="str">
        <f>IF(AND(Courses!B39&lt;&gt;"",Courses!I39&lt;&gt;""),CONCATENATE(Courses!I39,"/",Courses!L39,"/",Courses!K39),"")</f>
        <v/>
      </c>
      <c r="E33" s="1580">
        <f>IF(AND('Courses Valid'!C45=0,Courses!E39&lt;&gt;"",Courses!F39&gt;0,SUM(Courses!M39,Courses!N39)&gt;0),Courses!F39*SUM(Courses!M39,Courses!N39),0)</f>
        <v>0</v>
      </c>
      <c r="F33" s="41">
        <f>IF(AND('Courses Valid'!C45=0,Courses!G39&lt;&gt;"",Courses!H39&gt;0,SUM(Courses!M39,Courses!N39)&gt;0),Courses!H39*SUM(Courses!M39,Courses!N39),0)</f>
        <v>0</v>
      </c>
      <c r="G33" s="105">
        <f>IF(AND('Courses Valid'!C45=0,Courses!I39&lt;&gt;"",Courses!J39&gt;0,SUM(Courses!M39,Courses!N39)&gt;0),Courses!J39*SUM(Courses!M39,Courses!N39),0)</f>
        <v>0</v>
      </c>
      <c r="H33" s="1580">
        <f>IF(AND('Courses Valid'!C45=0,Courses!E39&lt;&gt;"",Courses!F39&gt;0,SUM(Courses!O39,Courses!P39)&gt;0),Courses!F39*SUM(Courses!O39,Courses!P39),0)</f>
        <v>0</v>
      </c>
      <c r="I33" s="41">
        <f>IF(AND('Courses Valid'!C45=0,Courses!G39&lt;&gt;"",Courses!H39&gt;0,SUM(Courses!O39,Courses!P39)&gt;0),Courses!H39*SUM(Courses!O39,Courses!P39),0)</f>
        <v>0</v>
      </c>
      <c r="J33" s="105">
        <f>IF(AND('Courses Valid'!C45=0,Courses!I39&lt;&gt;"",Courses!J39&gt;0,SUM(Courses!O39,Courses!P39)&gt;0),Courses!J39*SUM(Courses!O39,Courses!P39),0)</f>
        <v>0</v>
      </c>
      <c r="K33" s="1580">
        <f>IF(AND('Courses Valid'!C45=0,Courses!E39&lt;&gt;"",Courses!F39&gt;0,Courses!Q39&gt;0),Courses!F39*Courses!Q39,0)</f>
        <v>0</v>
      </c>
      <c r="L33" s="41">
        <f>IF(AND('Courses Valid'!C45=0,Courses!G39&lt;&gt;"",Courses!H39&gt;0,Courses!Q39&gt;0),Courses!H39*Courses!Q39,0)</f>
        <v>0</v>
      </c>
      <c r="M33" s="105">
        <f>IF(AND('Courses Valid'!C45=0,Courses!I39&lt;&gt;"",Courses!J39&gt;0,Courses!Q39&gt;0),Courses!J39*Courses!Q39,0)</f>
        <v>0</v>
      </c>
      <c r="N33" s="41">
        <f>IF(AND('Courses Valid'!C45=0,Courses!E39&lt;&gt;"",Courses!F39&gt;0,SUM(Courses!W39,Courses!X39)&gt;0),Courses!F39*SUM(Courses!W39,Courses!X39),0)</f>
        <v>0</v>
      </c>
      <c r="O33" s="41">
        <f>IF(AND('Courses Valid'!C45=0,Courses!G39&lt;&gt;"",Courses!H39&gt;0,SUM(Courses!W39,Courses!X39)&gt;0),Courses!H39*SUM(Courses!W39,Courses!X39),0)</f>
        <v>0</v>
      </c>
      <c r="P33" s="41">
        <f>IF(AND('Courses Valid'!C45=0,Courses!I39&lt;&gt;"",Courses!J39&gt;0,SUM(Courses!W39,Courses!X39)&gt;0),Courses!J39*SUM(Courses!W39,Courses!X39),0)</f>
        <v>0</v>
      </c>
      <c r="Q33" s="1580">
        <f>IF(AND('Courses Valid'!C45=0,Courses!E39&lt;&gt;"",Courses!F39&gt;0,SUM(Courses!Y39,Courses!Z39)&gt;0),Courses!F39*SUM(Courses!Y39,Courses!Z39),0)</f>
        <v>0</v>
      </c>
      <c r="R33" s="41">
        <f>IF(AND('Courses Valid'!C45=0,Courses!G39&lt;&gt;"",Courses!H39&gt;0,SUM(Courses!Y39,Courses!Z39)&gt;0),Courses!H39*SUM(Courses!Y39,Courses!Z39),0)</f>
        <v>0</v>
      </c>
      <c r="S33" s="105">
        <f>IF(AND('Courses Valid'!C45=0,Courses!I39&lt;&gt;"",Courses!J39&gt;0,SUM(Courses!Y39,Courses!Z39)&gt;0),Courses!J39*SUM(Courses!Y39,Courses!Z39),0)</f>
        <v>0</v>
      </c>
      <c r="T33" s="41">
        <f>IF(AND('Courses Valid'!C45=0,Courses!E39&lt;&gt;"",Courses!F39&gt;0,Courses!AA39&gt;0),Courses!F39*Courses!AA39,0)</f>
        <v>0</v>
      </c>
      <c r="U33" s="41">
        <f>IF(AND('Courses Valid'!C45=0,Courses!G39&lt;&gt;"",Courses!H39&gt;0,Courses!AA39&gt;0),Courses!H39*Courses!AA39,0)</f>
        <v>0</v>
      </c>
      <c r="V33" s="106">
        <f>IF(AND('Courses Valid'!C45=0,Courses!I39&lt;&gt;"",Courses!J39&gt;0,Courses!AA39&gt;0),Courses!J39*Courses!AA39,0)</f>
        <v>0</v>
      </c>
      <c r="W33" s="524"/>
      <c r="X33" s="96"/>
      <c r="Y33" s="7"/>
      <c r="Z33" s="13" t="s">
        <v>208</v>
      </c>
      <c r="AA33" s="642" t="s">
        <v>240</v>
      </c>
      <c r="AB33" s="643">
        <f t="shared" si="0"/>
        <v>0</v>
      </c>
      <c r="AC33" s="635">
        <f t="shared" si="1"/>
        <v>0</v>
      </c>
      <c r="AD33" s="632">
        <f t="shared" si="2"/>
        <v>0</v>
      </c>
      <c r="AE33" s="87"/>
      <c r="AF33" s="87"/>
      <c r="AG33" s="88"/>
      <c r="AH33" s="633">
        <f t="shared" si="3"/>
        <v>0</v>
      </c>
      <c r="AI33" s="635">
        <f t="shared" si="4"/>
        <v>0</v>
      </c>
      <c r="AJ33" s="634">
        <f t="shared" si="5"/>
        <v>0</v>
      </c>
    </row>
    <row r="34" spans="2:36" x14ac:dyDescent="0.35">
      <c r="B34" s="70" t="str">
        <f>IF(Courses!B40&lt;&gt;"",CONCATENATE(Courses!E40,"/",Courses!L40,"/",Courses!K40),"")</f>
        <v/>
      </c>
      <c r="C34" s="1579" t="str">
        <f>IF(AND(Courses!B40&lt;&gt;"",Courses!G40&lt;&gt;""),CONCATENATE(Courses!G40,"/",Courses!L40,"/",Courses!K40),"")</f>
        <v/>
      </c>
      <c r="D34" s="71" t="str">
        <f>IF(AND(Courses!B40&lt;&gt;"",Courses!I40&lt;&gt;""),CONCATENATE(Courses!I40,"/",Courses!L40,"/",Courses!K40),"")</f>
        <v/>
      </c>
      <c r="E34" s="1580">
        <f>IF(AND('Courses Valid'!C46=0,Courses!E40&lt;&gt;"",Courses!F40&gt;0,SUM(Courses!M40,Courses!N40)&gt;0),Courses!F40*SUM(Courses!M40,Courses!N40),0)</f>
        <v>0</v>
      </c>
      <c r="F34" s="41">
        <f>IF(AND('Courses Valid'!C46=0,Courses!G40&lt;&gt;"",Courses!H40&gt;0,SUM(Courses!M40,Courses!N40)&gt;0),Courses!H40*SUM(Courses!M40,Courses!N40),0)</f>
        <v>0</v>
      </c>
      <c r="G34" s="105">
        <f>IF(AND('Courses Valid'!C46=0,Courses!I40&lt;&gt;"",Courses!J40&gt;0,SUM(Courses!M40,Courses!N40)&gt;0),Courses!J40*SUM(Courses!M40,Courses!N40),0)</f>
        <v>0</v>
      </c>
      <c r="H34" s="1580">
        <f>IF(AND('Courses Valid'!C46=0,Courses!E40&lt;&gt;"",Courses!F40&gt;0,SUM(Courses!O40,Courses!P40)&gt;0),Courses!F40*SUM(Courses!O40,Courses!P40),0)</f>
        <v>0</v>
      </c>
      <c r="I34" s="41">
        <f>IF(AND('Courses Valid'!C46=0,Courses!G40&lt;&gt;"",Courses!H40&gt;0,SUM(Courses!O40,Courses!P40)&gt;0),Courses!H40*SUM(Courses!O40,Courses!P40),0)</f>
        <v>0</v>
      </c>
      <c r="J34" s="105">
        <f>IF(AND('Courses Valid'!C46=0,Courses!I40&lt;&gt;"",Courses!J40&gt;0,SUM(Courses!O40,Courses!P40)&gt;0),Courses!J40*SUM(Courses!O40,Courses!P40),0)</f>
        <v>0</v>
      </c>
      <c r="K34" s="1580">
        <f>IF(AND('Courses Valid'!C46=0,Courses!E40&lt;&gt;"",Courses!F40&gt;0,Courses!Q40&gt;0),Courses!F40*Courses!Q40,0)</f>
        <v>0</v>
      </c>
      <c r="L34" s="41">
        <f>IF(AND('Courses Valid'!C46=0,Courses!G40&lt;&gt;"",Courses!H40&gt;0,Courses!Q40&gt;0),Courses!H40*Courses!Q40,0)</f>
        <v>0</v>
      </c>
      <c r="M34" s="105">
        <f>IF(AND('Courses Valid'!C46=0,Courses!I40&lt;&gt;"",Courses!J40&gt;0,Courses!Q40&gt;0),Courses!J40*Courses!Q40,0)</f>
        <v>0</v>
      </c>
      <c r="N34" s="41">
        <f>IF(AND('Courses Valid'!C46=0,Courses!E40&lt;&gt;"",Courses!F40&gt;0,SUM(Courses!W40,Courses!X40)&gt;0),Courses!F40*SUM(Courses!W40,Courses!X40),0)</f>
        <v>0</v>
      </c>
      <c r="O34" s="41">
        <f>IF(AND('Courses Valid'!C46=0,Courses!G40&lt;&gt;"",Courses!H40&gt;0,SUM(Courses!W40,Courses!X40)&gt;0),Courses!H40*SUM(Courses!W40,Courses!X40),0)</f>
        <v>0</v>
      </c>
      <c r="P34" s="41">
        <f>IF(AND('Courses Valid'!C46=0,Courses!I40&lt;&gt;"",Courses!J40&gt;0,SUM(Courses!W40,Courses!X40)&gt;0),Courses!J40*SUM(Courses!W40,Courses!X40),0)</f>
        <v>0</v>
      </c>
      <c r="Q34" s="1580">
        <f>IF(AND('Courses Valid'!C46=0,Courses!E40&lt;&gt;"",Courses!F40&gt;0,SUM(Courses!Y40,Courses!Z40)&gt;0),Courses!F40*SUM(Courses!Y40,Courses!Z40),0)</f>
        <v>0</v>
      </c>
      <c r="R34" s="41">
        <f>IF(AND('Courses Valid'!C46=0,Courses!G40&lt;&gt;"",Courses!H40&gt;0,SUM(Courses!Y40,Courses!Z40)&gt;0),Courses!H40*SUM(Courses!Y40,Courses!Z40),0)</f>
        <v>0</v>
      </c>
      <c r="S34" s="105">
        <f>IF(AND('Courses Valid'!C46=0,Courses!I40&lt;&gt;"",Courses!J40&gt;0,SUM(Courses!Y40,Courses!Z40)&gt;0),Courses!J40*SUM(Courses!Y40,Courses!Z40),0)</f>
        <v>0</v>
      </c>
      <c r="T34" s="41">
        <f>IF(AND('Courses Valid'!C46=0,Courses!E40&lt;&gt;"",Courses!F40&gt;0,Courses!AA40&gt;0),Courses!F40*Courses!AA40,0)</f>
        <v>0</v>
      </c>
      <c r="U34" s="41">
        <f>IF(AND('Courses Valid'!C46=0,Courses!G40&lt;&gt;"",Courses!H40&gt;0,Courses!AA40&gt;0),Courses!H40*Courses!AA40,0)</f>
        <v>0</v>
      </c>
      <c r="V34" s="106">
        <f>IF(AND('Courses Valid'!C46=0,Courses!I40&lt;&gt;"",Courses!J40&gt;0,Courses!AA40&gt;0),Courses!J40*Courses!AA40,0)</f>
        <v>0</v>
      </c>
      <c r="W34" s="524"/>
      <c r="X34" s="96"/>
      <c r="Y34" s="7"/>
      <c r="Z34" s="13" t="s">
        <v>210</v>
      </c>
      <c r="AA34" s="642" t="s">
        <v>241</v>
      </c>
      <c r="AB34" s="47">
        <f t="shared" si="0"/>
        <v>0</v>
      </c>
      <c r="AC34" s="48">
        <f t="shared" si="1"/>
        <v>0</v>
      </c>
      <c r="AD34" s="49">
        <f t="shared" si="2"/>
        <v>0</v>
      </c>
      <c r="AE34" s="87"/>
      <c r="AF34" s="87"/>
      <c r="AG34" s="88"/>
      <c r="AH34" s="298">
        <f t="shared" si="3"/>
        <v>0</v>
      </c>
      <c r="AI34" s="48">
        <f t="shared" si="4"/>
        <v>0</v>
      </c>
      <c r="AJ34" s="97">
        <f t="shared" si="5"/>
        <v>0</v>
      </c>
    </row>
    <row r="35" spans="2:36" x14ac:dyDescent="0.35">
      <c r="B35" s="70" t="str">
        <f>IF(Courses!B41&lt;&gt;"",CONCATENATE(Courses!E41,"/",Courses!L41,"/",Courses!K41),"")</f>
        <v/>
      </c>
      <c r="C35" s="1579" t="str">
        <f>IF(AND(Courses!B41&lt;&gt;"",Courses!G41&lt;&gt;""),CONCATENATE(Courses!G41,"/",Courses!L41,"/",Courses!K41),"")</f>
        <v/>
      </c>
      <c r="D35" s="71" t="str">
        <f>IF(AND(Courses!B41&lt;&gt;"",Courses!I41&lt;&gt;""),CONCATENATE(Courses!I41,"/",Courses!L41,"/",Courses!K41),"")</f>
        <v/>
      </c>
      <c r="E35" s="1580">
        <f>IF(AND('Courses Valid'!C47=0,Courses!E41&lt;&gt;"",Courses!F41&gt;0,SUM(Courses!M41,Courses!N41)&gt;0),Courses!F41*SUM(Courses!M41,Courses!N41),0)</f>
        <v>0</v>
      </c>
      <c r="F35" s="41">
        <f>IF(AND('Courses Valid'!C47=0,Courses!G41&lt;&gt;"",Courses!H41&gt;0,SUM(Courses!M41,Courses!N41)&gt;0),Courses!H41*SUM(Courses!M41,Courses!N41),0)</f>
        <v>0</v>
      </c>
      <c r="G35" s="105">
        <f>IF(AND('Courses Valid'!C47=0,Courses!I41&lt;&gt;"",Courses!J41&gt;0,SUM(Courses!M41,Courses!N41)&gt;0),Courses!J41*SUM(Courses!M41,Courses!N41),0)</f>
        <v>0</v>
      </c>
      <c r="H35" s="1580">
        <f>IF(AND('Courses Valid'!C47=0,Courses!E41&lt;&gt;"",Courses!F41&gt;0,SUM(Courses!O41,Courses!P41)&gt;0),Courses!F41*SUM(Courses!O41,Courses!P41),0)</f>
        <v>0</v>
      </c>
      <c r="I35" s="41">
        <f>IF(AND('Courses Valid'!C47=0,Courses!G41&lt;&gt;"",Courses!H41&gt;0,SUM(Courses!O41,Courses!P41)&gt;0),Courses!H41*SUM(Courses!O41,Courses!P41),0)</f>
        <v>0</v>
      </c>
      <c r="J35" s="105">
        <f>IF(AND('Courses Valid'!C47=0,Courses!I41&lt;&gt;"",Courses!J41&gt;0,SUM(Courses!O41,Courses!P41)&gt;0),Courses!J41*SUM(Courses!O41,Courses!P41),0)</f>
        <v>0</v>
      </c>
      <c r="K35" s="1580">
        <f>IF(AND('Courses Valid'!C47=0,Courses!E41&lt;&gt;"",Courses!F41&gt;0,Courses!Q41&gt;0),Courses!F41*Courses!Q41,0)</f>
        <v>0</v>
      </c>
      <c r="L35" s="41">
        <f>IF(AND('Courses Valid'!C47=0,Courses!G41&lt;&gt;"",Courses!H41&gt;0,Courses!Q41&gt;0),Courses!H41*Courses!Q41,0)</f>
        <v>0</v>
      </c>
      <c r="M35" s="105">
        <f>IF(AND('Courses Valid'!C47=0,Courses!I41&lt;&gt;"",Courses!J41&gt;0,Courses!Q41&gt;0),Courses!J41*Courses!Q41,0)</f>
        <v>0</v>
      </c>
      <c r="N35" s="41">
        <f>IF(AND('Courses Valid'!C47=0,Courses!E41&lt;&gt;"",Courses!F41&gt;0,SUM(Courses!W41,Courses!X41)&gt;0),Courses!F41*SUM(Courses!W41,Courses!X41),0)</f>
        <v>0</v>
      </c>
      <c r="O35" s="41">
        <f>IF(AND('Courses Valid'!C47=0,Courses!G41&lt;&gt;"",Courses!H41&gt;0,SUM(Courses!W41,Courses!X41)&gt;0),Courses!H41*SUM(Courses!W41,Courses!X41),0)</f>
        <v>0</v>
      </c>
      <c r="P35" s="41">
        <f>IF(AND('Courses Valid'!C47=0,Courses!I41&lt;&gt;"",Courses!J41&gt;0,SUM(Courses!W41,Courses!X41)&gt;0),Courses!J41*SUM(Courses!W41,Courses!X41),0)</f>
        <v>0</v>
      </c>
      <c r="Q35" s="1580">
        <f>IF(AND('Courses Valid'!C47=0,Courses!E41&lt;&gt;"",Courses!F41&gt;0,SUM(Courses!Y41,Courses!Z41)&gt;0),Courses!F41*SUM(Courses!Y41,Courses!Z41),0)</f>
        <v>0</v>
      </c>
      <c r="R35" s="41">
        <f>IF(AND('Courses Valid'!C47=0,Courses!G41&lt;&gt;"",Courses!H41&gt;0,SUM(Courses!Y41,Courses!Z41)&gt;0),Courses!H41*SUM(Courses!Y41,Courses!Z41),0)</f>
        <v>0</v>
      </c>
      <c r="S35" s="105">
        <f>IF(AND('Courses Valid'!C47=0,Courses!I41&lt;&gt;"",Courses!J41&gt;0,SUM(Courses!Y41,Courses!Z41)&gt;0),Courses!J41*SUM(Courses!Y41,Courses!Z41),0)</f>
        <v>0</v>
      </c>
      <c r="T35" s="41">
        <f>IF(AND('Courses Valid'!C47=0,Courses!E41&lt;&gt;"",Courses!F41&gt;0,Courses!AA41&gt;0),Courses!F41*Courses!AA41,0)</f>
        <v>0</v>
      </c>
      <c r="U35" s="41">
        <f>IF(AND('Courses Valid'!C47=0,Courses!G41&lt;&gt;"",Courses!H41&gt;0,Courses!AA41&gt;0),Courses!H41*Courses!AA41,0)</f>
        <v>0</v>
      </c>
      <c r="V35" s="106">
        <f>IF(AND('Courses Valid'!C47=0,Courses!I41&lt;&gt;"",Courses!J41&gt;0,Courses!AA41&gt;0),Courses!J41*Courses!AA41,0)</f>
        <v>0</v>
      </c>
      <c r="W35" s="524"/>
      <c r="X35" s="96"/>
      <c r="Y35" s="7"/>
      <c r="Z35" s="13" t="s">
        <v>212</v>
      </c>
      <c r="AA35" s="642" t="s">
        <v>242</v>
      </c>
      <c r="AB35" s="45">
        <f t="shared" si="0"/>
        <v>0</v>
      </c>
      <c r="AC35" s="51">
        <f t="shared" si="1"/>
        <v>0</v>
      </c>
      <c r="AD35" s="46">
        <f t="shared" si="2"/>
        <v>0</v>
      </c>
      <c r="AE35" s="87"/>
      <c r="AF35" s="87"/>
      <c r="AG35" s="88"/>
      <c r="AH35" s="299">
        <f t="shared" si="3"/>
        <v>0</v>
      </c>
      <c r="AI35" s="51">
        <f t="shared" si="4"/>
        <v>0</v>
      </c>
      <c r="AJ35" s="98">
        <f t="shared" si="5"/>
        <v>0</v>
      </c>
    </row>
    <row r="36" spans="2:36" x14ac:dyDescent="0.35">
      <c r="B36" s="70" t="str">
        <f>IF(Courses!B42&lt;&gt;"",CONCATENATE(Courses!E42,"/",Courses!L42,"/",Courses!K42),"")</f>
        <v/>
      </c>
      <c r="C36" s="1579" t="str">
        <f>IF(AND(Courses!B42&lt;&gt;"",Courses!G42&lt;&gt;""),CONCATENATE(Courses!G42,"/",Courses!L42,"/",Courses!K42),"")</f>
        <v/>
      </c>
      <c r="D36" s="71" t="str">
        <f>IF(AND(Courses!B42&lt;&gt;"",Courses!I42&lt;&gt;""),CONCATENATE(Courses!I42,"/",Courses!L42,"/",Courses!K42),"")</f>
        <v/>
      </c>
      <c r="E36" s="1580">
        <f>IF(AND('Courses Valid'!C48=0,Courses!E42&lt;&gt;"",Courses!F42&gt;0,SUM(Courses!M42,Courses!N42)&gt;0),Courses!F42*SUM(Courses!M42,Courses!N42),0)</f>
        <v>0</v>
      </c>
      <c r="F36" s="41">
        <f>IF(AND('Courses Valid'!C48=0,Courses!G42&lt;&gt;"",Courses!H42&gt;0,SUM(Courses!M42,Courses!N42)&gt;0),Courses!H42*SUM(Courses!M42,Courses!N42),0)</f>
        <v>0</v>
      </c>
      <c r="G36" s="105">
        <f>IF(AND('Courses Valid'!C48=0,Courses!I42&lt;&gt;"",Courses!J42&gt;0,SUM(Courses!M42,Courses!N42)&gt;0),Courses!J42*SUM(Courses!M42,Courses!N42),0)</f>
        <v>0</v>
      </c>
      <c r="H36" s="1580">
        <f>IF(AND('Courses Valid'!C48=0,Courses!E42&lt;&gt;"",Courses!F42&gt;0,SUM(Courses!O42,Courses!P42)&gt;0),Courses!F42*SUM(Courses!O42,Courses!P42),0)</f>
        <v>0</v>
      </c>
      <c r="I36" s="41">
        <f>IF(AND('Courses Valid'!C48=0,Courses!G42&lt;&gt;"",Courses!H42&gt;0,SUM(Courses!O42,Courses!P42)&gt;0),Courses!H42*SUM(Courses!O42,Courses!P42),0)</f>
        <v>0</v>
      </c>
      <c r="J36" s="105">
        <f>IF(AND('Courses Valid'!C48=0,Courses!I42&lt;&gt;"",Courses!J42&gt;0,SUM(Courses!O42,Courses!P42)&gt;0),Courses!J42*SUM(Courses!O42,Courses!P42),0)</f>
        <v>0</v>
      </c>
      <c r="K36" s="1580">
        <f>IF(AND('Courses Valid'!C48=0,Courses!E42&lt;&gt;"",Courses!F42&gt;0,Courses!Q42&gt;0),Courses!F42*Courses!Q42,0)</f>
        <v>0</v>
      </c>
      <c r="L36" s="41">
        <f>IF(AND('Courses Valid'!C48=0,Courses!G42&lt;&gt;"",Courses!H42&gt;0,Courses!Q42&gt;0),Courses!H42*Courses!Q42,0)</f>
        <v>0</v>
      </c>
      <c r="M36" s="105">
        <f>IF(AND('Courses Valid'!C48=0,Courses!I42&lt;&gt;"",Courses!J42&gt;0,Courses!Q42&gt;0),Courses!J42*Courses!Q42,0)</f>
        <v>0</v>
      </c>
      <c r="N36" s="41">
        <f>IF(AND('Courses Valid'!C48=0,Courses!E42&lt;&gt;"",Courses!F42&gt;0,SUM(Courses!W42,Courses!X42)&gt;0),Courses!F42*SUM(Courses!W42,Courses!X42),0)</f>
        <v>0</v>
      </c>
      <c r="O36" s="41">
        <f>IF(AND('Courses Valid'!C48=0,Courses!G42&lt;&gt;"",Courses!H42&gt;0,SUM(Courses!W42,Courses!X42)&gt;0),Courses!H42*SUM(Courses!W42,Courses!X42),0)</f>
        <v>0</v>
      </c>
      <c r="P36" s="41">
        <f>IF(AND('Courses Valid'!C48=0,Courses!I42&lt;&gt;"",Courses!J42&gt;0,SUM(Courses!W42,Courses!X42)&gt;0),Courses!J42*SUM(Courses!W42,Courses!X42),0)</f>
        <v>0</v>
      </c>
      <c r="Q36" s="1580">
        <f>IF(AND('Courses Valid'!C48=0,Courses!E42&lt;&gt;"",Courses!F42&gt;0,SUM(Courses!Y42,Courses!Z42)&gt;0),Courses!F42*SUM(Courses!Y42,Courses!Z42),0)</f>
        <v>0</v>
      </c>
      <c r="R36" s="41">
        <f>IF(AND('Courses Valid'!C48=0,Courses!G42&lt;&gt;"",Courses!H42&gt;0,SUM(Courses!Y42,Courses!Z42)&gt;0),Courses!H42*SUM(Courses!Y42,Courses!Z42),0)</f>
        <v>0</v>
      </c>
      <c r="S36" s="105">
        <f>IF(AND('Courses Valid'!C48=0,Courses!I42&lt;&gt;"",Courses!J42&gt;0,SUM(Courses!Y42,Courses!Z42)&gt;0),Courses!J42*SUM(Courses!Y42,Courses!Z42),0)</f>
        <v>0</v>
      </c>
      <c r="T36" s="41">
        <f>IF(AND('Courses Valid'!C48=0,Courses!E42&lt;&gt;"",Courses!F42&gt;0,Courses!AA42&gt;0),Courses!F42*Courses!AA42,0)</f>
        <v>0</v>
      </c>
      <c r="U36" s="41">
        <f>IF(AND('Courses Valid'!C48=0,Courses!G42&lt;&gt;"",Courses!H42&gt;0,Courses!AA42&gt;0),Courses!H42*Courses!AA42,0)</f>
        <v>0</v>
      </c>
      <c r="V36" s="106">
        <f>IF(AND('Courses Valid'!C48=0,Courses!I42&lt;&gt;"",Courses!J42&gt;0,Courses!AA42&gt;0),Courses!J42*Courses!AA42,0)</f>
        <v>0</v>
      </c>
      <c r="W36" s="524"/>
      <c r="X36" s="527"/>
      <c r="Y36" s="7"/>
      <c r="Z36" s="13" t="s">
        <v>214</v>
      </c>
      <c r="AA36" s="642" t="s">
        <v>243</v>
      </c>
      <c r="AB36" s="45">
        <f t="shared" si="0"/>
        <v>0</v>
      </c>
      <c r="AC36" s="51">
        <f t="shared" si="1"/>
        <v>0</v>
      </c>
      <c r="AD36" s="46">
        <f t="shared" si="2"/>
        <v>0</v>
      </c>
      <c r="AE36" s="87"/>
      <c r="AF36" s="87"/>
      <c r="AG36" s="88"/>
      <c r="AH36" s="299">
        <f t="shared" si="3"/>
        <v>0</v>
      </c>
      <c r="AI36" s="51">
        <f t="shared" si="4"/>
        <v>0</v>
      </c>
      <c r="AJ36" s="98">
        <f t="shared" si="5"/>
        <v>0</v>
      </c>
    </row>
    <row r="37" spans="2:36" ht="13.5" customHeight="1" x14ac:dyDescent="0.35">
      <c r="B37" s="70" t="str">
        <f>IF(Courses!B43&lt;&gt;"",CONCATENATE(Courses!E43,"/",Courses!L43,"/",Courses!K43),"")</f>
        <v/>
      </c>
      <c r="C37" s="1579" t="str">
        <f>IF(AND(Courses!B43&lt;&gt;"",Courses!G43&lt;&gt;""),CONCATENATE(Courses!G43,"/",Courses!L43,"/",Courses!K43),"")</f>
        <v/>
      </c>
      <c r="D37" s="71" t="str">
        <f>IF(AND(Courses!B43&lt;&gt;"",Courses!I43&lt;&gt;""),CONCATENATE(Courses!I43,"/",Courses!L43,"/",Courses!K43),"")</f>
        <v/>
      </c>
      <c r="E37" s="1580">
        <f>IF(AND('Courses Valid'!C49=0,Courses!E43&lt;&gt;"",Courses!F43&gt;0,SUM(Courses!M43,Courses!N43)&gt;0),Courses!F43*SUM(Courses!M43,Courses!N43),0)</f>
        <v>0</v>
      </c>
      <c r="F37" s="41">
        <f>IF(AND('Courses Valid'!C49=0,Courses!G43&lt;&gt;"",Courses!H43&gt;0,SUM(Courses!M43,Courses!N43)&gt;0),Courses!H43*SUM(Courses!M43,Courses!N43),0)</f>
        <v>0</v>
      </c>
      <c r="G37" s="105">
        <f>IF(AND('Courses Valid'!C49=0,Courses!I43&lt;&gt;"",Courses!J43&gt;0,SUM(Courses!M43,Courses!N43)&gt;0),Courses!J43*SUM(Courses!M43,Courses!N43),0)</f>
        <v>0</v>
      </c>
      <c r="H37" s="1580">
        <f>IF(AND('Courses Valid'!C49=0,Courses!E43&lt;&gt;"",Courses!F43&gt;0,SUM(Courses!O43,Courses!P43)&gt;0),Courses!F43*SUM(Courses!O43,Courses!P43),0)</f>
        <v>0</v>
      </c>
      <c r="I37" s="41">
        <f>IF(AND('Courses Valid'!C49=0,Courses!G43&lt;&gt;"",Courses!H43&gt;0,SUM(Courses!O43,Courses!P43)&gt;0),Courses!H43*SUM(Courses!O43,Courses!P43),0)</f>
        <v>0</v>
      </c>
      <c r="J37" s="105">
        <f>IF(AND('Courses Valid'!C49=0,Courses!I43&lt;&gt;"",Courses!J43&gt;0,SUM(Courses!O43,Courses!P43)&gt;0),Courses!J43*SUM(Courses!O43,Courses!P43),0)</f>
        <v>0</v>
      </c>
      <c r="K37" s="1580">
        <f>IF(AND('Courses Valid'!C49=0,Courses!E43&lt;&gt;"",Courses!F43&gt;0,Courses!Q43&gt;0),Courses!F43*Courses!Q43,0)</f>
        <v>0</v>
      </c>
      <c r="L37" s="41">
        <f>IF(AND('Courses Valid'!C49=0,Courses!G43&lt;&gt;"",Courses!H43&gt;0,Courses!Q43&gt;0),Courses!H43*Courses!Q43,0)</f>
        <v>0</v>
      </c>
      <c r="M37" s="105">
        <f>IF(AND('Courses Valid'!C49=0,Courses!I43&lt;&gt;"",Courses!J43&gt;0,Courses!Q43&gt;0),Courses!J43*Courses!Q43,0)</f>
        <v>0</v>
      </c>
      <c r="N37" s="41">
        <f>IF(AND('Courses Valid'!C49=0,Courses!E43&lt;&gt;"",Courses!F43&gt;0,SUM(Courses!W43,Courses!X43)&gt;0),Courses!F43*SUM(Courses!W43,Courses!X43),0)</f>
        <v>0</v>
      </c>
      <c r="O37" s="41">
        <f>IF(AND('Courses Valid'!C49=0,Courses!G43&lt;&gt;"",Courses!H43&gt;0,SUM(Courses!W43,Courses!X43)&gt;0),Courses!H43*SUM(Courses!W43,Courses!X43),0)</f>
        <v>0</v>
      </c>
      <c r="P37" s="41">
        <f>IF(AND('Courses Valid'!C49=0,Courses!I43&lt;&gt;"",Courses!J43&gt;0,SUM(Courses!W43,Courses!X43)&gt;0),Courses!J43*SUM(Courses!W43,Courses!X43),0)</f>
        <v>0</v>
      </c>
      <c r="Q37" s="1580">
        <f>IF(AND('Courses Valid'!C49=0,Courses!E43&lt;&gt;"",Courses!F43&gt;0,SUM(Courses!Y43,Courses!Z43)&gt;0),Courses!F43*SUM(Courses!Y43,Courses!Z43),0)</f>
        <v>0</v>
      </c>
      <c r="R37" s="41">
        <f>IF(AND('Courses Valid'!C49=0,Courses!G43&lt;&gt;"",Courses!H43&gt;0,SUM(Courses!Y43,Courses!Z43)&gt;0),Courses!H43*SUM(Courses!Y43,Courses!Z43),0)</f>
        <v>0</v>
      </c>
      <c r="S37" s="105">
        <f>IF(AND('Courses Valid'!C49=0,Courses!I43&lt;&gt;"",Courses!J43&gt;0,SUM(Courses!Y43,Courses!Z43)&gt;0),Courses!J43*SUM(Courses!Y43,Courses!Z43),0)</f>
        <v>0</v>
      </c>
      <c r="T37" s="41">
        <f>IF(AND('Courses Valid'!C49=0,Courses!E43&lt;&gt;"",Courses!F43&gt;0,Courses!AA43&gt;0),Courses!F43*Courses!AA43,0)</f>
        <v>0</v>
      </c>
      <c r="U37" s="41">
        <f>IF(AND('Courses Valid'!C49=0,Courses!G43&lt;&gt;"",Courses!H43&gt;0,Courses!AA43&gt;0),Courses!H43*Courses!AA43,0)</f>
        <v>0</v>
      </c>
      <c r="V37" s="106">
        <f>IF(AND('Courses Valid'!C49=0,Courses!I43&lt;&gt;"",Courses!J43&gt;0,Courses!AA43&gt;0),Courses!J43*Courses!AA43,0)</f>
        <v>0</v>
      </c>
      <c r="W37" s="524"/>
      <c r="X37" s="235"/>
      <c r="Z37" s="13" t="s">
        <v>216</v>
      </c>
      <c r="AA37" s="642" t="s">
        <v>244</v>
      </c>
      <c r="AB37" s="45">
        <f t="shared" si="0"/>
        <v>0</v>
      </c>
      <c r="AC37" s="51">
        <f t="shared" si="1"/>
        <v>0</v>
      </c>
      <c r="AD37" s="46">
        <f t="shared" si="2"/>
        <v>0</v>
      </c>
      <c r="AG37" s="183"/>
      <c r="AH37" s="299">
        <f t="shared" si="3"/>
        <v>0</v>
      </c>
      <c r="AI37" s="51">
        <f t="shared" si="4"/>
        <v>0</v>
      </c>
      <c r="AJ37" s="98">
        <f t="shared" si="5"/>
        <v>0</v>
      </c>
    </row>
    <row r="38" spans="2:36" x14ac:dyDescent="0.35">
      <c r="B38" s="70" t="str">
        <f>IF(Courses!B44&lt;&gt;"",CONCATENATE(Courses!E44,"/",Courses!L44,"/",Courses!K44),"")</f>
        <v/>
      </c>
      <c r="C38" s="1579" t="str">
        <f>IF(AND(Courses!B44&lt;&gt;"",Courses!G44&lt;&gt;""),CONCATENATE(Courses!G44,"/",Courses!L44,"/",Courses!K44),"")</f>
        <v/>
      </c>
      <c r="D38" s="71" t="str">
        <f>IF(AND(Courses!B44&lt;&gt;"",Courses!I44&lt;&gt;""),CONCATENATE(Courses!I44,"/",Courses!L44,"/",Courses!K44),"")</f>
        <v/>
      </c>
      <c r="E38" s="1580">
        <f>IF(AND('Courses Valid'!C50=0,Courses!E44&lt;&gt;"",Courses!F44&gt;0,SUM(Courses!M44,Courses!N44)&gt;0),Courses!F44*SUM(Courses!M44,Courses!N44),0)</f>
        <v>0</v>
      </c>
      <c r="F38" s="41">
        <f>IF(AND('Courses Valid'!C50=0,Courses!G44&lt;&gt;"",Courses!H44&gt;0,SUM(Courses!M44,Courses!N44)&gt;0),Courses!H44*SUM(Courses!M44,Courses!N44),0)</f>
        <v>0</v>
      </c>
      <c r="G38" s="105">
        <f>IF(AND('Courses Valid'!C50=0,Courses!I44&lt;&gt;"",Courses!J44&gt;0,SUM(Courses!M44,Courses!N44)&gt;0),Courses!J44*SUM(Courses!M44,Courses!N44),0)</f>
        <v>0</v>
      </c>
      <c r="H38" s="1580">
        <f>IF(AND('Courses Valid'!C50=0,Courses!E44&lt;&gt;"",Courses!F44&gt;0,SUM(Courses!O44,Courses!P44)&gt;0),Courses!F44*SUM(Courses!O44,Courses!P44),0)</f>
        <v>0</v>
      </c>
      <c r="I38" s="41">
        <f>IF(AND('Courses Valid'!C50=0,Courses!G44&lt;&gt;"",Courses!H44&gt;0,SUM(Courses!O44,Courses!P44)&gt;0),Courses!H44*SUM(Courses!O44,Courses!P44),0)</f>
        <v>0</v>
      </c>
      <c r="J38" s="105">
        <f>IF(AND('Courses Valid'!C50=0,Courses!I44&lt;&gt;"",Courses!J44&gt;0,SUM(Courses!O44,Courses!P44)&gt;0),Courses!J44*SUM(Courses!O44,Courses!P44),0)</f>
        <v>0</v>
      </c>
      <c r="K38" s="1580">
        <f>IF(AND('Courses Valid'!C50=0,Courses!E44&lt;&gt;"",Courses!F44&gt;0,Courses!Q44&gt;0),Courses!F44*Courses!Q44,0)</f>
        <v>0</v>
      </c>
      <c r="L38" s="41">
        <f>IF(AND('Courses Valid'!C50=0,Courses!G44&lt;&gt;"",Courses!H44&gt;0,Courses!Q44&gt;0),Courses!H44*Courses!Q44,0)</f>
        <v>0</v>
      </c>
      <c r="M38" s="105">
        <f>IF(AND('Courses Valid'!C50=0,Courses!I44&lt;&gt;"",Courses!J44&gt;0,Courses!Q44&gt;0),Courses!J44*Courses!Q44,0)</f>
        <v>0</v>
      </c>
      <c r="N38" s="41">
        <f>IF(AND('Courses Valid'!C50=0,Courses!E44&lt;&gt;"",Courses!F44&gt;0,SUM(Courses!W44,Courses!X44)&gt;0),Courses!F44*SUM(Courses!W44,Courses!X44),0)</f>
        <v>0</v>
      </c>
      <c r="O38" s="41">
        <f>IF(AND('Courses Valid'!C50=0,Courses!G44&lt;&gt;"",Courses!H44&gt;0,SUM(Courses!W44,Courses!X44)&gt;0),Courses!H44*SUM(Courses!W44,Courses!X44),0)</f>
        <v>0</v>
      </c>
      <c r="P38" s="41">
        <f>IF(AND('Courses Valid'!C50=0,Courses!I44&lt;&gt;"",Courses!J44&gt;0,SUM(Courses!W44,Courses!X44)&gt;0),Courses!J44*SUM(Courses!W44,Courses!X44),0)</f>
        <v>0</v>
      </c>
      <c r="Q38" s="1580">
        <f>IF(AND('Courses Valid'!C50=0,Courses!E44&lt;&gt;"",Courses!F44&gt;0,SUM(Courses!Y44,Courses!Z44)&gt;0),Courses!F44*SUM(Courses!Y44,Courses!Z44),0)</f>
        <v>0</v>
      </c>
      <c r="R38" s="41">
        <f>IF(AND('Courses Valid'!C50=0,Courses!G44&lt;&gt;"",Courses!H44&gt;0,SUM(Courses!Y44,Courses!Z44)&gt;0),Courses!H44*SUM(Courses!Y44,Courses!Z44),0)</f>
        <v>0</v>
      </c>
      <c r="S38" s="105">
        <f>IF(AND('Courses Valid'!C50=0,Courses!I44&lt;&gt;"",Courses!J44&gt;0,SUM(Courses!Y44,Courses!Z44)&gt;0),Courses!J44*SUM(Courses!Y44,Courses!Z44),0)</f>
        <v>0</v>
      </c>
      <c r="T38" s="41">
        <f>IF(AND('Courses Valid'!C50=0,Courses!E44&lt;&gt;"",Courses!F44&gt;0,Courses!AA44&gt;0),Courses!F44*Courses!AA44,0)</f>
        <v>0</v>
      </c>
      <c r="U38" s="41">
        <f>IF(AND('Courses Valid'!C50=0,Courses!G44&lt;&gt;"",Courses!H44&gt;0,Courses!AA44&gt;0),Courses!H44*Courses!AA44,0)</f>
        <v>0</v>
      </c>
      <c r="V38" s="106">
        <f>IF(AND('Courses Valid'!C50=0,Courses!I44&lt;&gt;"",Courses!J44&gt;0,Courses!AA44&gt;0),Courses!J44*Courses!AA44,0)</f>
        <v>0</v>
      </c>
      <c r="W38" s="524"/>
      <c r="X38" s="99"/>
      <c r="Y38" s="1414" t="s">
        <v>218</v>
      </c>
      <c r="Z38" s="12" t="s">
        <v>205</v>
      </c>
      <c r="AA38" s="645" t="s">
        <v>245</v>
      </c>
      <c r="AB38" s="521">
        <f t="shared" si="0"/>
        <v>0</v>
      </c>
      <c r="AC38" s="50">
        <f t="shared" si="1"/>
        <v>0</v>
      </c>
      <c r="AD38" s="44">
        <f t="shared" si="2"/>
        <v>0</v>
      </c>
      <c r="AE38" s="87"/>
      <c r="AF38" s="87"/>
      <c r="AG38" s="88"/>
      <c r="AH38" s="300">
        <f t="shared" si="3"/>
        <v>0</v>
      </c>
      <c r="AI38" s="50">
        <f t="shared" si="4"/>
        <v>0</v>
      </c>
      <c r="AJ38" s="100">
        <f t="shared" si="5"/>
        <v>0</v>
      </c>
    </row>
    <row r="39" spans="2:36" x14ac:dyDescent="0.35">
      <c r="B39" s="70" t="str">
        <f>IF(Courses!B45&lt;&gt;"",CONCATENATE(Courses!E45,"/",Courses!L45,"/",Courses!K45),"")</f>
        <v/>
      </c>
      <c r="C39" s="1579" t="str">
        <f>IF(AND(Courses!B45&lt;&gt;"",Courses!G45&lt;&gt;""),CONCATENATE(Courses!G45,"/",Courses!L45,"/",Courses!K45),"")</f>
        <v/>
      </c>
      <c r="D39" s="71" t="str">
        <f>IF(AND(Courses!B45&lt;&gt;"",Courses!I45&lt;&gt;""),CONCATENATE(Courses!I45,"/",Courses!L45,"/",Courses!K45),"")</f>
        <v/>
      </c>
      <c r="E39" s="1580">
        <f>IF(AND('Courses Valid'!C51=0,Courses!E45&lt;&gt;"",Courses!F45&gt;0,SUM(Courses!M45,Courses!N45)&gt;0),Courses!F45*SUM(Courses!M45,Courses!N45),0)</f>
        <v>0</v>
      </c>
      <c r="F39" s="41">
        <f>IF(AND('Courses Valid'!C51=0,Courses!G45&lt;&gt;"",Courses!H45&gt;0,SUM(Courses!M45,Courses!N45)&gt;0),Courses!H45*SUM(Courses!M45,Courses!N45),0)</f>
        <v>0</v>
      </c>
      <c r="G39" s="105">
        <f>IF(AND('Courses Valid'!C51=0,Courses!I45&lt;&gt;"",Courses!J45&gt;0,SUM(Courses!M45,Courses!N45)&gt;0),Courses!J45*SUM(Courses!M45,Courses!N45),0)</f>
        <v>0</v>
      </c>
      <c r="H39" s="1580">
        <f>IF(AND('Courses Valid'!C51=0,Courses!E45&lt;&gt;"",Courses!F45&gt;0,SUM(Courses!O45,Courses!P45)&gt;0),Courses!F45*SUM(Courses!O45,Courses!P45),0)</f>
        <v>0</v>
      </c>
      <c r="I39" s="41">
        <f>IF(AND('Courses Valid'!C51=0,Courses!G45&lt;&gt;"",Courses!H45&gt;0,SUM(Courses!O45,Courses!P45)&gt;0),Courses!H45*SUM(Courses!O45,Courses!P45),0)</f>
        <v>0</v>
      </c>
      <c r="J39" s="105">
        <f>IF(AND('Courses Valid'!C51=0,Courses!I45&lt;&gt;"",Courses!J45&gt;0,SUM(Courses!O45,Courses!P45)&gt;0),Courses!J45*SUM(Courses!O45,Courses!P45),0)</f>
        <v>0</v>
      </c>
      <c r="K39" s="1580">
        <f>IF(AND('Courses Valid'!C51=0,Courses!E45&lt;&gt;"",Courses!F45&gt;0,Courses!Q45&gt;0),Courses!F45*Courses!Q45,0)</f>
        <v>0</v>
      </c>
      <c r="L39" s="41">
        <f>IF(AND('Courses Valid'!C51=0,Courses!G45&lt;&gt;"",Courses!H45&gt;0,Courses!Q45&gt;0),Courses!H45*Courses!Q45,0)</f>
        <v>0</v>
      </c>
      <c r="M39" s="105">
        <f>IF(AND('Courses Valid'!C51=0,Courses!I45&lt;&gt;"",Courses!J45&gt;0,Courses!Q45&gt;0),Courses!J45*Courses!Q45,0)</f>
        <v>0</v>
      </c>
      <c r="N39" s="41">
        <f>IF(AND('Courses Valid'!C51=0,Courses!E45&lt;&gt;"",Courses!F45&gt;0,SUM(Courses!W45,Courses!X45)&gt;0),Courses!F45*SUM(Courses!W45,Courses!X45),0)</f>
        <v>0</v>
      </c>
      <c r="O39" s="41">
        <f>IF(AND('Courses Valid'!C51=0,Courses!G45&lt;&gt;"",Courses!H45&gt;0,SUM(Courses!W45,Courses!X45)&gt;0),Courses!H45*SUM(Courses!W45,Courses!X45),0)</f>
        <v>0</v>
      </c>
      <c r="P39" s="41">
        <f>IF(AND('Courses Valid'!C51=0,Courses!I45&lt;&gt;"",Courses!J45&gt;0,SUM(Courses!W45,Courses!X45)&gt;0),Courses!J45*SUM(Courses!W45,Courses!X45),0)</f>
        <v>0</v>
      </c>
      <c r="Q39" s="1580">
        <f>IF(AND('Courses Valid'!C51=0,Courses!E45&lt;&gt;"",Courses!F45&gt;0,SUM(Courses!Y45,Courses!Z45)&gt;0),Courses!F45*SUM(Courses!Y45,Courses!Z45),0)</f>
        <v>0</v>
      </c>
      <c r="R39" s="41">
        <f>IF(AND('Courses Valid'!C51=0,Courses!G45&lt;&gt;"",Courses!H45&gt;0,SUM(Courses!Y45,Courses!Z45)&gt;0),Courses!H45*SUM(Courses!Y45,Courses!Z45),0)</f>
        <v>0</v>
      </c>
      <c r="S39" s="105">
        <f>IF(AND('Courses Valid'!C51=0,Courses!I45&lt;&gt;"",Courses!J45&gt;0,SUM(Courses!Y45,Courses!Z45)&gt;0),Courses!J45*SUM(Courses!Y45,Courses!Z45),0)</f>
        <v>0</v>
      </c>
      <c r="T39" s="41">
        <f>IF(AND('Courses Valid'!C51=0,Courses!E45&lt;&gt;"",Courses!F45&gt;0,Courses!AA45&gt;0),Courses!F45*Courses!AA45,0)</f>
        <v>0</v>
      </c>
      <c r="U39" s="41">
        <f>IF(AND('Courses Valid'!C51=0,Courses!G45&lt;&gt;"",Courses!H45&gt;0,Courses!AA45&gt;0),Courses!H45*Courses!AA45,0)</f>
        <v>0</v>
      </c>
      <c r="V39" s="106">
        <f>IF(AND('Courses Valid'!C51=0,Courses!I45&lt;&gt;"",Courses!J45&gt;0,Courses!AA45&gt;0),Courses!J45*Courses!AA45,0)</f>
        <v>0</v>
      </c>
      <c r="W39" s="524"/>
      <c r="X39" s="99"/>
      <c r="Y39" s="53"/>
      <c r="Z39" s="13" t="s">
        <v>208</v>
      </c>
      <c r="AA39" s="642" t="s">
        <v>246</v>
      </c>
      <c r="AB39" s="643">
        <f t="shared" si="0"/>
        <v>0</v>
      </c>
      <c r="AC39" s="635">
        <f t="shared" si="1"/>
        <v>0</v>
      </c>
      <c r="AD39" s="632">
        <f t="shared" si="2"/>
        <v>0</v>
      </c>
      <c r="AE39" s="87"/>
      <c r="AF39" s="87"/>
      <c r="AG39" s="88"/>
      <c r="AH39" s="633">
        <f t="shared" si="3"/>
        <v>0</v>
      </c>
      <c r="AI39" s="635">
        <f t="shared" si="4"/>
        <v>0</v>
      </c>
      <c r="AJ39" s="634">
        <f t="shared" si="5"/>
        <v>0</v>
      </c>
    </row>
    <row r="40" spans="2:36" x14ac:dyDescent="0.35">
      <c r="B40" s="70" t="str">
        <f>IF(Courses!B46&lt;&gt;"",CONCATENATE(Courses!E46,"/",Courses!L46,"/",Courses!K46),"")</f>
        <v/>
      </c>
      <c r="C40" s="1579" t="str">
        <f>IF(AND(Courses!B46&lt;&gt;"",Courses!G46&lt;&gt;""),CONCATENATE(Courses!G46,"/",Courses!L46,"/",Courses!K46),"")</f>
        <v/>
      </c>
      <c r="D40" s="71" t="str">
        <f>IF(AND(Courses!B46&lt;&gt;"",Courses!I46&lt;&gt;""),CONCATENATE(Courses!I46,"/",Courses!L46,"/",Courses!K46),"")</f>
        <v/>
      </c>
      <c r="E40" s="1580">
        <f>IF(AND('Courses Valid'!C52=0,Courses!E46&lt;&gt;"",Courses!F46&gt;0,SUM(Courses!M46,Courses!N46)&gt;0),Courses!F46*SUM(Courses!M46,Courses!N46),0)</f>
        <v>0</v>
      </c>
      <c r="F40" s="41">
        <f>IF(AND('Courses Valid'!C52=0,Courses!G46&lt;&gt;"",Courses!H46&gt;0,SUM(Courses!M46,Courses!N46)&gt;0),Courses!H46*SUM(Courses!M46,Courses!N46),0)</f>
        <v>0</v>
      </c>
      <c r="G40" s="105">
        <f>IF(AND('Courses Valid'!C52=0,Courses!I46&lt;&gt;"",Courses!J46&gt;0,SUM(Courses!M46,Courses!N46)&gt;0),Courses!J46*SUM(Courses!M46,Courses!N46),0)</f>
        <v>0</v>
      </c>
      <c r="H40" s="1580">
        <f>IF(AND('Courses Valid'!C52=0,Courses!E46&lt;&gt;"",Courses!F46&gt;0,SUM(Courses!O46,Courses!P46)&gt;0),Courses!F46*SUM(Courses!O46,Courses!P46),0)</f>
        <v>0</v>
      </c>
      <c r="I40" s="41">
        <f>IF(AND('Courses Valid'!C52=0,Courses!G46&lt;&gt;"",Courses!H46&gt;0,SUM(Courses!O46,Courses!P46)&gt;0),Courses!H46*SUM(Courses!O46,Courses!P46),0)</f>
        <v>0</v>
      </c>
      <c r="J40" s="105">
        <f>IF(AND('Courses Valid'!C52=0,Courses!I46&lt;&gt;"",Courses!J46&gt;0,SUM(Courses!O46,Courses!P46)&gt;0),Courses!J46*SUM(Courses!O46,Courses!P46),0)</f>
        <v>0</v>
      </c>
      <c r="K40" s="1580">
        <f>IF(AND('Courses Valid'!C52=0,Courses!E46&lt;&gt;"",Courses!F46&gt;0,Courses!Q46&gt;0),Courses!F46*Courses!Q46,0)</f>
        <v>0</v>
      </c>
      <c r="L40" s="41">
        <f>IF(AND('Courses Valid'!C52=0,Courses!G46&lt;&gt;"",Courses!H46&gt;0,Courses!Q46&gt;0),Courses!H46*Courses!Q46,0)</f>
        <v>0</v>
      </c>
      <c r="M40" s="105">
        <f>IF(AND('Courses Valid'!C52=0,Courses!I46&lt;&gt;"",Courses!J46&gt;0,Courses!Q46&gt;0),Courses!J46*Courses!Q46,0)</f>
        <v>0</v>
      </c>
      <c r="N40" s="41">
        <f>IF(AND('Courses Valid'!C52=0,Courses!E46&lt;&gt;"",Courses!F46&gt;0,SUM(Courses!W46,Courses!X46)&gt;0),Courses!F46*SUM(Courses!W46,Courses!X46),0)</f>
        <v>0</v>
      </c>
      <c r="O40" s="41">
        <f>IF(AND('Courses Valid'!C52=0,Courses!G46&lt;&gt;"",Courses!H46&gt;0,SUM(Courses!W46,Courses!X46)&gt;0),Courses!H46*SUM(Courses!W46,Courses!X46),0)</f>
        <v>0</v>
      </c>
      <c r="P40" s="41">
        <f>IF(AND('Courses Valid'!C52=0,Courses!I46&lt;&gt;"",Courses!J46&gt;0,SUM(Courses!W46,Courses!X46)&gt;0),Courses!J46*SUM(Courses!W46,Courses!X46),0)</f>
        <v>0</v>
      </c>
      <c r="Q40" s="1580">
        <f>IF(AND('Courses Valid'!C52=0,Courses!E46&lt;&gt;"",Courses!F46&gt;0,SUM(Courses!Y46,Courses!Z46)&gt;0),Courses!F46*SUM(Courses!Y46,Courses!Z46),0)</f>
        <v>0</v>
      </c>
      <c r="R40" s="41">
        <f>IF(AND('Courses Valid'!C52=0,Courses!G46&lt;&gt;"",Courses!H46&gt;0,SUM(Courses!Y46,Courses!Z46)&gt;0),Courses!H46*SUM(Courses!Y46,Courses!Z46),0)</f>
        <v>0</v>
      </c>
      <c r="S40" s="105">
        <f>IF(AND('Courses Valid'!C52=0,Courses!I46&lt;&gt;"",Courses!J46&gt;0,SUM(Courses!Y46,Courses!Z46)&gt;0),Courses!J46*SUM(Courses!Y46,Courses!Z46),0)</f>
        <v>0</v>
      </c>
      <c r="T40" s="41">
        <f>IF(AND('Courses Valid'!C52=0,Courses!E46&lt;&gt;"",Courses!F46&gt;0,Courses!AA46&gt;0),Courses!F46*Courses!AA46,0)</f>
        <v>0</v>
      </c>
      <c r="U40" s="41">
        <f>IF(AND('Courses Valid'!C52=0,Courses!G46&lt;&gt;"",Courses!H46&gt;0,Courses!AA46&gt;0),Courses!H46*Courses!AA46,0)</f>
        <v>0</v>
      </c>
      <c r="V40" s="106">
        <f>IF(AND('Courses Valid'!C52=0,Courses!I46&lt;&gt;"",Courses!J46&gt;0,Courses!AA46&gt;0),Courses!J46*Courses!AA46,0)</f>
        <v>0</v>
      </c>
      <c r="W40" s="524"/>
      <c r="X40" s="99"/>
      <c r="Y40" s="53"/>
      <c r="Z40" s="13" t="s">
        <v>210</v>
      </c>
      <c r="AA40" s="642" t="s">
        <v>247</v>
      </c>
      <c r="AB40" s="47">
        <f t="shared" si="0"/>
        <v>0</v>
      </c>
      <c r="AC40" s="48">
        <f t="shared" si="1"/>
        <v>0</v>
      </c>
      <c r="AD40" s="49">
        <f t="shared" si="2"/>
        <v>0</v>
      </c>
      <c r="AE40" s="87"/>
      <c r="AF40" s="87"/>
      <c r="AG40" s="88"/>
      <c r="AH40" s="298">
        <f t="shared" si="3"/>
        <v>0</v>
      </c>
      <c r="AI40" s="48">
        <f t="shared" si="4"/>
        <v>0</v>
      </c>
      <c r="AJ40" s="97">
        <f t="shared" si="5"/>
        <v>0</v>
      </c>
    </row>
    <row r="41" spans="2:36" x14ac:dyDescent="0.35">
      <c r="B41" s="70" t="str">
        <f>IF(Courses!B47&lt;&gt;"",CONCATENATE(Courses!E47,"/",Courses!L47,"/",Courses!K47),"")</f>
        <v/>
      </c>
      <c r="C41" s="1579" t="str">
        <f>IF(AND(Courses!B47&lt;&gt;"",Courses!G47&lt;&gt;""),CONCATENATE(Courses!G47,"/",Courses!L47,"/",Courses!K47),"")</f>
        <v/>
      </c>
      <c r="D41" s="71" t="str">
        <f>IF(AND(Courses!B47&lt;&gt;"",Courses!I47&lt;&gt;""),CONCATENATE(Courses!I47,"/",Courses!L47,"/",Courses!K47),"")</f>
        <v/>
      </c>
      <c r="E41" s="1580">
        <f>IF(AND('Courses Valid'!C53=0,Courses!E47&lt;&gt;"",Courses!F47&gt;0,SUM(Courses!M47,Courses!N47)&gt;0),Courses!F47*SUM(Courses!M47,Courses!N47),0)</f>
        <v>0</v>
      </c>
      <c r="F41" s="41">
        <f>IF(AND('Courses Valid'!C53=0,Courses!G47&lt;&gt;"",Courses!H47&gt;0,SUM(Courses!M47,Courses!N47)&gt;0),Courses!H47*SUM(Courses!M47,Courses!N47),0)</f>
        <v>0</v>
      </c>
      <c r="G41" s="105">
        <f>IF(AND('Courses Valid'!C53=0,Courses!I47&lt;&gt;"",Courses!J47&gt;0,SUM(Courses!M47,Courses!N47)&gt;0),Courses!J47*SUM(Courses!M47,Courses!N47),0)</f>
        <v>0</v>
      </c>
      <c r="H41" s="1580">
        <f>IF(AND('Courses Valid'!C53=0,Courses!E47&lt;&gt;"",Courses!F47&gt;0,SUM(Courses!O47,Courses!P47)&gt;0),Courses!F47*SUM(Courses!O47,Courses!P47),0)</f>
        <v>0</v>
      </c>
      <c r="I41" s="41">
        <f>IF(AND('Courses Valid'!C53=0,Courses!G47&lt;&gt;"",Courses!H47&gt;0,SUM(Courses!O47,Courses!P47)&gt;0),Courses!H47*SUM(Courses!O47,Courses!P47),0)</f>
        <v>0</v>
      </c>
      <c r="J41" s="105">
        <f>IF(AND('Courses Valid'!C53=0,Courses!I47&lt;&gt;"",Courses!J47&gt;0,SUM(Courses!O47,Courses!P47)&gt;0),Courses!J47*SUM(Courses!O47,Courses!P47),0)</f>
        <v>0</v>
      </c>
      <c r="K41" s="1580">
        <f>IF(AND('Courses Valid'!C53=0,Courses!E47&lt;&gt;"",Courses!F47&gt;0,Courses!Q47&gt;0),Courses!F47*Courses!Q47,0)</f>
        <v>0</v>
      </c>
      <c r="L41" s="41">
        <f>IF(AND('Courses Valid'!C53=0,Courses!G47&lt;&gt;"",Courses!H47&gt;0,Courses!Q47&gt;0),Courses!H47*Courses!Q47,0)</f>
        <v>0</v>
      </c>
      <c r="M41" s="105">
        <f>IF(AND('Courses Valid'!C53=0,Courses!I47&lt;&gt;"",Courses!J47&gt;0,Courses!Q47&gt;0),Courses!J47*Courses!Q47,0)</f>
        <v>0</v>
      </c>
      <c r="N41" s="41">
        <f>IF(AND('Courses Valid'!C53=0,Courses!E47&lt;&gt;"",Courses!F47&gt;0,SUM(Courses!W47,Courses!X47)&gt;0),Courses!F47*SUM(Courses!W47,Courses!X47),0)</f>
        <v>0</v>
      </c>
      <c r="O41" s="41">
        <f>IF(AND('Courses Valid'!C53=0,Courses!G47&lt;&gt;"",Courses!H47&gt;0,SUM(Courses!W47,Courses!X47)&gt;0),Courses!H47*SUM(Courses!W47,Courses!X47),0)</f>
        <v>0</v>
      </c>
      <c r="P41" s="41">
        <f>IF(AND('Courses Valid'!C53=0,Courses!I47&lt;&gt;"",Courses!J47&gt;0,SUM(Courses!W47,Courses!X47)&gt;0),Courses!J47*SUM(Courses!W47,Courses!X47),0)</f>
        <v>0</v>
      </c>
      <c r="Q41" s="1580">
        <f>IF(AND('Courses Valid'!C53=0,Courses!E47&lt;&gt;"",Courses!F47&gt;0,SUM(Courses!Y47,Courses!Z47)&gt;0),Courses!F47*SUM(Courses!Y47,Courses!Z47),0)</f>
        <v>0</v>
      </c>
      <c r="R41" s="41">
        <f>IF(AND('Courses Valid'!C53=0,Courses!G47&lt;&gt;"",Courses!H47&gt;0,SUM(Courses!Y47,Courses!Z47)&gt;0),Courses!H47*SUM(Courses!Y47,Courses!Z47),0)</f>
        <v>0</v>
      </c>
      <c r="S41" s="105">
        <f>IF(AND('Courses Valid'!C53=0,Courses!I47&lt;&gt;"",Courses!J47&gt;0,SUM(Courses!Y47,Courses!Z47)&gt;0),Courses!J47*SUM(Courses!Y47,Courses!Z47),0)</f>
        <v>0</v>
      </c>
      <c r="T41" s="41">
        <f>IF(AND('Courses Valid'!C53=0,Courses!E47&lt;&gt;"",Courses!F47&gt;0,Courses!AA47&gt;0),Courses!F47*Courses!AA47,0)</f>
        <v>0</v>
      </c>
      <c r="U41" s="41">
        <f>IF(AND('Courses Valid'!C53=0,Courses!G47&lt;&gt;"",Courses!H47&gt;0,Courses!AA47&gt;0),Courses!H47*Courses!AA47,0)</f>
        <v>0</v>
      </c>
      <c r="V41" s="106">
        <f>IF(AND('Courses Valid'!C53=0,Courses!I47&lt;&gt;"",Courses!J47&gt;0,Courses!AA47&gt;0),Courses!J47*Courses!AA47,0)</f>
        <v>0</v>
      </c>
      <c r="W41" s="524"/>
      <c r="X41" s="99"/>
      <c r="Y41" s="53"/>
      <c r="Z41" s="13" t="s">
        <v>212</v>
      </c>
      <c r="AA41" s="642" t="s">
        <v>248</v>
      </c>
      <c r="AB41" s="45">
        <f t="shared" si="0"/>
        <v>0</v>
      </c>
      <c r="AC41" s="51">
        <f t="shared" si="1"/>
        <v>0</v>
      </c>
      <c r="AD41" s="46">
        <f t="shared" si="2"/>
        <v>0</v>
      </c>
      <c r="AE41" s="87"/>
      <c r="AF41" s="87"/>
      <c r="AG41" s="88"/>
      <c r="AH41" s="299">
        <f t="shared" si="3"/>
        <v>0</v>
      </c>
      <c r="AI41" s="51">
        <f t="shared" si="4"/>
        <v>0</v>
      </c>
      <c r="AJ41" s="98">
        <f t="shared" si="5"/>
        <v>0</v>
      </c>
    </row>
    <row r="42" spans="2:36" x14ac:dyDescent="0.35">
      <c r="B42" s="70" t="str">
        <f>IF(Courses!B48&lt;&gt;"",CONCATENATE(Courses!E48,"/",Courses!L48,"/",Courses!K48),"")</f>
        <v/>
      </c>
      <c r="C42" s="1579" t="str">
        <f>IF(AND(Courses!B48&lt;&gt;"",Courses!G48&lt;&gt;""),CONCATENATE(Courses!G48,"/",Courses!L48,"/",Courses!K48),"")</f>
        <v/>
      </c>
      <c r="D42" s="71" t="str">
        <f>IF(AND(Courses!B48&lt;&gt;"",Courses!I48&lt;&gt;""),CONCATENATE(Courses!I48,"/",Courses!L48,"/",Courses!K48),"")</f>
        <v/>
      </c>
      <c r="E42" s="1580">
        <f>IF(AND('Courses Valid'!C54=0,Courses!E48&lt;&gt;"",Courses!F48&gt;0,SUM(Courses!M48,Courses!N48)&gt;0),Courses!F48*SUM(Courses!M48,Courses!N48),0)</f>
        <v>0</v>
      </c>
      <c r="F42" s="41">
        <f>IF(AND('Courses Valid'!C54=0,Courses!G48&lt;&gt;"",Courses!H48&gt;0,SUM(Courses!M48,Courses!N48)&gt;0),Courses!H48*SUM(Courses!M48,Courses!N48),0)</f>
        <v>0</v>
      </c>
      <c r="G42" s="105">
        <f>IF(AND('Courses Valid'!C54=0,Courses!I48&lt;&gt;"",Courses!J48&gt;0,SUM(Courses!M48,Courses!N48)&gt;0),Courses!J48*SUM(Courses!M48,Courses!N48),0)</f>
        <v>0</v>
      </c>
      <c r="H42" s="1580">
        <f>IF(AND('Courses Valid'!C54=0,Courses!E48&lt;&gt;"",Courses!F48&gt;0,SUM(Courses!O48,Courses!P48)&gt;0),Courses!F48*SUM(Courses!O48,Courses!P48),0)</f>
        <v>0</v>
      </c>
      <c r="I42" s="41">
        <f>IF(AND('Courses Valid'!C54=0,Courses!G48&lt;&gt;"",Courses!H48&gt;0,SUM(Courses!O48,Courses!P48)&gt;0),Courses!H48*SUM(Courses!O48,Courses!P48),0)</f>
        <v>0</v>
      </c>
      <c r="J42" s="105">
        <f>IF(AND('Courses Valid'!C54=0,Courses!I48&lt;&gt;"",Courses!J48&gt;0,SUM(Courses!O48,Courses!P48)&gt;0),Courses!J48*SUM(Courses!O48,Courses!P48),0)</f>
        <v>0</v>
      </c>
      <c r="K42" s="1580">
        <f>IF(AND('Courses Valid'!C54=0,Courses!E48&lt;&gt;"",Courses!F48&gt;0,Courses!Q48&gt;0),Courses!F48*Courses!Q48,0)</f>
        <v>0</v>
      </c>
      <c r="L42" s="41">
        <f>IF(AND('Courses Valid'!C54=0,Courses!G48&lt;&gt;"",Courses!H48&gt;0,Courses!Q48&gt;0),Courses!H48*Courses!Q48,0)</f>
        <v>0</v>
      </c>
      <c r="M42" s="105">
        <f>IF(AND('Courses Valid'!C54=0,Courses!I48&lt;&gt;"",Courses!J48&gt;0,Courses!Q48&gt;0),Courses!J48*Courses!Q48,0)</f>
        <v>0</v>
      </c>
      <c r="N42" s="41">
        <f>IF(AND('Courses Valid'!C54=0,Courses!E48&lt;&gt;"",Courses!F48&gt;0,SUM(Courses!W48,Courses!X48)&gt;0),Courses!F48*SUM(Courses!W48,Courses!X48),0)</f>
        <v>0</v>
      </c>
      <c r="O42" s="41">
        <f>IF(AND('Courses Valid'!C54=0,Courses!G48&lt;&gt;"",Courses!H48&gt;0,SUM(Courses!W48,Courses!X48)&gt;0),Courses!H48*SUM(Courses!W48,Courses!X48),0)</f>
        <v>0</v>
      </c>
      <c r="P42" s="41">
        <f>IF(AND('Courses Valid'!C54=0,Courses!I48&lt;&gt;"",Courses!J48&gt;0,SUM(Courses!W48,Courses!X48)&gt;0),Courses!J48*SUM(Courses!W48,Courses!X48),0)</f>
        <v>0</v>
      </c>
      <c r="Q42" s="1580">
        <f>IF(AND('Courses Valid'!C54=0,Courses!E48&lt;&gt;"",Courses!F48&gt;0,SUM(Courses!Y48,Courses!Z48)&gt;0),Courses!F48*SUM(Courses!Y48,Courses!Z48),0)</f>
        <v>0</v>
      </c>
      <c r="R42" s="41">
        <f>IF(AND('Courses Valid'!C54=0,Courses!G48&lt;&gt;"",Courses!H48&gt;0,SUM(Courses!Y48,Courses!Z48)&gt;0),Courses!H48*SUM(Courses!Y48,Courses!Z48),0)</f>
        <v>0</v>
      </c>
      <c r="S42" s="105">
        <f>IF(AND('Courses Valid'!C54=0,Courses!I48&lt;&gt;"",Courses!J48&gt;0,SUM(Courses!Y48,Courses!Z48)&gt;0),Courses!J48*SUM(Courses!Y48,Courses!Z48),0)</f>
        <v>0</v>
      </c>
      <c r="T42" s="41">
        <f>IF(AND('Courses Valid'!C54=0,Courses!E48&lt;&gt;"",Courses!F48&gt;0,Courses!AA48&gt;0),Courses!F48*Courses!AA48,0)</f>
        <v>0</v>
      </c>
      <c r="U42" s="41">
        <f>IF(AND('Courses Valid'!C54=0,Courses!G48&lt;&gt;"",Courses!H48&gt;0,Courses!AA48&gt;0),Courses!H48*Courses!AA48,0)</f>
        <v>0</v>
      </c>
      <c r="V42" s="106">
        <f>IF(AND('Courses Valid'!C54=0,Courses!I48&lt;&gt;"",Courses!J48&gt;0,Courses!AA48&gt;0),Courses!J48*Courses!AA48,0)</f>
        <v>0</v>
      </c>
      <c r="W42" s="524"/>
      <c r="X42" s="99"/>
      <c r="Y42" s="7"/>
      <c r="Z42" s="13" t="s">
        <v>214</v>
      </c>
      <c r="AA42" s="642" t="s">
        <v>249</v>
      </c>
      <c r="AB42" s="45">
        <f t="shared" si="0"/>
        <v>0</v>
      </c>
      <c r="AC42" s="51">
        <f t="shared" si="1"/>
        <v>0</v>
      </c>
      <c r="AD42" s="46">
        <f t="shared" si="2"/>
        <v>0</v>
      </c>
      <c r="AE42" s="1581"/>
      <c r="AF42" s="87"/>
      <c r="AG42" s="88"/>
      <c r="AH42" s="299">
        <f t="shared" si="3"/>
        <v>0</v>
      </c>
      <c r="AI42" s="51">
        <f t="shared" si="4"/>
        <v>0</v>
      </c>
      <c r="AJ42" s="98">
        <f t="shared" si="5"/>
        <v>0</v>
      </c>
    </row>
    <row r="43" spans="2:36" x14ac:dyDescent="0.35">
      <c r="B43" s="70" t="str">
        <f>IF(Courses!B49&lt;&gt;"",CONCATENATE(Courses!E49,"/",Courses!L49,"/",Courses!K49),"")</f>
        <v/>
      </c>
      <c r="C43" s="1579" t="str">
        <f>IF(AND(Courses!B49&lt;&gt;"",Courses!G49&lt;&gt;""),CONCATENATE(Courses!G49,"/",Courses!L49,"/",Courses!K49),"")</f>
        <v/>
      </c>
      <c r="D43" s="71" t="str">
        <f>IF(AND(Courses!B49&lt;&gt;"",Courses!I49&lt;&gt;""),CONCATENATE(Courses!I49,"/",Courses!L49,"/",Courses!K49),"")</f>
        <v/>
      </c>
      <c r="E43" s="1580">
        <f>IF(AND('Courses Valid'!C55=0,Courses!E49&lt;&gt;"",Courses!F49&gt;0,SUM(Courses!M49,Courses!N49)&gt;0),Courses!F49*SUM(Courses!M49,Courses!N49),0)</f>
        <v>0</v>
      </c>
      <c r="F43" s="41">
        <f>IF(AND('Courses Valid'!C55=0,Courses!G49&lt;&gt;"",Courses!H49&gt;0,SUM(Courses!M49,Courses!N49)&gt;0),Courses!H49*SUM(Courses!M49,Courses!N49),0)</f>
        <v>0</v>
      </c>
      <c r="G43" s="105">
        <f>IF(AND('Courses Valid'!C55=0,Courses!I49&lt;&gt;"",Courses!J49&gt;0,SUM(Courses!M49,Courses!N49)&gt;0),Courses!J49*SUM(Courses!M49,Courses!N49),0)</f>
        <v>0</v>
      </c>
      <c r="H43" s="1580">
        <f>IF(AND('Courses Valid'!C55=0,Courses!E49&lt;&gt;"",Courses!F49&gt;0,SUM(Courses!O49,Courses!P49)&gt;0),Courses!F49*SUM(Courses!O49,Courses!P49),0)</f>
        <v>0</v>
      </c>
      <c r="I43" s="41">
        <f>IF(AND('Courses Valid'!C55=0,Courses!G49&lt;&gt;"",Courses!H49&gt;0,SUM(Courses!O49,Courses!P49)&gt;0),Courses!H49*SUM(Courses!O49,Courses!P49),0)</f>
        <v>0</v>
      </c>
      <c r="J43" s="105">
        <f>IF(AND('Courses Valid'!C55=0,Courses!I49&lt;&gt;"",Courses!J49&gt;0,SUM(Courses!O49,Courses!P49)&gt;0),Courses!J49*SUM(Courses!O49,Courses!P49),0)</f>
        <v>0</v>
      </c>
      <c r="K43" s="1580">
        <f>IF(AND('Courses Valid'!C55=0,Courses!E49&lt;&gt;"",Courses!F49&gt;0,Courses!Q49&gt;0),Courses!F49*Courses!Q49,0)</f>
        <v>0</v>
      </c>
      <c r="L43" s="41">
        <f>IF(AND('Courses Valid'!C55=0,Courses!G49&lt;&gt;"",Courses!H49&gt;0,Courses!Q49&gt;0),Courses!H49*Courses!Q49,0)</f>
        <v>0</v>
      </c>
      <c r="M43" s="105">
        <f>IF(AND('Courses Valid'!C55=0,Courses!I49&lt;&gt;"",Courses!J49&gt;0,Courses!Q49&gt;0),Courses!J49*Courses!Q49,0)</f>
        <v>0</v>
      </c>
      <c r="N43" s="41">
        <f>IF(AND('Courses Valid'!C55=0,Courses!E49&lt;&gt;"",Courses!F49&gt;0,SUM(Courses!W49,Courses!X49)&gt;0),Courses!F49*SUM(Courses!W49,Courses!X49),0)</f>
        <v>0</v>
      </c>
      <c r="O43" s="41">
        <f>IF(AND('Courses Valid'!C55=0,Courses!G49&lt;&gt;"",Courses!H49&gt;0,SUM(Courses!W49,Courses!X49)&gt;0),Courses!H49*SUM(Courses!W49,Courses!X49),0)</f>
        <v>0</v>
      </c>
      <c r="P43" s="41">
        <f>IF(AND('Courses Valid'!C55=0,Courses!I49&lt;&gt;"",Courses!J49&gt;0,SUM(Courses!W49,Courses!X49)&gt;0),Courses!J49*SUM(Courses!W49,Courses!X49),0)</f>
        <v>0</v>
      </c>
      <c r="Q43" s="1580">
        <f>IF(AND('Courses Valid'!C55=0,Courses!E49&lt;&gt;"",Courses!F49&gt;0,SUM(Courses!Y49,Courses!Z49)&gt;0),Courses!F49*SUM(Courses!Y49,Courses!Z49),0)</f>
        <v>0</v>
      </c>
      <c r="R43" s="41">
        <f>IF(AND('Courses Valid'!C55=0,Courses!G49&lt;&gt;"",Courses!H49&gt;0,SUM(Courses!Y49,Courses!Z49)&gt;0),Courses!H49*SUM(Courses!Y49,Courses!Z49),0)</f>
        <v>0</v>
      </c>
      <c r="S43" s="105">
        <f>IF(AND('Courses Valid'!C55=0,Courses!I49&lt;&gt;"",Courses!J49&gt;0,SUM(Courses!Y49,Courses!Z49)&gt;0),Courses!J49*SUM(Courses!Y49,Courses!Z49),0)</f>
        <v>0</v>
      </c>
      <c r="T43" s="41">
        <f>IF(AND('Courses Valid'!C55=0,Courses!E49&lt;&gt;"",Courses!F49&gt;0,Courses!AA49&gt;0),Courses!F49*Courses!AA49,0)</f>
        <v>0</v>
      </c>
      <c r="U43" s="41">
        <f>IF(AND('Courses Valid'!C55=0,Courses!G49&lt;&gt;"",Courses!H49&gt;0,Courses!AA49&gt;0),Courses!H49*Courses!AA49,0)</f>
        <v>0</v>
      </c>
      <c r="V43" s="106">
        <f>IF(AND('Courses Valid'!C55=0,Courses!I49&lt;&gt;"",Courses!J49&gt;0,Courses!AA49&gt;0),Courses!J49*Courses!AA49,0)</f>
        <v>0</v>
      </c>
      <c r="W43" s="524"/>
      <c r="X43" s="235"/>
      <c r="Z43" s="13" t="s">
        <v>216</v>
      </c>
      <c r="AA43" s="642" t="s">
        <v>250</v>
      </c>
      <c r="AB43" s="45">
        <f t="shared" si="0"/>
        <v>0</v>
      </c>
      <c r="AC43" s="51">
        <f t="shared" si="1"/>
        <v>0</v>
      </c>
      <c r="AD43" s="46">
        <f t="shared" si="2"/>
        <v>0</v>
      </c>
      <c r="AG43" s="183"/>
      <c r="AH43" s="299">
        <f t="shared" si="3"/>
        <v>0</v>
      </c>
      <c r="AI43" s="51">
        <f t="shared" si="4"/>
        <v>0</v>
      </c>
      <c r="AJ43" s="98">
        <f t="shared" si="5"/>
        <v>0</v>
      </c>
    </row>
    <row r="44" spans="2:36" x14ac:dyDescent="0.35">
      <c r="B44" s="70" t="str">
        <f>IF(Courses!B50&lt;&gt;"",CONCATENATE(Courses!E50,"/",Courses!L50,"/",Courses!K50),"")</f>
        <v/>
      </c>
      <c r="C44" s="1579" t="str">
        <f>IF(AND(Courses!B50&lt;&gt;"",Courses!G50&lt;&gt;""),CONCATENATE(Courses!G50,"/",Courses!L50,"/",Courses!K50),"")</f>
        <v/>
      </c>
      <c r="D44" s="71" t="str">
        <f>IF(AND(Courses!B50&lt;&gt;"",Courses!I50&lt;&gt;""),CONCATENATE(Courses!I50,"/",Courses!L50,"/",Courses!K50),"")</f>
        <v/>
      </c>
      <c r="E44" s="1580">
        <f>IF(AND('Courses Valid'!C56=0,Courses!E50&lt;&gt;"",Courses!F50&gt;0,SUM(Courses!M50,Courses!N50)&gt;0),Courses!F50*SUM(Courses!M50,Courses!N50),0)</f>
        <v>0</v>
      </c>
      <c r="F44" s="41">
        <f>IF(AND('Courses Valid'!C56=0,Courses!G50&lt;&gt;"",Courses!H50&gt;0,SUM(Courses!M50,Courses!N50)&gt;0),Courses!H50*SUM(Courses!M50,Courses!N50),0)</f>
        <v>0</v>
      </c>
      <c r="G44" s="105">
        <f>IF(AND('Courses Valid'!C56=0,Courses!I50&lt;&gt;"",Courses!J50&gt;0,SUM(Courses!M50,Courses!N50)&gt;0),Courses!J50*SUM(Courses!M50,Courses!N50),0)</f>
        <v>0</v>
      </c>
      <c r="H44" s="1580">
        <f>IF(AND('Courses Valid'!C56=0,Courses!E50&lt;&gt;"",Courses!F50&gt;0,SUM(Courses!O50,Courses!P50)&gt;0),Courses!F50*SUM(Courses!O50,Courses!P50),0)</f>
        <v>0</v>
      </c>
      <c r="I44" s="41">
        <f>IF(AND('Courses Valid'!C56=0,Courses!G50&lt;&gt;"",Courses!H50&gt;0,SUM(Courses!O50,Courses!P50)&gt;0),Courses!H50*SUM(Courses!O50,Courses!P50),0)</f>
        <v>0</v>
      </c>
      <c r="J44" s="105">
        <f>IF(AND('Courses Valid'!C56=0,Courses!I50&lt;&gt;"",Courses!J50&gt;0,SUM(Courses!O50,Courses!P50)&gt;0),Courses!J50*SUM(Courses!O50,Courses!P50),0)</f>
        <v>0</v>
      </c>
      <c r="K44" s="1580">
        <f>IF(AND('Courses Valid'!C56=0,Courses!E50&lt;&gt;"",Courses!F50&gt;0,Courses!Q50&gt;0),Courses!F50*Courses!Q50,0)</f>
        <v>0</v>
      </c>
      <c r="L44" s="41">
        <f>IF(AND('Courses Valid'!C56=0,Courses!G50&lt;&gt;"",Courses!H50&gt;0,Courses!Q50&gt;0),Courses!H50*Courses!Q50,0)</f>
        <v>0</v>
      </c>
      <c r="M44" s="105">
        <f>IF(AND('Courses Valid'!C56=0,Courses!I50&lt;&gt;"",Courses!J50&gt;0,Courses!Q50&gt;0),Courses!J50*Courses!Q50,0)</f>
        <v>0</v>
      </c>
      <c r="N44" s="41">
        <f>IF(AND('Courses Valid'!C56=0,Courses!E50&lt;&gt;"",Courses!F50&gt;0,SUM(Courses!W50,Courses!X50)&gt;0),Courses!F50*SUM(Courses!W50,Courses!X50),0)</f>
        <v>0</v>
      </c>
      <c r="O44" s="41">
        <f>IF(AND('Courses Valid'!C56=0,Courses!G50&lt;&gt;"",Courses!H50&gt;0,SUM(Courses!W50,Courses!X50)&gt;0),Courses!H50*SUM(Courses!W50,Courses!X50),0)</f>
        <v>0</v>
      </c>
      <c r="P44" s="41">
        <f>IF(AND('Courses Valid'!C56=0,Courses!I50&lt;&gt;"",Courses!J50&gt;0,SUM(Courses!W50,Courses!X50)&gt;0),Courses!J50*SUM(Courses!W50,Courses!X50),0)</f>
        <v>0</v>
      </c>
      <c r="Q44" s="1580">
        <f>IF(AND('Courses Valid'!C56=0,Courses!E50&lt;&gt;"",Courses!F50&gt;0,SUM(Courses!Y50,Courses!Z50)&gt;0),Courses!F50*SUM(Courses!Y50,Courses!Z50),0)</f>
        <v>0</v>
      </c>
      <c r="R44" s="41">
        <f>IF(AND('Courses Valid'!C56=0,Courses!G50&lt;&gt;"",Courses!H50&gt;0,SUM(Courses!Y50,Courses!Z50)&gt;0),Courses!H50*SUM(Courses!Y50,Courses!Z50),0)</f>
        <v>0</v>
      </c>
      <c r="S44" s="105">
        <f>IF(AND('Courses Valid'!C56=0,Courses!I50&lt;&gt;"",Courses!J50&gt;0,SUM(Courses!Y50,Courses!Z50)&gt;0),Courses!J50*SUM(Courses!Y50,Courses!Z50),0)</f>
        <v>0</v>
      </c>
      <c r="T44" s="41">
        <f>IF(AND('Courses Valid'!C56=0,Courses!E50&lt;&gt;"",Courses!F50&gt;0,Courses!AA50&gt;0),Courses!F50*Courses!AA50,0)</f>
        <v>0</v>
      </c>
      <c r="U44" s="41">
        <f>IF(AND('Courses Valid'!C56=0,Courses!G50&lt;&gt;"",Courses!H50&gt;0,Courses!AA50&gt;0),Courses!H50*Courses!AA50,0)</f>
        <v>0</v>
      </c>
      <c r="V44" s="106">
        <f>IF(AND('Courses Valid'!C56=0,Courses!I50&lt;&gt;"",Courses!J50&gt;0,Courses!AA50&gt;0),Courses!J50*Courses!AA50,0)</f>
        <v>0</v>
      </c>
      <c r="W44" s="524"/>
      <c r="X44" s="1774" t="s">
        <v>251</v>
      </c>
      <c r="Y44" s="330" t="s">
        <v>204</v>
      </c>
      <c r="Z44" s="604" t="s">
        <v>205</v>
      </c>
      <c r="AA44" s="1415" t="s">
        <v>252</v>
      </c>
      <c r="AB44" s="1775">
        <f t="shared" si="0"/>
        <v>0</v>
      </c>
      <c r="AC44" s="1681">
        <f t="shared" si="1"/>
        <v>0</v>
      </c>
      <c r="AD44" s="1682">
        <f t="shared" si="2"/>
        <v>0</v>
      </c>
      <c r="AE44" s="41"/>
      <c r="AF44" s="41"/>
      <c r="AG44" s="105"/>
      <c r="AH44" s="1776">
        <f t="shared" si="3"/>
        <v>0</v>
      </c>
      <c r="AI44" s="1681">
        <f t="shared" si="4"/>
        <v>0</v>
      </c>
      <c r="AJ44" s="1683">
        <f t="shared" si="5"/>
        <v>0</v>
      </c>
    </row>
    <row r="45" spans="2:36" x14ac:dyDescent="0.35">
      <c r="B45" s="70" t="str">
        <f>IF(Courses!B51&lt;&gt;"",CONCATENATE(Courses!E51,"/",Courses!L51,"/",Courses!K51),"")</f>
        <v/>
      </c>
      <c r="C45" s="1579" t="str">
        <f>IF(AND(Courses!B51&lt;&gt;"",Courses!G51&lt;&gt;""),CONCATENATE(Courses!G51,"/",Courses!L51,"/",Courses!K51),"")</f>
        <v/>
      </c>
      <c r="D45" s="71" t="str">
        <f>IF(AND(Courses!B51&lt;&gt;"",Courses!I51&lt;&gt;""),CONCATENATE(Courses!I51,"/",Courses!L51,"/",Courses!K51),"")</f>
        <v/>
      </c>
      <c r="E45" s="1580">
        <f>IF(AND('Courses Valid'!C57=0,Courses!E51&lt;&gt;"",Courses!F51&gt;0,SUM(Courses!M51,Courses!N51)&gt;0),Courses!F51*SUM(Courses!M51,Courses!N51),0)</f>
        <v>0</v>
      </c>
      <c r="F45" s="41">
        <f>IF(AND('Courses Valid'!C57=0,Courses!G51&lt;&gt;"",Courses!H51&gt;0,SUM(Courses!M51,Courses!N51)&gt;0),Courses!H51*SUM(Courses!M51,Courses!N51),0)</f>
        <v>0</v>
      </c>
      <c r="G45" s="105">
        <f>IF(AND('Courses Valid'!C57=0,Courses!I51&lt;&gt;"",Courses!J51&gt;0,SUM(Courses!M51,Courses!N51)&gt;0),Courses!J51*SUM(Courses!M51,Courses!N51),0)</f>
        <v>0</v>
      </c>
      <c r="H45" s="1580">
        <f>IF(AND('Courses Valid'!C57=0,Courses!E51&lt;&gt;"",Courses!F51&gt;0,SUM(Courses!O51,Courses!P51)&gt;0),Courses!F51*SUM(Courses!O51,Courses!P51),0)</f>
        <v>0</v>
      </c>
      <c r="I45" s="41">
        <f>IF(AND('Courses Valid'!C57=0,Courses!G51&lt;&gt;"",Courses!H51&gt;0,SUM(Courses!O51,Courses!P51)&gt;0),Courses!H51*SUM(Courses!O51,Courses!P51),0)</f>
        <v>0</v>
      </c>
      <c r="J45" s="105">
        <f>IF(AND('Courses Valid'!C57=0,Courses!I51&lt;&gt;"",Courses!J51&gt;0,SUM(Courses!O51,Courses!P51)&gt;0),Courses!J51*SUM(Courses!O51,Courses!P51),0)</f>
        <v>0</v>
      </c>
      <c r="K45" s="1580">
        <f>IF(AND('Courses Valid'!C57=0,Courses!E51&lt;&gt;"",Courses!F51&gt;0,Courses!Q51&gt;0),Courses!F51*Courses!Q51,0)</f>
        <v>0</v>
      </c>
      <c r="L45" s="41">
        <f>IF(AND('Courses Valid'!C57=0,Courses!G51&lt;&gt;"",Courses!H51&gt;0,Courses!Q51&gt;0),Courses!H51*Courses!Q51,0)</f>
        <v>0</v>
      </c>
      <c r="M45" s="105">
        <f>IF(AND('Courses Valid'!C57=0,Courses!I51&lt;&gt;"",Courses!J51&gt;0,Courses!Q51&gt;0),Courses!J51*Courses!Q51,0)</f>
        <v>0</v>
      </c>
      <c r="N45" s="41">
        <f>IF(AND('Courses Valid'!C57=0,Courses!E51&lt;&gt;"",Courses!F51&gt;0,SUM(Courses!W51,Courses!X51)&gt;0),Courses!F51*SUM(Courses!W51,Courses!X51),0)</f>
        <v>0</v>
      </c>
      <c r="O45" s="41">
        <f>IF(AND('Courses Valid'!C57=0,Courses!G51&lt;&gt;"",Courses!H51&gt;0,SUM(Courses!W51,Courses!X51)&gt;0),Courses!H51*SUM(Courses!W51,Courses!X51),0)</f>
        <v>0</v>
      </c>
      <c r="P45" s="41">
        <f>IF(AND('Courses Valid'!C57=0,Courses!I51&lt;&gt;"",Courses!J51&gt;0,SUM(Courses!W51,Courses!X51)&gt;0),Courses!J51*SUM(Courses!W51,Courses!X51),0)</f>
        <v>0</v>
      </c>
      <c r="Q45" s="1580">
        <f>IF(AND('Courses Valid'!C57=0,Courses!E51&lt;&gt;"",Courses!F51&gt;0,SUM(Courses!Y51,Courses!Z51)&gt;0),Courses!F51*SUM(Courses!Y51,Courses!Z51),0)</f>
        <v>0</v>
      </c>
      <c r="R45" s="41">
        <f>IF(AND('Courses Valid'!C57=0,Courses!G51&lt;&gt;"",Courses!H51&gt;0,SUM(Courses!Y51,Courses!Z51)&gt;0),Courses!H51*SUM(Courses!Y51,Courses!Z51),0)</f>
        <v>0</v>
      </c>
      <c r="S45" s="105">
        <f>IF(AND('Courses Valid'!C57=0,Courses!I51&lt;&gt;"",Courses!J51&gt;0,SUM(Courses!Y51,Courses!Z51)&gt;0),Courses!J51*SUM(Courses!Y51,Courses!Z51),0)</f>
        <v>0</v>
      </c>
      <c r="T45" s="41">
        <f>IF(AND('Courses Valid'!C57=0,Courses!E51&lt;&gt;"",Courses!F51&gt;0,Courses!AA51&gt;0),Courses!F51*Courses!AA51,0)</f>
        <v>0</v>
      </c>
      <c r="U45" s="41">
        <f>IF(AND('Courses Valid'!C57=0,Courses!G51&lt;&gt;"",Courses!H51&gt;0,Courses!AA51&gt;0),Courses!H51*Courses!AA51,0)</f>
        <v>0</v>
      </c>
      <c r="V45" s="106">
        <f>IF(AND('Courses Valid'!C57=0,Courses!I51&lt;&gt;"",Courses!J51&gt;0,Courses!AA51&gt;0),Courses!J51*Courses!AA51,0)</f>
        <v>0</v>
      </c>
      <c r="W45" s="524"/>
      <c r="X45" s="605"/>
      <c r="Y45" s="3"/>
      <c r="Z45" s="10" t="s">
        <v>208</v>
      </c>
      <c r="AA45" s="646" t="s">
        <v>253</v>
      </c>
      <c r="AB45" s="648">
        <f t="shared" si="0"/>
        <v>0</v>
      </c>
      <c r="AC45" s="639">
        <f t="shared" si="1"/>
        <v>0</v>
      </c>
      <c r="AD45" s="640">
        <f t="shared" si="2"/>
        <v>0</v>
      </c>
      <c r="AE45" s="41"/>
      <c r="AF45" s="41"/>
      <c r="AG45" s="105"/>
      <c r="AH45" s="638">
        <f t="shared" si="3"/>
        <v>0</v>
      </c>
      <c r="AI45" s="639">
        <f t="shared" si="4"/>
        <v>0</v>
      </c>
      <c r="AJ45" s="641">
        <f t="shared" si="5"/>
        <v>0</v>
      </c>
    </row>
    <row r="46" spans="2:36" x14ac:dyDescent="0.35">
      <c r="B46" s="70" t="str">
        <f>IF(Courses!B52&lt;&gt;"",CONCATENATE(Courses!E52,"/",Courses!L52,"/",Courses!K52),"")</f>
        <v/>
      </c>
      <c r="C46" s="1579" t="str">
        <f>IF(AND(Courses!B52&lt;&gt;"",Courses!G52&lt;&gt;""),CONCATENATE(Courses!G52,"/",Courses!L52,"/",Courses!K52),"")</f>
        <v/>
      </c>
      <c r="D46" s="71" t="str">
        <f>IF(AND(Courses!B52&lt;&gt;"",Courses!I52&lt;&gt;""),CONCATENATE(Courses!I52,"/",Courses!L52,"/",Courses!K52),"")</f>
        <v/>
      </c>
      <c r="E46" s="1580">
        <f>IF(AND('Courses Valid'!C58=0,Courses!E52&lt;&gt;"",Courses!F52&gt;0,SUM(Courses!M52,Courses!N52)&gt;0),Courses!F52*SUM(Courses!M52,Courses!N52),0)</f>
        <v>0</v>
      </c>
      <c r="F46" s="41">
        <f>IF(AND('Courses Valid'!C58=0,Courses!G52&lt;&gt;"",Courses!H52&gt;0,SUM(Courses!M52,Courses!N52)&gt;0),Courses!H52*SUM(Courses!M52,Courses!N52),0)</f>
        <v>0</v>
      </c>
      <c r="G46" s="105">
        <f>IF(AND('Courses Valid'!C58=0,Courses!I52&lt;&gt;"",Courses!J52&gt;0,SUM(Courses!M52,Courses!N52)&gt;0),Courses!J52*SUM(Courses!M52,Courses!N52),0)</f>
        <v>0</v>
      </c>
      <c r="H46" s="1580">
        <f>IF(AND('Courses Valid'!C58=0,Courses!E52&lt;&gt;"",Courses!F52&gt;0,SUM(Courses!O52,Courses!P52)&gt;0),Courses!F52*SUM(Courses!O52,Courses!P52),0)</f>
        <v>0</v>
      </c>
      <c r="I46" s="41">
        <f>IF(AND('Courses Valid'!C58=0,Courses!G52&lt;&gt;"",Courses!H52&gt;0,SUM(Courses!O52,Courses!P52)&gt;0),Courses!H52*SUM(Courses!O52,Courses!P52),0)</f>
        <v>0</v>
      </c>
      <c r="J46" s="105">
        <f>IF(AND('Courses Valid'!C58=0,Courses!I52&lt;&gt;"",Courses!J52&gt;0,SUM(Courses!O52,Courses!P52)&gt;0),Courses!J52*SUM(Courses!O52,Courses!P52),0)</f>
        <v>0</v>
      </c>
      <c r="K46" s="1580">
        <f>IF(AND('Courses Valid'!C58=0,Courses!E52&lt;&gt;"",Courses!F52&gt;0,Courses!Q52&gt;0),Courses!F52*Courses!Q52,0)</f>
        <v>0</v>
      </c>
      <c r="L46" s="41">
        <f>IF(AND('Courses Valid'!C58=0,Courses!G52&lt;&gt;"",Courses!H52&gt;0,Courses!Q52&gt;0),Courses!H52*Courses!Q52,0)</f>
        <v>0</v>
      </c>
      <c r="M46" s="105">
        <f>IF(AND('Courses Valid'!C58=0,Courses!I52&lt;&gt;"",Courses!J52&gt;0,Courses!Q52&gt;0),Courses!J52*Courses!Q52,0)</f>
        <v>0</v>
      </c>
      <c r="N46" s="41">
        <f>IF(AND('Courses Valid'!C58=0,Courses!E52&lt;&gt;"",Courses!F52&gt;0,SUM(Courses!W52,Courses!X52)&gt;0),Courses!F52*SUM(Courses!W52,Courses!X52),0)</f>
        <v>0</v>
      </c>
      <c r="O46" s="41">
        <f>IF(AND('Courses Valid'!C58=0,Courses!G52&lt;&gt;"",Courses!H52&gt;0,SUM(Courses!W52,Courses!X52)&gt;0),Courses!H52*SUM(Courses!W52,Courses!X52),0)</f>
        <v>0</v>
      </c>
      <c r="P46" s="41">
        <f>IF(AND('Courses Valid'!C58=0,Courses!I52&lt;&gt;"",Courses!J52&gt;0,SUM(Courses!W52,Courses!X52)&gt;0),Courses!J52*SUM(Courses!W52,Courses!X52),0)</f>
        <v>0</v>
      </c>
      <c r="Q46" s="1580">
        <f>IF(AND('Courses Valid'!C58=0,Courses!E52&lt;&gt;"",Courses!F52&gt;0,SUM(Courses!Y52,Courses!Z52)&gt;0),Courses!F52*SUM(Courses!Y52,Courses!Z52),0)</f>
        <v>0</v>
      </c>
      <c r="R46" s="41">
        <f>IF(AND('Courses Valid'!C58=0,Courses!G52&lt;&gt;"",Courses!H52&gt;0,SUM(Courses!Y52,Courses!Z52)&gt;0),Courses!H52*SUM(Courses!Y52,Courses!Z52),0)</f>
        <v>0</v>
      </c>
      <c r="S46" s="105">
        <f>IF(AND('Courses Valid'!C58=0,Courses!I52&lt;&gt;"",Courses!J52&gt;0,SUM(Courses!Y52,Courses!Z52)&gt;0),Courses!J52*SUM(Courses!Y52,Courses!Z52),0)</f>
        <v>0</v>
      </c>
      <c r="T46" s="41">
        <f>IF(AND('Courses Valid'!C58=0,Courses!E52&lt;&gt;"",Courses!F52&gt;0,Courses!AA52&gt;0),Courses!F52*Courses!AA52,0)</f>
        <v>0</v>
      </c>
      <c r="U46" s="41">
        <f>IF(AND('Courses Valid'!C58=0,Courses!G52&lt;&gt;"",Courses!H52&gt;0,Courses!AA52&gt;0),Courses!H52*Courses!AA52,0)</f>
        <v>0</v>
      </c>
      <c r="V46" s="106">
        <f>IF(AND('Courses Valid'!C58=0,Courses!I52&lt;&gt;"",Courses!J52&gt;0,Courses!AA52&gt;0),Courses!J52*Courses!AA52,0)</f>
        <v>0</v>
      </c>
      <c r="W46" s="524"/>
      <c r="X46" s="605"/>
      <c r="Y46" s="3"/>
      <c r="Z46" s="10" t="s">
        <v>210</v>
      </c>
      <c r="AA46" s="642" t="s">
        <v>254</v>
      </c>
      <c r="AB46" s="649">
        <f t="shared" si="0"/>
        <v>0</v>
      </c>
      <c r="AC46" s="607">
        <f t="shared" si="1"/>
        <v>0</v>
      </c>
      <c r="AD46" s="608">
        <f t="shared" si="2"/>
        <v>0</v>
      </c>
      <c r="AE46" s="41"/>
      <c r="AF46" s="41"/>
      <c r="AG46" s="105"/>
      <c r="AH46" s="606">
        <f t="shared" si="3"/>
        <v>0</v>
      </c>
      <c r="AI46" s="607">
        <f t="shared" si="4"/>
        <v>0</v>
      </c>
      <c r="AJ46" s="609">
        <f t="shared" si="5"/>
        <v>0</v>
      </c>
    </row>
    <row r="47" spans="2:36" x14ac:dyDescent="0.35">
      <c r="B47" s="70" t="str">
        <f>IF(Courses!B53&lt;&gt;"",CONCATENATE(Courses!E53,"/",Courses!L53,"/",Courses!K53),"")</f>
        <v/>
      </c>
      <c r="C47" s="1579" t="str">
        <f>IF(AND(Courses!B53&lt;&gt;"",Courses!G53&lt;&gt;""),CONCATENATE(Courses!G53,"/",Courses!L53,"/",Courses!K53),"")</f>
        <v/>
      </c>
      <c r="D47" s="71" t="str">
        <f>IF(AND(Courses!B53&lt;&gt;"",Courses!I53&lt;&gt;""),CONCATENATE(Courses!I53,"/",Courses!L53,"/",Courses!K53),"")</f>
        <v/>
      </c>
      <c r="E47" s="1580">
        <f>IF(AND('Courses Valid'!C59=0,Courses!E53&lt;&gt;"",Courses!F53&gt;0,SUM(Courses!M53,Courses!N53)&gt;0),Courses!F53*SUM(Courses!M53,Courses!N53),0)</f>
        <v>0</v>
      </c>
      <c r="F47" s="41">
        <f>IF(AND('Courses Valid'!C59=0,Courses!G53&lt;&gt;"",Courses!H53&gt;0,SUM(Courses!M53,Courses!N53)&gt;0),Courses!H53*SUM(Courses!M53,Courses!N53),0)</f>
        <v>0</v>
      </c>
      <c r="G47" s="105">
        <f>IF(AND('Courses Valid'!C59=0,Courses!I53&lt;&gt;"",Courses!J53&gt;0,SUM(Courses!M53,Courses!N53)&gt;0),Courses!J53*SUM(Courses!M53,Courses!N53),0)</f>
        <v>0</v>
      </c>
      <c r="H47" s="1580">
        <f>IF(AND('Courses Valid'!C59=0,Courses!E53&lt;&gt;"",Courses!F53&gt;0,SUM(Courses!O53,Courses!P53)&gt;0),Courses!F53*SUM(Courses!O53,Courses!P53),0)</f>
        <v>0</v>
      </c>
      <c r="I47" s="41">
        <f>IF(AND('Courses Valid'!C59=0,Courses!G53&lt;&gt;"",Courses!H53&gt;0,SUM(Courses!O53,Courses!P53)&gt;0),Courses!H53*SUM(Courses!O53,Courses!P53),0)</f>
        <v>0</v>
      </c>
      <c r="J47" s="105">
        <f>IF(AND('Courses Valid'!C59=0,Courses!I53&lt;&gt;"",Courses!J53&gt;0,SUM(Courses!O53,Courses!P53)&gt;0),Courses!J53*SUM(Courses!O53,Courses!P53),0)</f>
        <v>0</v>
      </c>
      <c r="K47" s="1580">
        <f>IF(AND('Courses Valid'!C59=0,Courses!E53&lt;&gt;"",Courses!F53&gt;0,Courses!Q53&gt;0),Courses!F53*Courses!Q53,0)</f>
        <v>0</v>
      </c>
      <c r="L47" s="41">
        <f>IF(AND('Courses Valid'!C59=0,Courses!G53&lt;&gt;"",Courses!H53&gt;0,Courses!Q53&gt;0),Courses!H53*Courses!Q53,0)</f>
        <v>0</v>
      </c>
      <c r="M47" s="105">
        <f>IF(AND('Courses Valid'!C59=0,Courses!I53&lt;&gt;"",Courses!J53&gt;0,Courses!Q53&gt;0),Courses!J53*Courses!Q53,0)</f>
        <v>0</v>
      </c>
      <c r="N47" s="41">
        <f>IF(AND('Courses Valid'!C59=0,Courses!E53&lt;&gt;"",Courses!F53&gt;0,SUM(Courses!W53,Courses!X53)&gt;0),Courses!F53*SUM(Courses!W53,Courses!X53),0)</f>
        <v>0</v>
      </c>
      <c r="O47" s="41">
        <f>IF(AND('Courses Valid'!C59=0,Courses!G53&lt;&gt;"",Courses!H53&gt;0,SUM(Courses!W53,Courses!X53)&gt;0),Courses!H53*SUM(Courses!W53,Courses!X53),0)</f>
        <v>0</v>
      </c>
      <c r="P47" s="41">
        <f>IF(AND('Courses Valid'!C59=0,Courses!I53&lt;&gt;"",Courses!J53&gt;0,SUM(Courses!W53,Courses!X53)&gt;0),Courses!J53*SUM(Courses!W53,Courses!X53),0)</f>
        <v>0</v>
      </c>
      <c r="Q47" s="1580">
        <f>IF(AND('Courses Valid'!C59=0,Courses!E53&lt;&gt;"",Courses!F53&gt;0,SUM(Courses!Y53,Courses!Z53)&gt;0),Courses!F53*SUM(Courses!Y53,Courses!Z53),0)</f>
        <v>0</v>
      </c>
      <c r="R47" s="41">
        <f>IF(AND('Courses Valid'!C59=0,Courses!G53&lt;&gt;"",Courses!H53&gt;0,SUM(Courses!Y53,Courses!Z53)&gt;0),Courses!H53*SUM(Courses!Y53,Courses!Z53),0)</f>
        <v>0</v>
      </c>
      <c r="S47" s="105">
        <f>IF(AND('Courses Valid'!C59=0,Courses!I53&lt;&gt;"",Courses!J53&gt;0,SUM(Courses!Y53,Courses!Z53)&gt;0),Courses!J53*SUM(Courses!Y53,Courses!Z53),0)</f>
        <v>0</v>
      </c>
      <c r="T47" s="41">
        <f>IF(AND('Courses Valid'!C59=0,Courses!E53&lt;&gt;"",Courses!F53&gt;0,Courses!AA53&gt;0),Courses!F53*Courses!AA53,0)</f>
        <v>0</v>
      </c>
      <c r="U47" s="41">
        <f>IF(AND('Courses Valid'!C59=0,Courses!G53&lt;&gt;"",Courses!H53&gt;0,Courses!AA53&gt;0),Courses!H53*Courses!AA53,0)</f>
        <v>0</v>
      </c>
      <c r="V47" s="106">
        <f>IF(AND('Courses Valid'!C59=0,Courses!I53&lt;&gt;"",Courses!J53&gt;0,Courses!AA53&gt;0),Courses!J53*Courses!AA53,0)</f>
        <v>0</v>
      </c>
      <c r="W47" s="524"/>
      <c r="X47" s="605"/>
      <c r="Y47" s="3"/>
      <c r="Z47" s="10" t="s">
        <v>212</v>
      </c>
      <c r="AA47" s="642" t="s">
        <v>255</v>
      </c>
      <c r="AB47" s="620">
        <f t="shared" si="0"/>
        <v>0</v>
      </c>
      <c r="AC47" s="611">
        <f t="shared" si="1"/>
        <v>0</v>
      </c>
      <c r="AD47" s="612">
        <f t="shared" si="2"/>
        <v>0</v>
      </c>
      <c r="AE47" s="41"/>
      <c r="AF47" s="41"/>
      <c r="AG47" s="105"/>
      <c r="AH47" s="610">
        <f t="shared" si="3"/>
        <v>0</v>
      </c>
      <c r="AI47" s="611">
        <f t="shared" si="4"/>
        <v>0</v>
      </c>
      <c r="AJ47" s="613">
        <f t="shared" si="5"/>
        <v>0</v>
      </c>
    </row>
    <row r="48" spans="2:36" x14ac:dyDescent="0.35">
      <c r="B48" s="70" t="str">
        <f>IF(Courses!B54&lt;&gt;"",CONCATENATE(Courses!E54,"/",Courses!L54,"/",Courses!K54),"")</f>
        <v/>
      </c>
      <c r="C48" s="1579" t="str">
        <f>IF(AND(Courses!B54&lt;&gt;"",Courses!G54&lt;&gt;""),CONCATENATE(Courses!G54,"/",Courses!L54,"/",Courses!K54),"")</f>
        <v/>
      </c>
      <c r="D48" s="71" t="str">
        <f>IF(AND(Courses!B54&lt;&gt;"",Courses!I54&lt;&gt;""),CONCATENATE(Courses!I54,"/",Courses!L54,"/",Courses!K54),"")</f>
        <v/>
      </c>
      <c r="E48" s="1580">
        <f>IF(AND('Courses Valid'!C60=0,Courses!E54&lt;&gt;"",Courses!F54&gt;0,SUM(Courses!M54,Courses!N54)&gt;0),Courses!F54*SUM(Courses!M54,Courses!N54),0)</f>
        <v>0</v>
      </c>
      <c r="F48" s="41">
        <f>IF(AND('Courses Valid'!C60=0,Courses!G54&lt;&gt;"",Courses!H54&gt;0,SUM(Courses!M54,Courses!N54)&gt;0),Courses!H54*SUM(Courses!M54,Courses!N54),0)</f>
        <v>0</v>
      </c>
      <c r="G48" s="105">
        <f>IF(AND('Courses Valid'!C60=0,Courses!I54&lt;&gt;"",Courses!J54&gt;0,SUM(Courses!M54,Courses!N54)&gt;0),Courses!J54*SUM(Courses!M54,Courses!N54),0)</f>
        <v>0</v>
      </c>
      <c r="H48" s="1580">
        <f>IF(AND('Courses Valid'!C60=0,Courses!E54&lt;&gt;"",Courses!F54&gt;0,SUM(Courses!O54,Courses!P54)&gt;0),Courses!F54*SUM(Courses!O54,Courses!P54),0)</f>
        <v>0</v>
      </c>
      <c r="I48" s="41">
        <f>IF(AND('Courses Valid'!C60=0,Courses!G54&lt;&gt;"",Courses!H54&gt;0,SUM(Courses!O54,Courses!P54)&gt;0),Courses!H54*SUM(Courses!O54,Courses!P54),0)</f>
        <v>0</v>
      </c>
      <c r="J48" s="105">
        <f>IF(AND('Courses Valid'!C60=0,Courses!I54&lt;&gt;"",Courses!J54&gt;0,SUM(Courses!O54,Courses!P54)&gt;0),Courses!J54*SUM(Courses!O54,Courses!P54),0)</f>
        <v>0</v>
      </c>
      <c r="K48" s="1580">
        <f>IF(AND('Courses Valid'!C60=0,Courses!E54&lt;&gt;"",Courses!F54&gt;0,Courses!Q54&gt;0),Courses!F54*Courses!Q54,0)</f>
        <v>0</v>
      </c>
      <c r="L48" s="41">
        <f>IF(AND('Courses Valid'!C60=0,Courses!G54&lt;&gt;"",Courses!H54&gt;0,Courses!Q54&gt;0),Courses!H54*Courses!Q54,0)</f>
        <v>0</v>
      </c>
      <c r="M48" s="105">
        <f>IF(AND('Courses Valid'!C60=0,Courses!I54&lt;&gt;"",Courses!J54&gt;0,Courses!Q54&gt;0),Courses!J54*Courses!Q54,0)</f>
        <v>0</v>
      </c>
      <c r="N48" s="41">
        <f>IF(AND('Courses Valid'!C60=0,Courses!E54&lt;&gt;"",Courses!F54&gt;0,SUM(Courses!W54,Courses!X54)&gt;0),Courses!F54*SUM(Courses!W54,Courses!X54),0)</f>
        <v>0</v>
      </c>
      <c r="O48" s="41">
        <f>IF(AND('Courses Valid'!C60=0,Courses!G54&lt;&gt;"",Courses!H54&gt;0,SUM(Courses!W54,Courses!X54)&gt;0),Courses!H54*SUM(Courses!W54,Courses!X54),0)</f>
        <v>0</v>
      </c>
      <c r="P48" s="41">
        <f>IF(AND('Courses Valid'!C60=0,Courses!I54&lt;&gt;"",Courses!J54&gt;0,SUM(Courses!W54,Courses!X54)&gt;0),Courses!J54*SUM(Courses!W54,Courses!X54),0)</f>
        <v>0</v>
      </c>
      <c r="Q48" s="1580">
        <f>IF(AND('Courses Valid'!C60=0,Courses!E54&lt;&gt;"",Courses!F54&gt;0,SUM(Courses!Y54,Courses!Z54)&gt;0),Courses!F54*SUM(Courses!Y54,Courses!Z54),0)</f>
        <v>0</v>
      </c>
      <c r="R48" s="41">
        <f>IF(AND('Courses Valid'!C60=0,Courses!G54&lt;&gt;"",Courses!H54&gt;0,SUM(Courses!Y54,Courses!Z54)&gt;0),Courses!H54*SUM(Courses!Y54,Courses!Z54),0)</f>
        <v>0</v>
      </c>
      <c r="S48" s="105">
        <f>IF(AND('Courses Valid'!C60=0,Courses!I54&lt;&gt;"",Courses!J54&gt;0,SUM(Courses!Y54,Courses!Z54)&gt;0),Courses!J54*SUM(Courses!Y54,Courses!Z54),0)</f>
        <v>0</v>
      </c>
      <c r="T48" s="41">
        <f>IF(AND('Courses Valid'!C60=0,Courses!E54&lt;&gt;"",Courses!F54&gt;0,Courses!AA54&gt;0),Courses!F54*Courses!AA54,0)</f>
        <v>0</v>
      </c>
      <c r="U48" s="41">
        <f>IF(AND('Courses Valid'!C60=0,Courses!G54&lt;&gt;"",Courses!H54&gt;0,Courses!AA54&gt;0),Courses!H54*Courses!AA54,0)</f>
        <v>0</v>
      </c>
      <c r="V48" s="106">
        <f>IF(AND('Courses Valid'!C60=0,Courses!I54&lt;&gt;"",Courses!J54&gt;0,Courses!AA54&gt;0),Courses!J54*Courses!AA54,0)</f>
        <v>0</v>
      </c>
      <c r="W48" s="524"/>
      <c r="X48" s="527"/>
      <c r="Y48" s="3"/>
      <c r="Z48" s="10" t="s">
        <v>214</v>
      </c>
      <c r="AA48" s="642" t="s">
        <v>256</v>
      </c>
      <c r="AB48" s="620">
        <f t="shared" si="0"/>
        <v>0</v>
      </c>
      <c r="AC48" s="611">
        <f t="shared" si="1"/>
        <v>0</v>
      </c>
      <c r="AD48" s="612">
        <f t="shared" si="2"/>
        <v>0</v>
      </c>
      <c r="AE48" s="41"/>
      <c r="AF48" s="41"/>
      <c r="AG48" s="105"/>
      <c r="AH48" s="610">
        <f t="shared" si="3"/>
        <v>0</v>
      </c>
      <c r="AI48" s="611">
        <f t="shared" si="4"/>
        <v>0</v>
      </c>
      <c r="AJ48" s="613">
        <f t="shared" si="5"/>
        <v>0</v>
      </c>
    </row>
    <row r="49" spans="2:36" x14ac:dyDescent="0.35">
      <c r="B49" s="70" t="str">
        <f>IF(Courses!B55&lt;&gt;"",CONCATENATE(Courses!E55,"/",Courses!L55,"/",Courses!K55),"")</f>
        <v/>
      </c>
      <c r="C49" s="1579" t="str">
        <f>IF(AND(Courses!B55&lt;&gt;"",Courses!G55&lt;&gt;""),CONCATENATE(Courses!G55,"/",Courses!L55,"/",Courses!K55),"")</f>
        <v/>
      </c>
      <c r="D49" s="71" t="str">
        <f>IF(AND(Courses!B55&lt;&gt;"",Courses!I55&lt;&gt;""),CONCATENATE(Courses!I55,"/",Courses!L55,"/",Courses!K55),"")</f>
        <v/>
      </c>
      <c r="E49" s="1580">
        <f>IF(AND('Courses Valid'!C61=0,Courses!E55&lt;&gt;"",Courses!F55&gt;0,SUM(Courses!M55,Courses!N55)&gt;0),Courses!F55*SUM(Courses!M55,Courses!N55),0)</f>
        <v>0</v>
      </c>
      <c r="F49" s="41">
        <f>IF(AND('Courses Valid'!C61=0,Courses!G55&lt;&gt;"",Courses!H55&gt;0,SUM(Courses!M55,Courses!N55)&gt;0),Courses!H55*SUM(Courses!M55,Courses!N55),0)</f>
        <v>0</v>
      </c>
      <c r="G49" s="105">
        <f>IF(AND('Courses Valid'!C61=0,Courses!I55&lt;&gt;"",Courses!J55&gt;0,SUM(Courses!M55,Courses!N55)&gt;0),Courses!J55*SUM(Courses!M55,Courses!N55),0)</f>
        <v>0</v>
      </c>
      <c r="H49" s="1580">
        <f>IF(AND('Courses Valid'!C61=0,Courses!E55&lt;&gt;"",Courses!F55&gt;0,SUM(Courses!O55,Courses!P55)&gt;0),Courses!F55*SUM(Courses!O55,Courses!P55),0)</f>
        <v>0</v>
      </c>
      <c r="I49" s="41">
        <f>IF(AND('Courses Valid'!C61=0,Courses!G55&lt;&gt;"",Courses!H55&gt;0,SUM(Courses!O55,Courses!P55)&gt;0),Courses!H55*SUM(Courses!O55,Courses!P55),0)</f>
        <v>0</v>
      </c>
      <c r="J49" s="105">
        <f>IF(AND('Courses Valid'!C61=0,Courses!I55&lt;&gt;"",Courses!J55&gt;0,SUM(Courses!O55,Courses!P55)&gt;0),Courses!J55*SUM(Courses!O55,Courses!P55),0)</f>
        <v>0</v>
      </c>
      <c r="K49" s="1580">
        <f>IF(AND('Courses Valid'!C61=0,Courses!E55&lt;&gt;"",Courses!F55&gt;0,Courses!Q55&gt;0),Courses!F55*Courses!Q55,0)</f>
        <v>0</v>
      </c>
      <c r="L49" s="41">
        <f>IF(AND('Courses Valid'!C61=0,Courses!G55&lt;&gt;"",Courses!H55&gt;0,Courses!Q55&gt;0),Courses!H55*Courses!Q55,0)</f>
        <v>0</v>
      </c>
      <c r="M49" s="105">
        <f>IF(AND('Courses Valid'!C61=0,Courses!I55&lt;&gt;"",Courses!J55&gt;0,Courses!Q55&gt;0),Courses!J55*Courses!Q55,0)</f>
        <v>0</v>
      </c>
      <c r="N49" s="41">
        <f>IF(AND('Courses Valid'!C61=0,Courses!E55&lt;&gt;"",Courses!F55&gt;0,SUM(Courses!W55,Courses!X55)&gt;0),Courses!F55*SUM(Courses!W55,Courses!X55),0)</f>
        <v>0</v>
      </c>
      <c r="O49" s="41">
        <f>IF(AND('Courses Valid'!C61=0,Courses!G55&lt;&gt;"",Courses!H55&gt;0,SUM(Courses!W55,Courses!X55)&gt;0),Courses!H55*SUM(Courses!W55,Courses!X55),0)</f>
        <v>0</v>
      </c>
      <c r="P49" s="41">
        <f>IF(AND('Courses Valid'!C61=0,Courses!I55&lt;&gt;"",Courses!J55&gt;0,SUM(Courses!W55,Courses!X55)&gt;0),Courses!J55*SUM(Courses!W55,Courses!X55),0)</f>
        <v>0</v>
      </c>
      <c r="Q49" s="1580">
        <f>IF(AND('Courses Valid'!C61=0,Courses!E55&lt;&gt;"",Courses!F55&gt;0,SUM(Courses!Y55,Courses!Z55)&gt;0),Courses!F55*SUM(Courses!Y55,Courses!Z55),0)</f>
        <v>0</v>
      </c>
      <c r="R49" s="41">
        <f>IF(AND('Courses Valid'!C61=0,Courses!G55&lt;&gt;"",Courses!H55&gt;0,SUM(Courses!Y55,Courses!Z55)&gt;0),Courses!H55*SUM(Courses!Y55,Courses!Z55),0)</f>
        <v>0</v>
      </c>
      <c r="S49" s="105">
        <f>IF(AND('Courses Valid'!C61=0,Courses!I55&lt;&gt;"",Courses!J55&gt;0,SUM(Courses!Y55,Courses!Z55)&gt;0),Courses!J55*SUM(Courses!Y55,Courses!Z55),0)</f>
        <v>0</v>
      </c>
      <c r="T49" s="41">
        <f>IF(AND('Courses Valid'!C61=0,Courses!E55&lt;&gt;"",Courses!F55&gt;0,Courses!AA55&gt;0),Courses!F55*Courses!AA55,0)</f>
        <v>0</v>
      </c>
      <c r="U49" s="41">
        <f>IF(AND('Courses Valid'!C61=0,Courses!G55&lt;&gt;"",Courses!H55&gt;0,Courses!AA55&gt;0),Courses!H55*Courses!AA55,0)</f>
        <v>0</v>
      </c>
      <c r="V49" s="106">
        <f>IF(AND('Courses Valid'!C61=0,Courses!I55&lt;&gt;"",Courses!J55&gt;0,Courses!AA55&gt;0),Courses!J55*Courses!AA55,0)</f>
        <v>0</v>
      </c>
      <c r="W49" s="524"/>
      <c r="X49" s="235"/>
      <c r="Z49" s="13" t="s">
        <v>216</v>
      </c>
      <c r="AA49" s="642" t="s">
        <v>257</v>
      </c>
      <c r="AB49" s="620">
        <f t="shared" si="0"/>
        <v>0</v>
      </c>
      <c r="AC49" s="611">
        <f t="shared" si="1"/>
        <v>0</v>
      </c>
      <c r="AD49" s="612">
        <f t="shared" si="2"/>
        <v>0</v>
      </c>
      <c r="AG49" s="183"/>
      <c r="AH49" s="610">
        <f t="shared" si="3"/>
        <v>0</v>
      </c>
      <c r="AI49" s="611">
        <f t="shared" si="4"/>
        <v>0</v>
      </c>
      <c r="AJ49" s="613">
        <f t="shared" si="5"/>
        <v>0</v>
      </c>
    </row>
    <row r="50" spans="2:36" x14ac:dyDescent="0.35">
      <c r="B50" s="70" t="str">
        <f>IF(Courses!B56&lt;&gt;"",CONCATENATE(Courses!E56,"/",Courses!L56,"/",Courses!K56),"")</f>
        <v/>
      </c>
      <c r="C50" s="1579" t="str">
        <f>IF(AND(Courses!B56&lt;&gt;"",Courses!G56&lt;&gt;""),CONCATENATE(Courses!G56,"/",Courses!L56,"/",Courses!K56),"")</f>
        <v/>
      </c>
      <c r="D50" s="71" t="str">
        <f>IF(AND(Courses!B56&lt;&gt;"",Courses!I56&lt;&gt;""),CONCATENATE(Courses!I56,"/",Courses!L56,"/",Courses!K56),"")</f>
        <v/>
      </c>
      <c r="E50" s="1580">
        <f>IF(AND('Courses Valid'!C62=0,Courses!E56&lt;&gt;"",Courses!F56&gt;0,SUM(Courses!M56,Courses!N56)&gt;0),Courses!F56*SUM(Courses!M56,Courses!N56),0)</f>
        <v>0</v>
      </c>
      <c r="F50" s="41">
        <f>IF(AND('Courses Valid'!C62=0,Courses!G56&lt;&gt;"",Courses!H56&gt;0,SUM(Courses!M56,Courses!N56)&gt;0),Courses!H56*SUM(Courses!M56,Courses!N56),0)</f>
        <v>0</v>
      </c>
      <c r="G50" s="105">
        <f>IF(AND('Courses Valid'!C62=0,Courses!I56&lt;&gt;"",Courses!J56&gt;0,SUM(Courses!M56,Courses!N56)&gt;0),Courses!J56*SUM(Courses!M56,Courses!N56),0)</f>
        <v>0</v>
      </c>
      <c r="H50" s="1580">
        <f>IF(AND('Courses Valid'!C62=0,Courses!E56&lt;&gt;"",Courses!F56&gt;0,SUM(Courses!O56,Courses!P56)&gt;0),Courses!F56*SUM(Courses!O56,Courses!P56),0)</f>
        <v>0</v>
      </c>
      <c r="I50" s="41">
        <f>IF(AND('Courses Valid'!C62=0,Courses!G56&lt;&gt;"",Courses!H56&gt;0,SUM(Courses!O56,Courses!P56)&gt;0),Courses!H56*SUM(Courses!O56,Courses!P56),0)</f>
        <v>0</v>
      </c>
      <c r="J50" s="105">
        <f>IF(AND('Courses Valid'!C62=0,Courses!I56&lt;&gt;"",Courses!J56&gt;0,SUM(Courses!O56,Courses!P56)&gt;0),Courses!J56*SUM(Courses!O56,Courses!P56),0)</f>
        <v>0</v>
      </c>
      <c r="K50" s="1580">
        <f>IF(AND('Courses Valid'!C62=0,Courses!E56&lt;&gt;"",Courses!F56&gt;0,Courses!Q56&gt;0),Courses!F56*Courses!Q56,0)</f>
        <v>0</v>
      </c>
      <c r="L50" s="41">
        <f>IF(AND('Courses Valid'!C62=0,Courses!G56&lt;&gt;"",Courses!H56&gt;0,Courses!Q56&gt;0),Courses!H56*Courses!Q56,0)</f>
        <v>0</v>
      </c>
      <c r="M50" s="105">
        <f>IF(AND('Courses Valid'!C62=0,Courses!I56&lt;&gt;"",Courses!J56&gt;0,Courses!Q56&gt;0),Courses!J56*Courses!Q56,0)</f>
        <v>0</v>
      </c>
      <c r="N50" s="41">
        <f>IF(AND('Courses Valid'!C62=0,Courses!E56&lt;&gt;"",Courses!F56&gt;0,SUM(Courses!W56,Courses!X56)&gt;0),Courses!F56*SUM(Courses!W56,Courses!X56),0)</f>
        <v>0</v>
      </c>
      <c r="O50" s="41">
        <f>IF(AND('Courses Valid'!C62=0,Courses!G56&lt;&gt;"",Courses!H56&gt;0,SUM(Courses!W56,Courses!X56)&gt;0),Courses!H56*SUM(Courses!W56,Courses!X56),0)</f>
        <v>0</v>
      </c>
      <c r="P50" s="41">
        <f>IF(AND('Courses Valid'!C62=0,Courses!I56&lt;&gt;"",Courses!J56&gt;0,SUM(Courses!W56,Courses!X56)&gt;0),Courses!J56*SUM(Courses!W56,Courses!X56),0)</f>
        <v>0</v>
      </c>
      <c r="Q50" s="1580">
        <f>IF(AND('Courses Valid'!C62=0,Courses!E56&lt;&gt;"",Courses!F56&gt;0,SUM(Courses!Y56,Courses!Z56)&gt;0),Courses!F56*SUM(Courses!Y56,Courses!Z56),0)</f>
        <v>0</v>
      </c>
      <c r="R50" s="41">
        <f>IF(AND('Courses Valid'!C62=0,Courses!G56&lt;&gt;"",Courses!H56&gt;0,SUM(Courses!Y56,Courses!Z56)&gt;0),Courses!H56*SUM(Courses!Y56,Courses!Z56),0)</f>
        <v>0</v>
      </c>
      <c r="S50" s="105">
        <f>IF(AND('Courses Valid'!C62=0,Courses!I56&lt;&gt;"",Courses!J56&gt;0,SUM(Courses!Y56,Courses!Z56)&gt;0),Courses!J56*SUM(Courses!Y56,Courses!Z56),0)</f>
        <v>0</v>
      </c>
      <c r="T50" s="41">
        <f>IF(AND('Courses Valid'!C62=0,Courses!E56&lt;&gt;"",Courses!F56&gt;0,Courses!AA56&gt;0),Courses!F56*Courses!AA56,0)</f>
        <v>0</v>
      </c>
      <c r="U50" s="41">
        <f>IF(AND('Courses Valid'!C62=0,Courses!G56&lt;&gt;"",Courses!H56&gt;0,Courses!AA56&gt;0),Courses!H56*Courses!AA56,0)</f>
        <v>0</v>
      </c>
      <c r="V50" s="106">
        <f>IF(AND('Courses Valid'!C62=0,Courses!I56&lt;&gt;"",Courses!J56&gt;0,Courses!AA56&gt;0),Courses!J56*Courses!AA56,0)</f>
        <v>0</v>
      </c>
      <c r="W50" s="524"/>
      <c r="X50" s="99"/>
      <c r="Y50" s="614" t="s">
        <v>218</v>
      </c>
      <c r="Z50" s="615" t="s">
        <v>205</v>
      </c>
      <c r="AA50" s="647" t="s">
        <v>258</v>
      </c>
      <c r="AB50" s="650">
        <f t="shared" si="0"/>
        <v>0</v>
      </c>
      <c r="AC50" s="617">
        <f t="shared" si="1"/>
        <v>0</v>
      </c>
      <c r="AD50" s="618">
        <f t="shared" si="2"/>
        <v>0</v>
      </c>
      <c r="AE50" s="41"/>
      <c r="AF50" s="41"/>
      <c r="AG50" s="105"/>
      <c r="AH50" s="616">
        <f t="shared" si="3"/>
        <v>0</v>
      </c>
      <c r="AI50" s="617">
        <f t="shared" si="4"/>
        <v>0</v>
      </c>
      <c r="AJ50" s="619">
        <f t="shared" si="5"/>
        <v>0</v>
      </c>
    </row>
    <row r="51" spans="2:36" x14ac:dyDescent="0.35">
      <c r="B51" s="70" t="str">
        <f>IF(Courses!B57&lt;&gt;"",CONCATENATE(Courses!E57,"/",Courses!L57,"/",Courses!K57),"")</f>
        <v/>
      </c>
      <c r="C51" s="1579" t="str">
        <f>IF(AND(Courses!B57&lt;&gt;"",Courses!G57&lt;&gt;""),CONCATENATE(Courses!G57,"/",Courses!L57,"/",Courses!K57),"")</f>
        <v/>
      </c>
      <c r="D51" s="71" t="str">
        <f>IF(AND(Courses!B57&lt;&gt;"",Courses!I57&lt;&gt;""),CONCATENATE(Courses!I57,"/",Courses!L57,"/",Courses!K57),"")</f>
        <v/>
      </c>
      <c r="E51" s="1580">
        <f>IF(AND('Courses Valid'!C63=0,Courses!E57&lt;&gt;"",Courses!F57&gt;0,SUM(Courses!M57,Courses!N57)&gt;0),Courses!F57*SUM(Courses!M57,Courses!N57),0)</f>
        <v>0</v>
      </c>
      <c r="F51" s="41">
        <f>IF(AND('Courses Valid'!C63=0,Courses!G57&lt;&gt;"",Courses!H57&gt;0,SUM(Courses!M57,Courses!N57)&gt;0),Courses!H57*SUM(Courses!M57,Courses!N57),0)</f>
        <v>0</v>
      </c>
      <c r="G51" s="105">
        <f>IF(AND('Courses Valid'!C63=0,Courses!I57&lt;&gt;"",Courses!J57&gt;0,SUM(Courses!M57,Courses!N57)&gt;0),Courses!J57*SUM(Courses!M57,Courses!N57),0)</f>
        <v>0</v>
      </c>
      <c r="H51" s="1580">
        <f>IF(AND('Courses Valid'!C63=0,Courses!E57&lt;&gt;"",Courses!F57&gt;0,SUM(Courses!O57,Courses!P57)&gt;0),Courses!F57*SUM(Courses!O57,Courses!P57),0)</f>
        <v>0</v>
      </c>
      <c r="I51" s="41">
        <f>IF(AND('Courses Valid'!C63=0,Courses!G57&lt;&gt;"",Courses!H57&gt;0,SUM(Courses!O57,Courses!P57)&gt;0),Courses!H57*SUM(Courses!O57,Courses!P57),0)</f>
        <v>0</v>
      </c>
      <c r="J51" s="105">
        <f>IF(AND('Courses Valid'!C63=0,Courses!I57&lt;&gt;"",Courses!J57&gt;0,SUM(Courses!O57,Courses!P57)&gt;0),Courses!J57*SUM(Courses!O57,Courses!P57),0)</f>
        <v>0</v>
      </c>
      <c r="K51" s="1580">
        <f>IF(AND('Courses Valid'!C63=0,Courses!E57&lt;&gt;"",Courses!F57&gt;0,Courses!Q57&gt;0),Courses!F57*Courses!Q57,0)</f>
        <v>0</v>
      </c>
      <c r="L51" s="41">
        <f>IF(AND('Courses Valid'!C63=0,Courses!G57&lt;&gt;"",Courses!H57&gt;0,Courses!Q57&gt;0),Courses!H57*Courses!Q57,0)</f>
        <v>0</v>
      </c>
      <c r="M51" s="105">
        <f>IF(AND('Courses Valid'!C63=0,Courses!I57&lt;&gt;"",Courses!J57&gt;0,Courses!Q57&gt;0),Courses!J57*Courses!Q57,0)</f>
        <v>0</v>
      </c>
      <c r="N51" s="41">
        <f>IF(AND('Courses Valid'!C63=0,Courses!E57&lt;&gt;"",Courses!F57&gt;0,SUM(Courses!W57,Courses!X57)&gt;0),Courses!F57*SUM(Courses!W57,Courses!X57),0)</f>
        <v>0</v>
      </c>
      <c r="O51" s="41">
        <f>IF(AND('Courses Valid'!C63=0,Courses!G57&lt;&gt;"",Courses!H57&gt;0,SUM(Courses!W57,Courses!X57)&gt;0),Courses!H57*SUM(Courses!W57,Courses!X57),0)</f>
        <v>0</v>
      </c>
      <c r="P51" s="41">
        <f>IF(AND('Courses Valid'!C63=0,Courses!I57&lt;&gt;"",Courses!J57&gt;0,SUM(Courses!W57,Courses!X57)&gt;0),Courses!J57*SUM(Courses!W57,Courses!X57),0)</f>
        <v>0</v>
      </c>
      <c r="Q51" s="1580">
        <f>IF(AND('Courses Valid'!C63=0,Courses!E57&lt;&gt;"",Courses!F57&gt;0,SUM(Courses!Y57,Courses!Z57)&gt;0),Courses!F57*SUM(Courses!Y57,Courses!Z57),0)</f>
        <v>0</v>
      </c>
      <c r="R51" s="41">
        <f>IF(AND('Courses Valid'!C63=0,Courses!G57&lt;&gt;"",Courses!H57&gt;0,SUM(Courses!Y57,Courses!Z57)&gt;0),Courses!H57*SUM(Courses!Y57,Courses!Z57),0)</f>
        <v>0</v>
      </c>
      <c r="S51" s="105">
        <f>IF(AND('Courses Valid'!C63=0,Courses!I57&lt;&gt;"",Courses!J57&gt;0,SUM(Courses!Y57,Courses!Z57)&gt;0),Courses!J57*SUM(Courses!Y57,Courses!Z57),0)</f>
        <v>0</v>
      </c>
      <c r="T51" s="41">
        <f>IF(AND('Courses Valid'!C63=0,Courses!E57&lt;&gt;"",Courses!F57&gt;0,Courses!AA57&gt;0),Courses!F57*Courses!AA57,0)</f>
        <v>0</v>
      </c>
      <c r="U51" s="41">
        <f>IF(AND('Courses Valid'!C63=0,Courses!G57&lt;&gt;"",Courses!H57&gt;0,Courses!AA57&gt;0),Courses!H57*Courses!AA57,0)</f>
        <v>0</v>
      </c>
      <c r="V51" s="106">
        <f>IF(AND('Courses Valid'!C63=0,Courses!I57&lt;&gt;"",Courses!J57&gt;0,Courses!AA57&gt;0),Courses!J57*Courses!AA57,0)</f>
        <v>0</v>
      </c>
      <c r="W51" s="524"/>
      <c r="X51" s="99"/>
      <c r="Y51" s="518"/>
      <c r="Z51" s="10" t="s">
        <v>208</v>
      </c>
      <c r="AA51" s="646" t="s">
        <v>259</v>
      </c>
      <c r="AB51" s="648">
        <f t="shared" si="0"/>
        <v>0</v>
      </c>
      <c r="AC51" s="639">
        <f t="shared" si="1"/>
        <v>0</v>
      </c>
      <c r="AD51" s="640">
        <f t="shared" si="2"/>
        <v>0</v>
      </c>
      <c r="AE51" s="41"/>
      <c r="AF51" s="41"/>
      <c r="AG51" s="105"/>
      <c r="AH51" s="638">
        <f t="shared" si="3"/>
        <v>0</v>
      </c>
      <c r="AI51" s="639">
        <f t="shared" si="4"/>
        <v>0</v>
      </c>
      <c r="AJ51" s="641">
        <f t="shared" si="5"/>
        <v>0</v>
      </c>
    </row>
    <row r="52" spans="2:36" x14ac:dyDescent="0.35">
      <c r="B52" s="70" t="str">
        <f>IF(Courses!B58&lt;&gt;"",CONCATENATE(Courses!E58,"/",Courses!L58,"/",Courses!K58),"")</f>
        <v/>
      </c>
      <c r="C52" s="1579" t="str">
        <f>IF(AND(Courses!B58&lt;&gt;"",Courses!G58&lt;&gt;""),CONCATENATE(Courses!G58,"/",Courses!L58,"/",Courses!K58),"")</f>
        <v/>
      </c>
      <c r="D52" s="71" t="str">
        <f>IF(AND(Courses!B58&lt;&gt;"",Courses!I58&lt;&gt;""),CONCATENATE(Courses!I58,"/",Courses!L58,"/",Courses!K58),"")</f>
        <v/>
      </c>
      <c r="E52" s="1580">
        <f>IF(AND('Courses Valid'!C64=0,Courses!E58&lt;&gt;"",Courses!F58&gt;0,SUM(Courses!M58,Courses!N58)&gt;0),Courses!F58*SUM(Courses!M58,Courses!N58),0)</f>
        <v>0</v>
      </c>
      <c r="F52" s="41">
        <f>IF(AND('Courses Valid'!C64=0,Courses!G58&lt;&gt;"",Courses!H58&gt;0,SUM(Courses!M58,Courses!N58)&gt;0),Courses!H58*SUM(Courses!M58,Courses!N58),0)</f>
        <v>0</v>
      </c>
      <c r="G52" s="105">
        <f>IF(AND('Courses Valid'!C64=0,Courses!I58&lt;&gt;"",Courses!J58&gt;0,SUM(Courses!M58,Courses!N58)&gt;0),Courses!J58*SUM(Courses!M58,Courses!N58),0)</f>
        <v>0</v>
      </c>
      <c r="H52" s="1580">
        <f>IF(AND('Courses Valid'!C64=0,Courses!E58&lt;&gt;"",Courses!F58&gt;0,SUM(Courses!O58,Courses!P58)&gt;0),Courses!F58*SUM(Courses!O58,Courses!P58),0)</f>
        <v>0</v>
      </c>
      <c r="I52" s="41">
        <f>IF(AND('Courses Valid'!C64=0,Courses!G58&lt;&gt;"",Courses!H58&gt;0,SUM(Courses!O58,Courses!P58)&gt;0),Courses!H58*SUM(Courses!O58,Courses!P58),0)</f>
        <v>0</v>
      </c>
      <c r="J52" s="105">
        <f>IF(AND('Courses Valid'!C64=0,Courses!I58&lt;&gt;"",Courses!J58&gt;0,SUM(Courses!O58,Courses!P58)&gt;0),Courses!J58*SUM(Courses!O58,Courses!P58),0)</f>
        <v>0</v>
      </c>
      <c r="K52" s="1580">
        <f>IF(AND('Courses Valid'!C64=0,Courses!E58&lt;&gt;"",Courses!F58&gt;0,Courses!Q58&gt;0),Courses!F58*Courses!Q58,0)</f>
        <v>0</v>
      </c>
      <c r="L52" s="41">
        <f>IF(AND('Courses Valid'!C64=0,Courses!G58&lt;&gt;"",Courses!H58&gt;0,Courses!Q58&gt;0),Courses!H58*Courses!Q58,0)</f>
        <v>0</v>
      </c>
      <c r="M52" s="105">
        <f>IF(AND('Courses Valid'!C64=0,Courses!I58&lt;&gt;"",Courses!J58&gt;0,Courses!Q58&gt;0),Courses!J58*Courses!Q58,0)</f>
        <v>0</v>
      </c>
      <c r="N52" s="41">
        <f>IF(AND('Courses Valid'!C64=0,Courses!E58&lt;&gt;"",Courses!F58&gt;0,SUM(Courses!W58,Courses!X58)&gt;0),Courses!F58*SUM(Courses!W58,Courses!X58),0)</f>
        <v>0</v>
      </c>
      <c r="O52" s="41">
        <f>IF(AND('Courses Valid'!C64=0,Courses!G58&lt;&gt;"",Courses!H58&gt;0,SUM(Courses!W58,Courses!X58)&gt;0),Courses!H58*SUM(Courses!W58,Courses!X58),0)</f>
        <v>0</v>
      </c>
      <c r="P52" s="41">
        <f>IF(AND('Courses Valid'!C64=0,Courses!I58&lt;&gt;"",Courses!J58&gt;0,SUM(Courses!W58,Courses!X58)&gt;0),Courses!J58*SUM(Courses!W58,Courses!X58),0)</f>
        <v>0</v>
      </c>
      <c r="Q52" s="1580">
        <f>IF(AND('Courses Valid'!C64=0,Courses!E58&lt;&gt;"",Courses!F58&gt;0,SUM(Courses!Y58,Courses!Z58)&gt;0),Courses!F58*SUM(Courses!Y58,Courses!Z58),0)</f>
        <v>0</v>
      </c>
      <c r="R52" s="41">
        <f>IF(AND('Courses Valid'!C64=0,Courses!G58&lt;&gt;"",Courses!H58&gt;0,SUM(Courses!Y58,Courses!Z58)&gt;0),Courses!H58*SUM(Courses!Y58,Courses!Z58),0)</f>
        <v>0</v>
      </c>
      <c r="S52" s="105">
        <f>IF(AND('Courses Valid'!C64=0,Courses!I58&lt;&gt;"",Courses!J58&gt;0,SUM(Courses!Y58,Courses!Z58)&gt;0),Courses!J58*SUM(Courses!Y58,Courses!Z58),0)</f>
        <v>0</v>
      </c>
      <c r="T52" s="41">
        <f>IF(AND('Courses Valid'!C64=0,Courses!E58&lt;&gt;"",Courses!F58&gt;0,Courses!AA58&gt;0),Courses!F58*Courses!AA58,0)</f>
        <v>0</v>
      </c>
      <c r="U52" s="41">
        <f>IF(AND('Courses Valid'!C64=0,Courses!G58&lt;&gt;"",Courses!H58&gt;0,Courses!AA58&gt;0),Courses!H58*Courses!AA58,0)</f>
        <v>0</v>
      </c>
      <c r="V52" s="106">
        <f>IF(AND('Courses Valid'!C64=0,Courses!I58&lt;&gt;"",Courses!J58&gt;0,Courses!AA58&gt;0),Courses!J58*Courses!AA58,0)</f>
        <v>0</v>
      </c>
      <c r="W52" s="524"/>
      <c r="X52" s="99"/>
      <c r="Y52" s="518"/>
      <c r="Z52" s="10" t="s">
        <v>210</v>
      </c>
      <c r="AA52" s="642" t="s">
        <v>260</v>
      </c>
      <c r="AB52" s="649">
        <f t="shared" si="0"/>
        <v>0</v>
      </c>
      <c r="AC52" s="607">
        <f t="shared" si="1"/>
        <v>0</v>
      </c>
      <c r="AD52" s="608">
        <f t="shared" si="2"/>
        <v>0</v>
      </c>
      <c r="AE52" s="41"/>
      <c r="AF52" s="41"/>
      <c r="AG52" s="105"/>
      <c r="AH52" s="606">
        <f t="shared" si="3"/>
        <v>0</v>
      </c>
      <c r="AI52" s="607">
        <f t="shared" si="4"/>
        <v>0</v>
      </c>
      <c r="AJ52" s="609">
        <f t="shared" si="5"/>
        <v>0</v>
      </c>
    </row>
    <row r="53" spans="2:36" x14ac:dyDescent="0.35">
      <c r="B53" s="70" t="str">
        <f>IF(Courses!B59&lt;&gt;"",CONCATENATE(Courses!E59,"/",Courses!L59,"/",Courses!K59),"")</f>
        <v/>
      </c>
      <c r="C53" s="1579" t="str">
        <f>IF(AND(Courses!B59&lt;&gt;"",Courses!G59&lt;&gt;""),CONCATENATE(Courses!G59,"/",Courses!L59,"/",Courses!K59),"")</f>
        <v/>
      </c>
      <c r="D53" s="71" t="str">
        <f>IF(AND(Courses!B59&lt;&gt;"",Courses!I59&lt;&gt;""),CONCATENATE(Courses!I59,"/",Courses!L59,"/",Courses!K59),"")</f>
        <v/>
      </c>
      <c r="E53" s="1580">
        <f>IF(AND('Courses Valid'!C65=0,Courses!E59&lt;&gt;"",Courses!F59&gt;0,SUM(Courses!M59,Courses!N59)&gt;0),Courses!F59*SUM(Courses!M59,Courses!N59),0)</f>
        <v>0</v>
      </c>
      <c r="F53" s="41">
        <f>IF(AND('Courses Valid'!C65=0,Courses!G59&lt;&gt;"",Courses!H59&gt;0,SUM(Courses!M59,Courses!N59)&gt;0),Courses!H59*SUM(Courses!M59,Courses!N59),0)</f>
        <v>0</v>
      </c>
      <c r="G53" s="105">
        <f>IF(AND('Courses Valid'!C65=0,Courses!I59&lt;&gt;"",Courses!J59&gt;0,SUM(Courses!M59,Courses!N59)&gt;0),Courses!J59*SUM(Courses!M59,Courses!N59),0)</f>
        <v>0</v>
      </c>
      <c r="H53" s="1580">
        <f>IF(AND('Courses Valid'!C65=0,Courses!E59&lt;&gt;"",Courses!F59&gt;0,SUM(Courses!O59,Courses!P59)&gt;0),Courses!F59*SUM(Courses!O59,Courses!P59),0)</f>
        <v>0</v>
      </c>
      <c r="I53" s="41">
        <f>IF(AND('Courses Valid'!C65=0,Courses!G59&lt;&gt;"",Courses!H59&gt;0,SUM(Courses!O59,Courses!P59)&gt;0),Courses!H59*SUM(Courses!O59,Courses!P59),0)</f>
        <v>0</v>
      </c>
      <c r="J53" s="105">
        <f>IF(AND('Courses Valid'!C65=0,Courses!I59&lt;&gt;"",Courses!J59&gt;0,SUM(Courses!O59,Courses!P59)&gt;0),Courses!J59*SUM(Courses!O59,Courses!P59),0)</f>
        <v>0</v>
      </c>
      <c r="K53" s="1580">
        <f>IF(AND('Courses Valid'!C65=0,Courses!E59&lt;&gt;"",Courses!F59&gt;0,Courses!Q59&gt;0),Courses!F59*Courses!Q59,0)</f>
        <v>0</v>
      </c>
      <c r="L53" s="41">
        <f>IF(AND('Courses Valid'!C65=0,Courses!G59&lt;&gt;"",Courses!H59&gt;0,Courses!Q59&gt;0),Courses!H59*Courses!Q59,0)</f>
        <v>0</v>
      </c>
      <c r="M53" s="105">
        <f>IF(AND('Courses Valid'!C65=0,Courses!I59&lt;&gt;"",Courses!J59&gt;0,Courses!Q59&gt;0),Courses!J59*Courses!Q59,0)</f>
        <v>0</v>
      </c>
      <c r="N53" s="41">
        <f>IF(AND('Courses Valid'!C65=0,Courses!E59&lt;&gt;"",Courses!F59&gt;0,SUM(Courses!W59,Courses!X59)&gt;0),Courses!F59*SUM(Courses!W59,Courses!X59),0)</f>
        <v>0</v>
      </c>
      <c r="O53" s="41">
        <f>IF(AND('Courses Valid'!C65=0,Courses!G59&lt;&gt;"",Courses!H59&gt;0,SUM(Courses!W59,Courses!X59)&gt;0),Courses!H59*SUM(Courses!W59,Courses!X59),0)</f>
        <v>0</v>
      </c>
      <c r="P53" s="41">
        <f>IF(AND('Courses Valid'!C65=0,Courses!I59&lt;&gt;"",Courses!J59&gt;0,SUM(Courses!W59,Courses!X59)&gt;0),Courses!J59*SUM(Courses!W59,Courses!X59),0)</f>
        <v>0</v>
      </c>
      <c r="Q53" s="1580">
        <f>IF(AND('Courses Valid'!C65=0,Courses!E59&lt;&gt;"",Courses!F59&gt;0,SUM(Courses!Y59,Courses!Z59)&gt;0),Courses!F59*SUM(Courses!Y59,Courses!Z59),0)</f>
        <v>0</v>
      </c>
      <c r="R53" s="41">
        <f>IF(AND('Courses Valid'!C65=0,Courses!G59&lt;&gt;"",Courses!H59&gt;0,SUM(Courses!Y59,Courses!Z59)&gt;0),Courses!H59*SUM(Courses!Y59,Courses!Z59),0)</f>
        <v>0</v>
      </c>
      <c r="S53" s="105">
        <f>IF(AND('Courses Valid'!C65=0,Courses!I59&lt;&gt;"",Courses!J59&gt;0,SUM(Courses!Y59,Courses!Z59)&gt;0),Courses!J59*SUM(Courses!Y59,Courses!Z59),0)</f>
        <v>0</v>
      </c>
      <c r="T53" s="41">
        <f>IF(AND('Courses Valid'!C65=0,Courses!E59&lt;&gt;"",Courses!F59&gt;0,Courses!AA59&gt;0),Courses!F59*Courses!AA59,0)</f>
        <v>0</v>
      </c>
      <c r="U53" s="41">
        <f>IF(AND('Courses Valid'!C65=0,Courses!G59&lt;&gt;"",Courses!H59&gt;0,Courses!AA59&gt;0),Courses!H59*Courses!AA59,0)</f>
        <v>0</v>
      </c>
      <c r="V53" s="106">
        <f>IF(AND('Courses Valid'!C65=0,Courses!I59&lt;&gt;"",Courses!J59&gt;0,Courses!AA59&gt;0),Courses!J59*Courses!AA59,0)</f>
        <v>0</v>
      </c>
      <c r="W53" s="524"/>
      <c r="X53" s="99"/>
      <c r="Y53" s="518"/>
      <c r="Z53" s="10" t="s">
        <v>212</v>
      </c>
      <c r="AA53" s="642" t="s">
        <v>261</v>
      </c>
      <c r="AB53" s="620">
        <f t="shared" si="0"/>
        <v>0</v>
      </c>
      <c r="AC53" s="611">
        <f t="shared" si="1"/>
        <v>0</v>
      </c>
      <c r="AD53" s="612">
        <f t="shared" si="2"/>
        <v>0</v>
      </c>
      <c r="AE53" s="41"/>
      <c r="AF53" s="41"/>
      <c r="AG53" s="105"/>
      <c r="AH53" s="610">
        <f t="shared" si="3"/>
        <v>0</v>
      </c>
      <c r="AI53" s="611">
        <f t="shared" si="4"/>
        <v>0</v>
      </c>
      <c r="AJ53" s="613">
        <f t="shared" si="5"/>
        <v>0</v>
      </c>
    </row>
    <row r="54" spans="2:36" x14ac:dyDescent="0.35">
      <c r="B54" s="70" t="str">
        <f>IF(Courses!B60&lt;&gt;"",CONCATENATE(Courses!E60,"/",Courses!L60,"/",Courses!K60),"")</f>
        <v/>
      </c>
      <c r="C54" s="1579" t="str">
        <f>IF(AND(Courses!B60&lt;&gt;"",Courses!G60&lt;&gt;""),CONCATENATE(Courses!G60,"/",Courses!L60,"/",Courses!K60),"")</f>
        <v/>
      </c>
      <c r="D54" s="71" t="str">
        <f>IF(AND(Courses!B60&lt;&gt;"",Courses!I60&lt;&gt;""),CONCATENATE(Courses!I60,"/",Courses!L60,"/",Courses!K60),"")</f>
        <v/>
      </c>
      <c r="E54" s="1580">
        <f>IF(AND('Courses Valid'!C66=0,Courses!E60&lt;&gt;"",Courses!F60&gt;0,SUM(Courses!M60,Courses!N60)&gt;0),Courses!F60*SUM(Courses!M60,Courses!N60),0)</f>
        <v>0</v>
      </c>
      <c r="F54" s="41">
        <f>IF(AND('Courses Valid'!C66=0,Courses!G60&lt;&gt;"",Courses!H60&gt;0,SUM(Courses!M60,Courses!N60)&gt;0),Courses!H60*SUM(Courses!M60,Courses!N60),0)</f>
        <v>0</v>
      </c>
      <c r="G54" s="105">
        <f>IF(AND('Courses Valid'!C66=0,Courses!I60&lt;&gt;"",Courses!J60&gt;0,SUM(Courses!M60,Courses!N60)&gt;0),Courses!J60*SUM(Courses!M60,Courses!N60),0)</f>
        <v>0</v>
      </c>
      <c r="H54" s="1580">
        <f>IF(AND('Courses Valid'!C66=0,Courses!E60&lt;&gt;"",Courses!F60&gt;0,SUM(Courses!O60,Courses!P60)&gt;0),Courses!F60*SUM(Courses!O60,Courses!P60),0)</f>
        <v>0</v>
      </c>
      <c r="I54" s="41">
        <f>IF(AND('Courses Valid'!C66=0,Courses!G60&lt;&gt;"",Courses!H60&gt;0,SUM(Courses!O60,Courses!P60)&gt;0),Courses!H60*SUM(Courses!O60,Courses!P60),0)</f>
        <v>0</v>
      </c>
      <c r="J54" s="105">
        <f>IF(AND('Courses Valid'!C66=0,Courses!I60&lt;&gt;"",Courses!J60&gt;0,SUM(Courses!O60,Courses!P60)&gt;0),Courses!J60*SUM(Courses!O60,Courses!P60),0)</f>
        <v>0</v>
      </c>
      <c r="K54" s="1580">
        <f>IF(AND('Courses Valid'!C66=0,Courses!E60&lt;&gt;"",Courses!F60&gt;0,Courses!Q60&gt;0),Courses!F60*Courses!Q60,0)</f>
        <v>0</v>
      </c>
      <c r="L54" s="41">
        <f>IF(AND('Courses Valid'!C66=0,Courses!G60&lt;&gt;"",Courses!H60&gt;0,Courses!Q60&gt;0),Courses!H60*Courses!Q60,0)</f>
        <v>0</v>
      </c>
      <c r="M54" s="105">
        <f>IF(AND('Courses Valid'!C66=0,Courses!I60&lt;&gt;"",Courses!J60&gt;0,Courses!Q60&gt;0),Courses!J60*Courses!Q60,0)</f>
        <v>0</v>
      </c>
      <c r="N54" s="41">
        <f>IF(AND('Courses Valid'!C66=0,Courses!E60&lt;&gt;"",Courses!F60&gt;0,SUM(Courses!W60,Courses!X60)&gt;0),Courses!F60*SUM(Courses!W60,Courses!X60),0)</f>
        <v>0</v>
      </c>
      <c r="O54" s="41">
        <f>IF(AND('Courses Valid'!C66=0,Courses!G60&lt;&gt;"",Courses!H60&gt;0,SUM(Courses!W60,Courses!X60)&gt;0),Courses!H60*SUM(Courses!W60,Courses!X60),0)</f>
        <v>0</v>
      </c>
      <c r="P54" s="41">
        <f>IF(AND('Courses Valid'!C66=0,Courses!I60&lt;&gt;"",Courses!J60&gt;0,SUM(Courses!W60,Courses!X60)&gt;0),Courses!J60*SUM(Courses!W60,Courses!X60),0)</f>
        <v>0</v>
      </c>
      <c r="Q54" s="1580">
        <f>IF(AND('Courses Valid'!C66=0,Courses!E60&lt;&gt;"",Courses!F60&gt;0,SUM(Courses!Y60,Courses!Z60)&gt;0),Courses!F60*SUM(Courses!Y60,Courses!Z60),0)</f>
        <v>0</v>
      </c>
      <c r="R54" s="41">
        <f>IF(AND('Courses Valid'!C66=0,Courses!G60&lt;&gt;"",Courses!H60&gt;0,SUM(Courses!Y60,Courses!Z60)&gt;0),Courses!H60*SUM(Courses!Y60,Courses!Z60),0)</f>
        <v>0</v>
      </c>
      <c r="S54" s="105">
        <f>IF(AND('Courses Valid'!C66=0,Courses!I60&lt;&gt;"",Courses!J60&gt;0,SUM(Courses!Y60,Courses!Z60)&gt;0),Courses!J60*SUM(Courses!Y60,Courses!Z60),0)</f>
        <v>0</v>
      </c>
      <c r="T54" s="41">
        <f>IF(AND('Courses Valid'!C66=0,Courses!E60&lt;&gt;"",Courses!F60&gt;0,Courses!AA60&gt;0),Courses!F60*Courses!AA60,0)</f>
        <v>0</v>
      </c>
      <c r="U54" s="41">
        <f>IF(AND('Courses Valid'!C66=0,Courses!G60&lt;&gt;"",Courses!H60&gt;0,Courses!AA60&gt;0),Courses!H60*Courses!AA60,0)</f>
        <v>0</v>
      </c>
      <c r="V54" s="106">
        <f>IF(AND('Courses Valid'!C66=0,Courses!I60&lt;&gt;"",Courses!J60&gt;0,Courses!AA60&gt;0),Courses!J60*Courses!AA60,0)</f>
        <v>0</v>
      </c>
      <c r="W54" s="524"/>
      <c r="X54" s="99"/>
      <c r="Y54" s="3"/>
      <c r="Z54" s="10" t="s">
        <v>214</v>
      </c>
      <c r="AA54" s="642" t="s">
        <v>262</v>
      </c>
      <c r="AB54" s="620">
        <f t="shared" si="0"/>
        <v>0</v>
      </c>
      <c r="AC54" s="611">
        <f t="shared" si="1"/>
        <v>0</v>
      </c>
      <c r="AD54" s="612">
        <f t="shared" si="2"/>
        <v>0</v>
      </c>
      <c r="AE54" s="1580"/>
      <c r="AF54" s="41"/>
      <c r="AG54" s="105"/>
      <c r="AH54" s="610">
        <f t="shared" si="3"/>
        <v>0</v>
      </c>
      <c r="AI54" s="611">
        <f t="shared" si="4"/>
        <v>0</v>
      </c>
      <c r="AJ54" s="613">
        <f t="shared" si="5"/>
        <v>0</v>
      </c>
    </row>
    <row r="55" spans="2:36" x14ac:dyDescent="0.35">
      <c r="B55" s="70" t="str">
        <f>IF(Courses!B61&lt;&gt;"",CONCATENATE(Courses!E61,"/",Courses!L61,"/",Courses!K61),"")</f>
        <v/>
      </c>
      <c r="C55" s="1579" t="str">
        <f>IF(AND(Courses!B61&lt;&gt;"",Courses!G61&lt;&gt;""),CONCATENATE(Courses!G61,"/",Courses!L61,"/",Courses!K61),"")</f>
        <v/>
      </c>
      <c r="D55" s="71" t="str">
        <f>IF(AND(Courses!B61&lt;&gt;"",Courses!I61&lt;&gt;""),CONCATENATE(Courses!I61,"/",Courses!L61,"/",Courses!K61),"")</f>
        <v/>
      </c>
      <c r="E55" s="1580">
        <f>IF(AND('Courses Valid'!C67=0,Courses!E61&lt;&gt;"",Courses!F61&gt;0,SUM(Courses!M61,Courses!N61)&gt;0),Courses!F61*SUM(Courses!M61,Courses!N61),0)</f>
        <v>0</v>
      </c>
      <c r="F55" s="41">
        <f>IF(AND('Courses Valid'!C67=0,Courses!G61&lt;&gt;"",Courses!H61&gt;0,SUM(Courses!M61,Courses!N61)&gt;0),Courses!H61*SUM(Courses!M61,Courses!N61),0)</f>
        <v>0</v>
      </c>
      <c r="G55" s="105">
        <f>IF(AND('Courses Valid'!C67=0,Courses!I61&lt;&gt;"",Courses!J61&gt;0,SUM(Courses!M61,Courses!N61)&gt;0),Courses!J61*SUM(Courses!M61,Courses!N61),0)</f>
        <v>0</v>
      </c>
      <c r="H55" s="1580">
        <f>IF(AND('Courses Valid'!C67=0,Courses!E61&lt;&gt;"",Courses!F61&gt;0,SUM(Courses!O61,Courses!P61)&gt;0),Courses!F61*SUM(Courses!O61,Courses!P61),0)</f>
        <v>0</v>
      </c>
      <c r="I55" s="41">
        <f>IF(AND('Courses Valid'!C67=0,Courses!G61&lt;&gt;"",Courses!H61&gt;0,SUM(Courses!O61,Courses!P61)&gt;0),Courses!H61*SUM(Courses!O61,Courses!P61),0)</f>
        <v>0</v>
      </c>
      <c r="J55" s="105">
        <f>IF(AND('Courses Valid'!C67=0,Courses!I61&lt;&gt;"",Courses!J61&gt;0,SUM(Courses!O61,Courses!P61)&gt;0),Courses!J61*SUM(Courses!O61,Courses!P61),0)</f>
        <v>0</v>
      </c>
      <c r="K55" s="1580">
        <f>IF(AND('Courses Valid'!C67=0,Courses!E61&lt;&gt;"",Courses!F61&gt;0,Courses!Q61&gt;0),Courses!F61*Courses!Q61,0)</f>
        <v>0</v>
      </c>
      <c r="L55" s="41">
        <f>IF(AND('Courses Valid'!C67=0,Courses!G61&lt;&gt;"",Courses!H61&gt;0,Courses!Q61&gt;0),Courses!H61*Courses!Q61,0)</f>
        <v>0</v>
      </c>
      <c r="M55" s="105">
        <f>IF(AND('Courses Valid'!C67=0,Courses!I61&lt;&gt;"",Courses!J61&gt;0,Courses!Q61&gt;0),Courses!J61*Courses!Q61,0)</f>
        <v>0</v>
      </c>
      <c r="N55" s="41">
        <f>IF(AND('Courses Valid'!C67=0,Courses!E61&lt;&gt;"",Courses!F61&gt;0,SUM(Courses!W61,Courses!X61)&gt;0),Courses!F61*SUM(Courses!W61,Courses!X61),0)</f>
        <v>0</v>
      </c>
      <c r="O55" s="41">
        <f>IF(AND('Courses Valid'!C67=0,Courses!G61&lt;&gt;"",Courses!H61&gt;0,SUM(Courses!W61,Courses!X61)&gt;0),Courses!H61*SUM(Courses!W61,Courses!X61),0)</f>
        <v>0</v>
      </c>
      <c r="P55" s="41">
        <f>IF(AND('Courses Valid'!C67=0,Courses!I61&lt;&gt;"",Courses!J61&gt;0,SUM(Courses!W61,Courses!X61)&gt;0),Courses!J61*SUM(Courses!W61,Courses!X61),0)</f>
        <v>0</v>
      </c>
      <c r="Q55" s="1580">
        <f>IF(AND('Courses Valid'!C67=0,Courses!E61&lt;&gt;"",Courses!F61&gt;0,SUM(Courses!Y61,Courses!Z61)&gt;0),Courses!F61*SUM(Courses!Y61,Courses!Z61),0)</f>
        <v>0</v>
      </c>
      <c r="R55" s="41">
        <f>IF(AND('Courses Valid'!C67=0,Courses!G61&lt;&gt;"",Courses!H61&gt;0,SUM(Courses!Y61,Courses!Z61)&gt;0),Courses!H61*SUM(Courses!Y61,Courses!Z61),0)</f>
        <v>0</v>
      </c>
      <c r="S55" s="105">
        <f>IF(AND('Courses Valid'!C67=0,Courses!I61&lt;&gt;"",Courses!J61&gt;0,SUM(Courses!Y61,Courses!Z61)&gt;0),Courses!J61*SUM(Courses!Y61,Courses!Z61),0)</f>
        <v>0</v>
      </c>
      <c r="T55" s="41">
        <f>IF(AND('Courses Valid'!C67=0,Courses!E61&lt;&gt;"",Courses!F61&gt;0,Courses!AA61&gt;0),Courses!F61*Courses!AA61,0)</f>
        <v>0</v>
      </c>
      <c r="U55" s="41">
        <f>IF(AND('Courses Valid'!C67=0,Courses!G61&lt;&gt;"",Courses!H61&gt;0,Courses!AA61&gt;0),Courses!H61*Courses!AA61,0)</f>
        <v>0</v>
      </c>
      <c r="V55" s="106">
        <f>IF(AND('Courses Valid'!C67=0,Courses!I61&lt;&gt;"",Courses!J61&gt;0,Courses!AA61&gt;0),Courses!J61*Courses!AA61,0)</f>
        <v>0</v>
      </c>
      <c r="W55" s="524"/>
      <c r="X55" s="235"/>
      <c r="Z55" s="13" t="s">
        <v>216</v>
      </c>
      <c r="AA55" s="642" t="s">
        <v>263</v>
      </c>
      <c r="AB55" s="620">
        <f t="shared" si="0"/>
        <v>0</v>
      </c>
      <c r="AC55" s="611">
        <f t="shared" si="1"/>
        <v>0</v>
      </c>
      <c r="AD55" s="612">
        <f t="shared" si="2"/>
        <v>0</v>
      </c>
      <c r="AG55" s="183"/>
      <c r="AH55" s="610">
        <f t="shared" si="3"/>
        <v>0</v>
      </c>
      <c r="AI55" s="611">
        <f t="shared" si="4"/>
        <v>0</v>
      </c>
      <c r="AJ55" s="613">
        <f t="shared" si="5"/>
        <v>0</v>
      </c>
    </row>
    <row r="56" spans="2:36" x14ac:dyDescent="0.35">
      <c r="B56" s="70" t="str">
        <f>IF(Courses!B62&lt;&gt;"",CONCATENATE(Courses!E62,"/",Courses!L62,"/",Courses!K62),"")</f>
        <v/>
      </c>
      <c r="C56" s="1579" t="str">
        <f>IF(AND(Courses!B62&lt;&gt;"",Courses!G62&lt;&gt;""),CONCATENATE(Courses!G62,"/",Courses!L62,"/",Courses!K62),"")</f>
        <v/>
      </c>
      <c r="D56" s="71" t="str">
        <f>IF(AND(Courses!B62&lt;&gt;"",Courses!I62&lt;&gt;""),CONCATENATE(Courses!I62,"/",Courses!L62,"/",Courses!K62),"")</f>
        <v/>
      </c>
      <c r="E56" s="1580">
        <f>IF(AND('Courses Valid'!C68=0,Courses!E62&lt;&gt;"",Courses!F62&gt;0,SUM(Courses!M62,Courses!N62)&gt;0),Courses!F62*SUM(Courses!M62,Courses!N62),0)</f>
        <v>0</v>
      </c>
      <c r="F56" s="41">
        <f>IF(AND('Courses Valid'!C68=0,Courses!G62&lt;&gt;"",Courses!H62&gt;0,SUM(Courses!M62,Courses!N62)&gt;0),Courses!H62*SUM(Courses!M62,Courses!N62),0)</f>
        <v>0</v>
      </c>
      <c r="G56" s="105">
        <f>IF(AND('Courses Valid'!C68=0,Courses!I62&lt;&gt;"",Courses!J62&gt;0,SUM(Courses!M62,Courses!N62)&gt;0),Courses!J62*SUM(Courses!M62,Courses!N62),0)</f>
        <v>0</v>
      </c>
      <c r="H56" s="1580">
        <f>IF(AND('Courses Valid'!C68=0,Courses!E62&lt;&gt;"",Courses!F62&gt;0,SUM(Courses!O62,Courses!P62)&gt;0),Courses!F62*SUM(Courses!O62,Courses!P62),0)</f>
        <v>0</v>
      </c>
      <c r="I56" s="41">
        <f>IF(AND('Courses Valid'!C68=0,Courses!G62&lt;&gt;"",Courses!H62&gt;0,SUM(Courses!O62,Courses!P62)&gt;0),Courses!H62*SUM(Courses!O62,Courses!P62),0)</f>
        <v>0</v>
      </c>
      <c r="J56" s="105">
        <f>IF(AND('Courses Valid'!C68=0,Courses!I62&lt;&gt;"",Courses!J62&gt;0,SUM(Courses!O62,Courses!P62)&gt;0),Courses!J62*SUM(Courses!O62,Courses!P62),0)</f>
        <v>0</v>
      </c>
      <c r="K56" s="1580">
        <f>IF(AND('Courses Valid'!C68=0,Courses!E62&lt;&gt;"",Courses!F62&gt;0,Courses!Q62&gt;0),Courses!F62*Courses!Q62,0)</f>
        <v>0</v>
      </c>
      <c r="L56" s="41">
        <f>IF(AND('Courses Valid'!C68=0,Courses!G62&lt;&gt;"",Courses!H62&gt;0,Courses!Q62&gt;0),Courses!H62*Courses!Q62,0)</f>
        <v>0</v>
      </c>
      <c r="M56" s="105">
        <f>IF(AND('Courses Valid'!C68=0,Courses!I62&lt;&gt;"",Courses!J62&gt;0,Courses!Q62&gt;0),Courses!J62*Courses!Q62,0)</f>
        <v>0</v>
      </c>
      <c r="N56" s="41">
        <f>IF(AND('Courses Valid'!C68=0,Courses!E62&lt;&gt;"",Courses!F62&gt;0,SUM(Courses!W62,Courses!X62)&gt;0),Courses!F62*SUM(Courses!W62,Courses!X62),0)</f>
        <v>0</v>
      </c>
      <c r="O56" s="41">
        <f>IF(AND('Courses Valid'!C68=0,Courses!G62&lt;&gt;"",Courses!H62&gt;0,SUM(Courses!W62,Courses!X62)&gt;0),Courses!H62*SUM(Courses!W62,Courses!X62),0)</f>
        <v>0</v>
      </c>
      <c r="P56" s="41">
        <f>IF(AND('Courses Valid'!C68=0,Courses!I62&lt;&gt;"",Courses!J62&gt;0,SUM(Courses!W62,Courses!X62)&gt;0),Courses!J62*SUM(Courses!W62,Courses!X62),0)</f>
        <v>0</v>
      </c>
      <c r="Q56" s="1580">
        <f>IF(AND('Courses Valid'!C68=0,Courses!E62&lt;&gt;"",Courses!F62&gt;0,SUM(Courses!Y62,Courses!Z62)&gt;0),Courses!F62*SUM(Courses!Y62,Courses!Z62),0)</f>
        <v>0</v>
      </c>
      <c r="R56" s="41">
        <f>IF(AND('Courses Valid'!C68=0,Courses!G62&lt;&gt;"",Courses!H62&gt;0,SUM(Courses!Y62,Courses!Z62)&gt;0),Courses!H62*SUM(Courses!Y62,Courses!Z62),0)</f>
        <v>0</v>
      </c>
      <c r="S56" s="105">
        <f>IF(AND('Courses Valid'!C68=0,Courses!I62&lt;&gt;"",Courses!J62&gt;0,SUM(Courses!Y62,Courses!Z62)&gt;0),Courses!J62*SUM(Courses!Y62,Courses!Z62),0)</f>
        <v>0</v>
      </c>
      <c r="T56" s="41">
        <f>IF(AND('Courses Valid'!C68=0,Courses!E62&lt;&gt;"",Courses!F62&gt;0,Courses!AA62&gt;0),Courses!F62*Courses!AA62,0)</f>
        <v>0</v>
      </c>
      <c r="U56" s="41">
        <f>IF(AND('Courses Valid'!C68=0,Courses!G62&lt;&gt;"",Courses!H62&gt;0,Courses!AA62&gt;0),Courses!H62*Courses!AA62,0)</f>
        <v>0</v>
      </c>
      <c r="V56" s="106">
        <f>IF(AND('Courses Valid'!C68=0,Courses!I62&lt;&gt;"",Courses!J62&gt;0,Courses!AA62&gt;0),Courses!J62*Courses!AA62,0)</f>
        <v>0</v>
      </c>
      <c r="W56" s="41"/>
      <c r="X56" s="1767" t="s">
        <v>264</v>
      </c>
      <c r="Y56" s="1412" t="s">
        <v>204</v>
      </c>
      <c r="Z56" s="525" t="s">
        <v>205</v>
      </c>
      <c r="AA56" s="1413" t="s">
        <v>265</v>
      </c>
      <c r="AB56" s="1768">
        <f t="shared" si="0"/>
        <v>0</v>
      </c>
      <c r="AC56" s="1678">
        <f t="shared" si="1"/>
        <v>0</v>
      </c>
      <c r="AD56" s="1679">
        <f t="shared" si="2"/>
        <v>0</v>
      </c>
      <c r="AE56" s="1773">
        <f>SUM(SUMIF(Courses!$K$14:$K$213,$Z56,Courses!$R$14:$R$213),SUMIF(Courses!$K$14:$K$213,$Z56,Courses!$S$14:$S$213))</f>
        <v>0</v>
      </c>
      <c r="AF56" s="1678">
        <f>SUM(SUMIF(Courses!$K$14:$K$213,$Z56,Courses!$T$14:$T$213),SUMIF(Courses!$K$14:$K$213,$Z56,Courses!$U$14:$U$213))</f>
        <v>0</v>
      </c>
      <c r="AG56" s="1679">
        <f>SUMIF(Courses!$K$14:$K$213,$Z56,Courses!$V$14:$V$213)</f>
        <v>0</v>
      </c>
      <c r="AH56" s="1773">
        <f t="shared" si="3"/>
        <v>0</v>
      </c>
      <c r="AI56" s="1678">
        <f t="shared" si="4"/>
        <v>0</v>
      </c>
      <c r="AJ56" s="1680">
        <f t="shared" si="5"/>
        <v>0</v>
      </c>
    </row>
    <row r="57" spans="2:36" x14ac:dyDescent="0.35">
      <c r="B57" s="70" t="str">
        <f>IF(Courses!B63&lt;&gt;"",CONCATENATE(Courses!E63,"/",Courses!L63,"/",Courses!K63),"")</f>
        <v/>
      </c>
      <c r="C57" s="1579" t="str">
        <f>IF(AND(Courses!B63&lt;&gt;"",Courses!G63&lt;&gt;""),CONCATENATE(Courses!G63,"/",Courses!L63,"/",Courses!K63),"")</f>
        <v/>
      </c>
      <c r="D57" s="71" t="str">
        <f>IF(AND(Courses!B63&lt;&gt;"",Courses!I63&lt;&gt;""),CONCATENATE(Courses!I63,"/",Courses!L63,"/",Courses!K63),"")</f>
        <v/>
      </c>
      <c r="E57" s="1580">
        <f>IF(AND('Courses Valid'!C69=0,Courses!E63&lt;&gt;"",Courses!F63&gt;0,SUM(Courses!M63,Courses!N63)&gt;0),Courses!F63*SUM(Courses!M63,Courses!N63),0)</f>
        <v>0</v>
      </c>
      <c r="F57" s="41">
        <f>IF(AND('Courses Valid'!C69=0,Courses!G63&lt;&gt;"",Courses!H63&gt;0,SUM(Courses!M63,Courses!N63)&gt;0),Courses!H63*SUM(Courses!M63,Courses!N63),0)</f>
        <v>0</v>
      </c>
      <c r="G57" s="105">
        <f>IF(AND('Courses Valid'!C69=0,Courses!I63&lt;&gt;"",Courses!J63&gt;0,SUM(Courses!M63,Courses!N63)&gt;0),Courses!J63*SUM(Courses!M63,Courses!N63),0)</f>
        <v>0</v>
      </c>
      <c r="H57" s="1580">
        <f>IF(AND('Courses Valid'!C69=0,Courses!E63&lt;&gt;"",Courses!F63&gt;0,SUM(Courses!O63,Courses!P63)&gt;0),Courses!F63*SUM(Courses!O63,Courses!P63),0)</f>
        <v>0</v>
      </c>
      <c r="I57" s="41">
        <f>IF(AND('Courses Valid'!C69=0,Courses!G63&lt;&gt;"",Courses!H63&gt;0,SUM(Courses!O63,Courses!P63)&gt;0),Courses!H63*SUM(Courses!O63,Courses!P63),0)</f>
        <v>0</v>
      </c>
      <c r="J57" s="105">
        <f>IF(AND('Courses Valid'!C69=0,Courses!I63&lt;&gt;"",Courses!J63&gt;0,SUM(Courses!O63,Courses!P63)&gt;0),Courses!J63*SUM(Courses!O63,Courses!P63),0)</f>
        <v>0</v>
      </c>
      <c r="K57" s="1580">
        <f>IF(AND('Courses Valid'!C69=0,Courses!E63&lt;&gt;"",Courses!F63&gt;0,Courses!Q63&gt;0),Courses!F63*Courses!Q63,0)</f>
        <v>0</v>
      </c>
      <c r="L57" s="41">
        <f>IF(AND('Courses Valid'!C69=0,Courses!G63&lt;&gt;"",Courses!H63&gt;0,Courses!Q63&gt;0),Courses!H63*Courses!Q63,0)</f>
        <v>0</v>
      </c>
      <c r="M57" s="105">
        <f>IF(AND('Courses Valid'!C69=0,Courses!I63&lt;&gt;"",Courses!J63&gt;0,Courses!Q63&gt;0),Courses!J63*Courses!Q63,0)</f>
        <v>0</v>
      </c>
      <c r="N57" s="41">
        <f>IF(AND('Courses Valid'!C69=0,Courses!E63&lt;&gt;"",Courses!F63&gt;0,SUM(Courses!W63,Courses!X63)&gt;0),Courses!F63*SUM(Courses!W63,Courses!X63),0)</f>
        <v>0</v>
      </c>
      <c r="O57" s="41">
        <f>IF(AND('Courses Valid'!C69=0,Courses!G63&lt;&gt;"",Courses!H63&gt;0,SUM(Courses!W63,Courses!X63)&gt;0),Courses!H63*SUM(Courses!W63,Courses!X63),0)</f>
        <v>0</v>
      </c>
      <c r="P57" s="41">
        <f>IF(AND('Courses Valid'!C69=0,Courses!I63&lt;&gt;"",Courses!J63&gt;0,SUM(Courses!W63,Courses!X63)&gt;0),Courses!J63*SUM(Courses!W63,Courses!X63),0)</f>
        <v>0</v>
      </c>
      <c r="Q57" s="1580">
        <f>IF(AND('Courses Valid'!C69=0,Courses!E63&lt;&gt;"",Courses!F63&gt;0,SUM(Courses!Y63,Courses!Z63)&gt;0),Courses!F63*SUM(Courses!Y63,Courses!Z63),0)</f>
        <v>0</v>
      </c>
      <c r="R57" s="41">
        <f>IF(AND('Courses Valid'!C69=0,Courses!G63&lt;&gt;"",Courses!H63&gt;0,SUM(Courses!Y63,Courses!Z63)&gt;0),Courses!H63*SUM(Courses!Y63,Courses!Z63),0)</f>
        <v>0</v>
      </c>
      <c r="S57" s="105">
        <f>IF(AND('Courses Valid'!C69=0,Courses!I63&lt;&gt;"",Courses!J63&gt;0,SUM(Courses!Y63,Courses!Z63)&gt;0),Courses!J63*SUM(Courses!Y63,Courses!Z63),0)</f>
        <v>0</v>
      </c>
      <c r="T57" s="41">
        <f>IF(AND('Courses Valid'!C69=0,Courses!E63&lt;&gt;"",Courses!F63&gt;0,Courses!AA63&gt;0),Courses!F63*Courses!AA63,0)</f>
        <v>0</v>
      </c>
      <c r="U57" s="41">
        <f>IF(AND('Courses Valid'!C69=0,Courses!G63&lt;&gt;"",Courses!H63&gt;0,Courses!AA63&gt;0),Courses!H63*Courses!AA63,0)</f>
        <v>0</v>
      </c>
      <c r="V57" s="106">
        <f>IF(AND('Courses Valid'!C69=0,Courses!I63&lt;&gt;"",Courses!J63&gt;0,Courses!AA63&gt;0),Courses!J63*Courses!AA63,0)</f>
        <v>0</v>
      </c>
      <c r="W57" s="41"/>
      <c r="X57" s="96"/>
      <c r="Y57" s="7"/>
      <c r="Z57" s="13" t="s">
        <v>208</v>
      </c>
      <c r="AA57" s="642" t="s">
        <v>266</v>
      </c>
      <c r="AB57" s="643">
        <f t="shared" si="0"/>
        <v>0</v>
      </c>
      <c r="AC57" s="635">
        <f t="shared" si="1"/>
        <v>0</v>
      </c>
      <c r="AD57" s="632">
        <f t="shared" si="2"/>
        <v>0</v>
      </c>
      <c r="AE57" s="633">
        <f>SUM(SUMIF(Courses!$K$14:$K$213,$Z57,Courses!$R$14:$R$213),SUMIF(Courses!$K$14:$K$213,$Z57,Courses!$S$14:$S$213))</f>
        <v>0</v>
      </c>
      <c r="AF57" s="635">
        <f>SUM(SUMIF(Courses!$K$14:$K$213,$Z57,Courses!$T$14:$T$213),SUMIF(Courses!$K$14:$K$213,$Z57,Courses!$U$14:$U$213))</f>
        <v>0</v>
      </c>
      <c r="AG57" s="632">
        <f>SUMIF(Courses!$K$14:$K$213,$Z57,Courses!$V$14:$V$213)</f>
        <v>0</v>
      </c>
      <c r="AH57" s="633">
        <f t="shared" si="3"/>
        <v>0</v>
      </c>
      <c r="AI57" s="635">
        <f t="shared" si="4"/>
        <v>0</v>
      </c>
      <c r="AJ57" s="634">
        <f t="shared" si="5"/>
        <v>0</v>
      </c>
    </row>
    <row r="58" spans="2:36" x14ac:dyDescent="0.35">
      <c r="B58" s="70" t="str">
        <f>IF(Courses!B64&lt;&gt;"",CONCATENATE(Courses!E64,"/",Courses!L64,"/",Courses!K64),"")</f>
        <v/>
      </c>
      <c r="C58" s="1579" t="str">
        <f>IF(AND(Courses!B64&lt;&gt;"",Courses!G64&lt;&gt;""),CONCATENATE(Courses!G64,"/",Courses!L64,"/",Courses!K64),"")</f>
        <v/>
      </c>
      <c r="D58" s="71" t="str">
        <f>IF(AND(Courses!B64&lt;&gt;"",Courses!I64&lt;&gt;""),CONCATENATE(Courses!I64,"/",Courses!L64,"/",Courses!K64),"")</f>
        <v/>
      </c>
      <c r="E58" s="1580">
        <f>IF(AND('Courses Valid'!C70=0,Courses!E64&lt;&gt;"",Courses!F64&gt;0,SUM(Courses!M64,Courses!N64)&gt;0),Courses!F64*SUM(Courses!M64,Courses!N64),0)</f>
        <v>0</v>
      </c>
      <c r="F58" s="41">
        <f>IF(AND('Courses Valid'!C70=0,Courses!G64&lt;&gt;"",Courses!H64&gt;0,SUM(Courses!M64,Courses!N64)&gt;0),Courses!H64*SUM(Courses!M64,Courses!N64),0)</f>
        <v>0</v>
      </c>
      <c r="G58" s="105">
        <f>IF(AND('Courses Valid'!C70=0,Courses!I64&lt;&gt;"",Courses!J64&gt;0,SUM(Courses!M64,Courses!N64)&gt;0),Courses!J64*SUM(Courses!M64,Courses!N64),0)</f>
        <v>0</v>
      </c>
      <c r="H58" s="1580">
        <f>IF(AND('Courses Valid'!C70=0,Courses!E64&lt;&gt;"",Courses!F64&gt;0,SUM(Courses!O64,Courses!P64)&gt;0),Courses!F64*SUM(Courses!O64,Courses!P64),0)</f>
        <v>0</v>
      </c>
      <c r="I58" s="41">
        <f>IF(AND('Courses Valid'!C70=0,Courses!G64&lt;&gt;"",Courses!H64&gt;0,SUM(Courses!O64,Courses!P64)&gt;0),Courses!H64*SUM(Courses!O64,Courses!P64),0)</f>
        <v>0</v>
      </c>
      <c r="J58" s="105">
        <f>IF(AND('Courses Valid'!C70=0,Courses!I64&lt;&gt;"",Courses!J64&gt;0,SUM(Courses!O64,Courses!P64)&gt;0),Courses!J64*SUM(Courses!O64,Courses!P64),0)</f>
        <v>0</v>
      </c>
      <c r="K58" s="1580">
        <f>IF(AND('Courses Valid'!C70=0,Courses!E64&lt;&gt;"",Courses!F64&gt;0,Courses!Q64&gt;0),Courses!F64*Courses!Q64,0)</f>
        <v>0</v>
      </c>
      <c r="L58" s="41">
        <f>IF(AND('Courses Valid'!C70=0,Courses!G64&lt;&gt;"",Courses!H64&gt;0,Courses!Q64&gt;0),Courses!H64*Courses!Q64,0)</f>
        <v>0</v>
      </c>
      <c r="M58" s="105">
        <f>IF(AND('Courses Valid'!C70=0,Courses!I64&lt;&gt;"",Courses!J64&gt;0,Courses!Q64&gt;0),Courses!J64*Courses!Q64,0)</f>
        <v>0</v>
      </c>
      <c r="N58" s="41">
        <f>IF(AND('Courses Valid'!C70=0,Courses!E64&lt;&gt;"",Courses!F64&gt;0,SUM(Courses!W64,Courses!X64)&gt;0),Courses!F64*SUM(Courses!W64,Courses!X64),0)</f>
        <v>0</v>
      </c>
      <c r="O58" s="41">
        <f>IF(AND('Courses Valid'!C70=0,Courses!G64&lt;&gt;"",Courses!H64&gt;0,SUM(Courses!W64,Courses!X64)&gt;0),Courses!H64*SUM(Courses!W64,Courses!X64),0)</f>
        <v>0</v>
      </c>
      <c r="P58" s="41">
        <f>IF(AND('Courses Valid'!C70=0,Courses!I64&lt;&gt;"",Courses!J64&gt;0,SUM(Courses!W64,Courses!X64)&gt;0),Courses!J64*SUM(Courses!W64,Courses!X64),0)</f>
        <v>0</v>
      </c>
      <c r="Q58" s="1580">
        <f>IF(AND('Courses Valid'!C70=0,Courses!E64&lt;&gt;"",Courses!F64&gt;0,SUM(Courses!Y64,Courses!Z64)&gt;0),Courses!F64*SUM(Courses!Y64,Courses!Z64),0)</f>
        <v>0</v>
      </c>
      <c r="R58" s="41">
        <f>IF(AND('Courses Valid'!C70=0,Courses!G64&lt;&gt;"",Courses!H64&gt;0,SUM(Courses!Y64,Courses!Z64)&gt;0),Courses!H64*SUM(Courses!Y64,Courses!Z64),0)</f>
        <v>0</v>
      </c>
      <c r="S58" s="105">
        <f>IF(AND('Courses Valid'!C70=0,Courses!I64&lt;&gt;"",Courses!J64&gt;0,SUM(Courses!Y64,Courses!Z64)&gt;0),Courses!J64*SUM(Courses!Y64,Courses!Z64),0)</f>
        <v>0</v>
      </c>
      <c r="T58" s="41">
        <f>IF(AND('Courses Valid'!C70=0,Courses!E64&lt;&gt;"",Courses!F64&gt;0,Courses!AA64&gt;0),Courses!F64*Courses!AA64,0)</f>
        <v>0</v>
      </c>
      <c r="U58" s="41">
        <f>IF(AND('Courses Valid'!C70=0,Courses!G64&lt;&gt;"",Courses!H64&gt;0,Courses!AA64&gt;0),Courses!H64*Courses!AA64,0)</f>
        <v>0</v>
      </c>
      <c r="V58" s="106">
        <f>IF(AND('Courses Valid'!C70=0,Courses!I64&lt;&gt;"",Courses!J64&gt;0,Courses!AA64&gt;0),Courses!J64*Courses!AA64,0)</f>
        <v>0</v>
      </c>
      <c r="W58" s="41"/>
      <c r="X58" s="96"/>
      <c r="Y58" s="7"/>
      <c r="Z58" s="13" t="s">
        <v>210</v>
      </c>
      <c r="AA58" s="642" t="s">
        <v>267</v>
      </c>
      <c r="AB58" s="47">
        <f t="shared" si="0"/>
        <v>0</v>
      </c>
      <c r="AC58" s="48">
        <f t="shared" si="1"/>
        <v>0</v>
      </c>
      <c r="AD58" s="49">
        <f t="shared" si="2"/>
        <v>0</v>
      </c>
      <c r="AE58" s="298">
        <f>SUM(SUMIF(Courses!$K$14:$K$213,$Z58,Courses!$R$14:$R$213),SUMIF(Courses!$K$14:$K$213,$Z58,Courses!$S$14:$S$213))</f>
        <v>0</v>
      </c>
      <c r="AF58" s="48">
        <f>SUM(SUMIF(Courses!$K$14:$K$213,$Z58,Courses!$T$14:$T$213),SUMIF(Courses!$K$14:$K$213,$Z58,Courses!$U$14:$U$213))</f>
        <v>0</v>
      </c>
      <c r="AG58" s="49">
        <f>SUMIF(Courses!$K$14:$K$213,$Z58,Courses!$V$14:$V$213)</f>
        <v>0</v>
      </c>
      <c r="AH58" s="298">
        <f t="shared" si="3"/>
        <v>0</v>
      </c>
      <c r="AI58" s="48">
        <f t="shared" si="4"/>
        <v>0</v>
      </c>
      <c r="AJ58" s="97">
        <f t="shared" si="5"/>
        <v>0</v>
      </c>
    </row>
    <row r="59" spans="2:36" x14ac:dyDescent="0.35">
      <c r="B59" s="70" t="str">
        <f>IF(Courses!B65&lt;&gt;"",CONCATENATE(Courses!E65,"/",Courses!L65,"/",Courses!K65),"")</f>
        <v/>
      </c>
      <c r="C59" s="1579" t="str">
        <f>IF(AND(Courses!B65&lt;&gt;"",Courses!G65&lt;&gt;""),CONCATENATE(Courses!G65,"/",Courses!L65,"/",Courses!K65),"")</f>
        <v/>
      </c>
      <c r="D59" s="71" t="str">
        <f>IF(AND(Courses!B65&lt;&gt;"",Courses!I65&lt;&gt;""),CONCATENATE(Courses!I65,"/",Courses!L65,"/",Courses!K65),"")</f>
        <v/>
      </c>
      <c r="E59" s="1580">
        <f>IF(AND('Courses Valid'!C71=0,Courses!E65&lt;&gt;"",Courses!F65&gt;0,SUM(Courses!M65,Courses!N65)&gt;0),Courses!F65*SUM(Courses!M65,Courses!N65),0)</f>
        <v>0</v>
      </c>
      <c r="F59" s="41">
        <f>IF(AND('Courses Valid'!C71=0,Courses!G65&lt;&gt;"",Courses!H65&gt;0,SUM(Courses!M65,Courses!N65)&gt;0),Courses!H65*SUM(Courses!M65,Courses!N65),0)</f>
        <v>0</v>
      </c>
      <c r="G59" s="105">
        <f>IF(AND('Courses Valid'!C71=0,Courses!I65&lt;&gt;"",Courses!J65&gt;0,SUM(Courses!M65,Courses!N65)&gt;0),Courses!J65*SUM(Courses!M65,Courses!N65),0)</f>
        <v>0</v>
      </c>
      <c r="H59" s="1580">
        <f>IF(AND('Courses Valid'!C71=0,Courses!E65&lt;&gt;"",Courses!F65&gt;0,SUM(Courses!O65,Courses!P65)&gt;0),Courses!F65*SUM(Courses!O65,Courses!P65),0)</f>
        <v>0</v>
      </c>
      <c r="I59" s="41">
        <f>IF(AND('Courses Valid'!C71=0,Courses!G65&lt;&gt;"",Courses!H65&gt;0,SUM(Courses!O65,Courses!P65)&gt;0),Courses!H65*SUM(Courses!O65,Courses!P65),0)</f>
        <v>0</v>
      </c>
      <c r="J59" s="105">
        <f>IF(AND('Courses Valid'!C71=0,Courses!I65&lt;&gt;"",Courses!J65&gt;0,SUM(Courses!O65,Courses!P65)&gt;0),Courses!J65*SUM(Courses!O65,Courses!P65),0)</f>
        <v>0</v>
      </c>
      <c r="K59" s="1580">
        <f>IF(AND('Courses Valid'!C71=0,Courses!E65&lt;&gt;"",Courses!F65&gt;0,Courses!Q65&gt;0),Courses!F65*Courses!Q65,0)</f>
        <v>0</v>
      </c>
      <c r="L59" s="41">
        <f>IF(AND('Courses Valid'!C71=0,Courses!G65&lt;&gt;"",Courses!H65&gt;0,Courses!Q65&gt;0),Courses!H65*Courses!Q65,0)</f>
        <v>0</v>
      </c>
      <c r="M59" s="105">
        <f>IF(AND('Courses Valid'!C71=0,Courses!I65&lt;&gt;"",Courses!J65&gt;0,Courses!Q65&gt;0),Courses!J65*Courses!Q65,0)</f>
        <v>0</v>
      </c>
      <c r="N59" s="41">
        <f>IF(AND('Courses Valid'!C71=0,Courses!E65&lt;&gt;"",Courses!F65&gt;0,SUM(Courses!W65,Courses!X65)&gt;0),Courses!F65*SUM(Courses!W65,Courses!X65),0)</f>
        <v>0</v>
      </c>
      <c r="O59" s="41">
        <f>IF(AND('Courses Valid'!C71=0,Courses!G65&lt;&gt;"",Courses!H65&gt;0,SUM(Courses!W65,Courses!X65)&gt;0),Courses!H65*SUM(Courses!W65,Courses!X65),0)</f>
        <v>0</v>
      </c>
      <c r="P59" s="41">
        <f>IF(AND('Courses Valid'!C71=0,Courses!I65&lt;&gt;"",Courses!J65&gt;0,SUM(Courses!W65,Courses!X65)&gt;0),Courses!J65*SUM(Courses!W65,Courses!X65),0)</f>
        <v>0</v>
      </c>
      <c r="Q59" s="1580">
        <f>IF(AND('Courses Valid'!C71=0,Courses!E65&lt;&gt;"",Courses!F65&gt;0,SUM(Courses!Y65,Courses!Z65)&gt;0),Courses!F65*SUM(Courses!Y65,Courses!Z65),0)</f>
        <v>0</v>
      </c>
      <c r="R59" s="41">
        <f>IF(AND('Courses Valid'!C71=0,Courses!G65&lt;&gt;"",Courses!H65&gt;0,SUM(Courses!Y65,Courses!Z65)&gt;0),Courses!H65*SUM(Courses!Y65,Courses!Z65),0)</f>
        <v>0</v>
      </c>
      <c r="S59" s="105">
        <f>IF(AND('Courses Valid'!C71=0,Courses!I65&lt;&gt;"",Courses!J65&gt;0,SUM(Courses!Y65,Courses!Z65)&gt;0),Courses!J65*SUM(Courses!Y65,Courses!Z65),0)</f>
        <v>0</v>
      </c>
      <c r="T59" s="41">
        <f>IF(AND('Courses Valid'!C71=0,Courses!E65&lt;&gt;"",Courses!F65&gt;0,Courses!AA65&gt;0),Courses!F65*Courses!AA65,0)</f>
        <v>0</v>
      </c>
      <c r="U59" s="41">
        <f>IF(AND('Courses Valid'!C71=0,Courses!G65&lt;&gt;"",Courses!H65&gt;0,Courses!AA65&gt;0),Courses!H65*Courses!AA65,0)</f>
        <v>0</v>
      </c>
      <c r="V59" s="106">
        <f>IF(AND('Courses Valid'!C71=0,Courses!I65&lt;&gt;"",Courses!J65&gt;0,Courses!AA65&gt;0),Courses!J65*Courses!AA65,0)</f>
        <v>0</v>
      </c>
      <c r="W59" s="41"/>
      <c r="X59" s="96"/>
      <c r="Y59" s="7"/>
      <c r="Z59" s="13" t="s">
        <v>212</v>
      </c>
      <c r="AA59" s="642" t="s">
        <v>268</v>
      </c>
      <c r="AB59" s="45">
        <f t="shared" si="0"/>
        <v>0</v>
      </c>
      <c r="AC59" s="51">
        <f t="shared" si="1"/>
        <v>0</v>
      </c>
      <c r="AD59" s="46">
        <f t="shared" si="2"/>
        <v>0</v>
      </c>
      <c r="AE59" s="299">
        <f>SUM(SUMIF(Courses!$K$14:$K$213,$Z59,Courses!$R$14:$R$213),SUMIF(Courses!$K$14:$K$213,$Z59,Courses!$S$14:$S$213))</f>
        <v>0</v>
      </c>
      <c r="AF59" s="51">
        <f>SUM(SUMIF(Courses!$K$14:$K$213,$Z59,Courses!$T$14:$T$213),SUMIF(Courses!$K$14:$K$213,$Z59,Courses!$U$14:$U$213))</f>
        <v>0</v>
      </c>
      <c r="AG59" s="46">
        <f>SUMIF(Courses!$K$14:$K$213,$Z59,Courses!$V$14:$V$213)</f>
        <v>0</v>
      </c>
      <c r="AH59" s="299">
        <f t="shared" si="3"/>
        <v>0</v>
      </c>
      <c r="AI59" s="51">
        <f t="shared" si="4"/>
        <v>0</v>
      </c>
      <c r="AJ59" s="98">
        <f t="shared" si="5"/>
        <v>0</v>
      </c>
    </row>
    <row r="60" spans="2:36" x14ac:dyDescent="0.35">
      <c r="B60" s="70" t="str">
        <f>IF(Courses!B66&lt;&gt;"",CONCATENATE(Courses!E66,"/",Courses!L66,"/",Courses!K66),"")</f>
        <v/>
      </c>
      <c r="C60" s="1579" t="str">
        <f>IF(AND(Courses!B66&lt;&gt;"",Courses!G66&lt;&gt;""),CONCATENATE(Courses!G66,"/",Courses!L66,"/",Courses!K66),"")</f>
        <v/>
      </c>
      <c r="D60" s="71" t="str">
        <f>IF(AND(Courses!B66&lt;&gt;"",Courses!I66&lt;&gt;""),CONCATENATE(Courses!I66,"/",Courses!L66,"/",Courses!K66),"")</f>
        <v/>
      </c>
      <c r="E60" s="1580">
        <f>IF(AND('Courses Valid'!C72=0,Courses!E66&lt;&gt;"",Courses!F66&gt;0,SUM(Courses!M66,Courses!N66)&gt;0),Courses!F66*SUM(Courses!M66,Courses!N66),0)</f>
        <v>0</v>
      </c>
      <c r="F60" s="41">
        <f>IF(AND('Courses Valid'!C72=0,Courses!G66&lt;&gt;"",Courses!H66&gt;0,SUM(Courses!M66,Courses!N66)&gt;0),Courses!H66*SUM(Courses!M66,Courses!N66),0)</f>
        <v>0</v>
      </c>
      <c r="G60" s="105">
        <f>IF(AND('Courses Valid'!C72=0,Courses!I66&lt;&gt;"",Courses!J66&gt;0,SUM(Courses!M66,Courses!N66)&gt;0),Courses!J66*SUM(Courses!M66,Courses!N66),0)</f>
        <v>0</v>
      </c>
      <c r="H60" s="1580">
        <f>IF(AND('Courses Valid'!C72=0,Courses!E66&lt;&gt;"",Courses!F66&gt;0,SUM(Courses!O66,Courses!P66)&gt;0),Courses!F66*SUM(Courses!O66,Courses!P66),0)</f>
        <v>0</v>
      </c>
      <c r="I60" s="41">
        <f>IF(AND('Courses Valid'!C72=0,Courses!G66&lt;&gt;"",Courses!H66&gt;0,SUM(Courses!O66,Courses!P66)&gt;0),Courses!H66*SUM(Courses!O66,Courses!P66),0)</f>
        <v>0</v>
      </c>
      <c r="J60" s="105">
        <f>IF(AND('Courses Valid'!C72=0,Courses!I66&lt;&gt;"",Courses!J66&gt;0,SUM(Courses!O66,Courses!P66)&gt;0),Courses!J66*SUM(Courses!O66,Courses!P66),0)</f>
        <v>0</v>
      </c>
      <c r="K60" s="1580">
        <f>IF(AND('Courses Valid'!C72=0,Courses!E66&lt;&gt;"",Courses!F66&gt;0,Courses!Q66&gt;0),Courses!F66*Courses!Q66,0)</f>
        <v>0</v>
      </c>
      <c r="L60" s="41">
        <f>IF(AND('Courses Valid'!C72=0,Courses!G66&lt;&gt;"",Courses!H66&gt;0,Courses!Q66&gt;0),Courses!H66*Courses!Q66,0)</f>
        <v>0</v>
      </c>
      <c r="M60" s="105">
        <f>IF(AND('Courses Valid'!C72=0,Courses!I66&lt;&gt;"",Courses!J66&gt;0,Courses!Q66&gt;0),Courses!J66*Courses!Q66,0)</f>
        <v>0</v>
      </c>
      <c r="N60" s="41">
        <f>IF(AND('Courses Valid'!C72=0,Courses!E66&lt;&gt;"",Courses!F66&gt;0,SUM(Courses!W66,Courses!X66)&gt;0),Courses!F66*SUM(Courses!W66,Courses!X66),0)</f>
        <v>0</v>
      </c>
      <c r="O60" s="41">
        <f>IF(AND('Courses Valid'!C72=0,Courses!G66&lt;&gt;"",Courses!H66&gt;0,SUM(Courses!W66,Courses!X66)&gt;0),Courses!H66*SUM(Courses!W66,Courses!X66),0)</f>
        <v>0</v>
      </c>
      <c r="P60" s="41">
        <f>IF(AND('Courses Valid'!C72=0,Courses!I66&lt;&gt;"",Courses!J66&gt;0,SUM(Courses!W66,Courses!X66)&gt;0),Courses!J66*SUM(Courses!W66,Courses!X66),0)</f>
        <v>0</v>
      </c>
      <c r="Q60" s="1580">
        <f>IF(AND('Courses Valid'!C72=0,Courses!E66&lt;&gt;"",Courses!F66&gt;0,SUM(Courses!Y66,Courses!Z66)&gt;0),Courses!F66*SUM(Courses!Y66,Courses!Z66),0)</f>
        <v>0</v>
      </c>
      <c r="R60" s="41">
        <f>IF(AND('Courses Valid'!C72=0,Courses!G66&lt;&gt;"",Courses!H66&gt;0,SUM(Courses!Y66,Courses!Z66)&gt;0),Courses!H66*SUM(Courses!Y66,Courses!Z66),0)</f>
        <v>0</v>
      </c>
      <c r="S60" s="105">
        <f>IF(AND('Courses Valid'!C72=0,Courses!I66&lt;&gt;"",Courses!J66&gt;0,SUM(Courses!Y66,Courses!Z66)&gt;0),Courses!J66*SUM(Courses!Y66,Courses!Z66),0)</f>
        <v>0</v>
      </c>
      <c r="T60" s="41">
        <f>IF(AND('Courses Valid'!C72=0,Courses!E66&lt;&gt;"",Courses!F66&gt;0,Courses!AA66&gt;0),Courses!F66*Courses!AA66,0)</f>
        <v>0</v>
      </c>
      <c r="U60" s="41">
        <f>IF(AND('Courses Valid'!C72=0,Courses!G66&lt;&gt;"",Courses!H66&gt;0,Courses!AA66&gt;0),Courses!H66*Courses!AA66,0)</f>
        <v>0</v>
      </c>
      <c r="V60" s="106">
        <f>IF(AND('Courses Valid'!C72=0,Courses!I66&lt;&gt;"",Courses!J66&gt;0,Courses!AA66&gt;0),Courses!J66*Courses!AA66,0)</f>
        <v>0</v>
      </c>
      <c r="W60" s="41"/>
      <c r="X60" s="527"/>
      <c r="Y60" s="7"/>
      <c r="Z60" s="13" t="s">
        <v>214</v>
      </c>
      <c r="AA60" s="642" t="s">
        <v>269</v>
      </c>
      <c r="AB60" s="45">
        <f t="shared" si="0"/>
        <v>0</v>
      </c>
      <c r="AC60" s="51">
        <f t="shared" si="1"/>
        <v>0</v>
      </c>
      <c r="AD60" s="46">
        <f t="shared" si="2"/>
        <v>0</v>
      </c>
      <c r="AE60" s="45">
        <f>SUM(SUMIF(Courses!$K$14:$K$213,$Z60,Courses!$R$14:$R$213),SUMIF(Courses!$K$14:$K$213,$Z60,Courses!$S$14:$S$213))</f>
        <v>0</v>
      </c>
      <c r="AF60" s="51">
        <f>SUM(SUMIF(Courses!$K$14:$K$213,$Z60,Courses!$T$14:$T$213),SUMIF(Courses!$K$14:$K$213,$Z60,Courses!$U$14:$U$213))</f>
        <v>0</v>
      </c>
      <c r="AG60" s="46">
        <f>SUMIF(Courses!$K$14:$K$213,$Z60,Courses!$V$14:$V$213)</f>
        <v>0</v>
      </c>
      <c r="AH60" s="299">
        <f t="shared" si="3"/>
        <v>0</v>
      </c>
      <c r="AI60" s="51">
        <f t="shared" si="4"/>
        <v>0</v>
      </c>
      <c r="AJ60" s="98">
        <f t="shared" si="5"/>
        <v>0</v>
      </c>
    </row>
    <row r="61" spans="2:36" x14ac:dyDescent="0.35">
      <c r="B61" s="70" t="str">
        <f>IF(Courses!B67&lt;&gt;"",CONCATENATE(Courses!E67,"/",Courses!L67,"/",Courses!K67),"")</f>
        <v/>
      </c>
      <c r="C61" s="1579" t="str">
        <f>IF(AND(Courses!B67&lt;&gt;"",Courses!G67&lt;&gt;""),CONCATENATE(Courses!G67,"/",Courses!L67,"/",Courses!K67),"")</f>
        <v/>
      </c>
      <c r="D61" s="71" t="str">
        <f>IF(AND(Courses!B67&lt;&gt;"",Courses!I67&lt;&gt;""),CONCATENATE(Courses!I67,"/",Courses!L67,"/",Courses!K67),"")</f>
        <v/>
      </c>
      <c r="E61" s="1580">
        <f>IF(AND('Courses Valid'!C73=0,Courses!E67&lt;&gt;"",Courses!F67&gt;0,SUM(Courses!M67,Courses!N67)&gt;0),Courses!F67*SUM(Courses!M67,Courses!N67),0)</f>
        <v>0</v>
      </c>
      <c r="F61" s="41">
        <f>IF(AND('Courses Valid'!C73=0,Courses!G67&lt;&gt;"",Courses!H67&gt;0,SUM(Courses!M67,Courses!N67)&gt;0),Courses!H67*SUM(Courses!M67,Courses!N67),0)</f>
        <v>0</v>
      </c>
      <c r="G61" s="105">
        <f>IF(AND('Courses Valid'!C73=0,Courses!I67&lt;&gt;"",Courses!J67&gt;0,SUM(Courses!M67,Courses!N67)&gt;0),Courses!J67*SUM(Courses!M67,Courses!N67),0)</f>
        <v>0</v>
      </c>
      <c r="H61" s="1580">
        <f>IF(AND('Courses Valid'!C73=0,Courses!E67&lt;&gt;"",Courses!F67&gt;0,SUM(Courses!O67,Courses!P67)&gt;0),Courses!F67*SUM(Courses!O67,Courses!P67),0)</f>
        <v>0</v>
      </c>
      <c r="I61" s="41">
        <f>IF(AND('Courses Valid'!C73=0,Courses!G67&lt;&gt;"",Courses!H67&gt;0,SUM(Courses!O67,Courses!P67)&gt;0),Courses!H67*SUM(Courses!O67,Courses!P67),0)</f>
        <v>0</v>
      </c>
      <c r="J61" s="105">
        <f>IF(AND('Courses Valid'!C73=0,Courses!I67&lt;&gt;"",Courses!J67&gt;0,SUM(Courses!O67,Courses!P67)&gt;0),Courses!J67*SUM(Courses!O67,Courses!P67),0)</f>
        <v>0</v>
      </c>
      <c r="K61" s="1580">
        <f>IF(AND('Courses Valid'!C73=0,Courses!E67&lt;&gt;"",Courses!F67&gt;0,Courses!Q67&gt;0),Courses!F67*Courses!Q67,0)</f>
        <v>0</v>
      </c>
      <c r="L61" s="41">
        <f>IF(AND('Courses Valid'!C73=0,Courses!G67&lt;&gt;"",Courses!H67&gt;0,Courses!Q67&gt;0),Courses!H67*Courses!Q67,0)</f>
        <v>0</v>
      </c>
      <c r="M61" s="105">
        <f>IF(AND('Courses Valid'!C73=0,Courses!I67&lt;&gt;"",Courses!J67&gt;0,Courses!Q67&gt;0),Courses!J67*Courses!Q67,0)</f>
        <v>0</v>
      </c>
      <c r="N61" s="41">
        <f>IF(AND('Courses Valid'!C73=0,Courses!E67&lt;&gt;"",Courses!F67&gt;0,SUM(Courses!W67,Courses!X67)&gt;0),Courses!F67*SUM(Courses!W67,Courses!X67),0)</f>
        <v>0</v>
      </c>
      <c r="O61" s="41">
        <f>IF(AND('Courses Valid'!C73=0,Courses!G67&lt;&gt;"",Courses!H67&gt;0,SUM(Courses!W67,Courses!X67)&gt;0),Courses!H67*SUM(Courses!W67,Courses!X67),0)</f>
        <v>0</v>
      </c>
      <c r="P61" s="41">
        <f>IF(AND('Courses Valid'!C73=0,Courses!I67&lt;&gt;"",Courses!J67&gt;0,SUM(Courses!W67,Courses!X67)&gt;0),Courses!J67*SUM(Courses!W67,Courses!X67),0)</f>
        <v>0</v>
      </c>
      <c r="Q61" s="1580">
        <f>IF(AND('Courses Valid'!C73=0,Courses!E67&lt;&gt;"",Courses!F67&gt;0,SUM(Courses!Y67,Courses!Z67)&gt;0),Courses!F67*SUM(Courses!Y67,Courses!Z67),0)</f>
        <v>0</v>
      </c>
      <c r="R61" s="41">
        <f>IF(AND('Courses Valid'!C73=0,Courses!G67&lt;&gt;"",Courses!H67&gt;0,SUM(Courses!Y67,Courses!Z67)&gt;0),Courses!H67*SUM(Courses!Y67,Courses!Z67),0)</f>
        <v>0</v>
      </c>
      <c r="S61" s="105">
        <f>IF(AND('Courses Valid'!C73=0,Courses!I67&lt;&gt;"",Courses!J67&gt;0,SUM(Courses!Y67,Courses!Z67)&gt;0),Courses!J67*SUM(Courses!Y67,Courses!Z67),0)</f>
        <v>0</v>
      </c>
      <c r="T61" s="41">
        <f>IF(AND('Courses Valid'!C73=0,Courses!E67&lt;&gt;"",Courses!F67&gt;0,Courses!AA67&gt;0),Courses!F67*Courses!AA67,0)</f>
        <v>0</v>
      </c>
      <c r="U61" s="41">
        <f>IF(AND('Courses Valid'!C73=0,Courses!G67&lt;&gt;"",Courses!H67&gt;0,Courses!AA67&gt;0),Courses!H67*Courses!AA67,0)</f>
        <v>0</v>
      </c>
      <c r="V61" s="106">
        <f>IF(AND('Courses Valid'!C73=0,Courses!I67&lt;&gt;"",Courses!J67&gt;0,Courses!AA67&gt;0),Courses!J67*Courses!AA67,0)</f>
        <v>0</v>
      </c>
      <c r="W61" s="41"/>
      <c r="X61" s="235"/>
      <c r="Z61" s="13" t="s">
        <v>216</v>
      </c>
      <c r="AA61" s="642" t="s">
        <v>270</v>
      </c>
      <c r="AB61" s="45">
        <f t="shared" si="0"/>
        <v>0</v>
      </c>
      <c r="AC61" s="51">
        <f t="shared" si="1"/>
        <v>0</v>
      </c>
      <c r="AD61" s="46">
        <f t="shared" si="2"/>
        <v>0</v>
      </c>
      <c r="AE61" s="304"/>
      <c r="AF61" s="305"/>
      <c r="AG61" s="306"/>
      <c r="AH61" s="299">
        <f t="shared" si="3"/>
        <v>0</v>
      </c>
      <c r="AI61" s="51">
        <f t="shared" si="4"/>
        <v>0</v>
      </c>
      <c r="AJ61" s="98">
        <f t="shared" si="5"/>
        <v>0</v>
      </c>
    </row>
    <row r="62" spans="2:36" x14ac:dyDescent="0.35">
      <c r="B62" s="70" t="str">
        <f>IF(Courses!B68&lt;&gt;"",CONCATENATE(Courses!E68,"/",Courses!L68,"/",Courses!K68),"")</f>
        <v/>
      </c>
      <c r="C62" s="1579" t="str">
        <f>IF(AND(Courses!B68&lt;&gt;"",Courses!G68&lt;&gt;""),CONCATENATE(Courses!G68,"/",Courses!L68,"/",Courses!K68),"")</f>
        <v/>
      </c>
      <c r="D62" s="71" t="str">
        <f>IF(AND(Courses!B68&lt;&gt;"",Courses!I68&lt;&gt;""),CONCATENATE(Courses!I68,"/",Courses!L68,"/",Courses!K68),"")</f>
        <v/>
      </c>
      <c r="E62" s="1580">
        <f>IF(AND('Courses Valid'!C74=0,Courses!E68&lt;&gt;"",Courses!F68&gt;0,SUM(Courses!M68,Courses!N68)&gt;0),Courses!F68*SUM(Courses!M68,Courses!N68),0)</f>
        <v>0</v>
      </c>
      <c r="F62" s="41">
        <f>IF(AND('Courses Valid'!C74=0,Courses!G68&lt;&gt;"",Courses!H68&gt;0,SUM(Courses!M68,Courses!N68)&gt;0),Courses!H68*SUM(Courses!M68,Courses!N68),0)</f>
        <v>0</v>
      </c>
      <c r="G62" s="105">
        <f>IF(AND('Courses Valid'!C74=0,Courses!I68&lt;&gt;"",Courses!J68&gt;0,SUM(Courses!M68,Courses!N68)&gt;0),Courses!J68*SUM(Courses!M68,Courses!N68),0)</f>
        <v>0</v>
      </c>
      <c r="H62" s="1580">
        <f>IF(AND('Courses Valid'!C74=0,Courses!E68&lt;&gt;"",Courses!F68&gt;0,SUM(Courses!O68,Courses!P68)&gt;0),Courses!F68*SUM(Courses!O68,Courses!P68),0)</f>
        <v>0</v>
      </c>
      <c r="I62" s="41">
        <f>IF(AND('Courses Valid'!C74=0,Courses!G68&lt;&gt;"",Courses!H68&gt;0,SUM(Courses!O68,Courses!P68)&gt;0),Courses!H68*SUM(Courses!O68,Courses!P68),0)</f>
        <v>0</v>
      </c>
      <c r="J62" s="105">
        <f>IF(AND('Courses Valid'!C74=0,Courses!I68&lt;&gt;"",Courses!J68&gt;0,SUM(Courses!O68,Courses!P68)&gt;0),Courses!J68*SUM(Courses!O68,Courses!P68),0)</f>
        <v>0</v>
      </c>
      <c r="K62" s="1580">
        <f>IF(AND('Courses Valid'!C74=0,Courses!E68&lt;&gt;"",Courses!F68&gt;0,Courses!Q68&gt;0),Courses!F68*Courses!Q68,0)</f>
        <v>0</v>
      </c>
      <c r="L62" s="41">
        <f>IF(AND('Courses Valid'!C74=0,Courses!G68&lt;&gt;"",Courses!H68&gt;0,Courses!Q68&gt;0),Courses!H68*Courses!Q68,0)</f>
        <v>0</v>
      </c>
      <c r="M62" s="105">
        <f>IF(AND('Courses Valid'!C74=0,Courses!I68&lt;&gt;"",Courses!J68&gt;0,Courses!Q68&gt;0),Courses!J68*Courses!Q68,0)</f>
        <v>0</v>
      </c>
      <c r="N62" s="41">
        <f>IF(AND('Courses Valid'!C74=0,Courses!E68&lt;&gt;"",Courses!F68&gt;0,SUM(Courses!W68,Courses!X68)&gt;0),Courses!F68*SUM(Courses!W68,Courses!X68),0)</f>
        <v>0</v>
      </c>
      <c r="O62" s="41">
        <f>IF(AND('Courses Valid'!C74=0,Courses!G68&lt;&gt;"",Courses!H68&gt;0,SUM(Courses!W68,Courses!X68)&gt;0),Courses!H68*SUM(Courses!W68,Courses!X68),0)</f>
        <v>0</v>
      </c>
      <c r="P62" s="41">
        <f>IF(AND('Courses Valid'!C74=0,Courses!I68&lt;&gt;"",Courses!J68&gt;0,SUM(Courses!W68,Courses!X68)&gt;0),Courses!J68*SUM(Courses!W68,Courses!X68),0)</f>
        <v>0</v>
      </c>
      <c r="Q62" s="1580">
        <f>IF(AND('Courses Valid'!C74=0,Courses!E68&lt;&gt;"",Courses!F68&gt;0,SUM(Courses!Y68,Courses!Z68)&gt;0),Courses!F68*SUM(Courses!Y68,Courses!Z68),0)</f>
        <v>0</v>
      </c>
      <c r="R62" s="41">
        <f>IF(AND('Courses Valid'!C74=0,Courses!G68&lt;&gt;"",Courses!H68&gt;0,SUM(Courses!Y68,Courses!Z68)&gt;0),Courses!H68*SUM(Courses!Y68,Courses!Z68),0)</f>
        <v>0</v>
      </c>
      <c r="S62" s="105">
        <f>IF(AND('Courses Valid'!C74=0,Courses!I68&lt;&gt;"",Courses!J68&gt;0,SUM(Courses!Y68,Courses!Z68)&gt;0),Courses!J68*SUM(Courses!Y68,Courses!Z68),0)</f>
        <v>0</v>
      </c>
      <c r="T62" s="41">
        <f>IF(AND('Courses Valid'!C74=0,Courses!E68&lt;&gt;"",Courses!F68&gt;0,Courses!AA68&gt;0),Courses!F68*Courses!AA68,0)</f>
        <v>0</v>
      </c>
      <c r="U62" s="41">
        <f>IF(AND('Courses Valid'!C74=0,Courses!G68&lt;&gt;"",Courses!H68&gt;0,Courses!AA68&gt;0),Courses!H68*Courses!AA68,0)</f>
        <v>0</v>
      </c>
      <c r="V62" s="106">
        <f>IF(AND('Courses Valid'!C74=0,Courses!I68&lt;&gt;"",Courses!J68&gt;0,Courses!AA68&gt;0),Courses!J68*Courses!AA68,0)</f>
        <v>0</v>
      </c>
      <c r="W62" s="41"/>
      <c r="X62" s="99"/>
      <c r="Y62" s="1414" t="s">
        <v>218</v>
      </c>
      <c r="Z62" s="12" t="s">
        <v>205</v>
      </c>
      <c r="AA62" s="645" t="s">
        <v>271</v>
      </c>
      <c r="AB62" s="521">
        <f t="shared" si="0"/>
        <v>0</v>
      </c>
      <c r="AC62" s="50">
        <f t="shared" si="1"/>
        <v>0</v>
      </c>
      <c r="AD62" s="44">
        <f t="shared" si="2"/>
        <v>0</v>
      </c>
      <c r="AE62" s="301"/>
      <c r="AF62" s="301"/>
      <c r="AG62" s="1772"/>
      <c r="AH62" s="300">
        <f t="shared" si="3"/>
        <v>0</v>
      </c>
      <c r="AI62" s="50">
        <f t="shared" si="4"/>
        <v>0</v>
      </c>
      <c r="AJ62" s="100">
        <f t="shared" si="5"/>
        <v>0</v>
      </c>
    </row>
    <row r="63" spans="2:36" x14ac:dyDescent="0.35">
      <c r="B63" s="70" t="str">
        <f>IF(Courses!B69&lt;&gt;"",CONCATENATE(Courses!E69,"/",Courses!L69,"/",Courses!K69),"")</f>
        <v/>
      </c>
      <c r="C63" s="1579" t="str">
        <f>IF(AND(Courses!B69&lt;&gt;"",Courses!G69&lt;&gt;""),CONCATENATE(Courses!G69,"/",Courses!L69,"/",Courses!K69),"")</f>
        <v/>
      </c>
      <c r="D63" s="71" t="str">
        <f>IF(AND(Courses!B69&lt;&gt;"",Courses!I69&lt;&gt;""),CONCATENATE(Courses!I69,"/",Courses!L69,"/",Courses!K69),"")</f>
        <v/>
      </c>
      <c r="E63" s="1580">
        <f>IF(AND('Courses Valid'!C75=0,Courses!E69&lt;&gt;"",Courses!F69&gt;0,SUM(Courses!M69,Courses!N69)&gt;0),Courses!F69*SUM(Courses!M69,Courses!N69),0)</f>
        <v>0</v>
      </c>
      <c r="F63" s="41">
        <f>IF(AND('Courses Valid'!C75=0,Courses!G69&lt;&gt;"",Courses!H69&gt;0,SUM(Courses!M69,Courses!N69)&gt;0),Courses!H69*SUM(Courses!M69,Courses!N69),0)</f>
        <v>0</v>
      </c>
      <c r="G63" s="105">
        <f>IF(AND('Courses Valid'!C75=0,Courses!I69&lt;&gt;"",Courses!J69&gt;0,SUM(Courses!M69,Courses!N69)&gt;0),Courses!J69*SUM(Courses!M69,Courses!N69),0)</f>
        <v>0</v>
      </c>
      <c r="H63" s="1580">
        <f>IF(AND('Courses Valid'!C75=0,Courses!E69&lt;&gt;"",Courses!F69&gt;0,SUM(Courses!O69,Courses!P69)&gt;0),Courses!F69*SUM(Courses!O69,Courses!P69),0)</f>
        <v>0</v>
      </c>
      <c r="I63" s="41">
        <f>IF(AND('Courses Valid'!C75=0,Courses!G69&lt;&gt;"",Courses!H69&gt;0,SUM(Courses!O69,Courses!P69)&gt;0),Courses!H69*SUM(Courses!O69,Courses!P69),0)</f>
        <v>0</v>
      </c>
      <c r="J63" s="105">
        <f>IF(AND('Courses Valid'!C75=0,Courses!I69&lt;&gt;"",Courses!J69&gt;0,SUM(Courses!O69,Courses!P69)&gt;0),Courses!J69*SUM(Courses!O69,Courses!P69),0)</f>
        <v>0</v>
      </c>
      <c r="K63" s="1580">
        <f>IF(AND('Courses Valid'!C75=0,Courses!E69&lt;&gt;"",Courses!F69&gt;0,Courses!Q69&gt;0),Courses!F69*Courses!Q69,0)</f>
        <v>0</v>
      </c>
      <c r="L63" s="41">
        <f>IF(AND('Courses Valid'!C75=0,Courses!G69&lt;&gt;"",Courses!H69&gt;0,Courses!Q69&gt;0),Courses!H69*Courses!Q69,0)</f>
        <v>0</v>
      </c>
      <c r="M63" s="105">
        <f>IF(AND('Courses Valid'!C75=0,Courses!I69&lt;&gt;"",Courses!J69&gt;0,Courses!Q69&gt;0),Courses!J69*Courses!Q69,0)</f>
        <v>0</v>
      </c>
      <c r="N63" s="41">
        <f>IF(AND('Courses Valid'!C75=0,Courses!E69&lt;&gt;"",Courses!F69&gt;0,SUM(Courses!W69,Courses!X69)&gt;0),Courses!F69*SUM(Courses!W69,Courses!X69),0)</f>
        <v>0</v>
      </c>
      <c r="O63" s="41">
        <f>IF(AND('Courses Valid'!C75=0,Courses!G69&lt;&gt;"",Courses!H69&gt;0,SUM(Courses!W69,Courses!X69)&gt;0),Courses!H69*SUM(Courses!W69,Courses!X69),0)</f>
        <v>0</v>
      </c>
      <c r="P63" s="41">
        <f>IF(AND('Courses Valid'!C75=0,Courses!I69&lt;&gt;"",Courses!J69&gt;0,SUM(Courses!W69,Courses!X69)&gt;0),Courses!J69*SUM(Courses!W69,Courses!X69),0)</f>
        <v>0</v>
      </c>
      <c r="Q63" s="1580">
        <f>IF(AND('Courses Valid'!C75=0,Courses!E69&lt;&gt;"",Courses!F69&gt;0,SUM(Courses!Y69,Courses!Z69)&gt;0),Courses!F69*SUM(Courses!Y69,Courses!Z69),0)</f>
        <v>0</v>
      </c>
      <c r="R63" s="41">
        <f>IF(AND('Courses Valid'!C75=0,Courses!G69&lt;&gt;"",Courses!H69&gt;0,SUM(Courses!Y69,Courses!Z69)&gt;0),Courses!H69*SUM(Courses!Y69,Courses!Z69),0)</f>
        <v>0</v>
      </c>
      <c r="S63" s="105">
        <f>IF(AND('Courses Valid'!C75=0,Courses!I69&lt;&gt;"",Courses!J69&gt;0,SUM(Courses!Y69,Courses!Z69)&gt;0),Courses!J69*SUM(Courses!Y69,Courses!Z69),0)</f>
        <v>0</v>
      </c>
      <c r="T63" s="41">
        <f>IF(AND('Courses Valid'!C75=0,Courses!E69&lt;&gt;"",Courses!F69&gt;0,Courses!AA69&gt;0),Courses!F69*Courses!AA69,0)</f>
        <v>0</v>
      </c>
      <c r="U63" s="41">
        <f>IF(AND('Courses Valid'!C75=0,Courses!G69&lt;&gt;"",Courses!H69&gt;0,Courses!AA69&gt;0),Courses!H69*Courses!AA69,0)</f>
        <v>0</v>
      </c>
      <c r="V63" s="106">
        <f>IF(AND('Courses Valid'!C75=0,Courses!I69&lt;&gt;"",Courses!J69&gt;0,Courses!AA69&gt;0),Courses!J69*Courses!AA69,0)</f>
        <v>0</v>
      </c>
      <c r="W63" s="41"/>
      <c r="X63" s="99"/>
      <c r="Y63" s="53"/>
      <c r="Z63" s="13" t="s">
        <v>208</v>
      </c>
      <c r="AA63" s="642" t="s">
        <v>272</v>
      </c>
      <c r="AB63" s="643">
        <f t="shared" si="0"/>
        <v>0</v>
      </c>
      <c r="AC63" s="635">
        <f t="shared" si="1"/>
        <v>0</v>
      </c>
      <c r="AD63" s="632">
        <f t="shared" si="2"/>
        <v>0</v>
      </c>
      <c r="AE63" s="87"/>
      <c r="AF63" s="87"/>
      <c r="AG63" s="88"/>
      <c r="AH63" s="633">
        <f t="shared" si="3"/>
        <v>0</v>
      </c>
      <c r="AI63" s="635">
        <f t="shared" si="4"/>
        <v>0</v>
      </c>
      <c r="AJ63" s="634">
        <f t="shared" si="5"/>
        <v>0</v>
      </c>
    </row>
    <row r="64" spans="2:36" x14ac:dyDescent="0.35">
      <c r="B64" s="70" t="str">
        <f>IF(Courses!B70&lt;&gt;"",CONCATENATE(Courses!E70,"/",Courses!L70,"/",Courses!K70),"")</f>
        <v/>
      </c>
      <c r="C64" s="1579" t="str">
        <f>IF(AND(Courses!B70&lt;&gt;"",Courses!G70&lt;&gt;""),CONCATENATE(Courses!G70,"/",Courses!L70,"/",Courses!K70),"")</f>
        <v/>
      </c>
      <c r="D64" s="71" t="str">
        <f>IF(AND(Courses!B70&lt;&gt;"",Courses!I70&lt;&gt;""),CONCATENATE(Courses!I70,"/",Courses!L70,"/",Courses!K70),"")</f>
        <v/>
      </c>
      <c r="E64" s="1580">
        <f>IF(AND('Courses Valid'!C76=0,Courses!E70&lt;&gt;"",Courses!F70&gt;0,SUM(Courses!M70,Courses!N70)&gt;0),Courses!F70*SUM(Courses!M70,Courses!N70),0)</f>
        <v>0</v>
      </c>
      <c r="F64" s="41">
        <f>IF(AND('Courses Valid'!C76=0,Courses!G70&lt;&gt;"",Courses!H70&gt;0,SUM(Courses!M70,Courses!N70)&gt;0),Courses!H70*SUM(Courses!M70,Courses!N70),0)</f>
        <v>0</v>
      </c>
      <c r="G64" s="105">
        <f>IF(AND('Courses Valid'!C76=0,Courses!I70&lt;&gt;"",Courses!J70&gt;0,SUM(Courses!M70,Courses!N70)&gt;0),Courses!J70*SUM(Courses!M70,Courses!N70),0)</f>
        <v>0</v>
      </c>
      <c r="H64" s="1580">
        <f>IF(AND('Courses Valid'!C76=0,Courses!E70&lt;&gt;"",Courses!F70&gt;0,SUM(Courses!O70,Courses!P70)&gt;0),Courses!F70*SUM(Courses!O70,Courses!P70),0)</f>
        <v>0</v>
      </c>
      <c r="I64" s="41">
        <f>IF(AND('Courses Valid'!C76=0,Courses!G70&lt;&gt;"",Courses!H70&gt;0,SUM(Courses!O70,Courses!P70)&gt;0),Courses!H70*SUM(Courses!O70,Courses!P70),0)</f>
        <v>0</v>
      </c>
      <c r="J64" s="105">
        <f>IF(AND('Courses Valid'!C76=0,Courses!I70&lt;&gt;"",Courses!J70&gt;0,SUM(Courses!O70,Courses!P70)&gt;0),Courses!J70*SUM(Courses!O70,Courses!P70),0)</f>
        <v>0</v>
      </c>
      <c r="K64" s="1580">
        <f>IF(AND('Courses Valid'!C76=0,Courses!E70&lt;&gt;"",Courses!F70&gt;0,Courses!Q70&gt;0),Courses!F70*Courses!Q70,0)</f>
        <v>0</v>
      </c>
      <c r="L64" s="41">
        <f>IF(AND('Courses Valid'!C76=0,Courses!G70&lt;&gt;"",Courses!H70&gt;0,Courses!Q70&gt;0),Courses!H70*Courses!Q70,0)</f>
        <v>0</v>
      </c>
      <c r="M64" s="105">
        <f>IF(AND('Courses Valid'!C76=0,Courses!I70&lt;&gt;"",Courses!J70&gt;0,Courses!Q70&gt;0),Courses!J70*Courses!Q70,0)</f>
        <v>0</v>
      </c>
      <c r="N64" s="41">
        <f>IF(AND('Courses Valid'!C76=0,Courses!E70&lt;&gt;"",Courses!F70&gt;0,SUM(Courses!W70,Courses!X70)&gt;0),Courses!F70*SUM(Courses!W70,Courses!X70),0)</f>
        <v>0</v>
      </c>
      <c r="O64" s="41">
        <f>IF(AND('Courses Valid'!C76=0,Courses!G70&lt;&gt;"",Courses!H70&gt;0,SUM(Courses!W70,Courses!X70)&gt;0),Courses!H70*SUM(Courses!W70,Courses!X70),0)</f>
        <v>0</v>
      </c>
      <c r="P64" s="41">
        <f>IF(AND('Courses Valid'!C76=0,Courses!I70&lt;&gt;"",Courses!J70&gt;0,SUM(Courses!W70,Courses!X70)&gt;0),Courses!J70*SUM(Courses!W70,Courses!X70),0)</f>
        <v>0</v>
      </c>
      <c r="Q64" s="1580">
        <f>IF(AND('Courses Valid'!C76=0,Courses!E70&lt;&gt;"",Courses!F70&gt;0,SUM(Courses!Y70,Courses!Z70)&gt;0),Courses!F70*SUM(Courses!Y70,Courses!Z70),0)</f>
        <v>0</v>
      </c>
      <c r="R64" s="41">
        <f>IF(AND('Courses Valid'!C76=0,Courses!G70&lt;&gt;"",Courses!H70&gt;0,SUM(Courses!Y70,Courses!Z70)&gt;0),Courses!H70*SUM(Courses!Y70,Courses!Z70),0)</f>
        <v>0</v>
      </c>
      <c r="S64" s="105">
        <f>IF(AND('Courses Valid'!C76=0,Courses!I70&lt;&gt;"",Courses!J70&gt;0,SUM(Courses!Y70,Courses!Z70)&gt;0),Courses!J70*SUM(Courses!Y70,Courses!Z70),0)</f>
        <v>0</v>
      </c>
      <c r="T64" s="41">
        <f>IF(AND('Courses Valid'!C76=0,Courses!E70&lt;&gt;"",Courses!F70&gt;0,Courses!AA70&gt;0),Courses!F70*Courses!AA70,0)</f>
        <v>0</v>
      </c>
      <c r="U64" s="41">
        <f>IF(AND('Courses Valid'!C76=0,Courses!G70&lt;&gt;"",Courses!H70&gt;0,Courses!AA70&gt;0),Courses!H70*Courses!AA70,0)</f>
        <v>0</v>
      </c>
      <c r="V64" s="106">
        <f>IF(AND('Courses Valid'!C76=0,Courses!I70&lt;&gt;"",Courses!J70&gt;0,Courses!AA70&gt;0),Courses!J70*Courses!AA70,0)</f>
        <v>0</v>
      </c>
      <c r="W64" s="41"/>
      <c r="X64" s="99"/>
      <c r="Y64" s="53"/>
      <c r="Z64" s="13" t="s">
        <v>210</v>
      </c>
      <c r="AA64" s="642" t="s">
        <v>273</v>
      </c>
      <c r="AB64" s="47">
        <f t="shared" si="0"/>
        <v>0</v>
      </c>
      <c r="AC64" s="48">
        <f t="shared" si="1"/>
        <v>0</v>
      </c>
      <c r="AD64" s="49">
        <f t="shared" si="2"/>
        <v>0</v>
      </c>
      <c r="AE64" s="87"/>
      <c r="AF64" s="87"/>
      <c r="AG64" s="88"/>
      <c r="AH64" s="298">
        <f t="shared" si="3"/>
        <v>0</v>
      </c>
      <c r="AI64" s="48">
        <f t="shared" si="4"/>
        <v>0</v>
      </c>
      <c r="AJ64" s="97">
        <f t="shared" si="5"/>
        <v>0</v>
      </c>
    </row>
    <row r="65" spans="2:36" x14ac:dyDescent="0.35">
      <c r="B65" s="70" t="str">
        <f>IF(Courses!B71&lt;&gt;"",CONCATENATE(Courses!E71,"/",Courses!L71,"/",Courses!K71),"")</f>
        <v/>
      </c>
      <c r="C65" s="1579" t="str">
        <f>IF(AND(Courses!B71&lt;&gt;"",Courses!G71&lt;&gt;""),CONCATENATE(Courses!G71,"/",Courses!L71,"/",Courses!K71),"")</f>
        <v/>
      </c>
      <c r="D65" s="71" t="str">
        <f>IF(AND(Courses!B71&lt;&gt;"",Courses!I71&lt;&gt;""),CONCATENATE(Courses!I71,"/",Courses!L71,"/",Courses!K71),"")</f>
        <v/>
      </c>
      <c r="E65" s="1580">
        <f>IF(AND('Courses Valid'!C77=0,Courses!E71&lt;&gt;"",Courses!F71&gt;0,SUM(Courses!M71,Courses!N71)&gt;0),Courses!F71*SUM(Courses!M71,Courses!N71),0)</f>
        <v>0</v>
      </c>
      <c r="F65" s="41">
        <f>IF(AND('Courses Valid'!C77=0,Courses!G71&lt;&gt;"",Courses!H71&gt;0,SUM(Courses!M71,Courses!N71)&gt;0),Courses!H71*SUM(Courses!M71,Courses!N71),0)</f>
        <v>0</v>
      </c>
      <c r="G65" s="105">
        <f>IF(AND('Courses Valid'!C77=0,Courses!I71&lt;&gt;"",Courses!J71&gt;0,SUM(Courses!M71,Courses!N71)&gt;0),Courses!J71*SUM(Courses!M71,Courses!N71),0)</f>
        <v>0</v>
      </c>
      <c r="H65" s="1580">
        <f>IF(AND('Courses Valid'!C77=0,Courses!E71&lt;&gt;"",Courses!F71&gt;0,SUM(Courses!O71,Courses!P71)&gt;0),Courses!F71*SUM(Courses!O71,Courses!P71),0)</f>
        <v>0</v>
      </c>
      <c r="I65" s="41">
        <f>IF(AND('Courses Valid'!C77=0,Courses!G71&lt;&gt;"",Courses!H71&gt;0,SUM(Courses!O71,Courses!P71)&gt;0),Courses!H71*SUM(Courses!O71,Courses!P71),0)</f>
        <v>0</v>
      </c>
      <c r="J65" s="105">
        <f>IF(AND('Courses Valid'!C77=0,Courses!I71&lt;&gt;"",Courses!J71&gt;0,SUM(Courses!O71,Courses!P71)&gt;0),Courses!J71*SUM(Courses!O71,Courses!P71),0)</f>
        <v>0</v>
      </c>
      <c r="K65" s="1580">
        <f>IF(AND('Courses Valid'!C77=0,Courses!E71&lt;&gt;"",Courses!F71&gt;0,Courses!Q71&gt;0),Courses!F71*Courses!Q71,0)</f>
        <v>0</v>
      </c>
      <c r="L65" s="41">
        <f>IF(AND('Courses Valid'!C77=0,Courses!G71&lt;&gt;"",Courses!H71&gt;0,Courses!Q71&gt;0),Courses!H71*Courses!Q71,0)</f>
        <v>0</v>
      </c>
      <c r="M65" s="105">
        <f>IF(AND('Courses Valid'!C77=0,Courses!I71&lt;&gt;"",Courses!J71&gt;0,Courses!Q71&gt;0),Courses!J71*Courses!Q71,0)</f>
        <v>0</v>
      </c>
      <c r="N65" s="41">
        <f>IF(AND('Courses Valid'!C77=0,Courses!E71&lt;&gt;"",Courses!F71&gt;0,SUM(Courses!W71,Courses!X71)&gt;0),Courses!F71*SUM(Courses!W71,Courses!X71),0)</f>
        <v>0</v>
      </c>
      <c r="O65" s="41">
        <f>IF(AND('Courses Valid'!C77=0,Courses!G71&lt;&gt;"",Courses!H71&gt;0,SUM(Courses!W71,Courses!X71)&gt;0),Courses!H71*SUM(Courses!W71,Courses!X71),0)</f>
        <v>0</v>
      </c>
      <c r="P65" s="41">
        <f>IF(AND('Courses Valid'!C77=0,Courses!I71&lt;&gt;"",Courses!J71&gt;0,SUM(Courses!W71,Courses!X71)&gt;0),Courses!J71*SUM(Courses!W71,Courses!X71),0)</f>
        <v>0</v>
      </c>
      <c r="Q65" s="1580">
        <f>IF(AND('Courses Valid'!C77=0,Courses!E71&lt;&gt;"",Courses!F71&gt;0,SUM(Courses!Y71,Courses!Z71)&gt;0),Courses!F71*SUM(Courses!Y71,Courses!Z71),0)</f>
        <v>0</v>
      </c>
      <c r="R65" s="41">
        <f>IF(AND('Courses Valid'!C77=0,Courses!G71&lt;&gt;"",Courses!H71&gt;0,SUM(Courses!Y71,Courses!Z71)&gt;0),Courses!H71*SUM(Courses!Y71,Courses!Z71),0)</f>
        <v>0</v>
      </c>
      <c r="S65" s="105">
        <f>IF(AND('Courses Valid'!C77=0,Courses!I71&lt;&gt;"",Courses!J71&gt;0,SUM(Courses!Y71,Courses!Z71)&gt;0),Courses!J71*SUM(Courses!Y71,Courses!Z71),0)</f>
        <v>0</v>
      </c>
      <c r="T65" s="41">
        <f>IF(AND('Courses Valid'!C77=0,Courses!E71&lt;&gt;"",Courses!F71&gt;0,Courses!AA71&gt;0),Courses!F71*Courses!AA71,0)</f>
        <v>0</v>
      </c>
      <c r="U65" s="41">
        <f>IF(AND('Courses Valid'!C77=0,Courses!G71&lt;&gt;"",Courses!H71&gt;0,Courses!AA71&gt;0),Courses!H71*Courses!AA71,0)</f>
        <v>0</v>
      </c>
      <c r="V65" s="106">
        <f>IF(AND('Courses Valid'!C77=0,Courses!I71&lt;&gt;"",Courses!J71&gt;0,Courses!AA71&gt;0),Courses!J71*Courses!AA71,0)</f>
        <v>0</v>
      </c>
      <c r="W65" s="41"/>
      <c r="X65" s="99"/>
      <c r="Y65" s="53"/>
      <c r="Z65" s="13" t="s">
        <v>212</v>
      </c>
      <c r="AA65" s="642" t="s">
        <v>274</v>
      </c>
      <c r="AB65" s="45">
        <f t="shared" si="0"/>
        <v>0</v>
      </c>
      <c r="AC65" s="51">
        <f t="shared" si="1"/>
        <v>0</v>
      </c>
      <c r="AD65" s="46">
        <f t="shared" si="2"/>
        <v>0</v>
      </c>
      <c r="AE65" s="87"/>
      <c r="AF65" s="87"/>
      <c r="AG65" s="88"/>
      <c r="AH65" s="299">
        <f t="shared" si="3"/>
        <v>0</v>
      </c>
      <c r="AI65" s="51">
        <f t="shared" si="4"/>
        <v>0</v>
      </c>
      <c r="AJ65" s="98">
        <f t="shared" si="5"/>
        <v>0</v>
      </c>
    </row>
    <row r="66" spans="2:36" x14ac:dyDescent="0.35">
      <c r="B66" s="70" t="str">
        <f>IF(Courses!B72&lt;&gt;"",CONCATENATE(Courses!E72,"/",Courses!L72,"/",Courses!K72),"")</f>
        <v/>
      </c>
      <c r="C66" s="1579" t="str">
        <f>IF(AND(Courses!B72&lt;&gt;"",Courses!G72&lt;&gt;""),CONCATENATE(Courses!G72,"/",Courses!L72,"/",Courses!K72),"")</f>
        <v/>
      </c>
      <c r="D66" s="71" t="str">
        <f>IF(AND(Courses!B72&lt;&gt;"",Courses!I72&lt;&gt;""),CONCATENATE(Courses!I72,"/",Courses!L72,"/",Courses!K72),"")</f>
        <v/>
      </c>
      <c r="E66" s="1580">
        <f>IF(AND('Courses Valid'!C78=0,Courses!E72&lt;&gt;"",Courses!F72&gt;0,SUM(Courses!M72,Courses!N72)&gt;0),Courses!F72*SUM(Courses!M72,Courses!N72),0)</f>
        <v>0</v>
      </c>
      <c r="F66" s="41">
        <f>IF(AND('Courses Valid'!C78=0,Courses!G72&lt;&gt;"",Courses!H72&gt;0,SUM(Courses!M72,Courses!N72)&gt;0),Courses!H72*SUM(Courses!M72,Courses!N72),0)</f>
        <v>0</v>
      </c>
      <c r="G66" s="105">
        <f>IF(AND('Courses Valid'!C78=0,Courses!I72&lt;&gt;"",Courses!J72&gt;0,SUM(Courses!M72,Courses!N72)&gt;0),Courses!J72*SUM(Courses!M72,Courses!N72),0)</f>
        <v>0</v>
      </c>
      <c r="H66" s="1580">
        <f>IF(AND('Courses Valid'!C78=0,Courses!E72&lt;&gt;"",Courses!F72&gt;0,SUM(Courses!O72,Courses!P72)&gt;0),Courses!F72*SUM(Courses!O72,Courses!P72),0)</f>
        <v>0</v>
      </c>
      <c r="I66" s="41">
        <f>IF(AND('Courses Valid'!C78=0,Courses!G72&lt;&gt;"",Courses!H72&gt;0,SUM(Courses!O72,Courses!P72)&gt;0),Courses!H72*SUM(Courses!O72,Courses!P72),0)</f>
        <v>0</v>
      </c>
      <c r="J66" s="105">
        <f>IF(AND('Courses Valid'!C78=0,Courses!I72&lt;&gt;"",Courses!J72&gt;0,SUM(Courses!O72,Courses!P72)&gt;0),Courses!J72*SUM(Courses!O72,Courses!P72),0)</f>
        <v>0</v>
      </c>
      <c r="K66" s="1580">
        <f>IF(AND('Courses Valid'!C78=0,Courses!E72&lt;&gt;"",Courses!F72&gt;0,Courses!Q72&gt;0),Courses!F72*Courses!Q72,0)</f>
        <v>0</v>
      </c>
      <c r="L66" s="41">
        <f>IF(AND('Courses Valid'!C78=0,Courses!G72&lt;&gt;"",Courses!H72&gt;0,Courses!Q72&gt;0),Courses!H72*Courses!Q72,0)</f>
        <v>0</v>
      </c>
      <c r="M66" s="105">
        <f>IF(AND('Courses Valid'!C78=0,Courses!I72&lt;&gt;"",Courses!J72&gt;0,Courses!Q72&gt;0),Courses!J72*Courses!Q72,0)</f>
        <v>0</v>
      </c>
      <c r="N66" s="41">
        <f>IF(AND('Courses Valid'!C78=0,Courses!E72&lt;&gt;"",Courses!F72&gt;0,SUM(Courses!W72,Courses!X72)&gt;0),Courses!F72*SUM(Courses!W72,Courses!X72),0)</f>
        <v>0</v>
      </c>
      <c r="O66" s="41">
        <f>IF(AND('Courses Valid'!C78=0,Courses!G72&lt;&gt;"",Courses!H72&gt;0,SUM(Courses!W72,Courses!X72)&gt;0),Courses!H72*SUM(Courses!W72,Courses!X72),0)</f>
        <v>0</v>
      </c>
      <c r="P66" s="41">
        <f>IF(AND('Courses Valid'!C78=0,Courses!I72&lt;&gt;"",Courses!J72&gt;0,SUM(Courses!W72,Courses!X72)&gt;0),Courses!J72*SUM(Courses!W72,Courses!X72),0)</f>
        <v>0</v>
      </c>
      <c r="Q66" s="1580">
        <f>IF(AND('Courses Valid'!C78=0,Courses!E72&lt;&gt;"",Courses!F72&gt;0,SUM(Courses!Y72,Courses!Z72)&gt;0),Courses!F72*SUM(Courses!Y72,Courses!Z72),0)</f>
        <v>0</v>
      </c>
      <c r="R66" s="41">
        <f>IF(AND('Courses Valid'!C78=0,Courses!G72&lt;&gt;"",Courses!H72&gt;0,SUM(Courses!Y72,Courses!Z72)&gt;0),Courses!H72*SUM(Courses!Y72,Courses!Z72),0)</f>
        <v>0</v>
      </c>
      <c r="S66" s="105">
        <f>IF(AND('Courses Valid'!C78=0,Courses!I72&lt;&gt;"",Courses!J72&gt;0,SUM(Courses!Y72,Courses!Z72)&gt;0),Courses!J72*SUM(Courses!Y72,Courses!Z72),0)</f>
        <v>0</v>
      </c>
      <c r="T66" s="41">
        <f>IF(AND('Courses Valid'!C78=0,Courses!E72&lt;&gt;"",Courses!F72&gt;0,Courses!AA72&gt;0),Courses!F72*Courses!AA72,0)</f>
        <v>0</v>
      </c>
      <c r="U66" s="41">
        <f>IF(AND('Courses Valid'!C78=0,Courses!G72&lt;&gt;"",Courses!H72&gt;0,Courses!AA72&gt;0),Courses!H72*Courses!AA72,0)</f>
        <v>0</v>
      </c>
      <c r="V66" s="106">
        <f>IF(AND('Courses Valid'!C78=0,Courses!I72&lt;&gt;"",Courses!J72&gt;0,Courses!AA72&gt;0),Courses!J72*Courses!AA72,0)</f>
        <v>0</v>
      </c>
      <c r="W66" s="41"/>
      <c r="X66" s="99"/>
      <c r="Y66" s="7"/>
      <c r="Z66" s="13" t="s">
        <v>214</v>
      </c>
      <c r="AA66" s="642" t="s">
        <v>275</v>
      </c>
      <c r="AB66" s="45">
        <f t="shared" si="0"/>
        <v>0</v>
      </c>
      <c r="AC66" s="51">
        <f t="shared" si="1"/>
        <v>0</v>
      </c>
      <c r="AD66" s="46">
        <f t="shared" si="2"/>
        <v>0</v>
      </c>
      <c r="AE66" s="87"/>
      <c r="AF66" s="87"/>
      <c r="AG66" s="88"/>
      <c r="AH66" s="45">
        <f t="shared" si="3"/>
        <v>0</v>
      </c>
      <c r="AI66" s="51">
        <f t="shared" si="4"/>
        <v>0</v>
      </c>
      <c r="AJ66" s="98">
        <f t="shared" si="5"/>
        <v>0</v>
      </c>
    </row>
    <row r="67" spans="2:36" x14ac:dyDescent="0.35">
      <c r="B67" s="70" t="str">
        <f>IF(Courses!B73&lt;&gt;"",CONCATENATE(Courses!E73,"/",Courses!L73,"/",Courses!K73),"")</f>
        <v/>
      </c>
      <c r="C67" s="1579" t="str">
        <f>IF(AND(Courses!B73&lt;&gt;"",Courses!G73&lt;&gt;""),CONCATENATE(Courses!G73,"/",Courses!L73,"/",Courses!K73),"")</f>
        <v/>
      </c>
      <c r="D67" s="71" t="str">
        <f>IF(AND(Courses!B73&lt;&gt;"",Courses!I73&lt;&gt;""),CONCATENATE(Courses!I73,"/",Courses!L73,"/",Courses!K73),"")</f>
        <v/>
      </c>
      <c r="E67" s="1580">
        <f>IF(AND('Courses Valid'!C79=0,Courses!E73&lt;&gt;"",Courses!F73&gt;0,SUM(Courses!M73,Courses!N73)&gt;0),Courses!F73*SUM(Courses!M73,Courses!N73),0)</f>
        <v>0</v>
      </c>
      <c r="F67" s="41">
        <f>IF(AND('Courses Valid'!C79=0,Courses!G73&lt;&gt;"",Courses!H73&gt;0,SUM(Courses!M73,Courses!N73)&gt;0),Courses!H73*SUM(Courses!M73,Courses!N73),0)</f>
        <v>0</v>
      </c>
      <c r="G67" s="105">
        <f>IF(AND('Courses Valid'!C79=0,Courses!I73&lt;&gt;"",Courses!J73&gt;0,SUM(Courses!M73,Courses!N73)&gt;0),Courses!J73*SUM(Courses!M73,Courses!N73),0)</f>
        <v>0</v>
      </c>
      <c r="H67" s="1580">
        <f>IF(AND('Courses Valid'!C79=0,Courses!E73&lt;&gt;"",Courses!F73&gt;0,SUM(Courses!O73,Courses!P73)&gt;0),Courses!F73*SUM(Courses!O73,Courses!P73),0)</f>
        <v>0</v>
      </c>
      <c r="I67" s="41">
        <f>IF(AND('Courses Valid'!C79=0,Courses!G73&lt;&gt;"",Courses!H73&gt;0,SUM(Courses!O73,Courses!P73)&gt;0),Courses!H73*SUM(Courses!O73,Courses!P73),0)</f>
        <v>0</v>
      </c>
      <c r="J67" s="105">
        <f>IF(AND('Courses Valid'!C79=0,Courses!I73&lt;&gt;"",Courses!J73&gt;0,SUM(Courses!O73,Courses!P73)&gt;0),Courses!J73*SUM(Courses!O73,Courses!P73),0)</f>
        <v>0</v>
      </c>
      <c r="K67" s="1580">
        <f>IF(AND('Courses Valid'!C79=0,Courses!E73&lt;&gt;"",Courses!F73&gt;0,Courses!Q73&gt;0),Courses!F73*Courses!Q73,0)</f>
        <v>0</v>
      </c>
      <c r="L67" s="41">
        <f>IF(AND('Courses Valid'!C79=0,Courses!G73&lt;&gt;"",Courses!H73&gt;0,Courses!Q73&gt;0),Courses!H73*Courses!Q73,0)</f>
        <v>0</v>
      </c>
      <c r="M67" s="105">
        <f>IF(AND('Courses Valid'!C79=0,Courses!I73&lt;&gt;"",Courses!J73&gt;0,Courses!Q73&gt;0),Courses!J73*Courses!Q73,0)</f>
        <v>0</v>
      </c>
      <c r="N67" s="41">
        <f>IF(AND('Courses Valid'!C79=0,Courses!E73&lt;&gt;"",Courses!F73&gt;0,SUM(Courses!W73,Courses!X73)&gt;0),Courses!F73*SUM(Courses!W73,Courses!X73),0)</f>
        <v>0</v>
      </c>
      <c r="O67" s="41">
        <f>IF(AND('Courses Valid'!C79=0,Courses!G73&lt;&gt;"",Courses!H73&gt;0,SUM(Courses!W73,Courses!X73)&gt;0),Courses!H73*SUM(Courses!W73,Courses!X73),0)</f>
        <v>0</v>
      </c>
      <c r="P67" s="41">
        <f>IF(AND('Courses Valid'!C79=0,Courses!I73&lt;&gt;"",Courses!J73&gt;0,SUM(Courses!W73,Courses!X73)&gt;0),Courses!J73*SUM(Courses!W73,Courses!X73),0)</f>
        <v>0</v>
      </c>
      <c r="Q67" s="1580">
        <f>IF(AND('Courses Valid'!C79=0,Courses!E73&lt;&gt;"",Courses!F73&gt;0,SUM(Courses!Y73,Courses!Z73)&gt;0),Courses!F73*SUM(Courses!Y73,Courses!Z73),0)</f>
        <v>0</v>
      </c>
      <c r="R67" s="41">
        <f>IF(AND('Courses Valid'!C79=0,Courses!G73&lt;&gt;"",Courses!H73&gt;0,SUM(Courses!Y73,Courses!Z73)&gt;0),Courses!H73*SUM(Courses!Y73,Courses!Z73),0)</f>
        <v>0</v>
      </c>
      <c r="S67" s="105">
        <f>IF(AND('Courses Valid'!C79=0,Courses!I73&lt;&gt;"",Courses!J73&gt;0,SUM(Courses!Y73,Courses!Z73)&gt;0),Courses!J73*SUM(Courses!Y73,Courses!Z73),0)</f>
        <v>0</v>
      </c>
      <c r="T67" s="41">
        <f>IF(AND('Courses Valid'!C79=0,Courses!E73&lt;&gt;"",Courses!F73&gt;0,Courses!AA73&gt;0),Courses!F73*Courses!AA73,0)</f>
        <v>0</v>
      </c>
      <c r="U67" s="41">
        <f>IF(AND('Courses Valid'!C79=0,Courses!G73&lt;&gt;"",Courses!H73&gt;0,Courses!AA73&gt;0),Courses!H73*Courses!AA73,0)</f>
        <v>0</v>
      </c>
      <c r="V67" s="106">
        <f>IF(AND('Courses Valid'!C79=0,Courses!I73&lt;&gt;"",Courses!J73&gt;0,Courses!AA73&gt;0),Courses!J73*Courses!AA73,0)</f>
        <v>0</v>
      </c>
      <c r="W67" s="41"/>
      <c r="X67" s="235"/>
      <c r="Z67" s="13" t="s">
        <v>216</v>
      </c>
      <c r="AA67" s="642" t="s">
        <v>276</v>
      </c>
      <c r="AB67" s="45">
        <f t="shared" si="0"/>
        <v>0</v>
      </c>
      <c r="AC67" s="51">
        <f t="shared" si="1"/>
        <v>0</v>
      </c>
      <c r="AD67" s="46">
        <f t="shared" si="2"/>
        <v>0</v>
      </c>
      <c r="AG67" s="183"/>
      <c r="AH67" s="45">
        <f t="shared" si="3"/>
        <v>0</v>
      </c>
      <c r="AI67" s="51">
        <f t="shared" si="4"/>
        <v>0</v>
      </c>
      <c r="AJ67" s="98">
        <f t="shared" si="5"/>
        <v>0</v>
      </c>
    </row>
    <row r="68" spans="2:36" x14ac:dyDescent="0.35">
      <c r="B68" s="70" t="str">
        <f>IF(Courses!B74&lt;&gt;"",CONCATENATE(Courses!E74,"/",Courses!L74,"/",Courses!K74),"")</f>
        <v/>
      </c>
      <c r="C68" s="1579" t="str">
        <f>IF(AND(Courses!B74&lt;&gt;"",Courses!G74&lt;&gt;""),CONCATENATE(Courses!G74,"/",Courses!L74,"/",Courses!K74),"")</f>
        <v/>
      </c>
      <c r="D68" s="71" t="str">
        <f>IF(AND(Courses!B74&lt;&gt;"",Courses!I74&lt;&gt;""),CONCATENATE(Courses!I74,"/",Courses!L74,"/",Courses!K74),"")</f>
        <v/>
      </c>
      <c r="E68" s="1580">
        <f>IF(AND('Courses Valid'!C80=0,Courses!E74&lt;&gt;"",Courses!F74&gt;0,SUM(Courses!M74,Courses!N74)&gt;0),Courses!F74*SUM(Courses!M74,Courses!N74),0)</f>
        <v>0</v>
      </c>
      <c r="F68" s="41">
        <f>IF(AND('Courses Valid'!C80=0,Courses!G74&lt;&gt;"",Courses!H74&gt;0,SUM(Courses!M74,Courses!N74)&gt;0),Courses!H74*SUM(Courses!M74,Courses!N74),0)</f>
        <v>0</v>
      </c>
      <c r="G68" s="105">
        <f>IF(AND('Courses Valid'!C80=0,Courses!I74&lt;&gt;"",Courses!J74&gt;0,SUM(Courses!M74,Courses!N74)&gt;0),Courses!J74*SUM(Courses!M74,Courses!N74),0)</f>
        <v>0</v>
      </c>
      <c r="H68" s="1580">
        <f>IF(AND('Courses Valid'!C80=0,Courses!E74&lt;&gt;"",Courses!F74&gt;0,SUM(Courses!O74,Courses!P74)&gt;0),Courses!F74*SUM(Courses!O74,Courses!P74),0)</f>
        <v>0</v>
      </c>
      <c r="I68" s="41">
        <f>IF(AND('Courses Valid'!C80=0,Courses!G74&lt;&gt;"",Courses!H74&gt;0,SUM(Courses!O74,Courses!P74)&gt;0),Courses!H74*SUM(Courses!O74,Courses!P74),0)</f>
        <v>0</v>
      </c>
      <c r="J68" s="105">
        <f>IF(AND('Courses Valid'!C80=0,Courses!I74&lt;&gt;"",Courses!J74&gt;0,SUM(Courses!O74,Courses!P74)&gt;0),Courses!J74*SUM(Courses!O74,Courses!P74),0)</f>
        <v>0</v>
      </c>
      <c r="K68" s="1580">
        <f>IF(AND('Courses Valid'!C80=0,Courses!E74&lt;&gt;"",Courses!F74&gt;0,Courses!Q74&gt;0),Courses!F74*Courses!Q74,0)</f>
        <v>0</v>
      </c>
      <c r="L68" s="41">
        <f>IF(AND('Courses Valid'!C80=0,Courses!G74&lt;&gt;"",Courses!H74&gt;0,Courses!Q74&gt;0),Courses!H74*Courses!Q74,0)</f>
        <v>0</v>
      </c>
      <c r="M68" s="105">
        <f>IF(AND('Courses Valid'!C80=0,Courses!I74&lt;&gt;"",Courses!J74&gt;0,Courses!Q74&gt;0),Courses!J74*Courses!Q74,0)</f>
        <v>0</v>
      </c>
      <c r="N68" s="41">
        <f>IF(AND('Courses Valid'!C80=0,Courses!E74&lt;&gt;"",Courses!F74&gt;0,SUM(Courses!W74,Courses!X74)&gt;0),Courses!F74*SUM(Courses!W74,Courses!X74),0)</f>
        <v>0</v>
      </c>
      <c r="O68" s="41">
        <f>IF(AND('Courses Valid'!C80=0,Courses!G74&lt;&gt;"",Courses!H74&gt;0,SUM(Courses!W74,Courses!X74)&gt;0),Courses!H74*SUM(Courses!W74,Courses!X74),0)</f>
        <v>0</v>
      </c>
      <c r="P68" s="41">
        <f>IF(AND('Courses Valid'!C80=0,Courses!I74&lt;&gt;"",Courses!J74&gt;0,SUM(Courses!W74,Courses!X74)&gt;0),Courses!J74*SUM(Courses!W74,Courses!X74),0)</f>
        <v>0</v>
      </c>
      <c r="Q68" s="1580">
        <f>IF(AND('Courses Valid'!C80=0,Courses!E74&lt;&gt;"",Courses!F74&gt;0,SUM(Courses!Y74,Courses!Z74)&gt;0),Courses!F74*SUM(Courses!Y74,Courses!Z74),0)</f>
        <v>0</v>
      </c>
      <c r="R68" s="41">
        <f>IF(AND('Courses Valid'!C80=0,Courses!G74&lt;&gt;"",Courses!H74&gt;0,SUM(Courses!Y74,Courses!Z74)&gt;0),Courses!H74*SUM(Courses!Y74,Courses!Z74),0)</f>
        <v>0</v>
      </c>
      <c r="S68" s="105">
        <f>IF(AND('Courses Valid'!C80=0,Courses!I74&lt;&gt;"",Courses!J74&gt;0,SUM(Courses!Y74,Courses!Z74)&gt;0),Courses!J74*SUM(Courses!Y74,Courses!Z74),0)</f>
        <v>0</v>
      </c>
      <c r="T68" s="41">
        <f>IF(AND('Courses Valid'!C80=0,Courses!E74&lt;&gt;"",Courses!F74&gt;0,Courses!AA74&gt;0),Courses!F74*Courses!AA74,0)</f>
        <v>0</v>
      </c>
      <c r="U68" s="41">
        <f>IF(AND('Courses Valid'!C80=0,Courses!G74&lt;&gt;"",Courses!H74&gt;0,Courses!AA74&gt;0),Courses!H74*Courses!AA74,0)</f>
        <v>0</v>
      </c>
      <c r="V68" s="106">
        <f>IF(AND('Courses Valid'!C80=0,Courses!I74&lt;&gt;"",Courses!J74&gt;0,Courses!AA74&gt;0),Courses!J74*Courses!AA74,0)</f>
        <v>0</v>
      </c>
      <c r="W68" s="41"/>
      <c r="X68" s="1767" t="s">
        <v>277</v>
      </c>
      <c r="Y68" s="1412" t="s">
        <v>204</v>
      </c>
      <c r="Z68" s="525" t="s">
        <v>205</v>
      </c>
      <c r="AA68" s="1413" t="s">
        <v>278</v>
      </c>
      <c r="AB68" s="1768">
        <f t="shared" si="0"/>
        <v>0</v>
      </c>
      <c r="AC68" s="1678">
        <f t="shared" si="1"/>
        <v>0</v>
      </c>
      <c r="AD68" s="1679">
        <f t="shared" si="2"/>
        <v>0</v>
      </c>
      <c r="AE68" s="87"/>
      <c r="AF68" s="87"/>
      <c r="AG68" s="88"/>
      <c r="AH68" s="1773">
        <f t="shared" si="3"/>
        <v>0</v>
      </c>
      <c r="AI68" s="1678">
        <f t="shared" si="4"/>
        <v>0</v>
      </c>
      <c r="AJ68" s="1680">
        <f t="shared" si="5"/>
        <v>0</v>
      </c>
    </row>
    <row r="69" spans="2:36" x14ac:dyDescent="0.35">
      <c r="B69" s="70" t="str">
        <f>IF(Courses!B75&lt;&gt;"",CONCATENATE(Courses!E75,"/",Courses!L75,"/",Courses!K75),"")</f>
        <v/>
      </c>
      <c r="C69" s="1579" t="str">
        <f>IF(AND(Courses!B75&lt;&gt;"",Courses!G75&lt;&gt;""),CONCATENATE(Courses!G75,"/",Courses!L75,"/",Courses!K75),"")</f>
        <v/>
      </c>
      <c r="D69" s="71" t="str">
        <f>IF(AND(Courses!B75&lt;&gt;"",Courses!I75&lt;&gt;""),CONCATENATE(Courses!I75,"/",Courses!L75,"/",Courses!K75),"")</f>
        <v/>
      </c>
      <c r="E69" s="1580">
        <f>IF(AND('Courses Valid'!C81=0,Courses!E75&lt;&gt;"",Courses!F75&gt;0,SUM(Courses!M75,Courses!N75)&gt;0),Courses!F75*SUM(Courses!M75,Courses!N75),0)</f>
        <v>0</v>
      </c>
      <c r="F69" s="41">
        <f>IF(AND('Courses Valid'!C81=0,Courses!G75&lt;&gt;"",Courses!H75&gt;0,SUM(Courses!M75,Courses!N75)&gt;0),Courses!H75*SUM(Courses!M75,Courses!N75),0)</f>
        <v>0</v>
      </c>
      <c r="G69" s="105">
        <f>IF(AND('Courses Valid'!C81=0,Courses!I75&lt;&gt;"",Courses!J75&gt;0,SUM(Courses!M75,Courses!N75)&gt;0),Courses!J75*SUM(Courses!M75,Courses!N75),0)</f>
        <v>0</v>
      </c>
      <c r="H69" s="1580">
        <f>IF(AND('Courses Valid'!C81=0,Courses!E75&lt;&gt;"",Courses!F75&gt;0,SUM(Courses!O75,Courses!P75)&gt;0),Courses!F75*SUM(Courses!O75,Courses!P75),0)</f>
        <v>0</v>
      </c>
      <c r="I69" s="41">
        <f>IF(AND('Courses Valid'!C81=0,Courses!G75&lt;&gt;"",Courses!H75&gt;0,SUM(Courses!O75,Courses!P75)&gt;0),Courses!H75*SUM(Courses!O75,Courses!P75),0)</f>
        <v>0</v>
      </c>
      <c r="J69" s="105">
        <f>IF(AND('Courses Valid'!C81=0,Courses!I75&lt;&gt;"",Courses!J75&gt;0,SUM(Courses!O75,Courses!P75)&gt;0),Courses!J75*SUM(Courses!O75,Courses!P75),0)</f>
        <v>0</v>
      </c>
      <c r="K69" s="1580">
        <f>IF(AND('Courses Valid'!C81=0,Courses!E75&lt;&gt;"",Courses!F75&gt;0,Courses!Q75&gt;0),Courses!F75*Courses!Q75,0)</f>
        <v>0</v>
      </c>
      <c r="L69" s="41">
        <f>IF(AND('Courses Valid'!C81=0,Courses!G75&lt;&gt;"",Courses!H75&gt;0,Courses!Q75&gt;0),Courses!H75*Courses!Q75,0)</f>
        <v>0</v>
      </c>
      <c r="M69" s="105">
        <f>IF(AND('Courses Valid'!C81=0,Courses!I75&lt;&gt;"",Courses!J75&gt;0,Courses!Q75&gt;0),Courses!J75*Courses!Q75,0)</f>
        <v>0</v>
      </c>
      <c r="N69" s="41">
        <f>IF(AND('Courses Valid'!C81=0,Courses!E75&lt;&gt;"",Courses!F75&gt;0,SUM(Courses!W75,Courses!X75)&gt;0),Courses!F75*SUM(Courses!W75,Courses!X75),0)</f>
        <v>0</v>
      </c>
      <c r="O69" s="41">
        <f>IF(AND('Courses Valid'!C81=0,Courses!G75&lt;&gt;"",Courses!H75&gt;0,SUM(Courses!W75,Courses!X75)&gt;0),Courses!H75*SUM(Courses!W75,Courses!X75),0)</f>
        <v>0</v>
      </c>
      <c r="P69" s="41">
        <f>IF(AND('Courses Valid'!C81=0,Courses!I75&lt;&gt;"",Courses!J75&gt;0,SUM(Courses!W75,Courses!X75)&gt;0),Courses!J75*SUM(Courses!W75,Courses!X75),0)</f>
        <v>0</v>
      </c>
      <c r="Q69" s="1580">
        <f>IF(AND('Courses Valid'!C81=0,Courses!E75&lt;&gt;"",Courses!F75&gt;0,SUM(Courses!Y75,Courses!Z75)&gt;0),Courses!F75*SUM(Courses!Y75,Courses!Z75),0)</f>
        <v>0</v>
      </c>
      <c r="R69" s="41">
        <f>IF(AND('Courses Valid'!C81=0,Courses!G75&lt;&gt;"",Courses!H75&gt;0,SUM(Courses!Y75,Courses!Z75)&gt;0),Courses!H75*SUM(Courses!Y75,Courses!Z75),0)</f>
        <v>0</v>
      </c>
      <c r="S69" s="105">
        <f>IF(AND('Courses Valid'!C81=0,Courses!I75&lt;&gt;"",Courses!J75&gt;0,SUM(Courses!Y75,Courses!Z75)&gt;0),Courses!J75*SUM(Courses!Y75,Courses!Z75),0)</f>
        <v>0</v>
      </c>
      <c r="T69" s="41">
        <f>IF(AND('Courses Valid'!C81=0,Courses!E75&lt;&gt;"",Courses!F75&gt;0,Courses!AA75&gt;0),Courses!F75*Courses!AA75,0)</f>
        <v>0</v>
      </c>
      <c r="U69" s="41">
        <f>IF(AND('Courses Valid'!C81=0,Courses!G75&lt;&gt;"",Courses!H75&gt;0,Courses!AA75&gt;0),Courses!H75*Courses!AA75,0)</f>
        <v>0</v>
      </c>
      <c r="V69" s="106">
        <f>IF(AND('Courses Valid'!C81=0,Courses!I75&lt;&gt;"",Courses!J75&gt;0,Courses!AA75&gt;0),Courses!J75*Courses!AA75,0)</f>
        <v>0</v>
      </c>
      <c r="W69" s="41"/>
      <c r="X69" s="96"/>
      <c r="Y69" s="7"/>
      <c r="Z69" s="13" t="s">
        <v>208</v>
      </c>
      <c r="AA69" s="642" t="s">
        <v>279</v>
      </c>
      <c r="AB69" s="643">
        <f t="shared" si="0"/>
        <v>0</v>
      </c>
      <c r="AC69" s="635">
        <f t="shared" si="1"/>
        <v>0</v>
      </c>
      <c r="AD69" s="632">
        <f t="shared" si="2"/>
        <v>0</v>
      </c>
      <c r="AE69" s="87"/>
      <c r="AF69" s="87"/>
      <c r="AG69" s="88"/>
      <c r="AH69" s="633">
        <f t="shared" si="3"/>
        <v>0</v>
      </c>
      <c r="AI69" s="635">
        <f t="shared" si="4"/>
        <v>0</v>
      </c>
      <c r="AJ69" s="634">
        <f t="shared" si="5"/>
        <v>0</v>
      </c>
    </row>
    <row r="70" spans="2:36" x14ac:dyDescent="0.35">
      <c r="B70" s="70" t="str">
        <f>IF(Courses!B76&lt;&gt;"",CONCATENATE(Courses!E76,"/",Courses!L76,"/",Courses!K76),"")</f>
        <v/>
      </c>
      <c r="C70" s="1579" t="str">
        <f>IF(AND(Courses!B76&lt;&gt;"",Courses!G76&lt;&gt;""),CONCATENATE(Courses!G76,"/",Courses!L76,"/",Courses!K76),"")</f>
        <v/>
      </c>
      <c r="D70" s="71" t="str">
        <f>IF(AND(Courses!B76&lt;&gt;"",Courses!I76&lt;&gt;""),CONCATENATE(Courses!I76,"/",Courses!L76,"/",Courses!K76),"")</f>
        <v/>
      </c>
      <c r="E70" s="1580">
        <f>IF(AND('Courses Valid'!C82=0,Courses!E76&lt;&gt;"",Courses!F76&gt;0,SUM(Courses!M76,Courses!N76)&gt;0),Courses!F76*SUM(Courses!M76,Courses!N76),0)</f>
        <v>0</v>
      </c>
      <c r="F70" s="41">
        <f>IF(AND('Courses Valid'!C82=0,Courses!G76&lt;&gt;"",Courses!H76&gt;0,SUM(Courses!M76,Courses!N76)&gt;0),Courses!H76*SUM(Courses!M76,Courses!N76),0)</f>
        <v>0</v>
      </c>
      <c r="G70" s="105">
        <f>IF(AND('Courses Valid'!C82=0,Courses!I76&lt;&gt;"",Courses!J76&gt;0,SUM(Courses!M76,Courses!N76)&gt;0),Courses!J76*SUM(Courses!M76,Courses!N76),0)</f>
        <v>0</v>
      </c>
      <c r="H70" s="1580">
        <f>IF(AND('Courses Valid'!C82=0,Courses!E76&lt;&gt;"",Courses!F76&gt;0,SUM(Courses!O76,Courses!P76)&gt;0),Courses!F76*SUM(Courses!O76,Courses!P76),0)</f>
        <v>0</v>
      </c>
      <c r="I70" s="41">
        <f>IF(AND('Courses Valid'!C82=0,Courses!G76&lt;&gt;"",Courses!H76&gt;0,SUM(Courses!O76,Courses!P76)&gt;0),Courses!H76*SUM(Courses!O76,Courses!P76),0)</f>
        <v>0</v>
      </c>
      <c r="J70" s="105">
        <f>IF(AND('Courses Valid'!C82=0,Courses!I76&lt;&gt;"",Courses!J76&gt;0,SUM(Courses!O76,Courses!P76)&gt;0),Courses!J76*SUM(Courses!O76,Courses!P76),0)</f>
        <v>0</v>
      </c>
      <c r="K70" s="1580">
        <f>IF(AND('Courses Valid'!C82=0,Courses!E76&lt;&gt;"",Courses!F76&gt;0,Courses!Q76&gt;0),Courses!F76*Courses!Q76,0)</f>
        <v>0</v>
      </c>
      <c r="L70" s="41">
        <f>IF(AND('Courses Valid'!C82=0,Courses!G76&lt;&gt;"",Courses!H76&gt;0,Courses!Q76&gt;0),Courses!H76*Courses!Q76,0)</f>
        <v>0</v>
      </c>
      <c r="M70" s="105">
        <f>IF(AND('Courses Valid'!C82=0,Courses!I76&lt;&gt;"",Courses!J76&gt;0,Courses!Q76&gt;0),Courses!J76*Courses!Q76,0)</f>
        <v>0</v>
      </c>
      <c r="N70" s="41">
        <f>IF(AND('Courses Valid'!C82=0,Courses!E76&lt;&gt;"",Courses!F76&gt;0,SUM(Courses!W76,Courses!X76)&gt;0),Courses!F76*SUM(Courses!W76,Courses!X76),0)</f>
        <v>0</v>
      </c>
      <c r="O70" s="41">
        <f>IF(AND('Courses Valid'!C82=0,Courses!G76&lt;&gt;"",Courses!H76&gt;0,SUM(Courses!W76,Courses!X76)&gt;0),Courses!H76*SUM(Courses!W76,Courses!X76),0)</f>
        <v>0</v>
      </c>
      <c r="P70" s="41">
        <f>IF(AND('Courses Valid'!C82=0,Courses!I76&lt;&gt;"",Courses!J76&gt;0,SUM(Courses!W76,Courses!X76)&gt;0),Courses!J76*SUM(Courses!W76,Courses!X76),0)</f>
        <v>0</v>
      </c>
      <c r="Q70" s="1580">
        <f>IF(AND('Courses Valid'!C82=0,Courses!E76&lt;&gt;"",Courses!F76&gt;0,SUM(Courses!Y76,Courses!Z76)&gt;0),Courses!F76*SUM(Courses!Y76,Courses!Z76),0)</f>
        <v>0</v>
      </c>
      <c r="R70" s="41">
        <f>IF(AND('Courses Valid'!C82=0,Courses!G76&lt;&gt;"",Courses!H76&gt;0,SUM(Courses!Y76,Courses!Z76)&gt;0),Courses!H76*SUM(Courses!Y76,Courses!Z76),0)</f>
        <v>0</v>
      </c>
      <c r="S70" s="105">
        <f>IF(AND('Courses Valid'!C82=0,Courses!I76&lt;&gt;"",Courses!J76&gt;0,SUM(Courses!Y76,Courses!Z76)&gt;0),Courses!J76*SUM(Courses!Y76,Courses!Z76),0)</f>
        <v>0</v>
      </c>
      <c r="T70" s="41">
        <f>IF(AND('Courses Valid'!C82=0,Courses!E76&lt;&gt;"",Courses!F76&gt;0,Courses!AA76&gt;0),Courses!F76*Courses!AA76,0)</f>
        <v>0</v>
      </c>
      <c r="U70" s="41">
        <f>IF(AND('Courses Valid'!C82=0,Courses!G76&lt;&gt;"",Courses!H76&gt;0,Courses!AA76&gt;0),Courses!H76*Courses!AA76,0)</f>
        <v>0</v>
      </c>
      <c r="V70" s="106">
        <f>IF(AND('Courses Valid'!C82=0,Courses!I76&lt;&gt;"",Courses!J76&gt;0,Courses!AA76&gt;0),Courses!J76*Courses!AA76,0)</f>
        <v>0</v>
      </c>
      <c r="W70" s="41"/>
      <c r="X70" s="96"/>
      <c r="Y70" s="7"/>
      <c r="Z70" s="13" t="s">
        <v>210</v>
      </c>
      <c r="AA70" s="642" t="s">
        <v>280</v>
      </c>
      <c r="AB70" s="47">
        <f t="shared" si="0"/>
        <v>0</v>
      </c>
      <c r="AC70" s="48">
        <f t="shared" si="1"/>
        <v>0</v>
      </c>
      <c r="AD70" s="49">
        <f t="shared" si="2"/>
        <v>0</v>
      </c>
      <c r="AE70" s="87"/>
      <c r="AF70" s="87"/>
      <c r="AG70" s="88"/>
      <c r="AH70" s="298">
        <f t="shared" si="3"/>
        <v>0</v>
      </c>
      <c r="AI70" s="48">
        <f t="shared" si="4"/>
        <v>0</v>
      </c>
      <c r="AJ70" s="97">
        <f t="shared" si="5"/>
        <v>0</v>
      </c>
    </row>
    <row r="71" spans="2:36" x14ac:dyDescent="0.35">
      <c r="B71" s="70" t="str">
        <f>IF(Courses!B77&lt;&gt;"",CONCATENATE(Courses!E77,"/",Courses!L77,"/",Courses!K77),"")</f>
        <v/>
      </c>
      <c r="C71" s="1579" t="str">
        <f>IF(AND(Courses!B77&lt;&gt;"",Courses!G77&lt;&gt;""),CONCATENATE(Courses!G77,"/",Courses!L77,"/",Courses!K77),"")</f>
        <v/>
      </c>
      <c r="D71" s="71" t="str">
        <f>IF(AND(Courses!B77&lt;&gt;"",Courses!I77&lt;&gt;""),CONCATENATE(Courses!I77,"/",Courses!L77,"/",Courses!K77),"")</f>
        <v/>
      </c>
      <c r="E71" s="1580">
        <f>IF(AND('Courses Valid'!C83=0,Courses!E77&lt;&gt;"",Courses!F77&gt;0,SUM(Courses!M77,Courses!N77)&gt;0),Courses!F77*SUM(Courses!M77,Courses!N77),0)</f>
        <v>0</v>
      </c>
      <c r="F71" s="41">
        <f>IF(AND('Courses Valid'!C83=0,Courses!G77&lt;&gt;"",Courses!H77&gt;0,SUM(Courses!M77,Courses!N77)&gt;0),Courses!H77*SUM(Courses!M77,Courses!N77),0)</f>
        <v>0</v>
      </c>
      <c r="G71" s="105">
        <f>IF(AND('Courses Valid'!C83=0,Courses!I77&lt;&gt;"",Courses!J77&gt;0,SUM(Courses!M77,Courses!N77)&gt;0),Courses!J77*SUM(Courses!M77,Courses!N77),0)</f>
        <v>0</v>
      </c>
      <c r="H71" s="1580">
        <f>IF(AND('Courses Valid'!C83=0,Courses!E77&lt;&gt;"",Courses!F77&gt;0,SUM(Courses!O77,Courses!P77)&gt;0),Courses!F77*SUM(Courses!O77,Courses!P77),0)</f>
        <v>0</v>
      </c>
      <c r="I71" s="41">
        <f>IF(AND('Courses Valid'!C83=0,Courses!G77&lt;&gt;"",Courses!H77&gt;0,SUM(Courses!O77,Courses!P77)&gt;0),Courses!H77*SUM(Courses!O77,Courses!P77),0)</f>
        <v>0</v>
      </c>
      <c r="J71" s="105">
        <f>IF(AND('Courses Valid'!C83=0,Courses!I77&lt;&gt;"",Courses!J77&gt;0,SUM(Courses!O77,Courses!P77)&gt;0),Courses!J77*SUM(Courses!O77,Courses!P77),0)</f>
        <v>0</v>
      </c>
      <c r="K71" s="1580">
        <f>IF(AND('Courses Valid'!C83=0,Courses!E77&lt;&gt;"",Courses!F77&gt;0,Courses!Q77&gt;0),Courses!F77*Courses!Q77,0)</f>
        <v>0</v>
      </c>
      <c r="L71" s="41">
        <f>IF(AND('Courses Valid'!C83=0,Courses!G77&lt;&gt;"",Courses!H77&gt;0,Courses!Q77&gt;0),Courses!H77*Courses!Q77,0)</f>
        <v>0</v>
      </c>
      <c r="M71" s="105">
        <f>IF(AND('Courses Valid'!C83=0,Courses!I77&lt;&gt;"",Courses!J77&gt;0,Courses!Q77&gt;0),Courses!J77*Courses!Q77,0)</f>
        <v>0</v>
      </c>
      <c r="N71" s="41">
        <f>IF(AND('Courses Valid'!C83=0,Courses!E77&lt;&gt;"",Courses!F77&gt;0,SUM(Courses!W77,Courses!X77)&gt;0),Courses!F77*SUM(Courses!W77,Courses!X77),0)</f>
        <v>0</v>
      </c>
      <c r="O71" s="41">
        <f>IF(AND('Courses Valid'!C83=0,Courses!G77&lt;&gt;"",Courses!H77&gt;0,SUM(Courses!W77,Courses!X77)&gt;0),Courses!H77*SUM(Courses!W77,Courses!X77),0)</f>
        <v>0</v>
      </c>
      <c r="P71" s="41">
        <f>IF(AND('Courses Valid'!C83=0,Courses!I77&lt;&gt;"",Courses!J77&gt;0,SUM(Courses!W77,Courses!X77)&gt;0),Courses!J77*SUM(Courses!W77,Courses!X77),0)</f>
        <v>0</v>
      </c>
      <c r="Q71" s="1580">
        <f>IF(AND('Courses Valid'!C83=0,Courses!E77&lt;&gt;"",Courses!F77&gt;0,SUM(Courses!Y77,Courses!Z77)&gt;0),Courses!F77*SUM(Courses!Y77,Courses!Z77),0)</f>
        <v>0</v>
      </c>
      <c r="R71" s="41">
        <f>IF(AND('Courses Valid'!C83=0,Courses!G77&lt;&gt;"",Courses!H77&gt;0,SUM(Courses!Y77,Courses!Z77)&gt;0),Courses!H77*SUM(Courses!Y77,Courses!Z77),0)</f>
        <v>0</v>
      </c>
      <c r="S71" s="105">
        <f>IF(AND('Courses Valid'!C83=0,Courses!I77&lt;&gt;"",Courses!J77&gt;0,SUM(Courses!Y77,Courses!Z77)&gt;0),Courses!J77*SUM(Courses!Y77,Courses!Z77),0)</f>
        <v>0</v>
      </c>
      <c r="T71" s="41">
        <f>IF(AND('Courses Valid'!C83=0,Courses!E77&lt;&gt;"",Courses!F77&gt;0,Courses!AA77&gt;0),Courses!F77*Courses!AA77,0)</f>
        <v>0</v>
      </c>
      <c r="U71" s="41">
        <f>IF(AND('Courses Valid'!C83=0,Courses!G77&lt;&gt;"",Courses!H77&gt;0,Courses!AA77&gt;0),Courses!H77*Courses!AA77,0)</f>
        <v>0</v>
      </c>
      <c r="V71" s="106">
        <f>IF(AND('Courses Valid'!C83=0,Courses!I77&lt;&gt;"",Courses!J77&gt;0,Courses!AA77&gt;0),Courses!J77*Courses!AA77,0)</f>
        <v>0</v>
      </c>
      <c r="W71" s="41"/>
      <c r="X71" s="96"/>
      <c r="Y71" s="7"/>
      <c r="Z71" s="13" t="s">
        <v>212</v>
      </c>
      <c r="AA71" s="642" t="s">
        <v>281</v>
      </c>
      <c r="AB71" s="45">
        <f t="shared" si="0"/>
        <v>0</v>
      </c>
      <c r="AC71" s="51">
        <f t="shared" si="1"/>
        <v>0</v>
      </c>
      <c r="AD71" s="46">
        <f t="shared" si="2"/>
        <v>0</v>
      </c>
      <c r="AE71" s="87"/>
      <c r="AF71" s="87"/>
      <c r="AG71" s="88"/>
      <c r="AH71" s="299">
        <f t="shared" si="3"/>
        <v>0</v>
      </c>
      <c r="AI71" s="51">
        <f t="shared" si="4"/>
        <v>0</v>
      </c>
      <c r="AJ71" s="98">
        <f t="shared" si="5"/>
        <v>0</v>
      </c>
    </row>
    <row r="72" spans="2:36" x14ac:dyDescent="0.35">
      <c r="B72" s="70" t="str">
        <f>IF(Courses!B78&lt;&gt;"",CONCATENATE(Courses!E78,"/",Courses!L78,"/",Courses!K78),"")</f>
        <v/>
      </c>
      <c r="C72" s="1579" t="str">
        <f>IF(AND(Courses!B78&lt;&gt;"",Courses!G78&lt;&gt;""),CONCATENATE(Courses!G78,"/",Courses!L78,"/",Courses!K78),"")</f>
        <v/>
      </c>
      <c r="D72" s="71" t="str">
        <f>IF(AND(Courses!B78&lt;&gt;"",Courses!I78&lt;&gt;""),CONCATENATE(Courses!I78,"/",Courses!L78,"/",Courses!K78),"")</f>
        <v/>
      </c>
      <c r="E72" s="1580">
        <f>IF(AND('Courses Valid'!C84=0,Courses!E78&lt;&gt;"",Courses!F78&gt;0,SUM(Courses!M78,Courses!N78)&gt;0),Courses!F78*SUM(Courses!M78,Courses!N78),0)</f>
        <v>0</v>
      </c>
      <c r="F72" s="41">
        <f>IF(AND('Courses Valid'!C84=0,Courses!G78&lt;&gt;"",Courses!H78&gt;0,SUM(Courses!M78,Courses!N78)&gt;0),Courses!H78*SUM(Courses!M78,Courses!N78),0)</f>
        <v>0</v>
      </c>
      <c r="G72" s="105">
        <f>IF(AND('Courses Valid'!C84=0,Courses!I78&lt;&gt;"",Courses!J78&gt;0,SUM(Courses!M78,Courses!N78)&gt;0),Courses!J78*SUM(Courses!M78,Courses!N78),0)</f>
        <v>0</v>
      </c>
      <c r="H72" s="1580">
        <f>IF(AND('Courses Valid'!C84=0,Courses!E78&lt;&gt;"",Courses!F78&gt;0,SUM(Courses!O78,Courses!P78)&gt;0),Courses!F78*SUM(Courses!O78,Courses!P78),0)</f>
        <v>0</v>
      </c>
      <c r="I72" s="41">
        <f>IF(AND('Courses Valid'!C84=0,Courses!G78&lt;&gt;"",Courses!H78&gt;0,SUM(Courses!O78,Courses!P78)&gt;0),Courses!H78*SUM(Courses!O78,Courses!P78),0)</f>
        <v>0</v>
      </c>
      <c r="J72" s="105">
        <f>IF(AND('Courses Valid'!C84=0,Courses!I78&lt;&gt;"",Courses!J78&gt;0,SUM(Courses!O78,Courses!P78)&gt;0),Courses!J78*SUM(Courses!O78,Courses!P78),0)</f>
        <v>0</v>
      </c>
      <c r="K72" s="1580">
        <f>IF(AND('Courses Valid'!C84=0,Courses!E78&lt;&gt;"",Courses!F78&gt;0,Courses!Q78&gt;0),Courses!F78*Courses!Q78,0)</f>
        <v>0</v>
      </c>
      <c r="L72" s="41">
        <f>IF(AND('Courses Valid'!C84=0,Courses!G78&lt;&gt;"",Courses!H78&gt;0,Courses!Q78&gt;0),Courses!H78*Courses!Q78,0)</f>
        <v>0</v>
      </c>
      <c r="M72" s="105">
        <f>IF(AND('Courses Valid'!C84=0,Courses!I78&lt;&gt;"",Courses!J78&gt;0,Courses!Q78&gt;0),Courses!J78*Courses!Q78,0)</f>
        <v>0</v>
      </c>
      <c r="N72" s="41">
        <f>IF(AND('Courses Valid'!C84=0,Courses!E78&lt;&gt;"",Courses!F78&gt;0,SUM(Courses!W78,Courses!X78)&gt;0),Courses!F78*SUM(Courses!W78,Courses!X78),0)</f>
        <v>0</v>
      </c>
      <c r="O72" s="41">
        <f>IF(AND('Courses Valid'!C84=0,Courses!G78&lt;&gt;"",Courses!H78&gt;0,SUM(Courses!W78,Courses!X78)&gt;0),Courses!H78*SUM(Courses!W78,Courses!X78),0)</f>
        <v>0</v>
      </c>
      <c r="P72" s="41">
        <f>IF(AND('Courses Valid'!C84=0,Courses!I78&lt;&gt;"",Courses!J78&gt;0,SUM(Courses!W78,Courses!X78)&gt;0),Courses!J78*SUM(Courses!W78,Courses!X78),0)</f>
        <v>0</v>
      </c>
      <c r="Q72" s="1580">
        <f>IF(AND('Courses Valid'!C84=0,Courses!E78&lt;&gt;"",Courses!F78&gt;0,SUM(Courses!Y78,Courses!Z78)&gt;0),Courses!F78*SUM(Courses!Y78,Courses!Z78),0)</f>
        <v>0</v>
      </c>
      <c r="R72" s="41">
        <f>IF(AND('Courses Valid'!C84=0,Courses!G78&lt;&gt;"",Courses!H78&gt;0,SUM(Courses!Y78,Courses!Z78)&gt;0),Courses!H78*SUM(Courses!Y78,Courses!Z78),0)</f>
        <v>0</v>
      </c>
      <c r="S72" s="105">
        <f>IF(AND('Courses Valid'!C84=0,Courses!I78&lt;&gt;"",Courses!J78&gt;0,SUM(Courses!Y78,Courses!Z78)&gt;0),Courses!J78*SUM(Courses!Y78,Courses!Z78),0)</f>
        <v>0</v>
      </c>
      <c r="T72" s="41">
        <f>IF(AND('Courses Valid'!C84=0,Courses!E78&lt;&gt;"",Courses!F78&gt;0,Courses!AA78&gt;0),Courses!F78*Courses!AA78,0)</f>
        <v>0</v>
      </c>
      <c r="U72" s="41">
        <f>IF(AND('Courses Valid'!C84=0,Courses!G78&lt;&gt;"",Courses!H78&gt;0,Courses!AA78&gt;0),Courses!H78*Courses!AA78,0)</f>
        <v>0</v>
      </c>
      <c r="V72" s="106">
        <f>IF(AND('Courses Valid'!C84=0,Courses!I78&lt;&gt;"",Courses!J78&gt;0,Courses!AA78&gt;0),Courses!J78*Courses!AA78,0)</f>
        <v>0</v>
      </c>
      <c r="W72" s="41"/>
      <c r="X72" s="99"/>
      <c r="Y72" s="7"/>
      <c r="Z72" s="13" t="s">
        <v>214</v>
      </c>
      <c r="AA72" s="642" t="s">
        <v>282</v>
      </c>
      <c r="AB72" s="45">
        <f t="shared" si="0"/>
        <v>0</v>
      </c>
      <c r="AC72" s="51">
        <f t="shared" si="1"/>
        <v>0</v>
      </c>
      <c r="AD72" s="46">
        <f t="shared" si="2"/>
        <v>0</v>
      </c>
      <c r="AE72" s="87"/>
      <c r="AF72" s="87"/>
      <c r="AG72" s="88"/>
      <c r="AH72" s="299">
        <f t="shared" si="3"/>
        <v>0</v>
      </c>
      <c r="AI72" s="51">
        <f t="shared" si="4"/>
        <v>0</v>
      </c>
      <c r="AJ72" s="98">
        <f t="shared" si="5"/>
        <v>0</v>
      </c>
    </row>
    <row r="73" spans="2:36" x14ac:dyDescent="0.35">
      <c r="B73" s="70" t="str">
        <f>IF(Courses!B79&lt;&gt;"",CONCATENATE(Courses!E79,"/",Courses!L79,"/",Courses!K79),"")</f>
        <v/>
      </c>
      <c r="C73" s="1579" t="str">
        <f>IF(AND(Courses!B79&lt;&gt;"",Courses!G79&lt;&gt;""),CONCATENATE(Courses!G79,"/",Courses!L79,"/",Courses!K79),"")</f>
        <v/>
      </c>
      <c r="D73" s="71" t="str">
        <f>IF(AND(Courses!B79&lt;&gt;"",Courses!I79&lt;&gt;""),CONCATENATE(Courses!I79,"/",Courses!L79,"/",Courses!K79),"")</f>
        <v/>
      </c>
      <c r="E73" s="1580">
        <f>IF(AND('Courses Valid'!C85=0,Courses!E79&lt;&gt;"",Courses!F79&gt;0,SUM(Courses!M79,Courses!N79)&gt;0),Courses!F79*SUM(Courses!M79,Courses!N79),0)</f>
        <v>0</v>
      </c>
      <c r="F73" s="41">
        <f>IF(AND('Courses Valid'!C85=0,Courses!G79&lt;&gt;"",Courses!H79&gt;0,SUM(Courses!M79,Courses!N79)&gt;0),Courses!H79*SUM(Courses!M79,Courses!N79),0)</f>
        <v>0</v>
      </c>
      <c r="G73" s="105">
        <f>IF(AND('Courses Valid'!C85=0,Courses!I79&lt;&gt;"",Courses!J79&gt;0,SUM(Courses!M79,Courses!N79)&gt;0),Courses!J79*SUM(Courses!M79,Courses!N79),0)</f>
        <v>0</v>
      </c>
      <c r="H73" s="1580">
        <f>IF(AND('Courses Valid'!C85=0,Courses!E79&lt;&gt;"",Courses!F79&gt;0,SUM(Courses!O79,Courses!P79)&gt;0),Courses!F79*SUM(Courses!O79,Courses!P79),0)</f>
        <v>0</v>
      </c>
      <c r="I73" s="41">
        <f>IF(AND('Courses Valid'!C85=0,Courses!G79&lt;&gt;"",Courses!H79&gt;0,SUM(Courses!O79,Courses!P79)&gt;0),Courses!H79*SUM(Courses!O79,Courses!P79),0)</f>
        <v>0</v>
      </c>
      <c r="J73" s="105">
        <f>IF(AND('Courses Valid'!C85=0,Courses!I79&lt;&gt;"",Courses!J79&gt;0,SUM(Courses!O79,Courses!P79)&gt;0),Courses!J79*SUM(Courses!O79,Courses!P79),0)</f>
        <v>0</v>
      </c>
      <c r="K73" s="1580">
        <f>IF(AND('Courses Valid'!C85=0,Courses!E79&lt;&gt;"",Courses!F79&gt;0,Courses!Q79&gt;0),Courses!F79*Courses!Q79,0)</f>
        <v>0</v>
      </c>
      <c r="L73" s="41">
        <f>IF(AND('Courses Valid'!C85=0,Courses!G79&lt;&gt;"",Courses!H79&gt;0,Courses!Q79&gt;0),Courses!H79*Courses!Q79,0)</f>
        <v>0</v>
      </c>
      <c r="M73" s="105">
        <f>IF(AND('Courses Valid'!C85=0,Courses!I79&lt;&gt;"",Courses!J79&gt;0,Courses!Q79&gt;0),Courses!J79*Courses!Q79,0)</f>
        <v>0</v>
      </c>
      <c r="N73" s="41">
        <f>IF(AND('Courses Valid'!C85=0,Courses!E79&lt;&gt;"",Courses!F79&gt;0,SUM(Courses!W79,Courses!X79)&gt;0),Courses!F79*SUM(Courses!W79,Courses!X79),0)</f>
        <v>0</v>
      </c>
      <c r="O73" s="41">
        <f>IF(AND('Courses Valid'!C85=0,Courses!G79&lt;&gt;"",Courses!H79&gt;0,SUM(Courses!W79,Courses!X79)&gt;0),Courses!H79*SUM(Courses!W79,Courses!X79),0)</f>
        <v>0</v>
      </c>
      <c r="P73" s="41">
        <f>IF(AND('Courses Valid'!C85=0,Courses!I79&lt;&gt;"",Courses!J79&gt;0,SUM(Courses!W79,Courses!X79)&gt;0),Courses!J79*SUM(Courses!W79,Courses!X79),0)</f>
        <v>0</v>
      </c>
      <c r="Q73" s="1580">
        <f>IF(AND('Courses Valid'!C85=0,Courses!E79&lt;&gt;"",Courses!F79&gt;0,SUM(Courses!Y79,Courses!Z79)&gt;0),Courses!F79*SUM(Courses!Y79,Courses!Z79),0)</f>
        <v>0</v>
      </c>
      <c r="R73" s="41">
        <f>IF(AND('Courses Valid'!C85=0,Courses!G79&lt;&gt;"",Courses!H79&gt;0,SUM(Courses!Y79,Courses!Z79)&gt;0),Courses!H79*SUM(Courses!Y79,Courses!Z79),0)</f>
        <v>0</v>
      </c>
      <c r="S73" s="105">
        <f>IF(AND('Courses Valid'!C85=0,Courses!I79&lt;&gt;"",Courses!J79&gt;0,SUM(Courses!Y79,Courses!Z79)&gt;0),Courses!J79*SUM(Courses!Y79,Courses!Z79),0)</f>
        <v>0</v>
      </c>
      <c r="T73" s="41">
        <f>IF(AND('Courses Valid'!C85=0,Courses!E79&lt;&gt;"",Courses!F79&gt;0,Courses!AA79&gt;0),Courses!F79*Courses!AA79,0)</f>
        <v>0</v>
      </c>
      <c r="U73" s="41">
        <f>IF(AND('Courses Valid'!C85=0,Courses!G79&lt;&gt;"",Courses!H79&gt;0,Courses!AA79&gt;0),Courses!H79*Courses!AA79,0)</f>
        <v>0</v>
      </c>
      <c r="V73" s="106">
        <f>IF(AND('Courses Valid'!C85=0,Courses!I79&lt;&gt;"",Courses!J79&gt;0,Courses!AA79&gt;0),Courses!J79*Courses!AA79,0)</f>
        <v>0</v>
      </c>
      <c r="W73" s="41"/>
      <c r="X73" s="235"/>
      <c r="Z73" s="13" t="s">
        <v>216</v>
      </c>
      <c r="AA73" s="642" t="s">
        <v>283</v>
      </c>
      <c r="AB73" s="45">
        <f t="shared" ref="AB73:AB79" si="6">SUM(SUMIF($B$8:$B$219,$AA73,$E$8:$E$219),SUMIF($C$8:$C$219,$AA73,$F$8:$F$219),SUMIF($D$8:$D$219,$AA73,$G$8:$G$219))</f>
        <v>0</v>
      </c>
      <c r="AC73" s="51">
        <f t="shared" ref="AC73:AC79" si="7">SUM(SUMIF($B$8:$B$219,$AA73,$H$8:$H$219),SUMIF($C$8:$C$219,$AA73,$I$8:$I$219),SUMIF($D$8:$D$219,$AA73,$J$8:$J$219))</f>
        <v>0</v>
      </c>
      <c r="AD73" s="46">
        <f t="shared" ref="AD73:AD79" si="8">SUM(SUMIF($B$8:$B$219,$AA73,$K$8:$K$219),SUMIF($C$8:$C$219,$AA73,$L$8:$L$219),SUMIF($D$8:$D$219,$AA73,$M$8:$M$219))</f>
        <v>0</v>
      </c>
      <c r="AG73" s="183"/>
      <c r="AH73" s="299">
        <f t="shared" ref="AH73:AH79" si="9">SUM(SUMIF($B$8:$B$219,$AA73,$N$8:$N$219),SUMIF($C$8:$C$219,$AA73,$O$8:$O$219),SUMIF($D$8:$D$219,$AA73,$P$8:$P$219))</f>
        <v>0</v>
      </c>
      <c r="AI73" s="51">
        <f t="shared" ref="AI73:AI79" si="10">SUM(SUMIF($B$8:$B$219,$AA73,$Q$8:$Q$219),SUMIF($C$8:$C$219,$AA73,$R$8:$R$219),SUMIF($D$8:$D$219,$AA73,$S$8:$S$219))</f>
        <v>0</v>
      </c>
      <c r="AJ73" s="98">
        <f t="shared" ref="AJ73:AJ79" si="11">SUM(SUMIF($B$8:$B$219,$AA73,$T$8:$T$219),SUMIF($C$8:$C$219,$AA73,$U$8:$U$219),SUMIF($D$8:$D$219,$AA73,$V$8:$V$219))</f>
        <v>0</v>
      </c>
    </row>
    <row r="74" spans="2:36" x14ac:dyDescent="0.35">
      <c r="B74" s="70" t="str">
        <f>IF(Courses!B80&lt;&gt;"",CONCATENATE(Courses!E80,"/",Courses!L80,"/",Courses!K80),"")</f>
        <v/>
      </c>
      <c r="C74" s="1579" t="str">
        <f>IF(AND(Courses!B80&lt;&gt;"",Courses!G80&lt;&gt;""),CONCATENATE(Courses!G80,"/",Courses!L80,"/",Courses!K80),"")</f>
        <v/>
      </c>
      <c r="D74" s="71" t="str">
        <f>IF(AND(Courses!B80&lt;&gt;"",Courses!I80&lt;&gt;""),CONCATENATE(Courses!I80,"/",Courses!L80,"/",Courses!K80),"")</f>
        <v/>
      </c>
      <c r="E74" s="1580">
        <f>IF(AND('Courses Valid'!C86=0,Courses!E80&lt;&gt;"",Courses!F80&gt;0,SUM(Courses!M80,Courses!N80)&gt;0),Courses!F80*SUM(Courses!M80,Courses!N80),0)</f>
        <v>0</v>
      </c>
      <c r="F74" s="41">
        <f>IF(AND('Courses Valid'!C86=0,Courses!G80&lt;&gt;"",Courses!H80&gt;0,SUM(Courses!M80,Courses!N80)&gt;0),Courses!H80*SUM(Courses!M80,Courses!N80),0)</f>
        <v>0</v>
      </c>
      <c r="G74" s="105">
        <f>IF(AND('Courses Valid'!C86=0,Courses!I80&lt;&gt;"",Courses!J80&gt;0,SUM(Courses!M80,Courses!N80)&gt;0),Courses!J80*SUM(Courses!M80,Courses!N80),0)</f>
        <v>0</v>
      </c>
      <c r="H74" s="1580">
        <f>IF(AND('Courses Valid'!C86=0,Courses!E80&lt;&gt;"",Courses!F80&gt;0,SUM(Courses!O80,Courses!P80)&gt;0),Courses!F80*SUM(Courses!O80,Courses!P80),0)</f>
        <v>0</v>
      </c>
      <c r="I74" s="41">
        <f>IF(AND('Courses Valid'!C86=0,Courses!G80&lt;&gt;"",Courses!H80&gt;0,SUM(Courses!O80,Courses!P80)&gt;0),Courses!H80*SUM(Courses!O80,Courses!P80),0)</f>
        <v>0</v>
      </c>
      <c r="J74" s="105">
        <f>IF(AND('Courses Valid'!C86=0,Courses!I80&lt;&gt;"",Courses!J80&gt;0,SUM(Courses!O80,Courses!P80)&gt;0),Courses!J80*SUM(Courses!O80,Courses!P80),0)</f>
        <v>0</v>
      </c>
      <c r="K74" s="1580">
        <f>IF(AND('Courses Valid'!C86=0,Courses!E80&lt;&gt;"",Courses!F80&gt;0,Courses!Q80&gt;0),Courses!F80*Courses!Q80,0)</f>
        <v>0</v>
      </c>
      <c r="L74" s="41">
        <f>IF(AND('Courses Valid'!C86=0,Courses!G80&lt;&gt;"",Courses!H80&gt;0,Courses!Q80&gt;0),Courses!H80*Courses!Q80,0)</f>
        <v>0</v>
      </c>
      <c r="M74" s="105">
        <f>IF(AND('Courses Valid'!C86=0,Courses!I80&lt;&gt;"",Courses!J80&gt;0,Courses!Q80&gt;0),Courses!J80*Courses!Q80,0)</f>
        <v>0</v>
      </c>
      <c r="N74" s="41">
        <f>IF(AND('Courses Valid'!C86=0,Courses!E80&lt;&gt;"",Courses!F80&gt;0,SUM(Courses!W80,Courses!X80)&gt;0),Courses!F80*SUM(Courses!W80,Courses!X80),0)</f>
        <v>0</v>
      </c>
      <c r="O74" s="41">
        <f>IF(AND('Courses Valid'!C86=0,Courses!G80&lt;&gt;"",Courses!H80&gt;0,SUM(Courses!W80,Courses!X80)&gt;0),Courses!H80*SUM(Courses!W80,Courses!X80),0)</f>
        <v>0</v>
      </c>
      <c r="P74" s="41">
        <f>IF(AND('Courses Valid'!C86=0,Courses!I80&lt;&gt;"",Courses!J80&gt;0,SUM(Courses!W80,Courses!X80)&gt;0),Courses!J80*SUM(Courses!W80,Courses!X80),0)</f>
        <v>0</v>
      </c>
      <c r="Q74" s="1580">
        <f>IF(AND('Courses Valid'!C86=0,Courses!E80&lt;&gt;"",Courses!F80&gt;0,SUM(Courses!Y80,Courses!Z80)&gt;0),Courses!F80*SUM(Courses!Y80,Courses!Z80),0)</f>
        <v>0</v>
      </c>
      <c r="R74" s="41">
        <f>IF(AND('Courses Valid'!C86=0,Courses!G80&lt;&gt;"",Courses!H80&gt;0,SUM(Courses!Y80,Courses!Z80)&gt;0),Courses!H80*SUM(Courses!Y80,Courses!Z80),0)</f>
        <v>0</v>
      </c>
      <c r="S74" s="105">
        <f>IF(AND('Courses Valid'!C86=0,Courses!I80&lt;&gt;"",Courses!J80&gt;0,SUM(Courses!Y80,Courses!Z80)&gt;0),Courses!J80*SUM(Courses!Y80,Courses!Z80),0)</f>
        <v>0</v>
      </c>
      <c r="T74" s="41">
        <f>IF(AND('Courses Valid'!C86=0,Courses!E80&lt;&gt;"",Courses!F80&gt;0,Courses!AA80&gt;0),Courses!F80*Courses!AA80,0)</f>
        <v>0</v>
      </c>
      <c r="U74" s="41">
        <f>IF(AND('Courses Valid'!C86=0,Courses!G80&lt;&gt;"",Courses!H80&gt;0,Courses!AA80&gt;0),Courses!H80*Courses!AA80,0)</f>
        <v>0</v>
      </c>
      <c r="V74" s="106">
        <f>IF(AND('Courses Valid'!C86=0,Courses!I80&lt;&gt;"",Courses!J80&gt;0,Courses!AA80&gt;0),Courses!J80*Courses!AA80,0)</f>
        <v>0</v>
      </c>
      <c r="W74" s="41"/>
      <c r="X74" s="1416"/>
      <c r="Y74" s="1414" t="s">
        <v>218</v>
      </c>
      <c r="Z74" s="12" t="s">
        <v>205</v>
      </c>
      <c r="AA74" s="645" t="s">
        <v>284</v>
      </c>
      <c r="AB74" s="521">
        <f t="shared" si="6"/>
        <v>0</v>
      </c>
      <c r="AC74" s="50">
        <f t="shared" si="7"/>
        <v>0</v>
      </c>
      <c r="AD74" s="44">
        <f t="shared" si="8"/>
        <v>0</v>
      </c>
      <c r="AE74" s="87"/>
      <c r="AF74" s="87"/>
      <c r="AG74" s="88"/>
      <c r="AH74" s="300">
        <f t="shared" si="9"/>
        <v>0</v>
      </c>
      <c r="AI74" s="50">
        <f t="shared" si="10"/>
        <v>0</v>
      </c>
      <c r="AJ74" s="100">
        <f t="shared" si="11"/>
        <v>0</v>
      </c>
    </row>
    <row r="75" spans="2:36" x14ac:dyDescent="0.35">
      <c r="B75" s="70" t="str">
        <f>IF(Courses!B81&lt;&gt;"",CONCATENATE(Courses!E81,"/",Courses!L81,"/",Courses!K81),"")</f>
        <v/>
      </c>
      <c r="C75" s="1579" t="str">
        <f>IF(AND(Courses!B81&lt;&gt;"",Courses!G81&lt;&gt;""),CONCATENATE(Courses!G81,"/",Courses!L81,"/",Courses!K81),"")</f>
        <v/>
      </c>
      <c r="D75" s="71" t="str">
        <f>IF(AND(Courses!B81&lt;&gt;"",Courses!I81&lt;&gt;""),CONCATENATE(Courses!I81,"/",Courses!L81,"/",Courses!K81),"")</f>
        <v/>
      </c>
      <c r="E75" s="1580">
        <f>IF(AND('Courses Valid'!C87=0,Courses!E81&lt;&gt;"",Courses!F81&gt;0,SUM(Courses!M81,Courses!N81)&gt;0),Courses!F81*SUM(Courses!M81,Courses!N81),0)</f>
        <v>0</v>
      </c>
      <c r="F75" s="41">
        <f>IF(AND('Courses Valid'!C87=0,Courses!G81&lt;&gt;"",Courses!H81&gt;0,SUM(Courses!M81,Courses!N81)&gt;0),Courses!H81*SUM(Courses!M81,Courses!N81),0)</f>
        <v>0</v>
      </c>
      <c r="G75" s="105">
        <f>IF(AND('Courses Valid'!C87=0,Courses!I81&lt;&gt;"",Courses!J81&gt;0,SUM(Courses!M81,Courses!N81)&gt;0),Courses!J81*SUM(Courses!M81,Courses!N81),0)</f>
        <v>0</v>
      </c>
      <c r="H75" s="1580">
        <f>IF(AND('Courses Valid'!C87=0,Courses!E81&lt;&gt;"",Courses!F81&gt;0,SUM(Courses!O81,Courses!P81)&gt;0),Courses!F81*SUM(Courses!O81,Courses!P81),0)</f>
        <v>0</v>
      </c>
      <c r="I75" s="41">
        <f>IF(AND('Courses Valid'!C87=0,Courses!G81&lt;&gt;"",Courses!H81&gt;0,SUM(Courses!O81,Courses!P81)&gt;0),Courses!H81*SUM(Courses!O81,Courses!P81),0)</f>
        <v>0</v>
      </c>
      <c r="J75" s="105">
        <f>IF(AND('Courses Valid'!C87=0,Courses!I81&lt;&gt;"",Courses!J81&gt;0,SUM(Courses!O81,Courses!P81)&gt;0),Courses!J81*SUM(Courses!O81,Courses!P81),0)</f>
        <v>0</v>
      </c>
      <c r="K75" s="1580">
        <f>IF(AND('Courses Valid'!C87=0,Courses!E81&lt;&gt;"",Courses!F81&gt;0,Courses!Q81&gt;0),Courses!F81*Courses!Q81,0)</f>
        <v>0</v>
      </c>
      <c r="L75" s="41">
        <f>IF(AND('Courses Valid'!C87=0,Courses!G81&lt;&gt;"",Courses!H81&gt;0,Courses!Q81&gt;0),Courses!H81*Courses!Q81,0)</f>
        <v>0</v>
      </c>
      <c r="M75" s="105">
        <f>IF(AND('Courses Valid'!C87=0,Courses!I81&lt;&gt;"",Courses!J81&gt;0,Courses!Q81&gt;0),Courses!J81*Courses!Q81,0)</f>
        <v>0</v>
      </c>
      <c r="N75" s="41">
        <f>IF(AND('Courses Valid'!C87=0,Courses!E81&lt;&gt;"",Courses!F81&gt;0,SUM(Courses!W81,Courses!X81)&gt;0),Courses!F81*SUM(Courses!W81,Courses!X81),0)</f>
        <v>0</v>
      </c>
      <c r="O75" s="41">
        <f>IF(AND('Courses Valid'!C87=0,Courses!G81&lt;&gt;"",Courses!H81&gt;0,SUM(Courses!W81,Courses!X81)&gt;0),Courses!H81*SUM(Courses!W81,Courses!X81),0)</f>
        <v>0</v>
      </c>
      <c r="P75" s="41">
        <f>IF(AND('Courses Valid'!C87=0,Courses!I81&lt;&gt;"",Courses!J81&gt;0,SUM(Courses!W81,Courses!X81)&gt;0),Courses!J81*SUM(Courses!W81,Courses!X81),0)</f>
        <v>0</v>
      </c>
      <c r="Q75" s="1580">
        <f>IF(AND('Courses Valid'!C87=0,Courses!E81&lt;&gt;"",Courses!F81&gt;0,SUM(Courses!Y81,Courses!Z81)&gt;0),Courses!F81*SUM(Courses!Y81,Courses!Z81),0)</f>
        <v>0</v>
      </c>
      <c r="R75" s="41">
        <f>IF(AND('Courses Valid'!C87=0,Courses!G81&lt;&gt;"",Courses!H81&gt;0,SUM(Courses!Y81,Courses!Z81)&gt;0),Courses!H81*SUM(Courses!Y81,Courses!Z81),0)</f>
        <v>0</v>
      </c>
      <c r="S75" s="105">
        <f>IF(AND('Courses Valid'!C87=0,Courses!I81&lt;&gt;"",Courses!J81&gt;0,SUM(Courses!Y81,Courses!Z81)&gt;0),Courses!J81*SUM(Courses!Y81,Courses!Z81),0)</f>
        <v>0</v>
      </c>
      <c r="T75" s="41">
        <f>IF(AND('Courses Valid'!C87=0,Courses!E81&lt;&gt;"",Courses!F81&gt;0,Courses!AA81&gt;0),Courses!F81*Courses!AA81,0)</f>
        <v>0</v>
      </c>
      <c r="U75" s="41">
        <f>IF(AND('Courses Valid'!C87=0,Courses!G81&lt;&gt;"",Courses!H81&gt;0,Courses!AA81&gt;0),Courses!H81*Courses!AA81,0)</f>
        <v>0</v>
      </c>
      <c r="V75" s="106">
        <f>IF(AND('Courses Valid'!C87=0,Courses!I81&lt;&gt;"",Courses!J81&gt;0,Courses!AA81&gt;0),Courses!J81*Courses!AA81,0)</f>
        <v>0</v>
      </c>
      <c r="W75" s="41"/>
      <c r="X75" s="1416"/>
      <c r="Y75" s="53"/>
      <c r="Z75" s="13" t="s">
        <v>208</v>
      </c>
      <c r="AA75" s="642" t="s">
        <v>285</v>
      </c>
      <c r="AB75" s="643">
        <f t="shared" si="6"/>
        <v>0</v>
      </c>
      <c r="AC75" s="635">
        <f t="shared" si="7"/>
        <v>0</v>
      </c>
      <c r="AD75" s="632">
        <f t="shared" si="8"/>
        <v>0</v>
      </c>
      <c r="AE75" s="87"/>
      <c r="AF75" s="87"/>
      <c r="AG75" s="88"/>
      <c r="AH75" s="633">
        <f t="shared" si="9"/>
        <v>0</v>
      </c>
      <c r="AI75" s="635">
        <f t="shared" si="10"/>
        <v>0</v>
      </c>
      <c r="AJ75" s="634">
        <f t="shared" si="11"/>
        <v>0</v>
      </c>
    </row>
    <row r="76" spans="2:36" x14ac:dyDescent="0.35">
      <c r="B76" s="70" t="str">
        <f>IF(Courses!B82&lt;&gt;"",CONCATENATE(Courses!E82,"/",Courses!L82,"/",Courses!K82),"")</f>
        <v/>
      </c>
      <c r="C76" s="1579" t="str">
        <f>IF(AND(Courses!B82&lt;&gt;"",Courses!G82&lt;&gt;""),CONCATENATE(Courses!G82,"/",Courses!L82,"/",Courses!K82),"")</f>
        <v/>
      </c>
      <c r="D76" s="71" t="str">
        <f>IF(AND(Courses!B82&lt;&gt;"",Courses!I82&lt;&gt;""),CONCATENATE(Courses!I82,"/",Courses!L82,"/",Courses!K82),"")</f>
        <v/>
      </c>
      <c r="E76" s="1580">
        <f>IF(AND('Courses Valid'!C88=0,Courses!E82&lt;&gt;"",Courses!F82&gt;0,SUM(Courses!M82,Courses!N82)&gt;0),Courses!F82*SUM(Courses!M82,Courses!N82),0)</f>
        <v>0</v>
      </c>
      <c r="F76" s="41">
        <f>IF(AND('Courses Valid'!C88=0,Courses!G82&lt;&gt;"",Courses!H82&gt;0,SUM(Courses!M82,Courses!N82)&gt;0),Courses!H82*SUM(Courses!M82,Courses!N82),0)</f>
        <v>0</v>
      </c>
      <c r="G76" s="105">
        <f>IF(AND('Courses Valid'!C88=0,Courses!I82&lt;&gt;"",Courses!J82&gt;0,SUM(Courses!M82,Courses!N82)&gt;0),Courses!J82*SUM(Courses!M82,Courses!N82),0)</f>
        <v>0</v>
      </c>
      <c r="H76" s="1580">
        <f>IF(AND('Courses Valid'!C88=0,Courses!E82&lt;&gt;"",Courses!F82&gt;0,SUM(Courses!O82,Courses!P82)&gt;0),Courses!F82*SUM(Courses!O82,Courses!P82),0)</f>
        <v>0</v>
      </c>
      <c r="I76" s="41">
        <f>IF(AND('Courses Valid'!C88=0,Courses!G82&lt;&gt;"",Courses!H82&gt;0,SUM(Courses!O82,Courses!P82)&gt;0),Courses!H82*SUM(Courses!O82,Courses!P82),0)</f>
        <v>0</v>
      </c>
      <c r="J76" s="105">
        <f>IF(AND('Courses Valid'!C88=0,Courses!I82&lt;&gt;"",Courses!J82&gt;0,SUM(Courses!O82,Courses!P82)&gt;0),Courses!J82*SUM(Courses!O82,Courses!P82),0)</f>
        <v>0</v>
      </c>
      <c r="K76" s="1580">
        <f>IF(AND('Courses Valid'!C88=0,Courses!E82&lt;&gt;"",Courses!F82&gt;0,Courses!Q82&gt;0),Courses!F82*Courses!Q82,0)</f>
        <v>0</v>
      </c>
      <c r="L76" s="41">
        <f>IF(AND('Courses Valid'!C88=0,Courses!G82&lt;&gt;"",Courses!H82&gt;0,Courses!Q82&gt;0),Courses!H82*Courses!Q82,0)</f>
        <v>0</v>
      </c>
      <c r="M76" s="105">
        <f>IF(AND('Courses Valid'!C88=0,Courses!I82&lt;&gt;"",Courses!J82&gt;0,Courses!Q82&gt;0),Courses!J82*Courses!Q82,0)</f>
        <v>0</v>
      </c>
      <c r="N76" s="41">
        <f>IF(AND('Courses Valid'!C88=0,Courses!E82&lt;&gt;"",Courses!F82&gt;0,SUM(Courses!W82,Courses!X82)&gt;0),Courses!F82*SUM(Courses!W82,Courses!X82),0)</f>
        <v>0</v>
      </c>
      <c r="O76" s="41">
        <f>IF(AND('Courses Valid'!C88=0,Courses!G82&lt;&gt;"",Courses!H82&gt;0,SUM(Courses!W82,Courses!X82)&gt;0),Courses!H82*SUM(Courses!W82,Courses!X82),0)</f>
        <v>0</v>
      </c>
      <c r="P76" s="41">
        <f>IF(AND('Courses Valid'!C88=0,Courses!I82&lt;&gt;"",Courses!J82&gt;0,SUM(Courses!W82,Courses!X82)&gt;0),Courses!J82*SUM(Courses!W82,Courses!X82),0)</f>
        <v>0</v>
      </c>
      <c r="Q76" s="1580">
        <f>IF(AND('Courses Valid'!C88=0,Courses!E82&lt;&gt;"",Courses!F82&gt;0,SUM(Courses!Y82,Courses!Z82)&gt;0),Courses!F82*SUM(Courses!Y82,Courses!Z82),0)</f>
        <v>0</v>
      </c>
      <c r="R76" s="41">
        <f>IF(AND('Courses Valid'!C88=0,Courses!G82&lt;&gt;"",Courses!H82&gt;0,SUM(Courses!Y82,Courses!Z82)&gt;0),Courses!H82*SUM(Courses!Y82,Courses!Z82),0)</f>
        <v>0</v>
      </c>
      <c r="S76" s="105">
        <f>IF(AND('Courses Valid'!C88=0,Courses!I82&lt;&gt;"",Courses!J82&gt;0,SUM(Courses!Y82,Courses!Z82)&gt;0),Courses!J82*SUM(Courses!Y82,Courses!Z82),0)</f>
        <v>0</v>
      </c>
      <c r="T76" s="41">
        <f>IF(AND('Courses Valid'!C88=0,Courses!E82&lt;&gt;"",Courses!F82&gt;0,Courses!AA82&gt;0),Courses!F82*Courses!AA82,0)</f>
        <v>0</v>
      </c>
      <c r="U76" s="41">
        <f>IF(AND('Courses Valid'!C88=0,Courses!G82&lt;&gt;"",Courses!H82&gt;0,Courses!AA82&gt;0),Courses!H82*Courses!AA82,0)</f>
        <v>0</v>
      </c>
      <c r="V76" s="106">
        <f>IF(AND('Courses Valid'!C88=0,Courses!I82&lt;&gt;"",Courses!J82&gt;0,Courses!AA82&gt;0),Courses!J82*Courses!AA82,0)</f>
        <v>0</v>
      </c>
      <c r="W76" s="41"/>
      <c r="X76" s="1416"/>
      <c r="Y76" s="53"/>
      <c r="Z76" s="13" t="s">
        <v>210</v>
      </c>
      <c r="AA76" s="642" t="s">
        <v>286</v>
      </c>
      <c r="AB76" s="47">
        <f t="shared" si="6"/>
        <v>0</v>
      </c>
      <c r="AC76" s="48">
        <f t="shared" si="7"/>
        <v>0</v>
      </c>
      <c r="AD76" s="49">
        <f t="shared" si="8"/>
        <v>0</v>
      </c>
      <c r="AE76" s="1581"/>
      <c r="AF76" s="87"/>
      <c r="AG76" s="88"/>
      <c r="AH76" s="298">
        <f t="shared" si="9"/>
        <v>0</v>
      </c>
      <c r="AI76" s="48">
        <f t="shared" si="10"/>
        <v>0</v>
      </c>
      <c r="AJ76" s="97">
        <f t="shared" si="11"/>
        <v>0</v>
      </c>
    </row>
    <row r="77" spans="2:36" x14ac:dyDescent="0.35">
      <c r="B77" s="70" t="str">
        <f>IF(Courses!B83&lt;&gt;"",CONCATENATE(Courses!E83,"/",Courses!L83,"/",Courses!K83),"")</f>
        <v/>
      </c>
      <c r="C77" s="1579" t="str">
        <f>IF(AND(Courses!B83&lt;&gt;"",Courses!G83&lt;&gt;""),CONCATENATE(Courses!G83,"/",Courses!L83,"/",Courses!K83),"")</f>
        <v/>
      </c>
      <c r="D77" s="71" t="str">
        <f>IF(AND(Courses!B83&lt;&gt;"",Courses!I83&lt;&gt;""),CONCATENATE(Courses!I83,"/",Courses!L83,"/",Courses!K83),"")</f>
        <v/>
      </c>
      <c r="E77" s="1580">
        <f>IF(AND('Courses Valid'!C89=0,Courses!E83&lt;&gt;"",Courses!F83&gt;0,SUM(Courses!M83,Courses!N83)&gt;0),Courses!F83*SUM(Courses!M83,Courses!N83),0)</f>
        <v>0</v>
      </c>
      <c r="F77" s="41">
        <f>IF(AND('Courses Valid'!C89=0,Courses!G83&lt;&gt;"",Courses!H83&gt;0,SUM(Courses!M83,Courses!N83)&gt;0),Courses!H83*SUM(Courses!M83,Courses!N83),0)</f>
        <v>0</v>
      </c>
      <c r="G77" s="105">
        <f>IF(AND('Courses Valid'!C89=0,Courses!I83&lt;&gt;"",Courses!J83&gt;0,SUM(Courses!M83,Courses!N83)&gt;0),Courses!J83*SUM(Courses!M83,Courses!N83),0)</f>
        <v>0</v>
      </c>
      <c r="H77" s="1580">
        <f>IF(AND('Courses Valid'!C89=0,Courses!E83&lt;&gt;"",Courses!F83&gt;0,SUM(Courses!O83,Courses!P83)&gt;0),Courses!F83*SUM(Courses!O83,Courses!P83),0)</f>
        <v>0</v>
      </c>
      <c r="I77" s="41">
        <f>IF(AND('Courses Valid'!C89=0,Courses!G83&lt;&gt;"",Courses!H83&gt;0,SUM(Courses!O83,Courses!P83)&gt;0),Courses!H83*SUM(Courses!O83,Courses!P83),0)</f>
        <v>0</v>
      </c>
      <c r="J77" s="105">
        <f>IF(AND('Courses Valid'!C89=0,Courses!I83&lt;&gt;"",Courses!J83&gt;0,SUM(Courses!O83,Courses!P83)&gt;0),Courses!J83*SUM(Courses!O83,Courses!P83),0)</f>
        <v>0</v>
      </c>
      <c r="K77" s="1580">
        <f>IF(AND('Courses Valid'!C89=0,Courses!E83&lt;&gt;"",Courses!F83&gt;0,Courses!Q83&gt;0),Courses!F83*Courses!Q83,0)</f>
        <v>0</v>
      </c>
      <c r="L77" s="41">
        <f>IF(AND('Courses Valid'!C89=0,Courses!G83&lt;&gt;"",Courses!H83&gt;0,Courses!Q83&gt;0),Courses!H83*Courses!Q83,0)</f>
        <v>0</v>
      </c>
      <c r="M77" s="105">
        <f>IF(AND('Courses Valid'!C89=0,Courses!I83&lt;&gt;"",Courses!J83&gt;0,Courses!Q83&gt;0),Courses!J83*Courses!Q83,0)</f>
        <v>0</v>
      </c>
      <c r="N77" s="41">
        <f>IF(AND('Courses Valid'!C89=0,Courses!E83&lt;&gt;"",Courses!F83&gt;0,SUM(Courses!W83,Courses!X83)&gt;0),Courses!F83*SUM(Courses!W83,Courses!X83),0)</f>
        <v>0</v>
      </c>
      <c r="O77" s="41">
        <f>IF(AND('Courses Valid'!C89=0,Courses!G83&lt;&gt;"",Courses!H83&gt;0,SUM(Courses!W83,Courses!X83)&gt;0),Courses!H83*SUM(Courses!W83,Courses!X83),0)</f>
        <v>0</v>
      </c>
      <c r="P77" s="41">
        <f>IF(AND('Courses Valid'!C89=0,Courses!I83&lt;&gt;"",Courses!J83&gt;0,SUM(Courses!W83,Courses!X83)&gt;0),Courses!J83*SUM(Courses!W83,Courses!X83),0)</f>
        <v>0</v>
      </c>
      <c r="Q77" s="1580">
        <f>IF(AND('Courses Valid'!C89=0,Courses!E83&lt;&gt;"",Courses!F83&gt;0,SUM(Courses!Y83,Courses!Z83)&gt;0),Courses!F83*SUM(Courses!Y83,Courses!Z83),0)</f>
        <v>0</v>
      </c>
      <c r="R77" s="41">
        <f>IF(AND('Courses Valid'!C89=0,Courses!G83&lt;&gt;"",Courses!H83&gt;0,SUM(Courses!Y83,Courses!Z83)&gt;0),Courses!H83*SUM(Courses!Y83,Courses!Z83),0)</f>
        <v>0</v>
      </c>
      <c r="S77" s="105">
        <f>IF(AND('Courses Valid'!C89=0,Courses!I83&lt;&gt;"",Courses!J83&gt;0,SUM(Courses!Y83,Courses!Z83)&gt;0),Courses!J83*SUM(Courses!Y83,Courses!Z83),0)</f>
        <v>0</v>
      </c>
      <c r="T77" s="41">
        <f>IF(AND('Courses Valid'!C89=0,Courses!E83&lt;&gt;"",Courses!F83&gt;0,Courses!AA83&gt;0),Courses!F83*Courses!AA83,0)</f>
        <v>0</v>
      </c>
      <c r="U77" s="41">
        <f>IF(AND('Courses Valid'!C89=0,Courses!G83&lt;&gt;"",Courses!H83&gt;0,Courses!AA83&gt;0),Courses!H83*Courses!AA83,0)</f>
        <v>0</v>
      </c>
      <c r="V77" s="106">
        <f>IF(AND('Courses Valid'!C89=0,Courses!I83&lt;&gt;"",Courses!J83&gt;0,Courses!AA83&gt;0),Courses!J83*Courses!AA83,0)</f>
        <v>0</v>
      </c>
      <c r="W77" s="41"/>
      <c r="X77" s="1416"/>
      <c r="Y77" s="53"/>
      <c r="Z77" s="13" t="s">
        <v>212</v>
      </c>
      <c r="AA77" s="642" t="s">
        <v>287</v>
      </c>
      <c r="AB77" s="45">
        <f t="shared" si="6"/>
        <v>0</v>
      </c>
      <c r="AC77" s="51">
        <f t="shared" si="7"/>
        <v>0</v>
      </c>
      <c r="AD77" s="46">
        <f t="shared" si="8"/>
        <v>0</v>
      </c>
      <c r="AE77" s="1581"/>
      <c r="AF77" s="87"/>
      <c r="AG77" s="88"/>
      <c r="AH77" s="299">
        <f t="shared" si="9"/>
        <v>0</v>
      </c>
      <c r="AI77" s="51">
        <f t="shared" si="10"/>
        <v>0</v>
      </c>
      <c r="AJ77" s="98">
        <f t="shared" si="11"/>
        <v>0</v>
      </c>
    </row>
    <row r="78" spans="2:36" x14ac:dyDescent="0.35">
      <c r="B78" s="70" t="str">
        <f>IF(Courses!B84&lt;&gt;"",CONCATENATE(Courses!E84,"/",Courses!L84,"/",Courses!K84),"")</f>
        <v/>
      </c>
      <c r="C78" s="1579" t="str">
        <f>IF(AND(Courses!B84&lt;&gt;"",Courses!G84&lt;&gt;""),CONCATENATE(Courses!G84,"/",Courses!L84,"/",Courses!K84),"")</f>
        <v/>
      </c>
      <c r="D78" s="71" t="str">
        <f>IF(AND(Courses!B84&lt;&gt;"",Courses!I84&lt;&gt;""),CONCATENATE(Courses!I84,"/",Courses!L84,"/",Courses!K84),"")</f>
        <v/>
      </c>
      <c r="E78" s="1580">
        <f>IF(AND('Courses Valid'!C90=0,Courses!E84&lt;&gt;"",Courses!F84&gt;0,SUM(Courses!M84,Courses!N84)&gt;0),Courses!F84*SUM(Courses!M84,Courses!N84),0)</f>
        <v>0</v>
      </c>
      <c r="F78" s="41">
        <f>IF(AND('Courses Valid'!C90=0,Courses!G84&lt;&gt;"",Courses!H84&gt;0,SUM(Courses!M84,Courses!N84)&gt;0),Courses!H84*SUM(Courses!M84,Courses!N84),0)</f>
        <v>0</v>
      </c>
      <c r="G78" s="105">
        <f>IF(AND('Courses Valid'!C90=0,Courses!I84&lt;&gt;"",Courses!J84&gt;0,SUM(Courses!M84,Courses!N84)&gt;0),Courses!J84*SUM(Courses!M84,Courses!N84),0)</f>
        <v>0</v>
      </c>
      <c r="H78" s="1580">
        <f>IF(AND('Courses Valid'!C90=0,Courses!E84&lt;&gt;"",Courses!F84&gt;0,SUM(Courses!O84,Courses!P84)&gt;0),Courses!F84*SUM(Courses!O84,Courses!P84),0)</f>
        <v>0</v>
      </c>
      <c r="I78" s="41">
        <f>IF(AND('Courses Valid'!C90=0,Courses!G84&lt;&gt;"",Courses!H84&gt;0,SUM(Courses!O84,Courses!P84)&gt;0),Courses!H84*SUM(Courses!O84,Courses!P84),0)</f>
        <v>0</v>
      </c>
      <c r="J78" s="105">
        <f>IF(AND('Courses Valid'!C90=0,Courses!I84&lt;&gt;"",Courses!J84&gt;0,SUM(Courses!O84,Courses!P84)&gt;0),Courses!J84*SUM(Courses!O84,Courses!P84),0)</f>
        <v>0</v>
      </c>
      <c r="K78" s="1580">
        <f>IF(AND('Courses Valid'!C90=0,Courses!E84&lt;&gt;"",Courses!F84&gt;0,Courses!Q84&gt;0),Courses!F84*Courses!Q84,0)</f>
        <v>0</v>
      </c>
      <c r="L78" s="41">
        <f>IF(AND('Courses Valid'!C90=0,Courses!G84&lt;&gt;"",Courses!H84&gt;0,Courses!Q84&gt;0),Courses!H84*Courses!Q84,0)</f>
        <v>0</v>
      </c>
      <c r="M78" s="105">
        <f>IF(AND('Courses Valid'!C90=0,Courses!I84&lt;&gt;"",Courses!J84&gt;0,Courses!Q84&gt;0),Courses!J84*Courses!Q84,0)</f>
        <v>0</v>
      </c>
      <c r="N78" s="41">
        <f>IF(AND('Courses Valid'!C90=0,Courses!E84&lt;&gt;"",Courses!F84&gt;0,SUM(Courses!W84,Courses!X84)&gt;0),Courses!F84*SUM(Courses!W84,Courses!X84),0)</f>
        <v>0</v>
      </c>
      <c r="O78" s="41">
        <f>IF(AND('Courses Valid'!C90=0,Courses!G84&lt;&gt;"",Courses!H84&gt;0,SUM(Courses!W84,Courses!X84)&gt;0),Courses!H84*SUM(Courses!W84,Courses!X84),0)</f>
        <v>0</v>
      </c>
      <c r="P78" s="41">
        <f>IF(AND('Courses Valid'!C90=0,Courses!I84&lt;&gt;"",Courses!J84&gt;0,SUM(Courses!W84,Courses!X84)&gt;0),Courses!J84*SUM(Courses!W84,Courses!X84),0)</f>
        <v>0</v>
      </c>
      <c r="Q78" s="1580">
        <f>IF(AND('Courses Valid'!C90=0,Courses!E84&lt;&gt;"",Courses!F84&gt;0,SUM(Courses!Y84,Courses!Z84)&gt;0),Courses!F84*SUM(Courses!Y84,Courses!Z84),0)</f>
        <v>0</v>
      </c>
      <c r="R78" s="41">
        <f>IF(AND('Courses Valid'!C90=0,Courses!G84&lt;&gt;"",Courses!H84&gt;0,SUM(Courses!Y84,Courses!Z84)&gt;0),Courses!H84*SUM(Courses!Y84,Courses!Z84),0)</f>
        <v>0</v>
      </c>
      <c r="S78" s="105">
        <f>IF(AND('Courses Valid'!C90=0,Courses!I84&lt;&gt;"",Courses!J84&gt;0,SUM(Courses!Y84,Courses!Z84)&gt;0),Courses!J84*SUM(Courses!Y84,Courses!Z84),0)</f>
        <v>0</v>
      </c>
      <c r="T78" s="41">
        <f>IF(AND('Courses Valid'!C90=0,Courses!E84&lt;&gt;"",Courses!F84&gt;0,Courses!AA84&gt;0),Courses!F84*Courses!AA84,0)</f>
        <v>0</v>
      </c>
      <c r="U78" s="41">
        <f>IF(AND('Courses Valid'!C90=0,Courses!G84&lt;&gt;"",Courses!H84&gt;0,Courses!AA84&gt;0),Courses!H84*Courses!AA84,0)</f>
        <v>0</v>
      </c>
      <c r="V78" s="106">
        <f>IF(AND('Courses Valid'!C90=0,Courses!I84&lt;&gt;"",Courses!J84&gt;0,Courses!AA84&gt;0),Courses!J84*Courses!AA84,0)</f>
        <v>0</v>
      </c>
      <c r="W78" s="41"/>
      <c r="X78" s="96"/>
      <c r="Y78" s="7"/>
      <c r="Z78" s="13" t="s">
        <v>214</v>
      </c>
      <c r="AA78" s="642" t="s">
        <v>288</v>
      </c>
      <c r="AB78" s="45">
        <f t="shared" si="6"/>
        <v>0</v>
      </c>
      <c r="AC78" s="51">
        <f t="shared" si="7"/>
        <v>0</v>
      </c>
      <c r="AD78" s="46">
        <f t="shared" si="8"/>
        <v>0</v>
      </c>
      <c r="AE78" s="1581"/>
      <c r="AF78" s="87"/>
      <c r="AG78" s="88"/>
      <c r="AH78" s="299">
        <f t="shared" si="9"/>
        <v>0</v>
      </c>
      <c r="AI78" s="51">
        <f t="shared" si="10"/>
        <v>0</v>
      </c>
      <c r="AJ78" s="98">
        <f t="shared" si="11"/>
        <v>0</v>
      </c>
    </row>
    <row r="79" spans="2:36" ht="13.15" thickBot="1" x14ac:dyDescent="0.4">
      <c r="B79" s="70" t="str">
        <f>IF(Courses!B85&lt;&gt;"",CONCATENATE(Courses!E85,"/",Courses!L85,"/",Courses!K85),"")</f>
        <v/>
      </c>
      <c r="C79" s="1579" t="str">
        <f>IF(AND(Courses!B85&lt;&gt;"",Courses!G85&lt;&gt;""),CONCATENATE(Courses!G85,"/",Courses!L85,"/",Courses!K85),"")</f>
        <v/>
      </c>
      <c r="D79" s="71" t="str">
        <f>IF(AND(Courses!B85&lt;&gt;"",Courses!I85&lt;&gt;""),CONCATENATE(Courses!I85,"/",Courses!L85,"/",Courses!K85),"")</f>
        <v/>
      </c>
      <c r="E79" s="1580">
        <f>IF(AND('Courses Valid'!C91=0,Courses!E85&lt;&gt;"",Courses!F85&gt;0,SUM(Courses!M85,Courses!N85)&gt;0),Courses!F85*SUM(Courses!M85,Courses!N85),0)</f>
        <v>0</v>
      </c>
      <c r="F79" s="41">
        <f>IF(AND('Courses Valid'!C91=0,Courses!G85&lt;&gt;"",Courses!H85&gt;0,SUM(Courses!M85,Courses!N85)&gt;0),Courses!H85*SUM(Courses!M85,Courses!N85),0)</f>
        <v>0</v>
      </c>
      <c r="G79" s="105">
        <f>IF(AND('Courses Valid'!C91=0,Courses!I85&lt;&gt;"",Courses!J85&gt;0,SUM(Courses!M85,Courses!N85)&gt;0),Courses!J85*SUM(Courses!M85,Courses!N85),0)</f>
        <v>0</v>
      </c>
      <c r="H79" s="1580">
        <f>IF(AND('Courses Valid'!C91=0,Courses!E85&lt;&gt;"",Courses!F85&gt;0,SUM(Courses!O85,Courses!P85)&gt;0),Courses!F85*SUM(Courses!O85,Courses!P85),0)</f>
        <v>0</v>
      </c>
      <c r="I79" s="41">
        <f>IF(AND('Courses Valid'!C91=0,Courses!G85&lt;&gt;"",Courses!H85&gt;0,SUM(Courses!O85,Courses!P85)&gt;0),Courses!H85*SUM(Courses!O85,Courses!P85),0)</f>
        <v>0</v>
      </c>
      <c r="J79" s="105">
        <f>IF(AND('Courses Valid'!C91=0,Courses!I85&lt;&gt;"",Courses!J85&gt;0,SUM(Courses!O85,Courses!P85)&gt;0),Courses!J85*SUM(Courses!O85,Courses!P85),0)</f>
        <v>0</v>
      </c>
      <c r="K79" s="1580">
        <f>IF(AND('Courses Valid'!C91=0,Courses!E85&lt;&gt;"",Courses!F85&gt;0,Courses!Q85&gt;0),Courses!F85*Courses!Q85,0)</f>
        <v>0</v>
      </c>
      <c r="L79" s="41">
        <f>IF(AND('Courses Valid'!C91=0,Courses!G85&lt;&gt;"",Courses!H85&gt;0,Courses!Q85&gt;0),Courses!H85*Courses!Q85,0)</f>
        <v>0</v>
      </c>
      <c r="M79" s="105">
        <f>IF(AND('Courses Valid'!C91=0,Courses!I85&lt;&gt;"",Courses!J85&gt;0,Courses!Q85&gt;0),Courses!J85*Courses!Q85,0)</f>
        <v>0</v>
      </c>
      <c r="N79" s="41">
        <f>IF(AND('Courses Valid'!C91=0,Courses!E85&lt;&gt;"",Courses!F85&gt;0,SUM(Courses!W85,Courses!X85)&gt;0),Courses!F85*SUM(Courses!W85,Courses!X85),0)</f>
        <v>0</v>
      </c>
      <c r="O79" s="41">
        <f>IF(AND('Courses Valid'!C91=0,Courses!G85&lt;&gt;"",Courses!H85&gt;0,SUM(Courses!W85,Courses!X85)&gt;0),Courses!H85*SUM(Courses!W85,Courses!X85),0)</f>
        <v>0</v>
      </c>
      <c r="P79" s="41">
        <f>IF(AND('Courses Valid'!C91=0,Courses!I85&lt;&gt;"",Courses!J85&gt;0,SUM(Courses!W85,Courses!X85)&gt;0),Courses!J85*SUM(Courses!W85,Courses!X85),0)</f>
        <v>0</v>
      </c>
      <c r="Q79" s="1580">
        <f>IF(AND('Courses Valid'!C91=0,Courses!E85&lt;&gt;"",Courses!F85&gt;0,SUM(Courses!Y85,Courses!Z85)&gt;0),Courses!F85*SUM(Courses!Y85,Courses!Z85),0)</f>
        <v>0</v>
      </c>
      <c r="R79" s="41">
        <f>IF(AND('Courses Valid'!C91=0,Courses!G85&lt;&gt;"",Courses!H85&gt;0,SUM(Courses!Y85,Courses!Z85)&gt;0),Courses!H85*SUM(Courses!Y85,Courses!Z85),0)</f>
        <v>0</v>
      </c>
      <c r="S79" s="105">
        <f>IF(AND('Courses Valid'!C91=0,Courses!I85&lt;&gt;"",Courses!J85&gt;0,SUM(Courses!Y85,Courses!Z85)&gt;0),Courses!J85*SUM(Courses!Y85,Courses!Z85),0)</f>
        <v>0</v>
      </c>
      <c r="T79" s="41">
        <f>IF(AND('Courses Valid'!C91=0,Courses!E85&lt;&gt;"",Courses!F85&gt;0,Courses!AA85&gt;0),Courses!F85*Courses!AA85,0)</f>
        <v>0</v>
      </c>
      <c r="U79" s="41">
        <f>IF(AND('Courses Valid'!C91=0,Courses!G85&lt;&gt;"",Courses!H85&gt;0,Courses!AA85&gt;0),Courses!H85*Courses!AA85,0)</f>
        <v>0</v>
      </c>
      <c r="V79" s="106">
        <f>IF(AND('Courses Valid'!C91=0,Courses!I85&lt;&gt;"",Courses!J85&gt;0,Courses!AA85&gt;0),Courses!J85*Courses!AA85,0)</f>
        <v>0</v>
      </c>
      <c r="W79" s="41"/>
      <c r="X79" s="302"/>
      <c r="Y79" s="1517"/>
      <c r="Z79" s="1518" t="s">
        <v>216</v>
      </c>
      <c r="AA79" s="1519" t="s">
        <v>289</v>
      </c>
      <c r="AB79" s="89">
        <f t="shared" si="6"/>
        <v>0</v>
      </c>
      <c r="AC79" s="90">
        <f t="shared" si="7"/>
        <v>0</v>
      </c>
      <c r="AD79" s="91">
        <f t="shared" si="8"/>
        <v>0</v>
      </c>
      <c r="AE79" s="1517"/>
      <c r="AF79" s="1517"/>
      <c r="AG79" s="303"/>
      <c r="AH79" s="89">
        <f t="shared" si="9"/>
        <v>0</v>
      </c>
      <c r="AI79" s="90">
        <f t="shared" si="10"/>
        <v>0</v>
      </c>
      <c r="AJ79" s="101">
        <f t="shared" si="11"/>
        <v>0</v>
      </c>
    </row>
    <row r="80" spans="2:36" x14ac:dyDescent="0.35">
      <c r="B80" s="70" t="str">
        <f>IF(Courses!B86&lt;&gt;"",CONCATENATE(Courses!E86,"/",Courses!L86,"/",Courses!K86),"")</f>
        <v/>
      </c>
      <c r="C80" s="1579" t="str">
        <f>IF(AND(Courses!B86&lt;&gt;"",Courses!G86&lt;&gt;""),CONCATENATE(Courses!G86,"/",Courses!L86,"/",Courses!K86),"")</f>
        <v/>
      </c>
      <c r="D80" s="71" t="str">
        <f>IF(AND(Courses!B86&lt;&gt;"",Courses!I86&lt;&gt;""),CONCATENATE(Courses!I86,"/",Courses!L86,"/",Courses!K86),"")</f>
        <v/>
      </c>
      <c r="E80" s="1580">
        <f>IF(AND('Courses Valid'!C92=0,Courses!E86&lt;&gt;"",Courses!F86&gt;0,SUM(Courses!M86,Courses!N86)&gt;0),Courses!F86*SUM(Courses!M86,Courses!N86),0)</f>
        <v>0</v>
      </c>
      <c r="F80" s="41">
        <f>IF(AND('Courses Valid'!C92=0,Courses!G86&lt;&gt;"",Courses!H86&gt;0,SUM(Courses!M86,Courses!N86)&gt;0),Courses!H86*SUM(Courses!M86,Courses!N86),0)</f>
        <v>0</v>
      </c>
      <c r="G80" s="105">
        <f>IF(AND('Courses Valid'!C92=0,Courses!I86&lt;&gt;"",Courses!J86&gt;0,SUM(Courses!M86,Courses!N86)&gt;0),Courses!J86*SUM(Courses!M86,Courses!N86),0)</f>
        <v>0</v>
      </c>
      <c r="H80" s="1580">
        <f>IF(AND('Courses Valid'!C92=0,Courses!E86&lt;&gt;"",Courses!F86&gt;0,SUM(Courses!O86,Courses!P86)&gt;0),Courses!F86*SUM(Courses!O86,Courses!P86),0)</f>
        <v>0</v>
      </c>
      <c r="I80" s="41">
        <f>IF(AND('Courses Valid'!C92=0,Courses!G86&lt;&gt;"",Courses!H86&gt;0,SUM(Courses!O86,Courses!P86)&gt;0),Courses!H86*SUM(Courses!O86,Courses!P86),0)</f>
        <v>0</v>
      </c>
      <c r="J80" s="105">
        <f>IF(AND('Courses Valid'!C92=0,Courses!I86&lt;&gt;"",Courses!J86&gt;0,SUM(Courses!O86,Courses!P86)&gt;0),Courses!J86*SUM(Courses!O86,Courses!P86),0)</f>
        <v>0</v>
      </c>
      <c r="K80" s="1580">
        <f>IF(AND('Courses Valid'!C92=0,Courses!E86&lt;&gt;"",Courses!F86&gt;0,Courses!Q86&gt;0),Courses!F86*Courses!Q86,0)</f>
        <v>0</v>
      </c>
      <c r="L80" s="41">
        <f>IF(AND('Courses Valid'!C92=0,Courses!G86&lt;&gt;"",Courses!H86&gt;0,Courses!Q86&gt;0),Courses!H86*Courses!Q86,0)</f>
        <v>0</v>
      </c>
      <c r="M80" s="105">
        <f>IF(AND('Courses Valid'!C92=0,Courses!I86&lt;&gt;"",Courses!J86&gt;0,Courses!Q86&gt;0),Courses!J86*Courses!Q86,0)</f>
        <v>0</v>
      </c>
      <c r="N80" s="41">
        <f>IF(AND('Courses Valid'!C92=0,Courses!E86&lt;&gt;"",Courses!F86&gt;0,SUM(Courses!W86,Courses!X86)&gt;0),Courses!F86*SUM(Courses!W86,Courses!X86),0)</f>
        <v>0</v>
      </c>
      <c r="O80" s="41">
        <f>IF(AND('Courses Valid'!C92=0,Courses!G86&lt;&gt;"",Courses!H86&gt;0,SUM(Courses!W86,Courses!X86)&gt;0),Courses!H86*SUM(Courses!W86,Courses!X86),0)</f>
        <v>0</v>
      </c>
      <c r="P80" s="41">
        <f>IF(AND('Courses Valid'!C92=0,Courses!I86&lt;&gt;"",Courses!J86&gt;0,SUM(Courses!W86,Courses!X86)&gt;0),Courses!J86*SUM(Courses!W86,Courses!X86),0)</f>
        <v>0</v>
      </c>
      <c r="Q80" s="1580">
        <f>IF(AND('Courses Valid'!C92=0,Courses!E86&lt;&gt;"",Courses!F86&gt;0,SUM(Courses!Y86,Courses!Z86)&gt;0),Courses!F86*SUM(Courses!Y86,Courses!Z86),0)</f>
        <v>0</v>
      </c>
      <c r="R80" s="41">
        <f>IF(AND('Courses Valid'!C92=0,Courses!G86&lt;&gt;"",Courses!H86&gt;0,SUM(Courses!Y86,Courses!Z86)&gt;0),Courses!H86*SUM(Courses!Y86,Courses!Z86),0)</f>
        <v>0</v>
      </c>
      <c r="S80" s="105">
        <f>IF(AND('Courses Valid'!C92=0,Courses!I86&lt;&gt;"",Courses!J86&gt;0,SUM(Courses!Y86,Courses!Z86)&gt;0),Courses!J86*SUM(Courses!Y86,Courses!Z86),0)</f>
        <v>0</v>
      </c>
      <c r="T80" s="41">
        <f>IF(AND('Courses Valid'!C92=0,Courses!E86&lt;&gt;"",Courses!F86&gt;0,Courses!AA86&gt;0),Courses!F86*Courses!AA86,0)</f>
        <v>0</v>
      </c>
      <c r="U80" s="41">
        <f>IF(AND('Courses Valid'!C92=0,Courses!G86&lt;&gt;"",Courses!H86&gt;0,Courses!AA86&gt;0),Courses!H86*Courses!AA86,0)</f>
        <v>0</v>
      </c>
      <c r="V80" s="106">
        <f>IF(AND('Courses Valid'!C92=0,Courses!I86&lt;&gt;"",Courses!J86&gt;0,Courses!AA86&gt;0),Courses!J86*Courses!AA86,0)</f>
        <v>0</v>
      </c>
      <c r="W80" s="41"/>
    </row>
    <row r="81" spans="2:23" x14ac:dyDescent="0.35">
      <c r="B81" s="70" t="str">
        <f>IF(Courses!B87&lt;&gt;"",CONCATENATE(Courses!E87,"/",Courses!L87,"/",Courses!K87),"")</f>
        <v/>
      </c>
      <c r="C81" s="1579" t="str">
        <f>IF(AND(Courses!B87&lt;&gt;"",Courses!G87&lt;&gt;""),CONCATENATE(Courses!G87,"/",Courses!L87,"/",Courses!K87),"")</f>
        <v/>
      </c>
      <c r="D81" s="71" t="str">
        <f>IF(AND(Courses!B87&lt;&gt;"",Courses!I87&lt;&gt;""),CONCATENATE(Courses!I87,"/",Courses!L87,"/",Courses!K87),"")</f>
        <v/>
      </c>
      <c r="E81" s="1580">
        <f>IF(AND('Courses Valid'!C93=0,Courses!E87&lt;&gt;"",Courses!F87&gt;0,SUM(Courses!M87,Courses!N87)&gt;0),Courses!F87*SUM(Courses!M87,Courses!N87),0)</f>
        <v>0</v>
      </c>
      <c r="F81" s="41">
        <f>IF(AND('Courses Valid'!C93=0,Courses!G87&lt;&gt;"",Courses!H87&gt;0,SUM(Courses!M87,Courses!N87)&gt;0),Courses!H87*SUM(Courses!M87,Courses!N87),0)</f>
        <v>0</v>
      </c>
      <c r="G81" s="105">
        <f>IF(AND('Courses Valid'!C93=0,Courses!I87&lt;&gt;"",Courses!J87&gt;0,SUM(Courses!M87,Courses!N87)&gt;0),Courses!J87*SUM(Courses!M87,Courses!N87),0)</f>
        <v>0</v>
      </c>
      <c r="H81" s="1580">
        <f>IF(AND('Courses Valid'!C93=0,Courses!E87&lt;&gt;"",Courses!F87&gt;0,SUM(Courses!O87,Courses!P87)&gt;0),Courses!F87*SUM(Courses!O87,Courses!P87),0)</f>
        <v>0</v>
      </c>
      <c r="I81" s="41">
        <f>IF(AND('Courses Valid'!C93=0,Courses!G87&lt;&gt;"",Courses!H87&gt;0,SUM(Courses!O87,Courses!P87)&gt;0),Courses!H87*SUM(Courses!O87,Courses!P87),0)</f>
        <v>0</v>
      </c>
      <c r="J81" s="105">
        <f>IF(AND('Courses Valid'!C93=0,Courses!I87&lt;&gt;"",Courses!J87&gt;0,SUM(Courses!O87,Courses!P87)&gt;0),Courses!J87*SUM(Courses!O87,Courses!P87),0)</f>
        <v>0</v>
      </c>
      <c r="K81" s="1580">
        <f>IF(AND('Courses Valid'!C93=0,Courses!E87&lt;&gt;"",Courses!F87&gt;0,Courses!Q87&gt;0),Courses!F87*Courses!Q87,0)</f>
        <v>0</v>
      </c>
      <c r="L81" s="41">
        <f>IF(AND('Courses Valid'!C93=0,Courses!G87&lt;&gt;"",Courses!H87&gt;0,Courses!Q87&gt;0),Courses!H87*Courses!Q87,0)</f>
        <v>0</v>
      </c>
      <c r="M81" s="105">
        <f>IF(AND('Courses Valid'!C93=0,Courses!I87&lt;&gt;"",Courses!J87&gt;0,Courses!Q87&gt;0),Courses!J87*Courses!Q87,0)</f>
        <v>0</v>
      </c>
      <c r="N81" s="41">
        <f>IF(AND('Courses Valid'!C93=0,Courses!E87&lt;&gt;"",Courses!F87&gt;0,SUM(Courses!W87,Courses!X87)&gt;0),Courses!F87*SUM(Courses!W87,Courses!X87),0)</f>
        <v>0</v>
      </c>
      <c r="O81" s="41">
        <f>IF(AND('Courses Valid'!C93=0,Courses!G87&lt;&gt;"",Courses!H87&gt;0,SUM(Courses!W87,Courses!X87)&gt;0),Courses!H87*SUM(Courses!W87,Courses!X87),0)</f>
        <v>0</v>
      </c>
      <c r="P81" s="41">
        <f>IF(AND('Courses Valid'!C93=0,Courses!I87&lt;&gt;"",Courses!J87&gt;0,SUM(Courses!W87,Courses!X87)&gt;0),Courses!J87*SUM(Courses!W87,Courses!X87),0)</f>
        <v>0</v>
      </c>
      <c r="Q81" s="1580">
        <f>IF(AND('Courses Valid'!C93=0,Courses!E87&lt;&gt;"",Courses!F87&gt;0,SUM(Courses!Y87,Courses!Z87)&gt;0),Courses!F87*SUM(Courses!Y87,Courses!Z87),0)</f>
        <v>0</v>
      </c>
      <c r="R81" s="41">
        <f>IF(AND('Courses Valid'!C93=0,Courses!G87&lt;&gt;"",Courses!H87&gt;0,SUM(Courses!Y87,Courses!Z87)&gt;0),Courses!H87*SUM(Courses!Y87,Courses!Z87),0)</f>
        <v>0</v>
      </c>
      <c r="S81" s="105">
        <f>IF(AND('Courses Valid'!C93=0,Courses!I87&lt;&gt;"",Courses!J87&gt;0,SUM(Courses!Y87,Courses!Z87)&gt;0),Courses!J87*SUM(Courses!Y87,Courses!Z87),0)</f>
        <v>0</v>
      </c>
      <c r="T81" s="41">
        <f>IF(AND('Courses Valid'!C93=0,Courses!E87&lt;&gt;"",Courses!F87&gt;0,Courses!AA87&gt;0),Courses!F87*Courses!AA87,0)</f>
        <v>0</v>
      </c>
      <c r="U81" s="41">
        <f>IF(AND('Courses Valid'!C93=0,Courses!G87&lt;&gt;"",Courses!H87&gt;0,Courses!AA87&gt;0),Courses!H87*Courses!AA87,0)</f>
        <v>0</v>
      </c>
      <c r="V81" s="106">
        <f>IF(AND('Courses Valid'!C93=0,Courses!I87&lt;&gt;"",Courses!J87&gt;0,Courses!AA87&gt;0),Courses!J87*Courses!AA87,0)</f>
        <v>0</v>
      </c>
      <c r="W81" s="41"/>
    </row>
    <row r="82" spans="2:23" x14ac:dyDescent="0.35">
      <c r="B82" s="70" t="str">
        <f>IF(Courses!B88&lt;&gt;"",CONCATENATE(Courses!E88,"/",Courses!L88,"/",Courses!K88),"")</f>
        <v/>
      </c>
      <c r="C82" s="1579" t="str">
        <f>IF(AND(Courses!B88&lt;&gt;"",Courses!G88&lt;&gt;""),CONCATENATE(Courses!G88,"/",Courses!L88,"/",Courses!K88),"")</f>
        <v/>
      </c>
      <c r="D82" s="71" t="str">
        <f>IF(AND(Courses!B88&lt;&gt;"",Courses!I88&lt;&gt;""),CONCATENATE(Courses!I88,"/",Courses!L88,"/",Courses!K88),"")</f>
        <v/>
      </c>
      <c r="E82" s="1580">
        <f>IF(AND('Courses Valid'!C94=0,Courses!E88&lt;&gt;"",Courses!F88&gt;0,SUM(Courses!M88,Courses!N88)&gt;0),Courses!F88*SUM(Courses!M88,Courses!N88),0)</f>
        <v>0</v>
      </c>
      <c r="F82" s="41">
        <f>IF(AND('Courses Valid'!C94=0,Courses!G88&lt;&gt;"",Courses!H88&gt;0,SUM(Courses!M88,Courses!N88)&gt;0),Courses!H88*SUM(Courses!M88,Courses!N88),0)</f>
        <v>0</v>
      </c>
      <c r="G82" s="105">
        <f>IF(AND('Courses Valid'!C94=0,Courses!I88&lt;&gt;"",Courses!J88&gt;0,SUM(Courses!M88,Courses!N88)&gt;0),Courses!J88*SUM(Courses!M88,Courses!N88),0)</f>
        <v>0</v>
      </c>
      <c r="H82" s="1580">
        <f>IF(AND('Courses Valid'!C94=0,Courses!E88&lt;&gt;"",Courses!F88&gt;0,SUM(Courses!O88,Courses!P88)&gt;0),Courses!F88*SUM(Courses!O88,Courses!P88),0)</f>
        <v>0</v>
      </c>
      <c r="I82" s="41">
        <f>IF(AND('Courses Valid'!C94=0,Courses!G88&lt;&gt;"",Courses!H88&gt;0,SUM(Courses!O88,Courses!P88)&gt;0),Courses!H88*SUM(Courses!O88,Courses!P88),0)</f>
        <v>0</v>
      </c>
      <c r="J82" s="105">
        <f>IF(AND('Courses Valid'!C94=0,Courses!I88&lt;&gt;"",Courses!J88&gt;0,SUM(Courses!O88,Courses!P88)&gt;0),Courses!J88*SUM(Courses!O88,Courses!P88),0)</f>
        <v>0</v>
      </c>
      <c r="K82" s="1580">
        <f>IF(AND('Courses Valid'!C94=0,Courses!E88&lt;&gt;"",Courses!F88&gt;0,Courses!Q88&gt;0),Courses!F88*Courses!Q88,0)</f>
        <v>0</v>
      </c>
      <c r="L82" s="41">
        <f>IF(AND('Courses Valid'!C94=0,Courses!G88&lt;&gt;"",Courses!H88&gt;0,Courses!Q88&gt;0),Courses!H88*Courses!Q88,0)</f>
        <v>0</v>
      </c>
      <c r="M82" s="105">
        <f>IF(AND('Courses Valid'!C94=0,Courses!I88&lt;&gt;"",Courses!J88&gt;0,Courses!Q88&gt;0),Courses!J88*Courses!Q88,0)</f>
        <v>0</v>
      </c>
      <c r="N82" s="41">
        <f>IF(AND('Courses Valid'!C94=0,Courses!E88&lt;&gt;"",Courses!F88&gt;0,SUM(Courses!W88,Courses!X88)&gt;0),Courses!F88*SUM(Courses!W88,Courses!X88),0)</f>
        <v>0</v>
      </c>
      <c r="O82" s="41">
        <f>IF(AND('Courses Valid'!C94=0,Courses!G88&lt;&gt;"",Courses!H88&gt;0,SUM(Courses!W88,Courses!X88)&gt;0),Courses!H88*SUM(Courses!W88,Courses!X88),0)</f>
        <v>0</v>
      </c>
      <c r="P82" s="41">
        <f>IF(AND('Courses Valid'!C94=0,Courses!I88&lt;&gt;"",Courses!J88&gt;0,SUM(Courses!W88,Courses!X88)&gt;0),Courses!J88*SUM(Courses!W88,Courses!X88),0)</f>
        <v>0</v>
      </c>
      <c r="Q82" s="1580">
        <f>IF(AND('Courses Valid'!C94=0,Courses!E88&lt;&gt;"",Courses!F88&gt;0,SUM(Courses!Y88,Courses!Z88)&gt;0),Courses!F88*SUM(Courses!Y88,Courses!Z88),0)</f>
        <v>0</v>
      </c>
      <c r="R82" s="41">
        <f>IF(AND('Courses Valid'!C94=0,Courses!G88&lt;&gt;"",Courses!H88&gt;0,SUM(Courses!Y88,Courses!Z88)&gt;0),Courses!H88*SUM(Courses!Y88,Courses!Z88),0)</f>
        <v>0</v>
      </c>
      <c r="S82" s="105">
        <f>IF(AND('Courses Valid'!C94=0,Courses!I88&lt;&gt;"",Courses!J88&gt;0,SUM(Courses!Y88,Courses!Z88)&gt;0),Courses!J88*SUM(Courses!Y88,Courses!Z88),0)</f>
        <v>0</v>
      </c>
      <c r="T82" s="41">
        <f>IF(AND('Courses Valid'!C94=0,Courses!E88&lt;&gt;"",Courses!F88&gt;0,Courses!AA88&gt;0),Courses!F88*Courses!AA88,0)</f>
        <v>0</v>
      </c>
      <c r="U82" s="41">
        <f>IF(AND('Courses Valid'!C94=0,Courses!G88&lt;&gt;"",Courses!H88&gt;0,Courses!AA88&gt;0),Courses!H88*Courses!AA88,0)</f>
        <v>0</v>
      </c>
      <c r="V82" s="106">
        <f>IF(AND('Courses Valid'!C94=0,Courses!I88&lt;&gt;"",Courses!J88&gt;0,Courses!AA88&gt;0),Courses!J88*Courses!AA88,0)</f>
        <v>0</v>
      </c>
      <c r="W82" s="41"/>
    </row>
    <row r="83" spans="2:23" x14ac:dyDescent="0.35">
      <c r="B83" s="70" t="str">
        <f>IF(Courses!B89&lt;&gt;"",CONCATENATE(Courses!E89,"/",Courses!L89,"/",Courses!K89),"")</f>
        <v/>
      </c>
      <c r="C83" s="1579" t="str">
        <f>IF(AND(Courses!B89&lt;&gt;"",Courses!G89&lt;&gt;""),CONCATENATE(Courses!G89,"/",Courses!L89,"/",Courses!K89),"")</f>
        <v/>
      </c>
      <c r="D83" s="71" t="str">
        <f>IF(AND(Courses!B89&lt;&gt;"",Courses!I89&lt;&gt;""),CONCATENATE(Courses!I89,"/",Courses!L89,"/",Courses!K89),"")</f>
        <v/>
      </c>
      <c r="E83" s="1580">
        <f>IF(AND('Courses Valid'!C95=0,Courses!E89&lt;&gt;"",Courses!F89&gt;0,SUM(Courses!M89,Courses!N89)&gt;0),Courses!F89*SUM(Courses!M89,Courses!N89),0)</f>
        <v>0</v>
      </c>
      <c r="F83" s="41">
        <f>IF(AND('Courses Valid'!C95=0,Courses!G89&lt;&gt;"",Courses!H89&gt;0,SUM(Courses!M89,Courses!N89)&gt;0),Courses!H89*SUM(Courses!M89,Courses!N89),0)</f>
        <v>0</v>
      </c>
      <c r="G83" s="105">
        <f>IF(AND('Courses Valid'!C95=0,Courses!I89&lt;&gt;"",Courses!J89&gt;0,SUM(Courses!M89,Courses!N89)&gt;0),Courses!J89*SUM(Courses!M89,Courses!N89),0)</f>
        <v>0</v>
      </c>
      <c r="H83" s="1580">
        <f>IF(AND('Courses Valid'!C95=0,Courses!E89&lt;&gt;"",Courses!F89&gt;0,SUM(Courses!O89,Courses!P89)&gt;0),Courses!F89*SUM(Courses!O89,Courses!P89),0)</f>
        <v>0</v>
      </c>
      <c r="I83" s="41">
        <f>IF(AND('Courses Valid'!C95=0,Courses!G89&lt;&gt;"",Courses!H89&gt;0,SUM(Courses!O89,Courses!P89)&gt;0),Courses!H89*SUM(Courses!O89,Courses!P89),0)</f>
        <v>0</v>
      </c>
      <c r="J83" s="105">
        <f>IF(AND('Courses Valid'!C95=0,Courses!I89&lt;&gt;"",Courses!J89&gt;0,SUM(Courses!O89,Courses!P89)&gt;0),Courses!J89*SUM(Courses!O89,Courses!P89),0)</f>
        <v>0</v>
      </c>
      <c r="K83" s="1580">
        <f>IF(AND('Courses Valid'!C95=0,Courses!E89&lt;&gt;"",Courses!F89&gt;0,Courses!Q89&gt;0),Courses!F89*Courses!Q89,0)</f>
        <v>0</v>
      </c>
      <c r="L83" s="41">
        <f>IF(AND('Courses Valid'!C95=0,Courses!G89&lt;&gt;"",Courses!H89&gt;0,Courses!Q89&gt;0),Courses!H89*Courses!Q89,0)</f>
        <v>0</v>
      </c>
      <c r="M83" s="105">
        <f>IF(AND('Courses Valid'!C95=0,Courses!I89&lt;&gt;"",Courses!J89&gt;0,Courses!Q89&gt;0),Courses!J89*Courses!Q89,0)</f>
        <v>0</v>
      </c>
      <c r="N83" s="41">
        <f>IF(AND('Courses Valid'!C95=0,Courses!E89&lt;&gt;"",Courses!F89&gt;0,SUM(Courses!W89,Courses!X89)&gt;0),Courses!F89*SUM(Courses!W89,Courses!X89),0)</f>
        <v>0</v>
      </c>
      <c r="O83" s="41">
        <f>IF(AND('Courses Valid'!C95=0,Courses!G89&lt;&gt;"",Courses!H89&gt;0,SUM(Courses!W89,Courses!X89)&gt;0),Courses!H89*SUM(Courses!W89,Courses!X89),0)</f>
        <v>0</v>
      </c>
      <c r="P83" s="41">
        <f>IF(AND('Courses Valid'!C95=0,Courses!I89&lt;&gt;"",Courses!J89&gt;0,SUM(Courses!W89,Courses!X89)&gt;0),Courses!J89*SUM(Courses!W89,Courses!X89),0)</f>
        <v>0</v>
      </c>
      <c r="Q83" s="1580">
        <f>IF(AND('Courses Valid'!C95=0,Courses!E89&lt;&gt;"",Courses!F89&gt;0,SUM(Courses!Y89,Courses!Z89)&gt;0),Courses!F89*SUM(Courses!Y89,Courses!Z89),0)</f>
        <v>0</v>
      </c>
      <c r="R83" s="41">
        <f>IF(AND('Courses Valid'!C95=0,Courses!G89&lt;&gt;"",Courses!H89&gt;0,SUM(Courses!Y89,Courses!Z89)&gt;0),Courses!H89*SUM(Courses!Y89,Courses!Z89),0)</f>
        <v>0</v>
      </c>
      <c r="S83" s="105">
        <f>IF(AND('Courses Valid'!C95=0,Courses!I89&lt;&gt;"",Courses!J89&gt;0,SUM(Courses!Y89,Courses!Z89)&gt;0),Courses!J89*SUM(Courses!Y89,Courses!Z89),0)</f>
        <v>0</v>
      </c>
      <c r="T83" s="41">
        <f>IF(AND('Courses Valid'!C95=0,Courses!E89&lt;&gt;"",Courses!F89&gt;0,Courses!AA89&gt;0),Courses!F89*Courses!AA89,0)</f>
        <v>0</v>
      </c>
      <c r="U83" s="41">
        <f>IF(AND('Courses Valid'!C95=0,Courses!G89&lt;&gt;"",Courses!H89&gt;0,Courses!AA89&gt;0),Courses!H89*Courses!AA89,0)</f>
        <v>0</v>
      </c>
      <c r="V83" s="106">
        <f>IF(AND('Courses Valid'!C95=0,Courses!I89&lt;&gt;"",Courses!J89&gt;0,Courses!AA89&gt;0),Courses!J89*Courses!AA89,0)</f>
        <v>0</v>
      </c>
      <c r="W83" s="41"/>
    </row>
    <row r="84" spans="2:23" x14ac:dyDescent="0.35">
      <c r="B84" s="70" t="str">
        <f>IF(Courses!B90&lt;&gt;"",CONCATENATE(Courses!E90,"/",Courses!L90,"/",Courses!K90),"")</f>
        <v/>
      </c>
      <c r="C84" s="1579" t="str">
        <f>IF(AND(Courses!B90&lt;&gt;"",Courses!G90&lt;&gt;""),CONCATENATE(Courses!G90,"/",Courses!L90,"/",Courses!K90),"")</f>
        <v/>
      </c>
      <c r="D84" s="71" t="str">
        <f>IF(AND(Courses!B90&lt;&gt;"",Courses!I90&lt;&gt;""),CONCATENATE(Courses!I90,"/",Courses!L90,"/",Courses!K90),"")</f>
        <v/>
      </c>
      <c r="E84" s="1580">
        <f>IF(AND('Courses Valid'!C96=0,Courses!E90&lt;&gt;"",Courses!F90&gt;0,SUM(Courses!M90,Courses!N90)&gt;0),Courses!F90*SUM(Courses!M90,Courses!N90),0)</f>
        <v>0</v>
      </c>
      <c r="F84" s="41">
        <f>IF(AND('Courses Valid'!C96=0,Courses!G90&lt;&gt;"",Courses!H90&gt;0,SUM(Courses!M90,Courses!N90)&gt;0),Courses!H90*SUM(Courses!M90,Courses!N90),0)</f>
        <v>0</v>
      </c>
      <c r="G84" s="105">
        <f>IF(AND('Courses Valid'!C96=0,Courses!I90&lt;&gt;"",Courses!J90&gt;0,SUM(Courses!M90,Courses!N90)&gt;0),Courses!J90*SUM(Courses!M90,Courses!N90),0)</f>
        <v>0</v>
      </c>
      <c r="H84" s="1580">
        <f>IF(AND('Courses Valid'!C96=0,Courses!E90&lt;&gt;"",Courses!F90&gt;0,SUM(Courses!O90,Courses!P90)&gt;0),Courses!F90*SUM(Courses!O90,Courses!P90),0)</f>
        <v>0</v>
      </c>
      <c r="I84" s="41">
        <f>IF(AND('Courses Valid'!C96=0,Courses!G90&lt;&gt;"",Courses!H90&gt;0,SUM(Courses!O90,Courses!P90)&gt;0),Courses!H90*SUM(Courses!O90,Courses!P90),0)</f>
        <v>0</v>
      </c>
      <c r="J84" s="105">
        <f>IF(AND('Courses Valid'!C96=0,Courses!I90&lt;&gt;"",Courses!J90&gt;0,SUM(Courses!O90,Courses!P90)&gt;0),Courses!J90*SUM(Courses!O90,Courses!P90),0)</f>
        <v>0</v>
      </c>
      <c r="K84" s="1580">
        <f>IF(AND('Courses Valid'!C96=0,Courses!E90&lt;&gt;"",Courses!F90&gt;0,Courses!Q90&gt;0),Courses!F90*Courses!Q90,0)</f>
        <v>0</v>
      </c>
      <c r="L84" s="41">
        <f>IF(AND('Courses Valid'!C96=0,Courses!G90&lt;&gt;"",Courses!H90&gt;0,Courses!Q90&gt;0),Courses!H90*Courses!Q90,0)</f>
        <v>0</v>
      </c>
      <c r="M84" s="105">
        <f>IF(AND('Courses Valid'!C96=0,Courses!I90&lt;&gt;"",Courses!J90&gt;0,Courses!Q90&gt;0),Courses!J90*Courses!Q90,0)</f>
        <v>0</v>
      </c>
      <c r="N84" s="41">
        <f>IF(AND('Courses Valid'!C96=0,Courses!E90&lt;&gt;"",Courses!F90&gt;0,SUM(Courses!W90,Courses!X90)&gt;0),Courses!F90*SUM(Courses!W90,Courses!X90),0)</f>
        <v>0</v>
      </c>
      <c r="O84" s="41">
        <f>IF(AND('Courses Valid'!C96=0,Courses!G90&lt;&gt;"",Courses!H90&gt;0,SUM(Courses!W90,Courses!X90)&gt;0),Courses!H90*SUM(Courses!W90,Courses!X90),0)</f>
        <v>0</v>
      </c>
      <c r="P84" s="41">
        <f>IF(AND('Courses Valid'!C96=0,Courses!I90&lt;&gt;"",Courses!J90&gt;0,SUM(Courses!W90,Courses!X90)&gt;0),Courses!J90*SUM(Courses!W90,Courses!X90),0)</f>
        <v>0</v>
      </c>
      <c r="Q84" s="1580">
        <f>IF(AND('Courses Valid'!C96=0,Courses!E90&lt;&gt;"",Courses!F90&gt;0,SUM(Courses!Y90,Courses!Z90)&gt;0),Courses!F90*SUM(Courses!Y90,Courses!Z90),0)</f>
        <v>0</v>
      </c>
      <c r="R84" s="41">
        <f>IF(AND('Courses Valid'!C96=0,Courses!G90&lt;&gt;"",Courses!H90&gt;0,SUM(Courses!Y90,Courses!Z90)&gt;0),Courses!H90*SUM(Courses!Y90,Courses!Z90),0)</f>
        <v>0</v>
      </c>
      <c r="S84" s="105">
        <f>IF(AND('Courses Valid'!C96=0,Courses!I90&lt;&gt;"",Courses!J90&gt;0,SUM(Courses!Y90,Courses!Z90)&gt;0),Courses!J90*SUM(Courses!Y90,Courses!Z90),0)</f>
        <v>0</v>
      </c>
      <c r="T84" s="41">
        <f>IF(AND('Courses Valid'!C96=0,Courses!E90&lt;&gt;"",Courses!F90&gt;0,Courses!AA90&gt;0),Courses!F90*Courses!AA90,0)</f>
        <v>0</v>
      </c>
      <c r="U84" s="41">
        <f>IF(AND('Courses Valid'!C96=0,Courses!G90&lt;&gt;"",Courses!H90&gt;0,Courses!AA90&gt;0),Courses!H90*Courses!AA90,0)</f>
        <v>0</v>
      </c>
      <c r="V84" s="106">
        <f>IF(AND('Courses Valid'!C96=0,Courses!I90&lt;&gt;"",Courses!J90&gt;0,Courses!AA90&gt;0),Courses!J90*Courses!AA90,0)</f>
        <v>0</v>
      </c>
      <c r="W84" s="41"/>
    </row>
    <row r="85" spans="2:23" x14ac:dyDescent="0.35">
      <c r="B85" s="70" t="str">
        <f>IF(Courses!B91&lt;&gt;"",CONCATENATE(Courses!E91,"/",Courses!L91,"/",Courses!K91),"")</f>
        <v/>
      </c>
      <c r="C85" s="1579" t="str">
        <f>IF(AND(Courses!B91&lt;&gt;"",Courses!G91&lt;&gt;""),CONCATENATE(Courses!G91,"/",Courses!L91,"/",Courses!K91),"")</f>
        <v/>
      </c>
      <c r="D85" s="71" t="str">
        <f>IF(AND(Courses!B91&lt;&gt;"",Courses!I91&lt;&gt;""),CONCATENATE(Courses!I91,"/",Courses!L91,"/",Courses!K91),"")</f>
        <v/>
      </c>
      <c r="E85" s="1580">
        <f>IF(AND('Courses Valid'!C97=0,Courses!E91&lt;&gt;"",Courses!F91&gt;0,SUM(Courses!M91,Courses!N91)&gt;0),Courses!F91*SUM(Courses!M91,Courses!N91),0)</f>
        <v>0</v>
      </c>
      <c r="F85" s="41">
        <f>IF(AND('Courses Valid'!C97=0,Courses!G91&lt;&gt;"",Courses!H91&gt;0,SUM(Courses!M91,Courses!N91)&gt;0),Courses!H91*SUM(Courses!M91,Courses!N91),0)</f>
        <v>0</v>
      </c>
      <c r="G85" s="105">
        <f>IF(AND('Courses Valid'!C97=0,Courses!I91&lt;&gt;"",Courses!J91&gt;0,SUM(Courses!M91,Courses!N91)&gt;0),Courses!J91*SUM(Courses!M91,Courses!N91),0)</f>
        <v>0</v>
      </c>
      <c r="H85" s="1580">
        <f>IF(AND('Courses Valid'!C97=0,Courses!E91&lt;&gt;"",Courses!F91&gt;0,SUM(Courses!O91,Courses!P91)&gt;0),Courses!F91*SUM(Courses!O91,Courses!P91),0)</f>
        <v>0</v>
      </c>
      <c r="I85" s="41">
        <f>IF(AND('Courses Valid'!C97=0,Courses!G91&lt;&gt;"",Courses!H91&gt;0,SUM(Courses!O91,Courses!P91)&gt;0),Courses!H91*SUM(Courses!O91,Courses!P91),0)</f>
        <v>0</v>
      </c>
      <c r="J85" s="105">
        <f>IF(AND('Courses Valid'!C97=0,Courses!I91&lt;&gt;"",Courses!J91&gt;0,SUM(Courses!O91,Courses!P91)&gt;0),Courses!J91*SUM(Courses!O91,Courses!P91),0)</f>
        <v>0</v>
      </c>
      <c r="K85" s="1580">
        <f>IF(AND('Courses Valid'!C97=0,Courses!E91&lt;&gt;"",Courses!F91&gt;0,Courses!Q91&gt;0),Courses!F91*Courses!Q91,0)</f>
        <v>0</v>
      </c>
      <c r="L85" s="41">
        <f>IF(AND('Courses Valid'!C97=0,Courses!G91&lt;&gt;"",Courses!H91&gt;0,Courses!Q91&gt;0),Courses!H91*Courses!Q91,0)</f>
        <v>0</v>
      </c>
      <c r="M85" s="105">
        <f>IF(AND('Courses Valid'!C97=0,Courses!I91&lt;&gt;"",Courses!J91&gt;0,Courses!Q91&gt;0),Courses!J91*Courses!Q91,0)</f>
        <v>0</v>
      </c>
      <c r="N85" s="41">
        <f>IF(AND('Courses Valid'!C97=0,Courses!E91&lt;&gt;"",Courses!F91&gt;0,SUM(Courses!W91,Courses!X91)&gt;0),Courses!F91*SUM(Courses!W91,Courses!X91),0)</f>
        <v>0</v>
      </c>
      <c r="O85" s="41">
        <f>IF(AND('Courses Valid'!C97=0,Courses!G91&lt;&gt;"",Courses!H91&gt;0,SUM(Courses!W91,Courses!X91)&gt;0),Courses!H91*SUM(Courses!W91,Courses!X91),0)</f>
        <v>0</v>
      </c>
      <c r="P85" s="41">
        <f>IF(AND('Courses Valid'!C97=0,Courses!I91&lt;&gt;"",Courses!J91&gt;0,SUM(Courses!W91,Courses!X91)&gt;0),Courses!J91*SUM(Courses!W91,Courses!X91),0)</f>
        <v>0</v>
      </c>
      <c r="Q85" s="1580">
        <f>IF(AND('Courses Valid'!C97=0,Courses!E91&lt;&gt;"",Courses!F91&gt;0,SUM(Courses!Y91,Courses!Z91)&gt;0),Courses!F91*SUM(Courses!Y91,Courses!Z91),0)</f>
        <v>0</v>
      </c>
      <c r="R85" s="41">
        <f>IF(AND('Courses Valid'!C97=0,Courses!G91&lt;&gt;"",Courses!H91&gt;0,SUM(Courses!Y91,Courses!Z91)&gt;0),Courses!H91*SUM(Courses!Y91,Courses!Z91),0)</f>
        <v>0</v>
      </c>
      <c r="S85" s="105">
        <f>IF(AND('Courses Valid'!C97=0,Courses!I91&lt;&gt;"",Courses!J91&gt;0,SUM(Courses!Y91,Courses!Z91)&gt;0),Courses!J91*SUM(Courses!Y91,Courses!Z91),0)</f>
        <v>0</v>
      </c>
      <c r="T85" s="41">
        <f>IF(AND('Courses Valid'!C97=0,Courses!E91&lt;&gt;"",Courses!F91&gt;0,Courses!AA91&gt;0),Courses!F91*Courses!AA91,0)</f>
        <v>0</v>
      </c>
      <c r="U85" s="41">
        <f>IF(AND('Courses Valid'!C97=0,Courses!G91&lt;&gt;"",Courses!H91&gt;0,Courses!AA91&gt;0),Courses!H91*Courses!AA91,0)</f>
        <v>0</v>
      </c>
      <c r="V85" s="106">
        <f>IF(AND('Courses Valid'!C97=0,Courses!I91&lt;&gt;"",Courses!J91&gt;0,Courses!AA91&gt;0),Courses!J91*Courses!AA91,0)</f>
        <v>0</v>
      </c>
      <c r="W85" s="41"/>
    </row>
    <row r="86" spans="2:23" x14ac:dyDescent="0.35">
      <c r="B86" s="70" t="str">
        <f>IF(Courses!B92&lt;&gt;"",CONCATENATE(Courses!E92,"/",Courses!L92,"/",Courses!K92),"")</f>
        <v/>
      </c>
      <c r="C86" s="1579" t="str">
        <f>IF(AND(Courses!B92&lt;&gt;"",Courses!G92&lt;&gt;""),CONCATENATE(Courses!G92,"/",Courses!L92,"/",Courses!K92),"")</f>
        <v/>
      </c>
      <c r="D86" s="71" t="str">
        <f>IF(AND(Courses!B92&lt;&gt;"",Courses!I92&lt;&gt;""),CONCATENATE(Courses!I92,"/",Courses!L92,"/",Courses!K92),"")</f>
        <v/>
      </c>
      <c r="E86" s="1580">
        <f>IF(AND('Courses Valid'!C98=0,Courses!E92&lt;&gt;"",Courses!F92&gt;0,SUM(Courses!M92,Courses!N92)&gt;0),Courses!F92*SUM(Courses!M92,Courses!N92),0)</f>
        <v>0</v>
      </c>
      <c r="F86" s="41">
        <f>IF(AND('Courses Valid'!C98=0,Courses!G92&lt;&gt;"",Courses!H92&gt;0,SUM(Courses!M92,Courses!N92)&gt;0),Courses!H92*SUM(Courses!M92,Courses!N92),0)</f>
        <v>0</v>
      </c>
      <c r="G86" s="105">
        <f>IF(AND('Courses Valid'!C98=0,Courses!I92&lt;&gt;"",Courses!J92&gt;0,SUM(Courses!M92,Courses!N92)&gt;0),Courses!J92*SUM(Courses!M92,Courses!N92),0)</f>
        <v>0</v>
      </c>
      <c r="H86" s="1580">
        <f>IF(AND('Courses Valid'!C98=0,Courses!E92&lt;&gt;"",Courses!F92&gt;0,SUM(Courses!O92,Courses!P92)&gt;0),Courses!F92*SUM(Courses!O92,Courses!P92),0)</f>
        <v>0</v>
      </c>
      <c r="I86" s="41">
        <f>IF(AND('Courses Valid'!C98=0,Courses!G92&lt;&gt;"",Courses!H92&gt;0,SUM(Courses!O92,Courses!P92)&gt;0),Courses!H92*SUM(Courses!O92,Courses!P92),0)</f>
        <v>0</v>
      </c>
      <c r="J86" s="105">
        <f>IF(AND('Courses Valid'!C98=0,Courses!I92&lt;&gt;"",Courses!J92&gt;0,SUM(Courses!O92,Courses!P92)&gt;0),Courses!J92*SUM(Courses!O92,Courses!P92),0)</f>
        <v>0</v>
      </c>
      <c r="K86" s="1580">
        <f>IF(AND('Courses Valid'!C98=0,Courses!E92&lt;&gt;"",Courses!F92&gt;0,Courses!Q92&gt;0),Courses!F92*Courses!Q92,0)</f>
        <v>0</v>
      </c>
      <c r="L86" s="41">
        <f>IF(AND('Courses Valid'!C98=0,Courses!G92&lt;&gt;"",Courses!H92&gt;0,Courses!Q92&gt;0),Courses!H92*Courses!Q92,0)</f>
        <v>0</v>
      </c>
      <c r="M86" s="105">
        <f>IF(AND('Courses Valid'!C98=0,Courses!I92&lt;&gt;"",Courses!J92&gt;0,Courses!Q92&gt;0),Courses!J92*Courses!Q92,0)</f>
        <v>0</v>
      </c>
      <c r="N86" s="41">
        <f>IF(AND('Courses Valid'!C98=0,Courses!E92&lt;&gt;"",Courses!F92&gt;0,SUM(Courses!W92,Courses!X92)&gt;0),Courses!F92*SUM(Courses!W92,Courses!X92),0)</f>
        <v>0</v>
      </c>
      <c r="O86" s="41">
        <f>IF(AND('Courses Valid'!C98=0,Courses!G92&lt;&gt;"",Courses!H92&gt;0,SUM(Courses!W92,Courses!X92)&gt;0),Courses!H92*SUM(Courses!W92,Courses!X92),0)</f>
        <v>0</v>
      </c>
      <c r="P86" s="41">
        <f>IF(AND('Courses Valid'!C98=0,Courses!I92&lt;&gt;"",Courses!J92&gt;0,SUM(Courses!W92,Courses!X92)&gt;0),Courses!J92*SUM(Courses!W92,Courses!X92),0)</f>
        <v>0</v>
      </c>
      <c r="Q86" s="1580">
        <f>IF(AND('Courses Valid'!C98=0,Courses!E92&lt;&gt;"",Courses!F92&gt;0,SUM(Courses!Y92,Courses!Z92)&gt;0),Courses!F92*SUM(Courses!Y92,Courses!Z92),0)</f>
        <v>0</v>
      </c>
      <c r="R86" s="41">
        <f>IF(AND('Courses Valid'!C98=0,Courses!G92&lt;&gt;"",Courses!H92&gt;0,SUM(Courses!Y92,Courses!Z92)&gt;0),Courses!H92*SUM(Courses!Y92,Courses!Z92),0)</f>
        <v>0</v>
      </c>
      <c r="S86" s="105">
        <f>IF(AND('Courses Valid'!C98=0,Courses!I92&lt;&gt;"",Courses!J92&gt;0,SUM(Courses!Y92,Courses!Z92)&gt;0),Courses!J92*SUM(Courses!Y92,Courses!Z92),0)</f>
        <v>0</v>
      </c>
      <c r="T86" s="41">
        <f>IF(AND('Courses Valid'!C98=0,Courses!E92&lt;&gt;"",Courses!F92&gt;0,Courses!AA92&gt;0),Courses!F92*Courses!AA92,0)</f>
        <v>0</v>
      </c>
      <c r="U86" s="41">
        <f>IF(AND('Courses Valid'!C98=0,Courses!G92&lt;&gt;"",Courses!H92&gt;0,Courses!AA92&gt;0),Courses!H92*Courses!AA92,0)</f>
        <v>0</v>
      </c>
      <c r="V86" s="106">
        <f>IF(AND('Courses Valid'!C98=0,Courses!I92&lt;&gt;"",Courses!J92&gt;0,Courses!AA92&gt;0),Courses!J92*Courses!AA92,0)</f>
        <v>0</v>
      </c>
      <c r="W86" s="41"/>
    </row>
    <row r="87" spans="2:23" x14ac:dyDescent="0.35">
      <c r="B87" s="70" t="str">
        <f>IF(Courses!B93&lt;&gt;"",CONCATENATE(Courses!E93,"/",Courses!L93,"/",Courses!K93),"")</f>
        <v/>
      </c>
      <c r="C87" s="1579" t="str">
        <f>IF(AND(Courses!B93&lt;&gt;"",Courses!G93&lt;&gt;""),CONCATENATE(Courses!G93,"/",Courses!L93,"/",Courses!K93),"")</f>
        <v/>
      </c>
      <c r="D87" s="71" t="str">
        <f>IF(AND(Courses!B93&lt;&gt;"",Courses!I93&lt;&gt;""),CONCATENATE(Courses!I93,"/",Courses!L93,"/",Courses!K93),"")</f>
        <v/>
      </c>
      <c r="E87" s="1580">
        <f>IF(AND('Courses Valid'!C99=0,Courses!E93&lt;&gt;"",Courses!F93&gt;0,SUM(Courses!M93,Courses!N93)&gt;0),Courses!F93*SUM(Courses!M93,Courses!N93),0)</f>
        <v>0</v>
      </c>
      <c r="F87" s="41">
        <f>IF(AND('Courses Valid'!C99=0,Courses!G93&lt;&gt;"",Courses!H93&gt;0,SUM(Courses!M93,Courses!N93)&gt;0),Courses!H93*SUM(Courses!M93,Courses!N93),0)</f>
        <v>0</v>
      </c>
      <c r="G87" s="105">
        <f>IF(AND('Courses Valid'!C99=0,Courses!I93&lt;&gt;"",Courses!J93&gt;0,SUM(Courses!M93,Courses!N93)&gt;0),Courses!J93*SUM(Courses!M93,Courses!N93),0)</f>
        <v>0</v>
      </c>
      <c r="H87" s="1580">
        <f>IF(AND('Courses Valid'!C99=0,Courses!E93&lt;&gt;"",Courses!F93&gt;0,SUM(Courses!O93,Courses!P93)&gt;0),Courses!F93*SUM(Courses!O93,Courses!P93),0)</f>
        <v>0</v>
      </c>
      <c r="I87" s="41">
        <f>IF(AND('Courses Valid'!C99=0,Courses!G93&lt;&gt;"",Courses!H93&gt;0,SUM(Courses!O93,Courses!P93)&gt;0),Courses!H93*SUM(Courses!O93,Courses!P93),0)</f>
        <v>0</v>
      </c>
      <c r="J87" s="105">
        <f>IF(AND('Courses Valid'!C99=0,Courses!I93&lt;&gt;"",Courses!J93&gt;0,SUM(Courses!O93,Courses!P93)&gt;0),Courses!J93*SUM(Courses!O93,Courses!P93),0)</f>
        <v>0</v>
      </c>
      <c r="K87" s="1580">
        <f>IF(AND('Courses Valid'!C99=0,Courses!E93&lt;&gt;"",Courses!F93&gt;0,Courses!Q93&gt;0),Courses!F93*Courses!Q93,0)</f>
        <v>0</v>
      </c>
      <c r="L87" s="41">
        <f>IF(AND('Courses Valid'!C99=0,Courses!G93&lt;&gt;"",Courses!H93&gt;0,Courses!Q93&gt;0),Courses!H93*Courses!Q93,0)</f>
        <v>0</v>
      </c>
      <c r="M87" s="105">
        <f>IF(AND('Courses Valid'!C99=0,Courses!I93&lt;&gt;"",Courses!J93&gt;0,Courses!Q93&gt;0),Courses!J93*Courses!Q93,0)</f>
        <v>0</v>
      </c>
      <c r="N87" s="41">
        <f>IF(AND('Courses Valid'!C99=0,Courses!E93&lt;&gt;"",Courses!F93&gt;0,SUM(Courses!W93,Courses!X93)&gt;0),Courses!F93*SUM(Courses!W93,Courses!X93),0)</f>
        <v>0</v>
      </c>
      <c r="O87" s="41">
        <f>IF(AND('Courses Valid'!C99=0,Courses!G93&lt;&gt;"",Courses!H93&gt;0,SUM(Courses!W93,Courses!X93)&gt;0),Courses!H93*SUM(Courses!W93,Courses!X93),0)</f>
        <v>0</v>
      </c>
      <c r="P87" s="41">
        <f>IF(AND('Courses Valid'!C99=0,Courses!I93&lt;&gt;"",Courses!J93&gt;0,SUM(Courses!W93,Courses!X93)&gt;0),Courses!J93*SUM(Courses!W93,Courses!X93),0)</f>
        <v>0</v>
      </c>
      <c r="Q87" s="1580">
        <f>IF(AND('Courses Valid'!C99=0,Courses!E93&lt;&gt;"",Courses!F93&gt;0,SUM(Courses!Y93,Courses!Z93)&gt;0),Courses!F93*SUM(Courses!Y93,Courses!Z93),0)</f>
        <v>0</v>
      </c>
      <c r="R87" s="41">
        <f>IF(AND('Courses Valid'!C99=0,Courses!G93&lt;&gt;"",Courses!H93&gt;0,SUM(Courses!Y93,Courses!Z93)&gt;0),Courses!H93*SUM(Courses!Y93,Courses!Z93),0)</f>
        <v>0</v>
      </c>
      <c r="S87" s="105">
        <f>IF(AND('Courses Valid'!C99=0,Courses!I93&lt;&gt;"",Courses!J93&gt;0,SUM(Courses!Y93,Courses!Z93)&gt;0),Courses!J93*SUM(Courses!Y93,Courses!Z93),0)</f>
        <v>0</v>
      </c>
      <c r="T87" s="41">
        <f>IF(AND('Courses Valid'!C99=0,Courses!E93&lt;&gt;"",Courses!F93&gt;0,Courses!AA93&gt;0),Courses!F93*Courses!AA93,0)</f>
        <v>0</v>
      </c>
      <c r="U87" s="41">
        <f>IF(AND('Courses Valid'!C99=0,Courses!G93&lt;&gt;"",Courses!H93&gt;0,Courses!AA93&gt;0),Courses!H93*Courses!AA93,0)</f>
        <v>0</v>
      </c>
      <c r="V87" s="106">
        <f>IF(AND('Courses Valid'!C99=0,Courses!I93&lt;&gt;"",Courses!J93&gt;0,Courses!AA93&gt;0),Courses!J93*Courses!AA93,0)</f>
        <v>0</v>
      </c>
      <c r="W87" s="41"/>
    </row>
    <row r="88" spans="2:23" x14ac:dyDescent="0.35">
      <c r="B88" s="70" t="str">
        <f>IF(Courses!B94&lt;&gt;"",CONCATENATE(Courses!E94,"/",Courses!L94,"/",Courses!K94),"")</f>
        <v/>
      </c>
      <c r="C88" s="1579" t="str">
        <f>IF(AND(Courses!B94&lt;&gt;"",Courses!G94&lt;&gt;""),CONCATENATE(Courses!G94,"/",Courses!L94,"/",Courses!K94),"")</f>
        <v/>
      </c>
      <c r="D88" s="71" t="str">
        <f>IF(AND(Courses!B94&lt;&gt;"",Courses!I94&lt;&gt;""),CONCATENATE(Courses!I94,"/",Courses!L94,"/",Courses!K94),"")</f>
        <v/>
      </c>
      <c r="E88" s="1580">
        <f>IF(AND('Courses Valid'!C100=0,Courses!E94&lt;&gt;"",Courses!F94&gt;0,SUM(Courses!M94,Courses!N94)&gt;0),Courses!F94*SUM(Courses!M94,Courses!N94),0)</f>
        <v>0</v>
      </c>
      <c r="F88" s="41">
        <f>IF(AND('Courses Valid'!C100=0,Courses!G94&lt;&gt;"",Courses!H94&gt;0,SUM(Courses!M94,Courses!N94)&gt;0),Courses!H94*SUM(Courses!M94,Courses!N94),0)</f>
        <v>0</v>
      </c>
      <c r="G88" s="105">
        <f>IF(AND('Courses Valid'!C100=0,Courses!I94&lt;&gt;"",Courses!J94&gt;0,SUM(Courses!M94,Courses!N94)&gt;0),Courses!J94*SUM(Courses!M94,Courses!N94),0)</f>
        <v>0</v>
      </c>
      <c r="H88" s="1580">
        <f>IF(AND('Courses Valid'!C100=0,Courses!E94&lt;&gt;"",Courses!F94&gt;0,SUM(Courses!O94,Courses!P94)&gt;0),Courses!F94*SUM(Courses!O94,Courses!P94),0)</f>
        <v>0</v>
      </c>
      <c r="I88" s="41">
        <f>IF(AND('Courses Valid'!C100=0,Courses!G94&lt;&gt;"",Courses!H94&gt;0,SUM(Courses!O94,Courses!P94)&gt;0),Courses!H94*SUM(Courses!O94,Courses!P94),0)</f>
        <v>0</v>
      </c>
      <c r="J88" s="105">
        <f>IF(AND('Courses Valid'!C100=0,Courses!I94&lt;&gt;"",Courses!J94&gt;0,SUM(Courses!O94,Courses!P94)&gt;0),Courses!J94*SUM(Courses!O94,Courses!P94),0)</f>
        <v>0</v>
      </c>
      <c r="K88" s="1580">
        <f>IF(AND('Courses Valid'!C100=0,Courses!E94&lt;&gt;"",Courses!F94&gt;0,Courses!Q94&gt;0),Courses!F94*Courses!Q94,0)</f>
        <v>0</v>
      </c>
      <c r="L88" s="41">
        <f>IF(AND('Courses Valid'!C100=0,Courses!G94&lt;&gt;"",Courses!H94&gt;0,Courses!Q94&gt;0),Courses!H94*Courses!Q94,0)</f>
        <v>0</v>
      </c>
      <c r="M88" s="105">
        <f>IF(AND('Courses Valid'!C100=0,Courses!I94&lt;&gt;"",Courses!J94&gt;0,Courses!Q94&gt;0),Courses!J94*Courses!Q94,0)</f>
        <v>0</v>
      </c>
      <c r="N88" s="41">
        <f>IF(AND('Courses Valid'!C100=0,Courses!E94&lt;&gt;"",Courses!F94&gt;0,SUM(Courses!W94,Courses!X94)&gt;0),Courses!F94*SUM(Courses!W94,Courses!X94),0)</f>
        <v>0</v>
      </c>
      <c r="O88" s="41">
        <f>IF(AND('Courses Valid'!C100=0,Courses!G94&lt;&gt;"",Courses!H94&gt;0,SUM(Courses!W94,Courses!X94)&gt;0),Courses!H94*SUM(Courses!W94,Courses!X94),0)</f>
        <v>0</v>
      </c>
      <c r="P88" s="41">
        <f>IF(AND('Courses Valid'!C100=0,Courses!I94&lt;&gt;"",Courses!J94&gt;0,SUM(Courses!W94,Courses!X94)&gt;0),Courses!J94*SUM(Courses!W94,Courses!X94),0)</f>
        <v>0</v>
      </c>
      <c r="Q88" s="1580">
        <f>IF(AND('Courses Valid'!C100=0,Courses!E94&lt;&gt;"",Courses!F94&gt;0,SUM(Courses!Y94,Courses!Z94)&gt;0),Courses!F94*SUM(Courses!Y94,Courses!Z94),0)</f>
        <v>0</v>
      </c>
      <c r="R88" s="41">
        <f>IF(AND('Courses Valid'!C100=0,Courses!G94&lt;&gt;"",Courses!H94&gt;0,SUM(Courses!Y94,Courses!Z94)&gt;0),Courses!H94*SUM(Courses!Y94,Courses!Z94),0)</f>
        <v>0</v>
      </c>
      <c r="S88" s="105">
        <f>IF(AND('Courses Valid'!C100=0,Courses!I94&lt;&gt;"",Courses!J94&gt;0,SUM(Courses!Y94,Courses!Z94)&gt;0),Courses!J94*SUM(Courses!Y94,Courses!Z94),0)</f>
        <v>0</v>
      </c>
      <c r="T88" s="41">
        <f>IF(AND('Courses Valid'!C100=0,Courses!E94&lt;&gt;"",Courses!F94&gt;0,Courses!AA94&gt;0),Courses!F94*Courses!AA94,0)</f>
        <v>0</v>
      </c>
      <c r="U88" s="41">
        <f>IF(AND('Courses Valid'!C100=0,Courses!G94&lt;&gt;"",Courses!H94&gt;0,Courses!AA94&gt;0),Courses!H94*Courses!AA94,0)</f>
        <v>0</v>
      </c>
      <c r="V88" s="106">
        <f>IF(AND('Courses Valid'!C100=0,Courses!I94&lt;&gt;"",Courses!J94&gt;0,Courses!AA94&gt;0),Courses!J94*Courses!AA94,0)</f>
        <v>0</v>
      </c>
      <c r="W88" s="41"/>
    </row>
    <row r="89" spans="2:23" x14ac:dyDescent="0.35">
      <c r="B89" s="70" t="str">
        <f>IF(Courses!B95&lt;&gt;"",CONCATENATE(Courses!E95,"/",Courses!L95,"/",Courses!K95),"")</f>
        <v/>
      </c>
      <c r="C89" s="1579" t="str">
        <f>IF(AND(Courses!B95&lt;&gt;"",Courses!G95&lt;&gt;""),CONCATENATE(Courses!G95,"/",Courses!L95,"/",Courses!K95),"")</f>
        <v/>
      </c>
      <c r="D89" s="71" t="str">
        <f>IF(AND(Courses!B95&lt;&gt;"",Courses!I95&lt;&gt;""),CONCATENATE(Courses!I95,"/",Courses!L95,"/",Courses!K95),"")</f>
        <v/>
      </c>
      <c r="E89" s="1580">
        <f>IF(AND('Courses Valid'!C101=0,Courses!E95&lt;&gt;"",Courses!F95&gt;0,SUM(Courses!M95,Courses!N95)&gt;0),Courses!F95*SUM(Courses!M95,Courses!N95),0)</f>
        <v>0</v>
      </c>
      <c r="F89" s="41">
        <f>IF(AND('Courses Valid'!C101=0,Courses!G95&lt;&gt;"",Courses!H95&gt;0,SUM(Courses!M95,Courses!N95)&gt;0),Courses!H95*SUM(Courses!M95,Courses!N95),0)</f>
        <v>0</v>
      </c>
      <c r="G89" s="105">
        <f>IF(AND('Courses Valid'!C101=0,Courses!I95&lt;&gt;"",Courses!J95&gt;0,SUM(Courses!M95,Courses!N95)&gt;0),Courses!J95*SUM(Courses!M95,Courses!N95),0)</f>
        <v>0</v>
      </c>
      <c r="H89" s="1580">
        <f>IF(AND('Courses Valid'!C101=0,Courses!E95&lt;&gt;"",Courses!F95&gt;0,SUM(Courses!O95,Courses!P95)&gt;0),Courses!F95*SUM(Courses!O95,Courses!P95),0)</f>
        <v>0</v>
      </c>
      <c r="I89" s="41">
        <f>IF(AND('Courses Valid'!C101=0,Courses!G95&lt;&gt;"",Courses!H95&gt;0,SUM(Courses!O95,Courses!P95)&gt;0),Courses!H95*SUM(Courses!O95,Courses!P95),0)</f>
        <v>0</v>
      </c>
      <c r="J89" s="105">
        <f>IF(AND('Courses Valid'!C101=0,Courses!I95&lt;&gt;"",Courses!J95&gt;0,SUM(Courses!O95,Courses!P95)&gt;0),Courses!J95*SUM(Courses!O95,Courses!P95),0)</f>
        <v>0</v>
      </c>
      <c r="K89" s="1580">
        <f>IF(AND('Courses Valid'!C101=0,Courses!E95&lt;&gt;"",Courses!F95&gt;0,Courses!Q95&gt;0),Courses!F95*Courses!Q95,0)</f>
        <v>0</v>
      </c>
      <c r="L89" s="41">
        <f>IF(AND('Courses Valid'!C101=0,Courses!G95&lt;&gt;"",Courses!H95&gt;0,Courses!Q95&gt;0),Courses!H95*Courses!Q95,0)</f>
        <v>0</v>
      </c>
      <c r="M89" s="105">
        <f>IF(AND('Courses Valid'!C101=0,Courses!I95&lt;&gt;"",Courses!J95&gt;0,Courses!Q95&gt;0),Courses!J95*Courses!Q95,0)</f>
        <v>0</v>
      </c>
      <c r="N89" s="41">
        <f>IF(AND('Courses Valid'!C101=0,Courses!E95&lt;&gt;"",Courses!F95&gt;0,SUM(Courses!W95,Courses!X95)&gt;0),Courses!F95*SUM(Courses!W95,Courses!X95),0)</f>
        <v>0</v>
      </c>
      <c r="O89" s="41">
        <f>IF(AND('Courses Valid'!C101=0,Courses!G95&lt;&gt;"",Courses!H95&gt;0,SUM(Courses!W95,Courses!X95)&gt;0),Courses!H95*SUM(Courses!W95,Courses!X95),0)</f>
        <v>0</v>
      </c>
      <c r="P89" s="41">
        <f>IF(AND('Courses Valid'!C101=0,Courses!I95&lt;&gt;"",Courses!J95&gt;0,SUM(Courses!W95,Courses!X95)&gt;0),Courses!J95*SUM(Courses!W95,Courses!X95),0)</f>
        <v>0</v>
      </c>
      <c r="Q89" s="1580">
        <f>IF(AND('Courses Valid'!C101=0,Courses!E95&lt;&gt;"",Courses!F95&gt;0,SUM(Courses!Y95,Courses!Z95)&gt;0),Courses!F95*SUM(Courses!Y95,Courses!Z95),0)</f>
        <v>0</v>
      </c>
      <c r="R89" s="41">
        <f>IF(AND('Courses Valid'!C101=0,Courses!G95&lt;&gt;"",Courses!H95&gt;0,SUM(Courses!Y95,Courses!Z95)&gt;0),Courses!H95*SUM(Courses!Y95,Courses!Z95),0)</f>
        <v>0</v>
      </c>
      <c r="S89" s="105">
        <f>IF(AND('Courses Valid'!C101=0,Courses!I95&lt;&gt;"",Courses!J95&gt;0,SUM(Courses!Y95,Courses!Z95)&gt;0),Courses!J95*SUM(Courses!Y95,Courses!Z95),0)</f>
        <v>0</v>
      </c>
      <c r="T89" s="41">
        <f>IF(AND('Courses Valid'!C101=0,Courses!E95&lt;&gt;"",Courses!F95&gt;0,Courses!AA95&gt;0),Courses!F95*Courses!AA95,0)</f>
        <v>0</v>
      </c>
      <c r="U89" s="41">
        <f>IF(AND('Courses Valid'!C101=0,Courses!G95&lt;&gt;"",Courses!H95&gt;0,Courses!AA95&gt;0),Courses!H95*Courses!AA95,0)</f>
        <v>0</v>
      </c>
      <c r="V89" s="106">
        <f>IF(AND('Courses Valid'!C101=0,Courses!I95&lt;&gt;"",Courses!J95&gt;0,Courses!AA95&gt;0),Courses!J95*Courses!AA95,0)</f>
        <v>0</v>
      </c>
      <c r="W89" s="41"/>
    </row>
    <row r="90" spans="2:23" x14ac:dyDescent="0.35">
      <c r="B90" s="70" t="str">
        <f>IF(Courses!B96&lt;&gt;"",CONCATENATE(Courses!E96,"/",Courses!L96,"/",Courses!K96),"")</f>
        <v/>
      </c>
      <c r="C90" s="1579" t="str">
        <f>IF(AND(Courses!B96&lt;&gt;"",Courses!G96&lt;&gt;""),CONCATENATE(Courses!G96,"/",Courses!L96,"/",Courses!K96),"")</f>
        <v/>
      </c>
      <c r="D90" s="71" t="str">
        <f>IF(AND(Courses!B96&lt;&gt;"",Courses!I96&lt;&gt;""),CONCATENATE(Courses!I96,"/",Courses!L96,"/",Courses!K96),"")</f>
        <v/>
      </c>
      <c r="E90" s="1580">
        <f>IF(AND('Courses Valid'!C102=0,Courses!E96&lt;&gt;"",Courses!F96&gt;0,SUM(Courses!M96,Courses!N96)&gt;0),Courses!F96*SUM(Courses!M96,Courses!N96),0)</f>
        <v>0</v>
      </c>
      <c r="F90" s="41">
        <f>IF(AND('Courses Valid'!C102=0,Courses!G96&lt;&gt;"",Courses!H96&gt;0,SUM(Courses!M96,Courses!N96)&gt;0),Courses!H96*SUM(Courses!M96,Courses!N96),0)</f>
        <v>0</v>
      </c>
      <c r="G90" s="105">
        <f>IF(AND('Courses Valid'!C102=0,Courses!I96&lt;&gt;"",Courses!J96&gt;0,SUM(Courses!M96,Courses!N96)&gt;0),Courses!J96*SUM(Courses!M96,Courses!N96),0)</f>
        <v>0</v>
      </c>
      <c r="H90" s="1580">
        <f>IF(AND('Courses Valid'!C102=0,Courses!E96&lt;&gt;"",Courses!F96&gt;0,SUM(Courses!O96,Courses!P96)&gt;0),Courses!F96*SUM(Courses!O96,Courses!P96),0)</f>
        <v>0</v>
      </c>
      <c r="I90" s="41">
        <f>IF(AND('Courses Valid'!C102=0,Courses!G96&lt;&gt;"",Courses!H96&gt;0,SUM(Courses!O96,Courses!P96)&gt;0),Courses!H96*SUM(Courses!O96,Courses!P96),0)</f>
        <v>0</v>
      </c>
      <c r="J90" s="105">
        <f>IF(AND('Courses Valid'!C102=0,Courses!I96&lt;&gt;"",Courses!J96&gt;0,SUM(Courses!O96,Courses!P96)&gt;0),Courses!J96*SUM(Courses!O96,Courses!P96),0)</f>
        <v>0</v>
      </c>
      <c r="K90" s="1580">
        <f>IF(AND('Courses Valid'!C102=0,Courses!E96&lt;&gt;"",Courses!F96&gt;0,Courses!Q96&gt;0),Courses!F96*Courses!Q96,0)</f>
        <v>0</v>
      </c>
      <c r="L90" s="41">
        <f>IF(AND('Courses Valid'!C102=0,Courses!G96&lt;&gt;"",Courses!H96&gt;0,Courses!Q96&gt;0),Courses!H96*Courses!Q96,0)</f>
        <v>0</v>
      </c>
      <c r="M90" s="105">
        <f>IF(AND('Courses Valid'!C102=0,Courses!I96&lt;&gt;"",Courses!J96&gt;0,Courses!Q96&gt;0),Courses!J96*Courses!Q96,0)</f>
        <v>0</v>
      </c>
      <c r="N90" s="41">
        <f>IF(AND('Courses Valid'!C102=0,Courses!E96&lt;&gt;"",Courses!F96&gt;0,SUM(Courses!W96,Courses!X96)&gt;0),Courses!F96*SUM(Courses!W96,Courses!X96),0)</f>
        <v>0</v>
      </c>
      <c r="O90" s="41">
        <f>IF(AND('Courses Valid'!C102=0,Courses!G96&lt;&gt;"",Courses!H96&gt;0,SUM(Courses!W96,Courses!X96)&gt;0),Courses!H96*SUM(Courses!W96,Courses!X96),0)</f>
        <v>0</v>
      </c>
      <c r="P90" s="41">
        <f>IF(AND('Courses Valid'!C102=0,Courses!I96&lt;&gt;"",Courses!J96&gt;0,SUM(Courses!W96,Courses!X96)&gt;0),Courses!J96*SUM(Courses!W96,Courses!X96),0)</f>
        <v>0</v>
      </c>
      <c r="Q90" s="1580">
        <f>IF(AND('Courses Valid'!C102=0,Courses!E96&lt;&gt;"",Courses!F96&gt;0,SUM(Courses!Y96,Courses!Z96)&gt;0),Courses!F96*SUM(Courses!Y96,Courses!Z96),0)</f>
        <v>0</v>
      </c>
      <c r="R90" s="41">
        <f>IF(AND('Courses Valid'!C102=0,Courses!G96&lt;&gt;"",Courses!H96&gt;0,SUM(Courses!Y96,Courses!Z96)&gt;0),Courses!H96*SUM(Courses!Y96,Courses!Z96),0)</f>
        <v>0</v>
      </c>
      <c r="S90" s="105">
        <f>IF(AND('Courses Valid'!C102=0,Courses!I96&lt;&gt;"",Courses!J96&gt;0,SUM(Courses!Y96,Courses!Z96)&gt;0),Courses!J96*SUM(Courses!Y96,Courses!Z96),0)</f>
        <v>0</v>
      </c>
      <c r="T90" s="41">
        <f>IF(AND('Courses Valid'!C102=0,Courses!E96&lt;&gt;"",Courses!F96&gt;0,Courses!AA96&gt;0),Courses!F96*Courses!AA96,0)</f>
        <v>0</v>
      </c>
      <c r="U90" s="41">
        <f>IF(AND('Courses Valid'!C102=0,Courses!G96&lt;&gt;"",Courses!H96&gt;0,Courses!AA96&gt;0),Courses!H96*Courses!AA96,0)</f>
        <v>0</v>
      </c>
      <c r="V90" s="106">
        <f>IF(AND('Courses Valid'!C102=0,Courses!I96&lt;&gt;"",Courses!J96&gt;0,Courses!AA96&gt;0),Courses!J96*Courses!AA96,0)</f>
        <v>0</v>
      </c>
      <c r="W90" s="41"/>
    </row>
    <row r="91" spans="2:23" x14ac:dyDescent="0.35">
      <c r="B91" s="70" t="str">
        <f>IF(Courses!B97&lt;&gt;"",CONCATENATE(Courses!E97,"/",Courses!L97,"/",Courses!K97),"")</f>
        <v/>
      </c>
      <c r="C91" s="1579" t="str">
        <f>IF(AND(Courses!B97&lt;&gt;"",Courses!G97&lt;&gt;""),CONCATENATE(Courses!G97,"/",Courses!L97,"/",Courses!K97),"")</f>
        <v/>
      </c>
      <c r="D91" s="71" t="str">
        <f>IF(AND(Courses!B97&lt;&gt;"",Courses!I97&lt;&gt;""),CONCATENATE(Courses!I97,"/",Courses!L97,"/",Courses!K97),"")</f>
        <v/>
      </c>
      <c r="E91" s="1580">
        <f>IF(AND('Courses Valid'!C103=0,Courses!E97&lt;&gt;"",Courses!F97&gt;0,SUM(Courses!M97,Courses!N97)&gt;0),Courses!F97*SUM(Courses!M97,Courses!N97),0)</f>
        <v>0</v>
      </c>
      <c r="F91" s="41">
        <f>IF(AND('Courses Valid'!C103=0,Courses!G97&lt;&gt;"",Courses!H97&gt;0,SUM(Courses!M97,Courses!N97)&gt;0),Courses!H97*SUM(Courses!M97,Courses!N97),0)</f>
        <v>0</v>
      </c>
      <c r="G91" s="105">
        <f>IF(AND('Courses Valid'!C103=0,Courses!I97&lt;&gt;"",Courses!J97&gt;0,SUM(Courses!M97,Courses!N97)&gt;0),Courses!J97*SUM(Courses!M97,Courses!N97),0)</f>
        <v>0</v>
      </c>
      <c r="H91" s="1580">
        <f>IF(AND('Courses Valid'!C103=0,Courses!E97&lt;&gt;"",Courses!F97&gt;0,SUM(Courses!O97,Courses!P97)&gt;0),Courses!F97*SUM(Courses!O97,Courses!P97),0)</f>
        <v>0</v>
      </c>
      <c r="I91" s="41">
        <f>IF(AND('Courses Valid'!C103=0,Courses!G97&lt;&gt;"",Courses!H97&gt;0,SUM(Courses!O97,Courses!P97)&gt;0),Courses!H97*SUM(Courses!O97,Courses!P97),0)</f>
        <v>0</v>
      </c>
      <c r="J91" s="105">
        <f>IF(AND('Courses Valid'!C103=0,Courses!I97&lt;&gt;"",Courses!J97&gt;0,SUM(Courses!O97,Courses!P97)&gt;0),Courses!J97*SUM(Courses!O97,Courses!P97),0)</f>
        <v>0</v>
      </c>
      <c r="K91" s="1580">
        <f>IF(AND('Courses Valid'!C103=0,Courses!E97&lt;&gt;"",Courses!F97&gt;0,Courses!Q97&gt;0),Courses!F97*Courses!Q97,0)</f>
        <v>0</v>
      </c>
      <c r="L91" s="41">
        <f>IF(AND('Courses Valid'!C103=0,Courses!G97&lt;&gt;"",Courses!H97&gt;0,Courses!Q97&gt;0),Courses!H97*Courses!Q97,0)</f>
        <v>0</v>
      </c>
      <c r="M91" s="105">
        <f>IF(AND('Courses Valid'!C103=0,Courses!I97&lt;&gt;"",Courses!J97&gt;0,Courses!Q97&gt;0),Courses!J97*Courses!Q97,0)</f>
        <v>0</v>
      </c>
      <c r="N91" s="41">
        <f>IF(AND('Courses Valid'!C103=0,Courses!E97&lt;&gt;"",Courses!F97&gt;0,SUM(Courses!W97,Courses!X97)&gt;0),Courses!F97*SUM(Courses!W97,Courses!X97),0)</f>
        <v>0</v>
      </c>
      <c r="O91" s="41">
        <f>IF(AND('Courses Valid'!C103=0,Courses!G97&lt;&gt;"",Courses!H97&gt;0,SUM(Courses!W97,Courses!X97)&gt;0),Courses!H97*SUM(Courses!W97,Courses!X97),0)</f>
        <v>0</v>
      </c>
      <c r="P91" s="41">
        <f>IF(AND('Courses Valid'!C103=0,Courses!I97&lt;&gt;"",Courses!J97&gt;0,SUM(Courses!W97,Courses!X97)&gt;0),Courses!J97*SUM(Courses!W97,Courses!X97),0)</f>
        <v>0</v>
      </c>
      <c r="Q91" s="1580">
        <f>IF(AND('Courses Valid'!C103=0,Courses!E97&lt;&gt;"",Courses!F97&gt;0,SUM(Courses!Y97,Courses!Z97)&gt;0),Courses!F97*SUM(Courses!Y97,Courses!Z97),0)</f>
        <v>0</v>
      </c>
      <c r="R91" s="41">
        <f>IF(AND('Courses Valid'!C103=0,Courses!G97&lt;&gt;"",Courses!H97&gt;0,SUM(Courses!Y97,Courses!Z97)&gt;0),Courses!H97*SUM(Courses!Y97,Courses!Z97),0)</f>
        <v>0</v>
      </c>
      <c r="S91" s="105">
        <f>IF(AND('Courses Valid'!C103=0,Courses!I97&lt;&gt;"",Courses!J97&gt;0,SUM(Courses!Y97,Courses!Z97)&gt;0),Courses!J97*SUM(Courses!Y97,Courses!Z97),0)</f>
        <v>0</v>
      </c>
      <c r="T91" s="41">
        <f>IF(AND('Courses Valid'!C103=0,Courses!E97&lt;&gt;"",Courses!F97&gt;0,Courses!AA97&gt;0),Courses!F97*Courses!AA97,0)</f>
        <v>0</v>
      </c>
      <c r="U91" s="41">
        <f>IF(AND('Courses Valid'!C103=0,Courses!G97&lt;&gt;"",Courses!H97&gt;0,Courses!AA97&gt;0),Courses!H97*Courses!AA97,0)</f>
        <v>0</v>
      </c>
      <c r="V91" s="106">
        <f>IF(AND('Courses Valid'!C103=0,Courses!I97&lt;&gt;"",Courses!J97&gt;0,Courses!AA97&gt;0),Courses!J97*Courses!AA97,0)</f>
        <v>0</v>
      </c>
      <c r="W91" s="41"/>
    </row>
    <row r="92" spans="2:23" x14ac:dyDescent="0.35">
      <c r="B92" s="70" t="str">
        <f>IF(Courses!B98&lt;&gt;"",CONCATENATE(Courses!E98,"/",Courses!L98,"/",Courses!K98),"")</f>
        <v/>
      </c>
      <c r="C92" s="1579" t="str">
        <f>IF(AND(Courses!B98&lt;&gt;"",Courses!G98&lt;&gt;""),CONCATENATE(Courses!G98,"/",Courses!L98,"/",Courses!K98),"")</f>
        <v/>
      </c>
      <c r="D92" s="71" t="str">
        <f>IF(AND(Courses!B98&lt;&gt;"",Courses!I98&lt;&gt;""),CONCATENATE(Courses!I98,"/",Courses!L98,"/",Courses!K98),"")</f>
        <v/>
      </c>
      <c r="E92" s="1580">
        <f>IF(AND('Courses Valid'!C104=0,Courses!E98&lt;&gt;"",Courses!F98&gt;0,SUM(Courses!M98,Courses!N98)&gt;0),Courses!F98*SUM(Courses!M98,Courses!N98),0)</f>
        <v>0</v>
      </c>
      <c r="F92" s="41">
        <f>IF(AND('Courses Valid'!C104=0,Courses!G98&lt;&gt;"",Courses!H98&gt;0,SUM(Courses!M98,Courses!N98)&gt;0),Courses!H98*SUM(Courses!M98,Courses!N98),0)</f>
        <v>0</v>
      </c>
      <c r="G92" s="105">
        <f>IF(AND('Courses Valid'!C104=0,Courses!I98&lt;&gt;"",Courses!J98&gt;0,SUM(Courses!M98,Courses!N98)&gt;0),Courses!J98*SUM(Courses!M98,Courses!N98),0)</f>
        <v>0</v>
      </c>
      <c r="H92" s="1580">
        <f>IF(AND('Courses Valid'!C104=0,Courses!E98&lt;&gt;"",Courses!F98&gt;0,SUM(Courses!O98,Courses!P98)&gt;0),Courses!F98*SUM(Courses!O98,Courses!P98),0)</f>
        <v>0</v>
      </c>
      <c r="I92" s="41">
        <f>IF(AND('Courses Valid'!C104=0,Courses!G98&lt;&gt;"",Courses!H98&gt;0,SUM(Courses!O98,Courses!P98)&gt;0),Courses!H98*SUM(Courses!O98,Courses!P98),0)</f>
        <v>0</v>
      </c>
      <c r="J92" s="105">
        <f>IF(AND('Courses Valid'!C104=0,Courses!I98&lt;&gt;"",Courses!J98&gt;0,SUM(Courses!O98,Courses!P98)&gt;0),Courses!J98*SUM(Courses!O98,Courses!P98),0)</f>
        <v>0</v>
      </c>
      <c r="K92" s="1580">
        <f>IF(AND('Courses Valid'!C104=0,Courses!E98&lt;&gt;"",Courses!F98&gt;0,Courses!Q98&gt;0),Courses!F98*Courses!Q98,0)</f>
        <v>0</v>
      </c>
      <c r="L92" s="41">
        <f>IF(AND('Courses Valid'!C104=0,Courses!G98&lt;&gt;"",Courses!H98&gt;0,Courses!Q98&gt;0),Courses!H98*Courses!Q98,0)</f>
        <v>0</v>
      </c>
      <c r="M92" s="105">
        <f>IF(AND('Courses Valid'!C104=0,Courses!I98&lt;&gt;"",Courses!J98&gt;0,Courses!Q98&gt;0),Courses!J98*Courses!Q98,0)</f>
        <v>0</v>
      </c>
      <c r="N92" s="41">
        <f>IF(AND('Courses Valid'!C104=0,Courses!E98&lt;&gt;"",Courses!F98&gt;0,SUM(Courses!W98,Courses!X98)&gt;0),Courses!F98*SUM(Courses!W98,Courses!X98),0)</f>
        <v>0</v>
      </c>
      <c r="O92" s="41">
        <f>IF(AND('Courses Valid'!C104=0,Courses!G98&lt;&gt;"",Courses!H98&gt;0,SUM(Courses!W98,Courses!X98)&gt;0),Courses!H98*SUM(Courses!W98,Courses!X98),0)</f>
        <v>0</v>
      </c>
      <c r="P92" s="41">
        <f>IF(AND('Courses Valid'!C104=0,Courses!I98&lt;&gt;"",Courses!J98&gt;0,SUM(Courses!W98,Courses!X98)&gt;0),Courses!J98*SUM(Courses!W98,Courses!X98),0)</f>
        <v>0</v>
      </c>
      <c r="Q92" s="1580">
        <f>IF(AND('Courses Valid'!C104=0,Courses!E98&lt;&gt;"",Courses!F98&gt;0,SUM(Courses!Y98,Courses!Z98)&gt;0),Courses!F98*SUM(Courses!Y98,Courses!Z98),0)</f>
        <v>0</v>
      </c>
      <c r="R92" s="41">
        <f>IF(AND('Courses Valid'!C104=0,Courses!G98&lt;&gt;"",Courses!H98&gt;0,SUM(Courses!Y98,Courses!Z98)&gt;0),Courses!H98*SUM(Courses!Y98,Courses!Z98),0)</f>
        <v>0</v>
      </c>
      <c r="S92" s="105">
        <f>IF(AND('Courses Valid'!C104=0,Courses!I98&lt;&gt;"",Courses!J98&gt;0,SUM(Courses!Y98,Courses!Z98)&gt;0),Courses!J98*SUM(Courses!Y98,Courses!Z98),0)</f>
        <v>0</v>
      </c>
      <c r="T92" s="41">
        <f>IF(AND('Courses Valid'!C104=0,Courses!E98&lt;&gt;"",Courses!F98&gt;0,Courses!AA98&gt;0),Courses!F98*Courses!AA98,0)</f>
        <v>0</v>
      </c>
      <c r="U92" s="41">
        <f>IF(AND('Courses Valid'!C104=0,Courses!G98&lt;&gt;"",Courses!H98&gt;0,Courses!AA98&gt;0),Courses!H98*Courses!AA98,0)</f>
        <v>0</v>
      </c>
      <c r="V92" s="106">
        <f>IF(AND('Courses Valid'!C104=0,Courses!I98&lt;&gt;"",Courses!J98&gt;0,Courses!AA98&gt;0),Courses!J98*Courses!AA98,0)</f>
        <v>0</v>
      </c>
      <c r="W92" s="41"/>
    </row>
    <row r="93" spans="2:23" x14ac:dyDescent="0.35">
      <c r="B93" s="70" t="str">
        <f>IF(Courses!B99&lt;&gt;"",CONCATENATE(Courses!E99,"/",Courses!L99,"/",Courses!K99),"")</f>
        <v/>
      </c>
      <c r="C93" s="1579" t="str">
        <f>IF(AND(Courses!B99&lt;&gt;"",Courses!G99&lt;&gt;""),CONCATENATE(Courses!G99,"/",Courses!L99,"/",Courses!K99),"")</f>
        <v/>
      </c>
      <c r="D93" s="71" t="str">
        <f>IF(AND(Courses!B99&lt;&gt;"",Courses!I99&lt;&gt;""),CONCATENATE(Courses!I99,"/",Courses!L99,"/",Courses!K99),"")</f>
        <v/>
      </c>
      <c r="E93" s="1580">
        <f>IF(AND('Courses Valid'!C105=0,Courses!E99&lt;&gt;"",Courses!F99&gt;0,SUM(Courses!M99,Courses!N99)&gt;0),Courses!F99*SUM(Courses!M99,Courses!N99),0)</f>
        <v>0</v>
      </c>
      <c r="F93" s="41">
        <f>IF(AND('Courses Valid'!C105=0,Courses!G99&lt;&gt;"",Courses!H99&gt;0,SUM(Courses!M99,Courses!N99)&gt;0),Courses!H99*SUM(Courses!M99,Courses!N99),0)</f>
        <v>0</v>
      </c>
      <c r="G93" s="105">
        <f>IF(AND('Courses Valid'!C105=0,Courses!I99&lt;&gt;"",Courses!J99&gt;0,SUM(Courses!M99,Courses!N99)&gt;0),Courses!J99*SUM(Courses!M99,Courses!N99),0)</f>
        <v>0</v>
      </c>
      <c r="H93" s="1580">
        <f>IF(AND('Courses Valid'!C105=0,Courses!E99&lt;&gt;"",Courses!F99&gt;0,SUM(Courses!O99,Courses!P99)&gt;0),Courses!F99*SUM(Courses!O99,Courses!P99),0)</f>
        <v>0</v>
      </c>
      <c r="I93" s="41">
        <f>IF(AND('Courses Valid'!C105=0,Courses!G99&lt;&gt;"",Courses!H99&gt;0,SUM(Courses!O99,Courses!P99)&gt;0),Courses!H99*SUM(Courses!O99,Courses!P99),0)</f>
        <v>0</v>
      </c>
      <c r="J93" s="105">
        <f>IF(AND('Courses Valid'!C105=0,Courses!I99&lt;&gt;"",Courses!J99&gt;0,SUM(Courses!O99,Courses!P99)&gt;0),Courses!J99*SUM(Courses!O99,Courses!P99),0)</f>
        <v>0</v>
      </c>
      <c r="K93" s="1580">
        <f>IF(AND('Courses Valid'!C105=0,Courses!E99&lt;&gt;"",Courses!F99&gt;0,Courses!Q99&gt;0),Courses!F99*Courses!Q99,0)</f>
        <v>0</v>
      </c>
      <c r="L93" s="41">
        <f>IF(AND('Courses Valid'!C105=0,Courses!G99&lt;&gt;"",Courses!H99&gt;0,Courses!Q99&gt;0),Courses!H99*Courses!Q99,0)</f>
        <v>0</v>
      </c>
      <c r="M93" s="105">
        <f>IF(AND('Courses Valid'!C105=0,Courses!I99&lt;&gt;"",Courses!J99&gt;0,Courses!Q99&gt;0),Courses!J99*Courses!Q99,0)</f>
        <v>0</v>
      </c>
      <c r="N93" s="41">
        <f>IF(AND('Courses Valid'!C105=0,Courses!E99&lt;&gt;"",Courses!F99&gt;0,SUM(Courses!W99,Courses!X99)&gt;0),Courses!F99*SUM(Courses!W99,Courses!X99),0)</f>
        <v>0</v>
      </c>
      <c r="O93" s="41">
        <f>IF(AND('Courses Valid'!C105=0,Courses!G99&lt;&gt;"",Courses!H99&gt;0,SUM(Courses!W99,Courses!X99)&gt;0),Courses!H99*SUM(Courses!W99,Courses!X99),0)</f>
        <v>0</v>
      </c>
      <c r="P93" s="41">
        <f>IF(AND('Courses Valid'!C105=0,Courses!I99&lt;&gt;"",Courses!J99&gt;0,SUM(Courses!W99,Courses!X99)&gt;0),Courses!J99*SUM(Courses!W99,Courses!X99),0)</f>
        <v>0</v>
      </c>
      <c r="Q93" s="1580">
        <f>IF(AND('Courses Valid'!C105=0,Courses!E99&lt;&gt;"",Courses!F99&gt;0,SUM(Courses!Y99,Courses!Z99)&gt;0),Courses!F99*SUM(Courses!Y99,Courses!Z99),0)</f>
        <v>0</v>
      </c>
      <c r="R93" s="41">
        <f>IF(AND('Courses Valid'!C105=0,Courses!G99&lt;&gt;"",Courses!H99&gt;0,SUM(Courses!Y99,Courses!Z99)&gt;0),Courses!H99*SUM(Courses!Y99,Courses!Z99),0)</f>
        <v>0</v>
      </c>
      <c r="S93" s="105">
        <f>IF(AND('Courses Valid'!C105=0,Courses!I99&lt;&gt;"",Courses!J99&gt;0,SUM(Courses!Y99,Courses!Z99)&gt;0),Courses!J99*SUM(Courses!Y99,Courses!Z99),0)</f>
        <v>0</v>
      </c>
      <c r="T93" s="41">
        <f>IF(AND('Courses Valid'!C105=0,Courses!E99&lt;&gt;"",Courses!F99&gt;0,Courses!AA99&gt;0),Courses!F99*Courses!AA99,0)</f>
        <v>0</v>
      </c>
      <c r="U93" s="41">
        <f>IF(AND('Courses Valid'!C105=0,Courses!G99&lt;&gt;"",Courses!H99&gt;0,Courses!AA99&gt;0),Courses!H99*Courses!AA99,0)</f>
        <v>0</v>
      </c>
      <c r="V93" s="106">
        <f>IF(AND('Courses Valid'!C105=0,Courses!I99&lt;&gt;"",Courses!J99&gt;0,Courses!AA99&gt;0),Courses!J99*Courses!AA99,0)</f>
        <v>0</v>
      </c>
      <c r="W93" s="41"/>
    </row>
    <row r="94" spans="2:23" x14ac:dyDescent="0.35">
      <c r="B94" s="70" t="str">
        <f>IF(Courses!B100&lt;&gt;"",CONCATENATE(Courses!E100,"/",Courses!L100,"/",Courses!K100),"")</f>
        <v/>
      </c>
      <c r="C94" s="1579" t="str">
        <f>IF(AND(Courses!B100&lt;&gt;"",Courses!G100&lt;&gt;""),CONCATENATE(Courses!G100,"/",Courses!L100,"/",Courses!K100),"")</f>
        <v/>
      </c>
      <c r="D94" s="71" t="str">
        <f>IF(AND(Courses!B100&lt;&gt;"",Courses!I100&lt;&gt;""),CONCATENATE(Courses!I100,"/",Courses!L100,"/",Courses!K100),"")</f>
        <v/>
      </c>
      <c r="E94" s="1580">
        <f>IF(AND('Courses Valid'!C106=0,Courses!E100&lt;&gt;"",Courses!F100&gt;0,SUM(Courses!M100,Courses!N100)&gt;0),Courses!F100*SUM(Courses!M100,Courses!N100),0)</f>
        <v>0</v>
      </c>
      <c r="F94" s="41">
        <f>IF(AND('Courses Valid'!C106=0,Courses!G100&lt;&gt;"",Courses!H100&gt;0,SUM(Courses!M100,Courses!N100)&gt;0),Courses!H100*SUM(Courses!M100,Courses!N100),0)</f>
        <v>0</v>
      </c>
      <c r="G94" s="105">
        <f>IF(AND('Courses Valid'!C106=0,Courses!I100&lt;&gt;"",Courses!J100&gt;0,SUM(Courses!M100,Courses!N100)&gt;0),Courses!J100*SUM(Courses!M100,Courses!N100),0)</f>
        <v>0</v>
      </c>
      <c r="H94" s="1580">
        <f>IF(AND('Courses Valid'!C106=0,Courses!E100&lt;&gt;"",Courses!F100&gt;0,SUM(Courses!O100,Courses!P100)&gt;0),Courses!F100*SUM(Courses!O100,Courses!P100),0)</f>
        <v>0</v>
      </c>
      <c r="I94" s="41">
        <f>IF(AND('Courses Valid'!C106=0,Courses!G100&lt;&gt;"",Courses!H100&gt;0,SUM(Courses!O100,Courses!P100)&gt;0),Courses!H100*SUM(Courses!O100,Courses!P100),0)</f>
        <v>0</v>
      </c>
      <c r="J94" s="105">
        <f>IF(AND('Courses Valid'!C106=0,Courses!I100&lt;&gt;"",Courses!J100&gt;0,SUM(Courses!O100,Courses!P100)&gt;0),Courses!J100*SUM(Courses!O100,Courses!P100),0)</f>
        <v>0</v>
      </c>
      <c r="K94" s="1580">
        <f>IF(AND('Courses Valid'!C106=0,Courses!E100&lt;&gt;"",Courses!F100&gt;0,Courses!Q100&gt;0),Courses!F100*Courses!Q100,0)</f>
        <v>0</v>
      </c>
      <c r="L94" s="41">
        <f>IF(AND('Courses Valid'!C106=0,Courses!G100&lt;&gt;"",Courses!H100&gt;0,Courses!Q100&gt;0),Courses!H100*Courses!Q100,0)</f>
        <v>0</v>
      </c>
      <c r="M94" s="105">
        <f>IF(AND('Courses Valid'!C106=0,Courses!I100&lt;&gt;"",Courses!J100&gt;0,Courses!Q100&gt;0),Courses!J100*Courses!Q100,0)</f>
        <v>0</v>
      </c>
      <c r="N94" s="41">
        <f>IF(AND('Courses Valid'!C106=0,Courses!E100&lt;&gt;"",Courses!F100&gt;0,SUM(Courses!W100,Courses!X100)&gt;0),Courses!F100*SUM(Courses!W100,Courses!X100),0)</f>
        <v>0</v>
      </c>
      <c r="O94" s="41">
        <f>IF(AND('Courses Valid'!C106=0,Courses!G100&lt;&gt;"",Courses!H100&gt;0,SUM(Courses!W100,Courses!X100)&gt;0),Courses!H100*SUM(Courses!W100,Courses!X100),0)</f>
        <v>0</v>
      </c>
      <c r="P94" s="41">
        <f>IF(AND('Courses Valid'!C106=0,Courses!I100&lt;&gt;"",Courses!J100&gt;0,SUM(Courses!W100,Courses!X100)&gt;0),Courses!J100*SUM(Courses!W100,Courses!X100),0)</f>
        <v>0</v>
      </c>
      <c r="Q94" s="1580">
        <f>IF(AND('Courses Valid'!C106=0,Courses!E100&lt;&gt;"",Courses!F100&gt;0,SUM(Courses!Y100,Courses!Z100)&gt;0),Courses!F100*SUM(Courses!Y100,Courses!Z100),0)</f>
        <v>0</v>
      </c>
      <c r="R94" s="41">
        <f>IF(AND('Courses Valid'!C106=0,Courses!G100&lt;&gt;"",Courses!H100&gt;0,SUM(Courses!Y100,Courses!Z100)&gt;0),Courses!H100*SUM(Courses!Y100,Courses!Z100),0)</f>
        <v>0</v>
      </c>
      <c r="S94" s="105">
        <f>IF(AND('Courses Valid'!C106=0,Courses!I100&lt;&gt;"",Courses!J100&gt;0,SUM(Courses!Y100,Courses!Z100)&gt;0),Courses!J100*SUM(Courses!Y100,Courses!Z100),0)</f>
        <v>0</v>
      </c>
      <c r="T94" s="41">
        <f>IF(AND('Courses Valid'!C106=0,Courses!E100&lt;&gt;"",Courses!F100&gt;0,Courses!AA100&gt;0),Courses!F100*Courses!AA100,0)</f>
        <v>0</v>
      </c>
      <c r="U94" s="41">
        <f>IF(AND('Courses Valid'!C106=0,Courses!G100&lt;&gt;"",Courses!H100&gt;0,Courses!AA100&gt;0),Courses!H100*Courses!AA100,0)</f>
        <v>0</v>
      </c>
      <c r="V94" s="106">
        <f>IF(AND('Courses Valid'!C106=0,Courses!I100&lt;&gt;"",Courses!J100&gt;0,Courses!AA100&gt;0),Courses!J100*Courses!AA100,0)</f>
        <v>0</v>
      </c>
      <c r="W94" s="41"/>
    </row>
    <row r="95" spans="2:23" x14ac:dyDescent="0.35">
      <c r="B95" s="70" t="str">
        <f>IF(Courses!B101&lt;&gt;"",CONCATENATE(Courses!E101,"/",Courses!L101,"/",Courses!K101),"")</f>
        <v/>
      </c>
      <c r="C95" s="1579" t="str">
        <f>IF(AND(Courses!B101&lt;&gt;"",Courses!G101&lt;&gt;""),CONCATENATE(Courses!G101,"/",Courses!L101,"/",Courses!K101),"")</f>
        <v/>
      </c>
      <c r="D95" s="71" t="str">
        <f>IF(AND(Courses!B101&lt;&gt;"",Courses!I101&lt;&gt;""),CONCATENATE(Courses!I101,"/",Courses!L101,"/",Courses!K101),"")</f>
        <v/>
      </c>
      <c r="E95" s="1580">
        <f>IF(AND('Courses Valid'!C107=0,Courses!E101&lt;&gt;"",Courses!F101&gt;0,SUM(Courses!M101,Courses!N101)&gt;0),Courses!F101*SUM(Courses!M101,Courses!N101),0)</f>
        <v>0</v>
      </c>
      <c r="F95" s="41">
        <f>IF(AND('Courses Valid'!C107=0,Courses!G101&lt;&gt;"",Courses!H101&gt;0,SUM(Courses!M101,Courses!N101)&gt;0),Courses!H101*SUM(Courses!M101,Courses!N101),0)</f>
        <v>0</v>
      </c>
      <c r="G95" s="105">
        <f>IF(AND('Courses Valid'!C107=0,Courses!I101&lt;&gt;"",Courses!J101&gt;0,SUM(Courses!M101,Courses!N101)&gt;0),Courses!J101*SUM(Courses!M101,Courses!N101),0)</f>
        <v>0</v>
      </c>
      <c r="H95" s="1580">
        <f>IF(AND('Courses Valid'!C107=0,Courses!E101&lt;&gt;"",Courses!F101&gt;0,SUM(Courses!O101,Courses!P101)&gt;0),Courses!F101*SUM(Courses!O101,Courses!P101),0)</f>
        <v>0</v>
      </c>
      <c r="I95" s="41">
        <f>IF(AND('Courses Valid'!C107=0,Courses!G101&lt;&gt;"",Courses!H101&gt;0,SUM(Courses!O101,Courses!P101)&gt;0),Courses!H101*SUM(Courses!O101,Courses!P101),0)</f>
        <v>0</v>
      </c>
      <c r="J95" s="105">
        <f>IF(AND('Courses Valid'!C107=0,Courses!I101&lt;&gt;"",Courses!J101&gt;0,SUM(Courses!O101,Courses!P101)&gt;0),Courses!J101*SUM(Courses!O101,Courses!P101),0)</f>
        <v>0</v>
      </c>
      <c r="K95" s="1580">
        <f>IF(AND('Courses Valid'!C107=0,Courses!E101&lt;&gt;"",Courses!F101&gt;0,Courses!Q101&gt;0),Courses!F101*Courses!Q101,0)</f>
        <v>0</v>
      </c>
      <c r="L95" s="41">
        <f>IF(AND('Courses Valid'!C107=0,Courses!G101&lt;&gt;"",Courses!H101&gt;0,Courses!Q101&gt;0),Courses!H101*Courses!Q101,0)</f>
        <v>0</v>
      </c>
      <c r="M95" s="105">
        <f>IF(AND('Courses Valid'!C107=0,Courses!I101&lt;&gt;"",Courses!J101&gt;0,Courses!Q101&gt;0),Courses!J101*Courses!Q101,0)</f>
        <v>0</v>
      </c>
      <c r="N95" s="41">
        <f>IF(AND('Courses Valid'!C107=0,Courses!E101&lt;&gt;"",Courses!F101&gt;0,SUM(Courses!W101,Courses!X101)&gt;0),Courses!F101*SUM(Courses!W101,Courses!X101),0)</f>
        <v>0</v>
      </c>
      <c r="O95" s="41">
        <f>IF(AND('Courses Valid'!C107=0,Courses!G101&lt;&gt;"",Courses!H101&gt;0,SUM(Courses!W101,Courses!X101)&gt;0),Courses!H101*SUM(Courses!W101,Courses!X101),0)</f>
        <v>0</v>
      </c>
      <c r="P95" s="41">
        <f>IF(AND('Courses Valid'!C107=0,Courses!I101&lt;&gt;"",Courses!J101&gt;0,SUM(Courses!W101,Courses!X101)&gt;0),Courses!J101*SUM(Courses!W101,Courses!X101),0)</f>
        <v>0</v>
      </c>
      <c r="Q95" s="1580">
        <f>IF(AND('Courses Valid'!C107=0,Courses!E101&lt;&gt;"",Courses!F101&gt;0,SUM(Courses!Y101,Courses!Z101)&gt;0),Courses!F101*SUM(Courses!Y101,Courses!Z101),0)</f>
        <v>0</v>
      </c>
      <c r="R95" s="41">
        <f>IF(AND('Courses Valid'!C107=0,Courses!G101&lt;&gt;"",Courses!H101&gt;0,SUM(Courses!Y101,Courses!Z101)&gt;0),Courses!H101*SUM(Courses!Y101,Courses!Z101),0)</f>
        <v>0</v>
      </c>
      <c r="S95" s="105">
        <f>IF(AND('Courses Valid'!C107=0,Courses!I101&lt;&gt;"",Courses!J101&gt;0,SUM(Courses!Y101,Courses!Z101)&gt;0),Courses!J101*SUM(Courses!Y101,Courses!Z101),0)</f>
        <v>0</v>
      </c>
      <c r="T95" s="41">
        <f>IF(AND('Courses Valid'!C107=0,Courses!E101&lt;&gt;"",Courses!F101&gt;0,Courses!AA101&gt;0),Courses!F101*Courses!AA101,0)</f>
        <v>0</v>
      </c>
      <c r="U95" s="41">
        <f>IF(AND('Courses Valid'!C107=0,Courses!G101&lt;&gt;"",Courses!H101&gt;0,Courses!AA101&gt;0),Courses!H101*Courses!AA101,0)</f>
        <v>0</v>
      </c>
      <c r="V95" s="106">
        <f>IF(AND('Courses Valid'!C107=0,Courses!I101&lt;&gt;"",Courses!J101&gt;0,Courses!AA101&gt;0),Courses!J101*Courses!AA101,0)</f>
        <v>0</v>
      </c>
      <c r="W95" s="41"/>
    </row>
    <row r="96" spans="2:23" x14ac:dyDescent="0.35">
      <c r="B96" s="70" t="str">
        <f>IF(Courses!B102&lt;&gt;"",CONCATENATE(Courses!E102,"/",Courses!L102,"/",Courses!K102),"")</f>
        <v/>
      </c>
      <c r="C96" s="1579" t="str">
        <f>IF(AND(Courses!B102&lt;&gt;"",Courses!G102&lt;&gt;""),CONCATENATE(Courses!G102,"/",Courses!L102,"/",Courses!K102),"")</f>
        <v/>
      </c>
      <c r="D96" s="71" t="str">
        <f>IF(AND(Courses!B102&lt;&gt;"",Courses!I102&lt;&gt;""),CONCATENATE(Courses!I102,"/",Courses!L102,"/",Courses!K102),"")</f>
        <v/>
      </c>
      <c r="E96" s="1580">
        <f>IF(AND('Courses Valid'!C108=0,Courses!E102&lt;&gt;"",Courses!F102&gt;0,SUM(Courses!M102,Courses!N102)&gt;0),Courses!F102*SUM(Courses!M102,Courses!N102),0)</f>
        <v>0</v>
      </c>
      <c r="F96" s="41">
        <f>IF(AND('Courses Valid'!C108=0,Courses!G102&lt;&gt;"",Courses!H102&gt;0,SUM(Courses!M102,Courses!N102)&gt;0),Courses!H102*SUM(Courses!M102,Courses!N102),0)</f>
        <v>0</v>
      </c>
      <c r="G96" s="105">
        <f>IF(AND('Courses Valid'!C108=0,Courses!I102&lt;&gt;"",Courses!J102&gt;0,SUM(Courses!M102,Courses!N102)&gt;0),Courses!J102*SUM(Courses!M102,Courses!N102),0)</f>
        <v>0</v>
      </c>
      <c r="H96" s="1580">
        <f>IF(AND('Courses Valid'!C108=0,Courses!E102&lt;&gt;"",Courses!F102&gt;0,SUM(Courses!O102,Courses!P102)&gt;0),Courses!F102*SUM(Courses!O102,Courses!P102),0)</f>
        <v>0</v>
      </c>
      <c r="I96" s="41">
        <f>IF(AND('Courses Valid'!C108=0,Courses!G102&lt;&gt;"",Courses!H102&gt;0,SUM(Courses!O102,Courses!P102)&gt;0),Courses!H102*SUM(Courses!O102,Courses!P102),0)</f>
        <v>0</v>
      </c>
      <c r="J96" s="105">
        <f>IF(AND('Courses Valid'!C108=0,Courses!I102&lt;&gt;"",Courses!J102&gt;0,SUM(Courses!O102,Courses!P102)&gt;0),Courses!J102*SUM(Courses!O102,Courses!P102),0)</f>
        <v>0</v>
      </c>
      <c r="K96" s="1580">
        <f>IF(AND('Courses Valid'!C108=0,Courses!E102&lt;&gt;"",Courses!F102&gt;0,Courses!Q102&gt;0),Courses!F102*Courses!Q102,0)</f>
        <v>0</v>
      </c>
      <c r="L96" s="41">
        <f>IF(AND('Courses Valid'!C108=0,Courses!G102&lt;&gt;"",Courses!H102&gt;0,Courses!Q102&gt;0),Courses!H102*Courses!Q102,0)</f>
        <v>0</v>
      </c>
      <c r="M96" s="105">
        <f>IF(AND('Courses Valid'!C108=0,Courses!I102&lt;&gt;"",Courses!J102&gt;0,Courses!Q102&gt;0),Courses!J102*Courses!Q102,0)</f>
        <v>0</v>
      </c>
      <c r="N96" s="41">
        <f>IF(AND('Courses Valid'!C108=0,Courses!E102&lt;&gt;"",Courses!F102&gt;0,SUM(Courses!W102,Courses!X102)&gt;0),Courses!F102*SUM(Courses!W102,Courses!X102),0)</f>
        <v>0</v>
      </c>
      <c r="O96" s="41">
        <f>IF(AND('Courses Valid'!C108=0,Courses!G102&lt;&gt;"",Courses!H102&gt;0,SUM(Courses!W102,Courses!X102)&gt;0),Courses!H102*SUM(Courses!W102,Courses!X102),0)</f>
        <v>0</v>
      </c>
      <c r="P96" s="41">
        <f>IF(AND('Courses Valid'!C108=0,Courses!I102&lt;&gt;"",Courses!J102&gt;0,SUM(Courses!W102,Courses!X102)&gt;0),Courses!J102*SUM(Courses!W102,Courses!X102),0)</f>
        <v>0</v>
      </c>
      <c r="Q96" s="1580">
        <f>IF(AND('Courses Valid'!C108=0,Courses!E102&lt;&gt;"",Courses!F102&gt;0,SUM(Courses!Y102,Courses!Z102)&gt;0),Courses!F102*SUM(Courses!Y102,Courses!Z102),0)</f>
        <v>0</v>
      </c>
      <c r="R96" s="41">
        <f>IF(AND('Courses Valid'!C108=0,Courses!G102&lt;&gt;"",Courses!H102&gt;0,SUM(Courses!Y102,Courses!Z102)&gt;0),Courses!H102*SUM(Courses!Y102,Courses!Z102),0)</f>
        <v>0</v>
      </c>
      <c r="S96" s="105">
        <f>IF(AND('Courses Valid'!C108=0,Courses!I102&lt;&gt;"",Courses!J102&gt;0,SUM(Courses!Y102,Courses!Z102)&gt;0),Courses!J102*SUM(Courses!Y102,Courses!Z102),0)</f>
        <v>0</v>
      </c>
      <c r="T96" s="41">
        <f>IF(AND('Courses Valid'!C108=0,Courses!E102&lt;&gt;"",Courses!F102&gt;0,Courses!AA102&gt;0),Courses!F102*Courses!AA102,0)</f>
        <v>0</v>
      </c>
      <c r="U96" s="41">
        <f>IF(AND('Courses Valid'!C108=0,Courses!G102&lt;&gt;"",Courses!H102&gt;0,Courses!AA102&gt;0),Courses!H102*Courses!AA102,0)</f>
        <v>0</v>
      </c>
      <c r="V96" s="106">
        <f>IF(AND('Courses Valid'!C108=0,Courses!I102&lt;&gt;"",Courses!J102&gt;0,Courses!AA102&gt;0),Courses!J102*Courses!AA102,0)</f>
        <v>0</v>
      </c>
      <c r="W96" s="41"/>
    </row>
    <row r="97" spans="2:23" x14ac:dyDescent="0.35">
      <c r="B97" s="70" t="str">
        <f>IF(Courses!B103&lt;&gt;"",CONCATENATE(Courses!E103,"/",Courses!L103,"/",Courses!K103),"")</f>
        <v/>
      </c>
      <c r="C97" s="1579" t="str">
        <f>IF(AND(Courses!B103&lt;&gt;"",Courses!G103&lt;&gt;""),CONCATENATE(Courses!G103,"/",Courses!L103,"/",Courses!K103),"")</f>
        <v/>
      </c>
      <c r="D97" s="71" t="str">
        <f>IF(AND(Courses!B103&lt;&gt;"",Courses!I103&lt;&gt;""),CONCATENATE(Courses!I103,"/",Courses!L103,"/",Courses!K103),"")</f>
        <v/>
      </c>
      <c r="E97" s="1580">
        <f>IF(AND('Courses Valid'!C109=0,Courses!E103&lt;&gt;"",Courses!F103&gt;0,SUM(Courses!M103,Courses!N103)&gt;0),Courses!F103*SUM(Courses!M103,Courses!N103),0)</f>
        <v>0</v>
      </c>
      <c r="F97" s="41">
        <f>IF(AND('Courses Valid'!C109=0,Courses!G103&lt;&gt;"",Courses!H103&gt;0,SUM(Courses!M103,Courses!N103)&gt;0),Courses!H103*SUM(Courses!M103,Courses!N103),0)</f>
        <v>0</v>
      </c>
      <c r="G97" s="105">
        <f>IF(AND('Courses Valid'!C109=0,Courses!I103&lt;&gt;"",Courses!J103&gt;0,SUM(Courses!M103,Courses!N103)&gt;0),Courses!J103*SUM(Courses!M103,Courses!N103),0)</f>
        <v>0</v>
      </c>
      <c r="H97" s="1580">
        <f>IF(AND('Courses Valid'!C109=0,Courses!E103&lt;&gt;"",Courses!F103&gt;0,SUM(Courses!O103,Courses!P103)&gt;0),Courses!F103*SUM(Courses!O103,Courses!P103),0)</f>
        <v>0</v>
      </c>
      <c r="I97" s="41">
        <f>IF(AND('Courses Valid'!C109=0,Courses!G103&lt;&gt;"",Courses!H103&gt;0,SUM(Courses!O103,Courses!P103)&gt;0),Courses!H103*SUM(Courses!O103,Courses!P103),0)</f>
        <v>0</v>
      </c>
      <c r="J97" s="105">
        <f>IF(AND('Courses Valid'!C109=0,Courses!I103&lt;&gt;"",Courses!J103&gt;0,SUM(Courses!O103,Courses!P103)&gt;0),Courses!J103*SUM(Courses!O103,Courses!P103),0)</f>
        <v>0</v>
      </c>
      <c r="K97" s="1580">
        <f>IF(AND('Courses Valid'!C109=0,Courses!E103&lt;&gt;"",Courses!F103&gt;0,Courses!Q103&gt;0),Courses!F103*Courses!Q103,0)</f>
        <v>0</v>
      </c>
      <c r="L97" s="41">
        <f>IF(AND('Courses Valid'!C109=0,Courses!G103&lt;&gt;"",Courses!H103&gt;0,Courses!Q103&gt;0),Courses!H103*Courses!Q103,0)</f>
        <v>0</v>
      </c>
      <c r="M97" s="105">
        <f>IF(AND('Courses Valid'!C109=0,Courses!I103&lt;&gt;"",Courses!J103&gt;0,Courses!Q103&gt;0),Courses!J103*Courses!Q103,0)</f>
        <v>0</v>
      </c>
      <c r="N97" s="41">
        <f>IF(AND('Courses Valid'!C109=0,Courses!E103&lt;&gt;"",Courses!F103&gt;0,SUM(Courses!W103,Courses!X103)&gt;0),Courses!F103*SUM(Courses!W103,Courses!X103),0)</f>
        <v>0</v>
      </c>
      <c r="O97" s="41">
        <f>IF(AND('Courses Valid'!C109=0,Courses!G103&lt;&gt;"",Courses!H103&gt;0,SUM(Courses!W103,Courses!X103)&gt;0),Courses!H103*SUM(Courses!W103,Courses!X103),0)</f>
        <v>0</v>
      </c>
      <c r="P97" s="41">
        <f>IF(AND('Courses Valid'!C109=0,Courses!I103&lt;&gt;"",Courses!J103&gt;0,SUM(Courses!W103,Courses!X103)&gt;0),Courses!J103*SUM(Courses!W103,Courses!X103),0)</f>
        <v>0</v>
      </c>
      <c r="Q97" s="1580">
        <f>IF(AND('Courses Valid'!C109=0,Courses!E103&lt;&gt;"",Courses!F103&gt;0,SUM(Courses!Y103,Courses!Z103)&gt;0),Courses!F103*SUM(Courses!Y103,Courses!Z103),0)</f>
        <v>0</v>
      </c>
      <c r="R97" s="41">
        <f>IF(AND('Courses Valid'!C109=0,Courses!G103&lt;&gt;"",Courses!H103&gt;0,SUM(Courses!Y103,Courses!Z103)&gt;0),Courses!H103*SUM(Courses!Y103,Courses!Z103),0)</f>
        <v>0</v>
      </c>
      <c r="S97" s="105">
        <f>IF(AND('Courses Valid'!C109=0,Courses!I103&lt;&gt;"",Courses!J103&gt;0,SUM(Courses!Y103,Courses!Z103)&gt;0),Courses!J103*SUM(Courses!Y103,Courses!Z103),0)</f>
        <v>0</v>
      </c>
      <c r="T97" s="41">
        <f>IF(AND('Courses Valid'!C109=0,Courses!E103&lt;&gt;"",Courses!F103&gt;0,Courses!AA103&gt;0),Courses!F103*Courses!AA103,0)</f>
        <v>0</v>
      </c>
      <c r="U97" s="41">
        <f>IF(AND('Courses Valid'!C109=0,Courses!G103&lt;&gt;"",Courses!H103&gt;0,Courses!AA103&gt;0),Courses!H103*Courses!AA103,0)</f>
        <v>0</v>
      </c>
      <c r="V97" s="106">
        <f>IF(AND('Courses Valid'!C109=0,Courses!I103&lt;&gt;"",Courses!J103&gt;0,Courses!AA103&gt;0),Courses!J103*Courses!AA103,0)</f>
        <v>0</v>
      </c>
      <c r="W97" s="41"/>
    </row>
    <row r="98" spans="2:23" x14ac:dyDescent="0.35">
      <c r="B98" s="70" t="str">
        <f>IF(Courses!B104&lt;&gt;"",CONCATENATE(Courses!E104,"/",Courses!L104,"/",Courses!K104),"")</f>
        <v/>
      </c>
      <c r="C98" s="1579" t="str">
        <f>IF(AND(Courses!B104&lt;&gt;"",Courses!G104&lt;&gt;""),CONCATENATE(Courses!G104,"/",Courses!L104,"/",Courses!K104),"")</f>
        <v/>
      </c>
      <c r="D98" s="71" t="str">
        <f>IF(AND(Courses!B104&lt;&gt;"",Courses!I104&lt;&gt;""),CONCATENATE(Courses!I104,"/",Courses!L104,"/",Courses!K104),"")</f>
        <v/>
      </c>
      <c r="E98" s="1580">
        <f>IF(AND('Courses Valid'!C110=0,Courses!E104&lt;&gt;"",Courses!F104&gt;0,SUM(Courses!M104,Courses!N104)&gt;0),Courses!F104*SUM(Courses!M104,Courses!N104),0)</f>
        <v>0</v>
      </c>
      <c r="F98" s="41">
        <f>IF(AND('Courses Valid'!C110=0,Courses!G104&lt;&gt;"",Courses!H104&gt;0,SUM(Courses!M104,Courses!N104)&gt;0),Courses!H104*SUM(Courses!M104,Courses!N104),0)</f>
        <v>0</v>
      </c>
      <c r="G98" s="105">
        <f>IF(AND('Courses Valid'!C110=0,Courses!I104&lt;&gt;"",Courses!J104&gt;0,SUM(Courses!M104,Courses!N104)&gt;0),Courses!J104*SUM(Courses!M104,Courses!N104),0)</f>
        <v>0</v>
      </c>
      <c r="H98" s="1580">
        <f>IF(AND('Courses Valid'!C110=0,Courses!E104&lt;&gt;"",Courses!F104&gt;0,SUM(Courses!O104,Courses!P104)&gt;0),Courses!F104*SUM(Courses!O104,Courses!P104),0)</f>
        <v>0</v>
      </c>
      <c r="I98" s="41">
        <f>IF(AND('Courses Valid'!C110=0,Courses!G104&lt;&gt;"",Courses!H104&gt;0,SUM(Courses!O104,Courses!P104)&gt;0),Courses!H104*SUM(Courses!O104,Courses!P104),0)</f>
        <v>0</v>
      </c>
      <c r="J98" s="105">
        <f>IF(AND('Courses Valid'!C110=0,Courses!I104&lt;&gt;"",Courses!J104&gt;0,SUM(Courses!O104,Courses!P104)&gt;0),Courses!J104*SUM(Courses!O104,Courses!P104),0)</f>
        <v>0</v>
      </c>
      <c r="K98" s="1580">
        <f>IF(AND('Courses Valid'!C110=0,Courses!E104&lt;&gt;"",Courses!F104&gt;0,Courses!Q104&gt;0),Courses!F104*Courses!Q104,0)</f>
        <v>0</v>
      </c>
      <c r="L98" s="41">
        <f>IF(AND('Courses Valid'!C110=0,Courses!G104&lt;&gt;"",Courses!H104&gt;0,Courses!Q104&gt;0),Courses!H104*Courses!Q104,0)</f>
        <v>0</v>
      </c>
      <c r="M98" s="105">
        <f>IF(AND('Courses Valid'!C110=0,Courses!I104&lt;&gt;"",Courses!J104&gt;0,Courses!Q104&gt;0),Courses!J104*Courses!Q104,0)</f>
        <v>0</v>
      </c>
      <c r="N98" s="41">
        <f>IF(AND('Courses Valid'!C110=0,Courses!E104&lt;&gt;"",Courses!F104&gt;0,SUM(Courses!W104,Courses!X104)&gt;0),Courses!F104*SUM(Courses!W104,Courses!X104),0)</f>
        <v>0</v>
      </c>
      <c r="O98" s="41">
        <f>IF(AND('Courses Valid'!C110=0,Courses!G104&lt;&gt;"",Courses!H104&gt;0,SUM(Courses!W104,Courses!X104)&gt;0),Courses!H104*SUM(Courses!W104,Courses!X104),0)</f>
        <v>0</v>
      </c>
      <c r="P98" s="41">
        <f>IF(AND('Courses Valid'!C110=0,Courses!I104&lt;&gt;"",Courses!J104&gt;0,SUM(Courses!W104,Courses!X104)&gt;0),Courses!J104*SUM(Courses!W104,Courses!X104),0)</f>
        <v>0</v>
      </c>
      <c r="Q98" s="1580">
        <f>IF(AND('Courses Valid'!C110=0,Courses!E104&lt;&gt;"",Courses!F104&gt;0,SUM(Courses!Y104,Courses!Z104)&gt;0),Courses!F104*SUM(Courses!Y104,Courses!Z104),0)</f>
        <v>0</v>
      </c>
      <c r="R98" s="41">
        <f>IF(AND('Courses Valid'!C110=0,Courses!G104&lt;&gt;"",Courses!H104&gt;0,SUM(Courses!Y104,Courses!Z104)&gt;0),Courses!H104*SUM(Courses!Y104,Courses!Z104),0)</f>
        <v>0</v>
      </c>
      <c r="S98" s="105">
        <f>IF(AND('Courses Valid'!C110=0,Courses!I104&lt;&gt;"",Courses!J104&gt;0,SUM(Courses!Y104,Courses!Z104)&gt;0),Courses!J104*SUM(Courses!Y104,Courses!Z104),0)</f>
        <v>0</v>
      </c>
      <c r="T98" s="41">
        <f>IF(AND('Courses Valid'!C110=0,Courses!E104&lt;&gt;"",Courses!F104&gt;0,Courses!AA104&gt;0),Courses!F104*Courses!AA104,0)</f>
        <v>0</v>
      </c>
      <c r="U98" s="41">
        <f>IF(AND('Courses Valid'!C110=0,Courses!G104&lt;&gt;"",Courses!H104&gt;0,Courses!AA104&gt;0),Courses!H104*Courses!AA104,0)</f>
        <v>0</v>
      </c>
      <c r="V98" s="106">
        <f>IF(AND('Courses Valid'!C110=0,Courses!I104&lt;&gt;"",Courses!J104&gt;0,Courses!AA104&gt;0),Courses!J104*Courses!AA104,0)</f>
        <v>0</v>
      </c>
      <c r="W98" s="41"/>
    </row>
    <row r="99" spans="2:23" x14ac:dyDescent="0.35">
      <c r="B99" s="70" t="str">
        <f>IF(Courses!B105&lt;&gt;"",CONCATENATE(Courses!E105,"/",Courses!L105,"/",Courses!K105),"")</f>
        <v/>
      </c>
      <c r="C99" s="1579" t="str">
        <f>IF(AND(Courses!B105&lt;&gt;"",Courses!G105&lt;&gt;""),CONCATENATE(Courses!G105,"/",Courses!L105,"/",Courses!K105),"")</f>
        <v/>
      </c>
      <c r="D99" s="71" t="str">
        <f>IF(AND(Courses!B105&lt;&gt;"",Courses!I105&lt;&gt;""),CONCATENATE(Courses!I105,"/",Courses!L105,"/",Courses!K105),"")</f>
        <v/>
      </c>
      <c r="E99" s="1580">
        <f>IF(AND('Courses Valid'!C111=0,Courses!E105&lt;&gt;"",Courses!F105&gt;0,SUM(Courses!M105,Courses!N105)&gt;0),Courses!F105*SUM(Courses!M105,Courses!N105),0)</f>
        <v>0</v>
      </c>
      <c r="F99" s="41">
        <f>IF(AND('Courses Valid'!C111=0,Courses!G105&lt;&gt;"",Courses!H105&gt;0,SUM(Courses!M105,Courses!N105)&gt;0),Courses!H105*SUM(Courses!M105,Courses!N105),0)</f>
        <v>0</v>
      </c>
      <c r="G99" s="105">
        <f>IF(AND('Courses Valid'!C111=0,Courses!I105&lt;&gt;"",Courses!J105&gt;0,SUM(Courses!M105,Courses!N105)&gt;0),Courses!J105*SUM(Courses!M105,Courses!N105),0)</f>
        <v>0</v>
      </c>
      <c r="H99" s="1580">
        <f>IF(AND('Courses Valid'!C111=0,Courses!E105&lt;&gt;"",Courses!F105&gt;0,SUM(Courses!O105,Courses!P105)&gt;0),Courses!F105*SUM(Courses!O105,Courses!P105),0)</f>
        <v>0</v>
      </c>
      <c r="I99" s="41">
        <f>IF(AND('Courses Valid'!C111=0,Courses!G105&lt;&gt;"",Courses!H105&gt;0,SUM(Courses!O105,Courses!P105)&gt;0),Courses!H105*SUM(Courses!O105,Courses!P105),0)</f>
        <v>0</v>
      </c>
      <c r="J99" s="105">
        <f>IF(AND('Courses Valid'!C111=0,Courses!I105&lt;&gt;"",Courses!J105&gt;0,SUM(Courses!O105,Courses!P105)&gt;0),Courses!J105*SUM(Courses!O105,Courses!P105),0)</f>
        <v>0</v>
      </c>
      <c r="K99" s="1580">
        <f>IF(AND('Courses Valid'!C111=0,Courses!E105&lt;&gt;"",Courses!F105&gt;0,Courses!Q105&gt;0),Courses!F105*Courses!Q105,0)</f>
        <v>0</v>
      </c>
      <c r="L99" s="41">
        <f>IF(AND('Courses Valid'!C111=0,Courses!G105&lt;&gt;"",Courses!H105&gt;0,Courses!Q105&gt;0),Courses!H105*Courses!Q105,0)</f>
        <v>0</v>
      </c>
      <c r="M99" s="105">
        <f>IF(AND('Courses Valid'!C111=0,Courses!I105&lt;&gt;"",Courses!J105&gt;0,Courses!Q105&gt;0),Courses!J105*Courses!Q105,0)</f>
        <v>0</v>
      </c>
      <c r="N99" s="41">
        <f>IF(AND('Courses Valid'!C111=0,Courses!E105&lt;&gt;"",Courses!F105&gt;0,SUM(Courses!W105,Courses!X105)&gt;0),Courses!F105*SUM(Courses!W105,Courses!X105),0)</f>
        <v>0</v>
      </c>
      <c r="O99" s="41">
        <f>IF(AND('Courses Valid'!C111=0,Courses!G105&lt;&gt;"",Courses!H105&gt;0,SUM(Courses!W105,Courses!X105)&gt;0),Courses!H105*SUM(Courses!W105,Courses!X105),0)</f>
        <v>0</v>
      </c>
      <c r="P99" s="41">
        <f>IF(AND('Courses Valid'!C111=0,Courses!I105&lt;&gt;"",Courses!J105&gt;0,SUM(Courses!W105,Courses!X105)&gt;0),Courses!J105*SUM(Courses!W105,Courses!X105),0)</f>
        <v>0</v>
      </c>
      <c r="Q99" s="1580">
        <f>IF(AND('Courses Valid'!C111=0,Courses!E105&lt;&gt;"",Courses!F105&gt;0,SUM(Courses!Y105,Courses!Z105)&gt;0),Courses!F105*SUM(Courses!Y105,Courses!Z105),0)</f>
        <v>0</v>
      </c>
      <c r="R99" s="41">
        <f>IF(AND('Courses Valid'!C111=0,Courses!G105&lt;&gt;"",Courses!H105&gt;0,SUM(Courses!Y105,Courses!Z105)&gt;0),Courses!H105*SUM(Courses!Y105,Courses!Z105),0)</f>
        <v>0</v>
      </c>
      <c r="S99" s="105">
        <f>IF(AND('Courses Valid'!C111=0,Courses!I105&lt;&gt;"",Courses!J105&gt;0,SUM(Courses!Y105,Courses!Z105)&gt;0),Courses!J105*SUM(Courses!Y105,Courses!Z105),0)</f>
        <v>0</v>
      </c>
      <c r="T99" s="41">
        <f>IF(AND('Courses Valid'!C111=0,Courses!E105&lt;&gt;"",Courses!F105&gt;0,Courses!AA105&gt;0),Courses!F105*Courses!AA105,0)</f>
        <v>0</v>
      </c>
      <c r="U99" s="41">
        <f>IF(AND('Courses Valid'!C111=0,Courses!G105&lt;&gt;"",Courses!H105&gt;0,Courses!AA105&gt;0),Courses!H105*Courses!AA105,0)</f>
        <v>0</v>
      </c>
      <c r="V99" s="106">
        <f>IF(AND('Courses Valid'!C111=0,Courses!I105&lt;&gt;"",Courses!J105&gt;0,Courses!AA105&gt;0),Courses!J105*Courses!AA105,0)</f>
        <v>0</v>
      </c>
      <c r="W99" s="41"/>
    </row>
    <row r="100" spans="2:23" x14ac:dyDescent="0.35">
      <c r="B100" s="70" t="str">
        <f>IF(Courses!B106&lt;&gt;"",CONCATENATE(Courses!E106,"/",Courses!L106,"/",Courses!K106),"")</f>
        <v/>
      </c>
      <c r="C100" s="1579" t="str">
        <f>IF(AND(Courses!B106&lt;&gt;"",Courses!G106&lt;&gt;""),CONCATENATE(Courses!G106,"/",Courses!L106,"/",Courses!K106),"")</f>
        <v/>
      </c>
      <c r="D100" s="71" t="str">
        <f>IF(AND(Courses!B106&lt;&gt;"",Courses!I106&lt;&gt;""),CONCATENATE(Courses!I106,"/",Courses!L106,"/",Courses!K106),"")</f>
        <v/>
      </c>
      <c r="E100" s="1580">
        <f>IF(AND('Courses Valid'!C112=0,Courses!E106&lt;&gt;"",Courses!F106&gt;0,SUM(Courses!M106,Courses!N106)&gt;0),Courses!F106*SUM(Courses!M106,Courses!N106),0)</f>
        <v>0</v>
      </c>
      <c r="F100" s="41">
        <f>IF(AND('Courses Valid'!C112=0,Courses!G106&lt;&gt;"",Courses!H106&gt;0,SUM(Courses!M106,Courses!N106)&gt;0),Courses!H106*SUM(Courses!M106,Courses!N106),0)</f>
        <v>0</v>
      </c>
      <c r="G100" s="105">
        <f>IF(AND('Courses Valid'!C112=0,Courses!I106&lt;&gt;"",Courses!J106&gt;0,SUM(Courses!M106,Courses!N106)&gt;0),Courses!J106*SUM(Courses!M106,Courses!N106),0)</f>
        <v>0</v>
      </c>
      <c r="H100" s="1580">
        <f>IF(AND('Courses Valid'!C112=0,Courses!E106&lt;&gt;"",Courses!F106&gt;0,SUM(Courses!O106,Courses!P106)&gt;0),Courses!F106*SUM(Courses!O106,Courses!P106),0)</f>
        <v>0</v>
      </c>
      <c r="I100" s="41">
        <f>IF(AND('Courses Valid'!C112=0,Courses!G106&lt;&gt;"",Courses!H106&gt;0,SUM(Courses!O106,Courses!P106)&gt;0),Courses!H106*SUM(Courses!O106,Courses!P106),0)</f>
        <v>0</v>
      </c>
      <c r="J100" s="105">
        <f>IF(AND('Courses Valid'!C112=0,Courses!I106&lt;&gt;"",Courses!J106&gt;0,SUM(Courses!O106,Courses!P106)&gt;0),Courses!J106*SUM(Courses!O106,Courses!P106),0)</f>
        <v>0</v>
      </c>
      <c r="K100" s="1580">
        <f>IF(AND('Courses Valid'!C112=0,Courses!E106&lt;&gt;"",Courses!F106&gt;0,Courses!Q106&gt;0),Courses!F106*Courses!Q106,0)</f>
        <v>0</v>
      </c>
      <c r="L100" s="41">
        <f>IF(AND('Courses Valid'!C112=0,Courses!G106&lt;&gt;"",Courses!H106&gt;0,Courses!Q106&gt;0),Courses!H106*Courses!Q106,0)</f>
        <v>0</v>
      </c>
      <c r="M100" s="105">
        <f>IF(AND('Courses Valid'!C112=0,Courses!I106&lt;&gt;"",Courses!J106&gt;0,Courses!Q106&gt;0),Courses!J106*Courses!Q106,0)</f>
        <v>0</v>
      </c>
      <c r="N100" s="41">
        <f>IF(AND('Courses Valid'!C112=0,Courses!E106&lt;&gt;"",Courses!F106&gt;0,SUM(Courses!W106,Courses!X106)&gt;0),Courses!F106*SUM(Courses!W106,Courses!X106),0)</f>
        <v>0</v>
      </c>
      <c r="O100" s="41">
        <f>IF(AND('Courses Valid'!C112=0,Courses!G106&lt;&gt;"",Courses!H106&gt;0,SUM(Courses!W106,Courses!X106)&gt;0),Courses!H106*SUM(Courses!W106,Courses!X106),0)</f>
        <v>0</v>
      </c>
      <c r="P100" s="41">
        <f>IF(AND('Courses Valid'!C112=0,Courses!I106&lt;&gt;"",Courses!J106&gt;0,SUM(Courses!W106,Courses!X106)&gt;0),Courses!J106*SUM(Courses!W106,Courses!X106),0)</f>
        <v>0</v>
      </c>
      <c r="Q100" s="1580">
        <f>IF(AND('Courses Valid'!C112=0,Courses!E106&lt;&gt;"",Courses!F106&gt;0,SUM(Courses!Y106,Courses!Z106)&gt;0),Courses!F106*SUM(Courses!Y106,Courses!Z106),0)</f>
        <v>0</v>
      </c>
      <c r="R100" s="41">
        <f>IF(AND('Courses Valid'!C112=0,Courses!G106&lt;&gt;"",Courses!H106&gt;0,SUM(Courses!Y106,Courses!Z106)&gt;0),Courses!H106*SUM(Courses!Y106,Courses!Z106),0)</f>
        <v>0</v>
      </c>
      <c r="S100" s="105">
        <f>IF(AND('Courses Valid'!C112=0,Courses!I106&lt;&gt;"",Courses!J106&gt;0,SUM(Courses!Y106,Courses!Z106)&gt;0),Courses!J106*SUM(Courses!Y106,Courses!Z106),0)</f>
        <v>0</v>
      </c>
      <c r="T100" s="41">
        <f>IF(AND('Courses Valid'!C112=0,Courses!E106&lt;&gt;"",Courses!F106&gt;0,Courses!AA106&gt;0),Courses!F106*Courses!AA106,0)</f>
        <v>0</v>
      </c>
      <c r="U100" s="41">
        <f>IF(AND('Courses Valid'!C112=0,Courses!G106&lt;&gt;"",Courses!H106&gt;0,Courses!AA106&gt;0),Courses!H106*Courses!AA106,0)</f>
        <v>0</v>
      </c>
      <c r="V100" s="106">
        <f>IF(AND('Courses Valid'!C112=0,Courses!I106&lt;&gt;"",Courses!J106&gt;0,Courses!AA106&gt;0),Courses!J106*Courses!AA106,0)</f>
        <v>0</v>
      </c>
      <c r="W100" s="41"/>
    </row>
    <row r="101" spans="2:23" x14ac:dyDescent="0.35">
      <c r="B101" s="70" t="str">
        <f>IF(Courses!B107&lt;&gt;"",CONCATENATE(Courses!E107,"/",Courses!L107,"/",Courses!K107),"")</f>
        <v/>
      </c>
      <c r="C101" s="1579" t="str">
        <f>IF(AND(Courses!B107&lt;&gt;"",Courses!G107&lt;&gt;""),CONCATENATE(Courses!G107,"/",Courses!L107,"/",Courses!K107),"")</f>
        <v/>
      </c>
      <c r="D101" s="71" t="str">
        <f>IF(AND(Courses!B107&lt;&gt;"",Courses!I107&lt;&gt;""),CONCATENATE(Courses!I107,"/",Courses!L107,"/",Courses!K107),"")</f>
        <v/>
      </c>
      <c r="E101" s="1580">
        <f>IF(AND('Courses Valid'!C113=0,Courses!E107&lt;&gt;"",Courses!F107&gt;0,SUM(Courses!M107,Courses!N107)&gt;0),Courses!F107*SUM(Courses!M107,Courses!N107),0)</f>
        <v>0</v>
      </c>
      <c r="F101" s="41">
        <f>IF(AND('Courses Valid'!C113=0,Courses!G107&lt;&gt;"",Courses!H107&gt;0,SUM(Courses!M107,Courses!N107)&gt;0),Courses!H107*SUM(Courses!M107,Courses!N107),0)</f>
        <v>0</v>
      </c>
      <c r="G101" s="105">
        <f>IF(AND('Courses Valid'!C113=0,Courses!I107&lt;&gt;"",Courses!J107&gt;0,SUM(Courses!M107,Courses!N107)&gt;0),Courses!J107*SUM(Courses!M107,Courses!N107),0)</f>
        <v>0</v>
      </c>
      <c r="H101" s="1580">
        <f>IF(AND('Courses Valid'!C113=0,Courses!E107&lt;&gt;"",Courses!F107&gt;0,SUM(Courses!O107,Courses!P107)&gt;0),Courses!F107*SUM(Courses!O107,Courses!P107),0)</f>
        <v>0</v>
      </c>
      <c r="I101" s="41">
        <f>IF(AND('Courses Valid'!C113=0,Courses!G107&lt;&gt;"",Courses!H107&gt;0,SUM(Courses!O107,Courses!P107)&gt;0),Courses!H107*SUM(Courses!O107,Courses!P107),0)</f>
        <v>0</v>
      </c>
      <c r="J101" s="105">
        <f>IF(AND('Courses Valid'!C113=0,Courses!I107&lt;&gt;"",Courses!J107&gt;0,SUM(Courses!O107,Courses!P107)&gt;0),Courses!J107*SUM(Courses!O107,Courses!P107),0)</f>
        <v>0</v>
      </c>
      <c r="K101" s="1580">
        <f>IF(AND('Courses Valid'!C113=0,Courses!E107&lt;&gt;"",Courses!F107&gt;0,Courses!Q107&gt;0),Courses!F107*Courses!Q107,0)</f>
        <v>0</v>
      </c>
      <c r="L101" s="41">
        <f>IF(AND('Courses Valid'!C113=0,Courses!G107&lt;&gt;"",Courses!H107&gt;0,Courses!Q107&gt;0),Courses!H107*Courses!Q107,0)</f>
        <v>0</v>
      </c>
      <c r="M101" s="105">
        <f>IF(AND('Courses Valid'!C113=0,Courses!I107&lt;&gt;"",Courses!J107&gt;0,Courses!Q107&gt;0),Courses!J107*Courses!Q107,0)</f>
        <v>0</v>
      </c>
      <c r="N101" s="41">
        <f>IF(AND('Courses Valid'!C113=0,Courses!E107&lt;&gt;"",Courses!F107&gt;0,SUM(Courses!W107,Courses!X107)&gt;0),Courses!F107*SUM(Courses!W107,Courses!X107),0)</f>
        <v>0</v>
      </c>
      <c r="O101" s="41">
        <f>IF(AND('Courses Valid'!C113=0,Courses!G107&lt;&gt;"",Courses!H107&gt;0,SUM(Courses!W107,Courses!X107)&gt;0),Courses!H107*SUM(Courses!W107,Courses!X107),0)</f>
        <v>0</v>
      </c>
      <c r="P101" s="41">
        <f>IF(AND('Courses Valid'!C113=0,Courses!I107&lt;&gt;"",Courses!J107&gt;0,SUM(Courses!W107,Courses!X107)&gt;0),Courses!J107*SUM(Courses!W107,Courses!X107),0)</f>
        <v>0</v>
      </c>
      <c r="Q101" s="1580">
        <f>IF(AND('Courses Valid'!C113=0,Courses!E107&lt;&gt;"",Courses!F107&gt;0,SUM(Courses!Y107,Courses!Z107)&gt;0),Courses!F107*SUM(Courses!Y107,Courses!Z107),0)</f>
        <v>0</v>
      </c>
      <c r="R101" s="41">
        <f>IF(AND('Courses Valid'!C113=0,Courses!G107&lt;&gt;"",Courses!H107&gt;0,SUM(Courses!Y107,Courses!Z107)&gt;0),Courses!H107*SUM(Courses!Y107,Courses!Z107),0)</f>
        <v>0</v>
      </c>
      <c r="S101" s="105">
        <f>IF(AND('Courses Valid'!C113=0,Courses!I107&lt;&gt;"",Courses!J107&gt;0,SUM(Courses!Y107,Courses!Z107)&gt;0),Courses!J107*SUM(Courses!Y107,Courses!Z107),0)</f>
        <v>0</v>
      </c>
      <c r="T101" s="41">
        <f>IF(AND('Courses Valid'!C113=0,Courses!E107&lt;&gt;"",Courses!F107&gt;0,Courses!AA107&gt;0),Courses!F107*Courses!AA107,0)</f>
        <v>0</v>
      </c>
      <c r="U101" s="41">
        <f>IF(AND('Courses Valid'!C113=0,Courses!G107&lt;&gt;"",Courses!H107&gt;0,Courses!AA107&gt;0),Courses!H107*Courses!AA107,0)</f>
        <v>0</v>
      </c>
      <c r="V101" s="106">
        <f>IF(AND('Courses Valid'!C113=0,Courses!I107&lt;&gt;"",Courses!J107&gt;0,Courses!AA107&gt;0),Courses!J107*Courses!AA107,0)</f>
        <v>0</v>
      </c>
      <c r="W101" s="41"/>
    </row>
    <row r="102" spans="2:23" x14ac:dyDescent="0.35">
      <c r="B102" s="70" t="str">
        <f>IF(Courses!B108&lt;&gt;"",CONCATENATE(Courses!E108,"/",Courses!L108,"/",Courses!K108),"")</f>
        <v/>
      </c>
      <c r="C102" s="1579" t="str">
        <f>IF(AND(Courses!B108&lt;&gt;"",Courses!G108&lt;&gt;""),CONCATENATE(Courses!G108,"/",Courses!L108,"/",Courses!K108),"")</f>
        <v/>
      </c>
      <c r="D102" s="71" t="str">
        <f>IF(AND(Courses!B108&lt;&gt;"",Courses!I108&lt;&gt;""),CONCATENATE(Courses!I108,"/",Courses!L108,"/",Courses!K108),"")</f>
        <v/>
      </c>
      <c r="E102" s="1580">
        <f>IF(AND('Courses Valid'!C114=0,Courses!E108&lt;&gt;"",Courses!F108&gt;0,SUM(Courses!M108,Courses!N108)&gt;0),Courses!F108*SUM(Courses!M108,Courses!N108),0)</f>
        <v>0</v>
      </c>
      <c r="F102" s="41">
        <f>IF(AND('Courses Valid'!C114=0,Courses!G108&lt;&gt;"",Courses!H108&gt;0,SUM(Courses!M108,Courses!N108)&gt;0),Courses!H108*SUM(Courses!M108,Courses!N108),0)</f>
        <v>0</v>
      </c>
      <c r="G102" s="105">
        <f>IF(AND('Courses Valid'!C114=0,Courses!I108&lt;&gt;"",Courses!J108&gt;0,SUM(Courses!M108,Courses!N108)&gt;0),Courses!J108*SUM(Courses!M108,Courses!N108),0)</f>
        <v>0</v>
      </c>
      <c r="H102" s="1580">
        <f>IF(AND('Courses Valid'!C114=0,Courses!E108&lt;&gt;"",Courses!F108&gt;0,SUM(Courses!O108,Courses!P108)&gt;0),Courses!F108*SUM(Courses!O108,Courses!P108),0)</f>
        <v>0</v>
      </c>
      <c r="I102" s="41">
        <f>IF(AND('Courses Valid'!C114=0,Courses!G108&lt;&gt;"",Courses!H108&gt;0,SUM(Courses!O108,Courses!P108)&gt;0),Courses!H108*SUM(Courses!O108,Courses!P108),0)</f>
        <v>0</v>
      </c>
      <c r="J102" s="105">
        <f>IF(AND('Courses Valid'!C114=0,Courses!I108&lt;&gt;"",Courses!J108&gt;0,SUM(Courses!O108,Courses!P108)&gt;0),Courses!J108*SUM(Courses!O108,Courses!P108),0)</f>
        <v>0</v>
      </c>
      <c r="K102" s="1580">
        <f>IF(AND('Courses Valid'!C114=0,Courses!E108&lt;&gt;"",Courses!F108&gt;0,Courses!Q108&gt;0),Courses!F108*Courses!Q108,0)</f>
        <v>0</v>
      </c>
      <c r="L102" s="41">
        <f>IF(AND('Courses Valid'!C114=0,Courses!G108&lt;&gt;"",Courses!H108&gt;0,Courses!Q108&gt;0),Courses!H108*Courses!Q108,0)</f>
        <v>0</v>
      </c>
      <c r="M102" s="105">
        <f>IF(AND('Courses Valid'!C114=0,Courses!I108&lt;&gt;"",Courses!J108&gt;0,Courses!Q108&gt;0),Courses!J108*Courses!Q108,0)</f>
        <v>0</v>
      </c>
      <c r="N102" s="41">
        <f>IF(AND('Courses Valid'!C114=0,Courses!E108&lt;&gt;"",Courses!F108&gt;0,SUM(Courses!W108,Courses!X108)&gt;0),Courses!F108*SUM(Courses!W108,Courses!X108),0)</f>
        <v>0</v>
      </c>
      <c r="O102" s="41">
        <f>IF(AND('Courses Valid'!C114=0,Courses!G108&lt;&gt;"",Courses!H108&gt;0,SUM(Courses!W108,Courses!X108)&gt;0),Courses!H108*SUM(Courses!W108,Courses!X108),0)</f>
        <v>0</v>
      </c>
      <c r="P102" s="41">
        <f>IF(AND('Courses Valid'!C114=0,Courses!I108&lt;&gt;"",Courses!J108&gt;0,SUM(Courses!W108,Courses!X108)&gt;0),Courses!J108*SUM(Courses!W108,Courses!X108),0)</f>
        <v>0</v>
      </c>
      <c r="Q102" s="1580">
        <f>IF(AND('Courses Valid'!C114=0,Courses!E108&lt;&gt;"",Courses!F108&gt;0,SUM(Courses!Y108,Courses!Z108)&gt;0),Courses!F108*SUM(Courses!Y108,Courses!Z108),0)</f>
        <v>0</v>
      </c>
      <c r="R102" s="41">
        <f>IF(AND('Courses Valid'!C114=0,Courses!G108&lt;&gt;"",Courses!H108&gt;0,SUM(Courses!Y108,Courses!Z108)&gt;0),Courses!H108*SUM(Courses!Y108,Courses!Z108),0)</f>
        <v>0</v>
      </c>
      <c r="S102" s="105">
        <f>IF(AND('Courses Valid'!C114=0,Courses!I108&lt;&gt;"",Courses!J108&gt;0,SUM(Courses!Y108,Courses!Z108)&gt;0),Courses!J108*SUM(Courses!Y108,Courses!Z108),0)</f>
        <v>0</v>
      </c>
      <c r="T102" s="41">
        <f>IF(AND('Courses Valid'!C114=0,Courses!E108&lt;&gt;"",Courses!F108&gt;0,Courses!AA108&gt;0),Courses!F108*Courses!AA108,0)</f>
        <v>0</v>
      </c>
      <c r="U102" s="41">
        <f>IF(AND('Courses Valid'!C114=0,Courses!G108&lt;&gt;"",Courses!H108&gt;0,Courses!AA108&gt;0),Courses!H108*Courses!AA108,0)</f>
        <v>0</v>
      </c>
      <c r="V102" s="106">
        <f>IF(AND('Courses Valid'!C114=0,Courses!I108&lt;&gt;"",Courses!J108&gt;0,Courses!AA108&gt;0),Courses!J108*Courses!AA108,0)</f>
        <v>0</v>
      </c>
      <c r="W102" s="41"/>
    </row>
    <row r="103" spans="2:23" x14ac:dyDescent="0.35">
      <c r="B103" s="70" t="str">
        <f>IF(Courses!B109&lt;&gt;"",CONCATENATE(Courses!E109,"/",Courses!L109,"/",Courses!K109),"")</f>
        <v/>
      </c>
      <c r="C103" s="1579" t="str">
        <f>IF(AND(Courses!B109&lt;&gt;"",Courses!G109&lt;&gt;""),CONCATENATE(Courses!G109,"/",Courses!L109,"/",Courses!K109),"")</f>
        <v/>
      </c>
      <c r="D103" s="71" t="str">
        <f>IF(AND(Courses!B109&lt;&gt;"",Courses!I109&lt;&gt;""),CONCATENATE(Courses!I109,"/",Courses!L109,"/",Courses!K109),"")</f>
        <v/>
      </c>
      <c r="E103" s="1580">
        <f>IF(AND('Courses Valid'!C115=0,Courses!E109&lt;&gt;"",Courses!F109&gt;0,SUM(Courses!M109,Courses!N109)&gt;0),Courses!F109*SUM(Courses!M109,Courses!N109),0)</f>
        <v>0</v>
      </c>
      <c r="F103" s="41">
        <f>IF(AND('Courses Valid'!C115=0,Courses!G109&lt;&gt;"",Courses!H109&gt;0,SUM(Courses!M109,Courses!N109)&gt;0),Courses!H109*SUM(Courses!M109,Courses!N109),0)</f>
        <v>0</v>
      </c>
      <c r="G103" s="105">
        <f>IF(AND('Courses Valid'!C115=0,Courses!I109&lt;&gt;"",Courses!J109&gt;0,SUM(Courses!M109,Courses!N109)&gt;0),Courses!J109*SUM(Courses!M109,Courses!N109),0)</f>
        <v>0</v>
      </c>
      <c r="H103" s="1580">
        <f>IF(AND('Courses Valid'!C115=0,Courses!E109&lt;&gt;"",Courses!F109&gt;0,SUM(Courses!O109,Courses!P109)&gt;0),Courses!F109*SUM(Courses!O109,Courses!P109),0)</f>
        <v>0</v>
      </c>
      <c r="I103" s="41">
        <f>IF(AND('Courses Valid'!C115=0,Courses!G109&lt;&gt;"",Courses!H109&gt;0,SUM(Courses!O109,Courses!P109)&gt;0),Courses!H109*SUM(Courses!O109,Courses!P109),0)</f>
        <v>0</v>
      </c>
      <c r="J103" s="105">
        <f>IF(AND('Courses Valid'!C115=0,Courses!I109&lt;&gt;"",Courses!J109&gt;0,SUM(Courses!O109,Courses!P109)&gt;0),Courses!J109*SUM(Courses!O109,Courses!P109),0)</f>
        <v>0</v>
      </c>
      <c r="K103" s="1580">
        <f>IF(AND('Courses Valid'!C115=0,Courses!E109&lt;&gt;"",Courses!F109&gt;0,Courses!Q109&gt;0),Courses!F109*Courses!Q109,0)</f>
        <v>0</v>
      </c>
      <c r="L103" s="41">
        <f>IF(AND('Courses Valid'!C115=0,Courses!G109&lt;&gt;"",Courses!H109&gt;0,Courses!Q109&gt;0),Courses!H109*Courses!Q109,0)</f>
        <v>0</v>
      </c>
      <c r="M103" s="105">
        <f>IF(AND('Courses Valid'!C115=0,Courses!I109&lt;&gt;"",Courses!J109&gt;0,Courses!Q109&gt;0),Courses!J109*Courses!Q109,0)</f>
        <v>0</v>
      </c>
      <c r="N103" s="41">
        <f>IF(AND('Courses Valid'!C115=0,Courses!E109&lt;&gt;"",Courses!F109&gt;0,SUM(Courses!W109,Courses!X109)&gt;0),Courses!F109*SUM(Courses!W109,Courses!X109),0)</f>
        <v>0</v>
      </c>
      <c r="O103" s="41">
        <f>IF(AND('Courses Valid'!C115=0,Courses!G109&lt;&gt;"",Courses!H109&gt;0,SUM(Courses!W109,Courses!X109)&gt;0),Courses!H109*SUM(Courses!W109,Courses!X109),0)</f>
        <v>0</v>
      </c>
      <c r="P103" s="41">
        <f>IF(AND('Courses Valid'!C115=0,Courses!I109&lt;&gt;"",Courses!J109&gt;0,SUM(Courses!W109,Courses!X109)&gt;0),Courses!J109*SUM(Courses!W109,Courses!X109),0)</f>
        <v>0</v>
      </c>
      <c r="Q103" s="1580">
        <f>IF(AND('Courses Valid'!C115=0,Courses!E109&lt;&gt;"",Courses!F109&gt;0,SUM(Courses!Y109,Courses!Z109)&gt;0),Courses!F109*SUM(Courses!Y109,Courses!Z109),0)</f>
        <v>0</v>
      </c>
      <c r="R103" s="41">
        <f>IF(AND('Courses Valid'!C115=0,Courses!G109&lt;&gt;"",Courses!H109&gt;0,SUM(Courses!Y109,Courses!Z109)&gt;0),Courses!H109*SUM(Courses!Y109,Courses!Z109),0)</f>
        <v>0</v>
      </c>
      <c r="S103" s="105">
        <f>IF(AND('Courses Valid'!C115=0,Courses!I109&lt;&gt;"",Courses!J109&gt;0,SUM(Courses!Y109,Courses!Z109)&gt;0),Courses!J109*SUM(Courses!Y109,Courses!Z109),0)</f>
        <v>0</v>
      </c>
      <c r="T103" s="41">
        <f>IF(AND('Courses Valid'!C115=0,Courses!E109&lt;&gt;"",Courses!F109&gt;0,Courses!AA109&gt;0),Courses!F109*Courses!AA109,0)</f>
        <v>0</v>
      </c>
      <c r="U103" s="41">
        <f>IF(AND('Courses Valid'!C115=0,Courses!G109&lt;&gt;"",Courses!H109&gt;0,Courses!AA109&gt;0),Courses!H109*Courses!AA109,0)</f>
        <v>0</v>
      </c>
      <c r="V103" s="106">
        <f>IF(AND('Courses Valid'!C115=0,Courses!I109&lt;&gt;"",Courses!J109&gt;0,Courses!AA109&gt;0),Courses!J109*Courses!AA109,0)</f>
        <v>0</v>
      </c>
      <c r="W103" s="41"/>
    </row>
    <row r="104" spans="2:23" x14ac:dyDescent="0.35">
      <c r="B104" s="70" t="str">
        <f>IF(Courses!B110&lt;&gt;"",CONCATENATE(Courses!E110,"/",Courses!L110,"/",Courses!K110),"")</f>
        <v/>
      </c>
      <c r="C104" s="1579" t="str">
        <f>IF(AND(Courses!B110&lt;&gt;"",Courses!G110&lt;&gt;""),CONCATENATE(Courses!G110,"/",Courses!L110,"/",Courses!K110),"")</f>
        <v/>
      </c>
      <c r="D104" s="71" t="str">
        <f>IF(AND(Courses!B110&lt;&gt;"",Courses!I110&lt;&gt;""),CONCATENATE(Courses!I110,"/",Courses!L110,"/",Courses!K110),"")</f>
        <v/>
      </c>
      <c r="E104" s="1580">
        <f>IF(AND('Courses Valid'!C116=0,Courses!E110&lt;&gt;"",Courses!F110&gt;0,SUM(Courses!M110,Courses!N110)&gt;0),Courses!F110*SUM(Courses!M110,Courses!N110),0)</f>
        <v>0</v>
      </c>
      <c r="F104" s="41">
        <f>IF(AND('Courses Valid'!C116=0,Courses!G110&lt;&gt;"",Courses!H110&gt;0,SUM(Courses!M110,Courses!N110)&gt;0),Courses!H110*SUM(Courses!M110,Courses!N110),0)</f>
        <v>0</v>
      </c>
      <c r="G104" s="105">
        <f>IF(AND('Courses Valid'!C116=0,Courses!I110&lt;&gt;"",Courses!J110&gt;0,SUM(Courses!M110,Courses!N110)&gt;0),Courses!J110*SUM(Courses!M110,Courses!N110),0)</f>
        <v>0</v>
      </c>
      <c r="H104" s="1580">
        <f>IF(AND('Courses Valid'!C116=0,Courses!E110&lt;&gt;"",Courses!F110&gt;0,SUM(Courses!O110,Courses!P110)&gt;0),Courses!F110*SUM(Courses!O110,Courses!P110),0)</f>
        <v>0</v>
      </c>
      <c r="I104" s="41">
        <f>IF(AND('Courses Valid'!C116=0,Courses!G110&lt;&gt;"",Courses!H110&gt;0,SUM(Courses!O110,Courses!P110)&gt;0),Courses!H110*SUM(Courses!O110,Courses!P110),0)</f>
        <v>0</v>
      </c>
      <c r="J104" s="105">
        <f>IF(AND('Courses Valid'!C116=0,Courses!I110&lt;&gt;"",Courses!J110&gt;0,SUM(Courses!O110,Courses!P110)&gt;0),Courses!J110*SUM(Courses!O110,Courses!P110),0)</f>
        <v>0</v>
      </c>
      <c r="K104" s="1580">
        <f>IF(AND('Courses Valid'!C116=0,Courses!E110&lt;&gt;"",Courses!F110&gt;0,Courses!Q110&gt;0),Courses!F110*Courses!Q110,0)</f>
        <v>0</v>
      </c>
      <c r="L104" s="41">
        <f>IF(AND('Courses Valid'!C116=0,Courses!G110&lt;&gt;"",Courses!H110&gt;0,Courses!Q110&gt;0),Courses!H110*Courses!Q110,0)</f>
        <v>0</v>
      </c>
      <c r="M104" s="105">
        <f>IF(AND('Courses Valid'!C116=0,Courses!I110&lt;&gt;"",Courses!J110&gt;0,Courses!Q110&gt;0),Courses!J110*Courses!Q110,0)</f>
        <v>0</v>
      </c>
      <c r="N104" s="41">
        <f>IF(AND('Courses Valid'!C116=0,Courses!E110&lt;&gt;"",Courses!F110&gt;0,SUM(Courses!W110,Courses!X110)&gt;0),Courses!F110*SUM(Courses!W110,Courses!X110),0)</f>
        <v>0</v>
      </c>
      <c r="O104" s="41">
        <f>IF(AND('Courses Valid'!C116=0,Courses!G110&lt;&gt;"",Courses!H110&gt;0,SUM(Courses!W110,Courses!X110)&gt;0),Courses!H110*SUM(Courses!W110,Courses!X110),0)</f>
        <v>0</v>
      </c>
      <c r="P104" s="41">
        <f>IF(AND('Courses Valid'!C116=0,Courses!I110&lt;&gt;"",Courses!J110&gt;0,SUM(Courses!W110,Courses!X110)&gt;0),Courses!J110*SUM(Courses!W110,Courses!X110),0)</f>
        <v>0</v>
      </c>
      <c r="Q104" s="1580">
        <f>IF(AND('Courses Valid'!C116=0,Courses!E110&lt;&gt;"",Courses!F110&gt;0,SUM(Courses!Y110,Courses!Z110)&gt;0),Courses!F110*SUM(Courses!Y110,Courses!Z110),0)</f>
        <v>0</v>
      </c>
      <c r="R104" s="41">
        <f>IF(AND('Courses Valid'!C116=0,Courses!G110&lt;&gt;"",Courses!H110&gt;0,SUM(Courses!Y110,Courses!Z110)&gt;0),Courses!H110*SUM(Courses!Y110,Courses!Z110),0)</f>
        <v>0</v>
      </c>
      <c r="S104" s="105">
        <f>IF(AND('Courses Valid'!C116=0,Courses!I110&lt;&gt;"",Courses!J110&gt;0,SUM(Courses!Y110,Courses!Z110)&gt;0),Courses!J110*SUM(Courses!Y110,Courses!Z110),0)</f>
        <v>0</v>
      </c>
      <c r="T104" s="41">
        <f>IF(AND('Courses Valid'!C116=0,Courses!E110&lt;&gt;"",Courses!F110&gt;0,Courses!AA110&gt;0),Courses!F110*Courses!AA110,0)</f>
        <v>0</v>
      </c>
      <c r="U104" s="41">
        <f>IF(AND('Courses Valid'!C116=0,Courses!G110&lt;&gt;"",Courses!H110&gt;0,Courses!AA110&gt;0),Courses!H110*Courses!AA110,0)</f>
        <v>0</v>
      </c>
      <c r="V104" s="106">
        <f>IF(AND('Courses Valid'!C116=0,Courses!I110&lt;&gt;"",Courses!J110&gt;0,Courses!AA110&gt;0),Courses!J110*Courses!AA110,0)</f>
        <v>0</v>
      </c>
      <c r="W104" s="41"/>
    </row>
    <row r="105" spans="2:23" x14ac:dyDescent="0.35">
      <c r="B105" s="70" t="str">
        <f>IF(Courses!B111&lt;&gt;"",CONCATENATE(Courses!E111,"/",Courses!L111,"/",Courses!K111),"")</f>
        <v/>
      </c>
      <c r="C105" s="1579" t="str">
        <f>IF(AND(Courses!B111&lt;&gt;"",Courses!G111&lt;&gt;""),CONCATENATE(Courses!G111,"/",Courses!L111,"/",Courses!K111),"")</f>
        <v/>
      </c>
      <c r="D105" s="71" t="str">
        <f>IF(AND(Courses!B111&lt;&gt;"",Courses!I111&lt;&gt;""),CONCATENATE(Courses!I111,"/",Courses!L111,"/",Courses!K111),"")</f>
        <v/>
      </c>
      <c r="E105" s="1580">
        <f>IF(AND('Courses Valid'!C117=0,Courses!E111&lt;&gt;"",Courses!F111&gt;0,SUM(Courses!M111,Courses!N111)&gt;0),Courses!F111*SUM(Courses!M111,Courses!N111),0)</f>
        <v>0</v>
      </c>
      <c r="F105" s="41">
        <f>IF(AND('Courses Valid'!C117=0,Courses!G111&lt;&gt;"",Courses!H111&gt;0,SUM(Courses!M111,Courses!N111)&gt;0),Courses!H111*SUM(Courses!M111,Courses!N111),0)</f>
        <v>0</v>
      </c>
      <c r="G105" s="105">
        <f>IF(AND('Courses Valid'!C117=0,Courses!I111&lt;&gt;"",Courses!J111&gt;0,SUM(Courses!M111,Courses!N111)&gt;0),Courses!J111*SUM(Courses!M111,Courses!N111),0)</f>
        <v>0</v>
      </c>
      <c r="H105" s="1580">
        <f>IF(AND('Courses Valid'!C117=0,Courses!E111&lt;&gt;"",Courses!F111&gt;0,SUM(Courses!O111,Courses!P111)&gt;0),Courses!F111*SUM(Courses!O111,Courses!P111),0)</f>
        <v>0</v>
      </c>
      <c r="I105" s="41">
        <f>IF(AND('Courses Valid'!C117=0,Courses!G111&lt;&gt;"",Courses!H111&gt;0,SUM(Courses!O111,Courses!P111)&gt;0),Courses!H111*SUM(Courses!O111,Courses!P111),0)</f>
        <v>0</v>
      </c>
      <c r="J105" s="105">
        <f>IF(AND('Courses Valid'!C117=0,Courses!I111&lt;&gt;"",Courses!J111&gt;0,SUM(Courses!O111,Courses!P111)&gt;0),Courses!J111*SUM(Courses!O111,Courses!P111),0)</f>
        <v>0</v>
      </c>
      <c r="K105" s="1580">
        <f>IF(AND('Courses Valid'!C117=0,Courses!E111&lt;&gt;"",Courses!F111&gt;0,Courses!Q111&gt;0),Courses!F111*Courses!Q111,0)</f>
        <v>0</v>
      </c>
      <c r="L105" s="41">
        <f>IF(AND('Courses Valid'!C117=0,Courses!G111&lt;&gt;"",Courses!H111&gt;0,Courses!Q111&gt;0),Courses!H111*Courses!Q111,0)</f>
        <v>0</v>
      </c>
      <c r="M105" s="105">
        <f>IF(AND('Courses Valid'!C117=0,Courses!I111&lt;&gt;"",Courses!J111&gt;0,Courses!Q111&gt;0),Courses!J111*Courses!Q111,0)</f>
        <v>0</v>
      </c>
      <c r="N105" s="41">
        <f>IF(AND('Courses Valid'!C117=0,Courses!E111&lt;&gt;"",Courses!F111&gt;0,SUM(Courses!W111,Courses!X111)&gt;0),Courses!F111*SUM(Courses!W111,Courses!X111),0)</f>
        <v>0</v>
      </c>
      <c r="O105" s="41">
        <f>IF(AND('Courses Valid'!C117=0,Courses!G111&lt;&gt;"",Courses!H111&gt;0,SUM(Courses!W111,Courses!X111)&gt;0),Courses!H111*SUM(Courses!W111,Courses!X111),0)</f>
        <v>0</v>
      </c>
      <c r="P105" s="41">
        <f>IF(AND('Courses Valid'!C117=0,Courses!I111&lt;&gt;"",Courses!J111&gt;0,SUM(Courses!W111,Courses!X111)&gt;0),Courses!J111*SUM(Courses!W111,Courses!X111),0)</f>
        <v>0</v>
      </c>
      <c r="Q105" s="1580">
        <f>IF(AND('Courses Valid'!C117=0,Courses!E111&lt;&gt;"",Courses!F111&gt;0,SUM(Courses!Y111,Courses!Z111)&gt;0),Courses!F111*SUM(Courses!Y111,Courses!Z111),0)</f>
        <v>0</v>
      </c>
      <c r="R105" s="41">
        <f>IF(AND('Courses Valid'!C117=0,Courses!G111&lt;&gt;"",Courses!H111&gt;0,SUM(Courses!Y111,Courses!Z111)&gt;0),Courses!H111*SUM(Courses!Y111,Courses!Z111),0)</f>
        <v>0</v>
      </c>
      <c r="S105" s="105">
        <f>IF(AND('Courses Valid'!C117=0,Courses!I111&lt;&gt;"",Courses!J111&gt;0,SUM(Courses!Y111,Courses!Z111)&gt;0),Courses!J111*SUM(Courses!Y111,Courses!Z111),0)</f>
        <v>0</v>
      </c>
      <c r="T105" s="41">
        <f>IF(AND('Courses Valid'!C117=0,Courses!E111&lt;&gt;"",Courses!F111&gt;0,Courses!AA111&gt;0),Courses!F111*Courses!AA111,0)</f>
        <v>0</v>
      </c>
      <c r="U105" s="41">
        <f>IF(AND('Courses Valid'!C117=0,Courses!G111&lt;&gt;"",Courses!H111&gt;0,Courses!AA111&gt;0),Courses!H111*Courses!AA111,0)</f>
        <v>0</v>
      </c>
      <c r="V105" s="106">
        <f>IF(AND('Courses Valid'!C117=0,Courses!I111&lt;&gt;"",Courses!J111&gt;0,Courses!AA111&gt;0),Courses!J111*Courses!AA111,0)</f>
        <v>0</v>
      </c>
      <c r="W105" s="41"/>
    </row>
    <row r="106" spans="2:23" x14ac:dyDescent="0.35">
      <c r="B106" s="70" t="str">
        <f>IF(Courses!B112&lt;&gt;"",CONCATENATE(Courses!E112,"/",Courses!L112,"/",Courses!K112),"")</f>
        <v/>
      </c>
      <c r="C106" s="1579" t="str">
        <f>IF(AND(Courses!B112&lt;&gt;"",Courses!G112&lt;&gt;""),CONCATENATE(Courses!G112,"/",Courses!L112,"/",Courses!K112),"")</f>
        <v/>
      </c>
      <c r="D106" s="71" t="str">
        <f>IF(AND(Courses!B112&lt;&gt;"",Courses!I112&lt;&gt;""),CONCATENATE(Courses!I112,"/",Courses!L112,"/",Courses!K112),"")</f>
        <v/>
      </c>
      <c r="E106" s="1580">
        <f>IF(AND('Courses Valid'!C118=0,Courses!E112&lt;&gt;"",Courses!F112&gt;0,SUM(Courses!M112,Courses!N112)&gt;0),Courses!F112*SUM(Courses!M112,Courses!N112),0)</f>
        <v>0</v>
      </c>
      <c r="F106" s="41">
        <f>IF(AND('Courses Valid'!C118=0,Courses!G112&lt;&gt;"",Courses!H112&gt;0,SUM(Courses!M112,Courses!N112)&gt;0),Courses!H112*SUM(Courses!M112,Courses!N112),0)</f>
        <v>0</v>
      </c>
      <c r="G106" s="105">
        <f>IF(AND('Courses Valid'!C118=0,Courses!I112&lt;&gt;"",Courses!J112&gt;0,SUM(Courses!M112,Courses!N112)&gt;0),Courses!J112*SUM(Courses!M112,Courses!N112),0)</f>
        <v>0</v>
      </c>
      <c r="H106" s="1580">
        <f>IF(AND('Courses Valid'!C118=0,Courses!E112&lt;&gt;"",Courses!F112&gt;0,SUM(Courses!O112,Courses!P112)&gt;0),Courses!F112*SUM(Courses!O112,Courses!P112),0)</f>
        <v>0</v>
      </c>
      <c r="I106" s="41">
        <f>IF(AND('Courses Valid'!C118=0,Courses!G112&lt;&gt;"",Courses!H112&gt;0,SUM(Courses!O112,Courses!P112)&gt;0),Courses!H112*SUM(Courses!O112,Courses!P112),0)</f>
        <v>0</v>
      </c>
      <c r="J106" s="105">
        <f>IF(AND('Courses Valid'!C118=0,Courses!I112&lt;&gt;"",Courses!J112&gt;0,SUM(Courses!O112,Courses!P112)&gt;0),Courses!J112*SUM(Courses!O112,Courses!P112),0)</f>
        <v>0</v>
      </c>
      <c r="K106" s="1580">
        <f>IF(AND('Courses Valid'!C118=0,Courses!E112&lt;&gt;"",Courses!F112&gt;0,Courses!Q112&gt;0),Courses!F112*Courses!Q112,0)</f>
        <v>0</v>
      </c>
      <c r="L106" s="41">
        <f>IF(AND('Courses Valid'!C118=0,Courses!G112&lt;&gt;"",Courses!H112&gt;0,Courses!Q112&gt;0),Courses!H112*Courses!Q112,0)</f>
        <v>0</v>
      </c>
      <c r="M106" s="105">
        <f>IF(AND('Courses Valid'!C118=0,Courses!I112&lt;&gt;"",Courses!J112&gt;0,Courses!Q112&gt;0),Courses!J112*Courses!Q112,0)</f>
        <v>0</v>
      </c>
      <c r="N106" s="41">
        <f>IF(AND('Courses Valid'!C118=0,Courses!E112&lt;&gt;"",Courses!F112&gt;0,SUM(Courses!W112,Courses!X112)&gt;0),Courses!F112*SUM(Courses!W112,Courses!X112),0)</f>
        <v>0</v>
      </c>
      <c r="O106" s="41">
        <f>IF(AND('Courses Valid'!C118=0,Courses!G112&lt;&gt;"",Courses!H112&gt;0,SUM(Courses!W112,Courses!X112)&gt;0),Courses!H112*SUM(Courses!W112,Courses!X112),0)</f>
        <v>0</v>
      </c>
      <c r="P106" s="41">
        <f>IF(AND('Courses Valid'!C118=0,Courses!I112&lt;&gt;"",Courses!J112&gt;0,SUM(Courses!W112,Courses!X112)&gt;0),Courses!J112*SUM(Courses!W112,Courses!X112),0)</f>
        <v>0</v>
      </c>
      <c r="Q106" s="1580">
        <f>IF(AND('Courses Valid'!C118=0,Courses!E112&lt;&gt;"",Courses!F112&gt;0,SUM(Courses!Y112,Courses!Z112)&gt;0),Courses!F112*SUM(Courses!Y112,Courses!Z112),0)</f>
        <v>0</v>
      </c>
      <c r="R106" s="41">
        <f>IF(AND('Courses Valid'!C118=0,Courses!G112&lt;&gt;"",Courses!H112&gt;0,SUM(Courses!Y112,Courses!Z112)&gt;0),Courses!H112*SUM(Courses!Y112,Courses!Z112),0)</f>
        <v>0</v>
      </c>
      <c r="S106" s="105">
        <f>IF(AND('Courses Valid'!C118=0,Courses!I112&lt;&gt;"",Courses!J112&gt;0,SUM(Courses!Y112,Courses!Z112)&gt;0),Courses!J112*SUM(Courses!Y112,Courses!Z112),0)</f>
        <v>0</v>
      </c>
      <c r="T106" s="41">
        <f>IF(AND('Courses Valid'!C118=0,Courses!E112&lt;&gt;"",Courses!F112&gt;0,Courses!AA112&gt;0),Courses!F112*Courses!AA112,0)</f>
        <v>0</v>
      </c>
      <c r="U106" s="41">
        <f>IF(AND('Courses Valid'!C118=0,Courses!G112&lt;&gt;"",Courses!H112&gt;0,Courses!AA112&gt;0),Courses!H112*Courses!AA112,0)</f>
        <v>0</v>
      </c>
      <c r="V106" s="106">
        <f>IF(AND('Courses Valid'!C118=0,Courses!I112&lt;&gt;"",Courses!J112&gt;0,Courses!AA112&gt;0),Courses!J112*Courses!AA112,0)</f>
        <v>0</v>
      </c>
      <c r="W106" s="41"/>
    </row>
    <row r="107" spans="2:23" x14ac:dyDescent="0.35">
      <c r="B107" s="70" t="str">
        <f>IF(Courses!B113&lt;&gt;"",CONCATENATE(Courses!E113,"/",Courses!L113,"/",Courses!K113),"")</f>
        <v/>
      </c>
      <c r="C107" s="1579" t="str">
        <f>IF(AND(Courses!B113&lt;&gt;"",Courses!G113&lt;&gt;""),CONCATENATE(Courses!G113,"/",Courses!L113,"/",Courses!K113),"")</f>
        <v/>
      </c>
      <c r="D107" s="71" t="str">
        <f>IF(AND(Courses!B113&lt;&gt;"",Courses!I113&lt;&gt;""),CONCATENATE(Courses!I113,"/",Courses!L113,"/",Courses!K113),"")</f>
        <v/>
      </c>
      <c r="E107" s="1580">
        <f>IF(AND('Courses Valid'!C119=0,Courses!E113&lt;&gt;"",Courses!F113&gt;0,SUM(Courses!M113,Courses!N113)&gt;0),Courses!F113*SUM(Courses!M113,Courses!N113),0)</f>
        <v>0</v>
      </c>
      <c r="F107" s="41">
        <f>IF(AND('Courses Valid'!C119=0,Courses!G113&lt;&gt;"",Courses!H113&gt;0,SUM(Courses!M113,Courses!N113)&gt;0),Courses!H113*SUM(Courses!M113,Courses!N113),0)</f>
        <v>0</v>
      </c>
      <c r="G107" s="105">
        <f>IF(AND('Courses Valid'!C119=0,Courses!I113&lt;&gt;"",Courses!J113&gt;0,SUM(Courses!M113,Courses!N113)&gt;0),Courses!J113*SUM(Courses!M113,Courses!N113),0)</f>
        <v>0</v>
      </c>
      <c r="H107" s="1580">
        <f>IF(AND('Courses Valid'!C119=0,Courses!E113&lt;&gt;"",Courses!F113&gt;0,SUM(Courses!O113,Courses!P113)&gt;0),Courses!F113*SUM(Courses!O113,Courses!P113),0)</f>
        <v>0</v>
      </c>
      <c r="I107" s="41">
        <f>IF(AND('Courses Valid'!C119=0,Courses!G113&lt;&gt;"",Courses!H113&gt;0,SUM(Courses!O113,Courses!P113)&gt;0),Courses!H113*SUM(Courses!O113,Courses!P113),0)</f>
        <v>0</v>
      </c>
      <c r="J107" s="105">
        <f>IF(AND('Courses Valid'!C119=0,Courses!I113&lt;&gt;"",Courses!J113&gt;0,SUM(Courses!O113,Courses!P113)&gt;0),Courses!J113*SUM(Courses!O113,Courses!P113),0)</f>
        <v>0</v>
      </c>
      <c r="K107" s="1580">
        <f>IF(AND('Courses Valid'!C119=0,Courses!E113&lt;&gt;"",Courses!F113&gt;0,Courses!Q113&gt;0),Courses!F113*Courses!Q113,0)</f>
        <v>0</v>
      </c>
      <c r="L107" s="41">
        <f>IF(AND('Courses Valid'!C119=0,Courses!G113&lt;&gt;"",Courses!H113&gt;0,Courses!Q113&gt;0),Courses!H113*Courses!Q113,0)</f>
        <v>0</v>
      </c>
      <c r="M107" s="105">
        <f>IF(AND('Courses Valid'!C119=0,Courses!I113&lt;&gt;"",Courses!J113&gt;0,Courses!Q113&gt;0),Courses!J113*Courses!Q113,0)</f>
        <v>0</v>
      </c>
      <c r="N107" s="41">
        <f>IF(AND('Courses Valid'!C119=0,Courses!E113&lt;&gt;"",Courses!F113&gt;0,SUM(Courses!W113,Courses!X113)&gt;0),Courses!F113*SUM(Courses!W113,Courses!X113),0)</f>
        <v>0</v>
      </c>
      <c r="O107" s="41">
        <f>IF(AND('Courses Valid'!C119=0,Courses!G113&lt;&gt;"",Courses!H113&gt;0,SUM(Courses!W113,Courses!X113)&gt;0),Courses!H113*SUM(Courses!W113,Courses!X113),0)</f>
        <v>0</v>
      </c>
      <c r="P107" s="41">
        <f>IF(AND('Courses Valid'!C119=0,Courses!I113&lt;&gt;"",Courses!J113&gt;0,SUM(Courses!W113,Courses!X113)&gt;0),Courses!J113*SUM(Courses!W113,Courses!X113),0)</f>
        <v>0</v>
      </c>
      <c r="Q107" s="1580">
        <f>IF(AND('Courses Valid'!C119=0,Courses!E113&lt;&gt;"",Courses!F113&gt;0,SUM(Courses!Y113,Courses!Z113)&gt;0),Courses!F113*SUM(Courses!Y113,Courses!Z113),0)</f>
        <v>0</v>
      </c>
      <c r="R107" s="41">
        <f>IF(AND('Courses Valid'!C119=0,Courses!G113&lt;&gt;"",Courses!H113&gt;0,SUM(Courses!Y113,Courses!Z113)&gt;0),Courses!H113*SUM(Courses!Y113,Courses!Z113),0)</f>
        <v>0</v>
      </c>
      <c r="S107" s="105">
        <f>IF(AND('Courses Valid'!C119=0,Courses!I113&lt;&gt;"",Courses!J113&gt;0,SUM(Courses!Y113,Courses!Z113)&gt;0),Courses!J113*SUM(Courses!Y113,Courses!Z113),0)</f>
        <v>0</v>
      </c>
      <c r="T107" s="41">
        <f>IF(AND('Courses Valid'!C119=0,Courses!E113&lt;&gt;"",Courses!F113&gt;0,Courses!AA113&gt;0),Courses!F113*Courses!AA113,0)</f>
        <v>0</v>
      </c>
      <c r="U107" s="41">
        <f>IF(AND('Courses Valid'!C119=0,Courses!G113&lt;&gt;"",Courses!H113&gt;0,Courses!AA113&gt;0),Courses!H113*Courses!AA113,0)</f>
        <v>0</v>
      </c>
      <c r="V107" s="106">
        <f>IF(AND('Courses Valid'!C119=0,Courses!I113&lt;&gt;"",Courses!J113&gt;0,Courses!AA113&gt;0),Courses!J113*Courses!AA113,0)</f>
        <v>0</v>
      </c>
      <c r="W107" s="41"/>
    </row>
    <row r="108" spans="2:23" x14ac:dyDescent="0.35">
      <c r="B108" s="70" t="str">
        <f>IF(Courses!B114&lt;&gt;"",CONCATENATE(Courses!E114,"/",Courses!L114,"/",Courses!K114),"")</f>
        <v/>
      </c>
      <c r="C108" s="1579" t="str">
        <f>IF(AND(Courses!B114&lt;&gt;"",Courses!G114&lt;&gt;""),CONCATENATE(Courses!G114,"/",Courses!L114,"/",Courses!K114),"")</f>
        <v/>
      </c>
      <c r="D108" s="71" t="str">
        <f>IF(AND(Courses!B114&lt;&gt;"",Courses!I114&lt;&gt;""),CONCATENATE(Courses!I114,"/",Courses!L114,"/",Courses!K114),"")</f>
        <v/>
      </c>
      <c r="E108" s="1580">
        <f>IF(AND('Courses Valid'!C120=0,Courses!E114&lt;&gt;"",Courses!F114&gt;0,SUM(Courses!M114,Courses!N114)&gt;0),Courses!F114*SUM(Courses!M114,Courses!N114),0)</f>
        <v>0</v>
      </c>
      <c r="F108" s="41">
        <f>IF(AND('Courses Valid'!C120=0,Courses!G114&lt;&gt;"",Courses!H114&gt;0,SUM(Courses!M114,Courses!N114)&gt;0),Courses!H114*SUM(Courses!M114,Courses!N114),0)</f>
        <v>0</v>
      </c>
      <c r="G108" s="105">
        <f>IF(AND('Courses Valid'!C120=0,Courses!I114&lt;&gt;"",Courses!J114&gt;0,SUM(Courses!M114,Courses!N114)&gt;0),Courses!J114*SUM(Courses!M114,Courses!N114),0)</f>
        <v>0</v>
      </c>
      <c r="H108" s="1580">
        <f>IF(AND('Courses Valid'!C120=0,Courses!E114&lt;&gt;"",Courses!F114&gt;0,SUM(Courses!O114,Courses!P114)&gt;0),Courses!F114*SUM(Courses!O114,Courses!P114),0)</f>
        <v>0</v>
      </c>
      <c r="I108" s="41">
        <f>IF(AND('Courses Valid'!C120=0,Courses!G114&lt;&gt;"",Courses!H114&gt;0,SUM(Courses!O114,Courses!P114)&gt;0),Courses!H114*SUM(Courses!O114,Courses!P114),0)</f>
        <v>0</v>
      </c>
      <c r="J108" s="105">
        <f>IF(AND('Courses Valid'!C120=0,Courses!I114&lt;&gt;"",Courses!J114&gt;0,SUM(Courses!O114,Courses!P114)&gt;0),Courses!J114*SUM(Courses!O114,Courses!P114),0)</f>
        <v>0</v>
      </c>
      <c r="K108" s="1580">
        <f>IF(AND('Courses Valid'!C120=0,Courses!E114&lt;&gt;"",Courses!F114&gt;0,Courses!Q114&gt;0),Courses!F114*Courses!Q114,0)</f>
        <v>0</v>
      </c>
      <c r="L108" s="41">
        <f>IF(AND('Courses Valid'!C120=0,Courses!G114&lt;&gt;"",Courses!H114&gt;0,Courses!Q114&gt;0),Courses!H114*Courses!Q114,0)</f>
        <v>0</v>
      </c>
      <c r="M108" s="105">
        <f>IF(AND('Courses Valid'!C120=0,Courses!I114&lt;&gt;"",Courses!J114&gt;0,Courses!Q114&gt;0),Courses!J114*Courses!Q114,0)</f>
        <v>0</v>
      </c>
      <c r="N108" s="41">
        <f>IF(AND('Courses Valid'!C120=0,Courses!E114&lt;&gt;"",Courses!F114&gt;0,SUM(Courses!W114,Courses!X114)&gt;0),Courses!F114*SUM(Courses!W114,Courses!X114),0)</f>
        <v>0</v>
      </c>
      <c r="O108" s="41">
        <f>IF(AND('Courses Valid'!C120=0,Courses!G114&lt;&gt;"",Courses!H114&gt;0,SUM(Courses!W114,Courses!X114)&gt;0),Courses!H114*SUM(Courses!W114,Courses!X114),0)</f>
        <v>0</v>
      </c>
      <c r="P108" s="41">
        <f>IF(AND('Courses Valid'!C120=0,Courses!I114&lt;&gt;"",Courses!J114&gt;0,SUM(Courses!W114,Courses!X114)&gt;0),Courses!J114*SUM(Courses!W114,Courses!X114),0)</f>
        <v>0</v>
      </c>
      <c r="Q108" s="1580">
        <f>IF(AND('Courses Valid'!C120=0,Courses!E114&lt;&gt;"",Courses!F114&gt;0,SUM(Courses!Y114,Courses!Z114)&gt;0),Courses!F114*SUM(Courses!Y114,Courses!Z114),0)</f>
        <v>0</v>
      </c>
      <c r="R108" s="41">
        <f>IF(AND('Courses Valid'!C120=0,Courses!G114&lt;&gt;"",Courses!H114&gt;0,SUM(Courses!Y114,Courses!Z114)&gt;0),Courses!H114*SUM(Courses!Y114,Courses!Z114),0)</f>
        <v>0</v>
      </c>
      <c r="S108" s="105">
        <f>IF(AND('Courses Valid'!C120=0,Courses!I114&lt;&gt;"",Courses!J114&gt;0,SUM(Courses!Y114,Courses!Z114)&gt;0),Courses!J114*SUM(Courses!Y114,Courses!Z114),0)</f>
        <v>0</v>
      </c>
      <c r="T108" s="41">
        <f>IF(AND('Courses Valid'!C120=0,Courses!E114&lt;&gt;"",Courses!F114&gt;0,Courses!AA114&gt;0),Courses!F114*Courses!AA114,0)</f>
        <v>0</v>
      </c>
      <c r="U108" s="41">
        <f>IF(AND('Courses Valid'!C120=0,Courses!G114&lt;&gt;"",Courses!H114&gt;0,Courses!AA114&gt;0),Courses!H114*Courses!AA114,0)</f>
        <v>0</v>
      </c>
      <c r="V108" s="106">
        <f>IF(AND('Courses Valid'!C120=0,Courses!I114&lt;&gt;"",Courses!J114&gt;0,Courses!AA114&gt;0),Courses!J114*Courses!AA114,0)</f>
        <v>0</v>
      </c>
      <c r="W108" s="41"/>
    </row>
    <row r="109" spans="2:23" x14ac:dyDescent="0.35">
      <c r="B109" s="70" t="str">
        <f>IF(Courses!B115&lt;&gt;"",CONCATENATE(Courses!E115,"/",Courses!L115,"/",Courses!K115),"")</f>
        <v/>
      </c>
      <c r="C109" s="1579" t="str">
        <f>IF(AND(Courses!B115&lt;&gt;"",Courses!G115&lt;&gt;""),CONCATENATE(Courses!G115,"/",Courses!L115,"/",Courses!K115),"")</f>
        <v/>
      </c>
      <c r="D109" s="71" t="str">
        <f>IF(AND(Courses!B115&lt;&gt;"",Courses!I115&lt;&gt;""),CONCATENATE(Courses!I115,"/",Courses!L115,"/",Courses!K115),"")</f>
        <v/>
      </c>
      <c r="E109" s="1580">
        <f>IF(AND('Courses Valid'!C121=0,Courses!E115&lt;&gt;"",Courses!F115&gt;0,SUM(Courses!M115,Courses!N115)&gt;0),Courses!F115*SUM(Courses!M115,Courses!N115),0)</f>
        <v>0</v>
      </c>
      <c r="F109" s="41">
        <f>IF(AND('Courses Valid'!C121=0,Courses!G115&lt;&gt;"",Courses!H115&gt;0,SUM(Courses!M115,Courses!N115)&gt;0),Courses!H115*SUM(Courses!M115,Courses!N115),0)</f>
        <v>0</v>
      </c>
      <c r="G109" s="105">
        <f>IF(AND('Courses Valid'!C121=0,Courses!I115&lt;&gt;"",Courses!J115&gt;0,SUM(Courses!M115,Courses!N115)&gt;0),Courses!J115*SUM(Courses!M115,Courses!N115),0)</f>
        <v>0</v>
      </c>
      <c r="H109" s="1580">
        <f>IF(AND('Courses Valid'!C121=0,Courses!E115&lt;&gt;"",Courses!F115&gt;0,SUM(Courses!O115,Courses!P115)&gt;0),Courses!F115*SUM(Courses!O115,Courses!P115),0)</f>
        <v>0</v>
      </c>
      <c r="I109" s="41">
        <f>IF(AND('Courses Valid'!C121=0,Courses!G115&lt;&gt;"",Courses!H115&gt;0,SUM(Courses!O115,Courses!P115)&gt;0),Courses!H115*SUM(Courses!O115,Courses!P115),0)</f>
        <v>0</v>
      </c>
      <c r="J109" s="105">
        <f>IF(AND('Courses Valid'!C121=0,Courses!I115&lt;&gt;"",Courses!J115&gt;0,SUM(Courses!O115,Courses!P115)&gt;0),Courses!J115*SUM(Courses!O115,Courses!P115),0)</f>
        <v>0</v>
      </c>
      <c r="K109" s="1580">
        <f>IF(AND('Courses Valid'!C121=0,Courses!E115&lt;&gt;"",Courses!F115&gt;0,Courses!Q115&gt;0),Courses!F115*Courses!Q115,0)</f>
        <v>0</v>
      </c>
      <c r="L109" s="41">
        <f>IF(AND('Courses Valid'!C121=0,Courses!G115&lt;&gt;"",Courses!H115&gt;0,Courses!Q115&gt;0),Courses!H115*Courses!Q115,0)</f>
        <v>0</v>
      </c>
      <c r="M109" s="105">
        <f>IF(AND('Courses Valid'!C121=0,Courses!I115&lt;&gt;"",Courses!J115&gt;0,Courses!Q115&gt;0),Courses!J115*Courses!Q115,0)</f>
        <v>0</v>
      </c>
      <c r="N109" s="41">
        <f>IF(AND('Courses Valid'!C121=0,Courses!E115&lt;&gt;"",Courses!F115&gt;0,SUM(Courses!W115,Courses!X115)&gt;0),Courses!F115*SUM(Courses!W115,Courses!X115),0)</f>
        <v>0</v>
      </c>
      <c r="O109" s="41">
        <f>IF(AND('Courses Valid'!C121=0,Courses!G115&lt;&gt;"",Courses!H115&gt;0,SUM(Courses!W115,Courses!X115)&gt;0),Courses!H115*SUM(Courses!W115,Courses!X115),0)</f>
        <v>0</v>
      </c>
      <c r="P109" s="41">
        <f>IF(AND('Courses Valid'!C121=0,Courses!I115&lt;&gt;"",Courses!J115&gt;0,SUM(Courses!W115,Courses!X115)&gt;0),Courses!J115*SUM(Courses!W115,Courses!X115),0)</f>
        <v>0</v>
      </c>
      <c r="Q109" s="1580">
        <f>IF(AND('Courses Valid'!C121=0,Courses!E115&lt;&gt;"",Courses!F115&gt;0,SUM(Courses!Y115,Courses!Z115)&gt;0),Courses!F115*SUM(Courses!Y115,Courses!Z115),0)</f>
        <v>0</v>
      </c>
      <c r="R109" s="41">
        <f>IF(AND('Courses Valid'!C121=0,Courses!G115&lt;&gt;"",Courses!H115&gt;0,SUM(Courses!Y115,Courses!Z115)&gt;0),Courses!H115*SUM(Courses!Y115,Courses!Z115),0)</f>
        <v>0</v>
      </c>
      <c r="S109" s="105">
        <f>IF(AND('Courses Valid'!C121=0,Courses!I115&lt;&gt;"",Courses!J115&gt;0,SUM(Courses!Y115,Courses!Z115)&gt;0),Courses!J115*SUM(Courses!Y115,Courses!Z115),0)</f>
        <v>0</v>
      </c>
      <c r="T109" s="41">
        <f>IF(AND('Courses Valid'!C121=0,Courses!E115&lt;&gt;"",Courses!F115&gt;0,Courses!AA115&gt;0),Courses!F115*Courses!AA115,0)</f>
        <v>0</v>
      </c>
      <c r="U109" s="41">
        <f>IF(AND('Courses Valid'!C121=0,Courses!G115&lt;&gt;"",Courses!H115&gt;0,Courses!AA115&gt;0),Courses!H115*Courses!AA115,0)</f>
        <v>0</v>
      </c>
      <c r="V109" s="106">
        <f>IF(AND('Courses Valid'!C121=0,Courses!I115&lt;&gt;"",Courses!J115&gt;0,Courses!AA115&gt;0),Courses!J115*Courses!AA115,0)</f>
        <v>0</v>
      </c>
      <c r="W109" s="41"/>
    </row>
    <row r="110" spans="2:23" x14ac:dyDescent="0.35">
      <c r="B110" s="70" t="str">
        <f>IF(Courses!B116&lt;&gt;"",CONCATENATE(Courses!E116,"/",Courses!L116,"/",Courses!K116),"")</f>
        <v/>
      </c>
      <c r="C110" s="1579" t="str">
        <f>IF(AND(Courses!B116&lt;&gt;"",Courses!G116&lt;&gt;""),CONCATENATE(Courses!G116,"/",Courses!L116,"/",Courses!K116),"")</f>
        <v/>
      </c>
      <c r="D110" s="71" t="str">
        <f>IF(AND(Courses!B116&lt;&gt;"",Courses!I116&lt;&gt;""),CONCATENATE(Courses!I116,"/",Courses!L116,"/",Courses!K116),"")</f>
        <v/>
      </c>
      <c r="E110" s="1580">
        <f>IF(AND('Courses Valid'!C122=0,Courses!E116&lt;&gt;"",Courses!F116&gt;0,SUM(Courses!M116,Courses!N116)&gt;0),Courses!F116*SUM(Courses!M116,Courses!N116),0)</f>
        <v>0</v>
      </c>
      <c r="F110" s="41">
        <f>IF(AND('Courses Valid'!C122=0,Courses!G116&lt;&gt;"",Courses!H116&gt;0,SUM(Courses!M116,Courses!N116)&gt;0),Courses!H116*SUM(Courses!M116,Courses!N116),0)</f>
        <v>0</v>
      </c>
      <c r="G110" s="105">
        <f>IF(AND('Courses Valid'!C122=0,Courses!I116&lt;&gt;"",Courses!J116&gt;0,SUM(Courses!M116,Courses!N116)&gt;0),Courses!J116*SUM(Courses!M116,Courses!N116),0)</f>
        <v>0</v>
      </c>
      <c r="H110" s="1580">
        <f>IF(AND('Courses Valid'!C122=0,Courses!E116&lt;&gt;"",Courses!F116&gt;0,SUM(Courses!O116,Courses!P116)&gt;0),Courses!F116*SUM(Courses!O116,Courses!P116),0)</f>
        <v>0</v>
      </c>
      <c r="I110" s="41">
        <f>IF(AND('Courses Valid'!C122=0,Courses!G116&lt;&gt;"",Courses!H116&gt;0,SUM(Courses!O116,Courses!P116)&gt;0),Courses!H116*SUM(Courses!O116,Courses!P116),0)</f>
        <v>0</v>
      </c>
      <c r="J110" s="105">
        <f>IF(AND('Courses Valid'!C122=0,Courses!I116&lt;&gt;"",Courses!J116&gt;0,SUM(Courses!O116,Courses!P116)&gt;0),Courses!J116*SUM(Courses!O116,Courses!P116),0)</f>
        <v>0</v>
      </c>
      <c r="K110" s="1580">
        <f>IF(AND('Courses Valid'!C122=0,Courses!E116&lt;&gt;"",Courses!F116&gt;0,Courses!Q116&gt;0),Courses!F116*Courses!Q116,0)</f>
        <v>0</v>
      </c>
      <c r="L110" s="41">
        <f>IF(AND('Courses Valid'!C122=0,Courses!G116&lt;&gt;"",Courses!H116&gt;0,Courses!Q116&gt;0),Courses!H116*Courses!Q116,0)</f>
        <v>0</v>
      </c>
      <c r="M110" s="105">
        <f>IF(AND('Courses Valid'!C122=0,Courses!I116&lt;&gt;"",Courses!J116&gt;0,Courses!Q116&gt;0),Courses!J116*Courses!Q116,0)</f>
        <v>0</v>
      </c>
      <c r="N110" s="41">
        <f>IF(AND('Courses Valid'!C122=0,Courses!E116&lt;&gt;"",Courses!F116&gt;0,SUM(Courses!W116,Courses!X116)&gt;0),Courses!F116*SUM(Courses!W116,Courses!X116),0)</f>
        <v>0</v>
      </c>
      <c r="O110" s="41">
        <f>IF(AND('Courses Valid'!C122=0,Courses!G116&lt;&gt;"",Courses!H116&gt;0,SUM(Courses!W116,Courses!X116)&gt;0),Courses!H116*SUM(Courses!W116,Courses!X116),0)</f>
        <v>0</v>
      </c>
      <c r="P110" s="41">
        <f>IF(AND('Courses Valid'!C122=0,Courses!I116&lt;&gt;"",Courses!J116&gt;0,SUM(Courses!W116,Courses!X116)&gt;0),Courses!J116*SUM(Courses!W116,Courses!X116),0)</f>
        <v>0</v>
      </c>
      <c r="Q110" s="1580">
        <f>IF(AND('Courses Valid'!C122=0,Courses!E116&lt;&gt;"",Courses!F116&gt;0,SUM(Courses!Y116,Courses!Z116)&gt;0),Courses!F116*SUM(Courses!Y116,Courses!Z116),0)</f>
        <v>0</v>
      </c>
      <c r="R110" s="41">
        <f>IF(AND('Courses Valid'!C122=0,Courses!G116&lt;&gt;"",Courses!H116&gt;0,SUM(Courses!Y116,Courses!Z116)&gt;0),Courses!H116*SUM(Courses!Y116,Courses!Z116),0)</f>
        <v>0</v>
      </c>
      <c r="S110" s="105">
        <f>IF(AND('Courses Valid'!C122=0,Courses!I116&lt;&gt;"",Courses!J116&gt;0,SUM(Courses!Y116,Courses!Z116)&gt;0),Courses!J116*SUM(Courses!Y116,Courses!Z116),0)</f>
        <v>0</v>
      </c>
      <c r="T110" s="41">
        <f>IF(AND('Courses Valid'!C122=0,Courses!E116&lt;&gt;"",Courses!F116&gt;0,Courses!AA116&gt;0),Courses!F116*Courses!AA116,0)</f>
        <v>0</v>
      </c>
      <c r="U110" s="41">
        <f>IF(AND('Courses Valid'!C122=0,Courses!G116&lt;&gt;"",Courses!H116&gt;0,Courses!AA116&gt;0),Courses!H116*Courses!AA116,0)</f>
        <v>0</v>
      </c>
      <c r="V110" s="106">
        <f>IF(AND('Courses Valid'!C122=0,Courses!I116&lt;&gt;"",Courses!J116&gt;0,Courses!AA116&gt;0),Courses!J116*Courses!AA116,0)</f>
        <v>0</v>
      </c>
      <c r="W110" s="41"/>
    </row>
    <row r="111" spans="2:23" x14ac:dyDescent="0.35">
      <c r="B111" s="70" t="str">
        <f>IF(Courses!B117&lt;&gt;"",CONCATENATE(Courses!E117,"/",Courses!L117,"/",Courses!K117),"")</f>
        <v/>
      </c>
      <c r="C111" s="1579" t="str">
        <f>IF(AND(Courses!B117&lt;&gt;"",Courses!G117&lt;&gt;""),CONCATENATE(Courses!G117,"/",Courses!L117,"/",Courses!K117),"")</f>
        <v/>
      </c>
      <c r="D111" s="71" t="str">
        <f>IF(AND(Courses!B117&lt;&gt;"",Courses!I117&lt;&gt;""),CONCATENATE(Courses!I117,"/",Courses!L117,"/",Courses!K117),"")</f>
        <v/>
      </c>
      <c r="E111" s="1580">
        <f>IF(AND('Courses Valid'!C123=0,Courses!E117&lt;&gt;"",Courses!F117&gt;0,SUM(Courses!M117,Courses!N117)&gt;0),Courses!F117*SUM(Courses!M117,Courses!N117),0)</f>
        <v>0</v>
      </c>
      <c r="F111" s="41">
        <f>IF(AND('Courses Valid'!C123=0,Courses!G117&lt;&gt;"",Courses!H117&gt;0,SUM(Courses!M117,Courses!N117)&gt;0),Courses!H117*SUM(Courses!M117,Courses!N117),0)</f>
        <v>0</v>
      </c>
      <c r="G111" s="105">
        <f>IF(AND('Courses Valid'!C123=0,Courses!I117&lt;&gt;"",Courses!J117&gt;0,SUM(Courses!M117,Courses!N117)&gt;0),Courses!J117*SUM(Courses!M117,Courses!N117),0)</f>
        <v>0</v>
      </c>
      <c r="H111" s="1580">
        <f>IF(AND('Courses Valid'!C123=0,Courses!E117&lt;&gt;"",Courses!F117&gt;0,SUM(Courses!O117,Courses!P117)&gt;0),Courses!F117*SUM(Courses!O117,Courses!P117),0)</f>
        <v>0</v>
      </c>
      <c r="I111" s="41">
        <f>IF(AND('Courses Valid'!C123=0,Courses!G117&lt;&gt;"",Courses!H117&gt;0,SUM(Courses!O117,Courses!P117)&gt;0),Courses!H117*SUM(Courses!O117,Courses!P117),0)</f>
        <v>0</v>
      </c>
      <c r="J111" s="105">
        <f>IF(AND('Courses Valid'!C123=0,Courses!I117&lt;&gt;"",Courses!J117&gt;0,SUM(Courses!O117,Courses!P117)&gt;0),Courses!J117*SUM(Courses!O117,Courses!P117),0)</f>
        <v>0</v>
      </c>
      <c r="K111" s="1580">
        <f>IF(AND('Courses Valid'!C123=0,Courses!E117&lt;&gt;"",Courses!F117&gt;0,Courses!Q117&gt;0),Courses!F117*Courses!Q117,0)</f>
        <v>0</v>
      </c>
      <c r="L111" s="41">
        <f>IF(AND('Courses Valid'!C123=0,Courses!G117&lt;&gt;"",Courses!H117&gt;0,Courses!Q117&gt;0),Courses!H117*Courses!Q117,0)</f>
        <v>0</v>
      </c>
      <c r="M111" s="105">
        <f>IF(AND('Courses Valid'!C123=0,Courses!I117&lt;&gt;"",Courses!J117&gt;0,Courses!Q117&gt;0),Courses!J117*Courses!Q117,0)</f>
        <v>0</v>
      </c>
      <c r="N111" s="41">
        <f>IF(AND('Courses Valid'!C123=0,Courses!E117&lt;&gt;"",Courses!F117&gt;0,SUM(Courses!W117,Courses!X117)&gt;0),Courses!F117*SUM(Courses!W117,Courses!X117),0)</f>
        <v>0</v>
      </c>
      <c r="O111" s="41">
        <f>IF(AND('Courses Valid'!C123=0,Courses!G117&lt;&gt;"",Courses!H117&gt;0,SUM(Courses!W117,Courses!X117)&gt;0),Courses!H117*SUM(Courses!W117,Courses!X117),0)</f>
        <v>0</v>
      </c>
      <c r="P111" s="41">
        <f>IF(AND('Courses Valid'!C123=0,Courses!I117&lt;&gt;"",Courses!J117&gt;0,SUM(Courses!W117,Courses!X117)&gt;0),Courses!J117*SUM(Courses!W117,Courses!X117),0)</f>
        <v>0</v>
      </c>
      <c r="Q111" s="1580">
        <f>IF(AND('Courses Valid'!C123=0,Courses!E117&lt;&gt;"",Courses!F117&gt;0,SUM(Courses!Y117,Courses!Z117)&gt;0),Courses!F117*SUM(Courses!Y117,Courses!Z117),0)</f>
        <v>0</v>
      </c>
      <c r="R111" s="41">
        <f>IF(AND('Courses Valid'!C123=0,Courses!G117&lt;&gt;"",Courses!H117&gt;0,SUM(Courses!Y117,Courses!Z117)&gt;0),Courses!H117*SUM(Courses!Y117,Courses!Z117),0)</f>
        <v>0</v>
      </c>
      <c r="S111" s="105">
        <f>IF(AND('Courses Valid'!C123=0,Courses!I117&lt;&gt;"",Courses!J117&gt;0,SUM(Courses!Y117,Courses!Z117)&gt;0),Courses!J117*SUM(Courses!Y117,Courses!Z117),0)</f>
        <v>0</v>
      </c>
      <c r="T111" s="41">
        <f>IF(AND('Courses Valid'!C123=0,Courses!E117&lt;&gt;"",Courses!F117&gt;0,Courses!AA117&gt;0),Courses!F117*Courses!AA117,0)</f>
        <v>0</v>
      </c>
      <c r="U111" s="41">
        <f>IF(AND('Courses Valid'!C123=0,Courses!G117&lt;&gt;"",Courses!H117&gt;0,Courses!AA117&gt;0),Courses!H117*Courses!AA117,0)</f>
        <v>0</v>
      </c>
      <c r="V111" s="106">
        <f>IF(AND('Courses Valid'!C123=0,Courses!I117&lt;&gt;"",Courses!J117&gt;0,Courses!AA117&gt;0),Courses!J117*Courses!AA117,0)</f>
        <v>0</v>
      </c>
      <c r="W111" s="41"/>
    </row>
    <row r="112" spans="2:23" x14ac:dyDescent="0.35">
      <c r="B112" s="70" t="str">
        <f>IF(Courses!B118&lt;&gt;"",CONCATENATE(Courses!E118,"/",Courses!L118,"/",Courses!K118),"")</f>
        <v/>
      </c>
      <c r="C112" s="1579" t="str">
        <f>IF(AND(Courses!B118&lt;&gt;"",Courses!G118&lt;&gt;""),CONCATENATE(Courses!G118,"/",Courses!L118,"/",Courses!K118),"")</f>
        <v/>
      </c>
      <c r="D112" s="71" t="str">
        <f>IF(AND(Courses!B118&lt;&gt;"",Courses!I118&lt;&gt;""),CONCATENATE(Courses!I118,"/",Courses!L118,"/",Courses!K118),"")</f>
        <v/>
      </c>
      <c r="E112" s="1580">
        <f>IF(AND('Courses Valid'!C124=0,Courses!E118&lt;&gt;"",Courses!F118&gt;0,SUM(Courses!M118,Courses!N118)&gt;0),Courses!F118*SUM(Courses!M118,Courses!N118),0)</f>
        <v>0</v>
      </c>
      <c r="F112" s="41">
        <f>IF(AND('Courses Valid'!C124=0,Courses!G118&lt;&gt;"",Courses!H118&gt;0,SUM(Courses!M118,Courses!N118)&gt;0),Courses!H118*SUM(Courses!M118,Courses!N118),0)</f>
        <v>0</v>
      </c>
      <c r="G112" s="105">
        <f>IF(AND('Courses Valid'!C124=0,Courses!I118&lt;&gt;"",Courses!J118&gt;0,SUM(Courses!M118,Courses!N118)&gt;0),Courses!J118*SUM(Courses!M118,Courses!N118),0)</f>
        <v>0</v>
      </c>
      <c r="H112" s="1580">
        <f>IF(AND('Courses Valid'!C124=0,Courses!E118&lt;&gt;"",Courses!F118&gt;0,SUM(Courses!O118,Courses!P118)&gt;0),Courses!F118*SUM(Courses!O118,Courses!P118),0)</f>
        <v>0</v>
      </c>
      <c r="I112" s="41">
        <f>IF(AND('Courses Valid'!C124=0,Courses!G118&lt;&gt;"",Courses!H118&gt;0,SUM(Courses!O118,Courses!P118)&gt;0),Courses!H118*SUM(Courses!O118,Courses!P118),0)</f>
        <v>0</v>
      </c>
      <c r="J112" s="105">
        <f>IF(AND('Courses Valid'!C124=0,Courses!I118&lt;&gt;"",Courses!J118&gt;0,SUM(Courses!O118,Courses!P118)&gt;0),Courses!J118*SUM(Courses!O118,Courses!P118),0)</f>
        <v>0</v>
      </c>
      <c r="K112" s="1580">
        <f>IF(AND('Courses Valid'!C124=0,Courses!E118&lt;&gt;"",Courses!F118&gt;0,Courses!Q118&gt;0),Courses!F118*Courses!Q118,0)</f>
        <v>0</v>
      </c>
      <c r="L112" s="41">
        <f>IF(AND('Courses Valid'!C124=0,Courses!G118&lt;&gt;"",Courses!H118&gt;0,Courses!Q118&gt;0),Courses!H118*Courses!Q118,0)</f>
        <v>0</v>
      </c>
      <c r="M112" s="105">
        <f>IF(AND('Courses Valid'!C124=0,Courses!I118&lt;&gt;"",Courses!J118&gt;0,Courses!Q118&gt;0),Courses!J118*Courses!Q118,0)</f>
        <v>0</v>
      </c>
      <c r="N112" s="41">
        <f>IF(AND('Courses Valid'!C124=0,Courses!E118&lt;&gt;"",Courses!F118&gt;0,SUM(Courses!W118,Courses!X118)&gt;0),Courses!F118*SUM(Courses!W118,Courses!X118),0)</f>
        <v>0</v>
      </c>
      <c r="O112" s="41">
        <f>IF(AND('Courses Valid'!C124=0,Courses!G118&lt;&gt;"",Courses!H118&gt;0,SUM(Courses!W118,Courses!X118)&gt;0),Courses!H118*SUM(Courses!W118,Courses!X118),0)</f>
        <v>0</v>
      </c>
      <c r="P112" s="41">
        <f>IF(AND('Courses Valid'!C124=0,Courses!I118&lt;&gt;"",Courses!J118&gt;0,SUM(Courses!W118,Courses!X118)&gt;0),Courses!J118*SUM(Courses!W118,Courses!X118),0)</f>
        <v>0</v>
      </c>
      <c r="Q112" s="1580">
        <f>IF(AND('Courses Valid'!C124=0,Courses!E118&lt;&gt;"",Courses!F118&gt;0,SUM(Courses!Y118,Courses!Z118)&gt;0),Courses!F118*SUM(Courses!Y118,Courses!Z118),0)</f>
        <v>0</v>
      </c>
      <c r="R112" s="41">
        <f>IF(AND('Courses Valid'!C124=0,Courses!G118&lt;&gt;"",Courses!H118&gt;0,SUM(Courses!Y118,Courses!Z118)&gt;0),Courses!H118*SUM(Courses!Y118,Courses!Z118),0)</f>
        <v>0</v>
      </c>
      <c r="S112" s="105">
        <f>IF(AND('Courses Valid'!C124=0,Courses!I118&lt;&gt;"",Courses!J118&gt;0,SUM(Courses!Y118,Courses!Z118)&gt;0),Courses!J118*SUM(Courses!Y118,Courses!Z118),0)</f>
        <v>0</v>
      </c>
      <c r="T112" s="41">
        <f>IF(AND('Courses Valid'!C124=0,Courses!E118&lt;&gt;"",Courses!F118&gt;0,Courses!AA118&gt;0),Courses!F118*Courses!AA118,0)</f>
        <v>0</v>
      </c>
      <c r="U112" s="41">
        <f>IF(AND('Courses Valid'!C124=0,Courses!G118&lt;&gt;"",Courses!H118&gt;0,Courses!AA118&gt;0),Courses!H118*Courses!AA118,0)</f>
        <v>0</v>
      </c>
      <c r="V112" s="106">
        <f>IF(AND('Courses Valid'!C124=0,Courses!I118&lt;&gt;"",Courses!J118&gt;0,Courses!AA118&gt;0),Courses!J118*Courses!AA118,0)</f>
        <v>0</v>
      </c>
      <c r="W112" s="41"/>
    </row>
    <row r="113" spans="2:23" x14ac:dyDescent="0.35">
      <c r="B113" s="70" t="str">
        <f>IF(Courses!B119&lt;&gt;"",CONCATENATE(Courses!E119,"/",Courses!L119,"/",Courses!K119),"")</f>
        <v/>
      </c>
      <c r="C113" s="1579" t="str">
        <f>IF(AND(Courses!B119&lt;&gt;"",Courses!G119&lt;&gt;""),CONCATENATE(Courses!G119,"/",Courses!L119,"/",Courses!K119),"")</f>
        <v/>
      </c>
      <c r="D113" s="71" t="str">
        <f>IF(AND(Courses!B119&lt;&gt;"",Courses!I119&lt;&gt;""),CONCATENATE(Courses!I119,"/",Courses!L119,"/",Courses!K119),"")</f>
        <v/>
      </c>
      <c r="E113" s="1580">
        <f>IF(AND('Courses Valid'!C125=0,Courses!E119&lt;&gt;"",Courses!F119&gt;0,SUM(Courses!M119,Courses!N119)&gt;0),Courses!F119*SUM(Courses!M119,Courses!N119),0)</f>
        <v>0</v>
      </c>
      <c r="F113" s="41">
        <f>IF(AND('Courses Valid'!C125=0,Courses!G119&lt;&gt;"",Courses!H119&gt;0,SUM(Courses!M119,Courses!N119)&gt;0),Courses!H119*SUM(Courses!M119,Courses!N119),0)</f>
        <v>0</v>
      </c>
      <c r="G113" s="105">
        <f>IF(AND('Courses Valid'!C125=0,Courses!I119&lt;&gt;"",Courses!J119&gt;0,SUM(Courses!M119,Courses!N119)&gt;0),Courses!J119*SUM(Courses!M119,Courses!N119),0)</f>
        <v>0</v>
      </c>
      <c r="H113" s="1580">
        <f>IF(AND('Courses Valid'!C125=0,Courses!E119&lt;&gt;"",Courses!F119&gt;0,SUM(Courses!O119,Courses!P119)&gt;0),Courses!F119*SUM(Courses!O119,Courses!P119),0)</f>
        <v>0</v>
      </c>
      <c r="I113" s="41">
        <f>IF(AND('Courses Valid'!C125=0,Courses!G119&lt;&gt;"",Courses!H119&gt;0,SUM(Courses!O119,Courses!P119)&gt;0),Courses!H119*SUM(Courses!O119,Courses!P119),0)</f>
        <v>0</v>
      </c>
      <c r="J113" s="105">
        <f>IF(AND('Courses Valid'!C125=0,Courses!I119&lt;&gt;"",Courses!J119&gt;0,SUM(Courses!O119,Courses!P119)&gt;0),Courses!J119*SUM(Courses!O119,Courses!P119),0)</f>
        <v>0</v>
      </c>
      <c r="K113" s="1580">
        <f>IF(AND('Courses Valid'!C125=0,Courses!E119&lt;&gt;"",Courses!F119&gt;0,Courses!Q119&gt;0),Courses!F119*Courses!Q119,0)</f>
        <v>0</v>
      </c>
      <c r="L113" s="41">
        <f>IF(AND('Courses Valid'!C125=0,Courses!G119&lt;&gt;"",Courses!H119&gt;0,Courses!Q119&gt;0),Courses!H119*Courses!Q119,0)</f>
        <v>0</v>
      </c>
      <c r="M113" s="105">
        <f>IF(AND('Courses Valid'!C125=0,Courses!I119&lt;&gt;"",Courses!J119&gt;0,Courses!Q119&gt;0),Courses!J119*Courses!Q119,0)</f>
        <v>0</v>
      </c>
      <c r="N113" s="41">
        <f>IF(AND('Courses Valid'!C125=0,Courses!E119&lt;&gt;"",Courses!F119&gt;0,SUM(Courses!W119,Courses!X119)&gt;0),Courses!F119*SUM(Courses!W119,Courses!X119),0)</f>
        <v>0</v>
      </c>
      <c r="O113" s="41">
        <f>IF(AND('Courses Valid'!C125=0,Courses!G119&lt;&gt;"",Courses!H119&gt;0,SUM(Courses!W119,Courses!X119)&gt;0),Courses!H119*SUM(Courses!W119,Courses!X119),0)</f>
        <v>0</v>
      </c>
      <c r="P113" s="41">
        <f>IF(AND('Courses Valid'!C125=0,Courses!I119&lt;&gt;"",Courses!J119&gt;0,SUM(Courses!W119,Courses!X119)&gt;0),Courses!J119*SUM(Courses!W119,Courses!X119),0)</f>
        <v>0</v>
      </c>
      <c r="Q113" s="1580">
        <f>IF(AND('Courses Valid'!C125=0,Courses!E119&lt;&gt;"",Courses!F119&gt;0,SUM(Courses!Y119,Courses!Z119)&gt;0),Courses!F119*SUM(Courses!Y119,Courses!Z119),0)</f>
        <v>0</v>
      </c>
      <c r="R113" s="41">
        <f>IF(AND('Courses Valid'!C125=0,Courses!G119&lt;&gt;"",Courses!H119&gt;0,SUM(Courses!Y119,Courses!Z119)&gt;0),Courses!H119*SUM(Courses!Y119,Courses!Z119),0)</f>
        <v>0</v>
      </c>
      <c r="S113" s="105">
        <f>IF(AND('Courses Valid'!C125=0,Courses!I119&lt;&gt;"",Courses!J119&gt;0,SUM(Courses!Y119,Courses!Z119)&gt;0),Courses!J119*SUM(Courses!Y119,Courses!Z119),0)</f>
        <v>0</v>
      </c>
      <c r="T113" s="41">
        <f>IF(AND('Courses Valid'!C125=0,Courses!E119&lt;&gt;"",Courses!F119&gt;0,Courses!AA119&gt;0),Courses!F119*Courses!AA119,0)</f>
        <v>0</v>
      </c>
      <c r="U113" s="41">
        <f>IF(AND('Courses Valid'!C125=0,Courses!G119&lt;&gt;"",Courses!H119&gt;0,Courses!AA119&gt;0),Courses!H119*Courses!AA119,0)</f>
        <v>0</v>
      </c>
      <c r="V113" s="106">
        <f>IF(AND('Courses Valid'!C125=0,Courses!I119&lt;&gt;"",Courses!J119&gt;0,Courses!AA119&gt;0),Courses!J119*Courses!AA119,0)</f>
        <v>0</v>
      </c>
      <c r="W113" s="41"/>
    </row>
    <row r="114" spans="2:23" x14ac:dyDescent="0.35">
      <c r="B114" s="70" t="str">
        <f>IF(Courses!B120&lt;&gt;"",CONCATENATE(Courses!E120,"/",Courses!L120,"/",Courses!K120),"")</f>
        <v/>
      </c>
      <c r="C114" s="1579" t="str">
        <f>IF(AND(Courses!B120&lt;&gt;"",Courses!G120&lt;&gt;""),CONCATENATE(Courses!G120,"/",Courses!L120,"/",Courses!K120),"")</f>
        <v/>
      </c>
      <c r="D114" s="71" t="str">
        <f>IF(AND(Courses!B120&lt;&gt;"",Courses!I120&lt;&gt;""),CONCATENATE(Courses!I120,"/",Courses!L120,"/",Courses!K120),"")</f>
        <v/>
      </c>
      <c r="E114" s="1580">
        <f>IF(AND('Courses Valid'!C126=0,Courses!E120&lt;&gt;"",Courses!F120&gt;0,SUM(Courses!M120,Courses!N120)&gt;0),Courses!F120*SUM(Courses!M120,Courses!N120),0)</f>
        <v>0</v>
      </c>
      <c r="F114" s="41">
        <f>IF(AND('Courses Valid'!C126=0,Courses!G120&lt;&gt;"",Courses!H120&gt;0,SUM(Courses!M120,Courses!N120)&gt;0),Courses!H120*SUM(Courses!M120,Courses!N120),0)</f>
        <v>0</v>
      </c>
      <c r="G114" s="105">
        <f>IF(AND('Courses Valid'!C126=0,Courses!I120&lt;&gt;"",Courses!J120&gt;0,SUM(Courses!M120,Courses!N120)&gt;0),Courses!J120*SUM(Courses!M120,Courses!N120),0)</f>
        <v>0</v>
      </c>
      <c r="H114" s="1580">
        <f>IF(AND('Courses Valid'!C126=0,Courses!E120&lt;&gt;"",Courses!F120&gt;0,SUM(Courses!O120,Courses!P120)&gt;0),Courses!F120*SUM(Courses!O120,Courses!P120),0)</f>
        <v>0</v>
      </c>
      <c r="I114" s="41">
        <f>IF(AND('Courses Valid'!C126=0,Courses!G120&lt;&gt;"",Courses!H120&gt;0,SUM(Courses!O120,Courses!P120)&gt;0),Courses!H120*SUM(Courses!O120,Courses!P120),0)</f>
        <v>0</v>
      </c>
      <c r="J114" s="105">
        <f>IF(AND('Courses Valid'!C126=0,Courses!I120&lt;&gt;"",Courses!J120&gt;0,SUM(Courses!O120,Courses!P120)&gt;0),Courses!J120*SUM(Courses!O120,Courses!P120),0)</f>
        <v>0</v>
      </c>
      <c r="K114" s="1580">
        <f>IF(AND('Courses Valid'!C126=0,Courses!E120&lt;&gt;"",Courses!F120&gt;0,Courses!Q120&gt;0),Courses!F120*Courses!Q120,0)</f>
        <v>0</v>
      </c>
      <c r="L114" s="41">
        <f>IF(AND('Courses Valid'!C126=0,Courses!G120&lt;&gt;"",Courses!H120&gt;0,Courses!Q120&gt;0),Courses!H120*Courses!Q120,0)</f>
        <v>0</v>
      </c>
      <c r="M114" s="105">
        <f>IF(AND('Courses Valid'!C126=0,Courses!I120&lt;&gt;"",Courses!J120&gt;0,Courses!Q120&gt;0),Courses!J120*Courses!Q120,0)</f>
        <v>0</v>
      </c>
      <c r="N114" s="41">
        <f>IF(AND('Courses Valid'!C126=0,Courses!E120&lt;&gt;"",Courses!F120&gt;0,SUM(Courses!W120,Courses!X120)&gt;0),Courses!F120*SUM(Courses!W120,Courses!X120),0)</f>
        <v>0</v>
      </c>
      <c r="O114" s="41">
        <f>IF(AND('Courses Valid'!C126=0,Courses!G120&lt;&gt;"",Courses!H120&gt;0,SUM(Courses!W120,Courses!X120)&gt;0),Courses!H120*SUM(Courses!W120,Courses!X120),0)</f>
        <v>0</v>
      </c>
      <c r="P114" s="41">
        <f>IF(AND('Courses Valid'!C126=0,Courses!I120&lt;&gt;"",Courses!J120&gt;0,SUM(Courses!W120,Courses!X120)&gt;0),Courses!J120*SUM(Courses!W120,Courses!X120),0)</f>
        <v>0</v>
      </c>
      <c r="Q114" s="1580">
        <f>IF(AND('Courses Valid'!C126=0,Courses!E120&lt;&gt;"",Courses!F120&gt;0,SUM(Courses!Y120,Courses!Z120)&gt;0),Courses!F120*SUM(Courses!Y120,Courses!Z120),0)</f>
        <v>0</v>
      </c>
      <c r="R114" s="41">
        <f>IF(AND('Courses Valid'!C126=0,Courses!G120&lt;&gt;"",Courses!H120&gt;0,SUM(Courses!Y120,Courses!Z120)&gt;0),Courses!H120*SUM(Courses!Y120,Courses!Z120),0)</f>
        <v>0</v>
      </c>
      <c r="S114" s="105">
        <f>IF(AND('Courses Valid'!C126=0,Courses!I120&lt;&gt;"",Courses!J120&gt;0,SUM(Courses!Y120,Courses!Z120)&gt;0),Courses!J120*SUM(Courses!Y120,Courses!Z120),0)</f>
        <v>0</v>
      </c>
      <c r="T114" s="41">
        <f>IF(AND('Courses Valid'!C126=0,Courses!E120&lt;&gt;"",Courses!F120&gt;0,Courses!AA120&gt;0),Courses!F120*Courses!AA120,0)</f>
        <v>0</v>
      </c>
      <c r="U114" s="41">
        <f>IF(AND('Courses Valid'!C126=0,Courses!G120&lt;&gt;"",Courses!H120&gt;0,Courses!AA120&gt;0),Courses!H120*Courses!AA120,0)</f>
        <v>0</v>
      </c>
      <c r="V114" s="106">
        <f>IF(AND('Courses Valid'!C126=0,Courses!I120&lt;&gt;"",Courses!J120&gt;0,Courses!AA120&gt;0),Courses!J120*Courses!AA120,0)</f>
        <v>0</v>
      </c>
      <c r="W114" s="41"/>
    </row>
    <row r="115" spans="2:23" x14ac:dyDescent="0.35">
      <c r="B115" s="70" t="str">
        <f>IF(Courses!B121&lt;&gt;"",CONCATENATE(Courses!E121,"/",Courses!L121,"/",Courses!K121),"")</f>
        <v/>
      </c>
      <c r="C115" s="1579" t="str">
        <f>IF(AND(Courses!B121&lt;&gt;"",Courses!G121&lt;&gt;""),CONCATENATE(Courses!G121,"/",Courses!L121,"/",Courses!K121),"")</f>
        <v/>
      </c>
      <c r="D115" s="71" t="str">
        <f>IF(AND(Courses!B121&lt;&gt;"",Courses!I121&lt;&gt;""),CONCATENATE(Courses!I121,"/",Courses!L121,"/",Courses!K121),"")</f>
        <v/>
      </c>
      <c r="E115" s="1580">
        <f>IF(AND('Courses Valid'!C127=0,Courses!E121&lt;&gt;"",Courses!F121&gt;0,SUM(Courses!M121,Courses!N121)&gt;0),Courses!F121*SUM(Courses!M121,Courses!N121),0)</f>
        <v>0</v>
      </c>
      <c r="F115" s="41">
        <f>IF(AND('Courses Valid'!C127=0,Courses!G121&lt;&gt;"",Courses!H121&gt;0,SUM(Courses!M121,Courses!N121)&gt;0),Courses!H121*SUM(Courses!M121,Courses!N121),0)</f>
        <v>0</v>
      </c>
      <c r="G115" s="105">
        <f>IF(AND('Courses Valid'!C127=0,Courses!I121&lt;&gt;"",Courses!J121&gt;0,SUM(Courses!M121,Courses!N121)&gt;0),Courses!J121*SUM(Courses!M121,Courses!N121),0)</f>
        <v>0</v>
      </c>
      <c r="H115" s="1580">
        <f>IF(AND('Courses Valid'!C127=0,Courses!E121&lt;&gt;"",Courses!F121&gt;0,SUM(Courses!O121,Courses!P121)&gt;0),Courses!F121*SUM(Courses!O121,Courses!P121),0)</f>
        <v>0</v>
      </c>
      <c r="I115" s="41">
        <f>IF(AND('Courses Valid'!C127=0,Courses!G121&lt;&gt;"",Courses!H121&gt;0,SUM(Courses!O121,Courses!P121)&gt;0),Courses!H121*SUM(Courses!O121,Courses!P121),0)</f>
        <v>0</v>
      </c>
      <c r="J115" s="105">
        <f>IF(AND('Courses Valid'!C127=0,Courses!I121&lt;&gt;"",Courses!J121&gt;0,SUM(Courses!O121,Courses!P121)&gt;0),Courses!J121*SUM(Courses!O121,Courses!P121),0)</f>
        <v>0</v>
      </c>
      <c r="K115" s="1580">
        <f>IF(AND('Courses Valid'!C127=0,Courses!E121&lt;&gt;"",Courses!F121&gt;0,Courses!Q121&gt;0),Courses!F121*Courses!Q121,0)</f>
        <v>0</v>
      </c>
      <c r="L115" s="41">
        <f>IF(AND('Courses Valid'!C127=0,Courses!G121&lt;&gt;"",Courses!H121&gt;0,Courses!Q121&gt;0),Courses!H121*Courses!Q121,0)</f>
        <v>0</v>
      </c>
      <c r="M115" s="105">
        <f>IF(AND('Courses Valid'!C127=0,Courses!I121&lt;&gt;"",Courses!J121&gt;0,Courses!Q121&gt;0),Courses!J121*Courses!Q121,0)</f>
        <v>0</v>
      </c>
      <c r="N115" s="41">
        <f>IF(AND('Courses Valid'!C127=0,Courses!E121&lt;&gt;"",Courses!F121&gt;0,SUM(Courses!W121,Courses!X121)&gt;0),Courses!F121*SUM(Courses!W121,Courses!X121),0)</f>
        <v>0</v>
      </c>
      <c r="O115" s="41">
        <f>IF(AND('Courses Valid'!C127=0,Courses!G121&lt;&gt;"",Courses!H121&gt;0,SUM(Courses!W121,Courses!X121)&gt;0),Courses!H121*SUM(Courses!W121,Courses!X121),0)</f>
        <v>0</v>
      </c>
      <c r="P115" s="41">
        <f>IF(AND('Courses Valid'!C127=0,Courses!I121&lt;&gt;"",Courses!J121&gt;0,SUM(Courses!W121,Courses!X121)&gt;0),Courses!J121*SUM(Courses!W121,Courses!X121),0)</f>
        <v>0</v>
      </c>
      <c r="Q115" s="1580">
        <f>IF(AND('Courses Valid'!C127=0,Courses!E121&lt;&gt;"",Courses!F121&gt;0,SUM(Courses!Y121,Courses!Z121)&gt;0),Courses!F121*SUM(Courses!Y121,Courses!Z121),0)</f>
        <v>0</v>
      </c>
      <c r="R115" s="41">
        <f>IF(AND('Courses Valid'!C127=0,Courses!G121&lt;&gt;"",Courses!H121&gt;0,SUM(Courses!Y121,Courses!Z121)&gt;0),Courses!H121*SUM(Courses!Y121,Courses!Z121),0)</f>
        <v>0</v>
      </c>
      <c r="S115" s="105">
        <f>IF(AND('Courses Valid'!C127=0,Courses!I121&lt;&gt;"",Courses!J121&gt;0,SUM(Courses!Y121,Courses!Z121)&gt;0),Courses!J121*SUM(Courses!Y121,Courses!Z121),0)</f>
        <v>0</v>
      </c>
      <c r="T115" s="41">
        <f>IF(AND('Courses Valid'!C127=0,Courses!E121&lt;&gt;"",Courses!F121&gt;0,Courses!AA121&gt;0),Courses!F121*Courses!AA121,0)</f>
        <v>0</v>
      </c>
      <c r="U115" s="41">
        <f>IF(AND('Courses Valid'!C127=0,Courses!G121&lt;&gt;"",Courses!H121&gt;0,Courses!AA121&gt;0),Courses!H121*Courses!AA121,0)</f>
        <v>0</v>
      </c>
      <c r="V115" s="106">
        <f>IF(AND('Courses Valid'!C127=0,Courses!I121&lt;&gt;"",Courses!J121&gt;0,Courses!AA121&gt;0),Courses!J121*Courses!AA121,0)</f>
        <v>0</v>
      </c>
      <c r="W115" s="41"/>
    </row>
    <row r="116" spans="2:23" x14ac:dyDescent="0.35">
      <c r="B116" s="70" t="str">
        <f>IF(Courses!B122&lt;&gt;"",CONCATENATE(Courses!E122,"/",Courses!L122,"/",Courses!K122),"")</f>
        <v/>
      </c>
      <c r="C116" s="1579" t="str">
        <f>IF(AND(Courses!B122&lt;&gt;"",Courses!G122&lt;&gt;""),CONCATENATE(Courses!G122,"/",Courses!L122,"/",Courses!K122),"")</f>
        <v/>
      </c>
      <c r="D116" s="71" t="str">
        <f>IF(AND(Courses!B122&lt;&gt;"",Courses!I122&lt;&gt;""),CONCATENATE(Courses!I122,"/",Courses!L122,"/",Courses!K122),"")</f>
        <v/>
      </c>
      <c r="E116" s="1580">
        <f>IF(AND('Courses Valid'!C128=0,Courses!E122&lt;&gt;"",Courses!F122&gt;0,SUM(Courses!M122,Courses!N122)&gt;0),Courses!F122*SUM(Courses!M122,Courses!N122),0)</f>
        <v>0</v>
      </c>
      <c r="F116" s="41">
        <f>IF(AND('Courses Valid'!C128=0,Courses!G122&lt;&gt;"",Courses!H122&gt;0,SUM(Courses!M122,Courses!N122)&gt;0),Courses!H122*SUM(Courses!M122,Courses!N122),0)</f>
        <v>0</v>
      </c>
      <c r="G116" s="105">
        <f>IF(AND('Courses Valid'!C128=0,Courses!I122&lt;&gt;"",Courses!J122&gt;0,SUM(Courses!M122,Courses!N122)&gt;0),Courses!J122*SUM(Courses!M122,Courses!N122),0)</f>
        <v>0</v>
      </c>
      <c r="H116" s="1580">
        <f>IF(AND('Courses Valid'!C128=0,Courses!E122&lt;&gt;"",Courses!F122&gt;0,SUM(Courses!O122,Courses!P122)&gt;0),Courses!F122*SUM(Courses!O122,Courses!P122),0)</f>
        <v>0</v>
      </c>
      <c r="I116" s="41">
        <f>IF(AND('Courses Valid'!C128=0,Courses!G122&lt;&gt;"",Courses!H122&gt;0,SUM(Courses!O122,Courses!P122)&gt;0),Courses!H122*SUM(Courses!O122,Courses!P122),0)</f>
        <v>0</v>
      </c>
      <c r="J116" s="105">
        <f>IF(AND('Courses Valid'!C128=0,Courses!I122&lt;&gt;"",Courses!J122&gt;0,SUM(Courses!O122,Courses!P122)&gt;0),Courses!J122*SUM(Courses!O122,Courses!P122),0)</f>
        <v>0</v>
      </c>
      <c r="K116" s="1580">
        <f>IF(AND('Courses Valid'!C128=0,Courses!E122&lt;&gt;"",Courses!F122&gt;0,Courses!Q122&gt;0),Courses!F122*Courses!Q122,0)</f>
        <v>0</v>
      </c>
      <c r="L116" s="41">
        <f>IF(AND('Courses Valid'!C128=0,Courses!G122&lt;&gt;"",Courses!H122&gt;0,Courses!Q122&gt;0),Courses!H122*Courses!Q122,0)</f>
        <v>0</v>
      </c>
      <c r="M116" s="105">
        <f>IF(AND('Courses Valid'!C128=0,Courses!I122&lt;&gt;"",Courses!J122&gt;0,Courses!Q122&gt;0),Courses!J122*Courses!Q122,0)</f>
        <v>0</v>
      </c>
      <c r="N116" s="41">
        <f>IF(AND('Courses Valid'!C128=0,Courses!E122&lt;&gt;"",Courses!F122&gt;0,SUM(Courses!W122,Courses!X122)&gt;0),Courses!F122*SUM(Courses!W122,Courses!X122),0)</f>
        <v>0</v>
      </c>
      <c r="O116" s="41">
        <f>IF(AND('Courses Valid'!C128=0,Courses!G122&lt;&gt;"",Courses!H122&gt;0,SUM(Courses!W122,Courses!X122)&gt;0),Courses!H122*SUM(Courses!W122,Courses!X122),0)</f>
        <v>0</v>
      </c>
      <c r="P116" s="41">
        <f>IF(AND('Courses Valid'!C128=0,Courses!I122&lt;&gt;"",Courses!J122&gt;0,SUM(Courses!W122,Courses!X122)&gt;0),Courses!J122*SUM(Courses!W122,Courses!X122),0)</f>
        <v>0</v>
      </c>
      <c r="Q116" s="1580">
        <f>IF(AND('Courses Valid'!C128=0,Courses!E122&lt;&gt;"",Courses!F122&gt;0,SUM(Courses!Y122,Courses!Z122)&gt;0),Courses!F122*SUM(Courses!Y122,Courses!Z122),0)</f>
        <v>0</v>
      </c>
      <c r="R116" s="41">
        <f>IF(AND('Courses Valid'!C128=0,Courses!G122&lt;&gt;"",Courses!H122&gt;0,SUM(Courses!Y122,Courses!Z122)&gt;0),Courses!H122*SUM(Courses!Y122,Courses!Z122),0)</f>
        <v>0</v>
      </c>
      <c r="S116" s="105">
        <f>IF(AND('Courses Valid'!C128=0,Courses!I122&lt;&gt;"",Courses!J122&gt;0,SUM(Courses!Y122,Courses!Z122)&gt;0),Courses!J122*SUM(Courses!Y122,Courses!Z122),0)</f>
        <v>0</v>
      </c>
      <c r="T116" s="41">
        <f>IF(AND('Courses Valid'!C128=0,Courses!E122&lt;&gt;"",Courses!F122&gt;0,Courses!AA122&gt;0),Courses!F122*Courses!AA122,0)</f>
        <v>0</v>
      </c>
      <c r="U116" s="41">
        <f>IF(AND('Courses Valid'!C128=0,Courses!G122&lt;&gt;"",Courses!H122&gt;0,Courses!AA122&gt;0),Courses!H122*Courses!AA122,0)</f>
        <v>0</v>
      </c>
      <c r="V116" s="106">
        <f>IF(AND('Courses Valid'!C128=0,Courses!I122&lt;&gt;"",Courses!J122&gt;0,Courses!AA122&gt;0),Courses!J122*Courses!AA122,0)</f>
        <v>0</v>
      </c>
      <c r="W116" s="41"/>
    </row>
    <row r="117" spans="2:23" x14ac:dyDescent="0.35">
      <c r="B117" s="70" t="str">
        <f>IF(Courses!B123&lt;&gt;"",CONCATENATE(Courses!E123,"/",Courses!L123,"/",Courses!K123),"")</f>
        <v/>
      </c>
      <c r="C117" s="1579" t="str">
        <f>IF(AND(Courses!B123&lt;&gt;"",Courses!G123&lt;&gt;""),CONCATENATE(Courses!G123,"/",Courses!L123,"/",Courses!K123),"")</f>
        <v/>
      </c>
      <c r="D117" s="71" t="str">
        <f>IF(AND(Courses!B123&lt;&gt;"",Courses!I123&lt;&gt;""),CONCATENATE(Courses!I123,"/",Courses!L123,"/",Courses!K123),"")</f>
        <v/>
      </c>
      <c r="E117" s="1580">
        <f>IF(AND('Courses Valid'!C129=0,Courses!E123&lt;&gt;"",Courses!F123&gt;0,SUM(Courses!M123,Courses!N123)&gt;0),Courses!F123*SUM(Courses!M123,Courses!N123),0)</f>
        <v>0</v>
      </c>
      <c r="F117" s="41">
        <f>IF(AND('Courses Valid'!C129=0,Courses!G123&lt;&gt;"",Courses!H123&gt;0,SUM(Courses!M123,Courses!N123)&gt;0),Courses!H123*SUM(Courses!M123,Courses!N123),0)</f>
        <v>0</v>
      </c>
      <c r="G117" s="105">
        <f>IF(AND('Courses Valid'!C129=0,Courses!I123&lt;&gt;"",Courses!J123&gt;0,SUM(Courses!M123,Courses!N123)&gt;0),Courses!J123*SUM(Courses!M123,Courses!N123),0)</f>
        <v>0</v>
      </c>
      <c r="H117" s="1580">
        <f>IF(AND('Courses Valid'!C129=0,Courses!E123&lt;&gt;"",Courses!F123&gt;0,SUM(Courses!O123,Courses!P123)&gt;0),Courses!F123*SUM(Courses!O123,Courses!P123),0)</f>
        <v>0</v>
      </c>
      <c r="I117" s="41">
        <f>IF(AND('Courses Valid'!C129=0,Courses!G123&lt;&gt;"",Courses!H123&gt;0,SUM(Courses!O123,Courses!P123)&gt;0),Courses!H123*SUM(Courses!O123,Courses!P123),0)</f>
        <v>0</v>
      </c>
      <c r="J117" s="105">
        <f>IF(AND('Courses Valid'!C129=0,Courses!I123&lt;&gt;"",Courses!J123&gt;0,SUM(Courses!O123,Courses!P123)&gt;0),Courses!J123*SUM(Courses!O123,Courses!P123),0)</f>
        <v>0</v>
      </c>
      <c r="K117" s="1580">
        <f>IF(AND('Courses Valid'!C129=0,Courses!E123&lt;&gt;"",Courses!F123&gt;0,Courses!Q123&gt;0),Courses!F123*Courses!Q123,0)</f>
        <v>0</v>
      </c>
      <c r="L117" s="41">
        <f>IF(AND('Courses Valid'!C129=0,Courses!G123&lt;&gt;"",Courses!H123&gt;0,Courses!Q123&gt;0),Courses!H123*Courses!Q123,0)</f>
        <v>0</v>
      </c>
      <c r="M117" s="105">
        <f>IF(AND('Courses Valid'!C129=0,Courses!I123&lt;&gt;"",Courses!J123&gt;0,Courses!Q123&gt;0),Courses!J123*Courses!Q123,0)</f>
        <v>0</v>
      </c>
      <c r="N117" s="41">
        <f>IF(AND('Courses Valid'!C129=0,Courses!E123&lt;&gt;"",Courses!F123&gt;0,SUM(Courses!W123,Courses!X123)&gt;0),Courses!F123*SUM(Courses!W123,Courses!X123),0)</f>
        <v>0</v>
      </c>
      <c r="O117" s="41">
        <f>IF(AND('Courses Valid'!C129=0,Courses!G123&lt;&gt;"",Courses!H123&gt;0,SUM(Courses!W123,Courses!X123)&gt;0),Courses!H123*SUM(Courses!W123,Courses!X123),0)</f>
        <v>0</v>
      </c>
      <c r="P117" s="41">
        <f>IF(AND('Courses Valid'!C129=0,Courses!I123&lt;&gt;"",Courses!J123&gt;0,SUM(Courses!W123,Courses!X123)&gt;0),Courses!J123*SUM(Courses!W123,Courses!X123),0)</f>
        <v>0</v>
      </c>
      <c r="Q117" s="1580">
        <f>IF(AND('Courses Valid'!C129=0,Courses!E123&lt;&gt;"",Courses!F123&gt;0,SUM(Courses!Y123,Courses!Z123)&gt;0),Courses!F123*SUM(Courses!Y123,Courses!Z123),0)</f>
        <v>0</v>
      </c>
      <c r="R117" s="41">
        <f>IF(AND('Courses Valid'!C129=0,Courses!G123&lt;&gt;"",Courses!H123&gt;0,SUM(Courses!Y123,Courses!Z123)&gt;0),Courses!H123*SUM(Courses!Y123,Courses!Z123),0)</f>
        <v>0</v>
      </c>
      <c r="S117" s="105">
        <f>IF(AND('Courses Valid'!C129=0,Courses!I123&lt;&gt;"",Courses!J123&gt;0,SUM(Courses!Y123,Courses!Z123)&gt;0),Courses!J123*SUM(Courses!Y123,Courses!Z123),0)</f>
        <v>0</v>
      </c>
      <c r="T117" s="41">
        <f>IF(AND('Courses Valid'!C129=0,Courses!E123&lt;&gt;"",Courses!F123&gt;0,Courses!AA123&gt;0),Courses!F123*Courses!AA123,0)</f>
        <v>0</v>
      </c>
      <c r="U117" s="41">
        <f>IF(AND('Courses Valid'!C129=0,Courses!G123&lt;&gt;"",Courses!H123&gt;0,Courses!AA123&gt;0),Courses!H123*Courses!AA123,0)</f>
        <v>0</v>
      </c>
      <c r="V117" s="106">
        <f>IF(AND('Courses Valid'!C129=0,Courses!I123&lt;&gt;"",Courses!J123&gt;0,Courses!AA123&gt;0),Courses!J123*Courses!AA123,0)</f>
        <v>0</v>
      </c>
      <c r="W117" s="41"/>
    </row>
    <row r="118" spans="2:23" x14ac:dyDescent="0.35">
      <c r="B118" s="70" t="str">
        <f>IF(Courses!B124&lt;&gt;"",CONCATENATE(Courses!E124,"/",Courses!L124,"/",Courses!K124),"")</f>
        <v/>
      </c>
      <c r="C118" s="1579" t="str">
        <f>IF(AND(Courses!B124&lt;&gt;"",Courses!G124&lt;&gt;""),CONCATENATE(Courses!G124,"/",Courses!L124,"/",Courses!K124),"")</f>
        <v/>
      </c>
      <c r="D118" s="71" t="str">
        <f>IF(AND(Courses!B124&lt;&gt;"",Courses!I124&lt;&gt;""),CONCATENATE(Courses!I124,"/",Courses!L124,"/",Courses!K124),"")</f>
        <v/>
      </c>
      <c r="E118" s="1580">
        <f>IF(AND('Courses Valid'!C130=0,Courses!E124&lt;&gt;"",Courses!F124&gt;0,SUM(Courses!M124,Courses!N124)&gt;0),Courses!F124*SUM(Courses!M124,Courses!N124),0)</f>
        <v>0</v>
      </c>
      <c r="F118" s="41">
        <f>IF(AND('Courses Valid'!C130=0,Courses!G124&lt;&gt;"",Courses!H124&gt;0,SUM(Courses!M124,Courses!N124)&gt;0),Courses!H124*SUM(Courses!M124,Courses!N124),0)</f>
        <v>0</v>
      </c>
      <c r="G118" s="105">
        <f>IF(AND('Courses Valid'!C130=0,Courses!I124&lt;&gt;"",Courses!J124&gt;0,SUM(Courses!M124,Courses!N124)&gt;0),Courses!J124*SUM(Courses!M124,Courses!N124),0)</f>
        <v>0</v>
      </c>
      <c r="H118" s="1580">
        <f>IF(AND('Courses Valid'!C130=0,Courses!E124&lt;&gt;"",Courses!F124&gt;0,SUM(Courses!O124,Courses!P124)&gt;0),Courses!F124*SUM(Courses!O124,Courses!P124),0)</f>
        <v>0</v>
      </c>
      <c r="I118" s="41">
        <f>IF(AND('Courses Valid'!C130=0,Courses!G124&lt;&gt;"",Courses!H124&gt;0,SUM(Courses!O124,Courses!P124)&gt;0),Courses!H124*SUM(Courses!O124,Courses!P124),0)</f>
        <v>0</v>
      </c>
      <c r="J118" s="105">
        <f>IF(AND('Courses Valid'!C130=0,Courses!I124&lt;&gt;"",Courses!J124&gt;0,SUM(Courses!O124,Courses!P124)&gt;0),Courses!J124*SUM(Courses!O124,Courses!P124),0)</f>
        <v>0</v>
      </c>
      <c r="K118" s="1580">
        <f>IF(AND('Courses Valid'!C130=0,Courses!E124&lt;&gt;"",Courses!F124&gt;0,Courses!Q124&gt;0),Courses!F124*Courses!Q124,0)</f>
        <v>0</v>
      </c>
      <c r="L118" s="41">
        <f>IF(AND('Courses Valid'!C130=0,Courses!G124&lt;&gt;"",Courses!H124&gt;0,Courses!Q124&gt;0),Courses!H124*Courses!Q124,0)</f>
        <v>0</v>
      </c>
      <c r="M118" s="105">
        <f>IF(AND('Courses Valid'!C130=0,Courses!I124&lt;&gt;"",Courses!J124&gt;0,Courses!Q124&gt;0),Courses!J124*Courses!Q124,0)</f>
        <v>0</v>
      </c>
      <c r="N118" s="41">
        <f>IF(AND('Courses Valid'!C130=0,Courses!E124&lt;&gt;"",Courses!F124&gt;0,SUM(Courses!W124,Courses!X124)&gt;0),Courses!F124*SUM(Courses!W124,Courses!X124),0)</f>
        <v>0</v>
      </c>
      <c r="O118" s="41">
        <f>IF(AND('Courses Valid'!C130=0,Courses!G124&lt;&gt;"",Courses!H124&gt;0,SUM(Courses!W124,Courses!X124)&gt;0),Courses!H124*SUM(Courses!W124,Courses!X124),0)</f>
        <v>0</v>
      </c>
      <c r="P118" s="41">
        <f>IF(AND('Courses Valid'!C130=0,Courses!I124&lt;&gt;"",Courses!J124&gt;0,SUM(Courses!W124,Courses!X124)&gt;0),Courses!J124*SUM(Courses!W124,Courses!X124),0)</f>
        <v>0</v>
      </c>
      <c r="Q118" s="1580">
        <f>IF(AND('Courses Valid'!C130=0,Courses!E124&lt;&gt;"",Courses!F124&gt;0,SUM(Courses!Y124,Courses!Z124)&gt;0),Courses!F124*SUM(Courses!Y124,Courses!Z124),0)</f>
        <v>0</v>
      </c>
      <c r="R118" s="41">
        <f>IF(AND('Courses Valid'!C130=0,Courses!G124&lt;&gt;"",Courses!H124&gt;0,SUM(Courses!Y124,Courses!Z124)&gt;0),Courses!H124*SUM(Courses!Y124,Courses!Z124),0)</f>
        <v>0</v>
      </c>
      <c r="S118" s="105">
        <f>IF(AND('Courses Valid'!C130=0,Courses!I124&lt;&gt;"",Courses!J124&gt;0,SUM(Courses!Y124,Courses!Z124)&gt;0),Courses!J124*SUM(Courses!Y124,Courses!Z124),0)</f>
        <v>0</v>
      </c>
      <c r="T118" s="41">
        <f>IF(AND('Courses Valid'!C130=0,Courses!E124&lt;&gt;"",Courses!F124&gt;0,Courses!AA124&gt;0),Courses!F124*Courses!AA124,0)</f>
        <v>0</v>
      </c>
      <c r="U118" s="41">
        <f>IF(AND('Courses Valid'!C130=0,Courses!G124&lt;&gt;"",Courses!H124&gt;0,Courses!AA124&gt;0),Courses!H124*Courses!AA124,0)</f>
        <v>0</v>
      </c>
      <c r="V118" s="106">
        <f>IF(AND('Courses Valid'!C130=0,Courses!I124&lt;&gt;"",Courses!J124&gt;0,Courses!AA124&gt;0),Courses!J124*Courses!AA124,0)</f>
        <v>0</v>
      </c>
      <c r="W118" s="41"/>
    </row>
    <row r="119" spans="2:23" x14ac:dyDescent="0.35">
      <c r="B119" s="70" t="str">
        <f>IF(Courses!B125&lt;&gt;"",CONCATENATE(Courses!E125,"/",Courses!L125,"/",Courses!K125),"")</f>
        <v/>
      </c>
      <c r="C119" s="1579" t="str">
        <f>IF(AND(Courses!B125&lt;&gt;"",Courses!G125&lt;&gt;""),CONCATENATE(Courses!G125,"/",Courses!L125,"/",Courses!K125),"")</f>
        <v/>
      </c>
      <c r="D119" s="71" t="str">
        <f>IF(AND(Courses!B125&lt;&gt;"",Courses!I125&lt;&gt;""),CONCATENATE(Courses!I125,"/",Courses!L125,"/",Courses!K125),"")</f>
        <v/>
      </c>
      <c r="E119" s="1580">
        <f>IF(AND('Courses Valid'!C131=0,Courses!E125&lt;&gt;"",Courses!F125&gt;0,SUM(Courses!M125,Courses!N125)&gt;0),Courses!F125*SUM(Courses!M125,Courses!N125),0)</f>
        <v>0</v>
      </c>
      <c r="F119" s="41">
        <f>IF(AND('Courses Valid'!C131=0,Courses!G125&lt;&gt;"",Courses!H125&gt;0,SUM(Courses!M125,Courses!N125)&gt;0),Courses!H125*SUM(Courses!M125,Courses!N125),0)</f>
        <v>0</v>
      </c>
      <c r="G119" s="105">
        <f>IF(AND('Courses Valid'!C131=0,Courses!I125&lt;&gt;"",Courses!J125&gt;0,SUM(Courses!M125,Courses!N125)&gt;0),Courses!J125*SUM(Courses!M125,Courses!N125),0)</f>
        <v>0</v>
      </c>
      <c r="H119" s="1580">
        <f>IF(AND('Courses Valid'!C131=0,Courses!E125&lt;&gt;"",Courses!F125&gt;0,SUM(Courses!O125,Courses!P125)&gt;0),Courses!F125*SUM(Courses!O125,Courses!P125),0)</f>
        <v>0</v>
      </c>
      <c r="I119" s="41">
        <f>IF(AND('Courses Valid'!C131=0,Courses!G125&lt;&gt;"",Courses!H125&gt;0,SUM(Courses!O125,Courses!P125)&gt;0),Courses!H125*SUM(Courses!O125,Courses!P125),0)</f>
        <v>0</v>
      </c>
      <c r="J119" s="105">
        <f>IF(AND('Courses Valid'!C131=0,Courses!I125&lt;&gt;"",Courses!J125&gt;0,SUM(Courses!O125,Courses!P125)&gt;0),Courses!J125*SUM(Courses!O125,Courses!P125),0)</f>
        <v>0</v>
      </c>
      <c r="K119" s="1580">
        <f>IF(AND('Courses Valid'!C131=0,Courses!E125&lt;&gt;"",Courses!F125&gt;0,Courses!Q125&gt;0),Courses!F125*Courses!Q125,0)</f>
        <v>0</v>
      </c>
      <c r="L119" s="41">
        <f>IF(AND('Courses Valid'!C131=0,Courses!G125&lt;&gt;"",Courses!H125&gt;0,Courses!Q125&gt;0),Courses!H125*Courses!Q125,0)</f>
        <v>0</v>
      </c>
      <c r="M119" s="105">
        <f>IF(AND('Courses Valid'!C131=0,Courses!I125&lt;&gt;"",Courses!J125&gt;0,Courses!Q125&gt;0),Courses!J125*Courses!Q125,0)</f>
        <v>0</v>
      </c>
      <c r="N119" s="41">
        <f>IF(AND('Courses Valid'!C131=0,Courses!E125&lt;&gt;"",Courses!F125&gt;0,SUM(Courses!W125,Courses!X125)&gt;0),Courses!F125*SUM(Courses!W125,Courses!X125),0)</f>
        <v>0</v>
      </c>
      <c r="O119" s="41">
        <f>IF(AND('Courses Valid'!C131=0,Courses!G125&lt;&gt;"",Courses!H125&gt;0,SUM(Courses!W125,Courses!X125)&gt;0),Courses!H125*SUM(Courses!W125,Courses!X125),0)</f>
        <v>0</v>
      </c>
      <c r="P119" s="41">
        <f>IF(AND('Courses Valid'!C131=0,Courses!I125&lt;&gt;"",Courses!J125&gt;0,SUM(Courses!W125,Courses!X125)&gt;0),Courses!J125*SUM(Courses!W125,Courses!X125),0)</f>
        <v>0</v>
      </c>
      <c r="Q119" s="1580">
        <f>IF(AND('Courses Valid'!C131=0,Courses!E125&lt;&gt;"",Courses!F125&gt;0,SUM(Courses!Y125,Courses!Z125)&gt;0),Courses!F125*SUM(Courses!Y125,Courses!Z125),0)</f>
        <v>0</v>
      </c>
      <c r="R119" s="41">
        <f>IF(AND('Courses Valid'!C131=0,Courses!G125&lt;&gt;"",Courses!H125&gt;0,SUM(Courses!Y125,Courses!Z125)&gt;0),Courses!H125*SUM(Courses!Y125,Courses!Z125),0)</f>
        <v>0</v>
      </c>
      <c r="S119" s="105">
        <f>IF(AND('Courses Valid'!C131=0,Courses!I125&lt;&gt;"",Courses!J125&gt;0,SUM(Courses!Y125,Courses!Z125)&gt;0),Courses!J125*SUM(Courses!Y125,Courses!Z125),0)</f>
        <v>0</v>
      </c>
      <c r="T119" s="41">
        <f>IF(AND('Courses Valid'!C131=0,Courses!E125&lt;&gt;"",Courses!F125&gt;0,Courses!AA125&gt;0),Courses!F125*Courses!AA125,0)</f>
        <v>0</v>
      </c>
      <c r="U119" s="41">
        <f>IF(AND('Courses Valid'!C131=0,Courses!G125&lt;&gt;"",Courses!H125&gt;0,Courses!AA125&gt;0),Courses!H125*Courses!AA125,0)</f>
        <v>0</v>
      </c>
      <c r="V119" s="106">
        <f>IF(AND('Courses Valid'!C131=0,Courses!I125&lt;&gt;"",Courses!J125&gt;0,Courses!AA125&gt;0),Courses!J125*Courses!AA125,0)</f>
        <v>0</v>
      </c>
      <c r="W119" s="41"/>
    </row>
    <row r="120" spans="2:23" x14ac:dyDescent="0.35">
      <c r="B120" s="70" t="str">
        <f>IF(Courses!B126&lt;&gt;"",CONCATENATE(Courses!E126,"/",Courses!L126,"/",Courses!K126),"")</f>
        <v/>
      </c>
      <c r="C120" s="1579" t="str">
        <f>IF(AND(Courses!B126&lt;&gt;"",Courses!G126&lt;&gt;""),CONCATENATE(Courses!G126,"/",Courses!L126,"/",Courses!K126),"")</f>
        <v/>
      </c>
      <c r="D120" s="71" t="str">
        <f>IF(AND(Courses!B126&lt;&gt;"",Courses!I126&lt;&gt;""),CONCATENATE(Courses!I126,"/",Courses!L126,"/",Courses!K126),"")</f>
        <v/>
      </c>
      <c r="E120" s="1580">
        <f>IF(AND('Courses Valid'!C132=0,Courses!E126&lt;&gt;"",Courses!F126&gt;0,SUM(Courses!M126,Courses!N126)&gt;0),Courses!F126*SUM(Courses!M126,Courses!N126),0)</f>
        <v>0</v>
      </c>
      <c r="F120" s="41">
        <f>IF(AND('Courses Valid'!C132=0,Courses!G126&lt;&gt;"",Courses!H126&gt;0,SUM(Courses!M126,Courses!N126)&gt;0),Courses!H126*SUM(Courses!M126,Courses!N126),0)</f>
        <v>0</v>
      </c>
      <c r="G120" s="105">
        <f>IF(AND('Courses Valid'!C132=0,Courses!I126&lt;&gt;"",Courses!J126&gt;0,SUM(Courses!M126,Courses!N126)&gt;0),Courses!J126*SUM(Courses!M126,Courses!N126),0)</f>
        <v>0</v>
      </c>
      <c r="H120" s="1580">
        <f>IF(AND('Courses Valid'!C132=0,Courses!E126&lt;&gt;"",Courses!F126&gt;0,SUM(Courses!O126,Courses!P126)&gt;0),Courses!F126*SUM(Courses!O126,Courses!P126),0)</f>
        <v>0</v>
      </c>
      <c r="I120" s="41">
        <f>IF(AND('Courses Valid'!C132=0,Courses!G126&lt;&gt;"",Courses!H126&gt;0,SUM(Courses!O126,Courses!P126)&gt;0),Courses!H126*SUM(Courses!O126,Courses!P126),0)</f>
        <v>0</v>
      </c>
      <c r="J120" s="105">
        <f>IF(AND('Courses Valid'!C132=0,Courses!I126&lt;&gt;"",Courses!J126&gt;0,SUM(Courses!O126,Courses!P126)&gt;0),Courses!J126*SUM(Courses!O126,Courses!P126),0)</f>
        <v>0</v>
      </c>
      <c r="K120" s="1580">
        <f>IF(AND('Courses Valid'!C132=0,Courses!E126&lt;&gt;"",Courses!F126&gt;0,Courses!Q126&gt;0),Courses!F126*Courses!Q126,0)</f>
        <v>0</v>
      </c>
      <c r="L120" s="41">
        <f>IF(AND('Courses Valid'!C132=0,Courses!G126&lt;&gt;"",Courses!H126&gt;0,Courses!Q126&gt;0),Courses!H126*Courses!Q126,0)</f>
        <v>0</v>
      </c>
      <c r="M120" s="105">
        <f>IF(AND('Courses Valid'!C132=0,Courses!I126&lt;&gt;"",Courses!J126&gt;0,Courses!Q126&gt;0),Courses!J126*Courses!Q126,0)</f>
        <v>0</v>
      </c>
      <c r="N120" s="41">
        <f>IF(AND('Courses Valid'!C132=0,Courses!E126&lt;&gt;"",Courses!F126&gt;0,SUM(Courses!W126,Courses!X126)&gt;0),Courses!F126*SUM(Courses!W126,Courses!X126),0)</f>
        <v>0</v>
      </c>
      <c r="O120" s="41">
        <f>IF(AND('Courses Valid'!C132=0,Courses!G126&lt;&gt;"",Courses!H126&gt;0,SUM(Courses!W126,Courses!X126)&gt;0),Courses!H126*SUM(Courses!W126,Courses!X126),0)</f>
        <v>0</v>
      </c>
      <c r="P120" s="41">
        <f>IF(AND('Courses Valid'!C132=0,Courses!I126&lt;&gt;"",Courses!J126&gt;0,SUM(Courses!W126,Courses!X126)&gt;0),Courses!J126*SUM(Courses!W126,Courses!X126),0)</f>
        <v>0</v>
      </c>
      <c r="Q120" s="1580">
        <f>IF(AND('Courses Valid'!C132=0,Courses!E126&lt;&gt;"",Courses!F126&gt;0,SUM(Courses!Y126,Courses!Z126)&gt;0),Courses!F126*SUM(Courses!Y126,Courses!Z126),0)</f>
        <v>0</v>
      </c>
      <c r="R120" s="41">
        <f>IF(AND('Courses Valid'!C132=0,Courses!G126&lt;&gt;"",Courses!H126&gt;0,SUM(Courses!Y126,Courses!Z126)&gt;0),Courses!H126*SUM(Courses!Y126,Courses!Z126),0)</f>
        <v>0</v>
      </c>
      <c r="S120" s="105">
        <f>IF(AND('Courses Valid'!C132=0,Courses!I126&lt;&gt;"",Courses!J126&gt;0,SUM(Courses!Y126,Courses!Z126)&gt;0),Courses!J126*SUM(Courses!Y126,Courses!Z126),0)</f>
        <v>0</v>
      </c>
      <c r="T120" s="41">
        <f>IF(AND('Courses Valid'!C132=0,Courses!E126&lt;&gt;"",Courses!F126&gt;0,Courses!AA126&gt;0),Courses!F126*Courses!AA126,0)</f>
        <v>0</v>
      </c>
      <c r="U120" s="41">
        <f>IF(AND('Courses Valid'!C132=0,Courses!G126&lt;&gt;"",Courses!H126&gt;0,Courses!AA126&gt;0),Courses!H126*Courses!AA126,0)</f>
        <v>0</v>
      </c>
      <c r="V120" s="106">
        <f>IF(AND('Courses Valid'!C132=0,Courses!I126&lt;&gt;"",Courses!J126&gt;0,Courses!AA126&gt;0),Courses!J126*Courses!AA126,0)</f>
        <v>0</v>
      </c>
      <c r="W120" s="41"/>
    </row>
    <row r="121" spans="2:23" x14ac:dyDescent="0.35">
      <c r="B121" s="70" t="str">
        <f>IF(Courses!B127&lt;&gt;"",CONCATENATE(Courses!E127,"/",Courses!L127,"/",Courses!K127),"")</f>
        <v/>
      </c>
      <c r="C121" s="1579" t="str">
        <f>IF(AND(Courses!B127&lt;&gt;"",Courses!G127&lt;&gt;""),CONCATENATE(Courses!G127,"/",Courses!L127,"/",Courses!K127),"")</f>
        <v/>
      </c>
      <c r="D121" s="71" t="str">
        <f>IF(AND(Courses!B127&lt;&gt;"",Courses!I127&lt;&gt;""),CONCATENATE(Courses!I127,"/",Courses!L127,"/",Courses!K127),"")</f>
        <v/>
      </c>
      <c r="E121" s="1580">
        <f>IF(AND('Courses Valid'!C133=0,Courses!E127&lt;&gt;"",Courses!F127&gt;0,SUM(Courses!M127,Courses!N127)&gt;0),Courses!F127*SUM(Courses!M127,Courses!N127),0)</f>
        <v>0</v>
      </c>
      <c r="F121" s="41">
        <f>IF(AND('Courses Valid'!C133=0,Courses!G127&lt;&gt;"",Courses!H127&gt;0,SUM(Courses!M127,Courses!N127)&gt;0),Courses!H127*SUM(Courses!M127,Courses!N127),0)</f>
        <v>0</v>
      </c>
      <c r="G121" s="105">
        <f>IF(AND('Courses Valid'!C133=0,Courses!I127&lt;&gt;"",Courses!J127&gt;0,SUM(Courses!M127,Courses!N127)&gt;0),Courses!J127*SUM(Courses!M127,Courses!N127),0)</f>
        <v>0</v>
      </c>
      <c r="H121" s="1580">
        <f>IF(AND('Courses Valid'!C133=0,Courses!E127&lt;&gt;"",Courses!F127&gt;0,SUM(Courses!O127,Courses!P127)&gt;0),Courses!F127*SUM(Courses!O127,Courses!P127),0)</f>
        <v>0</v>
      </c>
      <c r="I121" s="41">
        <f>IF(AND('Courses Valid'!C133=0,Courses!G127&lt;&gt;"",Courses!H127&gt;0,SUM(Courses!O127,Courses!P127)&gt;0),Courses!H127*SUM(Courses!O127,Courses!P127),0)</f>
        <v>0</v>
      </c>
      <c r="J121" s="105">
        <f>IF(AND('Courses Valid'!C133=0,Courses!I127&lt;&gt;"",Courses!J127&gt;0,SUM(Courses!O127,Courses!P127)&gt;0),Courses!J127*SUM(Courses!O127,Courses!P127),0)</f>
        <v>0</v>
      </c>
      <c r="K121" s="1580">
        <f>IF(AND('Courses Valid'!C133=0,Courses!E127&lt;&gt;"",Courses!F127&gt;0,Courses!Q127&gt;0),Courses!F127*Courses!Q127,0)</f>
        <v>0</v>
      </c>
      <c r="L121" s="41">
        <f>IF(AND('Courses Valid'!C133=0,Courses!G127&lt;&gt;"",Courses!H127&gt;0,Courses!Q127&gt;0),Courses!H127*Courses!Q127,0)</f>
        <v>0</v>
      </c>
      <c r="M121" s="105">
        <f>IF(AND('Courses Valid'!C133=0,Courses!I127&lt;&gt;"",Courses!J127&gt;0,Courses!Q127&gt;0),Courses!J127*Courses!Q127,0)</f>
        <v>0</v>
      </c>
      <c r="N121" s="41">
        <f>IF(AND('Courses Valid'!C133=0,Courses!E127&lt;&gt;"",Courses!F127&gt;0,SUM(Courses!W127,Courses!X127)&gt;0),Courses!F127*SUM(Courses!W127,Courses!X127),0)</f>
        <v>0</v>
      </c>
      <c r="O121" s="41">
        <f>IF(AND('Courses Valid'!C133=0,Courses!G127&lt;&gt;"",Courses!H127&gt;0,SUM(Courses!W127,Courses!X127)&gt;0),Courses!H127*SUM(Courses!W127,Courses!X127),0)</f>
        <v>0</v>
      </c>
      <c r="P121" s="41">
        <f>IF(AND('Courses Valid'!C133=0,Courses!I127&lt;&gt;"",Courses!J127&gt;0,SUM(Courses!W127,Courses!X127)&gt;0),Courses!J127*SUM(Courses!W127,Courses!X127),0)</f>
        <v>0</v>
      </c>
      <c r="Q121" s="1580">
        <f>IF(AND('Courses Valid'!C133=0,Courses!E127&lt;&gt;"",Courses!F127&gt;0,SUM(Courses!Y127,Courses!Z127)&gt;0),Courses!F127*SUM(Courses!Y127,Courses!Z127),0)</f>
        <v>0</v>
      </c>
      <c r="R121" s="41">
        <f>IF(AND('Courses Valid'!C133=0,Courses!G127&lt;&gt;"",Courses!H127&gt;0,SUM(Courses!Y127,Courses!Z127)&gt;0),Courses!H127*SUM(Courses!Y127,Courses!Z127),0)</f>
        <v>0</v>
      </c>
      <c r="S121" s="105">
        <f>IF(AND('Courses Valid'!C133=0,Courses!I127&lt;&gt;"",Courses!J127&gt;0,SUM(Courses!Y127,Courses!Z127)&gt;0),Courses!J127*SUM(Courses!Y127,Courses!Z127),0)</f>
        <v>0</v>
      </c>
      <c r="T121" s="41">
        <f>IF(AND('Courses Valid'!C133=0,Courses!E127&lt;&gt;"",Courses!F127&gt;0,Courses!AA127&gt;0),Courses!F127*Courses!AA127,0)</f>
        <v>0</v>
      </c>
      <c r="U121" s="41">
        <f>IF(AND('Courses Valid'!C133=0,Courses!G127&lt;&gt;"",Courses!H127&gt;0,Courses!AA127&gt;0),Courses!H127*Courses!AA127,0)</f>
        <v>0</v>
      </c>
      <c r="V121" s="106">
        <f>IF(AND('Courses Valid'!C133=0,Courses!I127&lt;&gt;"",Courses!J127&gt;0,Courses!AA127&gt;0),Courses!J127*Courses!AA127,0)</f>
        <v>0</v>
      </c>
      <c r="W121" s="41"/>
    </row>
    <row r="122" spans="2:23" x14ac:dyDescent="0.35">
      <c r="B122" s="70" t="str">
        <f>IF(Courses!B128&lt;&gt;"",CONCATENATE(Courses!E128,"/",Courses!L128,"/",Courses!K128),"")</f>
        <v/>
      </c>
      <c r="C122" s="1579" t="str">
        <f>IF(AND(Courses!B128&lt;&gt;"",Courses!G128&lt;&gt;""),CONCATENATE(Courses!G128,"/",Courses!L128,"/",Courses!K128),"")</f>
        <v/>
      </c>
      <c r="D122" s="71" t="str">
        <f>IF(AND(Courses!B128&lt;&gt;"",Courses!I128&lt;&gt;""),CONCATENATE(Courses!I128,"/",Courses!L128,"/",Courses!K128),"")</f>
        <v/>
      </c>
      <c r="E122" s="1580">
        <f>IF(AND('Courses Valid'!C134=0,Courses!E128&lt;&gt;"",Courses!F128&gt;0,SUM(Courses!M128,Courses!N128)&gt;0),Courses!F128*SUM(Courses!M128,Courses!N128),0)</f>
        <v>0</v>
      </c>
      <c r="F122" s="41">
        <f>IF(AND('Courses Valid'!C134=0,Courses!G128&lt;&gt;"",Courses!H128&gt;0,SUM(Courses!M128,Courses!N128)&gt;0),Courses!H128*SUM(Courses!M128,Courses!N128),0)</f>
        <v>0</v>
      </c>
      <c r="G122" s="105">
        <f>IF(AND('Courses Valid'!C134=0,Courses!I128&lt;&gt;"",Courses!J128&gt;0,SUM(Courses!M128,Courses!N128)&gt;0),Courses!J128*SUM(Courses!M128,Courses!N128),0)</f>
        <v>0</v>
      </c>
      <c r="H122" s="1580">
        <f>IF(AND('Courses Valid'!C134=0,Courses!E128&lt;&gt;"",Courses!F128&gt;0,SUM(Courses!O128,Courses!P128)&gt;0),Courses!F128*SUM(Courses!O128,Courses!P128),0)</f>
        <v>0</v>
      </c>
      <c r="I122" s="41">
        <f>IF(AND('Courses Valid'!C134=0,Courses!G128&lt;&gt;"",Courses!H128&gt;0,SUM(Courses!O128,Courses!P128)&gt;0),Courses!H128*SUM(Courses!O128,Courses!P128),0)</f>
        <v>0</v>
      </c>
      <c r="J122" s="105">
        <f>IF(AND('Courses Valid'!C134=0,Courses!I128&lt;&gt;"",Courses!J128&gt;0,SUM(Courses!O128,Courses!P128)&gt;0),Courses!J128*SUM(Courses!O128,Courses!P128),0)</f>
        <v>0</v>
      </c>
      <c r="K122" s="1580">
        <f>IF(AND('Courses Valid'!C134=0,Courses!E128&lt;&gt;"",Courses!F128&gt;0,Courses!Q128&gt;0),Courses!F128*Courses!Q128,0)</f>
        <v>0</v>
      </c>
      <c r="L122" s="41">
        <f>IF(AND('Courses Valid'!C134=0,Courses!G128&lt;&gt;"",Courses!H128&gt;0,Courses!Q128&gt;0),Courses!H128*Courses!Q128,0)</f>
        <v>0</v>
      </c>
      <c r="M122" s="105">
        <f>IF(AND('Courses Valid'!C134=0,Courses!I128&lt;&gt;"",Courses!J128&gt;0,Courses!Q128&gt;0),Courses!J128*Courses!Q128,0)</f>
        <v>0</v>
      </c>
      <c r="N122" s="41">
        <f>IF(AND('Courses Valid'!C134=0,Courses!E128&lt;&gt;"",Courses!F128&gt;0,SUM(Courses!W128,Courses!X128)&gt;0),Courses!F128*SUM(Courses!W128,Courses!X128),0)</f>
        <v>0</v>
      </c>
      <c r="O122" s="41">
        <f>IF(AND('Courses Valid'!C134=0,Courses!G128&lt;&gt;"",Courses!H128&gt;0,SUM(Courses!W128,Courses!X128)&gt;0),Courses!H128*SUM(Courses!W128,Courses!X128),0)</f>
        <v>0</v>
      </c>
      <c r="P122" s="41">
        <f>IF(AND('Courses Valid'!C134=0,Courses!I128&lt;&gt;"",Courses!J128&gt;0,SUM(Courses!W128,Courses!X128)&gt;0),Courses!J128*SUM(Courses!W128,Courses!X128),0)</f>
        <v>0</v>
      </c>
      <c r="Q122" s="1580">
        <f>IF(AND('Courses Valid'!C134=0,Courses!E128&lt;&gt;"",Courses!F128&gt;0,SUM(Courses!Y128,Courses!Z128)&gt;0),Courses!F128*SUM(Courses!Y128,Courses!Z128),0)</f>
        <v>0</v>
      </c>
      <c r="R122" s="41">
        <f>IF(AND('Courses Valid'!C134=0,Courses!G128&lt;&gt;"",Courses!H128&gt;0,SUM(Courses!Y128,Courses!Z128)&gt;0),Courses!H128*SUM(Courses!Y128,Courses!Z128),0)</f>
        <v>0</v>
      </c>
      <c r="S122" s="105">
        <f>IF(AND('Courses Valid'!C134=0,Courses!I128&lt;&gt;"",Courses!J128&gt;0,SUM(Courses!Y128,Courses!Z128)&gt;0),Courses!J128*SUM(Courses!Y128,Courses!Z128),0)</f>
        <v>0</v>
      </c>
      <c r="T122" s="41">
        <f>IF(AND('Courses Valid'!C134=0,Courses!E128&lt;&gt;"",Courses!F128&gt;0,Courses!AA128&gt;0),Courses!F128*Courses!AA128,0)</f>
        <v>0</v>
      </c>
      <c r="U122" s="41">
        <f>IF(AND('Courses Valid'!C134=0,Courses!G128&lt;&gt;"",Courses!H128&gt;0,Courses!AA128&gt;0),Courses!H128*Courses!AA128,0)</f>
        <v>0</v>
      </c>
      <c r="V122" s="106">
        <f>IF(AND('Courses Valid'!C134=0,Courses!I128&lt;&gt;"",Courses!J128&gt;0,Courses!AA128&gt;0),Courses!J128*Courses!AA128,0)</f>
        <v>0</v>
      </c>
      <c r="W122" s="41"/>
    </row>
    <row r="123" spans="2:23" x14ac:dyDescent="0.35">
      <c r="B123" s="70" t="str">
        <f>IF(Courses!B129&lt;&gt;"",CONCATENATE(Courses!E129,"/",Courses!L129,"/",Courses!K129),"")</f>
        <v/>
      </c>
      <c r="C123" s="1579" t="str">
        <f>IF(AND(Courses!B129&lt;&gt;"",Courses!G129&lt;&gt;""),CONCATENATE(Courses!G129,"/",Courses!L129,"/",Courses!K129),"")</f>
        <v/>
      </c>
      <c r="D123" s="71" t="str">
        <f>IF(AND(Courses!B129&lt;&gt;"",Courses!I129&lt;&gt;""),CONCATENATE(Courses!I129,"/",Courses!L129,"/",Courses!K129),"")</f>
        <v/>
      </c>
      <c r="E123" s="1580">
        <f>IF(AND('Courses Valid'!C135=0,Courses!E129&lt;&gt;"",Courses!F129&gt;0,SUM(Courses!M129,Courses!N129)&gt;0),Courses!F129*SUM(Courses!M129,Courses!N129),0)</f>
        <v>0</v>
      </c>
      <c r="F123" s="41">
        <f>IF(AND('Courses Valid'!C135=0,Courses!G129&lt;&gt;"",Courses!H129&gt;0,SUM(Courses!M129,Courses!N129)&gt;0),Courses!H129*SUM(Courses!M129,Courses!N129),0)</f>
        <v>0</v>
      </c>
      <c r="G123" s="105">
        <f>IF(AND('Courses Valid'!C135=0,Courses!I129&lt;&gt;"",Courses!J129&gt;0,SUM(Courses!M129,Courses!N129)&gt;0),Courses!J129*SUM(Courses!M129,Courses!N129),0)</f>
        <v>0</v>
      </c>
      <c r="H123" s="1580">
        <f>IF(AND('Courses Valid'!C135=0,Courses!E129&lt;&gt;"",Courses!F129&gt;0,SUM(Courses!O129,Courses!P129)&gt;0),Courses!F129*SUM(Courses!O129,Courses!P129),0)</f>
        <v>0</v>
      </c>
      <c r="I123" s="41">
        <f>IF(AND('Courses Valid'!C135=0,Courses!G129&lt;&gt;"",Courses!H129&gt;0,SUM(Courses!O129,Courses!P129)&gt;0),Courses!H129*SUM(Courses!O129,Courses!P129),0)</f>
        <v>0</v>
      </c>
      <c r="J123" s="105">
        <f>IF(AND('Courses Valid'!C135=0,Courses!I129&lt;&gt;"",Courses!J129&gt;0,SUM(Courses!O129,Courses!P129)&gt;0),Courses!J129*SUM(Courses!O129,Courses!P129),0)</f>
        <v>0</v>
      </c>
      <c r="K123" s="1580">
        <f>IF(AND('Courses Valid'!C135=0,Courses!E129&lt;&gt;"",Courses!F129&gt;0,Courses!Q129&gt;0),Courses!F129*Courses!Q129,0)</f>
        <v>0</v>
      </c>
      <c r="L123" s="41">
        <f>IF(AND('Courses Valid'!C135=0,Courses!G129&lt;&gt;"",Courses!H129&gt;0,Courses!Q129&gt;0),Courses!H129*Courses!Q129,0)</f>
        <v>0</v>
      </c>
      <c r="M123" s="105">
        <f>IF(AND('Courses Valid'!C135=0,Courses!I129&lt;&gt;"",Courses!J129&gt;0,Courses!Q129&gt;0),Courses!J129*Courses!Q129,0)</f>
        <v>0</v>
      </c>
      <c r="N123" s="41">
        <f>IF(AND('Courses Valid'!C135=0,Courses!E129&lt;&gt;"",Courses!F129&gt;0,SUM(Courses!W129,Courses!X129)&gt;0),Courses!F129*SUM(Courses!W129,Courses!X129),0)</f>
        <v>0</v>
      </c>
      <c r="O123" s="41">
        <f>IF(AND('Courses Valid'!C135=0,Courses!G129&lt;&gt;"",Courses!H129&gt;0,SUM(Courses!W129,Courses!X129)&gt;0),Courses!H129*SUM(Courses!W129,Courses!X129),0)</f>
        <v>0</v>
      </c>
      <c r="P123" s="41">
        <f>IF(AND('Courses Valid'!C135=0,Courses!I129&lt;&gt;"",Courses!J129&gt;0,SUM(Courses!W129,Courses!X129)&gt;0),Courses!J129*SUM(Courses!W129,Courses!X129),0)</f>
        <v>0</v>
      </c>
      <c r="Q123" s="1580">
        <f>IF(AND('Courses Valid'!C135=0,Courses!E129&lt;&gt;"",Courses!F129&gt;0,SUM(Courses!Y129,Courses!Z129)&gt;0),Courses!F129*SUM(Courses!Y129,Courses!Z129),0)</f>
        <v>0</v>
      </c>
      <c r="R123" s="41">
        <f>IF(AND('Courses Valid'!C135=0,Courses!G129&lt;&gt;"",Courses!H129&gt;0,SUM(Courses!Y129,Courses!Z129)&gt;0),Courses!H129*SUM(Courses!Y129,Courses!Z129),0)</f>
        <v>0</v>
      </c>
      <c r="S123" s="105">
        <f>IF(AND('Courses Valid'!C135=0,Courses!I129&lt;&gt;"",Courses!J129&gt;0,SUM(Courses!Y129,Courses!Z129)&gt;0),Courses!J129*SUM(Courses!Y129,Courses!Z129),0)</f>
        <v>0</v>
      </c>
      <c r="T123" s="41">
        <f>IF(AND('Courses Valid'!C135=0,Courses!E129&lt;&gt;"",Courses!F129&gt;0,Courses!AA129&gt;0),Courses!F129*Courses!AA129,0)</f>
        <v>0</v>
      </c>
      <c r="U123" s="41">
        <f>IF(AND('Courses Valid'!C135=0,Courses!G129&lt;&gt;"",Courses!H129&gt;0,Courses!AA129&gt;0),Courses!H129*Courses!AA129,0)</f>
        <v>0</v>
      </c>
      <c r="V123" s="106">
        <f>IF(AND('Courses Valid'!C135=0,Courses!I129&lt;&gt;"",Courses!J129&gt;0,Courses!AA129&gt;0),Courses!J129*Courses!AA129,0)</f>
        <v>0</v>
      </c>
      <c r="W123" s="41"/>
    </row>
    <row r="124" spans="2:23" x14ac:dyDescent="0.35">
      <c r="B124" s="70" t="str">
        <f>IF(Courses!B130&lt;&gt;"",CONCATENATE(Courses!E130,"/",Courses!L130,"/",Courses!K130),"")</f>
        <v/>
      </c>
      <c r="C124" s="1579" t="str">
        <f>IF(AND(Courses!B130&lt;&gt;"",Courses!G130&lt;&gt;""),CONCATENATE(Courses!G130,"/",Courses!L130,"/",Courses!K130),"")</f>
        <v/>
      </c>
      <c r="D124" s="71" t="str">
        <f>IF(AND(Courses!B130&lt;&gt;"",Courses!I130&lt;&gt;""),CONCATENATE(Courses!I130,"/",Courses!L130,"/",Courses!K130),"")</f>
        <v/>
      </c>
      <c r="E124" s="1580">
        <f>IF(AND('Courses Valid'!C136=0,Courses!E130&lt;&gt;"",Courses!F130&gt;0,SUM(Courses!M130,Courses!N130)&gt;0),Courses!F130*SUM(Courses!M130,Courses!N130),0)</f>
        <v>0</v>
      </c>
      <c r="F124" s="41">
        <f>IF(AND('Courses Valid'!C136=0,Courses!G130&lt;&gt;"",Courses!H130&gt;0,SUM(Courses!M130,Courses!N130)&gt;0),Courses!H130*SUM(Courses!M130,Courses!N130),0)</f>
        <v>0</v>
      </c>
      <c r="G124" s="105">
        <f>IF(AND('Courses Valid'!C136=0,Courses!I130&lt;&gt;"",Courses!J130&gt;0,SUM(Courses!M130,Courses!N130)&gt;0),Courses!J130*SUM(Courses!M130,Courses!N130),0)</f>
        <v>0</v>
      </c>
      <c r="H124" s="1580">
        <f>IF(AND('Courses Valid'!C136=0,Courses!E130&lt;&gt;"",Courses!F130&gt;0,SUM(Courses!O130,Courses!P130)&gt;0),Courses!F130*SUM(Courses!O130,Courses!P130),0)</f>
        <v>0</v>
      </c>
      <c r="I124" s="41">
        <f>IF(AND('Courses Valid'!C136=0,Courses!G130&lt;&gt;"",Courses!H130&gt;0,SUM(Courses!O130,Courses!P130)&gt;0),Courses!H130*SUM(Courses!O130,Courses!P130),0)</f>
        <v>0</v>
      </c>
      <c r="J124" s="105">
        <f>IF(AND('Courses Valid'!C136=0,Courses!I130&lt;&gt;"",Courses!J130&gt;0,SUM(Courses!O130,Courses!P130)&gt;0),Courses!J130*SUM(Courses!O130,Courses!P130),0)</f>
        <v>0</v>
      </c>
      <c r="K124" s="1580">
        <f>IF(AND('Courses Valid'!C136=0,Courses!E130&lt;&gt;"",Courses!F130&gt;0,Courses!Q130&gt;0),Courses!F130*Courses!Q130,0)</f>
        <v>0</v>
      </c>
      <c r="L124" s="41">
        <f>IF(AND('Courses Valid'!C136=0,Courses!G130&lt;&gt;"",Courses!H130&gt;0,Courses!Q130&gt;0),Courses!H130*Courses!Q130,0)</f>
        <v>0</v>
      </c>
      <c r="M124" s="105">
        <f>IF(AND('Courses Valid'!C136=0,Courses!I130&lt;&gt;"",Courses!J130&gt;0,Courses!Q130&gt;0),Courses!J130*Courses!Q130,0)</f>
        <v>0</v>
      </c>
      <c r="N124" s="41">
        <f>IF(AND('Courses Valid'!C136=0,Courses!E130&lt;&gt;"",Courses!F130&gt;0,SUM(Courses!W130,Courses!X130)&gt;0),Courses!F130*SUM(Courses!W130,Courses!X130),0)</f>
        <v>0</v>
      </c>
      <c r="O124" s="41">
        <f>IF(AND('Courses Valid'!C136=0,Courses!G130&lt;&gt;"",Courses!H130&gt;0,SUM(Courses!W130,Courses!X130)&gt;0),Courses!H130*SUM(Courses!W130,Courses!X130),0)</f>
        <v>0</v>
      </c>
      <c r="P124" s="41">
        <f>IF(AND('Courses Valid'!C136=0,Courses!I130&lt;&gt;"",Courses!J130&gt;0,SUM(Courses!W130,Courses!X130)&gt;0),Courses!J130*SUM(Courses!W130,Courses!X130),0)</f>
        <v>0</v>
      </c>
      <c r="Q124" s="1580">
        <f>IF(AND('Courses Valid'!C136=0,Courses!E130&lt;&gt;"",Courses!F130&gt;0,SUM(Courses!Y130,Courses!Z130)&gt;0),Courses!F130*SUM(Courses!Y130,Courses!Z130),0)</f>
        <v>0</v>
      </c>
      <c r="R124" s="41">
        <f>IF(AND('Courses Valid'!C136=0,Courses!G130&lt;&gt;"",Courses!H130&gt;0,SUM(Courses!Y130,Courses!Z130)&gt;0),Courses!H130*SUM(Courses!Y130,Courses!Z130),0)</f>
        <v>0</v>
      </c>
      <c r="S124" s="105">
        <f>IF(AND('Courses Valid'!C136=0,Courses!I130&lt;&gt;"",Courses!J130&gt;0,SUM(Courses!Y130,Courses!Z130)&gt;0),Courses!J130*SUM(Courses!Y130,Courses!Z130),0)</f>
        <v>0</v>
      </c>
      <c r="T124" s="41">
        <f>IF(AND('Courses Valid'!C136=0,Courses!E130&lt;&gt;"",Courses!F130&gt;0,Courses!AA130&gt;0),Courses!F130*Courses!AA130,0)</f>
        <v>0</v>
      </c>
      <c r="U124" s="41">
        <f>IF(AND('Courses Valid'!C136=0,Courses!G130&lt;&gt;"",Courses!H130&gt;0,Courses!AA130&gt;0),Courses!H130*Courses!AA130,0)</f>
        <v>0</v>
      </c>
      <c r="V124" s="106">
        <f>IF(AND('Courses Valid'!C136=0,Courses!I130&lt;&gt;"",Courses!J130&gt;0,Courses!AA130&gt;0),Courses!J130*Courses!AA130,0)</f>
        <v>0</v>
      </c>
      <c r="W124" s="41"/>
    </row>
    <row r="125" spans="2:23" x14ac:dyDescent="0.35">
      <c r="B125" s="70" t="str">
        <f>IF(Courses!B131&lt;&gt;"",CONCATENATE(Courses!E131,"/",Courses!L131,"/",Courses!K131),"")</f>
        <v/>
      </c>
      <c r="C125" s="1579" t="str">
        <f>IF(AND(Courses!B131&lt;&gt;"",Courses!G131&lt;&gt;""),CONCATENATE(Courses!G131,"/",Courses!L131,"/",Courses!K131),"")</f>
        <v/>
      </c>
      <c r="D125" s="71" t="str">
        <f>IF(AND(Courses!B131&lt;&gt;"",Courses!I131&lt;&gt;""),CONCATENATE(Courses!I131,"/",Courses!L131,"/",Courses!K131),"")</f>
        <v/>
      </c>
      <c r="E125" s="1580">
        <f>IF(AND('Courses Valid'!C137=0,Courses!E131&lt;&gt;"",Courses!F131&gt;0,SUM(Courses!M131,Courses!N131)&gt;0),Courses!F131*SUM(Courses!M131,Courses!N131),0)</f>
        <v>0</v>
      </c>
      <c r="F125" s="41">
        <f>IF(AND('Courses Valid'!C137=0,Courses!G131&lt;&gt;"",Courses!H131&gt;0,SUM(Courses!M131,Courses!N131)&gt;0),Courses!H131*SUM(Courses!M131,Courses!N131),0)</f>
        <v>0</v>
      </c>
      <c r="G125" s="105">
        <f>IF(AND('Courses Valid'!C137=0,Courses!I131&lt;&gt;"",Courses!J131&gt;0,SUM(Courses!M131,Courses!N131)&gt;0),Courses!J131*SUM(Courses!M131,Courses!N131),0)</f>
        <v>0</v>
      </c>
      <c r="H125" s="1580">
        <f>IF(AND('Courses Valid'!C137=0,Courses!E131&lt;&gt;"",Courses!F131&gt;0,SUM(Courses!O131,Courses!P131)&gt;0),Courses!F131*SUM(Courses!O131,Courses!P131),0)</f>
        <v>0</v>
      </c>
      <c r="I125" s="41">
        <f>IF(AND('Courses Valid'!C137=0,Courses!G131&lt;&gt;"",Courses!H131&gt;0,SUM(Courses!O131,Courses!P131)&gt;0),Courses!H131*SUM(Courses!O131,Courses!P131),0)</f>
        <v>0</v>
      </c>
      <c r="J125" s="105">
        <f>IF(AND('Courses Valid'!C137=0,Courses!I131&lt;&gt;"",Courses!J131&gt;0,SUM(Courses!O131,Courses!P131)&gt;0),Courses!J131*SUM(Courses!O131,Courses!P131),0)</f>
        <v>0</v>
      </c>
      <c r="K125" s="1580">
        <f>IF(AND('Courses Valid'!C137=0,Courses!E131&lt;&gt;"",Courses!F131&gt;0,Courses!Q131&gt;0),Courses!F131*Courses!Q131,0)</f>
        <v>0</v>
      </c>
      <c r="L125" s="41">
        <f>IF(AND('Courses Valid'!C137=0,Courses!G131&lt;&gt;"",Courses!H131&gt;0,Courses!Q131&gt;0),Courses!H131*Courses!Q131,0)</f>
        <v>0</v>
      </c>
      <c r="M125" s="105">
        <f>IF(AND('Courses Valid'!C137=0,Courses!I131&lt;&gt;"",Courses!J131&gt;0,Courses!Q131&gt;0),Courses!J131*Courses!Q131,0)</f>
        <v>0</v>
      </c>
      <c r="N125" s="41">
        <f>IF(AND('Courses Valid'!C137=0,Courses!E131&lt;&gt;"",Courses!F131&gt;0,SUM(Courses!W131,Courses!X131)&gt;0),Courses!F131*SUM(Courses!W131,Courses!X131),0)</f>
        <v>0</v>
      </c>
      <c r="O125" s="41">
        <f>IF(AND('Courses Valid'!C137=0,Courses!G131&lt;&gt;"",Courses!H131&gt;0,SUM(Courses!W131,Courses!X131)&gt;0),Courses!H131*SUM(Courses!W131,Courses!X131),0)</f>
        <v>0</v>
      </c>
      <c r="P125" s="41">
        <f>IF(AND('Courses Valid'!C137=0,Courses!I131&lt;&gt;"",Courses!J131&gt;0,SUM(Courses!W131,Courses!X131)&gt;0),Courses!J131*SUM(Courses!W131,Courses!X131),0)</f>
        <v>0</v>
      </c>
      <c r="Q125" s="1580">
        <f>IF(AND('Courses Valid'!C137=0,Courses!E131&lt;&gt;"",Courses!F131&gt;0,SUM(Courses!Y131,Courses!Z131)&gt;0),Courses!F131*SUM(Courses!Y131,Courses!Z131),0)</f>
        <v>0</v>
      </c>
      <c r="R125" s="41">
        <f>IF(AND('Courses Valid'!C137=0,Courses!G131&lt;&gt;"",Courses!H131&gt;0,SUM(Courses!Y131,Courses!Z131)&gt;0),Courses!H131*SUM(Courses!Y131,Courses!Z131),0)</f>
        <v>0</v>
      </c>
      <c r="S125" s="105">
        <f>IF(AND('Courses Valid'!C137=0,Courses!I131&lt;&gt;"",Courses!J131&gt;0,SUM(Courses!Y131,Courses!Z131)&gt;0),Courses!J131*SUM(Courses!Y131,Courses!Z131),0)</f>
        <v>0</v>
      </c>
      <c r="T125" s="41">
        <f>IF(AND('Courses Valid'!C137=0,Courses!E131&lt;&gt;"",Courses!F131&gt;0,Courses!AA131&gt;0),Courses!F131*Courses!AA131,0)</f>
        <v>0</v>
      </c>
      <c r="U125" s="41">
        <f>IF(AND('Courses Valid'!C137=0,Courses!G131&lt;&gt;"",Courses!H131&gt;0,Courses!AA131&gt;0),Courses!H131*Courses!AA131,0)</f>
        <v>0</v>
      </c>
      <c r="V125" s="106">
        <f>IF(AND('Courses Valid'!C137=0,Courses!I131&lt;&gt;"",Courses!J131&gt;0,Courses!AA131&gt;0),Courses!J131*Courses!AA131,0)</f>
        <v>0</v>
      </c>
      <c r="W125" s="41"/>
    </row>
    <row r="126" spans="2:23" x14ac:dyDescent="0.35">
      <c r="B126" s="70" t="str">
        <f>IF(Courses!B132&lt;&gt;"",CONCATENATE(Courses!E132,"/",Courses!L132,"/",Courses!K132),"")</f>
        <v/>
      </c>
      <c r="C126" s="1579" t="str">
        <f>IF(AND(Courses!B132&lt;&gt;"",Courses!G132&lt;&gt;""),CONCATENATE(Courses!G132,"/",Courses!L132,"/",Courses!K132),"")</f>
        <v/>
      </c>
      <c r="D126" s="71" t="str">
        <f>IF(AND(Courses!B132&lt;&gt;"",Courses!I132&lt;&gt;""),CONCATENATE(Courses!I132,"/",Courses!L132,"/",Courses!K132),"")</f>
        <v/>
      </c>
      <c r="E126" s="1580">
        <f>IF(AND('Courses Valid'!C138=0,Courses!E132&lt;&gt;"",Courses!F132&gt;0,SUM(Courses!M132,Courses!N132)&gt;0),Courses!F132*SUM(Courses!M132,Courses!N132),0)</f>
        <v>0</v>
      </c>
      <c r="F126" s="41">
        <f>IF(AND('Courses Valid'!C138=0,Courses!G132&lt;&gt;"",Courses!H132&gt;0,SUM(Courses!M132,Courses!N132)&gt;0),Courses!H132*SUM(Courses!M132,Courses!N132),0)</f>
        <v>0</v>
      </c>
      <c r="G126" s="105">
        <f>IF(AND('Courses Valid'!C138=0,Courses!I132&lt;&gt;"",Courses!J132&gt;0,SUM(Courses!M132,Courses!N132)&gt;0),Courses!J132*SUM(Courses!M132,Courses!N132),0)</f>
        <v>0</v>
      </c>
      <c r="H126" s="1580">
        <f>IF(AND('Courses Valid'!C138=0,Courses!E132&lt;&gt;"",Courses!F132&gt;0,SUM(Courses!O132,Courses!P132)&gt;0),Courses!F132*SUM(Courses!O132,Courses!P132),0)</f>
        <v>0</v>
      </c>
      <c r="I126" s="41">
        <f>IF(AND('Courses Valid'!C138=0,Courses!G132&lt;&gt;"",Courses!H132&gt;0,SUM(Courses!O132,Courses!P132)&gt;0),Courses!H132*SUM(Courses!O132,Courses!P132),0)</f>
        <v>0</v>
      </c>
      <c r="J126" s="105">
        <f>IF(AND('Courses Valid'!C138=0,Courses!I132&lt;&gt;"",Courses!J132&gt;0,SUM(Courses!O132,Courses!P132)&gt;0),Courses!J132*SUM(Courses!O132,Courses!P132),0)</f>
        <v>0</v>
      </c>
      <c r="K126" s="1580">
        <f>IF(AND('Courses Valid'!C138=0,Courses!E132&lt;&gt;"",Courses!F132&gt;0,Courses!Q132&gt;0),Courses!F132*Courses!Q132,0)</f>
        <v>0</v>
      </c>
      <c r="L126" s="41">
        <f>IF(AND('Courses Valid'!C138=0,Courses!G132&lt;&gt;"",Courses!H132&gt;0,Courses!Q132&gt;0),Courses!H132*Courses!Q132,0)</f>
        <v>0</v>
      </c>
      <c r="M126" s="105">
        <f>IF(AND('Courses Valid'!C138=0,Courses!I132&lt;&gt;"",Courses!J132&gt;0,Courses!Q132&gt;0),Courses!J132*Courses!Q132,0)</f>
        <v>0</v>
      </c>
      <c r="N126" s="41">
        <f>IF(AND('Courses Valid'!C138=0,Courses!E132&lt;&gt;"",Courses!F132&gt;0,SUM(Courses!W132,Courses!X132)&gt;0),Courses!F132*SUM(Courses!W132,Courses!X132),0)</f>
        <v>0</v>
      </c>
      <c r="O126" s="41">
        <f>IF(AND('Courses Valid'!C138=0,Courses!G132&lt;&gt;"",Courses!H132&gt;0,SUM(Courses!W132,Courses!X132)&gt;0),Courses!H132*SUM(Courses!W132,Courses!X132),0)</f>
        <v>0</v>
      </c>
      <c r="P126" s="41">
        <f>IF(AND('Courses Valid'!C138=0,Courses!I132&lt;&gt;"",Courses!J132&gt;0,SUM(Courses!W132,Courses!X132)&gt;0),Courses!J132*SUM(Courses!W132,Courses!X132),0)</f>
        <v>0</v>
      </c>
      <c r="Q126" s="1580">
        <f>IF(AND('Courses Valid'!C138=0,Courses!E132&lt;&gt;"",Courses!F132&gt;0,SUM(Courses!Y132,Courses!Z132)&gt;0),Courses!F132*SUM(Courses!Y132,Courses!Z132),0)</f>
        <v>0</v>
      </c>
      <c r="R126" s="41">
        <f>IF(AND('Courses Valid'!C138=0,Courses!G132&lt;&gt;"",Courses!H132&gt;0,SUM(Courses!Y132,Courses!Z132)&gt;0),Courses!H132*SUM(Courses!Y132,Courses!Z132),0)</f>
        <v>0</v>
      </c>
      <c r="S126" s="105">
        <f>IF(AND('Courses Valid'!C138=0,Courses!I132&lt;&gt;"",Courses!J132&gt;0,SUM(Courses!Y132,Courses!Z132)&gt;0),Courses!J132*SUM(Courses!Y132,Courses!Z132),0)</f>
        <v>0</v>
      </c>
      <c r="T126" s="41">
        <f>IF(AND('Courses Valid'!C138=0,Courses!E132&lt;&gt;"",Courses!F132&gt;0,Courses!AA132&gt;0),Courses!F132*Courses!AA132,0)</f>
        <v>0</v>
      </c>
      <c r="U126" s="41">
        <f>IF(AND('Courses Valid'!C138=0,Courses!G132&lt;&gt;"",Courses!H132&gt;0,Courses!AA132&gt;0),Courses!H132*Courses!AA132,0)</f>
        <v>0</v>
      </c>
      <c r="V126" s="106">
        <f>IF(AND('Courses Valid'!C138=0,Courses!I132&lt;&gt;"",Courses!J132&gt;0,Courses!AA132&gt;0),Courses!J132*Courses!AA132,0)</f>
        <v>0</v>
      </c>
      <c r="W126" s="41"/>
    </row>
    <row r="127" spans="2:23" x14ac:dyDescent="0.35">
      <c r="B127" s="70" t="str">
        <f>IF(Courses!B133&lt;&gt;"",CONCATENATE(Courses!E133,"/",Courses!L133,"/",Courses!K133),"")</f>
        <v/>
      </c>
      <c r="C127" s="1579" t="str">
        <f>IF(AND(Courses!B133&lt;&gt;"",Courses!G133&lt;&gt;""),CONCATENATE(Courses!G133,"/",Courses!L133,"/",Courses!K133),"")</f>
        <v/>
      </c>
      <c r="D127" s="71" t="str">
        <f>IF(AND(Courses!B133&lt;&gt;"",Courses!I133&lt;&gt;""),CONCATENATE(Courses!I133,"/",Courses!L133,"/",Courses!K133),"")</f>
        <v/>
      </c>
      <c r="E127" s="1580">
        <f>IF(AND('Courses Valid'!C139=0,Courses!E133&lt;&gt;"",Courses!F133&gt;0,SUM(Courses!M133,Courses!N133)&gt;0),Courses!F133*SUM(Courses!M133,Courses!N133),0)</f>
        <v>0</v>
      </c>
      <c r="F127" s="41">
        <f>IF(AND('Courses Valid'!C139=0,Courses!G133&lt;&gt;"",Courses!H133&gt;0,SUM(Courses!M133,Courses!N133)&gt;0),Courses!H133*SUM(Courses!M133,Courses!N133),0)</f>
        <v>0</v>
      </c>
      <c r="G127" s="105">
        <f>IF(AND('Courses Valid'!C139=0,Courses!I133&lt;&gt;"",Courses!J133&gt;0,SUM(Courses!M133,Courses!N133)&gt;0),Courses!J133*SUM(Courses!M133,Courses!N133),0)</f>
        <v>0</v>
      </c>
      <c r="H127" s="1580">
        <f>IF(AND('Courses Valid'!C139=0,Courses!E133&lt;&gt;"",Courses!F133&gt;0,SUM(Courses!O133,Courses!P133)&gt;0),Courses!F133*SUM(Courses!O133,Courses!P133),0)</f>
        <v>0</v>
      </c>
      <c r="I127" s="41">
        <f>IF(AND('Courses Valid'!C139=0,Courses!G133&lt;&gt;"",Courses!H133&gt;0,SUM(Courses!O133,Courses!P133)&gt;0),Courses!H133*SUM(Courses!O133,Courses!P133),0)</f>
        <v>0</v>
      </c>
      <c r="J127" s="105">
        <f>IF(AND('Courses Valid'!C139=0,Courses!I133&lt;&gt;"",Courses!J133&gt;0,SUM(Courses!O133,Courses!P133)&gt;0),Courses!J133*SUM(Courses!O133,Courses!P133),0)</f>
        <v>0</v>
      </c>
      <c r="K127" s="1580">
        <f>IF(AND('Courses Valid'!C139=0,Courses!E133&lt;&gt;"",Courses!F133&gt;0,Courses!Q133&gt;0),Courses!F133*Courses!Q133,0)</f>
        <v>0</v>
      </c>
      <c r="L127" s="41">
        <f>IF(AND('Courses Valid'!C139=0,Courses!G133&lt;&gt;"",Courses!H133&gt;0,Courses!Q133&gt;0),Courses!H133*Courses!Q133,0)</f>
        <v>0</v>
      </c>
      <c r="M127" s="105">
        <f>IF(AND('Courses Valid'!C139=0,Courses!I133&lt;&gt;"",Courses!J133&gt;0,Courses!Q133&gt;0),Courses!J133*Courses!Q133,0)</f>
        <v>0</v>
      </c>
      <c r="N127" s="41">
        <f>IF(AND('Courses Valid'!C139=0,Courses!E133&lt;&gt;"",Courses!F133&gt;0,SUM(Courses!W133,Courses!X133)&gt;0),Courses!F133*SUM(Courses!W133,Courses!X133),0)</f>
        <v>0</v>
      </c>
      <c r="O127" s="41">
        <f>IF(AND('Courses Valid'!C139=0,Courses!G133&lt;&gt;"",Courses!H133&gt;0,SUM(Courses!W133,Courses!X133)&gt;0),Courses!H133*SUM(Courses!W133,Courses!X133),0)</f>
        <v>0</v>
      </c>
      <c r="P127" s="41">
        <f>IF(AND('Courses Valid'!C139=0,Courses!I133&lt;&gt;"",Courses!J133&gt;0,SUM(Courses!W133,Courses!X133)&gt;0),Courses!J133*SUM(Courses!W133,Courses!X133),0)</f>
        <v>0</v>
      </c>
      <c r="Q127" s="1580">
        <f>IF(AND('Courses Valid'!C139=0,Courses!E133&lt;&gt;"",Courses!F133&gt;0,SUM(Courses!Y133,Courses!Z133)&gt;0),Courses!F133*SUM(Courses!Y133,Courses!Z133),0)</f>
        <v>0</v>
      </c>
      <c r="R127" s="41">
        <f>IF(AND('Courses Valid'!C139=0,Courses!G133&lt;&gt;"",Courses!H133&gt;0,SUM(Courses!Y133,Courses!Z133)&gt;0),Courses!H133*SUM(Courses!Y133,Courses!Z133),0)</f>
        <v>0</v>
      </c>
      <c r="S127" s="105">
        <f>IF(AND('Courses Valid'!C139=0,Courses!I133&lt;&gt;"",Courses!J133&gt;0,SUM(Courses!Y133,Courses!Z133)&gt;0),Courses!J133*SUM(Courses!Y133,Courses!Z133),0)</f>
        <v>0</v>
      </c>
      <c r="T127" s="41">
        <f>IF(AND('Courses Valid'!C139=0,Courses!E133&lt;&gt;"",Courses!F133&gt;0,Courses!AA133&gt;0),Courses!F133*Courses!AA133,0)</f>
        <v>0</v>
      </c>
      <c r="U127" s="41">
        <f>IF(AND('Courses Valid'!C139=0,Courses!G133&lt;&gt;"",Courses!H133&gt;0,Courses!AA133&gt;0),Courses!H133*Courses!AA133,0)</f>
        <v>0</v>
      </c>
      <c r="V127" s="106">
        <f>IF(AND('Courses Valid'!C139=0,Courses!I133&lt;&gt;"",Courses!J133&gt;0,Courses!AA133&gt;0),Courses!J133*Courses!AA133,0)</f>
        <v>0</v>
      </c>
      <c r="W127" s="41"/>
    </row>
    <row r="128" spans="2:23" x14ac:dyDescent="0.35">
      <c r="B128" s="70" t="str">
        <f>IF(Courses!B134&lt;&gt;"",CONCATENATE(Courses!E134,"/",Courses!L134,"/",Courses!K134),"")</f>
        <v/>
      </c>
      <c r="C128" s="1579" t="str">
        <f>IF(AND(Courses!B134&lt;&gt;"",Courses!G134&lt;&gt;""),CONCATENATE(Courses!G134,"/",Courses!L134,"/",Courses!K134),"")</f>
        <v/>
      </c>
      <c r="D128" s="71" t="str">
        <f>IF(AND(Courses!B134&lt;&gt;"",Courses!I134&lt;&gt;""),CONCATENATE(Courses!I134,"/",Courses!L134,"/",Courses!K134),"")</f>
        <v/>
      </c>
      <c r="E128" s="1580">
        <f>IF(AND('Courses Valid'!C140=0,Courses!E134&lt;&gt;"",Courses!F134&gt;0,SUM(Courses!M134,Courses!N134)&gt;0),Courses!F134*SUM(Courses!M134,Courses!N134),0)</f>
        <v>0</v>
      </c>
      <c r="F128" s="41">
        <f>IF(AND('Courses Valid'!C140=0,Courses!G134&lt;&gt;"",Courses!H134&gt;0,SUM(Courses!M134,Courses!N134)&gt;0),Courses!H134*SUM(Courses!M134,Courses!N134),0)</f>
        <v>0</v>
      </c>
      <c r="G128" s="105">
        <f>IF(AND('Courses Valid'!C140=0,Courses!I134&lt;&gt;"",Courses!J134&gt;0,SUM(Courses!M134,Courses!N134)&gt;0),Courses!J134*SUM(Courses!M134,Courses!N134),0)</f>
        <v>0</v>
      </c>
      <c r="H128" s="1580">
        <f>IF(AND('Courses Valid'!C140=0,Courses!E134&lt;&gt;"",Courses!F134&gt;0,SUM(Courses!O134,Courses!P134)&gt;0),Courses!F134*SUM(Courses!O134,Courses!P134),0)</f>
        <v>0</v>
      </c>
      <c r="I128" s="41">
        <f>IF(AND('Courses Valid'!C140=0,Courses!G134&lt;&gt;"",Courses!H134&gt;0,SUM(Courses!O134,Courses!P134)&gt;0),Courses!H134*SUM(Courses!O134,Courses!P134),0)</f>
        <v>0</v>
      </c>
      <c r="J128" s="105">
        <f>IF(AND('Courses Valid'!C140=0,Courses!I134&lt;&gt;"",Courses!J134&gt;0,SUM(Courses!O134,Courses!P134)&gt;0),Courses!J134*SUM(Courses!O134,Courses!P134),0)</f>
        <v>0</v>
      </c>
      <c r="K128" s="1580">
        <f>IF(AND('Courses Valid'!C140=0,Courses!E134&lt;&gt;"",Courses!F134&gt;0,Courses!Q134&gt;0),Courses!F134*Courses!Q134,0)</f>
        <v>0</v>
      </c>
      <c r="L128" s="41">
        <f>IF(AND('Courses Valid'!C140=0,Courses!G134&lt;&gt;"",Courses!H134&gt;0,Courses!Q134&gt;0),Courses!H134*Courses!Q134,0)</f>
        <v>0</v>
      </c>
      <c r="M128" s="105">
        <f>IF(AND('Courses Valid'!C140=0,Courses!I134&lt;&gt;"",Courses!J134&gt;0,Courses!Q134&gt;0),Courses!J134*Courses!Q134,0)</f>
        <v>0</v>
      </c>
      <c r="N128" s="41">
        <f>IF(AND('Courses Valid'!C140=0,Courses!E134&lt;&gt;"",Courses!F134&gt;0,SUM(Courses!W134,Courses!X134)&gt;0),Courses!F134*SUM(Courses!W134,Courses!X134),0)</f>
        <v>0</v>
      </c>
      <c r="O128" s="41">
        <f>IF(AND('Courses Valid'!C140=0,Courses!G134&lt;&gt;"",Courses!H134&gt;0,SUM(Courses!W134,Courses!X134)&gt;0),Courses!H134*SUM(Courses!W134,Courses!X134),0)</f>
        <v>0</v>
      </c>
      <c r="P128" s="41">
        <f>IF(AND('Courses Valid'!C140=0,Courses!I134&lt;&gt;"",Courses!J134&gt;0,SUM(Courses!W134,Courses!X134)&gt;0),Courses!J134*SUM(Courses!W134,Courses!X134),0)</f>
        <v>0</v>
      </c>
      <c r="Q128" s="1580">
        <f>IF(AND('Courses Valid'!C140=0,Courses!E134&lt;&gt;"",Courses!F134&gt;0,SUM(Courses!Y134,Courses!Z134)&gt;0),Courses!F134*SUM(Courses!Y134,Courses!Z134),0)</f>
        <v>0</v>
      </c>
      <c r="R128" s="41">
        <f>IF(AND('Courses Valid'!C140=0,Courses!G134&lt;&gt;"",Courses!H134&gt;0,SUM(Courses!Y134,Courses!Z134)&gt;0),Courses!H134*SUM(Courses!Y134,Courses!Z134),0)</f>
        <v>0</v>
      </c>
      <c r="S128" s="105">
        <f>IF(AND('Courses Valid'!C140=0,Courses!I134&lt;&gt;"",Courses!J134&gt;0,SUM(Courses!Y134,Courses!Z134)&gt;0),Courses!J134*SUM(Courses!Y134,Courses!Z134),0)</f>
        <v>0</v>
      </c>
      <c r="T128" s="41">
        <f>IF(AND('Courses Valid'!C140=0,Courses!E134&lt;&gt;"",Courses!F134&gt;0,Courses!AA134&gt;0),Courses!F134*Courses!AA134,0)</f>
        <v>0</v>
      </c>
      <c r="U128" s="41">
        <f>IF(AND('Courses Valid'!C140=0,Courses!G134&lt;&gt;"",Courses!H134&gt;0,Courses!AA134&gt;0),Courses!H134*Courses!AA134,0)</f>
        <v>0</v>
      </c>
      <c r="V128" s="106">
        <f>IF(AND('Courses Valid'!C140=0,Courses!I134&lt;&gt;"",Courses!J134&gt;0,Courses!AA134&gt;0),Courses!J134*Courses!AA134,0)</f>
        <v>0</v>
      </c>
      <c r="W128" s="41"/>
    </row>
    <row r="129" spans="2:23" x14ac:dyDescent="0.35">
      <c r="B129" s="70" t="str">
        <f>IF(Courses!B135&lt;&gt;"",CONCATENATE(Courses!E135,"/",Courses!L135,"/",Courses!K135),"")</f>
        <v/>
      </c>
      <c r="C129" s="1579" t="str">
        <f>IF(AND(Courses!B135&lt;&gt;"",Courses!G135&lt;&gt;""),CONCATENATE(Courses!G135,"/",Courses!L135,"/",Courses!K135),"")</f>
        <v/>
      </c>
      <c r="D129" s="71" t="str">
        <f>IF(AND(Courses!B135&lt;&gt;"",Courses!I135&lt;&gt;""),CONCATENATE(Courses!I135,"/",Courses!L135,"/",Courses!K135),"")</f>
        <v/>
      </c>
      <c r="E129" s="1580">
        <f>IF(AND('Courses Valid'!C141=0,Courses!E135&lt;&gt;"",Courses!F135&gt;0,SUM(Courses!M135,Courses!N135)&gt;0),Courses!F135*SUM(Courses!M135,Courses!N135),0)</f>
        <v>0</v>
      </c>
      <c r="F129" s="41">
        <f>IF(AND('Courses Valid'!C141=0,Courses!G135&lt;&gt;"",Courses!H135&gt;0,SUM(Courses!M135,Courses!N135)&gt;0),Courses!H135*SUM(Courses!M135,Courses!N135),0)</f>
        <v>0</v>
      </c>
      <c r="G129" s="105">
        <f>IF(AND('Courses Valid'!C141=0,Courses!I135&lt;&gt;"",Courses!J135&gt;0,SUM(Courses!M135,Courses!N135)&gt;0),Courses!J135*SUM(Courses!M135,Courses!N135),0)</f>
        <v>0</v>
      </c>
      <c r="H129" s="1580">
        <f>IF(AND('Courses Valid'!C141=0,Courses!E135&lt;&gt;"",Courses!F135&gt;0,SUM(Courses!O135,Courses!P135)&gt;0),Courses!F135*SUM(Courses!O135,Courses!P135),0)</f>
        <v>0</v>
      </c>
      <c r="I129" s="41">
        <f>IF(AND('Courses Valid'!C141=0,Courses!G135&lt;&gt;"",Courses!H135&gt;0,SUM(Courses!O135,Courses!P135)&gt;0),Courses!H135*SUM(Courses!O135,Courses!P135),0)</f>
        <v>0</v>
      </c>
      <c r="J129" s="105">
        <f>IF(AND('Courses Valid'!C141=0,Courses!I135&lt;&gt;"",Courses!J135&gt;0,SUM(Courses!O135,Courses!P135)&gt;0),Courses!J135*SUM(Courses!O135,Courses!P135),0)</f>
        <v>0</v>
      </c>
      <c r="K129" s="1580">
        <f>IF(AND('Courses Valid'!C141=0,Courses!E135&lt;&gt;"",Courses!F135&gt;0,Courses!Q135&gt;0),Courses!F135*Courses!Q135,0)</f>
        <v>0</v>
      </c>
      <c r="L129" s="41">
        <f>IF(AND('Courses Valid'!C141=0,Courses!G135&lt;&gt;"",Courses!H135&gt;0,Courses!Q135&gt;0),Courses!H135*Courses!Q135,0)</f>
        <v>0</v>
      </c>
      <c r="M129" s="105">
        <f>IF(AND('Courses Valid'!C141=0,Courses!I135&lt;&gt;"",Courses!J135&gt;0,Courses!Q135&gt;0),Courses!J135*Courses!Q135,0)</f>
        <v>0</v>
      </c>
      <c r="N129" s="41">
        <f>IF(AND('Courses Valid'!C141=0,Courses!E135&lt;&gt;"",Courses!F135&gt;0,SUM(Courses!W135,Courses!X135)&gt;0),Courses!F135*SUM(Courses!W135,Courses!X135),0)</f>
        <v>0</v>
      </c>
      <c r="O129" s="41">
        <f>IF(AND('Courses Valid'!C141=0,Courses!G135&lt;&gt;"",Courses!H135&gt;0,SUM(Courses!W135,Courses!X135)&gt;0),Courses!H135*SUM(Courses!W135,Courses!X135),0)</f>
        <v>0</v>
      </c>
      <c r="P129" s="41">
        <f>IF(AND('Courses Valid'!C141=0,Courses!I135&lt;&gt;"",Courses!J135&gt;0,SUM(Courses!W135,Courses!X135)&gt;0),Courses!J135*SUM(Courses!W135,Courses!X135),0)</f>
        <v>0</v>
      </c>
      <c r="Q129" s="1580">
        <f>IF(AND('Courses Valid'!C141=0,Courses!E135&lt;&gt;"",Courses!F135&gt;0,SUM(Courses!Y135,Courses!Z135)&gt;0),Courses!F135*SUM(Courses!Y135,Courses!Z135),0)</f>
        <v>0</v>
      </c>
      <c r="R129" s="41">
        <f>IF(AND('Courses Valid'!C141=0,Courses!G135&lt;&gt;"",Courses!H135&gt;0,SUM(Courses!Y135,Courses!Z135)&gt;0),Courses!H135*SUM(Courses!Y135,Courses!Z135),0)</f>
        <v>0</v>
      </c>
      <c r="S129" s="105">
        <f>IF(AND('Courses Valid'!C141=0,Courses!I135&lt;&gt;"",Courses!J135&gt;0,SUM(Courses!Y135,Courses!Z135)&gt;0),Courses!J135*SUM(Courses!Y135,Courses!Z135),0)</f>
        <v>0</v>
      </c>
      <c r="T129" s="41">
        <f>IF(AND('Courses Valid'!C141=0,Courses!E135&lt;&gt;"",Courses!F135&gt;0,Courses!AA135&gt;0),Courses!F135*Courses!AA135,0)</f>
        <v>0</v>
      </c>
      <c r="U129" s="41">
        <f>IF(AND('Courses Valid'!C141=0,Courses!G135&lt;&gt;"",Courses!H135&gt;0,Courses!AA135&gt;0),Courses!H135*Courses!AA135,0)</f>
        <v>0</v>
      </c>
      <c r="V129" s="106">
        <f>IF(AND('Courses Valid'!C141=0,Courses!I135&lt;&gt;"",Courses!J135&gt;0,Courses!AA135&gt;0),Courses!J135*Courses!AA135,0)</f>
        <v>0</v>
      </c>
      <c r="W129" s="41"/>
    </row>
    <row r="130" spans="2:23" x14ac:dyDescent="0.35">
      <c r="B130" s="70" t="str">
        <f>IF(Courses!B136&lt;&gt;"",CONCATENATE(Courses!E136,"/",Courses!L136,"/",Courses!K136),"")</f>
        <v/>
      </c>
      <c r="C130" s="1579" t="str">
        <f>IF(AND(Courses!B136&lt;&gt;"",Courses!G136&lt;&gt;""),CONCATENATE(Courses!G136,"/",Courses!L136,"/",Courses!K136),"")</f>
        <v/>
      </c>
      <c r="D130" s="71" t="str">
        <f>IF(AND(Courses!B136&lt;&gt;"",Courses!I136&lt;&gt;""),CONCATENATE(Courses!I136,"/",Courses!L136,"/",Courses!K136),"")</f>
        <v/>
      </c>
      <c r="E130" s="1580">
        <f>IF(AND('Courses Valid'!C142=0,Courses!E136&lt;&gt;"",Courses!F136&gt;0,SUM(Courses!M136,Courses!N136)&gt;0),Courses!F136*SUM(Courses!M136,Courses!N136),0)</f>
        <v>0</v>
      </c>
      <c r="F130" s="41">
        <f>IF(AND('Courses Valid'!C142=0,Courses!G136&lt;&gt;"",Courses!H136&gt;0,SUM(Courses!M136,Courses!N136)&gt;0),Courses!H136*SUM(Courses!M136,Courses!N136),0)</f>
        <v>0</v>
      </c>
      <c r="G130" s="105">
        <f>IF(AND('Courses Valid'!C142=0,Courses!I136&lt;&gt;"",Courses!J136&gt;0,SUM(Courses!M136,Courses!N136)&gt;0),Courses!J136*SUM(Courses!M136,Courses!N136),0)</f>
        <v>0</v>
      </c>
      <c r="H130" s="1580">
        <f>IF(AND('Courses Valid'!C142=0,Courses!E136&lt;&gt;"",Courses!F136&gt;0,SUM(Courses!O136,Courses!P136)&gt;0),Courses!F136*SUM(Courses!O136,Courses!P136),0)</f>
        <v>0</v>
      </c>
      <c r="I130" s="41">
        <f>IF(AND('Courses Valid'!C142=0,Courses!G136&lt;&gt;"",Courses!H136&gt;0,SUM(Courses!O136,Courses!P136)&gt;0),Courses!H136*SUM(Courses!O136,Courses!P136),0)</f>
        <v>0</v>
      </c>
      <c r="J130" s="105">
        <f>IF(AND('Courses Valid'!C142=0,Courses!I136&lt;&gt;"",Courses!J136&gt;0,SUM(Courses!O136,Courses!P136)&gt;0),Courses!J136*SUM(Courses!O136,Courses!P136),0)</f>
        <v>0</v>
      </c>
      <c r="K130" s="1580">
        <f>IF(AND('Courses Valid'!C142=0,Courses!E136&lt;&gt;"",Courses!F136&gt;0,Courses!Q136&gt;0),Courses!F136*Courses!Q136,0)</f>
        <v>0</v>
      </c>
      <c r="L130" s="41">
        <f>IF(AND('Courses Valid'!C142=0,Courses!G136&lt;&gt;"",Courses!H136&gt;0,Courses!Q136&gt;0),Courses!H136*Courses!Q136,0)</f>
        <v>0</v>
      </c>
      <c r="M130" s="105">
        <f>IF(AND('Courses Valid'!C142=0,Courses!I136&lt;&gt;"",Courses!J136&gt;0,Courses!Q136&gt;0),Courses!J136*Courses!Q136,0)</f>
        <v>0</v>
      </c>
      <c r="N130" s="41">
        <f>IF(AND('Courses Valid'!C142=0,Courses!E136&lt;&gt;"",Courses!F136&gt;0,SUM(Courses!W136,Courses!X136)&gt;0),Courses!F136*SUM(Courses!W136,Courses!X136),0)</f>
        <v>0</v>
      </c>
      <c r="O130" s="41">
        <f>IF(AND('Courses Valid'!C142=0,Courses!G136&lt;&gt;"",Courses!H136&gt;0,SUM(Courses!W136,Courses!X136)&gt;0),Courses!H136*SUM(Courses!W136,Courses!X136),0)</f>
        <v>0</v>
      </c>
      <c r="P130" s="41">
        <f>IF(AND('Courses Valid'!C142=0,Courses!I136&lt;&gt;"",Courses!J136&gt;0,SUM(Courses!W136,Courses!X136)&gt;0),Courses!J136*SUM(Courses!W136,Courses!X136),0)</f>
        <v>0</v>
      </c>
      <c r="Q130" s="1580">
        <f>IF(AND('Courses Valid'!C142=0,Courses!E136&lt;&gt;"",Courses!F136&gt;0,SUM(Courses!Y136,Courses!Z136)&gt;0),Courses!F136*SUM(Courses!Y136,Courses!Z136),0)</f>
        <v>0</v>
      </c>
      <c r="R130" s="41">
        <f>IF(AND('Courses Valid'!C142=0,Courses!G136&lt;&gt;"",Courses!H136&gt;0,SUM(Courses!Y136,Courses!Z136)&gt;0),Courses!H136*SUM(Courses!Y136,Courses!Z136),0)</f>
        <v>0</v>
      </c>
      <c r="S130" s="105">
        <f>IF(AND('Courses Valid'!C142=0,Courses!I136&lt;&gt;"",Courses!J136&gt;0,SUM(Courses!Y136,Courses!Z136)&gt;0),Courses!J136*SUM(Courses!Y136,Courses!Z136),0)</f>
        <v>0</v>
      </c>
      <c r="T130" s="41">
        <f>IF(AND('Courses Valid'!C142=0,Courses!E136&lt;&gt;"",Courses!F136&gt;0,Courses!AA136&gt;0),Courses!F136*Courses!AA136,0)</f>
        <v>0</v>
      </c>
      <c r="U130" s="41">
        <f>IF(AND('Courses Valid'!C142=0,Courses!G136&lt;&gt;"",Courses!H136&gt;0,Courses!AA136&gt;0),Courses!H136*Courses!AA136,0)</f>
        <v>0</v>
      </c>
      <c r="V130" s="106">
        <f>IF(AND('Courses Valid'!C142=0,Courses!I136&lt;&gt;"",Courses!J136&gt;0,Courses!AA136&gt;0),Courses!J136*Courses!AA136,0)</f>
        <v>0</v>
      </c>
      <c r="W130" s="41"/>
    </row>
    <row r="131" spans="2:23" x14ac:dyDescent="0.35">
      <c r="B131" s="70" t="str">
        <f>IF(Courses!B137&lt;&gt;"",CONCATENATE(Courses!E137,"/",Courses!L137,"/",Courses!K137),"")</f>
        <v/>
      </c>
      <c r="C131" s="1579" t="str">
        <f>IF(AND(Courses!B137&lt;&gt;"",Courses!G137&lt;&gt;""),CONCATENATE(Courses!G137,"/",Courses!L137,"/",Courses!K137),"")</f>
        <v/>
      </c>
      <c r="D131" s="71" t="str">
        <f>IF(AND(Courses!B137&lt;&gt;"",Courses!I137&lt;&gt;""),CONCATENATE(Courses!I137,"/",Courses!L137,"/",Courses!K137),"")</f>
        <v/>
      </c>
      <c r="E131" s="1580">
        <f>IF(AND('Courses Valid'!C143=0,Courses!E137&lt;&gt;"",Courses!F137&gt;0,SUM(Courses!M137,Courses!N137)&gt;0),Courses!F137*SUM(Courses!M137,Courses!N137),0)</f>
        <v>0</v>
      </c>
      <c r="F131" s="41">
        <f>IF(AND('Courses Valid'!C143=0,Courses!G137&lt;&gt;"",Courses!H137&gt;0,SUM(Courses!M137,Courses!N137)&gt;0),Courses!H137*SUM(Courses!M137,Courses!N137),0)</f>
        <v>0</v>
      </c>
      <c r="G131" s="105">
        <f>IF(AND('Courses Valid'!C143=0,Courses!I137&lt;&gt;"",Courses!J137&gt;0,SUM(Courses!M137,Courses!N137)&gt;0),Courses!J137*SUM(Courses!M137,Courses!N137),0)</f>
        <v>0</v>
      </c>
      <c r="H131" s="1580">
        <f>IF(AND('Courses Valid'!C143=0,Courses!E137&lt;&gt;"",Courses!F137&gt;0,SUM(Courses!O137,Courses!P137)&gt;0),Courses!F137*SUM(Courses!O137,Courses!P137),0)</f>
        <v>0</v>
      </c>
      <c r="I131" s="41">
        <f>IF(AND('Courses Valid'!C143=0,Courses!G137&lt;&gt;"",Courses!H137&gt;0,SUM(Courses!O137,Courses!P137)&gt;0),Courses!H137*SUM(Courses!O137,Courses!P137),0)</f>
        <v>0</v>
      </c>
      <c r="J131" s="105">
        <f>IF(AND('Courses Valid'!C143=0,Courses!I137&lt;&gt;"",Courses!J137&gt;0,SUM(Courses!O137,Courses!P137)&gt;0),Courses!J137*SUM(Courses!O137,Courses!P137),0)</f>
        <v>0</v>
      </c>
      <c r="K131" s="1580">
        <f>IF(AND('Courses Valid'!C143=0,Courses!E137&lt;&gt;"",Courses!F137&gt;0,Courses!Q137&gt;0),Courses!F137*Courses!Q137,0)</f>
        <v>0</v>
      </c>
      <c r="L131" s="41">
        <f>IF(AND('Courses Valid'!C143=0,Courses!G137&lt;&gt;"",Courses!H137&gt;0,Courses!Q137&gt;0),Courses!H137*Courses!Q137,0)</f>
        <v>0</v>
      </c>
      <c r="M131" s="105">
        <f>IF(AND('Courses Valid'!C143=0,Courses!I137&lt;&gt;"",Courses!J137&gt;0,Courses!Q137&gt;0),Courses!J137*Courses!Q137,0)</f>
        <v>0</v>
      </c>
      <c r="N131" s="41">
        <f>IF(AND('Courses Valid'!C143=0,Courses!E137&lt;&gt;"",Courses!F137&gt;0,SUM(Courses!W137,Courses!X137)&gt;0),Courses!F137*SUM(Courses!W137,Courses!X137),0)</f>
        <v>0</v>
      </c>
      <c r="O131" s="41">
        <f>IF(AND('Courses Valid'!C143=0,Courses!G137&lt;&gt;"",Courses!H137&gt;0,SUM(Courses!W137,Courses!X137)&gt;0),Courses!H137*SUM(Courses!W137,Courses!X137),0)</f>
        <v>0</v>
      </c>
      <c r="P131" s="41">
        <f>IF(AND('Courses Valid'!C143=0,Courses!I137&lt;&gt;"",Courses!J137&gt;0,SUM(Courses!W137,Courses!X137)&gt;0),Courses!J137*SUM(Courses!W137,Courses!X137),0)</f>
        <v>0</v>
      </c>
      <c r="Q131" s="1580">
        <f>IF(AND('Courses Valid'!C143=0,Courses!E137&lt;&gt;"",Courses!F137&gt;0,SUM(Courses!Y137,Courses!Z137)&gt;0),Courses!F137*SUM(Courses!Y137,Courses!Z137),0)</f>
        <v>0</v>
      </c>
      <c r="R131" s="41">
        <f>IF(AND('Courses Valid'!C143=0,Courses!G137&lt;&gt;"",Courses!H137&gt;0,SUM(Courses!Y137,Courses!Z137)&gt;0),Courses!H137*SUM(Courses!Y137,Courses!Z137),0)</f>
        <v>0</v>
      </c>
      <c r="S131" s="105">
        <f>IF(AND('Courses Valid'!C143=0,Courses!I137&lt;&gt;"",Courses!J137&gt;0,SUM(Courses!Y137,Courses!Z137)&gt;0),Courses!J137*SUM(Courses!Y137,Courses!Z137),0)</f>
        <v>0</v>
      </c>
      <c r="T131" s="41">
        <f>IF(AND('Courses Valid'!C143=0,Courses!E137&lt;&gt;"",Courses!F137&gt;0,Courses!AA137&gt;0),Courses!F137*Courses!AA137,0)</f>
        <v>0</v>
      </c>
      <c r="U131" s="41">
        <f>IF(AND('Courses Valid'!C143=0,Courses!G137&lt;&gt;"",Courses!H137&gt;0,Courses!AA137&gt;0),Courses!H137*Courses!AA137,0)</f>
        <v>0</v>
      </c>
      <c r="V131" s="106">
        <f>IF(AND('Courses Valid'!C143=0,Courses!I137&lt;&gt;"",Courses!J137&gt;0,Courses!AA137&gt;0),Courses!J137*Courses!AA137,0)</f>
        <v>0</v>
      </c>
      <c r="W131" s="41"/>
    </row>
    <row r="132" spans="2:23" x14ac:dyDescent="0.35">
      <c r="B132" s="70" t="str">
        <f>IF(Courses!B138&lt;&gt;"",CONCATENATE(Courses!E138,"/",Courses!L138,"/",Courses!K138),"")</f>
        <v/>
      </c>
      <c r="C132" s="1579" t="str">
        <f>IF(AND(Courses!B138&lt;&gt;"",Courses!G138&lt;&gt;""),CONCATENATE(Courses!G138,"/",Courses!L138,"/",Courses!K138),"")</f>
        <v/>
      </c>
      <c r="D132" s="71" t="str">
        <f>IF(AND(Courses!B138&lt;&gt;"",Courses!I138&lt;&gt;""),CONCATENATE(Courses!I138,"/",Courses!L138,"/",Courses!K138),"")</f>
        <v/>
      </c>
      <c r="E132" s="1580">
        <f>IF(AND('Courses Valid'!C144=0,Courses!E138&lt;&gt;"",Courses!F138&gt;0,SUM(Courses!M138,Courses!N138)&gt;0),Courses!F138*SUM(Courses!M138,Courses!N138),0)</f>
        <v>0</v>
      </c>
      <c r="F132" s="41">
        <f>IF(AND('Courses Valid'!C144=0,Courses!G138&lt;&gt;"",Courses!H138&gt;0,SUM(Courses!M138,Courses!N138)&gt;0),Courses!H138*SUM(Courses!M138,Courses!N138),0)</f>
        <v>0</v>
      </c>
      <c r="G132" s="105">
        <f>IF(AND('Courses Valid'!C144=0,Courses!I138&lt;&gt;"",Courses!J138&gt;0,SUM(Courses!M138,Courses!N138)&gt;0),Courses!J138*SUM(Courses!M138,Courses!N138),0)</f>
        <v>0</v>
      </c>
      <c r="H132" s="1580">
        <f>IF(AND('Courses Valid'!C144=0,Courses!E138&lt;&gt;"",Courses!F138&gt;0,SUM(Courses!O138,Courses!P138)&gt;0),Courses!F138*SUM(Courses!O138,Courses!P138),0)</f>
        <v>0</v>
      </c>
      <c r="I132" s="41">
        <f>IF(AND('Courses Valid'!C144=0,Courses!G138&lt;&gt;"",Courses!H138&gt;0,SUM(Courses!O138,Courses!P138)&gt;0),Courses!H138*SUM(Courses!O138,Courses!P138),0)</f>
        <v>0</v>
      </c>
      <c r="J132" s="105">
        <f>IF(AND('Courses Valid'!C144=0,Courses!I138&lt;&gt;"",Courses!J138&gt;0,SUM(Courses!O138,Courses!P138)&gt;0),Courses!J138*SUM(Courses!O138,Courses!P138),0)</f>
        <v>0</v>
      </c>
      <c r="K132" s="1580">
        <f>IF(AND('Courses Valid'!C144=0,Courses!E138&lt;&gt;"",Courses!F138&gt;0,Courses!Q138&gt;0),Courses!F138*Courses!Q138,0)</f>
        <v>0</v>
      </c>
      <c r="L132" s="41">
        <f>IF(AND('Courses Valid'!C144=0,Courses!G138&lt;&gt;"",Courses!H138&gt;0,Courses!Q138&gt;0),Courses!H138*Courses!Q138,0)</f>
        <v>0</v>
      </c>
      <c r="M132" s="105">
        <f>IF(AND('Courses Valid'!C144=0,Courses!I138&lt;&gt;"",Courses!J138&gt;0,Courses!Q138&gt;0),Courses!J138*Courses!Q138,0)</f>
        <v>0</v>
      </c>
      <c r="N132" s="41">
        <f>IF(AND('Courses Valid'!C144=0,Courses!E138&lt;&gt;"",Courses!F138&gt;0,SUM(Courses!W138,Courses!X138)&gt;0),Courses!F138*SUM(Courses!W138,Courses!X138),0)</f>
        <v>0</v>
      </c>
      <c r="O132" s="41">
        <f>IF(AND('Courses Valid'!C144=0,Courses!G138&lt;&gt;"",Courses!H138&gt;0,SUM(Courses!W138,Courses!X138)&gt;0),Courses!H138*SUM(Courses!W138,Courses!X138),0)</f>
        <v>0</v>
      </c>
      <c r="P132" s="41">
        <f>IF(AND('Courses Valid'!C144=0,Courses!I138&lt;&gt;"",Courses!J138&gt;0,SUM(Courses!W138,Courses!X138)&gt;0),Courses!J138*SUM(Courses!W138,Courses!X138),0)</f>
        <v>0</v>
      </c>
      <c r="Q132" s="1580">
        <f>IF(AND('Courses Valid'!C144=0,Courses!E138&lt;&gt;"",Courses!F138&gt;0,SUM(Courses!Y138,Courses!Z138)&gt;0),Courses!F138*SUM(Courses!Y138,Courses!Z138),0)</f>
        <v>0</v>
      </c>
      <c r="R132" s="41">
        <f>IF(AND('Courses Valid'!C144=0,Courses!G138&lt;&gt;"",Courses!H138&gt;0,SUM(Courses!Y138,Courses!Z138)&gt;0),Courses!H138*SUM(Courses!Y138,Courses!Z138),0)</f>
        <v>0</v>
      </c>
      <c r="S132" s="105">
        <f>IF(AND('Courses Valid'!C144=0,Courses!I138&lt;&gt;"",Courses!J138&gt;0,SUM(Courses!Y138,Courses!Z138)&gt;0),Courses!J138*SUM(Courses!Y138,Courses!Z138),0)</f>
        <v>0</v>
      </c>
      <c r="T132" s="41">
        <f>IF(AND('Courses Valid'!C144=0,Courses!E138&lt;&gt;"",Courses!F138&gt;0,Courses!AA138&gt;0),Courses!F138*Courses!AA138,0)</f>
        <v>0</v>
      </c>
      <c r="U132" s="41">
        <f>IF(AND('Courses Valid'!C144=0,Courses!G138&lt;&gt;"",Courses!H138&gt;0,Courses!AA138&gt;0),Courses!H138*Courses!AA138,0)</f>
        <v>0</v>
      </c>
      <c r="V132" s="106">
        <f>IF(AND('Courses Valid'!C144=0,Courses!I138&lt;&gt;"",Courses!J138&gt;0,Courses!AA138&gt;0),Courses!J138*Courses!AA138,0)</f>
        <v>0</v>
      </c>
      <c r="W132" s="41"/>
    </row>
    <row r="133" spans="2:23" x14ac:dyDescent="0.35">
      <c r="B133" s="70" t="str">
        <f>IF(Courses!B139&lt;&gt;"",CONCATENATE(Courses!E139,"/",Courses!L139,"/",Courses!K139),"")</f>
        <v/>
      </c>
      <c r="C133" s="1579" t="str">
        <f>IF(AND(Courses!B139&lt;&gt;"",Courses!G139&lt;&gt;""),CONCATENATE(Courses!G139,"/",Courses!L139,"/",Courses!K139),"")</f>
        <v/>
      </c>
      <c r="D133" s="71" t="str">
        <f>IF(AND(Courses!B139&lt;&gt;"",Courses!I139&lt;&gt;""),CONCATENATE(Courses!I139,"/",Courses!L139,"/",Courses!K139),"")</f>
        <v/>
      </c>
      <c r="E133" s="1580">
        <f>IF(AND('Courses Valid'!C145=0,Courses!E139&lt;&gt;"",Courses!F139&gt;0,SUM(Courses!M139,Courses!N139)&gt;0),Courses!F139*SUM(Courses!M139,Courses!N139),0)</f>
        <v>0</v>
      </c>
      <c r="F133" s="41">
        <f>IF(AND('Courses Valid'!C145=0,Courses!G139&lt;&gt;"",Courses!H139&gt;0,SUM(Courses!M139,Courses!N139)&gt;0),Courses!H139*SUM(Courses!M139,Courses!N139),0)</f>
        <v>0</v>
      </c>
      <c r="G133" s="105">
        <f>IF(AND('Courses Valid'!C145=0,Courses!I139&lt;&gt;"",Courses!J139&gt;0,SUM(Courses!M139,Courses!N139)&gt;0),Courses!J139*SUM(Courses!M139,Courses!N139),0)</f>
        <v>0</v>
      </c>
      <c r="H133" s="1580">
        <f>IF(AND('Courses Valid'!C145=0,Courses!E139&lt;&gt;"",Courses!F139&gt;0,SUM(Courses!O139,Courses!P139)&gt;0),Courses!F139*SUM(Courses!O139,Courses!P139),0)</f>
        <v>0</v>
      </c>
      <c r="I133" s="41">
        <f>IF(AND('Courses Valid'!C145=0,Courses!G139&lt;&gt;"",Courses!H139&gt;0,SUM(Courses!O139,Courses!P139)&gt;0),Courses!H139*SUM(Courses!O139,Courses!P139),0)</f>
        <v>0</v>
      </c>
      <c r="J133" s="105">
        <f>IF(AND('Courses Valid'!C145=0,Courses!I139&lt;&gt;"",Courses!J139&gt;0,SUM(Courses!O139,Courses!P139)&gt;0),Courses!J139*SUM(Courses!O139,Courses!P139),0)</f>
        <v>0</v>
      </c>
      <c r="K133" s="1580">
        <f>IF(AND('Courses Valid'!C145=0,Courses!E139&lt;&gt;"",Courses!F139&gt;0,Courses!Q139&gt;0),Courses!F139*Courses!Q139,0)</f>
        <v>0</v>
      </c>
      <c r="L133" s="41">
        <f>IF(AND('Courses Valid'!C145=0,Courses!G139&lt;&gt;"",Courses!H139&gt;0,Courses!Q139&gt;0),Courses!H139*Courses!Q139,0)</f>
        <v>0</v>
      </c>
      <c r="M133" s="105">
        <f>IF(AND('Courses Valid'!C145=0,Courses!I139&lt;&gt;"",Courses!J139&gt;0,Courses!Q139&gt;0),Courses!J139*Courses!Q139,0)</f>
        <v>0</v>
      </c>
      <c r="N133" s="41">
        <f>IF(AND('Courses Valid'!C145=0,Courses!E139&lt;&gt;"",Courses!F139&gt;0,SUM(Courses!W139,Courses!X139)&gt;0),Courses!F139*SUM(Courses!W139,Courses!X139),0)</f>
        <v>0</v>
      </c>
      <c r="O133" s="41">
        <f>IF(AND('Courses Valid'!C145=0,Courses!G139&lt;&gt;"",Courses!H139&gt;0,SUM(Courses!W139,Courses!X139)&gt;0),Courses!H139*SUM(Courses!W139,Courses!X139),0)</f>
        <v>0</v>
      </c>
      <c r="P133" s="41">
        <f>IF(AND('Courses Valid'!C145=0,Courses!I139&lt;&gt;"",Courses!J139&gt;0,SUM(Courses!W139,Courses!X139)&gt;0),Courses!J139*SUM(Courses!W139,Courses!X139),0)</f>
        <v>0</v>
      </c>
      <c r="Q133" s="1580">
        <f>IF(AND('Courses Valid'!C145=0,Courses!E139&lt;&gt;"",Courses!F139&gt;0,SUM(Courses!Y139,Courses!Z139)&gt;0),Courses!F139*SUM(Courses!Y139,Courses!Z139),0)</f>
        <v>0</v>
      </c>
      <c r="R133" s="41">
        <f>IF(AND('Courses Valid'!C145=0,Courses!G139&lt;&gt;"",Courses!H139&gt;0,SUM(Courses!Y139,Courses!Z139)&gt;0),Courses!H139*SUM(Courses!Y139,Courses!Z139),0)</f>
        <v>0</v>
      </c>
      <c r="S133" s="105">
        <f>IF(AND('Courses Valid'!C145=0,Courses!I139&lt;&gt;"",Courses!J139&gt;0,SUM(Courses!Y139,Courses!Z139)&gt;0),Courses!J139*SUM(Courses!Y139,Courses!Z139),0)</f>
        <v>0</v>
      </c>
      <c r="T133" s="41">
        <f>IF(AND('Courses Valid'!C145=0,Courses!E139&lt;&gt;"",Courses!F139&gt;0,Courses!AA139&gt;0),Courses!F139*Courses!AA139,0)</f>
        <v>0</v>
      </c>
      <c r="U133" s="41">
        <f>IF(AND('Courses Valid'!C145=0,Courses!G139&lt;&gt;"",Courses!H139&gt;0,Courses!AA139&gt;0),Courses!H139*Courses!AA139,0)</f>
        <v>0</v>
      </c>
      <c r="V133" s="106">
        <f>IF(AND('Courses Valid'!C145=0,Courses!I139&lt;&gt;"",Courses!J139&gt;0,Courses!AA139&gt;0),Courses!J139*Courses!AA139,0)</f>
        <v>0</v>
      </c>
      <c r="W133" s="41"/>
    </row>
    <row r="134" spans="2:23" x14ac:dyDescent="0.35">
      <c r="B134" s="70" t="str">
        <f>IF(Courses!B140&lt;&gt;"",CONCATENATE(Courses!E140,"/",Courses!L140,"/",Courses!K140),"")</f>
        <v/>
      </c>
      <c r="C134" s="1579" t="str">
        <f>IF(AND(Courses!B140&lt;&gt;"",Courses!G140&lt;&gt;""),CONCATENATE(Courses!G140,"/",Courses!L140,"/",Courses!K140),"")</f>
        <v/>
      </c>
      <c r="D134" s="71" t="str">
        <f>IF(AND(Courses!B140&lt;&gt;"",Courses!I140&lt;&gt;""),CONCATENATE(Courses!I140,"/",Courses!L140,"/",Courses!K140),"")</f>
        <v/>
      </c>
      <c r="E134" s="1580">
        <f>IF(AND('Courses Valid'!C146=0,Courses!E140&lt;&gt;"",Courses!F140&gt;0,SUM(Courses!M140,Courses!N140)&gt;0),Courses!F140*SUM(Courses!M140,Courses!N140),0)</f>
        <v>0</v>
      </c>
      <c r="F134" s="41">
        <f>IF(AND('Courses Valid'!C146=0,Courses!G140&lt;&gt;"",Courses!H140&gt;0,SUM(Courses!M140,Courses!N140)&gt;0),Courses!H140*SUM(Courses!M140,Courses!N140),0)</f>
        <v>0</v>
      </c>
      <c r="G134" s="105">
        <f>IF(AND('Courses Valid'!C146=0,Courses!I140&lt;&gt;"",Courses!J140&gt;0,SUM(Courses!M140,Courses!N140)&gt;0),Courses!J140*SUM(Courses!M140,Courses!N140),0)</f>
        <v>0</v>
      </c>
      <c r="H134" s="1580">
        <f>IF(AND('Courses Valid'!C146=0,Courses!E140&lt;&gt;"",Courses!F140&gt;0,SUM(Courses!O140,Courses!P140)&gt;0),Courses!F140*SUM(Courses!O140,Courses!P140),0)</f>
        <v>0</v>
      </c>
      <c r="I134" s="41">
        <f>IF(AND('Courses Valid'!C146=0,Courses!G140&lt;&gt;"",Courses!H140&gt;0,SUM(Courses!O140,Courses!P140)&gt;0),Courses!H140*SUM(Courses!O140,Courses!P140),0)</f>
        <v>0</v>
      </c>
      <c r="J134" s="105">
        <f>IF(AND('Courses Valid'!C146=0,Courses!I140&lt;&gt;"",Courses!J140&gt;0,SUM(Courses!O140,Courses!P140)&gt;0),Courses!J140*SUM(Courses!O140,Courses!P140),0)</f>
        <v>0</v>
      </c>
      <c r="K134" s="1580">
        <f>IF(AND('Courses Valid'!C146=0,Courses!E140&lt;&gt;"",Courses!F140&gt;0,Courses!Q140&gt;0),Courses!F140*Courses!Q140,0)</f>
        <v>0</v>
      </c>
      <c r="L134" s="41">
        <f>IF(AND('Courses Valid'!C146=0,Courses!G140&lt;&gt;"",Courses!H140&gt;0,Courses!Q140&gt;0),Courses!H140*Courses!Q140,0)</f>
        <v>0</v>
      </c>
      <c r="M134" s="105">
        <f>IF(AND('Courses Valid'!C146=0,Courses!I140&lt;&gt;"",Courses!J140&gt;0,Courses!Q140&gt;0),Courses!J140*Courses!Q140,0)</f>
        <v>0</v>
      </c>
      <c r="N134" s="41">
        <f>IF(AND('Courses Valid'!C146=0,Courses!E140&lt;&gt;"",Courses!F140&gt;0,SUM(Courses!W140,Courses!X140)&gt;0),Courses!F140*SUM(Courses!W140,Courses!X140),0)</f>
        <v>0</v>
      </c>
      <c r="O134" s="41">
        <f>IF(AND('Courses Valid'!C146=0,Courses!G140&lt;&gt;"",Courses!H140&gt;0,SUM(Courses!W140,Courses!X140)&gt;0),Courses!H140*SUM(Courses!W140,Courses!X140),0)</f>
        <v>0</v>
      </c>
      <c r="P134" s="41">
        <f>IF(AND('Courses Valid'!C146=0,Courses!I140&lt;&gt;"",Courses!J140&gt;0,SUM(Courses!W140,Courses!X140)&gt;0),Courses!J140*SUM(Courses!W140,Courses!X140),0)</f>
        <v>0</v>
      </c>
      <c r="Q134" s="1580">
        <f>IF(AND('Courses Valid'!C146=0,Courses!E140&lt;&gt;"",Courses!F140&gt;0,SUM(Courses!Y140,Courses!Z140)&gt;0),Courses!F140*SUM(Courses!Y140,Courses!Z140),0)</f>
        <v>0</v>
      </c>
      <c r="R134" s="41">
        <f>IF(AND('Courses Valid'!C146=0,Courses!G140&lt;&gt;"",Courses!H140&gt;0,SUM(Courses!Y140,Courses!Z140)&gt;0),Courses!H140*SUM(Courses!Y140,Courses!Z140),0)</f>
        <v>0</v>
      </c>
      <c r="S134" s="105">
        <f>IF(AND('Courses Valid'!C146=0,Courses!I140&lt;&gt;"",Courses!J140&gt;0,SUM(Courses!Y140,Courses!Z140)&gt;0),Courses!J140*SUM(Courses!Y140,Courses!Z140),0)</f>
        <v>0</v>
      </c>
      <c r="T134" s="41">
        <f>IF(AND('Courses Valid'!C146=0,Courses!E140&lt;&gt;"",Courses!F140&gt;0,Courses!AA140&gt;0),Courses!F140*Courses!AA140,0)</f>
        <v>0</v>
      </c>
      <c r="U134" s="41">
        <f>IF(AND('Courses Valid'!C146=0,Courses!G140&lt;&gt;"",Courses!H140&gt;0,Courses!AA140&gt;0),Courses!H140*Courses!AA140,0)</f>
        <v>0</v>
      </c>
      <c r="V134" s="106">
        <f>IF(AND('Courses Valid'!C146=0,Courses!I140&lt;&gt;"",Courses!J140&gt;0,Courses!AA140&gt;0),Courses!J140*Courses!AA140,0)</f>
        <v>0</v>
      </c>
      <c r="W134" s="41"/>
    </row>
    <row r="135" spans="2:23" x14ac:dyDescent="0.35">
      <c r="B135" s="70" t="str">
        <f>IF(Courses!B141&lt;&gt;"",CONCATENATE(Courses!E141,"/",Courses!L141,"/",Courses!K141),"")</f>
        <v/>
      </c>
      <c r="C135" s="1579" t="str">
        <f>IF(AND(Courses!B141&lt;&gt;"",Courses!G141&lt;&gt;""),CONCATENATE(Courses!G141,"/",Courses!L141,"/",Courses!K141),"")</f>
        <v/>
      </c>
      <c r="D135" s="71" t="str">
        <f>IF(AND(Courses!B141&lt;&gt;"",Courses!I141&lt;&gt;""),CONCATENATE(Courses!I141,"/",Courses!L141,"/",Courses!K141),"")</f>
        <v/>
      </c>
      <c r="E135" s="1580">
        <f>IF(AND('Courses Valid'!C147=0,Courses!E141&lt;&gt;"",Courses!F141&gt;0,SUM(Courses!M141,Courses!N141)&gt;0),Courses!F141*SUM(Courses!M141,Courses!N141),0)</f>
        <v>0</v>
      </c>
      <c r="F135" s="41">
        <f>IF(AND('Courses Valid'!C147=0,Courses!G141&lt;&gt;"",Courses!H141&gt;0,SUM(Courses!M141,Courses!N141)&gt;0),Courses!H141*SUM(Courses!M141,Courses!N141),0)</f>
        <v>0</v>
      </c>
      <c r="G135" s="105">
        <f>IF(AND('Courses Valid'!C147=0,Courses!I141&lt;&gt;"",Courses!J141&gt;0,SUM(Courses!M141,Courses!N141)&gt;0),Courses!J141*SUM(Courses!M141,Courses!N141),0)</f>
        <v>0</v>
      </c>
      <c r="H135" s="1580">
        <f>IF(AND('Courses Valid'!C147=0,Courses!E141&lt;&gt;"",Courses!F141&gt;0,SUM(Courses!O141,Courses!P141)&gt;0),Courses!F141*SUM(Courses!O141,Courses!P141),0)</f>
        <v>0</v>
      </c>
      <c r="I135" s="41">
        <f>IF(AND('Courses Valid'!C147=0,Courses!G141&lt;&gt;"",Courses!H141&gt;0,SUM(Courses!O141,Courses!P141)&gt;0),Courses!H141*SUM(Courses!O141,Courses!P141),0)</f>
        <v>0</v>
      </c>
      <c r="J135" s="105">
        <f>IF(AND('Courses Valid'!C147=0,Courses!I141&lt;&gt;"",Courses!J141&gt;0,SUM(Courses!O141,Courses!P141)&gt;0),Courses!J141*SUM(Courses!O141,Courses!P141),0)</f>
        <v>0</v>
      </c>
      <c r="K135" s="1580">
        <f>IF(AND('Courses Valid'!C147=0,Courses!E141&lt;&gt;"",Courses!F141&gt;0,Courses!Q141&gt;0),Courses!F141*Courses!Q141,0)</f>
        <v>0</v>
      </c>
      <c r="L135" s="41">
        <f>IF(AND('Courses Valid'!C147=0,Courses!G141&lt;&gt;"",Courses!H141&gt;0,Courses!Q141&gt;0),Courses!H141*Courses!Q141,0)</f>
        <v>0</v>
      </c>
      <c r="M135" s="105">
        <f>IF(AND('Courses Valid'!C147=0,Courses!I141&lt;&gt;"",Courses!J141&gt;0,Courses!Q141&gt;0),Courses!J141*Courses!Q141,0)</f>
        <v>0</v>
      </c>
      <c r="N135" s="41">
        <f>IF(AND('Courses Valid'!C147=0,Courses!E141&lt;&gt;"",Courses!F141&gt;0,SUM(Courses!W141,Courses!X141)&gt;0),Courses!F141*SUM(Courses!W141,Courses!X141),0)</f>
        <v>0</v>
      </c>
      <c r="O135" s="41">
        <f>IF(AND('Courses Valid'!C147=0,Courses!G141&lt;&gt;"",Courses!H141&gt;0,SUM(Courses!W141,Courses!X141)&gt;0),Courses!H141*SUM(Courses!W141,Courses!X141),0)</f>
        <v>0</v>
      </c>
      <c r="P135" s="41">
        <f>IF(AND('Courses Valid'!C147=0,Courses!I141&lt;&gt;"",Courses!J141&gt;0,SUM(Courses!W141,Courses!X141)&gt;0),Courses!J141*SUM(Courses!W141,Courses!X141),0)</f>
        <v>0</v>
      </c>
      <c r="Q135" s="1580">
        <f>IF(AND('Courses Valid'!C147=0,Courses!E141&lt;&gt;"",Courses!F141&gt;0,SUM(Courses!Y141,Courses!Z141)&gt;0),Courses!F141*SUM(Courses!Y141,Courses!Z141),0)</f>
        <v>0</v>
      </c>
      <c r="R135" s="41">
        <f>IF(AND('Courses Valid'!C147=0,Courses!G141&lt;&gt;"",Courses!H141&gt;0,SUM(Courses!Y141,Courses!Z141)&gt;0),Courses!H141*SUM(Courses!Y141,Courses!Z141),0)</f>
        <v>0</v>
      </c>
      <c r="S135" s="105">
        <f>IF(AND('Courses Valid'!C147=0,Courses!I141&lt;&gt;"",Courses!J141&gt;0,SUM(Courses!Y141,Courses!Z141)&gt;0),Courses!J141*SUM(Courses!Y141,Courses!Z141),0)</f>
        <v>0</v>
      </c>
      <c r="T135" s="41">
        <f>IF(AND('Courses Valid'!C147=0,Courses!E141&lt;&gt;"",Courses!F141&gt;0,Courses!AA141&gt;0),Courses!F141*Courses!AA141,0)</f>
        <v>0</v>
      </c>
      <c r="U135" s="41">
        <f>IF(AND('Courses Valid'!C147=0,Courses!G141&lt;&gt;"",Courses!H141&gt;0,Courses!AA141&gt;0),Courses!H141*Courses!AA141,0)</f>
        <v>0</v>
      </c>
      <c r="V135" s="106">
        <f>IF(AND('Courses Valid'!C147=0,Courses!I141&lt;&gt;"",Courses!J141&gt;0,Courses!AA141&gt;0),Courses!J141*Courses!AA141,0)</f>
        <v>0</v>
      </c>
      <c r="W135" s="41"/>
    </row>
    <row r="136" spans="2:23" x14ac:dyDescent="0.35">
      <c r="B136" s="70" t="str">
        <f>IF(Courses!B142&lt;&gt;"",CONCATENATE(Courses!E142,"/",Courses!L142,"/",Courses!K142),"")</f>
        <v/>
      </c>
      <c r="C136" s="1579" t="str">
        <f>IF(AND(Courses!B142&lt;&gt;"",Courses!G142&lt;&gt;""),CONCATENATE(Courses!G142,"/",Courses!L142,"/",Courses!K142),"")</f>
        <v/>
      </c>
      <c r="D136" s="71" t="str">
        <f>IF(AND(Courses!B142&lt;&gt;"",Courses!I142&lt;&gt;""),CONCATENATE(Courses!I142,"/",Courses!L142,"/",Courses!K142),"")</f>
        <v/>
      </c>
      <c r="E136" s="1580">
        <f>IF(AND('Courses Valid'!C148=0,Courses!E142&lt;&gt;"",Courses!F142&gt;0,SUM(Courses!M142,Courses!N142)&gt;0),Courses!F142*SUM(Courses!M142,Courses!N142),0)</f>
        <v>0</v>
      </c>
      <c r="F136" s="41">
        <f>IF(AND('Courses Valid'!C148=0,Courses!G142&lt;&gt;"",Courses!H142&gt;0,SUM(Courses!M142,Courses!N142)&gt;0),Courses!H142*SUM(Courses!M142,Courses!N142),0)</f>
        <v>0</v>
      </c>
      <c r="G136" s="105">
        <f>IF(AND('Courses Valid'!C148=0,Courses!I142&lt;&gt;"",Courses!J142&gt;0,SUM(Courses!M142,Courses!N142)&gt;0),Courses!J142*SUM(Courses!M142,Courses!N142),0)</f>
        <v>0</v>
      </c>
      <c r="H136" s="1580">
        <f>IF(AND('Courses Valid'!C148=0,Courses!E142&lt;&gt;"",Courses!F142&gt;0,SUM(Courses!O142,Courses!P142)&gt;0),Courses!F142*SUM(Courses!O142,Courses!P142),0)</f>
        <v>0</v>
      </c>
      <c r="I136" s="41">
        <f>IF(AND('Courses Valid'!C148=0,Courses!G142&lt;&gt;"",Courses!H142&gt;0,SUM(Courses!O142,Courses!P142)&gt;0),Courses!H142*SUM(Courses!O142,Courses!P142),0)</f>
        <v>0</v>
      </c>
      <c r="J136" s="105">
        <f>IF(AND('Courses Valid'!C148=0,Courses!I142&lt;&gt;"",Courses!J142&gt;0,SUM(Courses!O142,Courses!P142)&gt;0),Courses!J142*SUM(Courses!O142,Courses!P142),0)</f>
        <v>0</v>
      </c>
      <c r="K136" s="1580">
        <f>IF(AND('Courses Valid'!C148=0,Courses!E142&lt;&gt;"",Courses!F142&gt;0,Courses!Q142&gt;0),Courses!F142*Courses!Q142,0)</f>
        <v>0</v>
      </c>
      <c r="L136" s="41">
        <f>IF(AND('Courses Valid'!C148=0,Courses!G142&lt;&gt;"",Courses!H142&gt;0,Courses!Q142&gt;0),Courses!H142*Courses!Q142,0)</f>
        <v>0</v>
      </c>
      <c r="M136" s="105">
        <f>IF(AND('Courses Valid'!C148=0,Courses!I142&lt;&gt;"",Courses!J142&gt;0,Courses!Q142&gt;0),Courses!J142*Courses!Q142,0)</f>
        <v>0</v>
      </c>
      <c r="N136" s="41">
        <f>IF(AND('Courses Valid'!C148=0,Courses!E142&lt;&gt;"",Courses!F142&gt;0,SUM(Courses!W142,Courses!X142)&gt;0),Courses!F142*SUM(Courses!W142,Courses!X142),0)</f>
        <v>0</v>
      </c>
      <c r="O136" s="41">
        <f>IF(AND('Courses Valid'!C148=0,Courses!G142&lt;&gt;"",Courses!H142&gt;0,SUM(Courses!W142,Courses!X142)&gt;0),Courses!H142*SUM(Courses!W142,Courses!X142),0)</f>
        <v>0</v>
      </c>
      <c r="P136" s="41">
        <f>IF(AND('Courses Valid'!C148=0,Courses!I142&lt;&gt;"",Courses!J142&gt;0,SUM(Courses!W142,Courses!X142)&gt;0),Courses!J142*SUM(Courses!W142,Courses!X142),0)</f>
        <v>0</v>
      </c>
      <c r="Q136" s="1580">
        <f>IF(AND('Courses Valid'!C148=0,Courses!E142&lt;&gt;"",Courses!F142&gt;0,SUM(Courses!Y142,Courses!Z142)&gt;0),Courses!F142*SUM(Courses!Y142,Courses!Z142),0)</f>
        <v>0</v>
      </c>
      <c r="R136" s="41">
        <f>IF(AND('Courses Valid'!C148=0,Courses!G142&lt;&gt;"",Courses!H142&gt;0,SUM(Courses!Y142,Courses!Z142)&gt;0),Courses!H142*SUM(Courses!Y142,Courses!Z142),0)</f>
        <v>0</v>
      </c>
      <c r="S136" s="105">
        <f>IF(AND('Courses Valid'!C148=0,Courses!I142&lt;&gt;"",Courses!J142&gt;0,SUM(Courses!Y142,Courses!Z142)&gt;0),Courses!J142*SUM(Courses!Y142,Courses!Z142),0)</f>
        <v>0</v>
      </c>
      <c r="T136" s="41">
        <f>IF(AND('Courses Valid'!C148=0,Courses!E142&lt;&gt;"",Courses!F142&gt;0,Courses!AA142&gt;0),Courses!F142*Courses!AA142,0)</f>
        <v>0</v>
      </c>
      <c r="U136" s="41">
        <f>IF(AND('Courses Valid'!C148=0,Courses!G142&lt;&gt;"",Courses!H142&gt;0,Courses!AA142&gt;0),Courses!H142*Courses!AA142,0)</f>
        <v>0</v>
      </c>
      <c r="V136" s="106">
        <f>IF(AND('Courses Valid'!C148=0,Courses!I142&lt;&gt;"",Courses!J142&gt;0,Courses!AA142&gt;0),Courses!J142*Courses!AA142,0)</f>
        <v>0</v>
      </c>
      <c r="W136" s="41"/>
    </row>
    <row r="137" spans="2:23" x14ac:dyDescent="0.35">
      <c r="B137" s="70" t="str">
        <f>IF(Courses!B143&lt;&gt;"",CONCATENATE(Courses!E143,"/",Courses!L143,"/",Courses!K143),"")</f>
        <v/>
      </c>
      <c r="C137" s="1579" t="str">
        <f>IF(AND(Courses!B143&lt;&gt;"",Courses!G143&lt;&gt;""),CONCATENATE(Courses!G143,"/",Courses!L143,"/",Courses!K143),"")</f>
        <v/>
      </c>
      <c r="D137" s="71" t="str">
        <f>IF(AND(Courses!B143&lt;&gt;"",Courses!I143&lt;&gt;""),CONCATENATE(Courses!I143,"/",Courses!L143,"/",Courses!K143),"")</f>
        <v/>
      </c>
      <c r="E137" s="1580">
        <f>IF(AND('Courses Valid'!C149=0,Courses!E143&lt;&gt;"",Courses!F143&gt;0,SUM(Courses!M143,Courses!N143)&gt;0),Courses!F143*SUM(Courses!M143,Courses!N143),0)</f>
        <v>0</v>
      </c>
      <c r="F137" s="41">
        <f>IF(AND('Courses Valid'!C149=0,Courses!G143&lt;&gt;"",Courses!H143&gt;0,SUM(Courses!M143,Courses!N143)&gt;0),Courses!H143*SUM(Courses!M143,Courses!N143),0)</f>
        <v>0</v>
      </c>
      <c r="G137" s="105">
        <f>IF(AND('Courses Valid'!C149=0,Courses!I143&lt;&gt;"",Courses!J143&gt;0,SUM(Courses!M143,Courses!N143)&gt;0),Courses!J143*SUM(Courses!M143,Courses!N143),0)</f>
        <v>0</v>
      </c>
      <c r="H137" s="1580">
        <f>IF(AND('Courses Valid'!C149=0,Courses!E143&lt;&gt;"",Courses!F143&gt;0,SUM(Courses!O143,Courses!P143)&gt;0),Courses!F143*SUM(Courses!O143,Courses!P143),0)</f>
        <v>0</v>
      </c>
      <c r="I137" s="41">
        <f>IF(AND('Courses Valid'!C149=0,Courses!G143&lt;&gt;"",Courses!H143&gt;0,SUM(Courses!O143,Courses!P143)&gt;0),Courses!H143*SUM(Courses!O143,Courses!P143),0)</f>
        <v>0</v>
      </c>
      <c r="J137" s="105">
        <f>IF(AND('Courses Valid'!C149=0,Courses!I143&lt;&gt;"",Courses!J143&gt;0,SUM(Courses!O143,Courses!P143)&gt;0),Courses!J143*SUM(Courses!O143,Courses!P143),0)</f>
        <v>0</v>
      </c>
      <c r="K137" s="1580">
        <f>IF(AND('Courses Valid'!C149=0,Courses!E143&lt;&gt;"",Courses!F143&gt;0,Courses!Q143&gt;0),Courses!F143*Courses!Q143,0)</f>
        <v>0</v>
      </c>
      <c r="L137" s="41">
        <f>IF(AND('Courses Valid'!C149=0,Courses!G143&lt;&gt;"",Courses!H143&gt;0,Courses!Q143&gt;0),Courses!H143*Courses!Q143,0)</f>
        <v>0</v>
      </c>
      <c r="M137" s="105">
        <f>IF(AND('Courses Valid'!C149=0,Courses!I143&lt;&gt;"",Courses!J143&gt;0,Courses!Q143&gt;0),Courses!J143*Courses!Q143,0)</f>
        <v>0</v>
      </c>
      <c r="N137" s="41">
        <f>IF(AND('Courses Valid'!C149=0,Courses!E143&lt;&gt;"",Courses!F143&gt;0,SUM(Courses!W143,Courses!X143)&gt;0),Courses!F143*SUM(Courses!W143,Courses!X143),0)</f>
        <v>0</v>
      </c>
      <c r="O137" s="41">
        <f>IF(AND('Courses Valid'!C149=0,Courses!G143&lt;&gt;"",Courses!H143&gt;0,SUM(Courses!W143,Courses!X143)&gt;0),Courses!H143*SUM(Courses!W143,Courses!X143),0)</f>
        <v>0</v>
      </c>
      <c r="P137" s="41">
        <f>IF(AND('Courses Valid'!C149=0,Courses!I143&lt;&gt;"",Courses!J143&gt;0,SUM(Courses!W143,Courses!X143)&gt;0),Courses!J143*SUM(Courses!W143,Courses!X143),0)</f>
        <v>0</v>
      </c>
      <c r="Q137" s="1580">
        <f>IF(AND('Courses Valid'!C149=0,Courses!E143&lt;&gt;"",Courses!F143&gt;0,SUM(Courses!Y143,Courses!Z143)&gt;0),Courses!F143*SUM(Courses!Y143,Courses!Z143),0)</f>
        <v>0</v>
      </c>
      <c r="R137" s="41">
        <f>IF(AND('Courses Valid'!C149=0,Courses!G143&lt;&gt;"",Courses!H143&gt;0,SUM(Courses!Y143,Courses!Z143)&gt;0),Courses!H143*SUM(Courses!Y143,Courses!Z143),0)</f>
        <v>0</v>
      </c>
      <c r="S137" s="105">
        <f>IF(AND('Courses Valid'!C149=0,Courses!I143&lt;&gt;"",Courses!J143&gt;0,SUM(Courses!Y143,Courses!Z143)&gt;0),Courses!J143*SUM(Courses!Y143,Courses!Z143),0)</f>
        <v>0</v>
      </c>
      <c r="T137" s="41">
        <f>IF(AND('Courses Valid'!C149=0,Courses!E143&lt;&gt;"",Courses!F143&gt;0,Courses!AA143&gt;0),Courses!F143*Courses!AA143,0)</f>
        <v>0</v>
      </c>
      <c r="U137" s="41">
        <f>IF(AND('Courses Valid'!C149=0,Courses!G143&lt;&gt;"",Courses!H143&gt;0,Courses!AA143&gt;0),Courses!H143*Courses!AA143,0)</f>
        <v>0</v>
      </c>
      <c r="V137" s="106">
        <f>IF(AND('Courses Valid'!C149=0,Courses!I143&lt;&gt;"",Courses!J143&gt;0,Courses!AA143&gt;0),Courses!J143*Courses!AA143,0)</f>
        <v>0</v>
      </c>
      <c r="W137" s="41"/>
    </row>
    <row r="138" spans="2:23" x14ac:dyDescent="0.35">
      <c r="B138" s="70" t="str">
        <f>IF(Courses!B144&lt;&gt;"",CONCATENATE(Courses!E144,"/",Courses!L144,"/",Courses!K144),"")</f>
        <v/>
      </c>
      <c r="C138" s="1579" t="str">
        <f>IF(AND(Courses!B144&lt;&gt;"",Courses!G144&lt;&gt;""),CONCATENATE(Courses!G144,"/",Courses!L144,"/",Courses!K144),"")</f>
        <v/>
      </c>
      <c r="D138" s="71" t="str">
        <f>IF(AND(Courses!B144&lt;&gt;"",Courses!I144&lt;&gt;""),CONCATENATE(Courses!I144,"/",Courses!L144,"/",Courses!K144),"")</f>
        <v/>
      </c>
      <c r="E138" s="1580">
        <f>IF(AND('Courses Valid'!C150=0,Courses!E144&lt;&gt;"",Courses!F144&gt;0,SUM(Courses!M144,Courses!N144)&gt;0),Courses!F144*SUM(Courses!M144,Courses!N144),0)</f>
        <v>0</v>
      </c>
      <c r="F138" s="41">
        <f>IF(AND('Courses Valid'!C150=0,Courses!G144&lt;&gt;"",Courses!H144&gt;0,SUM(Courses!M144,Courses!N144)&gt;0),Courses!H144*SUM(Courses!M144,Courses!N144),0)</f>
        <v>0</v>
      </c>
      <c r="G138" s="105">
        <f>IF(AND('Courses Valid'!C150=0,Courses!I144&lt;&gt;"",Courses!J144&gt;0,SUM(Courses!M144,Courses!N144)&gt;0),Courses!J144*SUM(Courses!M144,Courses!N144),0)</f>
        <v>0</v>
      </c>
      <c r="H138" s="1580">
        <f>IF(AND('Courses Valid'!C150=0,Courses!E144&lt;&gt;"",Courses!F144&gt;0,SUM(Courses!O144,Courses!P144)&gt;0),Courses!F144*SUM(Courses!O144,Courses!P144),0)</f>
        <v>0</v>
      </c>
      <c r="I138" s="41">
        <f>IF(AND('Courses Valid'!C150=0,Courses!G144&lt;&gt;"",Courses!H144&gt;0,SUM(Courses!O144,Courses!P144)&gt;0),Courses!H144*SUM(Courses!O144,Courses!P144),0)</f>
        <v>0</v>
      </c>
      <c r="J138" s="105">
        <f>IF(AND('Courses Valid'!C150=0,Courses!I144&lt;&gt;"",Courses!J144&gt;0,SUM(Courses!O144,Courses!P144)&gt;0),Courses!J144*SUM(Courses!O144,Courses!P144),0)</f>
        <v>0</v>
      </c>
      <c r="K138" s="1580">
        <f>IF(AND('Courses Valid'!C150=0,Courses!E144&lt;&gt;"",Courses!F144&gt;0,Courses!Q144&gt;0),Courses!F144*Courses!Q144,0)</f>
        <v>0</v>
      </c>
      <c r="L138" s="41">
        <f>IF(AND('Courses Valid'!C150=0,Courses!G144&lt;&gt;"",Courses!H144&gt;0,Courses!Q144&gt;0),Courses!H144*Courses!Q144,0)</f>
        <v>0</v>
      </c>
      <c r="M138" s="105">
        <f>IF(AND('Courses Valid'!C150=0,Courses!I144&lt;&gt;"",Courses!J144&gt;0,Courses!Q144&gt;0),Courses!J144*Courses!Q144,0)</f>
        <v>0</v>
      </c>
      <c r="N138" s="41">
        <f>IF(AND('Courses Valid'!C150=0,Courses!E144&lt;&gt;"",Courses!F144&gt;0,SUM(Courses!W144,Courses!X144)&gt;0),Courses!F144*SUM(Courses!W144,Courses!X144),0)</f>
        <v>0</v>
      </c>
      <c r="O138" s="41">
        <f>IF(AND('Courses Valid'!C150=0,Courses!G144&lt;&gt;"",Courses!H144&gt;0,SUM(Courses!W144,Courses!X144)&gt;0),Courses!H144*SUM(Courses!W144,Courses!X144),0)</f>
        <v>0</v>
      </c>
      <c r="P138" s="41">
        <f>IF(AND('Courses Valid'!C150=0,Courses!I144&lt;&gt;"",Courses!J144&gt;0,SUM(Courses!W144,Courses!X144)&gt;0),Courses!J144*SUM(Courses!W144,Courses!X144),0)</f>
        <v>0</v>
      </c>
      <c r="Q138" s="1580">
        <f>IF(AND('Courses Valid'!C150=0,Courses!E144&lt;&gt;"",Courses!F144&gt;0,SUM(Courses!Y144,Courses!Z144)&gt;0),Courses!F144*SUM(Courses!Y144,Courses!Z144),0)</f>
        <v>0</v>
      </c>
      <c r="R138" s="41">
        <f>IF(AND('Courses Valid'!C150=0,Courses!G144&lt;&gt;"",Courses!H144&gt;0,SUM(Courses!Y144,Courses!Z144)&gt;0),Courses!H144*SUM(Courses!Y144,Courses!Z144),0)</f>
        <v>0</v>
      </c>
      <c r="S138" s="105">
        <f>IF(AND('Courses Valid'!C150=0,Courses!I144&lt;&gt;"",Courses!J144&gt;0,SUM(Courses!Y144,Courses!Z144)&gt;0),Courses!J144*SUM(Courses!Y144,Courses!Z144),0)</f>
        <v>0</v>
      </c>
      <c r="T138" s="41">
        <f>IF(AND('Courses Valid'!C150=0,Courses!E144&lt;&gt;"",Courses!F144&gt;0,Courses!AA144&gt;0),Courses!F144*Courses!AA144,0)</f>
        <v>0</v>
      </c>
      <c r="U138" s="41">
        <f>IF(AND('Courses Valid'!C150=0,Courses!G144&lt;&gt;"",Courses!H144&gt;0,Courses!AA144&gt;0),Courses!H144*Courses!AA144,0)</f>
        <v>0</v>
      </c>
      <c r="V138" s="106">
        <f>IF(AND('Courses Valid'!C150=0,Courses!I144&lt;&gt;"",Courses!J144&gt;0,Courses!AA144&gt;0),Courses!J144*Courses!AA144,0)</f>
        <v>0</v>
      </c>
      <c r="W138" s="41"/>
    </row>
    <row r="139" spans="2:23" x14ac:dyDescent="0.35">
      <c r="B139" s="70" t="str">
        <f>IF(Courses!B145&lt;&gt;"",CONCATENATE(Courses!E145,"/",Courses!L145,"/",Courses!K145),"")</f>
        <v/>
      </c>
      <c r="C139" s="1579" t="str">
        <f>IF(AND(Courses!B145&lt;&gt;"",Courses!G145&lt;&gt;""),CONCATENATE(Courses!G145,"/",Courses!L145,"/",Courses!K145),"")</f>
        <v/>
      </c>
      <c r="D139" s="71" t="str">
        <f>IF(AND(Courses!B145&lt;&gt;"",Courses!I145&lt;&gt;""),CONCATENATE(Courses!I145,"/",Courses!L145,"/",Courses!K145),"")</f>
        <v/>
      </c>
      <c r="E139" s="1580">
        <f>IF(AND('Courses Valid'!C151=0,Courses!E145&lt;&gt;"",Courses!F145&gt;0,SUM(Courses!M145,Courses!N145)&gt;0),Courses!F145*SUM(Courses!M145,Courses!N145),0)</f>
        <v>0</v>
      </c>
      <c r="F139" s="41">
        <f>IF(AND('Courses Valid'!C151=0,Courses!G145&lt;&gt;"",Courses!H145&gt;0,SUM(Courses!M145,Courses!N145)&gt;0),Courses!H145*SUM(Courses!M145,Courses!N145),0)</f>
        <v>0</v>
      </c>
      <c r="G139" s="105">
        <f>IF(AND('Courses Valid'!C151=0,Courses!I145&lt;&gt;"",Courses!J145&gt;0,SUM(Courses!M145,Courses!N145)&gt;0),Courses!J145*SUM(Courses!M145,Courses!N145),0)</f>
        <v>0</v>
      </c>
      <c r="H139" s="1580">
        <f>IF(AND('Courses Valid'!C151=0,Courses!E145&lt;&gt;"",Courses!F145&gt;0,SUM(Courses!O145,Courses!P145)&gt;0),Courses!F145*SUM(Courses!O145,Courses!P145),0)</f>
        <v>0</v>
      </c>
      <c r="I139" s="41">
        <f>IF(AND('Courses Valid'!C151=0,Courses!G145&lt;&gt;"",Courses!H145&gt;0,SUM(Courses!O145,Courses!P145)&gt;0),Courses!H145*SUM(Courses!O145,Courses!P145),0)</f>
        <v>0</v>
      </c>
      <c r="J139" s="105">
        <f>IF(AND('Courses Valid'!C151=0,Courses!I145&lt;&gt;"",Courses!J145&gt;0,SUM(Courses!O145,Courses!P145)&gt;0),Courses!J145*SUM(Courses!O145,Courses!P145),0)</f>
        <v>0</v>
      </c>
      <c r="K139" s="1580">
        <f>IF(AND('Courses Valid'!C151=0,Courses!E145&lt;&gt;"",Courses!F145&gt;0,Courses!Q145&gt;0),Courses!F145*Courses!Q145,0)</f>
        <v>0</v>
      </c>
      <c r="L139" s="41">
        <f>IF(AND('Courses Valid'!C151=0,Courses!G145&lt;&gt;"",Courses!H145&gt;0,Courses!Q145&gt;0),Courses!H145*Courses!Q145,0)</f>
        <v>0</v>
      </c>
      <c r="M139" s="105">
        <f>IF(AND('Courses Valid'!C151=0,Courses!I145&lt;&gt;"",Courses!J145&gt;0,Courses!Q145&gt;0),Courses!J145*Courses!Q145,0)</f>
        <v>0</v>
      </c>
      <c r="N139" s="41">
        <f>IF(AND('Courses Valid'!C151=0,Courses!E145&lt;&gt;"",Courses!F145&gt;0,SUM(Courses!W145,Courses!X145)&gt;0),Courses!F145*SUM(Courses!W145,Courses!X145),0)</f>
        <v>0</v>
      </c>
      <c r="O139" s="41">
        <f>IF(AND('Courses Valid'!C151=0,Courses!G145&lt;&gt;"",Courses!H145&gt;0,SUM(Courses!W145,Courses!X145)&gt;0),Courses!H145*SUM(Courses!W145,Courses!X145),0)</f>
        <v>0</v>
      </c>
      <c r="P139" s="41">
        <f>IF(AND('Courses Valid'!C151=0,Courses!I145&lt;&gt;"",Courses!J145&gt;0,SUM(Courses!W145,Courses!X145)&gt;0),Courses!J145*SUM(Courses!W145,Courses!X145),0)</f>
        <v>0</v>
      </c>
      <c r="Q139" s="1580">
        <f>IF(AND('Courses Valid'!C151=0,Courses!E145&lt;&gt;"",Courses!F145&gt;0,SUM(Courses!Y145,Courses!Z145)&gt;0),Courses!F145*SUM(Courses!Y145,Courses!Z145),0)</f>
        <v>0</v>
      </c>
      <c r="R139" s="41">
        <f>IF(AND('Courses Valid'!C151=0,Courses!G145&lt;&gt;"",Courses!H145&gt;0,SUM(Courses!Y145,Courses!Z145)&gt;0),Courses!H145*SUM(Courses!Y145,Courses!Z145),0)</f>
        <v>0</v>
      </c>
      <c r="S139" s="105">
        <f>IF(AND('Courses Valid'!C151=0,Courses!I145&lt;&gt;"",Courses!J145&gt;0,SUM(Courses!Y145,Courses!Z145)&gt;0),Courses!J145*SUM(Courses!Y145,Courses!Z145),0)</f>
        <v>0</v>
      </c>
      <c r="T139" s="41">
        <f>IF(AND('Courses Valid'!C151=0,Courses!E145&lt;&gt;"",Courses!F145&gt;0,Courses!AA145&gt;0),Courses!F145*Courses!AA145,0)</f>
        <v>0</v>
      </c>
      <c r="U139" s="41">
        <f>IF(AND('Courses Valid'!C151=0,Courses!G145&lt;&gt;"",Courses!H145&gt;0,Courses!AA145&gt;0),Courses!H145*Courses!AA145,0)</f>
        <v>0</v>
      </c>
      <c r="V139" s="106">
        <f>IF(AND('Courses Valid'!C151=0,Courses!I145&lt;&gt;"",Courses!J145&gt;0,Courses!AA145&gt;0),Courses!J145*Courses!AA145,0)</f>
        <v>0</v>
      </c>
      <c r="W139" s="41"/>
    </row>
    <row r="140" spans="2:23" x14ac:dyDescent="0.35">
      <c r="B140" s="70" t="str">
        <f>IF(Courses!B146&lt;&gt;"",CONCATENATE(Courses!E146,"/",Courses!L146,"/",Courses!K146),"")</f>
        <v/>
      </c>
      <c r="C140" s="1579" t="str">
        <f>IF(AND(Courses!B146&lt;&gt;"",Courses!G146&lt;&gt;""),CONCATENATE(Courses!G146,"/",Courses!L146,"/",Courses!K146),"")</f>
        <v/>
      </c>
      <c r="D140" s="71" t="str">
        <f>IF(AND(Courses!B146&lt;&gt;"",Courses!I146&lt;&gt;""),CONCATENATE(Courses!I146,"/",Courses!L146,"/",Courses!K146),"")</f>
        <v/>
      </c>
      <c r="E140" s="1580">
        <f>IF(AND('Courses Valid'!C152=0,Courses!E146&lt;&gt;"",Courses!F146&gt;0,SUM(Courses!M146,Courses!N146)&gt;0),Courses!F146*SUM(Courses!M146,Courses!N146),0)</f>
        <v>0</v>
      </c>
      <c r="F140" s="41">
        <f>IF(AND('Courses Valid'!C152=0,Courses!G146&lt;&gt;"",Courses!H146&gt;0,SUM(Courses!M146,Courses!N146)&gt;0),Courses!H146*SUM(Courses!M146,Courses!N146),0)</f>
        <v>0</v>
      </c>
      <c r="G140" s="105">
        <f>IF(AND('Courses Valid'!C152=0,Courses!I146&lt;&gt;"",Courses!J146&gt;0,SUM(Courses!M146,Courses!N146)&gt;0),Courses!J146*SUM(Courses!M146,Courses!N146),0)</f>
        <v>0</v>
      </c>
      <c r="H140" s="1580">
        <f>IF(AND('Courses Valid'!C152=0,Courses!E146&lt;&gt;"",Courses!F146&gt;0,SUM(Courses!O146,Courses!P146)&gt;0),Courses!F146*SUM(Courses!O146,Courses!P146),0)</f>
        <v>0</v>
      </c>
      <c r="I140" s="41">
        <f>IF(AND('Courses Valid'!C152=0,Courses!G146&lt;&gt;"",Courses!H146&gt;0,SUM(Courses!O146,Courses!P146)&gt;0),Courses!H146*SUM(Courses!O146,Courses!P146),0)</f>
        <v>0</v>
      </c>
      <c r="J140" s="105">
        <f>IF(AND('Courses Valid'!C152=0,Courses!I146&lt;&gt;"",Courses!J146&gt;0,SUM(Courses!O146,Courses!P146)&gt;0),Courses!J146*SUM(Courses!O146,Courses!P146),0)</f>
        <v>0</v>
      </c>
      <c r="K140" s="1580">
        <f>IF(AND('Courses Valid'!C152=0,Courses!E146&lt;&gt;"",Courses!F146&gt;0,Courses!Q146&gt;0),Courses!F146*Courses!Q146,0)</f>
        <v>0</v>
      </c>
      <c r="L140" s="41">
        <f>IF(AND('Courses Valid'!C152=0,Courses!G146&lt;&gt;"",Courses!H146&gt;0,Courses!Q146&gt;0),Courses!H146*Courses!Q146,0)</f>
        <v>0</v>
      </c>
      <c r="M140" s="105">
        <f>IF(AND('Courses Valid'!C152=0,Courses!I146&lt;&gt;"",Courses!J146&gt;0,Courses!Q146&gt;0),Courses!J146*Courses!Q146,0)</f>
        <v>0</v>
      </c>
      <c r="N140" s="41">
        <f>IF(AND('Courses Valid'!C152=0,Courses!E146&lt;&gt;"",Courses!F146&gt;0,SUM(Courses!W146,Courses!X146)&gt;0),Courses!F146*SUM(Courses!W146,Courses!X146),0)</f>
        <v>0</v>
      </c>
      <c r="O140" s="41">
        <f>IF(AND('Courses Valid'!C152=0,Courses!G146&lt;&gt;"",Courses!H146&gt;0,SUM(Courses!W146,Courses!X146)&gt;0),Courses!H146*SUM(Courses!W146,Courses!X146),0)</f>
        <v>0</v>
      </c>
      <c r="P140" s="41">
        <f>IF(AND('Courses Valid'!C152=0,Courses!I146&lt;&gt;"",Courses!J146&gt;0,SUM(Courses!W146,Courses!X146)&gt;0),Courses!J146*SUM(Courses!W146,Courses!X146),0)</f>
        <v>0</v>
      </c>
      <c r="Q140" s="1580">
        <f>IF(AND('Courses Valid'!C152=0,Courses!E146&lt;&gt;"",Courses!F146&gt;0,SUM(Courses!Y146,Courses!Z146)&gt;0),Courses!F146*SUM(Courses!Y146,Courses!Z146),0)</f>
        <v>0</v>
      </c>
      <c r="R140" s="41">
        <f>IF(AND('Courses Valid'!C152=0,Courses!G146&lt;&gt;"",Courses!H146&gt;0,SUM(Courses!Y146,Courses!Z146)&gt;0),Courses!H146*SUM(Courses!Y146,Courses!Z146),0)</f>
        <v>0</v>
      </c>
      <c r="S140" s="105">
        <f>IF(AND('Courses Valid'!C152=0,Courses!I146&lt;&gt;"",Courses!J146&gt;0,SUM(Courses!Y146,Courses!Z146)&gt;0),Courses!J146*SUM(Courses!Y146,Courses!Z146),0)</f>
        <v>0</v>
      </c>
      <c r="T140" s="41">
        <f>IF(AND('Courses Valid'!C152=0,Courses!E146&lt;&gt;"",Courses!F146&gt;0,Courses!AA146&gt;0),Courses!F146*Courses!AA146,0)</f>
        <v>0</v>
      </c>
      <c r="U140" s="41">
        <f>IF(AND('Courses Valid'!C152=0,Courses!G146&lt;&gt;"",Courses!H146&gt;0,Courses!AA146&gt;0),Courses!H146*Courses!AA146,0)</f>
        <v>0</v>
      </c>
      <c r="V140" s="106">
        <f>IF(AND('Courses Valid'!C152=0,Courses!I146&lt;&gt;"",Courses!J146&gt;0,Courses!AA146&gt;0),Courses!J146*Courses!AA146,0)</f>
        <v>0</v>
      </c>
      <c r="W140" s="41"/>
    </row>
    <row r="141" spans="2:23" x14ac:dyDescent="0.35">
      <c r="B141" s="70" t="str">
        <f>IF(Courses!B147&lt;&gt;"",CONCATENATE(Courses!E147,"/",Courses!L147,"/",Courses!K147),"")</f>
        <v/>
      </c>
      <c r="C141" s="1579" t="str">
        <f>IF(AND(Courses!B147&lt;&gt;"",Courses!G147&lt;&gt;""),CONCATENATE(Courses!G147,"/",Courses!L147,"/",Courses!K147),"")</f>
        <v/>
      </c>
      <c r="D141" s="71" t="str">
        <f>IF(AND(Courses!B147&lt;&gt;"",Courses!I147&lt;&gt;""),CONCATENATE(Courses!I147,"/",Courses!L147,"/",Courses!K147),"")</f>
        <v/>
      </c>
      <c r="E141" s="1580">
        <f>IF(AND('Courses Valid'!C153=0,Courses!E147&lt;&gt;"",Courses!F147&gt;0,SUM(Courses!M147,Courses!N147)&gt;0),Courses!F147*SUM(Courses!M147,Courses!N147),0)</f>
        <v>0</v>
      </c>
      <c r="F141" s="41">
        <f>IF(AND('Courses Valid'!C153=0,Courses!G147&lt;&gt;"",Courses!H147&gt;0,SUM(Courses!M147,Courses!N147)&gt;0),Courses!H147*SUM(Courses!M147,Courses!N147),0)</f>
        <v>0</v>
      </c>
      <c r="G141" s="105">
        <f>IF(AND('Courses Valid'!C153=0,Courses!I147&lt;&gt;"",Courses!J147&gt;0,SUM(Courses!M147,Courses!N147)&gt;0),Courses!J147*SUM(Courses!M147,Courses!N147),0)</f>
        <v>0</v>
      </c>
      <c r="H141" s="1580">
        <f>IF(AND('Courses Valid'!C153=0,Courses!E147&lt;&gt;"",Courses!F147&gt;0,SUM(Courses!O147,Courses!P147)&gt;0),Courses!F147*SUM(Courses!O147,Courses!P147),0)</f>
        <v>0</v>
      </c>
      <c r="I141" s="41">
        <f>IF(AND('Courses Valid'!C153=0,Courses!G147&lt;&gt;"",Courses!H147&gt;0,SUM(Courses!O147,Courses!P147)&gt;0),Courses!H147*SUM(Courses!O147,Courses!P147),0)</f>
        <v>0</v>
      </c>
      <c r="J141" s="105">
        <f>IF(AND('Courses Valid'!C153=0,Courses!I147&lt;&gt;"",Courses!J147&gt;0,SUM(Courses!O147,Courses!P147)&gt;0),Courses!J147*SUM(Courses!O147,Courses!P147),0)</f>
        <v>0</v>
      </c>
      <c r="K141" s="1580">
        <f>IF(AND('Courses Valid'!C153=0,Courses!E147&lt;&gt;"",Courses!F147&gt;0,Courses!Q147&gt;0),Courses!F147*Courses!Q147,0)</f>
        <v>0</v>
      </c>
      <c r="L141" s="41">
        <f>IF(AND('Courses Valid'!C153=0,Courses!G147&lt;&gt;"",Courses!H147&gt;0,Courses!Q147&gt;0),Courses!H147*Courses!Q147,0)</f>
        <v>0</v>
      </c>
      <c r="M141" s="105">
        <f>IF(AND('Courses Valid'!C153=0,Courses!I147&lt;&gt;"",Courses!J147&gt;0,Courses!Q147&gt;0),Courses!J147*Courses!Q147,0)</f>
        <v>0</v>
      </c>
      <c r="N141" s="41">
        <f>IF(AND('Courses Valid'!C153=0,Courses!E147&lt;&gt;"",Courses!F147&gt;0,SUM(Courses!W147,Courses!X147)&gt;0),Courses!F147*SUM(Courses!W147,Courses!X147),0)</f>
        <v>0</v>
      </c>
      <c r="O141" s="41">
        <f>IF(AND('Courses Valid'!C153=0,Courses!G147&lt;&gt;"",Courses!H147&gt;0,SUM(Courses!W147,Courses!X147)&gt;0),Courses!H147*SUM(Courses!W147,Courses!X147),0)</f>
        <v>0</v>
      </c>
      <c r="P141" s="41">
        <f>IF(AND('Courses Valid'!C153=0,Courses!I147&lt;&gt;"",Courses!J147&gt;0,SUM(Courses!W147,Courses!X147)&gt;0),Courses!J147*SUM(Courses!W147,Courses!X147),0)</f>
        <v>0</v>
      </c>
      <c r="Q141" s="1580">
        <f>IF(AND('Courses Valid'!C153=0,Courses!E147&lt;&gt;"",Courses!F147&gt;0,SUM(Courses!Y147,Courses!Z147)&gt;0),Courses!F147*SUM(Courses!Y147,Courses!Z147),0)</f>
        <v>0</v>
      </c>
      <c r="R141" s="41">
        <f>IF(AND('Courses Valid'!C153=0,Courses!G147&lt;&gt;"",Courses!H147&gt;0,SUM(Courses!Y147,Courses!Z147)&gt;0),Courses!H147*SUM(Courses!Y147,Courses!Z147),0)</f>
        <v>0</v>
      </c>
      <c r="S141" s="105">
        <f>IF(AND('Courses Valid'!C153=0,Courses!I147&lt;&gt;"",Courses!J147&gt;0,SUM(Courses!Y147,Courses!Z147)&gt;0),Courses!J147*SUM(Courses!Y147,Courses!Z147),0)</f>
        <v>0</v>
      </c>
      <c r="T141" s="41">
        <f>IF(AND('Courses Valid'!C153=0,Courses!E147&lt;&gt;"",Courses!F147&gt;0,Courses!AA147&gt;0),Courses!F147*Courses!AA147,0)</f>
        <v>0</v>
      </c>
      <c r="U141" s="41">
        <f>IF(AND('Courses Valid'!C153=0,Courses!G147&lt;&gt;"",Courses!H147&gt;0,Courses!AA147&gt;0),Courses!H147*Courses!AA147,0)</f>
        <v>0</v>
      </c>
      <c r="V141" s="106">
        <f>IF(AND('Courses Valid'!C153=0,Courses!I147&lt;&gt;"",Courses!J147&gt;0,Courses!AA147&gt;0),Courses!J147*Courses!AA147,0)</f>
        <v>0</v>
      </c>
      <c r="W141" s="41"/>
    </row>
    <row r="142" spans="2:23" x14ac:dyDescent="0.35">
      <c r="B142" s="70" t="str">
        <f>IF(Courses!B148&lt;&gt;"",CONCATENATE(Courses!E148,"/",Courses!L148,"/",Courses!K148),"")</f>
        <v/>
      </c>
      <c r="C142" s="1579" t="str">
        <f>IF(AND(Courses!B148&lt;&gt;"",Courses!G148&lt;&gt;""),CONCATENATE(Courses!G148,"/",Courses!L148,"/",Courses!K148),"")</f>
        <v/>
      </c>
      <c r="D142" s="71" t="str">
        <f>IF(AND(Courses!B148&lt;&gt;"",Courses!I148&lt;&gt;""),CONCATENATE(Courses!I148,"/",Courses!L148,"/",Courses!K148),"")</f>
        <v/>
      </c>
      <c r="E142" s="1580">
        <f>IF(AND('Courses Valid'!C154=0,Courses!E148&lt;&gt;"",Courses!F148&gt;0,SUM(Courses!M148,Courses!N148)&gt;0),Courses!F148*SUM(Courses!M148,Courses!N148),0)</f>
        <v>0</v>
      </c>
      <c r="F142" s="41">
        <f>IF(AND('Courses Valid'!C154=0,Courses!G148&lt;&gt;"",Courses!H148&gt;0,SUM(Courses!M148,Courses!N148)&gt;0),Courses!H148*SUM(Courses!M148,Courses!N148),0)</f>
        <v>0</v>
      </c>
      <c r="G142" s="105">
        <f>IF(AND('Courses Valid'!C154=0,Courses!I148&lt;&gt;"",Courses!J148&gt;0,SUM(Courses!M148,Courses!N148)&gt;0),Courses!J148*SUM(Courses!M148,Courses!N148),0)</f>
        <v>0</v>
      </c>
      <c r="H142" s="1580">
        <f>IF(AND('Courses Valid'!C154=0,Courses!E148&lt;&gt;"",Courses!F148&gt;0,SUM(Courses!O148,Courses!P148)&gt;0),Courses!F148*SUM(Courses!O148,Courses!P148),0)</f>
        <v>0</v>
      </c>
      <c r="I142" s="41">
        <f>IF(AND('Courses Valid'!C154=0,Courses!G148&lt;&gt;"",Courses!H148&gt;0,SUM(Courses!O148,Courses!P148)&gt;0),Courses!H148*SUM(Courses!O148,Courses!P148),0)</f>
        <v>0</v>
      </c>
      <c r="J142" s="105">
        <f>IF(AND('Courses Valid'!C154=0,Courses!I148&lt;&gt;"",Courses!J148&gt;0,SUM(Courses!O148,Courses!P148)&gt;0),Courses!J148*SUM(Courses!O148,Courses!P148),0)</f>
        <v>0</v>
      </c>
      <c r="K142" s="1580">
        <f>IF(AND('Courses Valid'!C154=0,Courses!E148&lt;&gt;"",Courses!F148&gt;0,Courses!Q148&gt;0),Courses!F148*Courses!Q148,0)</f>
        <v>0</v>
      </c>
      <c r="L142" s="41">
        <f>IF(AND('Courses Valid'!C154=0,Courses!G148&lt;&gt;"",Courses!H148&gt;0,Courses!Q148&gt;0),Courses!H148*Courses!Q148,0)</f>
        <v>0</v>
      </c>
      <c r="M142" s="105">
        <f>IF(AND('Courses Valid'!C154=0,Courses!I148&lt;&gt;"",Courses!J148&gt;0,Courses!Q148&gt;0),Courses!J148*Courses!Q148,0)</f>
        <v>0</v>
      </c>
      <c r="N142" s="41">
        <f>IF(AND('Courses Valid'!C154=0,Courses!E148&lt;&gt;"",Courses!F148&gt;0,SUM(Courses!W148,Courses!X148)&gt;0),Courses!F148*SUM(Courses!W148,Courses!X148),0)</f>
        <v>0</v>
      </c>
      <c r="O142" s="41">
        <f>IF(AND('Courses Valid'!C154=0,Courses!G148&lt;&gt;"",Courses!H148&gt;0,SUM(Courses!W148,Courses!X148)&gt;0),Courses!H148*SUM(Courses!W148,Courses!X148),0)</f>
        <v>0</v>
      </c>
      <c r="P142" s="41">
        <f>IF(AND('Courses Valid'!C154=0,Courses!I148&lt;&gt;"",Courses!J148&gt;0,SUM(Courses!W148,Courses!X148)&gt;0),Courses!J148*SUM(Courses!W148,Courses!X148),0)</f>
        <v>0</v>
      </c>
      <c r="Q142" s="1580">
        <f>IF(AND('Courses Valid'!C154=0,Courses!E148&lt;&gt;"",Courses!F148&gt;0,SUM(Courses!Y148,Courses!Z148)&gt;0),Courses!F148*SUM(Courses!Y148,Courses!Z148),0)</f>
        <v>0</v>
      </c>
      <c r="R142" s="41">
        <f>IF(AND('Courses Valid'!C154=0,Courses!G148&lt;&gt;"",Courses!H148&gt;0,SUM(Courses!Y148,Courses!Z148)&gt;0),Courses!H148*SUM(Courses!Y148,Courses!Z148),0)</f>
        <v>0</v>
      </c>
      <c r="S142" s="105">
        <f>IF(AND('Courses Valid'!C154=0,Courses!I148&lt;&gt;"",Courses!J148&gt;0,SUM(Courses!Y148,Courses!Z148)&gt;0),Courses!J148*SUM(Courses!Y148,Courses!Z148),0)</f>
        <v>0</v>
      </c>
      <c r="T142" s="41">
        <f>IF(AND('Courses Valid'!C154=0,Courses!E148&lt;&gt;"",Courses!F148&gt;0,Courses!AA148&gt;0),Courses!F148*Courses!AA148,0)</f>
        <v>0</v>
      </c>
      <c r="U142" s="41">
        <f>IF(AND('Courses Valid'!C154=0,Courses!G148&lt;&gt;"",Courses!H148&gt;0,Courses!AA148&gt;0),Courses!H148*Courses!AA148,0)</f>
        <v>0</v>
      </c>
      <c r="V142" s="106">
        <f>IF(AND('Courses Valid'!C154=0,Courses!I148&lt;&gt;"",Courses!J148&gt;0,Courses!AA148&gt;0),Courses!J148*Courses!AA148,0)</f>
        <v>0</v>
      </c>
      <c r="W142" s="41"/>
    </row>
    <row r="143" spans="2:23" x14ac:dyDescent="0.35">
      <c r="B143" s="70" t="str">
        <f>IF(Courses!B149&lt;&gt;"",CONCATENATE(Courses!E149,"/",Courses!L149,"/",Courses!K149),"")</f>
        <v/>
      </c>
      <c r="C143" s="1579" t="str">
        <f>IF(AND(Courses!B149&lt;&gt;"",Courses!G149&lt;&gt;""),CONCATENATE(Courses!G149,"/",Courses!L149,"/",Courses!K149),"")</f>
        <v/>
      </c>
      <c r="D143" s="71" t="str">
        <f>IF(AND(Courses!B149&lt;&gt;"",Courses!I149&lt;&gt;""),CONCATENATE(Courses!I149,"/",Courses!L149,"/",Courses!K149),"")</f>
        <v/>
      </c>
      <c r="E143" s="1580">
        <f>IF(AND('Courses Valid'!C155=0,Courses!E149&lt;&gt;"",Courses!F149&gt;0,SUM(Courses!M149,Courses!N149)&gt;0),Courses!F149*SUM(Courses!M149,Courses!N149),0)</f>
        <v>0</v>
      </c>
      <c r="F143" s="41">
        <f>IF(AND('Courses Valid'!C155=0,Courses!G149&lt;&gt;"",Courses!H149&gt;0,SUM(Courses!M149,Courses!N149)&gt;0),Courses!H149*SUM(Courses!M149,Courses!N149),0)</f>
        <v>0</v>
      </c>
      <c r="G143" s="105">
        <f>IF(AND('Courses Valid'!C155=0,Courses!I149&lt;&gt;"",Courses!J149&gt;0,SUM(Courses!M149,Courses!N149)&gt;0),Courses!J149*SUM(Courses!M149,Courses!N149),0)</f>
        <v>0</v>
      </c>
      <c r="H143" s="1580">
        <f>IF(AND('Courses Valid'!C155=0,Courses!E149&lt;&gt;"",Courses!F149&gt;0,SUM(Courses!O149,Courses!P149)&gt;0),Courses!F149*SUM(Courses!O149,Courses!P149),0)</f>
        <v>0</v>
      </c>
      <c r="I143" s="41">
        <f>IF(AND('Courses Valid'!C155=0,Courses!G149&lt;&gt;"",Courses!H149&gt;0,SUM(Courses!O149,Courses!P149)&gt;0),Courses!H149*SUM(Courses!O149,Courses!P149),0)</f>
        <v>0</v>
      </c>
      <c r="J143" s="105">
        <f>IF(AND('Courses Valid'!C155=0,Courses!I149&lt;&gt;"",Courses!J149&gt;0,SUM(Courses!O149,Courses!P149)&gt;0),Courses!J149*SUM(Courses!O149,Courses!P149),0)</f>
        <v>0</v>
      </c>
      <c r="K143" s="1580">
        <f>IF(AND('Courses Valid'!C155=0,Courses!E149&lt;&gt;"",Courses!F149&gt;0,Courses!Q149&gt;0),Courses!F149*Courses!Q149,0)</f>
        <v>0</v>
      </c>
      <c r="L143" s="41">
        <f>IF(AND('Courses Valid'!C155=0,Courses!G149&lt;&gt;"",Courses!H149&gt;0,Courses!Q149&gt;0),Courses!H149*Courses!Q149,0)</f>
        <v>0</v>
      </c>
      <c r="M143" s="105">
        <f>IF(AND('Courses Valid'!C155=0,Courses!I149&lt;&gt;"",Courses!J149&gt;0,Courses!Q149&gt;0),Courses!J149*Courses!Q149,0)</f>
        <v>0</v>
      </c>
      <c r="N143" s="41">
        <f>IF(AND('Courses Valid'!C155=0,Courses!E149&lt;&gt;"",Courses!F149&gt;0,SUM(Courses!W149,Courses!X149)&gt;0),Courses!F149*SUM(Courses!W149,Courses!X149),0)</f>
        <v>0</v>
      </c>
      <c r="O143" s="41">
        <f>IF(AND('Courses Valid'!C155=0,Courses!G149&lt;&gt;"",Courses!H149&gt;0,SUM(Courses!W149,Courses!X149)&gt;0),Courses!H149*SUM(Courses!W149,Courses!X149),0)</f>
        <v>0</v>
      </c>
      <c r="P143" s="41">
        <f>IF(AND('Courses Valid'!C155=0,Courses!I149&lt;&gt;"",Courses!J149&gt;0,SUM(Courses!W149,Courses!X149)&gt;0),Courses!J149*SUM(Courses!W149,Courses!X149),0)</f>
        <v>0</v>
      </c>
      <c r="Q143" s="1580">
        <f>IF(AND('Courses Valid'!C155=0,Courses!E149&lt;&gt;"",Courses!F149&gt;0,SUM(Courses!Y149,Courses!Z149)&gt;0),Courses!F149*SUM(Courses!Y149,Courses!Z149),0)</f>
        <v>0</v>
      </c>
      <c r="R143" s="41">
        <f>IF(AND('Courses Valid'!C155=0,Courses!G149&lt;&gt;"",Courses!H149&gt;0,SUM(Courses!Y149,Courses!Z149)&gt;0),Courses!H149*SUM(Courses!Y149,Courses!Z149),0)</f>
        <v>0</v>
      </c>
      <c r="S143" s="105">
        <f>IF(AND('Courses Valid'!C155=0,Courses!I149&lt;&gt;"",Courses!J149&gt;0,SUM(Courses!Y149,Courses!Z149)&gt;0),Courses!J149*SUM(Courses!Y149,Courses!Z149),0)</f>
        <v>0</v>
      </c>
      <c r="T143" s="41">
        <f>IF(AND('Courses Valid'!C155=0,Courses!E149&lt;&gt;"",Courses!F149&gt;0,Courses!AA149&gt;0),Courses!F149*Courses!AA149,0)</f>
        <v>0</v>
      </c>
      <c r="U143" s="41">
        <f>IF(AND('Courses Valid'!C155=0,Courses!G149&lt;&gt;"",Courses!H149&gt;0,Courses!AA149&gt;0),Courses!H149*Courses!AA149,0)</f>
        <v>0</v>
      </c>
      <c r="V143" s="106">
        <f>IF(AND('Courses Valid'!C155=0,Courses!I149&lt;&gt;"",Courses!J149&gt;0,Courses!AA149&gt;0),Courses!J149*Courses!AA149,0)</f>
        <v>0</v>
      </c>
      <c r="W143" s="41"/>
    </row>
    <row r="144" spans="2:23" x14ac:dyDescent="0.35">
      <c r="B144" s="70" t="str">
        <f>IF(Courses!B150&lt;&gt;"",CONCATENATE(Courses!E150,"/",Courses!L150,"/",Courses!K150),"")</f>
        <v/>
      </c>
      <c r="C144" s="1579" t="str">
        <f>IF(AND(Courses!B150&lt;&gt;"",Courses!G150&lt;&gt;""),CONCATENATE(Courses!G150,"/",Courses!L150,"/",Courses!K150),"")</f>
        <v/>
      </c>
      <c r="D144" s="71" t="str">
        <f>IF(AND(Courses!B150&lt;&gt;"",Courses!I150&lt;&gt;""),CONCATENATE(Courses!I150,"/",Courses!L150,"/",Courses!K150),"")</f>
        <v/>
      </c>
      <c r="E144" s="1580">
        <f>IF(AND('Courses Valid'!C156=0,Courses!E150&lt;&gt;"",Courses!F150&gt;0,SUM(Courses!M150,Courses!N150)&gt;0),Courses!F150*SUM(Courses!M150,Courses!N150),0)</f>
        <v>0</v>
      </c>
      <c r="F144" s="41">
        <f>IF(AND('Courses Valid'!C156=0,Courses!G150&lt;&gt;"",Courses!H150&gt;0,SUM(Courses!M150,Courses!N150)&gt;0),Courses!H150*SUM(Courses!M150,Courses!N150),0)</f>
        <v>0</v>
      </c>
      <c r="G144" s="105">
        <f>IF(AND('Courses Valid'!C156=0,Courses!I150&lt;&gt;"",Courses!J150&gt;0,SUM(Courses!M150,Courses!N150)&gt;0),Courses!J150*SUM(Courses!M150,Courses!N150),0)</f>
        <v>0</v>
      </c>
      <c r="H144" s="1580">
        <f>IF(AND('Courses Valid'!C156=0,Courses!E150&lt;&gt;"",Courses!F150&gt;0,SUM(Courses!O150,Courses!P150)&gt;0),Courses!F150*SUM(Courses!O150,Courses!P150),0)</f>
        <v>0</v>
      </c>
      <c r="I144" s="41">
        <f>IF(AND('Courses Valid'!C156=0,Courses!G150&lt;&gt;"",Courses!H150&gt;0,SUM(Courses!O150,Courses!P150)&gt;0),Courses!H150*SUM(Courses!O150,Courses!P150),0)</f>
        <v>0</v>
      </c>
      <c r="J144" s="105">
        <f>IF(AND('Courses Valid'!C156=0,Courses!I150&lt;&gt;"",Courses!J150&gt;0,SUM(Courses!O150,Courses!P150)&gt;0),Courses!J150*SUM(Courses!O150,Courses!P150),0)</f>
        <v>0</v>
      </c>
      <c r="K144" s="1580">
        <f>IF(AND('Courses Valid'!C156=0,Courses!E150&lt;&gt;"",Courses!F150&gt;0,Courses!Q150&gt;0),Courses!F150*Courses!Q150,0)</f>
        <v>0</v>
      </c>
      <c r="L144" s="41">
        <f>IF(AND('Courses Valid'!C156=0,Courses!G150&lt;&gt;"",Courses!H150&gt;0,Courses!Q150&gt;0),Courses!H150*Courses!Q150,0)</f>
        <v>0</v>
      </c>
      <c r="M144" s="105">
        <f>IF(AND('Courses Valid'!C156=0,Courses!I150&lt;&gt;"",Courses!J150&gt;0,Courses!Q150&gt;0),Courses!J150*Courses!Q150,0)</f>
        <v>0</v>
      </c>
      <c r="N144" s="41">
        <f>IF(AND('Courses Valid'!C156=0,Courses!E150&lt;&gt;"",Courses!F150&gt;0,SUM(Courses!W150,Courses!X150)&gt;0),Courses!F150*SUM(Courses!W150,Courses!X150),0)</f>
        <v>0</v>
      </c>
      <c r="O144" s="41">
        <f>IF(AND('Courses Valid'!C156=0,Courses!G150&lt;&gt;"",Courses!H150&gt;0,SUM(Courses!W150,Courses!X150)&gt;0),Courses!H150*SUM(Courses!W150,Courses!X150),0)</f>
        <v>0</v>
      </c>
      <c r="P144" s="41">
        <f>IF(AND('Courses Valid'!C156=0,Courses!I150&lt;&gt;"",Courses!J150&gt;0,SUM(Courses!W150,Courses!X150)&gt;0),Courses!J150*SUM(Courses!W150,Courses!X150),0)</f>
        <v>0</v>
      </c>
      <c r="Q144" s="1580">
        <f>IF(AND('Courses Valid'!C156=0,Courses!E150&lt;&gt;"",Courses!F150&gt;0,SUM(Courses!Y150,Courses!Z150)&gt;0),Courses!F150*SUM(Courses!Y150,Courses!Z150),0)</f>
        <v>0</v>
      </c>
      <c r="R144" s="41">
        <f>IF(AND('Courses Valid'!C156=0,Courses!G150&lt;&gt;"",Courses!H150&gt;0,SUM(Courses!Y150,Courses!Z150)&gt;0),Courses!H150*SUM(Courses!Y150,Courses!Z150),0)</f>
        <v>0</v>
      </c>
      <c r="S144" s="105">
        <f>IF(AND('Courses Valid'!C156=0,Courses!I150&lt;&gt;"",Courses!J150&gt;0,SUM(Courses!Y150,Courses!Z150)&gt;0),Courses!J150*SUM(Courses!Y150,Courses!Z150),0)</f>
        <v>0</v>
      </c>
      <c r="T144" s="41">
        <f>IF(AND('Courses Valid'!C156=0,Courses!E150&lt;&gt;"",Courses!F150&gt;0,Courses!AA150&gt;0),Courses!F150*Courses!AA150,0)</f>
        <v>0</v>
      </c>
      <c r="U144" s="41">
        <f>IF(AND('Courses Valid'!C156=0,Courses!G150&lt;&gt;"",Courses!H150&gt;0,Courses!AA150&gt;0),Courses!H150*Courses!AA150,0)</f>
        <v>0</v>
      </c>
      <c r="V144" s="106">
        <f>IF(AND('Courses Valid'!C156=0,Courses!I150&lt;&gt;"",Courses!J150&gt;0,Courses!AA150&gt;0),Courses!J150*Courses!AA150,0)</f>
        <v>0</v>
      </c>
      <c r="W144" s="41"/>
    </row>
    <row r="145" spans="2:23" x14ac:dyDescent="0.35">
      <c r="B145" s="70" t="str">
        <f>IF(Courses!B151&lt;&gt;"",CONCATENATE(Courses!E151,"/",Courses!L151,"/",Courses!K151),"")</f>
        <v/>
      </c>
      <c r="C145" s="1579" t="str">
        <f>IF(AND(Courses!B151&lt;&gt;"",Courses!G151&lt;&gt;""),CONCATENATE(Courses!G151,"/",Courses!L151,"/",Courses!K151),"")</f>
        <v/>
      </c>
      <c r="D145" s="71" t="str">
        <f>IF(AND(Courses!B151&lt;&gt;"",Courses!I151&lt;&gt;""),CONCATENATE(Courses!I151,"/",Courses!L151,"/",Courses!K151),"")</f>
        <v/>
      </c>
      <c r="E145" s="1580">
        <f>IF(AND('Courses Valid'!C157=0,Courses!E151&lt;&gt;"",Courses!F151&gt;0,SUM(Courses!M151,Courses!N151)&gt;0),Courses!F151*SUM(Courses!M151,Courses!N151),0)</f>
        <v>0</v>
      </c>
      <c r="F145" s="41">
        <f>IF(AND('Courses Valid'!C157=0,Courses!G151&lt;&gt;"",Courses!H151&gt;0,SUM(Courses!M151,Courses!N151)&gt;0),Courses!H151*SUM(Courses!M151,Courses!N151),0)</f>
        <v>0</v>
      </c>
      <c r="G145" s="105">
        <f>IF(AND('Courses Valid'!C157=0,Courses!I151&lt;&gt;"",Courses!J151&gt;0,SUM(Courses!M151,Courses!N151)&gt;0),Courses!J151*SUM(Courses!M151,Courses!N151),0)</f>
        <v>0</v>
      </c>
      <c r="H145" s="1580">
        <f>IF(AND('Courses Valid'!C157=0,Courses!E151&lt;&gt;"",Courses!F151&gt;0,SUM(Courses!O151,Courses!P151)&gt;0),Courses!F151*SUM(Courses!O151,Courses!P151),0)</f>
        <v>0</v>
      </c>
      <c r="I145" s="41">
        <f>IF(AND('Courses Valid'!C157=0,Courses!G151&lt;&gt;"",Courses!H151&gt;0,SUM(Courses!O151,Courses!P151)&gt;0),Courses!H151*SUM(Courses!O151,Courses!P151),0)</f>
        <v>0</v>
      </c>
      <c r="J145" s="105">
        <f>IF(AND('Courses Valid'!C157=0,Courses!I151&lt;&gt;"",Courses!J151&gt;0,SUM(Courses!O151,Courses!P151)&gt;0),Courses!J151*SUM(Courses!O151,Courses!P151),0)</f>
        <v>0</v>
      </c>
      <c r="K145" s="1580">
        <f>IF(AND('Courses Valid'!C157=0,Courses!E151&lt;&gt;"",Courses!F151&gt;0,Courses!Q151&gt;0),Courses!F151*Courses!Q151,0)</f>
        <v>0</v>
      </c>
      <c r="L145" s="41">
        <f>IF(AND('Courses Valid'!C157=0,Courses!G151&lt;&gt;"",Courses!H151&gt;0,Courses!Q151&gt;0),Courses!H151*Courses!Q151,0)</f>
        <v>0</v>
      </c>
      <c r="M145" s="105">
        <f>IF(AND('Courses Valid'!C157=0,Courses!I151&lt;&gt;"",Courses!J151&gt;0,Courses!Q151&gt;0),Courses!J151*Courses!Q151,0)</f>
        <v>0</v>
      </c>
      <c r="N145" s="41">
        <f>IF(AND('Courses Valid'!C157=0,Courses!E151&lt;&gt;"",Courses!F151&gt;0,SUM(Courses!W151,Courses!X151)&gt;0),Courses!F151*SUM(Courses!W151,Courses!X151),0)</f>
        <v>0</v>
      </c>
      <c r="O145" s="41">
        <f>IF(AND('Courses Valid'!C157=0,Courses!G151&lt;&gt;"",Courses!H151&gt;0,SUM(Courses!W151,Courses!X151)&gt;0),Courses!H151*SUM(Courses!W151,Courses!X151),0)</f>
        <v>0</v>
      </c>
      <c r="P145" s="41">
        <f>IF(AND('Courses Valid'!C157=0,Courses!I151&lt;&gt;"",Courses!J151&gt;0,SUM(Courses!W151,Courses!X151)&gt;0),Courses!J151*SUM(Courses!W151,Courses!X151),0)</f>
        <v>0</v>
      </c>
      <c r="Q145" s="1580">
        <f>IF(AND('Courses Valid'!C157=0,Courses!E151&lt;&gt;"",Courses!F151&gt;0,SUM(Courses!Y151,Courses!Z151)&gt;0),Courses!F151*SUM(Courses!Y151,Courses!Z151),0)</f>
        <v>0</v>
      </c>
      <c r="R145" s="41">
        <f>IF(AND('Courses Valid'!C157=0,Courses!G151&lt;&gt;"",Courses!H151&gt;0,SUM(Courses!Y151,Courses!Z151)&gt;0),Courses!H151*SUM(Courses!Y151,Courses!Z151),0)</f>
        <v>0</v>
      </c>
      <c r="S145" s="105">
        <f>IF(AND('Courses Valid'!C157=0,Courses!I151&lt;&gt;"",Courses!J151&gt;0,SUM(Courses!Y151,Courses!Z151)&gt;0),Courses!J151*SUM(Courses!Y151,Courses!Z151),0)</f>
        <v>0</v>
      </c>
      <c r="T145" s="41">
        <f>IF(AND('Courses Valid'!C157=0,Courses!E151&lt;&gt;"",Courses!F151&gt;0,Courses!AA151&gt;0),Courses!F151*Courses!AA151,0)</f>
        <v>0</v>
      </c>
      <c r="U145" s="41">
        <f>IF(AND('Courses Valid'!C157=0,Courses!G151&lt;&gt;"",Courses!H151&gt;0,Courses!AA151&gt;0),Courses!H151*Courses!AA151,0)</f>
        <v>0</v>
      </c>
      <c r="V145" s="106">
        <f>IF(AND('Courses Valid'!C157=0,Courses!I151&lt;&gt;"",Courses!J151&gt;0,Courses!AA151&gt;0),Courses!J151*Courses!AA151,0)</f>
        <v>0</v>
      </c>
      <c r="W145" s="41"/>
    </row>
    <row r="146" spans="2:23" x14ac:dyDescent="0.35">
      <c r="B146" s="70" t="str">
        <f>IF(Courses!B152&lt;&gt;"",CONCATENATE(Courses!E152,"/",Courses!L152,"/",Courses!K152),"")</f>
        <v/>
      </c>
      <c r="C146" s="1579" t="str">
        <f>IF(AND(Courses!B152&lt;&gt;"",Courses!G152&lt;&gt;""),CONCATENATE(Courses!G152,"/",Courses!L152,"/",Courses!K152),"")</f>
        <v/>
      </c>
      <c r="D146" s="71" t="str">
        <f>IF(AND(Courses!B152&lt;&gt;"",Courses!I152&lt;&gt;""),CONCATENATE(Courses!I152,"/",Courses!L152,"/",Courses!K152),"")</f>
        <v/>
      </c>
      <c r="E146" s="1580">
        <f>IF(AND('Courses Valid'!C158=0,Courses!E152&lt;&gt;"",Courses!F152&gt;0,SUM(Courses!M152,Courses!N152)&gt;0),Courses!F152*SUM(Courses!M152,Courses!N152),0)</f>
        <v>0</v>
      </c>
      <c r="F146" s="41">
        <f>IF(AND('Courses Valid'!C158=0,Courses!G152&lt;&gt;"",Courses!H152&gt;0,SUM(Courses!M152,Courses!N152)&gt;0),Courses!H152*SUM(Courses!M152,Courses!N152),0)</f>
        <v>0</v>
      </c>
      <c r="G146" s="105">
        <f>IF(AND('Courses Valid'!C158=0,Courses!I152&lt;&gt;"",Courses!J152&gt;0,SUM(Courses!M152,Courses!N152)&gt;0),Courses!J152*SUM(Courses!M152,Courses!N152),0)</f>
        <v>0</v>
      </c>
      <c r="H146" s="1580">
        <f>IF(AND('Courses Valid'!C158=0,Courses!E152&lt;&gt;"",Courses!F152&gt;0,SUM(Courses!O152,Courses!P152)&gt;0),Courses!F152*SUM(Courses!O152,Courses!P152),0)</f>
        <v>0</v>
      </c>
      <c r="I146" s="41">
        <f>IF(AND('Courses Valid'!C158=0,Courses!G152&lt;&gt;"",Courses!H152&gt;0,SUM(Courses!O152,Courses!P152)&gt;0),Courses!H152*SUM(Courses!O152,Courses!P152),0)</f>
        <v>0</v>
      </c>
      <c r="J146" s="105">
        <f>IF(AND('Courses Valid'!C158=0,Courses!I152&lt;&gt;"",Courses!J152&gt;0,SUM(Courses!O152,Courses!P152)&gt;0),Courses!J152*SUM(Courses!O152,Courses!P152),0)</f>
        <v>0</v>
      </c>
      <c r="K146" s="1580">
        <f>IF(AND('Courses Valid'!C158=0,Courses!E152&lt;&gt;"",Courses!F152&gt;0,Courses!Q152&gt;0),Courses!F152*Courses!Q152,0)</f>
        <v>0</v>
      </c>
      <c r="L146" s="41">
        <f>IF(AND('Courses Valid'!C158=0,Courses!G152&lt;&gt;"",Courses!H152&gt;0,Courses!Q152&gt;0),Courses!H152*Courses!Q152,0)</f>
        <v>0</v>
      </c>
      <c r="M146" s="105">
        <f>IF(AND('Courses Valid'!C158=0,Courses!I152&lt;&gt;"",Courses!J152&gt;0,Courses!Q152&gt;0),Courses!J152*Courses!Q152,0)</f>
        <v>0</v>
      </c>
      <c r="N146" s="41">
        <f>IF(AND('Courses Valid'!C158=0,Courses!E152&lt;&gt;"",Courses!F152&gt;0,SUM(Courses!W152,Courses!X152)&gt;0),Courses!F152*SUM(Courses!W152,Courses!X152),0)</f>
        <v>0</v>
      </c>
      <c r="O146" s="41">
        <f>IF(AND('Courses Valid'!C158=0,Courses!G152&lt;&gt;"",Courses!H152&gt;0,SUM(Courses!W152,Courses!X152)&gt;0),Courses!H152*SUM(Courses!W152,Courses!X152),0)</f>
        <v>0</v>
      </c>
      <c r="P146" s="41">
        <f>IF(AND('Courses Valid'!C158=0,Courses!I152&lt;&gt;"",Courses!J152&gt;0,SUM(Courses!W152,Courses!X152)&gt;0),Courses!J152*SUM(Courses!W152,Courses!X152),0)</f>
        <v>0</v>
      </c>
      <c r="Q146" s="1580">
        <f>IF(AND('Courses Valid'!C158=0,Courses!E152&lt;&gt;"",Courses!F152&gt;0,SUM(Courses!Y152,Courses!Z152)&gt;0),Courses!F152*SUM(Courses!Y152,Courses!Z152),0)</f>
        <v>0</v>
      </c>
      <c r="R146" s="41">
        <f>IF(AND('Courses Valid'!C158=0,Courses!G152&lt;&gt;"",Courses!H152&gt;0,SUM(Courses!Y152,Courses!Z152)&gt;0),Courses!H152*SUM(Courses!Y152,Courses!Z152),0)</f>
        <v>0</v>
      </c>
      <c r="S146" s="105">
        <f>IF(AND('Courses Valid'!C158=0,Courses!I152&lt;&gt;"",Courses!J152&gt;0,SUM(Courses!Y152,Courses!Z152)&gt;0),Courses!J152*SUM(Courses!Y152,Courses!Z152),0)</f>
        <v>0</v>
      </c>
      <c r="T146" s="41">
        <f>IF(AND('Courses Valid'!C158=0,Courses!E152&lt;&gt;"",Courses!F152&gt;0,Courses!AA152&gt;0),Courses!F152*Courses!AA152,0)</f>
        <v>0</v>
      </c>
      <c r="U146" s="41">
        <f>IF(AND('Courses Valid'!C158=0,Courses!G152&lt;&gt;"",Courses!H152&gt;0,Courses!AA152&gt;0),Courses!H152*Courses!AA152,0)</f>
        <v>0</v>
      </c>
      <c r="V146" s="106">
        <f>IF(AND('Courses Valid'!C158=0,Courses!I152&lt;&gt;"",Courses!J152&gt;0,Courses!AA152&gt;0),Courses!J152*Courses!AA152,0)</f>
        <v>0</v>
      </c>
      <c r="W146" s="41"/>
    </row>
    <row r="147" spans="2:23" x14ac:dyDescent="0.35">
      <c r="B147" s="70" t="str">
        <f>IF(Courses!B153&lt;&gt;"",CONCATENATE(Courses!E153,"/",Courses!L153,"/",Courses!K153),"")</f>
        <v/>
      </c>
      <c r="C147" s="1579" t="str">
        <f>IF(AND(Courses!B153&lt;&gt;"",Courses!G153&lt;&gt;""),CONCATENATE(Courses!G153,"/",Courses!L153,"/",Courses!K153),"")</f>
        <v/>
      </c>
      <c r="D147" s="71" t="str">
        <f>IF(AND(Courses!B153&lt;&gt;"",Courses!I153&lt;&gt;""),CONCATENATE(Courses!I153,"/",Courses!L153,"/",Courses!K153),"")</f>
        <v/>
      </c>
      <c r="E147" s="1580">
        <f>IF(AND('Courses Valid'!C159=0,Courses!E153&lt;&gt;"",Courses!F153&gt;0,SUM(Courses!M153,Courses!N153)&gt;0),Courses!F153*SUM(Courses!M153,Courses!N153),0)</f>
        <v>0</v>
      </c>
      <c r="F147" s="41">
        <f>IF(AND('Courses Valid'!C159=0,Courses!G153&lt;&gt;"",Courses!H153&gt;0,SUM(Courses!M153,Courses!N153)&gt;0),Courses!H153*SUM(Courses!M153,Courses!N153),0)</f>
        <v>0</v>
      </c>
      <c r="G147" s="105">
        <f>IF(AND('Courses Valid'!C159=0,Courses!I153&lt;&gt;"",Courses!J153&gt;0,SUM(Courses!M153,Courses!N153)&gt;0),Courses!J153*SUM(Courses!M153,Courses!N153),0)</f>
        <v>0</v>
      </c>
      <c r="H147" s="1580">
        <f>IF(AND('Courses Valid'!C159=0,Courses!E153&lt;&gt;"",Courses!F153&gt;0,SUM(Courses!O153,Courses!P153)&gt;0),Courses!F153*SUM(Courses!O153,Courses!P153),0)</f>
        <v>0</v>
      </c>
      <c r="I147" s="41">
        <f>IF(AND('Courses Valid'!C159=0,Courses!G153&lt;&gt;"",Courses!H153&gt;0,SUM(Courses!O153,Courses!P153)&gt;0),Courses!H153*SUM(Courses!O153,Courses!P153),0)</f>
        <v>0</v>
      </c>
      <c r="J147" s="105">
        <f>IF(AND('Courses Valid'!C159=0,Courses!I153&lt;&gt;"",Courses!J153&gt;0,SUM(Courses!O153,Courses!P153)&gt;0),Courses!J153*SUM(Courses!O153,Courses!P153),0)</f>
        <v>0</v>
      </c>
      <c r="K147" s="1580">
        <f>IF(AND('Courses Valid'!C159=0,Courses!E153&lt;&gt;"",Courses!F153&gt;0,Courses!Q153&gt;0),Courses!F153*Courses!Q153,0)</f>
        <v>0</v>
      </c>
      <c r="L147" s="41">
        <f>IF(AND('Courses Valid'!C159=0,Courses!G153&lt;&gt;"",Courses!H153&gt;0,Courses!Q153&gt;0),Courses!H153*Courses!Q153,0)</f>
        <v>0</v>
      </c>
      <c r="M147" s="105">
        <f>IF(AND('Courses Valid'!C159=0,Courses!I153&lt;&gt;"",Courses!J153&gt;0,Courses!Q153&gt;0),Courses!J153*Courses!Q153,0)</f>
        <v>0</v>
      </c>
      <c r="N147" s="41">
        <f>IF(AND('Courses Valid'!C159=0,Courses!E153&lt;&gt;"",Courses!F153&gt;0,SUM(Courses!W153,Courses!X153)&gt;0),Courses!F153*SUM(Courses!W153,Courses!X153),0)</f>
        <v>0</v>
      </c>
      <c r="O147" s="41">
        <f>IF(AND('Courses Valid'!C159=0,Courses!G153&lt;&gt;"",Courses!H153&gt;0,SUM(Courses!W153,Courses!X153)&gt;0),Courses!H153*SUM(Courses!W153,Courses!X153),0)</f>
        <v>0</v>
      </c>
      <c r="P147" s="41">
        <f>IF(AND('Courses Valid'!C159=0,Courses!I153&lt;&gt;"",Courses!J153&gt;0,SUM(Courses!W153,Courses!X153)&gt;0),Courses!J153*SUM(Courses!W153,Courses!X153),0)</f>
        <v>0</v>
      </c>
      <c r="Q147" s="1580">
        <f>IF(AND('Courses Valid'!C159=0,Courses!E153&lt;&gt;"",Courses!F153&gt;0,SUM(Courses!Y153,Courses!Z153)&gt;0),Courses!F153*SUM(Courses!Y153,Courses!Z153),0)</f>
        <v>0</v>
      </c>
      <c r="R147" s="41">
        <f>IF(AND('Courses Valid'!C159=0,Courses!G153&lt;&gt;"",Courses!H153&gt;0,SUM(Courses!Y153,Courses!Z153)&gt;0),Courses!H153*SUM(Courses!Y153,Courses!Z153),0)</f>
        <v>0</v>
      </c>
      <c r="S147" s="105">
        <f>IF(AND('Courses Valid'!C159=0,Courses!I153&lt;&gt;"",Courses!J153&gt;0,SUM(Courses!Y153,Courses!Z153)&gt;0),Courses!J153*SUM(Courses!Y153,Courses!Z153),0)</f>
        <v>0</v>
      </c>
      <c r="T147" s="41">
        <f>IF(AND('Courses Valid'!C159=0,Courses!E153&lt;&gt;"",Courses!F153&gt;0,Courses!AA153&gt;0),Courses!F153*Courses!AA153,0)</f>
        <v>0</v>
      </c>
      <c r="U147" s="41">
        <f>IF(AND('Courses Valid'!C159=0,Courses!G153&lt;&gt;"",Courses!H153&gt;0,Courses!AA153&gt;0),Courses!H153*Courses!AA153,0)</f>
        <v>0</v>
      </c>
      <c r="V147" s="106">
        <f>IF(AND('Courses Valid'!C159=0,Courses!I153&lt;&gt;"",Courses!J153&gt;0,Courses!AA153&gt;0),Courses!J153*Courses!AA153,0)</f>
        <v>0</v>
      </c>
      <c r="W147" s="41"/>
    </row>
    <row r="148" spans="2:23" x14ac:dyDescent="0.35">
      <c r="B148" s="70" t="str">
        <f>IF(Courses!B154&lt;&gt;"",CONCATENATE(Courses!E154,"/",Courses!L154,"/",Courses!K154),"")</f>
        <v/>
      </c>
      <c r="C148" s="1579" t="str">
        <f>IF(AND(Courses!B154&lt;&gt;"",Courses!G154&lt;&gt;""),CONCATENATE(Courses!G154,"/",Courses!L154,"/",Courses!K154),"")</f>
        <v/>
      </c>
      <c r="D148" s="71" t="str">
        <f>IF(AND(Courses!B154&lt;&gt;"",Courses!I154&lt;&gt;""),CONCATENATE(Courses!I154,"/",Courses!L154,"/",Courses!K154),"")</f>
        <v/>
      </c>
      <c r="E148" s="1580">
        <f>IF(AND('Courses Valid'!C160=0,Courses!E154&lt;&gt;"",Courses!F154&gt;0,SUM(Courses!M154,Courses!N154)&gt;0),Courses!F154*SUM(Courses!M154,Courses!N154),0)</f>
        <v>0</v>
      </c>
      <c r="F148" s="41">
        <f>IF(AND('Courses Valid'!C160=0,Courses!G154&lt;&gt;"",Courses!H154&gt;0,SUM(Courses!M154,Courses!N154)&gt;0),Courses!H154*SUM(Courses!M154,Courses!N154),0)</f>
        <v>0</v>
      </c>
      <c r="G148" s="105">
        <f>IF(AND('Courses Valid'!C160=0,Courses!I154&lt;&gt;"",Courses!J154&gt;0,SUM(Courses!M154,Courses!N154)&gt;0),Courses!J154*SUM(Courses!M154,Courses!N154),0)</f>
        <v>0</v>
      </c>
      <c r="H148" s="1580">
        <f>IF(AND('Courses Valid'!C160=0,Courses!E154&lt;&gt;"",Courses!F154&gt;0,SUM(Courses!O154,Courses!P154)&gt;0),Courses!F154*SUM(Courses!O154,Courses!P154),0)</f>
        <v>0</v>
      </c>
      <c r="I148" s="41">
        <f>IF(AND('Courses Valid'!C160=0,Courses!G154&lt;&gt;"",Courses!H154&gt;0,SUM(Courses!O154,Courses!P154)&gt;0),Courses!H154*SUM(Courses!O154,Courses!P154),0)</f>
        <v>0</v>
      </c>
      <c r="J148" s="105">
        <f>IF(AND('Courses Valid'!C160=0,Courses!I154&lt;&gt;"",Courses!J154&gt;0,SUM(Courses!O154,Courses!P154)&gt;0),Courses!J154*SUM(Courses!O154,Courses!P154),0)</f>
        <v>0</v>
      </c>
      <c r="K148" s="1580">
        <f>IF(AND('Courses Valid'!C160=0,Courses!E154&lt;&gt;"",Courses!F154&gt;0,Courses!Q154&gt;0),Courses!F154*Courses!Q154,0)</f>
        <v>0</v>
      </c>
      <c r="L148" s="41">
        <f>IF(AND('Courses Valid'!C160=0,Courses!G154&lt;&gt;"",Courses!H154&gt;0,Courses!Q154&gt;0),Courses!H154*Courses!Q154,0)</f>
        <v>0</v>
      </c>
      <c r="M148" s="105">
        <f>IF(AND('Courses Valid'!C160=0,Courses!I154&lt;&gt;"",Courses!J154&gt;0,Courses!Q154&gt;0),Courses!J154*Courses!Q154,0)</f>
        <v>0</v>
      </c>
      <c r="N148" s="41">
        <f>IF(AND('Courses Valid'!C160=0,Courses!E154&lt;&gt;"",Courses!F154&gt;0,SUM(Courses!W154,Courses!X154)&gt;0),Courses!F154*SUM(Courses!W154,Courses!X154),0)</f>
        <v>0</v>
      </c>
      <c r="O148" s="41">
        <f>IF(AND('Courses Valid'!C160=0,Courses!G154&lt;&gt;"",Courses!H154&gt;0,SUM(Courses!W154,Courses!X154)&gt;0),Courses!H154*SUM(Courses!W154,Courses!X154),0)</f>
        <v>0</v>
      </c>
      <c r="P148" s="41">
        <f>IF(AND('Courses Valid'!C160=0,Courses!I154&lt;&gt;"",Courses!J154&gt;0,SUM(Courses!W154,Courses!X154)&gt;0),Courses!J154*SUM(Courses!W154,Courses!X154),0)</f>
        <v>0</v>
      </c>
      <c r="Q148" s="1580">
        <f>IF(AND('Courses Valid'!C160=0,Courses!E154&lt;&gt;"",Courses!F154&gt;0,SUM(Courses!Y154,Courses!Z154)&gt;0),Courses!F154*SUM(Courses!Y154,Courses!Z154),0)</f>
        <v>0</v>
      </c>
      <c r="R148" s="41">
        <f>IF(AND('Courses Valid'!C160=0,Courses!G154&lt;&gt;"",Courses!H154&gt;0,SUM(Courses!Y154,Courses!Z154)&gt;0),Courses!H154*SUM(Courses!Y154,Courses!Z154),0)</f>
        <v>0</v>
      </c>
      <c r="S148" s="105">
        <f>IF(AND('Courses Valid'!C160=0,Courses!I154&lt;&gt;"",Courses!J154&gt;0,SUM(Courses!Y154,Courses!Z154)&gt;0),Courses!J154*SUM(Courses!Y154,Courses!Z154),0)</f>
        <v>0</v>
      </c>
      <c r="T148" s="41">
        <f>IF(AND('Courses Valid'!C160=0,Courses!E154&lt;&gt;"",Courses!F154&gt;0,Courses!AA154&gt;0),Courses!F154*Courses!AA154,0)</f>
        <v>0</v>
      </c>
      <c r="U148" s="41">
        <f>IF(AND('Courses Valid'!C160=0,Courses!G154&lt;&gt;"",Courses!H154&gt;0,Courses!AA154&gt;0),Courses!H154*Courses!AA154,0)</f>
        <v>0</v>
      </c>
      <c r="V148" s="106">
        <f>IF(AND('Courses Valid'!C160=0,Courses!I154&lt;&gt;"",Courses!J154&gt;0,Courses!AA154&gt;0),Courses!J154*Courses!AA154,0)</f>
        <v>0</v>
      </c>
      <c r="W148" s="41"/>
    </row>
    <row r="149" spans="2:23" x14ac:dyDescent="0.35">
      <c r="B149" s="70" t="str">
        <f>IF(Courses!B155&lt;&gt;"",CONCATENATE(Courses!E155,"/",Courses!L155,"/",Courses!K155),"")</f>
        <v/>
      </c>
      <c r="C149" s="1579" t="str">
        <f>IF(AND(Courses!B155&lt;&gt;"",Courses!G155&lt;&gt;""),CONCATENATE(Courses!G155,"/",Courses!L155,"/",Courses!K155),"")</f>
        <v/>
      </c>
      <c r="D149" s="71" t="str">
        <f>IF(AND(Courses!B155&lt;&gt;"",Courses!I155&lt;&gt;""),CONCATENATE(Courses!I155,"/",Courses!L155,"/",Courses!K155),"")</f>
        <v/>
      </c>
      <c r="E149" s="1580">
        <f>IF(AND('Courses Valid'!C161=0,Courses!E155&lt;&gt;"",Courses!F155&gt;0,SUM(Courses!M155,Courses!N155)&gt;0),Courses!F155*SUM(Courses!M155,Courses!N155),0)</f>
        <v>0</v>
      </c>
      <c r="F149" s="41">
        <f>IF(AND('Courses Valid'!C161=0,Courses!G155&lt;&gt;"",Courses!H155&gt;0,SUM(Courses!M155,Courses!N155)&gt;0),Courses!H155*SUM(Courses!M155,Courses!N155),0)</f>
        <v>0</v>
      </c>
      <c r="G149" s="105">
        <f>IF(AND('Courses Valid'!C161=0,Courses!I155&lt;&gt;"",Courses!J155&gt;0,SUM(Courses!M155,Courses!N155)&gt;0),Courses!J155*SUM(Courses!M155,Courses!N155),0)</f>
        <v>0</v>
      </c>
      <c r="H149" s="1580">
        <f>IF(AND('Courses Valid'!C161=0,Courses!E155&lt;&gt;"",Courses!F155&gt;0,SUM(Courses!O155,Courses!P155)&gt;0),Courses!F155*SUM(Courses!O155,Courses!P155),0)</f>
        <v>0</v>
      </c>
      <c r="I149" s="41">
        <f>IF(AND('Courses Valid'!C161=0,Courses!G155&lt;&gt;"",Courses!H155&gt;0,SUM(Courses!O155,Courses!P155)&gt;0),Courses!H155*SUM(Courses!O155,Courses!P155),0)</f>
        <v>0</v>
      </c>
      <c r="J149" s="105">
        <f>IF(AND('Courses Valid'!C161=0,Courses!I155&lt;&gt;"",Courses!J155&gt;0,SUM(Courses!O155,Courses!P155)&gt;0),Courses!J155*SUM(Courses!O155,Courses!P155),0)</f>
        <v>0</v>
      </c>
      <c r="K149" s="1580">
        <f>IF(AND('Courses Valid'!C161=0,Courses!E155&lt;&gt;"",Courses!F155&gt;0,Courses!Q155&gt;0),Courses!F155*Courses!Q155,0)</f>
        <v>0</v>
      </c>
      <c r="L149" s="41">
        <f>IF(AND('Courses Valid'!C161=0,Courses!G155&lt;&gt;"",Courses!H155&gt;0,Courses!Q155&gt;0),Courses!H155*Courses!Q155,0)</f>
        <v>0</v>
      </c>
      <c r="M149" s="105">
        <f>IF(AND('Courses Valid'!C161=0,Courses!I155&lt;&gt;"",Courses!J155&gt;0,Courses!Q155&gt;0),Courses!J155*Courses!Q155,0)</f>
        <v>0</v>
      </c>
      <c r="N149" s="41">
        <f>IF(AND('Courses Valid'!C161=0,Courses!E155&lt;&gt;"",Courses!F155&gt;0,SUM(Courses!W155,Courses!X155)&gt;0),Courses!F155*SUM(Courses!W155,Courses!X155),0)</f>
        <v>0</v>
      </c>
      <c r="O149" s="41">
        <f>IF(AND('Courses Valid'!C161=0,Courses!G155&lt;&gt;"",Courses!H155&gt;0,SUM(Courses!W155,Courses!X155)&gt;0),Courses!H155*SUM(Courses!W155,Courses!X155),0)</f>
        <v>0</v>
      </c>
      <c r="P149" s="41">
        <f>IF(AND('Courses Valid'!C161=0,Courses!I155&lt;&gt;"",Courses!J155&gt;0,SUM(Courses!W155,Courses!X155)&gt;0),Courses!J155*SUM(Courses!W155,Courses!X155),0)</f>
        <v>0</v>
      </c>
      <c r="Q149" s="1580">
        <f>IF(AND('Courses Valid'!C161=0,Courses!E155&lt;&gt;"",Courses!F155&gt;0,SUM(Courses!Y155,Courses!Z155)&gt;0),Courses!F155*SUM(Courses!Y155,Courses!Z155),0)</f>
        <v>0</v>
      </c>
      <c r="R149" s="41">
        <f>IF(AND('Courses Valid'!C161=0,Courses!G155&lt;&gt;"",Courses!H155&gt;0,SUM(Courses!Y155,Courses!Z155)&gt;0),Courses!H155*SUM(Courses!Y155,Courses!Z155),0)</f>
        <v>0</v>
      </c>
      <c r="S149" s="105">
        <f>IF(AND('Courses Valid'!C161=0,Courses!I155&lt;&gt;"",Courses!J155&gt;0,SUM(Courses!Y155,Courses!Z155)&gt;0),Courses!J155*SUM(Courses!Y155,Courses!Z155),0)</f>
        <v>0</v>
      </c>
      <c r="T149" s="41">
        <f>IF(AND('Courses Valid'!C161=0,Courses!E155&lt;&gt;"",Courses!F155&gt;0,Courses!AA155&gt;0),Courses!F155*Courses!AA155,0)</f>
        <v>0</v>
      </c>
      <c r="U149" s="41">
        <f>IF(AND('Courses Valid'!C161=0,Courses!G155&lt;&gt;"",Courses!H155&gt;0,Courses!AA155&gt;0),Courses!H155*Courses!AA155,0)</f>
        <v>0</v>
      </c>
      <c r="V149" s="106">
        <f>IF(AND('Courses Valid'!C161=0,Courses!I155&lt;&gt;"",Courses!J155&gt;0,Courses!AA155&gt;0),Courses!J155*Courses!AA155,0)</f>
        <v>0</v>
      </c>
      <c r="W149" s="41"/>
    </row>
    <row r="150" spans="2:23" x14ac:dyDescent="0.35">
      <c r="B150" s="70" t="str">
        <f>IF(Courses!B156&lt;&gt;"",CONCATENATE(Courses!E156,"/",Courses!L156,"/",Courses!K156),"")</f>
        <v/>
      </c>
      <c r="C150" s="1579" t="str">
        <f>IF(AND(Courses!B156&lt;&gt;"",Courses!G156&lt;&gt;""),CONCATENATE(Courses!G156,"/",Courses!L156,"/",Courses!K156),"")</f>
        <v/>
      </c>
      <c r="D150" s="71" t="str">
        <f>IF(AND(Courses!B156&lt;&gt;"",Courses!I156&lt;&gt;""),CONCATENATE(Courses!I156,"/",Courses!L156,"/",Courses!K156),"")</f>
        <v/>
      </c>
      <c r="E150" s="1580">
        <f>IF(AND('Courses Valid'!C162=0,Courses!E156&lt;&gt;"",Courses!F156&gt;0,SUM(Courses!M156,Courses!N156)&gt;0),Courses!F156*SUM(Courses!M156,Courses!N156),0)</f>
        <v>0</v>
      </c>
      <c r="F150" s="41">
        <f>IF(AND('Courses Valid'!C162=0,Courses!G156&lt;&gt;"",Courses!H156&gt;0,SUM(Courses!M156,Courses!N156)&gt;0),Courses!H156*SUM(Courses!M156,Courses!N156),0)</f>
        <v>0</v>
      </c>
      <c r="G150" s="105">
        <f>IF(AND('Courses Valid'!C162=0,Courses!I156&lt;&gt;"",Courses!J156&gt;0,SUM(Courses!M156,Courses!N156)&gt;0),Courses!J156*SUM(Courses!M156,Courses!N156),0)</f>
        <v>0</v>
      </c>
      <c r="H150" s="1580">
        <f>IF(AND('Courses Valid'!C162=0,Courses!E156&lt;&gt;"",Courses!F156&gt;0,SUM(Courses!O156,Courses!P156)&gt;0),Courses!F156*SUM(Courses!O156,Courses!P156),0)</f>
        <v>0</v>
      </c>
      <c r="I150" s="41">
        <f>IF(AND('Courses Valid'!C162=0,Courses!G156&lt;&gt;"",Courses!H156&gt;0,SUM(Courses!O156,Courses!P156)&gt;0),Courses!H156*SUM(Courses!O156,Courses!P156),0)</f>
        <v>0</v>
      </c>
      <c r="J150" s="105">
        <f>IF(AND('Courses Valid'!C162=0,Courses!I156&lt;&gt;"",Courses!J156&gt;0,SUM(Courses!O156,Courses!P156)&gt;0),Courses!J156*SUM(Courses!O156,Courses!P156),0)</f>
        <v>0</v>
      </c>
      <c r="K150" s="1580">
        <f>IF(AND('Courses Valid'!C162=0,Courses!E156&lt;&gt;"",Courses!F156&gt;0,Courses!Q156&gt;0),Courses!F156*Courses!Q156,0)</f>
        <v>0</v>
      </c>
      <c r="L150" s="41">
        <f>IF(AND('Courses Valid'!C162=0,Courses!G156&lt;&gt;"",Courses!H156&gt;0,Courses!Q156&gt;0),Courses!H156*Courses!Q156,0)</f>
        <v>0</v>
      </c>
      <c r="M150" s="105">
        <f>IF(AND('Courses Valid'!C162=0,Courses!I156&lt;&gt;"",Courses!J156&gt;0,Courses!Q156&gt;0),Courses!J156*Courses!Q156,0)</f>
        <v>0</v>
      </c>
      <c r="N150" s="41">
        <f>IF(AND('Courses Valid'!C162=0,Courses!E156&lt;&gt;"",Courses!F156&gt;0,SUM(Courses!W156,Courses!X156)&gt;0),Courses!F156*SUM(Courses!W156,Courses!X156),0)</f>
        <v>0</v>
      </c>
      <c r="O150" s="41">
        <f>IF(AND('Courses Valid'!C162=0,Courses!G156&lt;&gt;"",Courses!H156&gt;0,SUM(Courses!W156,Courses!X156)&gt;0),Courses!H156*SUM(Courses!W156,Courses!X156),0)</f>
        <v>0</v>
      </c>
      <c r="P150" s="41">
        <f>IF(AND('Courses Valid'!C162=0,Courses!I156&lt;&gt;"",Courses!J156&gt;0,SUM(Courses!W156,Courses!X156)&gt;0),Courses!J156*SUM(Courses!W156,Courses!X156),0)</f>
        <v>0</v>
      </c>
      <c r="Q150" s="1580">
        <f>IF(AND('Courses Valid'!C162=0,Courses!E156&lt;&gt;"",Courses!F156&gt;0,SUM(Courses!Y156,Courses!Z156)&gt;0),Courses!F156*SUM(Courses!Y156,Courses!Z156),0)</f>
        <v>0</v>
      </c>
      <c r="R150" s="41">
        <f>IF(AND('Courses Valid'!C162=0,Courses!G156&lt;&gt;"",Courses!H156&gt;0,SUM(Courses!Y156,Courses!Z156)&gt;0),Courses!H156*SUM(Courses!Y156,Courses!Z156),0)</f>
        <v>0</v>
      </c>
      <c r="S150" s="105">
        <f>IF(AND('Courses Valid'!C162=0,Courses!I156&lt;&gt;"",Courses!J156&gt;0,SUM(Courses!Y156,Courses!Z156)&gt;0),Courses!J156*SUM(Courses!Y156,Courses!Z156),0)</f>
        <v>0</v>
      </c>
      <c r="T150" s="41">
        <f>IF(AND('Courses Valid'!C162=0,Courses!E156&lt;&gt;"",Courses!F156&gt;0,Courses!AA156&gt;0),Courses!F156*Courses!AA156,0)</f>
        <v>0</v>
      </c>
      <c r="U150" s="41">
        <f>IF(AND('Courses Valid'!C162=0,Courses!G156&lt;&gt;"",Courses!H156&gt;0,Courses!AA156&gt;0),Courses!H156*Courses!AA156,0)</f>
        <v>0</v>
      </c>
      <c r="V150" s="106">
        <f>IF(AND('Courses Valid'!C162=0,Courses!I156&lt;&gt;"",Courses!J156&gt;0,Courses!AA156&gt;0),Courses!J156*Courses!AA156,0)</f>
        <v>0</v>
      </c>
      <c r="W150" s="41"/>
    </row>
    <row r="151" spans="2:23" x14ac:dyDescent="0.35">
      <c r="B151" s="70" t="str">
        <f>IF(Courses!B157&lt;&gt;"",CONCATENATE(Courses!E157,"/",Courses!L157,"/",Courses!K157),"")</f>
        <v/>
      </c>
      <c r="C151" s="1579" t="str">
        <f>IF(AND(Courses!B157&lt;&gt;"",Courses!G157&lt;&gt;""),CONCATENATE(Courses!G157,"/",Courses!L157,"/",Courses!K157),"")</f>
        <v/>
      </c>
      <c r="D151" s="71" t="str">
        <f>IF(AND(Courses!B157&lt;&gt;"",Courses!I157&lt;&gt;""),CONCATENATE(Courses!I157,"/",Courses!L157,"/",Courses!K157),"")</f>
        <v/>
      </c>
      <c r="E151" s="1580">
        <f>IF(AND('Courses Valid'!C163=0,Courses!E157&lt;&gt;"",Courses!F157&gt;0,SUM(Courses!M157,Courses!N157)&gt;0),Courses!F157*SUM(Courses!M157,Courses!N157),0)</f>
        <v>0</v>
      </c>
      <c r="F151" s="41">
        <f>IF(AND('Courses Valid'!C163=0,Courses!G157&lt;&gt;"",Courses!H157&gt;0,SUM(Courses!M157,Courses!N157)&gt;0),Courses!H157*SUM(Courses!M157,Courses!N157),0)</f>
        <v>0</v>
      </c>
      <c r="G151" s="105">
        <f>IF(AND('Courses Valid'!C163=0,Courses!I157&lt;&gt;"",Courses!J157&gt;0,SUM(Courses!M157,Courses!N157)&gt;0),Courses!J157*SUM(Courses!M157,Courses!N157),0)</f>
        <v>0</v>
      </c>
      <c r="H151" s="1580">
        <f>IF(AND('Courses Valid'!C163=0,Courses!E157&lt;&gt;"",Courses!F157&gt;0,SUM(Courses!O157,Courses!P157)&gt;0),Courses!F157*SUM(Courses!O157,Courses!P157),0)</f>
        <v>0</v>
      </c>
      <c r="I151" s="41">
        <f>IF(AND('Courses Valid'!C163=0,Courses!G157&lt;&gt;"",Courses!H157&gt;0,SUM(Courses!O157,Courses!P157)&gt;0),Courses!H157*SUM(Courses!O157,Courses!P157),0)</f>
        <v>0</v>
      </c>
      <c r="J151" s="105">
        <f>IF(AND('Courses Valid'!C163=0,Courses!I157&lt;&gt;"",Courses!J157&gt;0,SUM(Courses!O157,Courses!P157)&gt;0),Courses!J157*SUM(Courses!O157,Courses!P157),0)</f>
        <v>0</v>
      </c>
      <c r="K151" s="1580">
        <f>IF(AND('Courses Valid'!C163=0,Courses!E157&lt;&gt;"",Courses!F157&gt;0,Courses!Q157&gt;0),Courses!F157*Courses!Q157,0)</f>
        <v>0</v>
      </c>
      <c r="L151" s="41">
        <f>IF(AND('Courses Valid'!C163=0,Courses!G157&lt;&gt;"",Courses!H157&gt;0,Courses!Q157&gt;0),Courses!H157*Courses!Q157,0)</f>
        <v>0</v>
      </c>
      <c r="M151" s="105">
        <f>IF(AND('Courses Valid'!C163=0,Courses!I157&lt;&gt;"",Courses!J157&gt;0,Courses!Q157&gt;0),Courses!J157*Courses!Q157,0)</f>
        <v>0</v>
      </c>
      <c r="N151" s="41">
        <f>IF(AND('Courses Valid'!C163=0,Courses!E157&lt;&gt;"",Courses!F157&gt;0,SUM(Courses!W157,Courses!X157)&gt;0),Courses!F157*SUM(Courses!W157,Courses!X157),0)</f>
        <v>0</v>
      </c>
      <c r="O151" s="41">
        <f>IF(AND('Courses Valid'!C163=0,Courses!G157&lt;&gt;"",Courses!H157&gt;0,SUM(Courses!W157,Courses!X157)&gt;0),Courses!H157*SUM(Courses!W157,Courses!X157),0)</f>
        <v>0</v>
      </c>
      <c r="P151" s="41">
        <f>IF(AND('Courses Valid'!C163=0,Courses!I157&lt;&gt;"",Courses!J157&gt;0,SUM(Courses!W157,Courses!X157)&gt;0),Courses!J157*SUM(Courses!W157,Courses!X157),0)</f>
        <v>0</v>
      </c>
      <c r="Q151" s="1580">
        <f>IF(AND('Courses Valid'!C163=0,Courses!E157&lt;&gt;"",Courses!F157&gt;0,SUM(Courses!Y157,Courses!Z157)&gt;0),Courses!F157*SUM(Courses!Y157,Courses!Z157),0)</f>
        <v>0</v>
      </c>
      <c r="R151" s="41">
        <f>IF(AND('Courses Valid'!C163=0,Courses!G157&lt;&gt;"",Courses!H157&gt;0,SUM(Courses!Y157,Courses!Z157)&gt;0),Courses!H157*SUM(Courses!Y157,Courses!Z157),0)</f>
        <v>0</v>
      </c>
      <c r="S151" s="105">
        <f>IF(AND('Courses Valid'!C163=0,Courses!I157&lt;&gt;"",Courses!J157&gt;0,SUM(Courses!Y157,Courses!Z157)&gt;0),Courses!J157*SUM(Courses!Y157,Courses!Z157),0)</f>
        <v>0</v>
      </c>
      <c r="T151" s="41">
        <f>IF(AND('Courses Valid'!C163=0,Courses!E157&lt;&gt;"",Courses!F157&gt;0,Courses!AA157&gt;0),Courses!F157*Courses!AA157,0)</f>
        <v>0</v>
      </c>
      <c r="U151" s="41">
        <f>IF(AND('Courses Valid'!C163=0,Courses!G157&lt;&gt;"",Courses!H157&gt;0,Courses!AA157&gt;0),Courses!H157*Courses!AA157,0)</f>
        <v>0</v>
      </c>
      <c r="V151" s="106">
        <f>IF(AND('Courses Valid'!C163=0,Courses!I157&lt;&gt;"",Courses!J157&gt;0,Courses!AA157&gt;0),Courses!J157*Courses!AA157,0)</f>
        <v>0</v>
      </c>
      <c r="W151" s="41"/>
    </row>
    <row r="152" spans="2:23" x14ac:dyDescent="0.35">
      <c r="B152" s="70" t="str">
        <f>IF(Courses!B158&lt;&gt;"",CONCATENATE(Courses!E158,"/",Courses!L158,"/",Courses!K158),"")</f>
        <v/>
      </c>
      <c r="C152" s="1579" t="str">
        <f>IF(AND(Courses!B158&lt;&gt;"",Courses!G158&lt;&gt;""),CONCATENATE(Courses!G158,"/",Courses!L158,"/",Courses!K158),"")</f>
        <v/>
      </c>
      <c r="D152" s="71" t="str">
        <f>IF(AND(Courses!B158&lt;&gt;"",Courses!I158&lt;&gt;""),CONCATENATE(Courses!I158,"/",Courses!L158,"/",Courses!K158),"")</f>
        <v/>
      </c>
      <c r="E152" s="1580">
        <f>IF(AND('Courses Valid'!C164=0,Courses!E158&lt;&gt;"",Courses!F158&gt;0,SUM(Courses!M158,Courses!N158)&gt;0),Courses!F158*SUM(Courses!M158,Courses!N158),0)</f>
        <v>0</v>
      </c>
      <c r="F152" s="41">
        <f>IF(AND('Courses Valid'!C164=0,Courses!G158&lt;&gt;"",Courses!H158&gt;0,SUM(Courses!M158,Courses!N158)&gt;0),Courses!H158*SUM(Courses!M158,Courses!N158),0)</f>
        <v>0</v>
      </c>
      <c r="G152" s="105">
        <f>IF(AND('Courses Valid'!C164=0,Courses!I158&lt;&gt;"",Courses!J158&gt;0,SUM(Courses!M158,Courses!N158)&gt;0),Courses!J158*SUM(Courses!M158,Courses!N158),0)</f>
        <v>0</v>
      </c>
      <c r="H152" s="1580">
        <f>IF(AND('Courses Valid'!C164=0,Courses!E158&lt;&gt;"",Courses!F158&gt;0,SUM(Courses!O158,Courses!P158)&gt;0),Courses!F158*SUM(Courses!O158,Courses!P158),0)</f>
        <v>0</v>
      </c>
      <c r="I152" s="41">
        <f>IF(AND('Courses Valid'!C164=0,Courses!G158&lt;&gt;"",Courses!H158&gt;0,SUM(Courses!O158,Courses!P158)&gt;0),Courses!H158*SUM(Courses!O158,Courses!P158),0)</f>
        <v>0</v>
      </c>
      <c r="J152" s="105">
        <f>IF(AND('Courses Valid'!C164=0,Courses!I158&lt;&gt;"",Courses!J158&gt;0,SUM(Courses!O158,Courses!P158)&gt;0),Courses!J158*SUM(Courses!O158,Courses!P158),0)</f>
        <v>0</v>
      </c>
      <c r="K152" s="1580">
        <f>IF(AND('Courses Valid'!C164=0,Courses!E158&lt;&gt;"",Courses!F158&gt;0,Courses!Q158&gt;0),Courses!F158*Courses!Q158,0)</f>
        <v>0</v>
      </c>
      <c r="L152" s="41">
        <f>IF(AND('Courses Valid'!C164=0,Courses!G158&lt;&gt;"",Courses!H158&gt;0,Courses!Q158&gt;0),Courses!H158*Courses!Q158,0)</f>
        <v>0</v>
      </c>
      <c r="M152" s="105">
        <f>IF(AND('Courses Valid'!C164=0,Courses!I158&lt;&gt;"",Courses!J158&gt;0,Courses!Q158&gt;0),Courses!J158*Courses!Q158,0)</f>
        <v>0</v>
      </c>
      <c r="N152" s="41">
        <f>IF(AND('Courses Valid'!C164=0,Courses!E158&lt;&gt;"",Courses!F158&gt;0,SUM(Courses!W158,Courses!X158)&gt;0),Courses!F158*SUM(Courses!W158,Courses!X158),0)</f>
        <v>0</v>
      </c>
      <c r="O152" s="41">
        <f>IF(AND('Courses Valid'!C164=0,Courses!G158&lt;&gt;"",Courses!H158&gt;0,SUM(Courses!W158,Courses!X158)&gt;0),Courses!H158*SUM(Courses!W158,Courses!X158),0)</f>
        <v>0</v>
      </c>
      <c r="P152" s="41">
        <f>IF(AND('Courses Valid'!C164=0,Courses!I158&lt;&gt;"",Courses!J158&gt;0,SUM(Courses!W158,Courses!X158)&gt;0),Courses!J158*SUM(Courses!W158,Courses!X158),0)</f>
        <v>0</v>
      </c>
      <c r="Q152" s="1580">
        <f>IF(AND('Courses Valid'!C164=0,Courses!E158&lt;&gt;"",Courses!F158&gt;0,SUM(Courses!Y158,Courses!Z158)&gt;0),Courses!F158*SUM(Courses!Y158,Courses!Z158),0)</f>
        <v>0</v>
      </c>
      <c r="R152" s="41">
        <f>IF(AND('Courses Valid'!C164=0,Courses!G158&lt;&gt;"",Courses!H158&gt;0,SUM(Courses!Y158,Courses!Z158)&gt;0),Courses!H158*SUM(Courses!Y158,Courses!Z158),0)</f>
        <v>0</v>
      </c>
      <c r="S152" s="105">
        <f>IF(AND('Courses Valid'!C164=0,Courses!I158&lt;&gt;"",Courses!J158&gt;0,SUM(Courses!Y158,Courses!Z158)&gt;0),Courses!J158*SUM(Courses!Y158,Courses!Z158),0)</f>
        <v>0</v>
      </c>
      <c r="T152" s="41">
        <f>IF(AND('Courses Valid'!C164=0,Courses!E158&lt;&gt;"",Courses!F158&gt;0,Courses!AA158&gt;0),Courses!F158*Courses!AA158,0)</f>
        <v>0</v>
      </c>
      <c r="U152" s="41">
        <f>IF(AND('Courses Valid'!C164=0,Courses!G158&lt;&gt;"",Courses!H158&gt;0,Courses!AA158&gt;0),Courses!H158*Courses!AA158,0)</f>
        <v>0</v>
      </c>
      <c r="V152" s="106">
        <f>IF(AND('Courses Valid'!C164=0,Courses!I158&lt;&gt;"",Courses!J158&gt;0,Courses!AA158&gt;0),Courses!J158*Courses!AA158,0)</f>
        <v>0</v>
      </c>
      <c r="W152" s="41"/>
    </row>
    <row r="153" spans="2:23" x14ac:dyDescent="0.35">
      <c r="B153" s="70" t="str">
        <f>IF(Courses!B159&lt;&gt;"",CONCATENATE(Courses!E159,"/",Courses!L159,"/",Courses!K159),"")</f>
        <v/>
      </c>
      <c r="C153" s="1579" t="str">
        <f>IF(AND(Courses!B159&lt;&gt;"",Courses!G159&lt;&gt;""),CONCATENATE(Courses!G159,"/",Courses!L159,"/",Courses!K159),"")</f>
        <v/>
      </c>
      <c r="D153" s="71" t="str">
        <f>IF(AND(Courses!B159&lt;&gt;"",Courses!I159&lt;&gt;""),CONCATENATE(Courses!I159,"/",Courses!L159,"/",Courses!K159),"")</f>
        <v/>
      </c>
      <c r="E153" s="1580">
        <f>IF(AND('Courses Valid'!C165=0,Courses!E159&lt;&gt;"",Courses!F159&gt;0,SUM(Courses!M159,Courses!N159)&gt;0),Courses!F159*SUM(Courses!M159,Courses!N159),0)</f>
        <v>0</v>
      </c>
      <c r="F153" s="41">
        <f>IF(AND('Courses Valid'!C165=0,Courses!G159&lt;&gt;"",Courses!H159&gt;0,SUM(Courses!M159,Courses!N159)&gt;0),Courses!H159*SUM(Courses!M159,Courses!N159),0)</f>
        <v>0</v>
      </c>
      <c r="G153" s="105">
        <f>IF(AND('Courses Valid'!C165=0,Courses!I159&lt;&gt;"",Courses!J159&gt;0,SUM(Courses!M159,Courses!N159)&gt;0),Courses!J159*SUM(Courses!M159,Courses!N159),0)</f>
        <v>0</v>
      </c>
      <c r="H153" s="1580">
        <f>IF(AND('Courses Valid'!C165=0,Courses!E159&lt;&gt;"",Courses!F159&gt;0,SUM(Courses!O159,Courses!P159)&gt;0),Courses!F159*SUM(Courses!O159,Courses!P159),0)</f>
        <v>0</v>
      </c>
      <c r="I153" s="41">
        <f>IF(AND('Courses Valid'!C165=0,Courses!G159&lt;&gt;"",Courses!H159&gt;0,SUM(Courses!O159,Courses!P159)&gt;0),Courses!H159*SUM(Courses!O159,Courses!P159),0)</f>
        <v>0</v>
      </c>
      <c r="J153" s="105">
        <f>IF(AND('Courses Valid'!C165=0,Courses!I159&lt;&gt;"",Courses!J159&gt;0,SUM(Courses!O159,Courses!P159)&gt;0),Courses!J159*SUM(Courses!O159,Courses!P159),0)</f>
        <v>0</v>
      </c>
      <c r="K153" s="1580">
        <f>IF(AND('Courses Valid'!C165=0,Courses!E159&lt;&gt;"",Courses!F159&gt;0,Courses!Q159&gt;0),Courses!F159*Courses!Q159,0)</f>
        <v>0</v>
      </c>
      <c r="L153" s="41">
        <f>IF(AND('Courses Valid'!C165=0,Courses!G159&lt;&gt;"",Courses!H159&gt;0,Courses!Q159&gt;0),Courses!H159*Courses!Q159,0)</f>
        <v>0</v>
      </c>
      <c r="M153" s="105">
        <f>IF(AND('Courses Valid'!C165=0,Courses!I159&lt;&gt;"",Courses!J159&gt;0,Courses!Q159&gt;0),Courses!J159*Courses!Q159,0)</f>
        <v>0</v>
      </c>
      <c r="N153" s="41">
        <f>IF(AND('Courses Valid'!C165=0,Courses!E159&lt;&gt;"",Courses!F159&gt;0,SUM(Courses!W159,Courses!X159)&gt;0),Courses!F159*SUM(Courses!W159,Courses!X159),0)</f>
        <v>0</v>
      </c>
      <c r="O153" s="41">
        <f>IF(AND('Courses Valid'!C165=0,Courses!G159&lt;&gt;"",Courses!H159&gt;0,SUM(Courses!W159,Courses!X159)&gt;0),Courses!H159*SUM(Courses!W159,Courses!X159),0)</f>
        <v>0</v>
      </c>
      <c r="P153" s="41">
        <f>IF(AND('Courses Valid'!C165=0,Courses!I159&lt;&gt;"",Courses!J159&gt;0,SUM(Courses!W159,Courses!X159)&gt;0),Courses!J159*SUM(Courses!W159,Courses!X159),0)</f>
        <v>0</v>
      </c>
      <c r="Q153" s="1580">
        <f>IF(AND('Courses Valid'!C165=0,Courses!E159&lt;&gt;"",Courses!F159&gt;0,SUM(Courses!Y159,Courses!Z159)&gt;0),Courses!F159*SUM(Courses!Y159,Courses!Z159),0)</f>
        <v>0</v>
      </c>
      <c r="R153" s="41">
        <f>IF(AND('Courses Valid'!C165=0,Courses!G159&lt;&gt;"",Courses!H159&gt;0,SUM(Courses!Y159,Courses!Z159)&gt;0),Courses!H159*SUM(Courses!Y159,Courses!Z159),0)</f>
        <v>0</v>
      </c>
      <c r="S153" s="105">
        <f>IF(AND('Courses Valid'!C165=0,Courses!I159&lt;&gt;"",Courses!J159&gt;0,SUM(Courses!Y159,Courses!Z159)&gt;0),Courses!J159*SUM(Courses!Y159,Courses!Z159),0)</f>
        <v>0</v>
      </c>
      <c r="T153" s="41">
        <f>IF(AND('Courses Valid'!C165=0,Courses!E159&lt;&gt;"",Courses!F159&gt;0,Courses!AA159&gt;0),Courses!F159*Courses!AA159,0)</f>
        <v>0</v>
      </c>
      <c r="U153" s="41">
        <f>IF(AND('Courses Valid'!C165=0,Courses!G159&lt;&gt;"",Courses!H159&gt;0,Courses!AA159&gt;0),Courses!H159*Courses!AA159,0)</f>
        <v>0</v>
      </c>
      <c r="V153" s="106">
        <f>IF(AND('Courses Valid'!C165=0,Courses!I159&lt;&gt;"",Courses!J159&gt;0,Courses!AA159&gt;0),Courses!J159*Courses!AA159,0)</f>
        <v>0</v>
      </c>
      <c r="W153" s="41"/>
    </row>
    <row r="154" spans="2:23" x14ac:dyDescent="0.35">
      <c r="B154" s="70" t="str">
        <f>IF(Courses!B160&lt;&gt;"",CONCATENATE(Courses!E160,"/",Courses!L160,"/",Courses!K160),"")</f>
        <v/>
      </c>
      <c r="C154" s="1579" t="str">
        <f>IF(AND(Courses!B160&lt;&gt;"",Courses!G160&lt;&gt;""),CONCATENATE(Courses!G160,"/",Courses!L160,"/",Courses!K160),"")</f>
        <v/>
      </c>
      <c r="D154" s="71" t="str">
        <f>IF(AND(Courses!B160&lt;&gt;"",Courses!I160&lt;&gt;""),CONCATENATE(Courses!I160,"/",Courses!L160,"/",Courses!K160),"")</f>
        <v/>
      </c>
      <c r="E154" s="1580">
        <f>IF(AND('Courses Valid'!C166=0,Courses!E160&lt;&gt;"",Courses!F160&gt;0,SUM(Courses!M160,Courses!N160)&gt;0),Courses!F160*SUM(Courses!M160,Courses!N160),0)</f>
        <v>0</v>
      </c>
      <c r="F154" s="41">
        <f>IF(AND('Courses Valid'!C166=0,Courses!G160&lt;&gt;"",Courses!H160&gt;0,SUM(Courses!M160,Courses!N160)&gt;0),Courses!H160*SUM(Courses!M160,Courses!N160),0)</f>
        <v>0</v>
      </c>
      <c r="G154" s="105">
        <f>IF(AND('Courses Valid'!C166=0,Courses!I160&lt;&gt;"",Courses!J160&gt;0,SUM(Courses!M160,Courses!N160)&gt;0),Courses!J160*SUM(Courses!M160,Courses!N160),0)</f>
        <v>0</v>
      </c>
      <c r="H154" s="1580">
        <f>IF(AND('Courses Valid'!C166=0,Courses!E160&lt;&gt;"",Courses!F160&gt;0,SUM(Courses!O160,Courses!P160)&gt;0),Courses!F160*SUM(Courses!O160,Courses!P160),0)</f>
        <v>0</v>
      </c>
      <c r="I154" s="41">
        <f>IF(AND('Courses Valid'!C166=0,Courses!G160&lt;&gt;"",Courses!H160&gt;0,SUM(Courses!O160,Courses!P160)&gt;0),Courses!H160*SUM(Courses!O160,Courses!P160),0)</f>
        <v>0</v>
      </c>
      <c r="J154" s="105">
        <f>IF(AND('Courses Valid'!C166=0,Courses!I160&lt;&gt;"",Courses!J160&gt;0,SUM(Courses!O160,Courses!P160)&gt;0),Courses!J160*SUM(Courses!O160,Courses!P160),0)</f>
        <v>0</v>
      </c>
      <c r="K154" s="1580">
        <f>IF(AND('Courses Valid'!C166=0,Courses!E160&lt;&gt;"",Courses!F160&gt;0,Courses!Q160&gt;0),Courses!F160*Courses!Q160,0)</f>
        <v>0</v>
      </c>
      <c r="L154" s="41">
        <f>IF(AND('Courses Valid'!C166=0,Courses!G160&lt;&gt;"",Courses!H160&gt;0,Courses!Q160&gt;0),Courses!H160*Courses!Q160,0)</f>
        <v>0</v>
      </c>
      <c r="M154" s="105">
        <f>IF(AND('Courses Valid'!C166=0,Courses!I160&lt;&gt;"",Courses!J160&gt;0,Courses!Q160&gt;0),Courses!J160*Courses!Q160,0)</f>
        <v>0</v>
      </c>
      <c r="N154" s="41">
        <f>IF(AND('Courses Valid'!C166=0,Courses!E160&lt;&gt;"",Courses!F160&gt;0,SUM(Courses!W160,Courses!X160)&gt;0),Courses!F160*SUM(Courses!W160,Courses!X160),0)</f>
        <v>0</v>
      </c>
      <c r="O154" s="41">
        <f>IF(AND('Courses Valid'!C166=0,Courses!G160&lt;&gt;"",Courses!H160&gt;0,SUM(Courses!W160,Courses!X160)&gt;0),Courses!H160*SUM(Courses!W160,Courses!X160),0)</f>
        <v>0</v>
      </c>
      <c r="P154" s="41">
        <f>IF(AND('Courses Valid'!C166=0,Courses!I160&lt;&gt;"",Courses!J160&gt;0,SUM(Courses!W160,Courses!X160)&gt;0),Courses!J160*SUM(Courses!W160,Courses!X160),0)</f>
        <v>0</v>
      </c>
      <c r="Q154" s="1580">
        <f>IF(AND('Courses Valid'!C166=0,Courses!E160&lt;&gt;"",Courses!F160&gt;0,SUM(Courses!Y160,Courses!Z160)&gt;0),Courses!F160*SUM(Courses!Y160,Courses!Z160),0)</f>
        <v>0</v>
      </c>
      <c r="R154" s="41">
        <f>IF(AND('Courses Valid'!C166=0,Courses!G160&lt;&gt;"",Courses!H160&gt;0,SUM(Courses!Y160,Courses!Z160)&gt;0),Courses!H160*SUM(Courses!Y160,Courses!Z160),0)</f>
        <v>0</v>
      </c>
      <c r="S154" s="105">
        <f>IF(AND('Courses Valid'!C166=0,Courses!I160&lt;&gt;"",Courses!J160&gt;0,SUM(Courses!Y160,Courses!Z160)&gt;0),Courses!J160*SUM(Courses!Y160,Courses!Z160),0)</f>
        <v>0</v>
      </c>
      <c r="T154" s="41">
        <f>IF(AND('Courses Valid'!C166=0,Courses!E160&lt;&gt;"",Courses!F160&gt;0,Courses!AA160&gt;0),Courses!F160*Courses!AA160,0)</f>
        <v>0</v>
      </c>
      <c r="U154" s="41">
        <f>IF(AND('Courses Valid'!C166=0,Courses!G160&lt;&gt;"",Courses!H160&gt;0,Courses!AA160&gt;0),Courses!H160*Courses!AA160,0)</f>
        <v>0</v>
      </c>
      <c r="V154" s="106">
        <f>IF(AND('Courses Valid'!C166=0,Courses!I160&lt;&gt;"",Courses!J160&gt;0,Courses!AA160&gt;0),Courses!J160*Courses!AA160,0)</f>
        <v>0</v>
      </c>
      <c r="W154" s="41"/>
    </row>
    <row r="155" spans="2:23" x14ac:dyDescent="0.35">
      <c r="B155" s="70" t="str">
        <f>IF(Courses!B161&lt;&gt;"",CONCATENATE(Courses!E161,"/",Courses!L161,"/",Courses!K161),"")</f>
        <v/>
      </c>
      <c r="C155" s="1579" t="str">
        <f>IF(AND(Courses!B161&lt;&gt;"",Courses!G161&lt;&gt;""),CONCATENATE(Courses!G161,"/",Courses!L161,"/",Courses!K161),"")</f>
        <v/>
      </c>
      <c r="D155" s="71" t="str">
        <f>IF(AND(Courses!B161&lt;&gt;"",Courses!I161&lt;&gt;""),CONCATENATE(Courses!I161,"/",Courses!L161,"/",Courses!K161),"")</f>
        <v/>
      </c>
      <c r="E155" s="1580">
        <f>IF(AND('Courses Valid'!C167=0,Courses!E161&lt;&gt;"",Courses!F161&gt;0,SUM(Courses!M161,Courses!N161)&gt;0),Courses!F161*SUM(Courses!M161,Courses!N161),0)</f>
        <v>0</v>
      </c>
      <c r="F155" s="41">
        <f>IF(AND('Courses Valid'!C167=0,Courses!G161&lt;&gt;"",Courses!H161&gt;0,SUM(Courses!M161,Courses!N161)&gt;0),Courses!H161*SUM(Courses!M161,Courses!N161),0)</f>
        <v>0</v>
      </c>
      <c r="G155" s="105">
        <f>IF(AND('Courses Valid'!C167=0,Courses!I161&lt;&gt;"",Courses!J161&gt;0,SUM(Courses!M161,Courses!N161)&gt;0),Courses!J161*SUM(Courses!M161,Courses!N161),0)</f>
        <v>0</v>
      </c>
      <c r="H155" s="1580">
        <f>IF(AND('Courses Valid'!C167=0,Courses!E161&lt;&gt;"",Courses!F161&gt;0,SUM(Courses!O161,Courses!P161)&gt;0),Courses!F161*SUM(Courses!O161,Courses!P161),0)</f>
        <v>0</v>
      </c>
      <c r="I155" s="41">
        <f>IF(AND('Courses Valid'!C167=0,Courses!G161&lt;&gt;"",Courses!H161&gt;0,SUM(Courses!O161,Courses!P161)&gt;0),Courses!H161*SUM(Courses!O161,Courses!P161),0)</f>
        <v>0</v>
      </c>
      <c r="J155" s="105">
        <f>IF(AND('Courses Valid'!C167=0,Courses!I161&lt;&gt;"",Courses!J161&gt;0,SUM(Courses!O161,Courses!P161)&gt;0),Courses!J161*SUM(Courses!O161,Courses!P161),0)</f>
        <v>0</v>
      </c>
      <c r="K155" s="1580">
        <f>IF(AND('Courses Valid'!C167=0,Courses!E161&lt;&gt;"",Courses!F161&gt;0,Courses!Q161&gt;0),Courses!F161*Courses!Q161,0)</f>
        <v>0</v>
      </c>
      <c r="L155" s="41">
        <f>IF(AND('Courses Valid'!C167=0,Courses!G161&lt;&gt;"",Courses!H161&gt;0,Courses!Q161&gt;0),Courses!H161*Courses!Q161,0)</f>
        <v>0</v>
      </c>
      <c r="M155" s="105">
        <f>IF(AND('Courses Valid'!C167=0,Courses!I161&lt;&gt;"",Courses!J161&gt;0,Courses!Q161&gt;0),Courses!J161*Courses!Q161,0)</f>
        <v>0</v>
      </c>
      <c r="N155" s="41">
        <f>IF(AND('Courses Valid'!C167=0,Courses!E161&lt;&gt;"",Courses!F161&gt;0,SUM(Courses!W161,Courses!X161)&gt;0),Courses!F161*SUM(Courses!W161,Courses!X161),0)</f>
        <v>0</v>
      </c>
      <c r="O155" s="41">
        <f>IF(AND('Courses Valid'!C167=0,Courses!G161&lt;&gt;"",Courses!H161&gt;0,SUM(Courses!W161,Courses!X161)&gt;0),Courses!H161*SUM(Courses!W161,Courses!X161),0)</f>
        <v>0</v>
      </c>
      <c r="P155" s="41">
        <f>IF(AND('Courses Valid'!C167=0,Courses!I161&lt;&gt;"",Courses!J161&gt;0,SUM(Courses!W161,Courses!X161)&gt;0),Courses!J161*SUM(Courses!W161,Courses!X161),0)</f>
        <v>0</v>
      </c>
      <c r="Q155" s="1580">
        <f>IF(AND('Courses Valid'!C167=0,Courses!E161&lt;&gt;"",Courses!F161&gt;0,SUM(Courses!Y161,Courses!Z161)&gt;0),Courses!F161*SUM(Courses!Y161,Courses!Z161),0)</f>
        <v>0</v>
      </c>
      <c r="R155" s="41">
        <f>IF(AND('Courses Valid'!C167=0,Courses!G161&lt;&gt;"",Courses!H161&gt;0,SUM(Courses!Y161,Courses!Z161)&gt;0),Courses!H161*SUM(Courses!Y161,Courses!Z161),0)</f>
        <v>0</v>
      </c>
      <c r="S155" s="105">
        <f>IF(AND('Courses Valid'!C167=0,Courses!I161&lt;&gt;"",Courses!J161&gt;0,SUM(Courses!Y161,Courses!Z161)&gt;0),Courses!J161*SUM(Courses!Y161,Courses!Z161),0)</f>
        <v>0</v>
      </c>
      <c r="T155" s="41">
        <f>IF(AND('Courses Valid'!C167=0,Courses!E161&lt;&gt;"",Courses!F161&gt;0,Courses!AA161&gt;0),Courses!F161*Courses!AA161,0)</f>
        <v>0</v>
      </c>
      <c r="U155" s="41">
        <f>IF(AND('Courses Valid'!C167=0,Courses!G161&lt;&gt;"",Courses!H161&gt;0,Courses!AA161&gt;0),Courses!H161*Courses!AA161,0)</f>
        <v>0</v>
      </c>
      <c r="V155" s="106">
        <f>IF(AND('Courses Valid'!C167=0,Courses!I161&lt;&gt;"",Courses!J161&gt;0,Courses!AA161&gt;0),Courses!J161*Courses!AA161,0)</f>
        <v>0</v>
      </c>
      <c r="W155" s="41"/>
    </row>
    <row r="156" spans="2:23" x14ac:dyDescent="0.35">
      <c r="B156" s="70" t="str">
        <f>IF(Courses!B162&lt;&gt;"",CONCATENATE(Courses!E162,"/",Courses!L162,"/",Courses!K162),"")</f>
        <v/>
      </c>
      <c r="C156" s="1579" t="str">
        <f>IF(AND(Courses!B162&lt;&gt;"",Courses!G162&lt;&gt;""),CONCATENATE(Courses!G162,"/",Courses!L162,"/",Courses!K162),"")</f>
        <v/>
      </c>
      <c r="D156" s="71" t="str">
        <f>IF(AND(Courses!B162&lt;&gt;"",Courses!I162&lt;&gt;""),CONCATENATE(Courses!I162,"/",Courses!L162,"/",Courses!K162),"")</f>
        <v/>
      </c>
      <c r="E156" s="1580">
        <f>IF(AND('Courses Valid'!C168=0,Courses!E162&lt;&gt;"",Courses!F162&gt;0,SUM(Courses!M162,Courses!N162)&gt;0),Courses!F162*SUM(Courses!M162,Courses!N162),0)</f>
        <v>0</v>
      </c>
      <c r="F156" s="41">
        <f>IF(AND('Courses Valid'!C168=0,Courses!G162&lt;&gt;"",Courses!H162&gt;0,SUM(Courses!M162,Courses!N162)&gt;0),Courses!H162*SUM(Courses!M162,Courses!N162),0)</f>
        <v>0</v>
      </c>
      <c r="G156" s="105">
        <f>IF(AND('Courses Valid'!C168=0,Courses!I162&lt;&gt;"",Courses!J162&gt;0,SUM(Courses!M162,Courses!N162)&gt;0),Courses!J162*SUM(Courses!M162,Courses!N162),0)</f>
        <v>0</v>
      </c>
      <c r="H156" s="1580">
        <f>IF(AND('Courses Valid'!C168=0,Courses!E162&lt;&gt;"",Courses!F162&gt;0,SUM(Courses!O162,Courses!P162)&gt;0),Courses!F162*SUM(Courses!O162,Courses!P162),0)</f>
        <v>0</v>
      </c>
      <c r="I156" s="41">
        <f>IF(AND('Courses Valid'!C168=0,Courses!G162&lt;&gt;"",Courses!H162&gt;0,SUM(Courses!O162,Courses!P162)&gt;0),Courses!H162*SUM(Courses!O162,Courses!P162),0)</f>
        <v>0</v>
      </c>
      <c r="J156" s="105">
        <f>IF(AND('Courses Valid'!C168=0,Courses!I162&lt;&gt;"",Courses!J162&gt;0,SUM(Courses!O162,Courses!P162)&gt;0),Courses!J162*SUM(Courses!O162,Courses!P162),0)</f>
        <v>0</v>
      </c>
      <c r="K156" s="1580">
        <f>IF(AND('Courses Valid'!C168=0,Courses!E162&lt;&gt;"",Courses!F162&gt;0,Courses!Q162&gt;0),Courses!F162*Courses!Q162,0)</f>
        <v>0</v>
      </c>
      <c r="L156" s="41">
        <f>IF(AND('Courses Valid'!C168=0,Courses!G162&lt;&gt;"",Courses!H162&gt;0,Courses!Q162&gt;0),Courses!H162*Courses!Q162,0)</f>
        <v>0</v>
      </c>
      <c r="M156" s="105">
        <f>IF(AND('Courses Valid'!C168=0,Courses!I162&lt;&gt;"",Courses!J162&gt;0,Courses!Q162&gt;0),Courses!J162*Courses!Q162,0)</f>
        <v>0</v>
      </c>
      <c r="N156" s="41">
        <f>IF(AND('Courses Valid'!C168=0,Courses!E162&lt;&gt;"",Courses!F162&gt;0,SUM(Courses!W162,Courses!X162)&gt;0),Courses!F162*SUM(Courses!W162,Courses!X162),0)</f>
        <v>0</v>
      </c>
      <c r="O156" s="41">
        <f>IF(AND('Courses Valid'!C168=0,Courses!G162&lt;&gt;"",Courses!H162&gt;0,SUM(Courses!W162,Courses!X162)&gt;0),Courses!H162*SUM(Courses!W162,Courses!X162),0)</f>
        <v>0</v>
      </c>
      <c r="P156" s="41">
        <f>IF(AND('Courses Valid'!C168=0,Courses!I162&lt;&gt;"",Courses!J162&gt;0,SUM(Courses!W162,Courses!X162)&gt;0),Courses!J162*SUM(Courses!W162,Courses!X162),0)</f>
        <v>0</v>
      </c>
      <c r="Q156" s="1580">
        <f>IF(AND('Courses Valid'!C168=0,Courses!E162&lt;&gt;"",Courses!F162&gt;0,SUM(Courses!Y162,Courses!Z162)&gt;0),Courses!F162*SUM(Courses!Y162,Courses!Z162),0)</f>
        <v>0</v>
      </c>
      <c r="R156" s="41">
        <f>IF(AND('Courses Valid'!C168=0,Courses!G162&lt;&gt;"",Courses!H162&gt;0,SUM(Courses!Y162,Courses!Z162)&gt;0),Courses!H162*SUM(Courses!Y162,Courses!Z162),0)</f>
        <v>0</v>
      </c>
      <c r="S156" s="105">
        <f>IF(AND('Courses Valid'!C168=0,Courses!I162&lt;&gt;"",Courses!J162&gt;0,SUM(Courses!Y162,Courses!Z162)&gt;0),Courses!J162*SUM(Courses!Y162,Courses!Z162),0)</f>
        <v>0</v>
      </c>
      <c r="T156" s="41">
        <f>IF(AND('Courses Valid'!C168=0,Courses!E162&lt;&gt;"",Courses!F162&gt;0,Courses!AA162&gt;0),Courses!F162*Courses!AA162,0)</f>
        <v>0</v>
      </c>
      <c r="U156" s="41">
        <f>IF(AND('Courses Valid'!C168=0,Courses!G162&lt;&gt;"",Courses!H162&gt;0,Courses!AA162&gt;0),Courses!H162*Courses!AA162,0)</f>
        <v>0</v>
      </c>
      <c r="V156" s="106">
        <f>IF(AND('Courses Valid'!C168=0,Courses!I162&lt;&gt;"",Courses!J162&gt;0,Courses!AA162&gt;0),Courses!J162*Courses!AA162,0)</f>
        <v>0</v>
      </c>
      <c r="W156" s="41"/>
    </row>
    <row r="157" spans="2:23" x14ac:dyDescent="0.35">
      <c r="B157" s="70" t="str">
        <f>IF(Courses!B163&lt;&gt;"",CONCATENATE(Courses!E163,"/",Courses!L163,"/",Courses!K163),"")</f>
        <v/>
      </c>
      <c r="C157" s="1579" t="str">
        <f>IF(AND(Courses!B163&lt;&gt;"",Courses!G163&lt;&gt;""),CONCATENATE(Courses!G163,"/",Courses!L163,"/",Courses!K163),"")</f>
        <v/>
      </c>
      <c r="D157" s="71" t="str">
        <f>IF(AND(Courses!B163&lt;&gt;"",Courses!I163&lt;&gt;""),CONCATENATE(Courses!I163,"/",Courses!L163,"/",Courses!K163),"")</f>
        <v/>
      </c>
      <c r="E157" s="1580">
        <f>IF(AND('Courses Valid'!C169=0,Courses!E163&lt;&gt;"",Courses!F163&gt;0,SUM(Courses!M163,Courses!N163)&gt;0),Courses!F163*SUM(Courses!M163,Courses!N163),0)</f>
        <v>0</v>
      </c>
      <c r="F157" s="41">
        <f>IF(AND('Courses Valid'!C169=0,Courses!G163&lt;&gt;"",Courses!H163&gt;0,SUM(Courses!M163,Courses!N163)&gt;0),Courses!H163*SUM(Courses!M163,Courses!N163),0)</f>
        <v>0</v>
      </c>
      <c r="G157" s="105">
        <f>IF(AND('Courses Valid'!C169=0,Courses!I163&lt;&gt;"",Courses!J163&gt;0,SUM(Courses!M163,Courses!N163)&gt;0),Courses!J163*SUM(Courses!M163,Courses!N163),0)</f>
        <v>0</v>
      </c>
      <c r="H157" s="1580">
        <f>IF(AND('Courses Valid'!C169=0,Courses!E163&lt;&gt;"",Courses!F163&gt;0,SUM(Courses!O163,Courses!P163)&gt;0),Courses!F163*SUM(Courses!O163,Courses!P163),0)</f>
        <v>0</v>
      </c>
      <c r="I157" s="41">
        <f>IF(AND('Courses Valid'!C169=0,Courses!G163&lt;&gt;"",Courses!H163&gt;0,SUM(Courses!O163,Courses!P163)&gt;0),Courses!H163*SUM(Courses!O163,Courses!P163),0)</f>
        <v>0</v>
      </c>
      <c r="J157" s="105">
        <f>IF(AND('Courses Valid'!C169=0,Courses!I163&lt;&gt;"",Courses!J163&gt;0,SUM(Courses!O163,Courses!P163)&gt;0),Courses!J163*SUM(Courses!O163,Courses!P163),0)</f>
        <v>0</v>
      </c>
      <c r="K157" s="1580">
        <f>IF(AND('Courses Valid'!C169=0,Courses!E163&lt;&gt;"",Courses!F163&gt;0,Courses!Q163&gt;0),Courses!F163*Courses!Q163,0)</f>
        <v>0</v>
      </c>
      <c r="L157" s="41">
        <f>IF(AND('Courses Valid'!C169=0,Courses!G163&lt;&gt;"",Courses!H163&gt;0,Courses!Q163&gt;0),Courses!H163*Courses!Q163,0)</f>
        <v>0</v>
      </c>
      <c r="M157" s="105">
        <f>IF(AND('Courses Valid'!C169=0,Courses!I163&lt;&gt;"",Courses!J163&gt;0,Courses!Q163&gt;0),Courses!J163*Courses!Q163,0)</f>
        <v>0</v>
      </c>
      <c r="N157" s="41">
        <f>IF(AND('Courses Valid'!C169=0,Courses!E163&lt;&gt;"",Courses!F163&gt;0,SUM(Courses!W163,Courses!X163)&gt;0),Courses!F163*SUM(Courses!W163,Courses!X163),0)</f>
        <v>0</v>
      </c>
      <c r="O157" s="41">
        <f>IF(AND('Courses Valid'!C169=0,Courses!G163&lt;&gt;"",Courses!H163&gt;0,SUM(Courses!W163,Courses!X163)&gt;0),Courses!H163*SUM(Courses!W163,Courses!X163),0)</f>
        <v>0</v>
      </c>
      <c r="P157" s="41">
        <f>IF(AND('Courses Valid'!C169=0,Courses!I163&lt;&gt;"",Courses!J163&gt;0,SUM(Courses!W163,Courses!X163)&gt;0),Courses!J163*SUM(Courses!W163,Courses!X163),0)</f>
        <v>0</v>
      </c>
      <c r="Q157" s="1580">
        <f>IF(AND('Courses Valid'!C169=0,Courses!E163&lt;&gt;"",Courses!F163&gt;0,SUM(Courses!Y163,Courses!Z163)&gt;0),Courses!F163*SUM(Courses!Y163,Courses!Z163),0)</f>
        <v>0</v>
      </c>
      <c r="R157" s="41">
        <f>IF(AND('Courses Valid'!C169=0,Courses!G163&lt;&gt;"",Courses!H163&gt;0,SUM(Courses!Y163,Courses!Z163)&gt;0),Courses!H163*SUM(Courses!Y163,Courses!Z163),0)</f>
        <v>0</v>
      </c>
      <c r="S157" s="105">
        <f>IF(AND('Courses Valid'!C169=0,Courses!I163&lt;&gt;"",Courses!J163&gt;0,SUM(Courses!Y163,Courses!Z163)&gt;0),Courses!J163*SUM(Courses!Y163,Courses!Z163),0)</f>
        <v>0</v>
      </c>
      <c r="T157" s="41">
        <f>IF(AND('Courses Valid'!C169=0,Courses!E163&lt;&gt;"",Courses!F163&gt;0,Courses!AA163&gt;0),Courses!F163*Courses!AA163,0)</f>
        <v>0</v>
      </c>
      <c r="U157" s="41">
        <f>IF(AND('Courses Valid'!C169=0,Courses!G163&lt;&gt;"",Courses!H163&gt;0,Courses!AA163&gt;0),Courses!H163*Courses!AA163,0)</f>
        <v>0</v>
      </c>
      <c r="V157" s="106">
        <f>IF(AND('Courses Valid'!C169=0,Courses!I163&lt;&gt;"",Courses!J163&gt;0,Courses!AA163&gt;0),Courses!J163*Courses!AA163,0)</f>
        <v>0</v>
      </c>
      <c r="W157" s="41"/>
    </row>
    <row r="158" spans="2:23" x14ac:dyDescent="0.35">
      <c r="B158" s="70" t="str">
        <f>IF(Courses!B164&lt;&gt;"",CONCATENATE(Courses!E164,"/",Courses!L164,"/",Courses!K164),"")</f>
        <v/>
      </c>
      <c r="C158" s="1579" t="str">
        <f>IF(AND(Courses!B164&lt;&gt;"",Courses!G164&lt;&gt;""),CONCATENATE(Courses!G164,"/",Courses!L164,"/",Courses!K164),"")</f>
        <v/>
      </c>
      <c r="D158" s="71" t="str">
        <f>IF(AND(Courses!B164&lt;&gt;"",Courses!I164&lt;&gt;""),CONCATENATE(Courses!I164,"/",Courses!L164,"/",Courses!K164),"")</f>
        <v/>
      </c>
      <c r="E158" s="1580">
        <f>IF(AND('Courses Valid'!C170=0,Courses!E164&lt;&gt;"",Courses!F164&gt;0,SUM(Courses!M164,Courses!N164)&gt;0),Courses!F164*SUM(Courses!M164,Courses!N164),0)</f>
        <v>0</v>
      </c>
      <c r="F158" s="41">
        <f>IF(AND('Courses Valid'!C170=0,Courses!G164&lt;&gt;"",Courses!H164&gt;0,SUM(Courses!M164,Courses!N164)&gt;0),Courses!H164*SUM(Courses!M164,Courses!N164),0)</f>
        <v>0</v>
      </c>
      <c r="G158" s="105">
        <f>IF(AND('Courses Valid'!C170=0,Courses!I164&lt;&gt;"",Courses!J164&gt;0,SUM(Courses!M164,Courses!N164)&gt;0),Courses!J164*SUM(Courses!M164,Courses!N164),0)</f>
        <v>0</v>
      </c>
      <c r="H158" s="1580">
        <f>IF(AND('Courses Valid'!C170=0,Courses!E164&lt;&gt;"",Courses!F164&gt;0,SUM(Courses!O164,Courses!P164)&gt;0),Courses!F164*SUM(Courses!O164,Courses!P164),0)</f>
        <v>0</v>
      </c>
      <c r="I158" s="41">
        <f>IF(AND('Courses Valid'!C170=0,Courses!G164&lt;&gt;"",Courses!H164&gt;0,SUM(Courses!O164,Courses!P164)&gt;0),Courses!H164*SUM(Courses!O164,Courses!P164),0)</f>
        <v>0</v>
      </c>
      <c r="J158" s="105">
        <f>IF(AND('Courses Valid'!C170=0,Courses!I164&lt;&gt;"",Courses!J164&gt;0,SUM(Courses!O164,Courses!P164)&gt;0),Courses!J164*SUM(Courses!O164,Courses!P164),0)</f>
        <v>0</v>
      </c>
      <c r="K158" s="1580">
        <f>IF(AND('Courses Valid'!C170=0,Courses!E164&lt;&gt;"",Courses!F164&gt;0,Courses!Q164&gt;0),Courses!F164*Courses!Q164,0)</f>
        <v>0</v>
      </c>
      <c r="L158" s="41">
        <f>IF(AND('Courses Valid'!C170=0,Courses!G164&lt;&gt;"",Courses!H164&gt;0,Courses!Q164&gt;0),Courses!H164*Courses!Q164,0)</f>
        <v>0</v>
      </c>
      <c r="M158" s="105">
        <f>IF(AND('Courses Valid'!C170=0,Courses!I164&lt;&gt;"",Courses!J164&gt;0,Courses!Q164&gt;0),Courses!J164*Courses!Q164,0)</f>
        <v>0</v>
      </c>
      <c r="N158" s="41">
        <f>IF(AND('Courses Valid'!C170=0,Courses!E164&lt;&gt;"",Courses!F164&gt;0,SUM(Courses!W164,Courses!X164)&gt;0),Courses!F164*SUM(Courses!W164,Courses!X164),0)</f>
        <v>0</v>
      </c>
      <c r="O158" s="41">
        <f>IF(AND('Courses Valid'!C170=0,Courses!G164&lt;&gt;"",Courses!H164&gt;0,SUM(Courses!W164,Courses!X164)&gt;0),Courses!H164*SUM(Courses!W164,Courses!X164),0)</f>
        <v>0</v>
      </c>
      <c r="P158" s="41">
        <f>IF(AND('Courses Valid'!C170=0,Courses!I164&lt;&gt;"",Courses!J164&gt;0,SUM(Courses!W164,Courses!X164)&gt;0),Courses!J164*SUM(Courses!W164,Courses!X164),0)</f>
        <v>0</v>
      </c>
      <c r="Q158" s="1580">
        <f>IF(AND('Courses Valid'!C170=0,Courses!E164&lt;&gt;"",Courses!F164&gt;0,SUM(Courses!Y164,Courses!Z164)&gt;0),Courses!F164*SUM(Courses!Y164,Courses!Z164),0)</f>
        <v>0</v>
      </c>
      <c r="R158" s="41">
        <f>IF(AND('Courses Valid'!C170=0,Courses!G164&lt;&gt;"",Courses!H164&gt;0,SUM(Courses!Y164,Courses!Z164)&gt;0),Courses!H164*SUM(Courses!Y164,Courses!Z164),0)</f>
        <v>0</v>
      </c>
      <c r="S158" s="105">
        <f>IF(AND('Courses Valid'!C170=0,Courses!I164&lt;&gt;"",Courses!J164&gt;0,SUM(Courses!Y164,Courses!Z164)&gt;0),Courses!J164*SUM(Courses!Y164,Courses!Z164),0)</f>
        <v>0</v>
      </c>
      <c r="T158" s="41">
        <f>IF(AND('Courses Valid'!C170=0,Courses!E164&lt;&gt;"",Courses!F164&gt;0,Courses!AA164&gt;0),Courses!F164*Courses!AA164,0)</f>
        <v>0</v>
      </c>
      <c r="U158" s="41">
        <f>IF(AND('Courses Valid'!C170=0,Courses!G164&lt;&gt;"",Courses!H164&gt;0,Courses!AA164&gt;0),Courses!H164*Courses!AA164,0)</f>
        <v>0</v>
      </c>
      <c r="V158" s="106">
        <f>IF(AND('Courses Valid'!C170=0,Courses!I164&lt;&gt;"",Courses!J164&gt;0,Courses!AA164&gt;0),Courses!J164*Courses!AA164,0)</f>
        <v>0</v>
      </c>
      <c r="W158" s="41"/>
    </row>
    <row r="159" spans="2:23" x14ac:dyDescent="0.35">
      <c r="B159" s="70" t="str">
        <f>IF(Courses!B165&lt;&gt;"",CONCATENATE(Courses!E165,"/",Courses!L165,"/",Courses!K165),"")</f>
        <v/>
      </c>
      <c r="C159" s="1579" t="str">
        <f>IF(AND(Courses!B165&lt;&gt;"",Courses!G165&lt;&gt;""),CONCATENATE(Courses!G165,"/",Courses!L165,"/",Courses!K165),"")</f>
        <v/>
      </c>
      <c r="D159" s="71" t="str">
        <f>IF(AND(Courses!B165&lt;&gt;"",Courses!I165&lt;&gt;""),CONCATENATE(Courses!I165,"/",Courses!L165,"/",Courses!K165),"")</f>
        <v/>
      </c>
      <c r="E159" s="1580">
        <f>IF(AND('Courses Valid'!C171=0,Courses!E165&lt;&gt;"",Courses!F165&gt;0,SUM(Courses!M165,Courses!N165)&gt;0),Courses!F165*SUM(Courses!M165,Courses!N165),0)</f>
        <v>0</v>
      </c>
      <c r="F159" s="41">
        <f>IF(AND('Courses Valid'!C171=0,Courses!G165&lt;&gt;"",Courses!H165&gt;0,SUM(Courses!M165,Courses!N165)&gt;0),Courses!H165*SUM(Courses!M165,Courses!N165),0)</f>
        <v>0</v>
      </c>
      <c r="G159" s="105">
        <f>IF(AND('Courses Valid'!C171=0,Courses!I165&lt;&gt;"",Courses!J165&gt;0,SUM(Courses!M165,Courses!N165)&gt;0),Courses!J165*SUM(Courses!M165,Courses!N165),0)</f>
        <v>0</v>
      </c>
      <c r="H159" s="1580">
        <f>IF(AND('Courses Valid'!C171=0,Courses!E165&lt;&gt;"",Courses!F165&gt;0,SUM(Courses!O165,Courses!P165)&gt;0),Courses!F165*SUM(Courses!O165,Courses!P165),0)</f>
        <v>0</v>
      </c>
      <c r="I159" s="41">
        <f>IF(AND('Courses Valid'!C171=0,Courses!G165&lt;&gt;"",Courses!H165&gt;0,SUM(Courses!O165,Courses!P165)&gt;0),Courses!H165*SUM(Courses!O165,Courses!P165),0)</f>
        <v>0</v>
      </c>
      <c r="J159" s="105">
        <f>IF(AND('Courses Valid'!C171=0,Courses!I165&lt;&gt;"",Courses!J165&gt;0,SUM(Courses!O165,Courses!P165)&gt;0),Courses!J165*SUM(Courses!O165,Courses!P165),0)</f>
        <v>0</v>
      </c>
      <c r="K159" s="1580">
        <f>IF(AND('Courses Valid'!C171=0,Courses!E165&lt;&gt;"",Courses!F165&gt;0,Courses!Q165&gt;0),Courses!F165*Courses!Q165,0)</f>
        <v>0</v>
      </c>
      <c r="L159" s="41">
        <f>IF(AND('Courses Valid'!C171=0,Courses!G165&lt;&gt;"",Courses!H165&gt;0,Courses!Q165&gt;0),Courses!H165*Courses!Q165,0)</f>
        <v>0</v>
      </c>
      <c r="M159" s="105">
        <f>IF(AND('Courses Valid'!C171=0,Courses!I165&lt;&gt;"",Courses!J165&gt;0,Courses!Q165&gt;0),Courses!J165*Courses!Q165,0)</f>
        <v>0</v>
      </c>
      <c r="N159" s="41">
        <f>IF(AND('Courses Valid'!C171=0,Courses!E165&lt;&gt;"",Courses!F165&gt;0,SUM(Courses!W165,Courses!X165)&gt;0),Courses!F165*SUM(Courses!W165,Courses!X165),0)</f>
        <v>0</v>
      </c>
      <c r="O159" s="41">
        <f>IF(AND('Courses Valid'!C171=0,Courses!G165&lt;&gt;"",Courses!H165&gt;0,SUM(Courses!W165,Courses!X165)&gt;0),Courses!H165*SUM(Courses!W165,Courses!X165),0)</f>
        <v>0</v>
      </c>
      <c r="P159" s="41">
        <f>IF(AND('Courses Valid'!C171=0,Courses!I165&lt;&gt;"",Courses!J165&gt;0,SUM(Courses!W165,Courses!X165)&gt;0),Courses!J165*SUM(Courses!W165,Courses!X165),0)</f>
        <v>0</v>
      </c>
      <c r="Q159" s="1580">
        <f>IF(AND('Courses Valid'!C171=0,Courses!E165&lt;&gt;"",Courses!F165&gt;0,SUM(Courses!Y165,Courses!Z165)&gt;0),Courses!F165*SUM(Courses!Y165,Courses!Z165),0)</f>
        <v>0</v>
      </c>
      <c r="R159" s="41">
        <f>IF(AND('Courses Valid'!C171=0,Courses!G165&lt;&gt;"",Courses!H165&gt;0,SUM(Courses!Y165,Courses!Z165)&gt;0),Courses!H165*SUM(Courses!Y165,Courses!Z165),0)</f>
        <v>0</v>
      </c>
      <c r="S159" s="105">
        <f>IF(AND('Courses Valid'!C171=0,Courses!I165&lt;&gt;"",Courses!J165&gt;0,SUM(Courses!Y165,Courses!Z165)&gt;0),Courses!J165*SUM(Courses!Y165,Courses!Z165),0)</f>
        <v>0</v>
      </c>
      <c r="T159" s="41">
        <f>IF(AND('Courses Valid'!C171=0,Courses!E165&lt;&gt;"",Courses!F165&gt;0,Courses!AA165&gt;0),Courses!F165*Courses!AA165,0)</f>
        <v>0</v>
      </c>
      <c r="U159" s="41">
        <f>IF(AND('Courses Valid'!C171=0,Courses!G165&lt;&gt;"",Courses!H165&gt;0,Courses!AA165&gt;0),Courses!H165*Courses!AA165,0)</f>
        <v>0</v>
      </c>
      <c r="V159" s="106">
        <f>IF(AND('Courses Valid'!C171=0,Courses!I165&lt;&gt;"",Courses!J165&gt;0,Courses!AA165&gt;0),Courses!J165*Courses!AA165,0)</f>
        <v>0</v>
      </c>
      <c r="W159" s="41"/>
    </row>
    <row r="160" spans="2:23" x14ac:dyDescent="0.35">
      <c r="B160" s="70" t="str">
        <f>IF(Courses!B166&lt;&gt;"",CONCATENATE(Courses!E166,"/",Courses!L166,"/",Courses!K166),"")</f>
        <v/>
      </c>
      <c r="C160" s="1579" t="str">
        <f>IF(AND(Courses!B166&lt;&gt;"",Courses!G166&lt;&gt;""),CONCATENATE(Courses!G166,"/",Courses!L166,"/",Courses!K166),"")</f>
        <v/>
      </c>
      <c r="D160" s="71" t="str">
        <f>IF(AND(Courses!B166&lt;&gt;"",Courses!I166&lt;&gt;""),CONCATENATE(Courses!I166,"/",Courses!L166,"/",Courses!K166),"")</f>
        <v/>
      </c>
      <c r="E160" s="1580">
        <f>IF(AND('Courses Valid'!C172=0,Courses!E166&lt;&gt;"",Courses!F166&gt;0,SUM(Courses!M166,Courses!N166)&gt;0),Courses!F166*SUM(Courses!M166,Courses!N166),0)</f>
        <v>0</v>
      </c>
      <c r="F160" s="41">
        <f>IF(AND('Courses Valid'!C172=0,Courses!G166&lt;&gt;"",Courses!H166&gt;0,SUM(Courses!M166,Courses!N166)&gt;0),Courses!H166*SUM(Courses!M166,Courses!N166),0)</f>
        <v>0</v>
      </c>
      <c r="G160" s="105">
        <f>IF(AND('Courses Valid'!C172=0,Courses!I166&lt;&gt;"",Courses!J166&gt;0,SUM(Courses!M166,Courses!N166)&gt;0),Courses!J166*SUM(Courses!M166,Courses!N166),0)</f>
        <v>0</v>
      </c>
      <c r="H160" s="1580">
        <f>IF(AND('Courses Valid'!C172=0,Courses!E166&lt;&gt;"",Courses!F166&gt;0,SUM(Courses!O166,Courses!P166)&gt;0),Courses!F166*SUM(Courses!O166,Courses!P166),0)</f>
        <v>0</v>
      </c>
      <c r="I160" s="41">
        <f>IF(AND('Courses Valid'!C172=0,Courses!G166&lt;&gt;"",Courses!H166&gt;0,SUM(Courses!O166,Courses!P166)&gt;0),Courses!H166*SUM(Courses!O166,Courses!P166),0)</f>
        <v>0</v>
      </c>
      <c r="J160" s="105">
        <f>IF(AND('Courses Valid'!C172=0,Courses!I166&lt;&gt;"",Courses!J166&gt;0,SUM(Courses!O166,Courses!P166)&gt;0),Courses!J166*SUM(Courses!O166,Courses!P166),0)</f>
        <v>0</v>
      </c>
      <c r="K160" s="1580">
        <f>IF(AND('Courses Valid'!C172=0,Courses!E166&lt;&gt;"",Courses!F166&gt;0,Courses!Q166&gt;0),Courses!F166*Courses!Q166,0)</f>
        <v>0</v>
      </c>
      <c r="L160" s="41">
        <f>IF(AND('Courses Valid'!C172=0,Courses!G166&lt;&gt;"",Courses!H166&gt;0,Courses!Q166&gt;0),Courses!H166*Courses!Q166,0)</f>
        <v>0</v>
      </c>
      <c r="M160" s="105">
        <f>IF(AND('Courses Valid'!C172=0,Courses!I166&lt;&gt;"",Courses!J166&gt;0,Courses!Q166&gt;0),Courses!J166*Courses!Q166,0)</f>
        <v>0</v>
      </c>
      <c r="N160" s="41">
        <f>IF(AND('Courses Valid'!C172=0,Courses!E166&lt;&gt;"",Courses!F166&gt;0,SUM(Courses!W166,Courses!X166)&gt;0),Courses!F166*SUM(Courses!W166,Courses!X166),0)</f>
        <v>0</v>
      </c>
      <c r="O160" s="41">
        <f>IF(AND('Courses Valid'!C172=0,Courses!G166&lt;&gt;"",Courses!H166&gt;0,SUM(Courses!W166,Courses!X166)&gt;0),Courses!H166*SUM(Courses!W166,Courses!X166),0)</f>
        <v>0</v>
      </c>
      <c r="P160" s="41">
        <f>IF(AND('Courses Valid'!C172=0,Courses!I166&lt;&gt;"",Courses!J166&gt;0,SUM(Courses!W166,Courses!X166)&gt;0),Courses!J166*SUM(Courses!W166,Courses!X166),0)</f>
        <v>0</v>
      </c>
      <c r="Q160" s="1580">
        <f>IF(AND('Courses Valid'!C172=0,Courses!E166&lt;&gt;"",Courses!F166&gt;0,SUM(Courses!Y166,Courses!Z166)&gt;0),Courses!F166*SUM(Courses!Y166,Courses!Z166),0)</f>
        <v>0</v>
      </c>
      <c r="R160" s="41">
        <f>IF(AND('Courses Valid'!C172=0,Courses!G166&lt;&gt;"",Courses!H166&gt;0,SUM(Courses!Y166,Courses!Z166)&gt;0),Courses!H166*SUM(Courses!Y166,Courses!Z166),0)</f>
        <v>0</v>
      </c>
      <c r="S160" s="105">
        <f>IF(AND('Courses Valid'!C172=0,Courses!I166&lt;&gt;"",Courses!J166&gt;0,SUM(Courses!Y166,Courses!Z166)&gt;0),Courses!J166*SUM(Courses!Y166,Courses!Z166),0)</f>
        <v>0</v>
      </c>
      <c r="T160" s="41">
        <f>IF(AND('Courses Valid'!C172=0,Courses!E166&lt;&gt;"",Courses!F166&gt;0,Courses!AA166&gt;0),Courses!F166*Courses!AA166,0)</f>
        <v>0</v>
      </c>
      <c r="U160" s="41">
        <f>IF(AND('Courses Valid'!C172=0,Courses!G166&lt;&gt;"",Courses!H166&gt;0,Courses!AA166&gt;0),Courses!H166*Courses!AA166,0)</f>
        <v>0</v>
      </c>
      <c r="V160" s="106">
        <f>IF(AND('Courses Valid'!C172=0,Courses!I166&lt;&gt;"",Courses!J166&gt;0,Courses!AA166&gt;0),Courses!J166*Courses!AA166,0)</f>
        <v>0</v>
      </c>
      <c r="W160" s="41"/>
    </row>
    <row r="161" spans="2:23" x14ac:dyDescent="0.35">
      <c r="B161" s="70" t="str">
        <f>IF(Courses!B167&lt;&gt;"",CONCATENATE(Courses!E167,"/",Courses!L167,"/",Courses!K167),"")</f>
        <v/>
      </c>
      <c r="C161" s="1579" t="str">
        <f>IF(AND(Courses!B167&lt;&gt;"",Courses!G167&lt;&gt;""),CONCATENATE(Courses!G167,"/",Courses!L167,"/",Courses!K167),"")</f>
        <v/>
      </c>
      <c r="D161" s="71" t="str">
        <f>IF(AND(Courses!B167&lt;&gt;"",Courses!I167&lt;&gt;""),CONCATENATE(Courses!I167,"/",Courses!L167,"/",Courses!K167),"")</f>
        <v/>
      </c>
      <c r="E161" s="1580">
        <f>IF(AND('Courses Valid'!C173=0,Courses!E167&lt;&gt;"",Courses!F167&gt;0,SUM(Courses!M167,Courses!N167)&gt;0),Courses!F167*SUM(Courses!M167,Courses!N167),0)</f>
        <v>0</v>
      </c>
      <c r="F161" s="41">
        <f>IF(AND('Courses Valid'!C173=0,Courses!G167&lt;&gt;"",Courses!H167&gt;0,SUM(Courses!M167,Courses!N167)&gt;0),Courses!H167*SUM(Courses!M167,Courses!N167),0)</f>
        <v>0</v>
      </c>
      <c r="G161" s="105">
        <f>IF(AND('Courses Valid'!C173=0,Courses!I167&lt;&gt;"",Courses!J167&gt;0,SUM(Courses!M167,Courses!N167)&gt;0),Courses!J167*SUM(Courses!M167,Courses!N167),0)</f>
        <v>0</v>
      </c>
      <c r="H161" s="1580">
        <f>IF(AND('Courses Valid'!C173=0,Courses!E167&lt;&gt;"",Courses!F167&gt;0,SUM(Courses!O167,Courses!P167)&gt;0),Courses!F167*SUM(Courses!O167,Courses!P167),0)</f>
        <v>0</v>
      </c>
      <c r="I161" s="41">
        <f>IF(AND('Courses Valid'!C173=0,Courses!G167&lt;&gt;"",Courses!H167&gt;0,SUM(Courses!O167,Courses!P167)&gt;0),Courses!H167*SUM(Courses!O167,Courses!P167),0)</f>
        <v>0</v>
      </c>
      <c r="J161" s="105">
        <f>IF(AND('Courses Valid'!C173=0,Courses!I167&lt;&gt;"",Courses!J167&gt;0,SUM(Courses!O167,Courses!P167)&gt;0),Courses!J167*SUM(Courses!O167,Courses!P167),0)</f>
        <v>0</v>
      </c>
      <c r="K161" s="1580">
        <f>IF(AND('Courses Valid'!C173=0,Courses!E167&lt;&gt;"",Courses!F167&gt;0,Courses!Q167&gt;0),Courses!F167*Courses!Q167,0)</f>
        <v>0</v>
      </c>
      <c r="L161" s="41">
        <f>IF(AND('Courses Valid'!C173=0,Courses!G167&lt;&gt;"",Courses!H167&gt;0,Courses!Q167&gt;0),Courses!H167*Courses!Q167,0)</f>
        <v>0</v>
      </c>
      <c r="M161" s="105">
        <f>IF(AND('Courses Valid'!C173=0,Courses!I167&lt;&gt;"",Courses!J167&gt;0,Courses!Q167&gt;0),Courses!J167*Courses!Q167,0)</f>
        <v>0</v>
      </c>
      <c r="N161" s="41">
        <f>IF(AND('Courses Valid'!C173=0,Courses!E167&lt;&gt;"",Courses!F167&gt;0,SUM(Courses!W167,Courses!X167)&gt;0),Courses!F167*SUM(Courses!W167,Courses!X167),0)</f>
        <v>0</v>
      </c>
      <c r="O161" s="41">
        <f>IF(AND('Courses Valid'!C173=0,Courses!G167&lt;&gt;"",Courses!H167&gt;0,SUM(Courses!W167,Courses!X167)&gt;0),Courses!H167*SUM(Courses!W167,Courses!X167),0)</f>
        <v>0</v>
      </c>
      <c r="P161" s="41">
        <f>IF(AND('Courses Valid'!C173=0,Courses!I167&lt;&gt;"",Courses!J167&gt;0,SUM(Courses!W167,Courses!X167)&gt;0),Courses!J167*SUM(Courses!W167,Courses!X167),0)</f>
        <v>0</v>
      </c>
      <c r="Q161" s="1580">
        <f>IF(AND('Courses Valid'!C173=0,Courses!E167&lt;&gt;"",Courses!F167&gt;0,SUM(Courses!Y167,Courses!Z167)&gt;0),Courses!F167*SUM(Courses!Y167,Courses!Z167),0)</f>
        <v>0</v>
      </c>
      <c r="R161" s="41">
        <f>IF(AND('Courses Valid'!C173=0,Courses!G167&lt;&gt;"",Courses!H167&gt;0,SUM(Courses!Y167,Courses!Z167)&gt;0),Courses!H167*SUM(Courses!Y167,Courses!Z167),0)</f>
        <v>0</v>
      </c>
      <c r="S161" s="105">
        <f>IF(AND('Courses Valid'!C173=0,Courses!I167&lt;&gt;"",Courses!J167&gt;0,SUM(Courses!Y167,Courses!Z167)&gt;0),Courses!J167*SUM(Courses!Y167,Courses!Z167),0)</f>
        <v>0</v>
      </c>
      <c r="T161" s="41">
        <f>IF(AND('Courses Valid'!C173=0,Courses!E167&lt;&gt;"",Courses!F167&gt;0,Courses!AA167&gt;0),Courses!F167*Courses!AA167,0)</f>
        <v>0</v>
      </c>
      <c r="U161" s="41">
        <f>IF(AND('Courses Valid'!C173=0,Courses!G167&lt;&gt;"",Courses!H167&gt;0,Courses!AA167&gt;0),Courses!H167*Courses!AA167,0)</f>
        <v>0</v>
      </c>
      <c r="V161" s="106">
        <f>IF(AND('Courses Valid'!C173=0,Courses!I167&lt;&gt;"",Courses!J167&gt;0,Courses!AA167&gt;0),Courses!J167*Courses!AA167,0)</f>
        <v>0</v>
      </c>
      <c r="W161" s="41"/>
    </row>
    <row r="162" spans="2:23" x14ac:dyDescent="0.35">
      <c r="B162" s="70" t="str">
        <f>IF(Courses!B168&lt;&gt;"",CONCATENATE(Courses!E168,"/",Courses!L168,"/",Courses!K168),"")</f>
        <v/>
      </c>
      <c r="C162" s="1579" t="str">
        <f>IF(AND(Courses!B168&lt;&gt;"",Courses!G168&lt;&gt;""),CONCATENATE(Courses!G168,"/",Courses!L168,"/",Courses!K168),"")</f>
        <v/>
      </c>
      <c r="D162" s="71" t="str">
        <f>IF(AND(Courses!B168&lt;&gt;"",Courses!I168&lt;&gt;""),CONCATENATE(Courses!I168,"/",Courses!L168,"/",Courses!K168),"")</f>
        <v/>
      </c>
      <c r="E162" s="1580">
        <f>IF(AND('Courses Valid'!C174=0,Courses!E168&lt;&gt;"",Courses!F168&gt;0,SUM(Courses!M168,Courses!N168)&gt;0),Courses!F168*SUM(Courses!M168,Courses!N168),0)</f>
        <v>0</v>
      </c>
      <c r="F162" s="41">
        <f>IF(AND('Courses Valid'!C174=0,Courses!G168&lt;&gt;"",Courses!H168&gt;0,SUM(Courses!M168,Courses!N168)&gt;0),Courses!H168*SUM(Courses!M168,Courses!N168),0)</f>
        <v>0</v>
      </c>
      <c r="G162" s="105">
        <f>IF(AND('Courses Valid'!C174=0,Courses!I168&lt;&gt;"",Courses!J168&gt;0,SUM(Courses!M168,Courses!N168)&gt;0),Courses!J168*SUM(Courses!M168,Courses!N168),0)</f>
        <v>0</v>
      </c>
      <c r="H162" s="1580">
        <f>IF(AND('Courses Valid'!C174=0,Courses!E168&lt;&gt;"",Courses!F168&gt;0,SUM(Courses!O168,Courses!P168)&gt;0),Courses!F168*SUM(Courses!O168,Courses!P168),0)</f>
        <v>0</v>
      </c>
      <c r="I162" s="41">
        <f>IF(AND('Courses Valid'!C174=0,Courses!G168&lt;&gt;"",Courses!H168&gt;0,SUM(Courses!O168,Courses!P168)&gt;0),Courses!H168*SUM(Courses!O168,Courses!P168),0)</f>
        <v>0</v>
      </c>
      <c r="J162" s="105">
        <f>IF(AND('Courses Valid'!C174=0,Courses!I168&lt;&gt;"",Courses!J168&gt;0,SUM(Courses!O168,Courses!P168)&gt;0),Courses!J168*SUM(Courses!O168,Courses!P168),0)</f>
        <v>0</v>
      </c>
      <c r="K162" s="1580">
        <f>IF(AND('Courses Valid'!C174=0,Courses!E168&lt;&gt;"",Courses!F168&gt;0,Courses!Q168&gt;0),Courses!F168*Courses!Q168,0)</f>
        <v>0</v>
      </c>
      <c r="L162" s="41">
        <f>IF(AND('Courses Valid'!C174=0,Courses!G168&lt;&gt;"",Courses!H168&gt;0,Courses!Q168&gt;0),Courses!H168*Courses!Q168,0)</f>
        <v>0</v>
      </c>
      <c r="M162" s="105">
        <f>IF(AND('Courses Valid'!C174=0,Courses!I168&lt;&gt;"",Courses!J168&gt;0,Courses!Q168&gt;0),Courses!J168*Courses!Q168,0)</f>
        <v>0</v>
      </c>
      <c r="N162" s="41">
        <f>IF(AND('Courses Valid'!C174=0,Courses!E168&lt;&gt;"",Courses!F168&gt;0,SUM(Courses!W168,Courses!X168)&gt;0),Courses!F168*SUM(Courses!W168,Courses!X168),0)</f>
        <v>0</v>
      </c>
      <c r="O162" s="41">
        <f>IF(AND('Courses Valid'!C174=0,Courses!G168&lt;&gt;"",Courses!H168&gt;0,SUM(Courses!W168,Courses!X168)&gt;0),Courses!H168*SUM(Courses!W168,Courses!X168),0)</f>
        <v>0</v>
      </c>
      <c r="P162" s="41">
        <f>IF(AND('Courses Valid'!C174=0,Courses!I168&lt;&gt;"",Courses!J168&gt;0,SUM(Courses!W168,Courses!X168)&gt;0),Courses!J168*SUM(Courses!W168,Courses!X168),0)</f>
        <v>0</v>
      </c>
      <c r="Q162" s="1580">
        <f>IF(AND('Courses Valid'!C174=0,Courses!E168&lt;&gt;"",Courses!F168&gt;0,SUM(Courses!Y168,Courses!Z168)&gt;0),Courses!F168*SUM(Courses!Y168,Courses!Z168),0)</f>
        <v>0</v>
      </c>
      <c r="R162" s="41">
        <f>IF(AND('Courses Valid'!C174=0,Courses!G168&lt;&gt;"",Courses!H168&gt;0,SUM(Courses!Y168,Courses!Z168)&gt;0),Courses!H168*SUM(Courses!Y168,Courses!Z168),0)</f>
        <v>0</v>
      </c>
      <c r="S162" s="105">
        <f>IF(AND('Courses Valid'!C174=0,Courses!I168&lt;&gt;"",Courses!J168&gt;0,SUM(Courses!Y168,Courses!Z168)&gt;0),Courses!J168*SUM(Courses!Y168,Courses!Z168),0)</f>
        <v>0</v>
      </c>
      <c r="T162" s="41">
        <f>IF(AND('Courses Valid'!C174=0,Courses!E168&lt;&gt;"",Courses!F168&gt;0,Courses!AA168&gt;0),Courses!F168*Courses!AA168,0)</f>
        <v>0</v>
      </c>
      <c r="U162" s="41">
        <f>IF(AND('Courses Valid'!C174=0,Courses!G168&lt;&gt;"",Courses!H168&gt;0,Courses!AA168&gt;0),Courses!H168*Courses!AA168,0)</f>
        <v>0</v>
      </c>
      <c r="V162" s="106">
        <f>IF(AND('Courses Valid'!C174=0,Courses!I168&lt;&gt;"",Courses!J168&gt;0,Courses!AA168&gt;0),Courses!J168*Courses!AA168,0)</f>
        <v>0</v>
      </c>
      <c r="W162" s="41"/>
    </row>
    <row r="163" spans="2:23" x14ac:dyDescent="0.35">
      <c r="B163" s="70" t="str">
        <f>IF(Courses!B169&lt;&gt;"",CONCATENATE(Courses!E169,"/",Courses!L169,"/",Courses!K169),"")</f>
        <v/>
      </c>
      <c r="C163" s="1579" t="str">
        <f>IF(AND(Courses!B169&lt;&gt;"",Courses!G169&lt;&gt;""),CONCATENATE(Courses!G169,"/",Courses!L169,"/",Courses!K169),"")</f>
        <v/>
      </c>
      <c r="D163" s="71" t="str">
        <f>IF(AND(Courses!B169&lt;&gt;"",Courses!I169&lt;&gt;""),CONCATENATE(Courses!I169,"/",Courses!L169,"/",Courses!K169),"")</f>
        <v/>
      </c>
      <c r="E163" s="1580">
        <f>IF(AND('Courses Valid'!C175=0,Courses!E169&lt;&gt;"",Courses!F169&gt;0,SUM(Courses!M169,Courses!N169)&gt;0),Courses!F169*SUM(Courses!M169,Courses!N169),0)</f>
        <v>0</v>
      </c>
      <c r="F163" s="41">
        <f>IF(AND('Courses Valid'!C175=0,Courses!G169&lt;&gt;"",Courses!H169&gt;0,SUM(Courses!M169,Courses!N169)&gt;0),Courses!H169*SUM(Courses!M169,Courses!N169),0)</f>
        <v>0</v>
      </c>
      <c r="G163" s="105">
        <f>IF(AND('Courses Valid'!C175=0,Courses!I169&lt;&gt;"",Courses!J169&gt;0,SUM(Courses!M169,Courses!N169)&gt;0),Courses!J169*SUM(Courses!M169,Courses!N169),0)</f>
        <v>0</v>
      </c>
      <c r="H163" s="1580">
        <f>IF(AND('Courses Valid'!C175=0,Courses!E169&lt;&gt;"",Courses!F169&gt;0,SUM(Courses!O169,Courses!P169)&gt;0),Courses!F169*SUM(Courses!O169,Courses!P169),0)</f>
        <v>0</v>
      </c>
      <c r="I163" s="41">
        <f>IF(AND('Courses Valid'!C175=0,Courses!G169&lt;&gt;"",Courses!H169&gt;0,SUM(Courses!O169,Courses!P169)&gt;0),Courses!H169*SUM(Courses!O169,Courses!P169),0)</f>
        <v>0</v>
      </c>
      <c r="J163" s="105">
        <f>IF(AND('Courses Valid'!C175=0,Courses!I169&lt;&gt;"",Courses!J169&gt;0,SUM(Courses!O169,Courses!P169)&gt;0),Courses!J169*SUM(Courses!O169,Courses!P169),0)</f>
        <v>0</v>
      </c>
      <c r="K163" s="1580">
        <f>IF(AND('Courses Valid'!C175=0,Courses!E169&lt;&gt;"",Courses!F169&gt;0,Courses!Q169&gt;0),Courses!F169*Courses!Q169,0)</f>
        <v>0</v>
      </c>
      <c r="L163" s="41">
        <f>IF(AND('Courses Valid'!C175=0,Courses!G169&lt;&gt;"",Courses!H169&gt;0,Courses!Q169&gt;0),Courses!H169*Courses!Q169,0)</f>
        <v>0</v>
      </c>
      <c r="M163" s="105">
        <f>IF(AND('Courses Valid'!C175=0,Courses!I169&lt;&gt;"",Courses!J169&gt;0,Courses!Q169&gt;0),Courses!J169*Courses!Q169,0)</f>
        <v>0</v>
      </c>
      <c r="N163" s="41">
        <f>IF(AND('Courses Valid'!C175=0,Courses!E169&lt;&gt;"",Courses!F169&gt;0,SUM(Courses!W169,Courses!X169)&gt;0),Courses!F169*SUM(Courses!W169,Courses!X169),0)</f>
        <v>0</v>
      </c>
      <c r="O163" s="41">
        <f>IF(AND('Courses Valid'!C175=0,Courses!G169&lt;&gt;"",Courses!H169&gt;0,SUM(Courses!W169,Courses!X169)&gt;0),Courses!H169*SUM(Courses!W169,Courses!X169),0)</f>
        <v>0</v>
      </c>
      <c r="P163" s="41">
        <f>IF(AND('Courses Valid'!C175=0,Courses!I169&lt;&gt;"",Courses!J169&gt;0,SUM(Courses!W169,Courses!X169)&gt;0),Courses!J169*SUM(Courses!W169,Courses!X169),0)</f>
        <v>0</v>
      </c>
      <c r="Q163" s="1580">
        <f>IF(AND('Courses Valid'!C175=0,Courses!E169&lt;&gt;"",Courses!F169&gt;0,SUM(Courses!Y169,Courses!Z169)&gt;0),Courses!F169*SUM(Courses!Y169,Courses!Z169),0)</f>
        <v>0</v>
      </c>
      <c r="R163" s="41">
        <f>IF(AND('Courses Valid'!C175=0,Courses!G169&lt;&gt;"",Courses!H169&gt;0,SUM(Courses!Y169,Courses!Z169)&gt;0),Courses!H169*SUM(Courses!Y169,Courses!Z169),0)</f>
        <v>0</v>
      </c>
      <c r="S163" s="105">
        <f>IF(AND('Courses Valid'!C175=0,Courses!I169&lt;&gt;"",Courses!J169&gt;0,SUM(Courses!Y169,Courses!Z169)&gt;0),Courses!J169*SUM(Courses!Y169,Courses!Z169),0)</f>
        <v>0</v>
      </c>
      <c r="T163" s="41">
        <f>IF(AND('Courses Valid'!C175=0,Courses!E169&lt;&gt;"",Courses!F169&gt;0,Courses!AA169&gt;0),Courses!F169*Courses!AA169,0)</f>
        <v>0</v>
      </c>
      <c r="U163" s="41">
        <f>IF(AND('Courses Valid'!C175=0,Courses!G169&lt;&gt;"",Courses!H169&gt;0,Courses!AA169&gt;0),Courses!H169*Courses!AA169,0)</f>
        <v>0</v>
      </c>
      <c r="V163" s="106">
        <f>IF(AND('Courses Valid'!C175=0,Courses!I169&lt;&gt;"",Courses!J169&gt;0,Courses!AA169&gt;0),Courses!J169*Courses!AA169,0)</f>
        <v>0</v>
      </c>
      <c r="W163" s="41"/>
    </row>
    <row r="164" spans="2:23" x14ac:dyDescent="0.35">
      <c r="B164" s="70" t="str">
        <f>IF(Courses!B170&lt;&gt;"",CONCATENATE(Courses!E170,"/",Courses!L170,"/",Courses!K170),"")</f>
        <v/>
      </c>
      <c r="C164" s="1579" t="str">
        <f>IF(AND(Courses!B170&lt;&gt;"",Courses!G170&lt;&gt;""),CONCATENATE(Courses!G170,"/",Courses!L170,"/",Courses!K170),"")</f>
        <v/>
      </c>
      <c r="D164" s="71" t="str">
        <f>IF(AND(Courses!B170&lt;&gt;"",Courses!I170&lt;&gt;""),CONCATENATE(Courses!I170,"/",Courses!L170,"/",Courses!K170),"")</f>
        <v/>
      </c>
      <c r="E164" s="1580">
        <f>IF(AND('Courses Valid'!C176=0,Courses!E170&lt;&gt;"",Courses!F170&gt;0,SUM(Courses!M170,Courses!N170)&gt;0),Courses!F170*SUM(Courses!M170,Courses!N170),0)</f>
        <v>0</v>
      </c>
      <c r="F164" s="41">
        <f>IF(AND('Courses Valid'!C176=0,Courses!G170&lt;&gt;"",Courses!H170&gt;0,SUM(Courses!M170,Courses!N170)&gt;0),Courses!H170*SUM(Courses!M170,Courses!N170),0)</f>
        <v>0</v>
      </c>
      <c r="G164" s="105">
        <f>IF(AND('Courses Valid'!C176=0,Courses!I170&lt;&gt;"",Courses!J170&gt;0,SUM(Courses!M170,Courses!N170)&gt;0),Courses!J170*SUM(Courses!M170,Courses!N170),0)</f>
        <v>0</v>
      </c>
      <c r="H164" s="1580">
        <f>IF(AND('Courses Valid'!C176=0,Courses!E170&lt;&gt;"",Courses!F170&gt;0,SUM(Courses!O170,Courses!P170)&gt;0),Courses!F170*SUM(Courses!O170,Courses!P170),0)</f>
        <v>0</v>
      </c>
      <c r="I164" s="41">
        <f>IF(AND('Courses Valid'!C176=0,Courses!G170&lt;&gt;"",Courses!H170&gt;0,SUM(Courses!O170,Courses!P170)&gt;0),Courses!H170*SUM(Courses!O170,Courses!P170),0)</f>
        <v>0</v>
      </c>
      <c r="J164" s="105">
        <f>IF(AND('Courses Valid'!C176=0,Courses!I170&lt;&gt;"",Courses!J170&gt;0,SUM(Courses!O170,Courses!P170)&gt;0),Courses!J170*SUM(Courses!O170,Courses!P170),0)</f>
        <v>0</v>
      </c>
      <c r="K164" s="1580">
        <f>IF(AND('Courses Valid'!C176=0,Courses!E170&lt;&gt;"",Courses!F170&gt;0,Courses!Q170&gt;0),Courses!F170*Courses!Q170,0)</f>
        <v>0</v>
      </c>
      <c r="L164" s="41">
        <f>IF(AND('Courses Valid'!C176=0,Courses!G170&lt;&gt;"",Courses!H170&gt;0,Courses!Q170&gt;0),Courses!H170*Courses!Q170,0)</f>
        <v>0</v>
      </c>
      <c r="M164" s="105">
        <f>IF(AND('Courses Valid'!C176=0,Courses!I170&lt;&gt;"",Courses!J170&gt;0,Courses!Q170&gt;0),Courses!J170*Courses!Q170,0)</f>
        <v>0</v>
      </c>
      <c r="N164" s="41">
        <f>IF(AND('Courses Valid'!C176=0,Courses!E170&lt;&gt;"",Courses!F170&gt;0,SUM(Courses!W170,Courses!X170)&gt;0),Courses!F170*SUM(Courses!W170,Courses!X170),0)</f>
        <v>0</v>
      </c>
      <c r="O164" s="41">
        <f>IF(AND('Courses Valid'!C176=0,Courses!G170&lt;&gt;"",Courses!H170&gt;0,SUM(Courses!W170,Courses!X170)&gt;0),Courses!H170*SUM(Courses!W170,Courses!X170),0)</f>
        <v>0</v>
      </c>
      <c r="P164" s="41">
        <f>IF(AND('Courses Valid'!C176=0,Courses!I170&lt;&gt;"",Courses!J170&gt;0,SUM(Courses!W170,Courses!X170)&gt;0),Courses!J170*SUM(Courses!W170,Courses!X170),0)</f>
        <v>0</v>
      </c>
      <c r="Q164" s="1580">
        <f>IF(AND('Courses Valid'!C176=0,Courses!E170&lt;&gt;"",Courses!F170&gt;0,SUM(Courses!Y170,Courses!Z170)&gt;0),Courses!F170*SUM(Courses!Y170,Courses!Z170),0)</f>
        <v>0</v>
      </c>
      <c r="R164" s="41">
        <f>IF(AND('Courses Valid'!C176=0,Courses!G170&lt;&gt;"",Courses!H170&gt;0,SUM(Courses!Y170,Courses!Z170)&gt;0),Courses!H170*SUM(Courses!Y170,Courses!Z170),0)</f>
        <v>0</v>
      </c>
      <c r="S164" s="105">
        <f>IF(AND('Courses Valid'!C176=0,Courses!I170&lt;&gt;"",Courses!J170&gt;0,SUM(Courses!Y170,Courses!Z170)&gt;0),Courses!J170*SUM(Courses!Y170,Courses!Z170),0)</f>
        <v>0</v>
      </c>
      <c r="T164" s="41">
        <f>IF(AND('Courses Valid'!C176=0,Courses!E170&lt;&gt;"",Courses!F170&gt;0,Courses!AA170&gt;0),Courses!F170*Courses!AA170,0)</f>
        <v>0</v>
      </c>
      <c r="U164" s="41">
        <f>IF(AND('Courses Valid'!C176=0,Courses!G170&lt;&gt;"",Courses!H170&gt;0,Courses!AA170&gt;0),Courses!H170*Courses!AA170,0)</f>
        <v>0</v>
      </c>
      <c r="V164" s="106">
        <f>IF(AND('Courses Valid'!C176=0,Courses!I170&lt;&gt;"",Courses!J170&gt;0,Courses!AA170&gt;0),Courses!J170*Courses!AA170,0)</f>
        <v>0</v>
      </c>
      <c r="W164" s="41"/>
    </row>
    <row r="165" spans="2:23" x14ac:dyDescent="0.35">
      <c r="B165" s="70" t="str">
        <f>IF(Courses!B171&lt;&gt;"",CONCATENATE(Courses!E171,"/",Courses!L171,"/",Courses!K171),"")</f>
        <v/>
      </c>
      <c r="C165" s="1579" t="str">
        <f>IF(AND(Courses!B171&lt;&gt;"",Courses!G171&lt;&gt;""),CONCATENATE(Courses!G171,"/",Courses!L171,"/",Courses!K171),"")</f>
        <v/>
      </c>
      <c r="D165" s="71" t="str">
        <f>IF(AND(Courses!B171&lt;&gt;"",Courses!I171&lt;&gt;""),CONCATENATE(Courses!I171,"/",Courses!L171,"/",Courses!K171),"")</f>
        <v/>
      </c>
      <c r="E165" s="1580">
        <f>IF(AND('Courses Valid'!C177=0,Courses!E171&lt;&gt;"",Courses!F171&gt;0,SUM(Courses!M171,Courses!N171)&gt;0),Courses!F171*SUM(Courses!M171,Courses!N171),0)</f>
        <v>0</v>
      </c>
      <c r="F165" s="41">
        <f>IF(AND('Courses Valid'!C177=0,Courses!G171&lt;&gt;"",Courses!H171&gt;0,SUM(Courses!M171,Courses!N171)&gt;0),Courses!H171*SUM(Courses!M171,Courses!N171),0)</f>
        <v>0</v>
      </c>
      <c r="G165" s="105">
        <f>IF(AND('Courses Valid'!C177=0,Courses!I171&lt;&gt;"",Courses!J171&gt;0,SUM(Courses!M171,Courses!N171)&gt;0),Courses!J171*SUM(Courses!M171,Courses!N171),0)</f>
        <v>0</v>
      </c>
      <c r="H165" s="1580">
        <f>IF(AND('Courses Valid'!C177=0,Courses!E171&lt;&gt;"",Courses!F171&gt;0,SUM(Courses!O171,Courses!P171)&gt;0),Courses!F171*SUM(Courses!O171,Courses!P171),0)</f>
        <v>0</v>
      </c>
      <c r="I165" s="41">
        <f>IF(AND('Courses Valid'!C177=0,Courses!G171&lt;&gt;"",Courses!H171&gt;0,SUM(Courses!O171,Courses!P171)&gt;0),Courses!H171*SUM(Courses!O171,Courses!P171),0)</f>
        <v>0</v>
      </c>
      <c r="J165" s="105">
        <f>IF(AND('Courses Valid'!C177=0,Courses!I171&lt;&gt;"",Courses!J171&gt;0,SUM(Courses!O171,Courses!P171)&gt;0),Courses!J171*SUM(Courses!O171,Courses!P171),0)</f>
        <v>0</v>
      </c>
      <c r="K165" s="1580">
        <f>IF(AND('Courses Valid'!C177=0,Courses!E171&lt;&gt;"",Courses!F171&gt;0,Courses!Q171&gt;0),Courses!F171*Courses!Q171,0)</f>
        <v>0</v>
      </c>
      <c r="L165" s="41">
        <f>IF(AND('Courses Valid'!C177=0,Courses!G171&lt;&gt;"",Courses!H171&gt;0,Courses!Q171&gt;0),Courses!H171*Courses!Q171,0)</f>
        <v>0</v>
      </c>
      <c r="M165" s="105">
        <f>IF(AND('Courses Valid'!C177=0,Courses!I171&lt;&gt;"",Courses!J171&gt;0,Courses!Q171&gt;0),Courses!J171*Courses!Q171,0)</f>
        <v>0</v>
      </c>
      <c r="N165" s="41">
        <f>IF(AND('Courses Valid'!C177=0,Courses!E171&lt;&gt;"",Courses!F171&gt;0,SUM(Courses!W171,Courses!X171)&gt;0),Courses!F171*SUM(Courses!W171,Courses!X171),0)</f>
        <v>0</v>
      </c>
      <c r="O165" s="41">
        <f>IF(AND('Courses Valid'!C177=0,Courses!G171&lt;&gt;"",Courses!H171&gt;0,SUM(Courses!W171,Courses!X171)&gt;0),Courses!H171*SUM(Courses!W171,Courses!X171),0)</f>
        <v>0</v>
      </c>
      <c r="P165" s="41">
        <f>IF(AND('Courses Valid'!C177=0,Courses!I171&lt;&gt;"",Courses!J171&gt;0,SUM(Courses!W171,Courses!X171)&gt;0),Courses!J171*SUM(Courses!W171,Courses!X171),0)</f>
        <v>0</v>
      </c>
      <c r="Q165" s="1580">
        <f>IF(AND('Courses Valid'!C177=0,Courses!E171&lt;&gt;"",Courses!F171&gt;0,SUM(Courses!Y171,Courses!Z171)&gt;0),Courses!F171*SUM(Courses!Y171,Courses!Z171),0)</f>
        <v>0</v>
      </c>
      <c r="R165" s="41">
        <f>IF(AND('Courses Valid'!C177=0,Courses!G171&lt;&gt;"",Courses!H171&gt;0,SUM(Courses!Y171,Courses!Z171)&gt;0),Courses!H171*SUM(Courses!Y171,Courses!Z171),0)</f>
        <v>0</v>
      </c>
      <c r="S165" s="105">
        <f>IF(AND('Courses Valid'!C177=0,Courses!I171&lt;&gt;"",Courses!J171&gt;0,SUM(Courses!Y171,Courses!Z171)&gt;0),Courses!J171*SUM(Courses!Y171,Courses!Z171),0)</f>
        <v>0</v>
      </c>
      <c r="T165" s="41">
        <f>IF(AND('Courses Valid'!C177=0,Courses!E171&lt;&gt;"",Courses!F171&gt;0,Courses!AA171&gt;0),Courses!F171*Courses!AA171,0)</f>
        <v>0</v>
      </c>
      <c r="U165" s="41">
        <f>IF(AND('Courses Valid'!C177=0,Courses!G171&lt;&gt;"",Courses!H171&gt;0,Courses!AA171&gt;0),Courses!H171*Courses!AA171,0)</f>
        <v>0</v>
      </c>
      <c r="V165" s="106">
        <f>IF(AND('Courses Valid'!C177=0,Courses!I171&lt;&gt;"",Courses!J171&gt;0,Courses!AA171&gt;0),Courses!J171*Courses!AA171,0)</f>
        <v>0</v>
      </c>
      <c r="W165" s="41"/>
    </row>
    <row r="166" spans="2:23" x14ac:dyDescent="0.35">
      <c r="B166" s="70" t="str">
        <f>IF(Courses!B172&lt;&gt;"",CONCATENATE(Courses!E172,"/",Courses!L172,"/",Courses!K172),"")</f>
        <v/>
      </c>
      <c r="C166" s="1579" t="str">
        <f>IF(AND(Courses!B172&lt;&gt;"",Courses!G172&lt;&gt;""),CONCATENATE(Courses!G172,"/",Courses!L172,"/",Courses!K172),"")</f>
        <v/>
      </c>
      <c r="D166" s="71" t="str">
        <f>IF(AND(Courses!B172&lt;&gt;"",Courses!I172&lt;&gt;""),CONCATENATE(Courses!I172,"/",Courses!L172,"/",Courses!K172),"")</f>
        <v/>
      </c>
      <c r="E166" s="1580">
        <f>IF(AND('Courses Valid'!C178=0,Courses!E172&lt;&gt;"",Courses!F172&gt;0,SUM(Courses!M172,Courses!N172)&gt;0),Courses!F172*SUM(Courses!M172,Courses!N172),0)</f>
        <v>0</v>
      </c>
      <c r="F166" s="41">
        <f>IF(AND('Courses Valid'!C178=0,Courses!G172&lt;&gt;"",Courses!H172&gt;0,SUM(Courses!M172,Courses!N172)&gt;0),Courses!H172*SUM(Courses!M172,Courses!N172),0)</f>
        <v>0</v>
      </c>
      <c r="G166" s="105">
        <f>IF(AND('Courses Valid'!C178=0,Courses!I172&lt;&gt;"",Courses!J172&gt;0,SUM(Courses!M172,Courses!N172)&gt;0),Courses!J172*SUM(Courses!M172,Courses!N172),0)</f>
        <v>0</v>
      </c>
      <c r="H166" s="1580">
        <f>IF(AND('Courses Valid'!C178=0,Courses!E172&lt;&gt;"",Courses!F172&gt;0,SUM(Courses!O172,Courses!P172)&gt;0),Courses!F172*SUM(Courses!O172,Courses!P172),0)</f>
        <v>0</v>
      </c>
      <c r="I166" s="41">
        <f>IF(AND('Courses Valid'!C178=0,Courses!G172&lt;&gt;"",Courses!H172&gt;0,SUM(Courses!O172,Courses!P172)&gt;0),Courses!H172*SUM(Courses!O172,Courses!P172),0)</f>
        <v>0</v>
      </c>
      <c r="J166" s="105">
        <f>IF(AND('Courses Valid'!C178=0,Courses!I172&lt;&gt;"",Courses!J172&gt;0,SUM(Courses!O172,Courses!P172)&gt;0),Courses!J172*SUM(Courses!O172,Courses!P172),0)</f>
        <v>0</v>
      </c>
      <c r="K166" s="1580">
        <f>IF(AND('Courses Valid'!C178=0,Courses!E172&lt;&gt;"",Courses!F172&gt;0,Courses!Q172&gt;0),Courses!F172*Courses!Q172,0)</f>
        <v>0</v>
      </c>
      <c r="L166" s="41">
        <f>IF(AND('Courses Valid'!C178=0,Courses!G172&lt;&gt;"",Courses!H172&gt;0,Courses!Q172&gt;0),Courses!H172*Courses!Q172,0)</f>
        <v>0</v>
      </c>
      <c r="M166" s="105">
        <f>IF(AND('Courses Valid'!C178=0,Courses!I172&lt;&gt;"",Courses!J172&gt;0,Courses!Q172&gt;0),Courses!J172*Courses!Q172,0)</f>
        <v>0</v>
      </c>
      <c r="N166" s="41">
        <f>IF(AND('Courses Valid'!C178=0,Courses!E172&lt;&gt;"",Courses!F172&gt;0,SUM(Courses!W172,Courses!X172)&gt;0),Courses!F172*SUM(Courses!W172,Courses!X172),0)</f>
        <v>0</v>
      </c>
      <c r="O166" s="41">
        <f>IF(AND('Courses Valid'!C178=0,Courses!G172&lt;&gt;"",Courses!H172&gt;0,SUM(Courses!W172,Courses!X172)&gt;0),Courses!H172*SUM(Courses!W172,Courses!X172),0)</f>
        <v>0</v>
      </c>
      <c r="P166" s="41">
        <f>IF(AND('Courses Valid'!C178=0,Courses!I172&lt;&gt;"",Courses!J172&gt;0,SUM(Courses!W172,Courses!X172)&gt;0),Courses!J172*SUM(Courses!W172,Courses!X172),0)</f>
        <v>0</v>
      </c>
      <c r="Q166" s="1580">
        <f>IF(AND('Courses Valid'!C178=0,Courses!E172&lt;&gt;"",Courses!F172&gt;0,SUM(Courses!Y172,Courses!Z172)&gt;0),Courses!F172*SUM(Courses!Y172,Courses!Z172),0)</f>
        <v>0</v>
      </c>
      <c r="R166" s="41">
        <f>IF(AND('Courses Valid'!C178=0,Courses!G172&lt;&gt;"",Courses!H172&gt;0,SUM(Courses!Y172,Courses!Z172)&gt;0),Courses!H172*SUM(Courses!Y172,Courses!Z172),0)</f>
        <v>0</v>
      </c>
      <c r="S166" s="105">
        <f>IF(AND('Courses Valid'!C178=0,Courses!I172&lt;&gt;"",Courses!J172&gt;0,SUM(Courses!Y172,Courses!Z172)&gt;0),Courses!J172*SUM(Courses!Y172,Courses!Z172),0)</f>
        <v>0</v>
      </c>
      <c r="T166" s="41">
        <f>IF(AND('Courses Valid'!C178=0,Courses!E172&lt;&gt;"",Courses!F172&gt;0,Courses!AA172&gt;0),Courses!F172*Courses!AA172,0)</f>
        <v>0</v>
      </c>
      <c r="U166" s="41">
        <f>IF(AND('Courses Valid'!C178=0,Courses!G172&lt;&gt;"",Courses!H172&gt;0,Courses!AA172&gt;0),Courses!H172*Courses!AA172,0)</f>
        <v>0</v>
      </c>
      <c r="V166" s="106">
        <f>IF(AND('Courses Valid'!C178=0,Courses!I172&lt;&gt;"",Courses!J172&gt;0,Courses!AA172&gt;0),Courses!J172*Courses!AA172,0)</f>
        <v>0</v>
      </c>
      <c r="W166" s="41"/>
    </row>
    <row r="167" spans="2:23" x14ac:dyDescent="0.35">
      <c r="B167" s="70" t="str">
        <f>IF(Courses!B173&lt;&gt;"",CONCATENATE(Courses!E173,"/",Courses!L173,"/",Courses!K173),"")</f>
        <v/>
      </c>
      <c r="C167" s="1579" t="str">
        <f>IF(AND(Courses!B173&lt;&gt;"",Courses!G173&lt;&gt;""),CONCATENATE(Courses!G173,"/",Courses!L173,"/",Courses!K173),"")</f>
        <v/>
      </c>
      <c r="D167" s="71" t="str">
        <f>IF(AND(Courses!B173&lt;&gt;"",Courses!I173&lt;&gt;""),CONCATENATE(Courses!I173,"/",Courses!L173,"/",Courses!K173),"")</f>
        <v/>
      </c>
      <c r="E167" s="1580">
        <f>IF(AND('Courses Valid'!C179=0,Courses!E173&lt;&gt;"",Courses!F173&gt;0,SUM(Courses!M173,Courses!N173)&gt;0),Courses!F173*SUM(Courses!M173,Courses!N173),0)</f>
        <v>0</v>
      </c>
      <c r="F167" s="41">
        <f>IF(AND('Courses Valid'!C179=0,Courses!G173&lt;&gt;"",Courses!H173&gt;0,SUM(Courses!M173,Courses!N173)&gt;0),Courses!H173*SUM(Courses!M173,Courses!N173),0)</f>
        <v>0</v>
      </c>
      <c r="G167" s="105">
        <f>IF(AND('Courses Valid'!C179=0,Courses!I173&lt;&gt;"",Courses!J173&gt;0,SUM(Courses!M173,Courses!N173)&gt;0),Courses!J173*SUM(Courses!M173,Courses!N173),0)</f>
        <v>0</v>
      </c>
      <c r="H167" s="1580">
        <f>IF(AND('Courses Valid'!C179=0,Courses!E173&lt;&gt;"",Courses!F173&gt;0,SUM(Courses!O173,Courses!P173)&gt;0),Courses!F173*SUM(Courses!O173,Courses!P173),0)</f>
        <v>0</v>
      </c>
      <c r="I167" s="41">
        <f>IF(AND('Courses Valid'!C179=0,Courses!G173&lt;&gt;"",Courses!H173&gt;0,SUM(Courses!O173,Courses!P173)&gt;0),Courses!H173*SUM(Courses!O173,Courses!P173),0)</f>
        <v>0</v>
      </c>
      <c r="J167" s="105">
        <f>IF(AND('Courses Valid'!C179=0,Courses!I173&lt;&gt;"",Courses!J173&gt;0,SUM(Courses!O173,Courses!P173)&gt;0),Courses!J173*SUM(Courses!O173,Courses!P173),0)</f>
        <v>0</v>
      </c>
      <c r="K167" s="1580">
        <f>IF(AND('Courses Valid'!C179=0,Courses!E173&lt;&gt;"",Courses!F173&gt;0,Courses!Q173&gt;0),Courses!F173*Courses!Q173,0)</f>
        <v>0</v>
      </c>
      <c r="L167" s="41">
        <f>IF(AND('Courses Valid'!C179=0,Courses!G173&lt;&gt;"",Courses!H173&gt;0,Courses!Q173&gt;0),Courses!H173*Courses!Q173,0)</f>
        <v>0</v>
      </c>
      <c r="M167" s="105">
        <f>IF(AND('Courses Valid'!C179=0,Courses!I173&lt;&gt;"",Courses!J173&gt;0,Courses!Q173&gt;0),Courses!J173*Courses!Q173,0)</f>
        <v>0</v>
      </c>
      <c r="N167" s="41">
        <f>IF(AND('Courses Valid'!C179=0,Courses!E173&lt;&gt;"",Courses!F173&gt;0,SUM(Courses!W173,Courses!X173)&gt;0),Courses!F173*SUM(Courses!W173,Courses!X173),0)</f>
        <v>0</v>
      </c>
      <c r="O167" s="41">
        <f>IF(AND('Courses Valid'!C179=0,Courses!G173&lt;&gt;"",Courses!H173&gt;0,SUM(Courses!W173,Courses!X173)&gt;0),Courses!H173*SUM(Courses!W173,Courses!X173),0)</f>
        <v>0</v>
      </c>
      <c r="P167" s="41">
        <f>IF(AND('Courses Valid'!C179=0,Courses!I173&lt;&gt;"",Courses!J173&gt;0,SUM(Courses!W173,Courses!X173)&gt;0),Courses!J173*SUM(Courses!W173,Courses!X173),0)</f>
        <v>0</v>
      </c>
      <c r="Q167" s="1580">
        <f>IF(AND('Courses Valid'!C179=0,Courses!E173&lt;&gt;"",Courses!F173&gt;0,SUM(Courses!Y173,Courses!Z173)&gt;0),Courses!F173*SUM(Courses!Y173,Courses!Z173),0)</f>
        <v>0</v>
      </c>
      <c r="R167" s="41">
        <f>IF(AND('Courses Valid'!C179=0,Courses!G173&lt;&gt;"",Courses!H173&gt;0,SUM(Courses!Y173,Courses!Z173)&gt;0),Courses!H173*SUM(Courses!Y173,Courses!Z173),0)</f>
        <v>0</v>
      </c>
      <c r="S167" s="105">
        <f>IF(AND('Courses Valid'!C179=0,Courses!I173&lt;&gt;"",Courses!J173&gt;0,SUM(Courses!Y173,Courses!Z173)&gt;0),Courses!J173*SUM(Courses!Y173,Courses!Z173),0)</f>
        <v>0</v>
      </c>
      <c r="T167" s="41">
        <f>IF(AND('Courses Valid'!C179=0,Courses!E173&lt;&gt;"",Courses!F173&gt;0,Courses!AA173&gt;0),Courses!F173*Courses!AA173,0)</f>
        <v>0</v>
      </c>
      <c r="U167" s="41">
        <f>IF(AND('Courses Valid'!C179=0,Courses!G173&lt;&gt;"",Courses!H173&gt;0,Courses!AA173&gt;0),Courses!H173*Courses!AA173,0)</f>
        <v>0</v>
      </c>
      <c r="V167" s="106">
        <f>IF(AND('Courses Valid'!C179=0,Courses!I173&lt;&gt;"",Courses!J173&gt;0,Courses!AA173&gt;0),Courses!J173*Courses!AA173,0)</f>
        <v>0</v>
      </c>
      <c r="W167" s="41"/>
    </row>
    <row r="168" spans="2:23" x14ac:dyDescent="0.35">
      <c r="B168" s="70" t="str">
        <f>IF(Courses!B174&lt;&gt;"",CONCATENATE(Courses!E174,"/",Courses!L174,"/",Courses!K174),"")</f>
        <v/>
      </c>
      <c r="C168" s="1579" t="str">
        <f>IF(AND(Courses!B174&lt;&gt;"",Courses!G174&lt;&gt;""),CONCATENATE(Courses!G174,"/",Courses!L174,"/",Courses!K174),"")</f>
        <v/>
      </c>
      <c r="D168" s="71" t="str">
        <f>IF(AND(Courses!B174&lt;&gt;"",Courses!I174&lt;&gt;""),CONCATENATE(Courses!I174,"/",Courses!L174,"/",Courses!K174),"")</f>
        <v/>
      </c>
      <c r="E168" s="1580">
        <f>IF(AND('Courses Valid'!C180=0,Courses!E174&lt;&gt;"",Courses!F174&gt;0,SUM(Courses!M174,Courses!N174)&gt;0),Courses!F174*SUM(Courses!M174,Courses!N174),0)</f>
        <v>0</v>
      </c>
      <c r="F168" s="41">
        <f>IF(AND('Courses Valid'!C180=0,Courses!G174&lt;&gt;"",Courses!H174&gt;0,SUM(Courses!M174,Courses!N174)&gt;0),Courses!H174*SUM(Courses!M174,Courses!N174),0)</f>
        <v>0</v>
      </c>
      <c r="G168" s="105">
        <f>IF(AND('Courses Valid'!C180=0,Courses!I174&lt;&gt;"",Courses!J174&gt;0,SUM(Courses!M174,Courses!N174)&gt;0),Courses!J174*SUM(Courses!M174,Courses!N174),0)</f>
        <v>0</v>
      </c>
      <c r="H168" s="1580">
        <f>IF(AND('Courses Valid'!C180=0,Courses!E174&lt;&gt;"",Courses!F174&gt;0,SUM(Courses!O174,Courses!P174)&gt;0),Courses!F174*SUM(Courses!O174,Courses!P174),0)</f>
        <v>0</v>
      </c>
      <c r="I168" s="41">
        <f>IF(AND('Courses Valid'!C180=0,Courses!G174&lt;&gt;"",Courses!H174&gt;0,SUM(Courses!O174,Courses!P174)&gt;0),Courses!H174*SUM(Courses!O174,Courses!P174),0)</f>
        <v>0</v>
      </c>
      <c r="J168" s="105">
        <f>IF(AND('Courses Valid'!C180=0,Courses!I174&lt;&gt;"",Courses!J174&gt;0,SUM(Courses!O174,Courses!P174)&gt;0),Courses!J174*SUM(Courses!O174,Courses!P174),0)</f>
        <v>0</v>
      </c>
      <c r="K168" s="1580">
        <f>IF(AND('Courses Valid'!C180=0,Courses!E174&lt;&gt;"",Courses!F174&gt;0,Courses!Q174&gt;0),Courses!F174*Courses!Q174,0)</f>
        <v>0</v>
      </c>
      <c r="L168" s="41">
        <f>IF(AND('Courses Valid'!C180=0,Courses!G174&lt;&gt;"",Courses!H174&gt;0,Courses!Q174&gt;0),Courses!H174*Courses!Q174,0)</f>
        <v>0</v>
      </c>
      <c r="M168" s="105">
        <f>IF(AND('Courses Valid'!C180=0,Courses!I174&lt;&gt;"",Courses!J174&gt;0,Courses!Q174&gt;0),Courses!J174*Courses!Q174,0)</f>
        <v>0</v>
      </c>
      <c r="N168" s="41">
        <f>IF(AND('Courses Valid'!C180=0,Courses!E174&lt;&gt;"",Courses!F174&gt;0,SUM(Courses!W174,Courses!X174)&gt;0),Courses!F174*SUM(Courses!W174,Courses!X174),0)</f>
        <v>0</v>
      </c>
      <c r="O168" s="41">
        <f>IF(AND('Courses Valid'!C180=0,Courses!G174&lt;&gt;"",Courses!H174&gt;0,SUM(Courses!W174,Courses!X174)&gt;0),Courses!H174*SUM(Courses!W174,Courses!X174),0)</f>
        <v>0</v>
      </c>
      <c r="P168" s="41">
        <f>IF(AND('Courses Valid'!C180=0,Courses!I174&lt;&gt;"",Courses!J174&gt;0,SUM(Courses!W174,Courses!X174)&gt;0),Courses!J174*SUM(Courses!W174,Courses!X174),0)</f>
        <v>0</v>
      </c>
      <c r="Q168" s="1580">
        <f>IF(AND('Courses Valid'!C180=0,Courses!E174&lt;&gt;"",Courses!F174&gt;0,SUM(Courses!Y174,Courses!Z174)&gt;0),Courses!F174*SUM(Courses!Y174,Courses!Z174),0)</f>
        <v>0</v>
      </c>
      <c r="R168" s="41">
        <f>IF(AND('Courses Valid'!C180=0,Courses!G174&lt;&gt;"",Courses!H174&gt;0,SUM(Courses!Y174,Courses!Z174)&gt;0),Courses!H174*SUM(Courses!Y174,Courses!Z174),0)</f>
        <v>0</v>
      </c>
      <c r="S168" s="105">
        <f>IF(AND('Courses Valid'!C180=0,Courses!I174&lt;&gt;"",Courses!J174&gt;0,SUM(Courses!Y174,Courses!Z174)&gt;0),Courses!J174*SUM(Courses!Y174,Courses!Z174),0)</f>
        <v>0</v>
      </c>
      <c r="T168" s="41">
        <f>IF(AND('Courses Valid'!C180=0,Courses!E174&lt;&gt;"",Courses!F174&gt;0,Courses!AA174&gt;0),Courses!F174*Courses!AA174,0)</f>
        <v>0</v>
      </c>
      <c r="U168" s="41">
        <f>IF(AND('Courses Valid'!C180=0,Courses!G174&lt;&gt;"",Courses!H174&gt;0,Courses!AA174&gt;0),Courses!H174*Courses!AA174,0)</f>
        <v>0</v>
      </c>
      <c r="V168" s="106">
        <f>IF(AND('Courses Valid'!C180=0,Courses!I174&lt;&gt;"",Courses!J174&gt;0,Courses!AA174&gt;0),Courses!J174*Courses!AA174,0)</f>
        <v>0</v>
      </c>
      <c r="W168" s="41"/>
    </row>
    <row r="169" spans="2:23" x14ac:dyDescent="0.35">
      <c r="B169" s="70" t="str">
        <f>IF(Courses!B175&lt;&gt;"",CONCATENATE(Courses!E175,"/",Courses!L175,"/",Courses!K175),"")</f>
        <v/>
      </c>
      <c r="C169" s="1579" t="str">
        <f>IF(AND(Courses!B175&lt;&gt;"",Courses!G175&lt;&gt;""),CONCATENATE(Courses!G175,"/",Courses!L175,"/",Courses!K175),"")</f>
        <v/>
      </c>
      <c r="D169" s="71" t="str">
        <f>IF(AND(Courses!B175&lt;&gt;"",Courses!I175&lt;&gt;""),CONCATENATE(Courses!I175,"/",Courses!L175,"/",Courses!K175),"")</f>
        <v/>
      </c>
      <c r="E169" s="1580">
        <f>IF(AND('Courses Valid'!C181=0,Courses!E175&lt;&gt;"",Courses!F175&gt;0,SUM(Courses!M175,Courses!N175)&gt;0),Courses!F175*SUM(Courses!M175,Courses!N175),0)</f>
        <v>0</v>
      </c>
      <c r="F169" s="41">
        <f>IF(AND('Courses Valid'!C181=0,Courses!G175&lt;&gt;"",Courses!H175&gt;0,SUM(Courses!M175,Courses!N175)&gt;0),Courses!H175*SUM(Courses!M175,Courses!N175),0)</f>
        <v>0</v>
      </c>
      <c r="G169" s="105">
        <f>IF(AND('Courses Valid'!C181=0,Courses!I175&lt;&gt;"",Courses!J175&gt;0,SUM(Courses!M175,Courses!N175)&gt;0),Courses!J175*SUM(Courses!M175,Courses!N175),0)</f>
        <v>0</v>
      </c>
      <c r="H169" s="1580">
        <f>IF(AND('Courses Valid'!C181=0,Courses!E175&lt;&gt;"",Courses!F175&gt;0,SUM(Courses!O175,Courses!P175)&gt;0),Courses!F175*SUM(Courses!O175,Courses!P175),0)</f>
        <v>0</v>
      </c>
      <c r="I169" s="41">
        <f>IF(AND('Courses Valid'!C181=0,Courses!G175&lt;&gt;"",Courses!H175&gt;0,SUM(Courses!O175,Courses!P175)&gt;0),Courses!H175*SUM(Courses!O175,Courses!P175),0)</f>
        <v>0</v>
      </c>
      <c r="J169" s="105">
        <f>IF(AND('Courses Valid'!C181=0,Courses!I175&lt;&gt;"",Courses!J175&gt;0,SUM(Courses!O175,Courses!P175)&gt;0),Courses!J175*SUM(Courses!O175,Courses!P175),0)</f>
        <v>0</v>
      </c>
      <c r="K169" s="1580">
        <f>IF(AND('Courses Valid'!C181=0,Courses!E175&lt;&gt;"",Courses!F175&gt;0,Courses!Q175&gt;0),Courses!F175*Courses!Q175,0)</f>
        <v>0</v>
      </c>
      <c r="L169" s="41">
        <f>IF(AND('Courses Valid'!C181=0,Courses!G175&lt;&gt;"",Courses!H175&gt;0,Courses!Q175&gt;0),Courses!H175*Courses!Q175,0)</f>
        <v>0</v>
      </c>
      <c r="M169" s="105">
        <f>IF(AND('Courses Valid'!C181=0,Courses!I175&lt;&gt;"",Courses!J175&gt;0,Courses!Q175&gt;0),Courses!J175*Courses!Q175,0)</f>
        <v>0</v>
      </c>
      <c r="N169" s="41">
        <f>IF(AND('Courses Valid'!C181=0,Courses!E175&lt;&gt;"",Courses!F175&gt;0,SUM(Courses!W175,Courses!X175)&gt;0),Courses!F175*SUM(Courses!W175,Courses!X175),0)</f>
        <v>0</v>
      </c>
      <c r="O169" s="41">
        <f>IF(AND('Courses Valid'!C181=0,Courses!G175&lt;&gt;"",Courses!H175&gt;0,SUM(Courses!W175,Courses!X175)&gt;0),Courses!H175*SUM(Courses!W175,Courses!X175),0)</f>
        <v>0</v>
      </c>
      <c r="P169" s="41">
        <f>IF(AND('Courses Valid'!C181=0,Courses!I175&lt;&gt;"",Courses!J175&gt;0,SUM(Courses!W175,Courses!X175)&gt;0),Courses!J175*SUM(Courses!W175,Courses!X175),0)</f>
        <v>0</v>
      </c>
      <c r="Q169" s="1580">
        <f>IF(AND('Courses Valid'!C181=0,Courses!E175&lt;&gt;"",Courses!F175&gt;0,SUM(Courses!Y175,Courses!Z175)&gt;0),Courses!F175*SUM(Courses!Y175,Courses!Z175),0)</f>
        <v>0</v>
      </c>
      <c r="R169" s="41">
        <f>IF(AND('Courses Valid'!C181=0,Courses!G175&lt;&gt;"",Courses!H175&gt;0,SUM(Courses!Y175,Courses!Z175)&gt;0),Courses!H175*SUM(Courses!Y175,Courses!Z175),0)</f>
        <v>0</v>
      </c>
      <c r="S169" s="105">
        <f>IF(AND('Courses Valid'!C181=0,Courses!I175&lt;&gt;"",Courses!J175&gt;0,SUM(Courses!Y175,Courses!Z175)&gt;0),Courses!J175*SUM(Courses!Y175,Courses!Z175),0)</f>
        <v>0</v>
      </c>
      <c r="T169" s="41">
        <f>IF(AND('Courses Valid'!C181=0,Courses!E175&lt;&gt;"",Courses!F175&gt;0,Courses!AA175&gt;0),Courses!F175*Courses!AA175,0)</f>
        <v>0</v>
      </c>
      <c r="U169" s="41">
        <f>IF(AND('Courses Valid'!C181=0,Courses!G175&lt;&gt;"",Courses!H175&gt;0,Courses!AA175&gt;0),Courses!H175*Courses!AA175,0)</f>
        <v>0</v>
      </c>
      <c r="V169" s="106">
        <f>IF(AND('Courses Valid'!C181=0,Courses!I175&lt;&gt;"",Courses!J175&gt;0,Courses!AA175&gt;0),Courses!J175*Courses!AA175,0)</f>
        <v>0</v>
      </c>
      <c r="W169" s="41"/>
    </row>
    <row r="170" spans="2:23" x14ac:dyDescent="0.35">
      <c r="B170" s="70" t="str">
        <f>IF(Courses!B176&lt;&gt;"",CONCATENATE(Courses!E176,"/",Courses!L176,"/",Courses!K176),"")</f>
        <v/>
      </c>
      <c r="C170" s="1579" t="str">
        <f>IF(AND(Courses!B176&lt;&gt;"",Courses!G176&lt;&gt;""),CONCATENATE(Courses!G176,"/",Courses!L176,"/",Courses!K176),"")</f>
        <v/>
      </c>
      <c r="D170" s="71" t="str">
        <f>IF(AND(Courses!B176&lt;&gt;"",Courses!I176&lt;&gt;""),CONCATENATE(Courses!I176,"/",Courses!L176,"/",Courses!K176),"")</f>
        <v/>
      </c>
      <c r="E170" s="1580">
        <f>IF(AND('Courses Valid'!C182=0,Courses!E176&lt;&gt;"",Courses!F176&gt;0,SUM(Courses!M176,Courses!N176)&gt;0),Courses!F176*SUM(Courses!M176,Courses!N176),0)</f>
        <v>0</v>
      </c>
      <c r="F170" s="41">
        <f>IF(AND('Courses Valid'!C182=0,Courses!G176&lt;&gt;"",Courses!H176&gt;0,SUM(Courses!M176,Courses!N176)&gt;0),Courses!H176*SUM(Courses!M176,Courses!N176),0)</f>
        <v>0</v>
      </c>
      <c r="G170" s="105">
        <f>IF(AND('Courses Valid'!C182=0,Courses!I176&lt;&gt;"",Courses!J176&gt;0,SUM(Courses!M176,Courses!N176)&gt;0),Courses!J176*SUM(Courses!M176,Courses!N176),0)</f>
        <v>0</v>
      </c>
      <c r="H170" s="1580">
        <f>IF(AND('Courses Valid'!C182=0,Courses!E176&lt;&gt;"",Courses!F176&gt;0,SUM(Courses!O176,Courses!P176)&gt;0),Courses!F176*SUM(Courses!O176,Courses!P176),0)</f>
        <v>0</v>
      </c>
      <c r="I170" s="41">
        <f>IF(AND('Courses Valid'!C182=0,Courses!G176&lt;&gt;"",Courses!H176&gt;0,SUM(Courses!O176,Courses!P176)&gt;0),Courses!H176*SUM(Courses!O176,Courses!P176),0)</f>
        <v>0</v>
      </c>
      <c r="J170" s="105">
        <f>IF(AND('Courses Valid'!C182=0,Courses!I176&lt;&gt;"",Courses!J176&gt;0,SUM(Courses!O176,Courses!P176)&gt;0),Courses!J176*SUM(Courses!O176,Courses!P176),0)</f>
        <v>0</v>
      </c>
      <c r="K170" s="1580">
        <f>IF(AND('Courses Valid'!C182=0,Courses!E176&lt;&gt;"",Courses!F176&gt;0,Courses!Q176&gt;0),Courses!F176*Courses!Q176,0)</f>
        <v>0</v>
      </c>
      <c r="L170" s="41">
        <f>IF(AND('Courses Valid'!C182=0,Courses!G176&lt;&gt;"",Courses!H176&gt;0,Courses!Q176&gt;0),Courses!H176*Courses!Q176,0)</f>
        <v>0</v>
      </c>
      <c r="M170" s="105">
        <f>IF(AND('Courses Valid'!C182=0,Courses!I176&lt;&gt;"",Courses!J176&gt;0,Courses!Q176&gt;0),Courses!J176*Courses!Q176,0)</f>
        <v>0</v>
      </c>
      <c r="N170" s="41">
        <f>IF(AND('Courses Valid'!C182=0,Courses!E176&lt;&gt;"",Courses!F176&gt;0,SUM(Courses!W176,Courses!X176)&gt;0),Courses!F176*SUM(Courses!W176,Courses!X176),0)</f>
        <v>0</v>
      </c>
      <c r="O170" s="41">
        <f>IF(AND('Courses Valid'!C182=0,Courses!G176&lt;&gt;"",Courses!H176&gt;0,SUM(Courses!W176,Courses!X176)&gt;0),Courses!H176*SUM(Courses!W176,Courses!X176),0)</f>
        <v>0</v>
      </c>
      <c r="P170" s="41">
        <f>IF(AND('Courses Valid'!C182=0,Courses!I176&lt;&gt;"",Courses!J176&gt;0,SUM(Courses!W176,Courses!X176)&gt;0),Courses!J176*SUM(Courses!W176,Courses!X176),0)</f>
        <v>0</v>
      </c>
      <c r="Q170" s="1580">
        <f>IF(AND('Courses Valid'!C182=0,Courses!E176&lt;&gt;"",Courses!F176&gt;0,SUM(Courses!Y176,Courses!Z176)&gt;0),Courses!F176*SUM(Courses!Y176,Courses!Z176),0)</f>
        <v>0</v>
      </c>
      <c r="R170" s="41">
        <f>IF(AND('Courses Valid'!C182=0,Courses!G176&lt;&gt;"",Courses!H176&gt;0,SUM(Courses!Y176,Courses!Z176)&gt;0),Courses!H176*SUM(Courses!Y176,Courses!Z176),0)</f>
        <v>0</v>
      </c>
      <c r="S170" s="105">
        <f>IF(AND('Courses Valid'!C182=0,Courses!I176&lt;&gt;"",Courses!J176&gt;0,SUM(Courses!Y176,Courses!Z176)&gt;0),Courses!J176*SUM(Courses!Y176,Courses!Z176),0)</f>
        <v>0</v>
      </c>
      <c r="T170" s="41">
        <f>IF(AND('Courses Valid'!C182=0,Courses!E176&lt;&gt;"",Courses!F176&gt;0,Courses!AA176&gt;0),Courses!F176*Courses!AA176,0)</f>
        <v>0</v>
      </c>
      <c r="U170" s="41">
        <f>IF(AND('Courses Valid'!C182=0,Courses!G176&lt;&gt;"",Courses!H176&gt;0,Courses!AA176&gt;0),Courses!H176*Courses!AA176,0)</f>
        <v>0</v>
      </c>
      <c r="V170" s="106">
        <f>IF(AND('Courses Valid'!C182=0,Courses!I176&lt;&gt;"",Courses!J176&gt;0,Courses!AA176&gt;0),Courses!J176*Courses!AA176,0)</f>
        <v>0</v>
      </c>
      <c r="W170" s="41"/>
    </row>
    <row r="171" spans="2:23" x14ac:dyDescent="0.35">
      <c r="B171" s="70" t="str">
        <f>IF(Courses!B177&lt;&gt;"",CONCATENATE(Courses!E177,"/",Courses!L177,"/",Courses!K177),"")</f>
        <v/>
      </c>
      <c r="C171" s="1579" t="str">
        <f>IF(AND(Courses!B177&lt;&gt;"",Courses!G177&lt;&gt;""),CONCATENATE(Courses!G177,"/",Courses!L177,"/",Courses!K177),"")</f>
        <v/>
      </c>
      <c r="D171" s="71" t="str">
        <f>IF(AND(Courses!B177&lt;&gt;"",Courses!I177&lt;&gt;""),CONCATENATE(Courses!I177,"/",Courses!L177,"/",Courses!K177),"")</f>
        <v/>
      </c>
      <c r="E171" s="1580">
        <f>IF(AND('Courses Valid'!C183=0,Courses!E177&lt;&gt;"",Courses!F177&gt;0,SUM(Courses!M177,Courses!N177)&gt;0),Courses!F177*SUM(Courses!M177,Courses!N177),0)</f>
        <v>0</v>
      </c>
      <c r="F171" s="41">
        <f>IF(AND('Courses Valid'!C183=0,Courses!G177&lt;&gt;"",Courses!H177&gt;0,SUM(Courses!M177,Courses!N177)&gt;0),Courses!H177*SUM(Courses!M177,Courses!N177),0)</f>
        <v>0</v>
      </c>
      <c r="G171" s="105">
        <f>IF(AND('Courses Valid'!C183=0,Courses!I177&lt;&gt;"",Courses!J177&gt;0,SUM(Courses!M177,Courses!N177)&gt;0),Courses!J177*SUM(Courses!M177,Courses!N177),0)</f>
        <v>0</v>
      </c>
      <c r="H171" s="1580">
        <f>IF(AND('Courses Valid'!C183=0,Courses!E177&lt;&gt;"",Courses!F177&gt;0,SUM(Courses!O177,Courses!P177)&gt;0),Courses!F177*SUM(Courses!O177,Courses!P177),0)</f>
        <v>0</v>
      </c>
      <c r="I171" s="41">
        <f>IF(AND('Courses Valid'!C183=0,Courses!G177&lt;&gt;"",Courses!H177&gt;0,SUM(Courses!O177,Courses!P177)&gt;0),Courses!H177*SUM(Courses!O177,Courses!P177),0)</f>
        <v>0</v>
      </c>
      <c r="J171" s="105">
        <f>IF(AND('Courses Valid'!C183=0,Courses!I177&lt;&gt;"",Courses!J177&gt;0,SUM(Courses!O177,Courses!P177)&gt;0),Courses!J177*SUM(Courses!O177,Courses!P177),0)</f>
        <v>0</v>
      </c>
      <c r="K171" s="1580">
        <f>IF(AND('Courses Valid'!C183=0,Courses!E177&lt;&gt;"",Courses!F177&gt;0,Courses!Q177&gt;0),Courses!F177*Courses!Q177,0)</f>
        <v>0</v>
      </c>
      <c r="L171" s="41">
        <f>IF(AND('Courses Valid'!C183=0,Courses!G177&lt;&gt;"",Courses!H177&gt;0,Courses!Q177&gt;0),Courses!H177*Courses!Q177,0)</f>
        <v>0</v>
      </c>
      <c r="M171" s="105">
        <f>IF(AND('Courses Valid'!C183=0,Courses!I177&lt;&gt;"",Courses!J177&gt;0,Courses!Q177&gt;0),Courses!J177*Courses!Q177,0)</f>
        <v>0</v>
      </c>
      <c r="N171" s="41">
        <f>IF(AND('Courses Valid'!C183=0,Courses!E177&lt;&gt;"",Courses!F177&gt;0,SUM(Courses!W177,Courses!X177)&gt;0),Courses!F177*SUM(Courses!W177,Courses!X177),0)</f>
        <v>0</v>
      </c>
      <c r="O171" s="41">
        <f>IF(AND('Courses Valid'!C183=0,Courses!G177&lt;&gt;"",Courses!H177&gt;0,SUM(Courses!W177,Courses!X177)&gt;0),Courses!H177*SUM(Courses!W177,Courses!X177),0)</f>
        <v>0</v>
      </c>
      <c r="P171" s="41">
        <f>IF(AND('Courses Valid'!C183=0,Courses!I177&lt;&gt;"",Courses!J177&gt;0,SUM(Courses!W177,Courses!X177)&gt;0),Courses!J177*SUM(Courses!W177,Courses!X177),0)</f>
        <v>0</v>
      </c>
      <c r="Q171" s="1580">
        <f>IF(AND('Courses Valid'!C183=0,Courses!E177&lt;&gt;"",Courses!F177&gt;0,SUM(Courses!Y177,Courses!Z177)&gt;0),Courses!F177*SUM(Courses!Y177,Courses!Z177),0)</f>
        <v>0</v>
      </c>
      <c r="R171" s="41">
        <f>IF(AND('Courses Valid'!C183=0,Courses!G177&lt;&gt;"",Courses!H177&gt;0,SUM(Courses!Y177,Courses!Z177)&gt;0),Courses!H177*SUM(Courses!Y177,Courses!Z177),0)</f>
        <v>0</v>
      </c>
      <c r="S171" s="105">
        <f>IF(AND('Courses Valid'!C183=0,Courses!I177&lt;&gt;"",Courses!J177&gt;0,SUM(Courses!Y177,Courses!Z177)&gt;0),Courses!J177*SUM(Courses!Y177,Courses!Z177),0)</f>
        <v>0</v>
      </c>
      <c r="T171" s="41">
        <f>IF(AND('Courses Valid'!C183=0,Courses!E177&lt;&gt;"",Courses!F177&gt;0,Courses!AA177&gt;0),Courses!F177*Courses!AA177,0)</f>
        <v>0</v>
      </c>
      <c r="U171" s="41">
        <f>IF(AND('Courses Valid'!C183=0,Courses!G177&lt;&gt;"",Courses!H177&gt;0,Courses!AA177&gt;0),Courses!H177*Courses!AA177,0)</f>
        <v>0</v>
      </c>
      <c r="V171" s="106">
        <f>IF(AND('Courses Valid'!C183=0,Courses!I177&lt;&gt;"",Courses!J177&gt;0,Courses!AA177&gt;0),Courses!J177*Courses!AA177,0)</f>
        <v>0</v>
      </c>
      <c r="W171" s="41"/>
    </row>
    <row r="172" spans="2:23" x14ac:dyDescent="0.35">
      <c r="B172" s="70" t="str">
        <f>IF(Courses!B178&lt;&gt;"",CONCATENATE(Courses!E178,"/",Courses!L178,"/",Courses!K178),"")</f>
        <v/>
      </c>
      <c r="C172" s="1579" t="str">
        <f>IF(AND(Courses!B178&lt;&gt;"",Courses!G178&lt;&gt;""),CONCATENATE(Courses!G178,"/",Courses!L178,"/",Courses!K178),"")</f>
        <v/>
      </c>
      <c r="D172" s="71" t="str">
        <f>IF(AND(Courses!B178&lt;&gt;"",Courses!I178&lt;&gt;""),CONCATENATE(Courses!I178,"/",Courses!L178,"/",Courses!K178),"")</f>
        <v/>
      </c>
      <c r="E172" s="1580">
        <f>IF(AND('Courses Valid'!C184=0,Courses!E178&lt;&gt;"",Courses!F178&gt;0,SUM(Courses!M178,Courses!N178)&gt;0),Courses!F178*SUM(Courses!M178,Courses!N178),0)</f>
        <v>0</v>
      </c>
      <c r="F172" s="41">
        <f>IF(AND('Courses Valid'!C184=0,Courses!G178&lt;&gt;"",Courses!H178&gt;0,SUM(Courses!M178,Courses!N178)&gt;0),Courses!H178*SUM(Courses!M178,Courses!N178),0)</f>
        <v>0</v>
      </c>
      <c r="G172" s="105">
        <f>IF(AND('Courses Valid'!C184=0,Courses!I178&lt;&gt;"",Courses!J178&gt;0,SUM(Courses!M178,Courses!N178)&gt;0),Courses!J178*SUM(Courses!M178,Courses!N178),0)</f>
        <v>0</v>
      </c>
      <c r="H172" s="1580">
        <f>IF(AND('Courses Valid'!C184=0,Courses!E178&lt;&gt;"",Courses!F178&gt;0,SUM(Courses!O178,Courses!P178)&gt;0),Courses!F178*SUM(Courses!O178,Courses!P178),0)</f>
        <v>0</v>
      </c>
      <c r="I172" s="41">
        <f>IF(AND('Courses Valid'!C184=0,Courses!G178&lt;&gt;"",Courses!H178&gt;0,SUM(Courses!O178,Courses!P178)&gt;0),Courses!H178*SUM(Courses!O178,Courses!P178),0)</f>
        <v>0</v>
      </c>
      <c r="J172" s="105">
        <f>IF(AND('Courses Valid'!C184=0,Courses!I178&lt;&gt;"",Courses!J178&gt;0,SUM(Courses!O178,Courses!P178)&gt;0),Courses!J178*SUM(Courses!O178,Courses!P178),0)</f>
        <v>0</v>
      </c>
      <c r="K172" s="1580">
        <f>IF(AND('Courses Valid'!C184=0,Courses!E178&lt;&gt;"",Courses!F178&gt;0,Courses!Q178&gt;0),Courses!F178*Courses!Q178,0)</f>
        <v>0</v>
      </c>
      <c r="L172" s="41">
        <f>IF(AND('Courses Valid'!C184=0,Courses!G178&lt;&gt;"",Courses!H178&gt;0,Courses!Q178&gt;0),Courses!H178*Courses!Q178,0)</f>
        <v>0</v>
      </c>
      <c r="M172" s="105">
        <f>IF(AND('Courses Valid'!C184=0,Courses!I178&lt;&gt;"",Courses!J178&gt;0,Courses!Q178&gt;0),Courses!J178*Courses!Q178,0)</f>
        <v>0</v>
      </c>
      <c r="N172" s="41">
        <f>IF(AND('Courses Valid'!C184=0,Courses!E178&lt;&gt;"",Courses!F178&gt;0,SUM(Courses!W178,Courses!X178)&gt;0),Courses!F178*SUM(Courses!W178,Courses!X178),0)</f>
        <v>0</v>
      </c>
      <c r="O172" s="41">
        <f>IF(AND('Courses Valid'!C184=0,Courses!G178&lt;&gt;"",Courses!H178&gt;0,SUM(Courses!W178,Courses!X178)&gt;0),Courses!H178*SUM(Courses!W178,Courses!X178),0)</f>
        <v>0</v>
      </c>
      <c r="P172" s="41">
        <f>IF(AND('Courses Valid'!C184=0,Courses!I178&lt;&gt;"",Courses!J178&gt;0,SUM(Courses!W178,Courses!X178)&gt;0),Courses!J178*SUM(Courses!W178,Courses!X178),0)</f>
        <v>0</v>
      </c>
      <c r="Q172" s="1580">
        <f>IF(AND('Courses Valid'!C184=0,Courses!E178&lt;&gt;"",Courses!F178&gt;0,SUM(Courses!Y178,Courses!Z178)&gt;0),Courses!F178*SUM(Courses!Y178,Courses!Z178),0)</f>
        <v>0</v>
      </c>
      <c r="R172" s="41">
        <f>IF(AND('Courses Valid'!C184=0,Courses!G178&lt;&gt;"",Courses!H178&gt;0,SUM(Courses!Y178,Courses!Z178)&gt;0),Courses!H178*SUM(Courses!Y178,Courses!Z178),0)</f>
        <v>0</v>
      </c>
      <c r="S172" s="105">
        <f>IF(AND('Courses Valid'!C184=0,Courses!I178&lt;&gt;"",Courses!J178&gt;0,SUM(Courses!Y178,Courses!Z178)&gt;0),Courses!J178*SUM(Courses!Y178,Courses!Z178),0)</f>
        <v>0</v>
      </c>
      <c r="T172" s="41">
        <f>IF(AND('Courses Valid'!C184=0,Courses!E178&lt;&gt;"",Courses!F178&gt;0,Courses!AA178&gt;0),Courses!F178*Courses!AA178,0)</f>
        <v>0</v>
      </c>
      <c r="U172" s="41">
        <f>IF(AND('Courses Valid'!C184=0,Courses!G178&lt;&gt;"",Courses!H178&gt;0,Courses!AA178&gt;0),Courses!H178*Courses!AA178,0)</f>
        <v>0</v>
      </c>
      <c r="V172" s="106">
        <f>IF(AND('Courses Valid'!C184=0,Courses!I178&lt;&gt;"",Courses!J178&gt;0,Courses!AA178&gt;0),Courses!J178*Courses!AA178,0)</f>
        <v>0</v>
      </c>
      <c r="W172" s="41"/>
    </row>
    <row r="173" spans="2:23" x14ac:dyDescent="0.35">
      <c r="B173" s="70" t="str">
        <f>IF(Courses!B179&lt;&gt;"",CONCATENATE(Courses!E179,"/",Courses!L179,"/",Courses!K179),"")</f>
        <v/>
      </c>
      <c r="C173" s="1579" t="str">
        <f>IF(AND(Courses!B179&lt;&gt;"",Courses!G179&lt;&gt;""),CONCATENATE(Courses!G179,"/",Courses!L179,"/",Courses!K179),"")</f>
        <v/>
      </c>
      <c r="D173" s="71" t="str">
        <f>IF(AND(Courses!B179&lt;&gt;"",Courses!I179&lt;&gt;""),CONCATENATE(Courses!I179,"/",Courses!L179,"/",Courses!K179),"")</f>
        <v/>
      </c>
      <c r="E173" s="1580">
        <f>IF(AND('Courses Valid'!C185=0,Courses!E179&lt;&gt;"",Courses!F179&gt;0,SUM(Courses!M179,Courses!N179)&gt;0),Courses!F179*SUM(Courses!M179,Courses!N179),0)</f>
        <v>0</v>
      </c>
      <c r="F173" s="41">
        <f>IF(AND('Courses Valid'!C185=0,Courses!G179&lt;&gt;"",Courses!H179&gt;0,SUM(Courses!M179,Courses!N179)&gt;0),Courses!H179*SUM(Courses!M179,Courses!N179),0)</f>
        <v>0</v>
      </c>
      <c r="G173" s="105">
        <f>IF(AND('Courses Valid'!C185=0,Courses!I179&lt;&gt;"",Courses!J179&gt;0,SUM(Courses!M179,Courses!N179)&gt;0),Courses!J179*SUM(Courses!M179,Courses!N179),0)</f>
        <v>0</v>
      </c>
      <c r="H173" s="1580">
        <f>IF(AND('Courses Valid'!C185=0,Courses!E179&lt;&gt;"",Courses!F179&gt;0,SUM(Courses!O179,Courses!P179)&gt;0),Courses!F179*SUM(Courses!O179,Courses!P179),0)</f>
        <v>0</v>
      </c>
      <c r="I173" s="41">
        <f>IF(AND('Courses Valid'!C185=0,Courses!G179&lt;&gt;"",Courses!H179&gt;0,SUM(Courses!O179,Courses!P179)&gt;0),Courses!H179*SUM(Courses!O179,Courses!P179),0)</f>
        <v>0</v>
      </c>
      <c r="J173" s="105">
        <f>IF(AND('Courses Valid'!C185=0,Courses!I179&lt;&gt;"",Courses!J179&gt;0,SUM(Courses!O179,Courses!P179)&gt;0),Courses!J179*SUM(Courses!O179,Courses!P179),0)</f>
        <v>0</v>
      </c>
      <c r="K173" s="1580">
        <f>IF(AND('Courses Valid'!C185=0,Courses!E179&lt;&gt;"",Courses!F179&gt;0,Courses!Q179&gt;0),Courses!F179*Courses!Q179,0)</f>
        <v>0</v>
      </c>
      <c r="L173" s="41">
        <f>IF(AND('Courses Valid'!C185=0,Courses!G179&lt;&gt;"",Courses!H179&gt;0,Courses!Q179&gt;0),Courses!H179*Courses!Q179,0)</f>
        <v>0</v>
      </c>
      <c r="M173" s="105">
        <f>IF(AND('Courses Valid'!C185=0,Courses!I179&lt;&gt;"",Courses!J179&gt;0,Courses!Q179&gt;0),Courses!J179*Courses!Q179,0)</f>
        <v>0</v>
      </c>
      <c r="N173" s="41">
        <f>IF(AND('Courses Valid'!C185=0,Courses!E179&lt;&gt;"",Courses!F179&gt;0,SUM(Courses!W179,Courses!X179)&gt;0),Courses!F179*SUM(Courses!W179,Courses!X179),0)</f>
        <v>0</v>
      </c>
      <c r="O173" s="41">
        <f>IF(AND('Courses Valid'!C185=0,Courses!G179&lt;&gt;"",Courses!H179&gt;0,SUM(Courses!W179,Courses!X179)&gt;0),Courses!H179*SUM(Courses!W179,Courses!X179),0)</f>
        <v>0</v>
      </c>
      <c r="P173" s="41">
        <f>IF(AND('Courses Valid'!C185=0,Courses!I179&lt;&gt;"",Courses!J179&gt;0,SUM(Courses!W179,Courses!X179)&gt;0),Courses!J179*SUM(Courses!W179,Courses!X179),0)</f>
        <v>0</v>
      </c>
      <c r="Q173" s="1580">
        <f>IF(AND('Courses Valid'!C185=0,Courses!E179&lt;&gt;"",Courses!F179&gt;0,SUM(Courses!Y179,Courses!Z179)&gt;0),Courses!F179*SUM(Courses!Y179,Courses!Z179),0)</f>
        <v>0</v>
      </c>
      <c r="R173" s="41">
        <f>IF(AND('Courses Valid'!C185=0,Courses!G179&lt;&gt;"",Courses!H179&gt;0,SUM(Courses!Y179,Courses!Z179)&gt;0),Courses!H179*SUM(Courses!Y179,Courses!Z179),0)</f>
        <v>0</v>
      </c>
      <c r="S173" s="105">
        <f>IF(AND('Courses Valid'!C185=0,Courses!I179&lt;&gt;"",Courses!J179&gt;0,SUM(Courses!Y179,Courses!Z179)&gt;0),Courses!J179*SUM(Courses!Y179,Courses!Z179),0)</f>
        <v>0</v>
      </c>
      <c r="T173" s="41">
        <f>IF(AND('Courses Valid'!C185=0,Courses!E179&lt;&gt;"",Courses!F179&gt;0,Courses!AA179&gt;0),Courses!F179*Courses!AA179,0)</f>
        <v>0</v>
      </c>
      <c r="U173" s="41">
        <f>IF(AND('Courses Valid'!C185=0,Courses!G179&lt;&gt;"",Courses!H179&gt;0,Courses!AA179&gt;0),Courses!H179*Courses!AA179,0)</f>
        <v>0</v>
      </c>
      <c r="V173" s="106">
        <f>IF(AND('Courses Valid'!C185=0,Courses!I179&lt;&gt;"",Courses!J179&gt;0,Courses!AA179&gt;0),Courses!J179*Courses!AA179,0)</f>
        <v>0</v>
      </c>
      <c r="W173" s="41"/>
    </row>
    <row r="174" spans="2:23" x14ac:dyDescent="0.35">
      <c r="B174" s="70" t="str">
        <f>IF(Courses!B180&lt;&gt;"",CONCATENATE(Courses!E180,"/",Courses!L180,"/",Courses!K180),"")</f>
        <v/>
      </c>
      <c r="C174" s="1579" t="str">
        <f>IF(AND(Courses!B180&lt;&gt;"",Courses!G180&lt;&gt;""),CONCATENATE(Courses!G180,"/",Courses!L180,"/",Courses!K180),"")</f>
        <v/>
      </c>
      <c r="D174" s="71" t="str">
        <f>IF(AND(Courses!B180&lt;&gt;"",Courses!I180&lt;&gt;""),CONCATENATE(Courses!I180,"/",Courses!L180,"/",Courses!K180),"")</f>
        <v/>
      </c>
      <c r="E174" s="1580">
        <f>IF(AND('Courses Valid'!C186=0,Courses!E180&lt;&gt;"",Courses!F180&gt;0,SUM(Courses!M180,Courses!N180)&gt;0),Courses!F180*SUM(Courses!M180,Courses!N180),0)</f>
        <v>0</v>
      </c>
      <c r="F174" s="41">
        <f>IF(AND('Courses Valid'!C186=0,Courses!G180&lt;&gt;"",Courses!H180&gt;0,SUM(Courses!M180,Courses!N180)&gt;0),Courses!H180*SUM(Courses!M180,Courses!N180),0)</f>
        <v>0</v>
      </c>
      <c r="G174" s="105">
        <f>IF(AND('Courses Valid'!C186=0,Courses!I180&lt;&gt;"",Courses!J180&gt;0,SUM(Courses!M180,Courses!N180)&gt;0),Courses!J180*SUM(Courses!M180,Courses!N180),0)</f>
        <v>0</v>
      </c>
      <c r="H174" s="1580">
        <f>IF(AND('Courses Valid'!C186=0,Courses!E180&lt;&gt;"",Courses!F180&gt;0,SUM(Courses!O180,Courses!P180)&gt;0),Courses!F180*SUM(Courses!O180,Courses!P180),0)</f>
        <v>0</v>
      </c>
      <c r="I174" s="41">
        <f>IF(AND('Courses Valid'!C186=0,Courses!G180&lt;&gt;"",Courses!H180&gt;0,SUM(Courses!O180,Courses!P180)&gt;0),Courses!H180*SUM(Courses!O180,Courses!P180),0)</f>
        <v>0</v>
      </c>
      <c r="J174" s="105">
        <f>IF(AND('Courses Valid'!C186=0,Courses!I180&lt;&gt;"",Courses!J180&gt;0,SUM(Courses!O180,Courses!P180)&gt;0),Courses!J180*SUM(Courses!O180,Courses!P180),0)</f>
        <v>0</v>
      </c>
      <c r="K174" s="1580">
        <f>IF(AND('Courses Valid'!C186=0,Courses!E180&lt;&gt;"",Courses!F180&gt;0,Courses!Q180&gt;0),Courses!F180*Courses!Q180,0)</f>
        <v>0</v>
      </c>
      <c r="L174" s="41">
        <f>IF(AND('Courses Valid'!C186=0,Courses!G180&lt;&gt;"",Courses!H180&gt;0,Courses!Q180&gt;0),Courses!H180*Courses!Q180,0)</f>
        <v>0</v>
      </c>
      <c r="M174" s="105">
        <f>IF(AND('Courses Valid'!C186=0,Courses!I180&lt;&gt;"",Courses!J180&gt;0,Courses!Q180&gt;0),Courses!J180*Courses!Q180,0)</f>
        <v>0</v>
      </c>
      <c r="N174" s="41">
        <f>IF(AND('Courses Valid'!C186=0,Courses!E180&lt;&gt;"",Courses!F180&gt;0,SUM(Courses!W180,Courses!X180)&gt;0),Courses!F180*SUM(Courses!W180,Courses!X180),0)</f>
        <v>0</v>
      </c>
      <c r="O174" s="41">
        <f>IF(AND('Courses Valid'!C186=0,Courses!G180&lt;&gt;"",Courses!H180&gt;0,SUM(Courses!W180,Courses!X180)&gt;0),Courses!H180*SUM(Courses!W180,Courses!X180),0)</f>
        <v>0</v>
      </c>
      <c r="P174" s="41">
        <f>IF(AND('Courses Valid'!C186=0,Courses!I180&lt;&gt;"",Courses!J180&gt;0,SUM(Courses!W180,Courses!X180)&gt;0),Courses!J180*SUM(Courses!W180,Courses!X180),0)</f>
        <v>0</v>
      </c>
      <c r="Q174" s="1580">
        <f>IF(AND('Courses Valid'!C186=0,Courses!E180&lt;&gt;"",Courses!F180&gt;0,SUM(Courses!Y180,Courses!Z180)&gt;0),Courses!F180*SUM(Courses!Y180,Courses!Z180),0)</f>
        <v>0</v>
      </c>
      <c r="R174" s="41">
        <f>IF(AND('Courses Valid'!C186=0,Courses!G180&lt;&gt;"",Courses!H180&gt;0,SUM(Courses!Y180,Courses!Z180)&gt;0),Courses!H180*SUM(Courses!Y180,Courses!Z180),0)</f>
        <v>0</v>
      </c>
      <c r="S174" s="105">
        <f>IF(AND('Courses Valid'!C186=0,Courses!I180&lt;&gt;"",Courses!J180&gt;0,SUM(Courses!Y180,Courses!Z180)&gt;0),Courses!J180*SUM(Courses!Y180,Courses!Z180),0)</f>
        <v>0</v>
      </c>
      <c r="T174" s="41">
        <f>IF(AND('Courses Valid'!C186=0,Courses!E180&lt;&gt;"",Courses!F180&gt;0,Courses!AA180&gt;0),Courses!F180*Courses!AA180,0)</f>
        <v>0</v>
      </c>
      <c r="U174" s="41">
        <f>IF(AND('Courses Valid'!C186=0,Courses!G180&lt;&gt;"",Courses!H180&gt;0,Courses!AA180&gt;0),Courses!H180*Courses!AA180,0)</f>
        <v>0</v>
      </c>
      <c r="V174" s="106">
        <f>IF(AND('Courses Valid'!C186=0,Courses!I180&lt;&gt;"",Courses!J180&gt;0,Courses!AA180&gt;0),Courses!J180*Courses!AA180,0)</f>
        <v>0</v>
      </c>
      <c r="W174" s="41"/>
    </row>
    <row r="175" spans="2:23" x14ac:dyDescent="0.35">
      <c r="B175" s="70" t="str">
        <f>IF(Courses!B181&lt;&gt;"",CONCATENATE(Courses!E181,"/",Courses!L181,"/",Courses!K181),"")</f>
        <v/>
      </c>
      <c r="C175" s="1579" t="str">
        <f>IF(AND(Courses!B181&lt;&gt;"",Courses!G181&lt;&gt;""),CONCATENATE(Courses!G181,"/",Courses!L181,"/",Courses!K181),"")</f>
        <v/>
      </c>
      <c r="D175" s="71" t="str">
        <f>IF(AND(Courses!B181&lt;&gt;"",Courses!I181&lt;&gt;""),CONCATENATE(Courses!I181,"/",Courses!L181,"/",Courses!K181),"")</f>
        <v/>
      </c>
      <c r="E175" s="1580">
        <f>IF(AND('Courses Valid'!C187=0,Courses!E181&lt;&gt;"",Courses!F181&gt;0,SUM(Courses!M181,Courses!N181)&gt;0),Courses!F181*SUM(Courses!M181,Courses!N181),0)</f>
        <v>0</v>
      </c>
      <c r="F175" s="41">
        <f>IF(AND('Courses Valid'!C187=0,Courses!G181&lt;&gt;"",Courses!H181&gt;0,SUM(Courses!M181,Courses!N181)&gt;0),Courses!H181*SUM(Courses!M181,Courses!N181),0)</f>
        <v>0</v>
      </c>
      <c r="G175" s="105">
        <f>IF(AND('Courses Valid'!C187=0,Courses!I181&lt;&gt;"",Courses!J181&gt;0,SUM(Courses!M181,Courses!N181)&gt;0),Courses!J181*SUM(Courses!M181,Courses!N181),0)</f>
        <v>0</v>
      </c>
      <c r="H175" s="1580">
        <f>IF(AND('Courses Valid'!C187=0,Courses!E181&lt;&gt;"",Courses!F181&gt;0,SUM(Courses!O181,Courses!P181)&gt;0),Courses!F181*SUM(Courses!O181,Courses!P181),0)</f>
        <v>0</v>
      </c>
      <c r="I175" s="41">
        <f>IF(AND('Courses Valid'!C187=0,Courses!G181&lt;&gt;"",Courses!H181&gt;0,SUM(Courses!O181,Courses!P181)&gt;0),Courses!H181*SUM(Courses!O181,Courses!P181),0)</f>
        <v>0</v>
      </c>
      <c r="J175" s="105">
        <f>IF(AND('Courses Valid'!C187=0,Courses!I181&lt;&gt;"",Courses!J181&gt;0,SUM(Courses!O181,Courses!P181)&gt;0),Courses!J181*SUM(Courses!O181,Courses!P181),0)</f>
        <v>0</v>
      </c>
      <c r="K175" s="1580">
        <f>IF(AND('Courses Valid'!C187=0,Courses!E181&lt;&gt;"",Courses!F181&gt;0,Courses!Q181&gt;0),Courses!F181*Courses!Q181,0)</f>
        <v>0</v>
      </c>
      <c r="L175" s="41">
        <f>IF(AND('Courses Valid'!C187=0,Courses!G181&lt;&gt;"",Courses!H181&gt;0,Courses!Q181&gt;0),Courses!H181*Courses!Q181,0)</f>
        <v>0</v>
      </c>
      <c r="M175" s="105">
        <f>IF(AND('Courses Valid'!C187=0,Courses!I181&lt;&gt;"",Courses!J181&gt;0,Courses!Q181&gt;0),Courses!J181*Courses!Q181,0)</f>
        <v>0</v>
      </c>
      <c r="N175" s="41">
        <f>IF(AND('Courses Valid'!C187=0,Courses!E181&lt;&gt;"",Courses!F181&gt;0,SUM(Courses!W181,Courses!X181)&gt;0),Courses!F181*SUM(Courses!W181,Courses!X181),0)</f>
        <v>0</v>
      </c>
      <c r="O175" s="41">
        <f>IF(AND('Courses Valid'!C187=0,Courses!G181&lt;&gt;"",Courses!H181&gt;0,SUM(Courses!W181,Courses!X181)&gt;0),Courses!H181*SUM(Courses!W181,Courses!X181),0)</f>
        <v>0</v>
      </c>
      <c r="P175" s="41">
        <f>IF(AND('Courses Valid'!C187=0,Courses!I181&lt;&gt;"",Courses!J181&gt;0,SUM(Courses!W181,Courses!X181)&gt;0),Courses!J181*SUM(Courses!W181,Courses!X181),0)</f>
        <v>0</v>
      </c>
      <c r="Q175" s="1580">
        <f>IF(AND('Courses Valid'!C187=0,Courses!E181&lt;&gt;"",Courses!F181&gt;0,SUM(Courses!Y181,Courses!Z181)&gt;0),Courses!F181*SUM(Courses!Y181,Courses!Z181),0)</f>
        <v>0</v>
      </c>
      <c r="R175" s="41">
        <f>IF(AND('Courses Valid'!C187=0,Courses!G181&lt;&gt;"",Courses!H181&gt;0,SUM(Courses!Y181,Courses!Z181)&gt;0),Courses!H181*SUM(Courses!Y181,Courses!Z181),0)</f>
        <v>0</v>
      </c>
      <c r="S175" s="105">
        <f>IF(AND('Courses Valid'!C187=0,Courses!I181&lt;&gt;"",Courses!J181&gt;0,SUM(Courses!Y181,Courses!Z181)&gt;0),Courses!J181*SUM(Courses!Y181,Courses!Z181),0)</f>
        <v>0</v>
      </c>
      <c r="T175" s="41">
        <f>IF(AND('Courses Valid'!C187=0,Courses!E181&lt;&gt;"",Courses!F181&gt;0,Courses!AA181&gt;0),Courses!F181*Courses!AA181,0)</f>
        <v>0</v>
      </c>
      <c r="U175" s="41">
        <f>IF(AND('Courses Valid'!C187=0,Courses!G181&lt;&gt;"",Courses!H181&gt;0,Courses!AA181&gt;0),Courses!H181*Courses!AA181,0)</f>
        <v>0</v>
      </c>
      <c r="V175" s="106">
        <f>IF(AND('Courses Valid'!C187=0,Courses!I181&lt;&gt;"",Courses!J181&gt;0,Courses!AA181&gt;0),Courses!J181*Courses!AA181,0)</f>
        <v>0</v>
      </c>
      <c r="W175" s="41"/>
    </row>
    <row r="176" spans="2:23" x14ac:dyDescent="0.35">
      <c r="B176" s="70" t="str">
        <f>IF(Courses!B182&lt;&gt;"",CONCATENATE(Courses!E182,"/",Courses!L182,"/",Courses!K182),"")</f>
        <v/>
      </c>
      <c r="C176" s="1579" t="str">
        <f>IF(AND(Courses!B182&lt;&gt;"",Courses!G182&lt;&gt;""),CONCATENATE(Courses!G182,"/",Courses!L182,"/",Courses!K182),"")</f>
        <v/>
      </c>
      <c r="D176" s="71" t="str">
        <f>IF(AND(Courses!B182&lt;&gt;"",Courses!I182&lt;&gt;""),CONCATENATE(Courses!I182,"/",Courses!L182,"/",Courses!K182),"")</f>
        <v/>
      </c>
      <c r="E176" s="1580">
        <f>IF(AND('Courses Valid'!C188=0,Courses!E182&lt;&gt;"",Courses!F182&gt;0,SUM(Courses!M182,Courses!N182)&gt;0),Courses!F182*SUM(Courses!M182,Courses!N182),0)</f>
        <v>0</v>
      </c>
      <c r="F176" s="41">
        <f>IF(AND('Courses Valid'!C188=0,Courses!G182&lt;&gt;"",Courses!H182&gt;0,SUM(Courses!M182,Courses!N182)&gt;0),Courses!H182*SUM(Courses!M182,Courses!N182),0)</f>
        <v>0</v>
      </c>
      <c r="G176" s="105">
        <f>IF(AND('Courses Valid'!C188=0,Courses!I182&lt;&gt;"",Courses!J182&gt;0,SUM(Courses!M182,Courses!N182)&gt;0),Courses!J182*SUM(Courses!M182,Courses!N182),0)</f>
        <v>0</v>
      </c>
      <c r="H176" s="1580">
        <f>IF(AND('Courses Valid'!C188=0,Courses!E182&lt;&gt;"",Courses!F182&gt;0,SUM(Courses!O182,Courses!P182)&gt;0),Courses!F182*SUM(Courses!O182,Courses!P182),0)</f>
        <v>0</v>
      </c>
      <c r="I176" s="41">
        <f>IF(AND('Courses Valid'!C188=0,Courses!G182&lt;&gt;"",Courses!H182&gt;0,SUM(Courses!O182,Courses!P182)&gt;0),Courses!H182*SUM(Courses!O182,Courses!P182),0)</f>
        <v>0</v>
      </c>
      <c r="J176" s="105">
        <f>IF(AND('Courses Valid'!C188=0,Courses!I182&lt;&gt;"",Courses!J182&gt;0,SUM(Courses!O182,Courses!P182)&gt;0),Courses!J182*SUM(Courses!O182,Courses!P182),0)</f>
        <v>0</v>
      </c>
      <c r="K176" s="1580">
        <f>IF(AND('Courses Valid'!C188=0,Courses!E182&lt;&gt;"",Courses!F182&gt;0,Courses!Q182&gt;0),Courses!F182*Courses!Q182,0)</f>
        <v>0</v>
      </c>
      <c r="L176" s="41">
        <f>IF(AND('Courses Valid'!C188=0,Courses!G182&lt;&gt;"",Courses!H182&gt;0,Courses!Q182&gt;0),Courses!H182*Courses!Q182,0)</f>
        <v>0</v>
      </c>
      <c r="M176" s="105">
        <f>IF(AND('Courses Valid'!C188=0,Courses!I182&lt;&gt;"",Courses!J182&gt;0,Courses!Q182&gt;0),Courses!J182*Courses!Q182,0)</f>
        <v>0</v>
      </c>
      <c r="N176" s="41">
        <f>IF(AND('Courses Valid'!C188=0,Courses!E182&lt;&gt;"",Courses!F182&gt;0,SUM(Courses!W182,Courses!X182)&gt;0),Courses!F182*SUM(Courses!W182,Courses!X182),0)</f>
        <v>0</v>
      </c>
      <c r="O176" s="41">
        <f>IF(AND('Courses Valid'!C188=0,Courses!G182&lt;&gt;"",Courses!H182&gt;0,SUM(Courses!W182,Courses!X182)&gt;0),Courses!H182*SUM(Courses!W182,Courses!X182),0)</f>
        <v>0</v>
      </c>
      <c r="P176" s="41">
        <f>IF(AND('Courses Valid'!C188=0,Courses!I182&lt;&gt;"",Courses!J182&gt;0,SUM(Courses!W182,Courses!X182)&gt;0),Courses!J182*SUM(Courses!W182,Courses!X182),0)</f>
        <v>0</v>
      </c>
      <c r="Q176" s="1580">
        <f>IF(AND('Courses Valid'!C188=0,Courses!E182&lt;&gt;"",Courses!F182&gt;0,SUM(Courses!Y182,Courses!Z182)&gt;0),Courses!F182*SUM(Courses!Y182,Courses!Z182),0)</f>
        <v>0</v>
      </c>
      <c r="R176" s="41">
        <f>IF(AND('Courses Valid'!C188=0,Courses!G182&lt;&gt;"",Courses!H182&gt;0,SUM(Courses!Y182,Courses!Z182)&gt;0),Courses!H182*SUM(Courses!Y182,Courses!Z182),0)</f>
        <v>0</v>
      </c>
      <c r="S176" s="105">
        <f>IF(AND('Courses Valid'!C188=0,Courses!I182&lt;&gt;"",Courses!J182&gt;0,SUM(Courses!Y182,Courses!Z182)&gt;0),Courses!J182*SUM(Courses!Y182,Courses!Z182),0)</f>
        <v>0</v>
      </c>
      <c r="T176" s="41">
        <f>IF(AND('Courses Valid'!C188=0,Courses!E182&lt;&gt;"",Courses!F182&gt;0,Courses!AA182&gt;0),Courses!F182*Courses!AA182,0)</f>
        <v>0</v>
      </c>
      <c r="U176" s="41">
        <f>IF(AND('Courses Valid'!C188=0,Courses!G182&lt;&gt;"",Courses!H182&gt;0,Courses!AA182&gt;0),Courses!H182*Courses!AA182,0)</f>
        <v>0</v>
      </c>
      <c r="V176" s="106">
        <f>IF(AND('Courses Valid'!C188=0,Courses!I182&lt;&gt;"",Courses!J182&gt;0,Courses!AA182&gt;0),Courses!J182*Courses!AA182,0)</f>
        <v>0</v>
      </c>
      <c r="W176" s="41"/>
    </row>
    <row r="177" spans="2:23" x14ac:dyDescent="0.35">
      <c r="B177" s="70" t="str">
        <f>IF(Courses!B183&lt;&gt;"",CONCATENATE(Courses!E183,"/",Courses!L183,"/",Courses!K183),"")</f>
        <v/>
      </c>
      <c r="C177" s="1579" t="str">
        <f>IF(AND(Courses!B183&lt;&gt;"",Courses!G183&lt;&gt;""),CONCATENATE(Courses!G183,"/",Courses!L183,"/",Courses!K183),"")</f>
        <v/>
      </c>
      <c r="D177" s="71" t="str">
        <f>IF(AND(Courses!B183&lt;&gt;"",Courses!I183&lt;&gt;""),CONCATENATE(Courses!I183,"/",Courses!L183,"/",Courses!K183),"")</f>
        <v/>
      </c>
      <c r="E177" s="1580">
        <f>IF(AND('Courses Valid'!C189=0,Courses!E183&lt;&gt;"",Courses!F183&gt;0,SUM(Courses!M183,Courses!N183)&gt;0),Courses!F183*SUM(Courses!M183,Courses!N183),0)</f>
        <v>0</v>
      </c>
      <c r="F177" s="41">
        <f>IF(AND('Courses Valid'!C189=0,Courses!G183&lt;&gt;"",Courses!H183&gt;0,SUM(Courses!M183,Courses!N183)&gt;0),Courses!H183*SUM(Courses!M183,Courses!N183),0)</f>
        <v>0</v>
      </c>
      <c r="G177" s="105">
        <f>IF(AND('Courses Valid'!C189=0,Courses!I183&lt;&gt;"",Courses!J183&gt;0,SUM(Courses!M183,Courses!N183)&gt;0),Courses!J183*SUM(Courses!M183,Courses!N183),0)</f>
        <v>0</v>
      </c>
      <c r="H177" s="1580">
        <f>IF(AND('Courses Valid'!C189=0,Courses!E183&lt;&gt;"",Courses!F183&gt;0,SUM(Courses!O183,Courses!P183)&gt;0),Courses!F183*SUM(Courses!O183,Courses!P183),0)</f>
        <v>0</v>
      </c>
      <c r="I177" s="41">
        <f>IF(AND('Courses Valid'!C189=0,Courses!G183&lt;&gt;"",Courses!H183&gt;0,SUM(Courses!O183,Courses!P183)&gt;0),Courses!H183*SUM(Courses!O183,Courses!P183),0)</f>
        <v>0</v>
      </c>
      <c r="J177" s="105">
        <f>IF(AND('Courses Valid'!C189=0,Courses!I183&lt;&gt;"",Courses!J183&gt;0,SUM(Courses!O183,Courses!P183)&gt;0),Courses!J183*SUM(Courses!O183,Courses!P183),0)</f>
        <v>0</v>
      </c>
      <c r="K177" s="1580">
        <f>IF(AND('Courses Valid'!C189=0,Courses!E183&lt;&gt;"",Courses!F183&gt;0,Courses!Q183&gt;0),Courses!F183*Courses!Q183,0)</f>
        <v>0</v>
      </c>
      <c r="L177" s="41">
        <f>IF(AND('Courses Valid'!C189=0,Courses!G183&lt;&gt;"",Courses!H183&gt;0,Courses!Q183&gt;0),Courses!H183*Courses!Q183,0)</f>
        <v>0</v>
      </c>
      <c r="M177" s="105">
        <f>IF(AND('Courses Valid'!C189=0,Courses!I183&lt;&gt;"",Courses!J183&gt;0,Courses!Q183&gt;0),Courses!J183*Courses!Q183,0)</f>
        <v>0</v>
      </c>
      <c r="N177" s="41">
        <f>IF(AND('Courses Valid'!C189=0,Courses!E183&lt;&gt;"",Courses!F183&gt;0,SUM(Courses!W183,Courses!X183)&gt;0),Courses!F183*SUM(Courses!W183,Courses!X183),0)</f>
        <v>0</v>
      </c>
      <c r="O177" s="41">
        <f>IF(AND('Courses Valid'!C189=0,Courses!G183&lt;&gt;"",Courses!H183&gt;0,SUM(Courses!W183,Courses!X183)&gt;0),Courses!H183*SUM(Courses!W183,Courses!X183),0)</f>
        <v>0</v>
      </c>
      <c r="P177" s="41">
        <f>IF(AND('Courses Valid'!C189=0,Courses!I183&lt;&gt;"",Courses!J183&gt;0,SUM(Courses!W183,Courses!X183)&gt;0),Courses!J183*SUM(Courses!W183,Courses!X183),0)</f>
        <v>0</v>
      </c>
      <c r="Q177" s="1580">
        <f>IF(AND('Courses Valid'!C189=0,Courses!E183&lt;&gt;"",Courses!F183&gt;0,SUM(Courses!Y183,Courses!Z183)&gt;0),Courses!F183*SUM(Courses!Y183,Courses!Z183),0)</f>
        <v>0</v>
      </c>
      <c r="R177" s="41">
        <f>IF(AND('Courses Valid'!C189=0,Courses!G183&lt;&gt;"",Courses!H183&gt;0,SUM(Courses!Y183,Courses!Z183)&gt;0),Courses!H183*SUM(Courses!Y183,Courses!Z183),0)</f>
        <v>0</v>
      </c>
      <c r="S177" s="105">
        <f>IF(AND('Courses Valid'!C189=0,Courses!I183&lt;&gt;"",Courses!J183&gt;0,SUM(Courses!Y183,Courses!Z183)&gt;0),Courses!J183*SUM(Courses!Y183,Courses!Z183),0)</f>
        <v>0</v>
      </c>
      <c r="T177" s="41">
        <f>IF(AND('Courses Valid'!C189=0,Courses!E183&lt;&gt;"",Courses!F183&gt;0,Courses!AA183&gt;0),Courses!F183*Courses!AA183,0)</f>
        <v>0</v>
      </c>
      <c r="U177" s="41">
        <f>IF(AND('Courses Valid'!C189=0,Courses!G183&lt;&gt;"",Courses!H183&gt;0,Courses!AA183&gt;0),Courses!H183*Courses!AA183,0)</f>
        <v>0</v>
      </c>
      <c r="V177" s="106">
        <f>IF(AND('Courses Valid'!C189=0,Courses!I183&lt;&gt;"",Courses!J183&gt;0,Courses!AA183&gt;0),Courses!J183*Courses!AA183,0)</f>
        <v>0</v>
      </c>
      <c r="W177" s="41"/>
    </row>
    <row r="178" spans="2:23" x14ac:dyDescent="0.35">
      <c r="B178" s="70" t="str">
        <f>IF(Courses!B184&lt;&gt;"",CONCATENATE(Courses!E184,"/",Courses!L184,"/",Courses!K184),"")</f>
        <v/>
      </c>
      <c r="C178" s="1579" t="str">
        <f>IF(AND(Courses!B184&lt;&gt;"",Courses!G184&lt;&gt;""),CONCATENATE(Courses!G184,"/",Courses!L184,"/",Courses!K184),"")</f>
        <v/>
      </c>
      <c r="D178" s="71" t="str">
        <f>IF(AND(Courses!B184&lt;&gt;"",Courses!I184&lt;&gt;""),CONCATENATE(Courses!I184,"/",Courses!L184,"/",Courses!K184),"")</f>
        <v/>
      </c>
      <c r="E178" s="1580">
        <f>IF(AND('Courses Valid'!C190=0,Courses!E184&lt;&gt;"",Courses!F184&gt;0,SUM(Courses!M184,Courses!N184)&gt;0),Courses!F184*SUM(Courses!M184,Courses!N184),0)</f>
        <v>0</v>
      </c>
      <c r="F178" s="41">
        <f>IF(AND('Courses Valid'!C190=0,Courses!G184&lt;&gt;"",Courses!H184&gt;0,SUM(Courses!M184,Courses!N184)&gt;0),Courses!H184*SUM(Courses!M184,Courses!N184),0)</f>
        <v>0</v>
      </c>
      <c r="G178" s="105">
        <f>IF(AND('Courses Valid'!C190=0,Courses!I184&lt;&gt;"",Courses!J184&gt;0,SUM(Courses!M184,Courses!N184)&gt;0),Courses!J184*SUM(Courses!M184,Courses!N184),0)</f>
        <v>0</v>
      </c>
      <c r="H178" s="1580">
        <f>IF(AND('Courses Valid'!C190=0,Courses!E184&lt;&gt;"",Courses!F184&gt;0,SUM(Courses!O184,Courses!P184)&gt;0),Courses!F184*SUM(Courses!O184,Courses!P184),0)</f>
        <v>0</v>
      </c>
      <c r="I178" s="41">
        <f>IF(AND('Courses Valid'!C190=0,Courses!G184&lt;&gt;"",Courses!H184&gt;0,SUM(Courses!O184,Courses!P184)&gt;0),Courses!H184*SUM(Courses!O184,Courses!P184),0)</f>
        <v>0</v>
      </c>
      <c r="J178" s="105">
        <f>IF(AND('Courses Valid'!C190=0,Courses!I184&lt;&gt;"",Courses!J184&gt;0,SUM(Courses!O184,Courses!P184)&gt;0),Courses!J184*SUM(Courses!O184,Courses!P184),0)</f>
        <v>0</v>
      </c>
      <c r="K178" s="1580">
        <f>IF(AND('Courses Valid'!C190=0,Courses!E184&lt;&gt;"",Courses!F184&gt;0,Courses!Q184&gt;0),Courses!F184*Courses!Q184,0)</f>
        <v>0</v>
      </c>
      <c r="L178" s="41">
        <f>IF(AND('Courses Valid'!C190=0,Courses!G184&lt;&gt;"",Courses!H184&gt;0,Courses!Q184&gt;0),Courses!H184*Courses!Q184,0)</f>
        <v>0</v>
      </c>
      <c r="M178" s="105">
        <f>IF(AND('Courses Valid'!C190=0,Courses!I184&lt;&gt;"",Courses!J184&gt;0,Courses!Q184&gt;0),Courses!J184*Courses!Q184,0)</f>
        <v>0</v>
      </c>
      <c r="N178" s="41">
        <f>IF(AND('Courses Valid'!C190=0,Courses!E184&lt;&gt;"",Courses!F184&gt;0,SUM(Courses!W184,Courses!X184)&gt;0),Courses!F184*SUM(Courses!W184,Courses!X184),0)</f>
        <v>0</v>
      </c>
      <c r="O178" s="41">
        <f>IF(AND('Courses Valid'!C190=0,Courses!G184&lt;&gt;"",Courses!H184&gt;0,SUM(Courses!W184,Courses!X184)&gt;0),Courses!H184*SUM(Courses!W184,Courses!X184),0)</f>
        <v>0</v>
      </c>
      <c r="P178" s="41">
        <f>IF(AND('Courses Valid'!C190=0,Courses!I184&lt;&gt;"",Courses!J184&gt;0,SUM(Courses!W184,Courses!X184)&gt;0),Courses!J184*SUM(Courses!W184,Courses!X184),0)</f>
        <v>0</v>
      </c>
      <c r="Q178" s="1580">
        <f>IF(AND('Courses Valid'!C190=0,Courses!E184&lt;&gt;"",Courses!F184&gt;0,SUM(Courses!Y184,Courses!Z184)&gt;0),Courses!F184*SUM(Courses!Y184,Courses!Z184),0)</f>
        <v>0</v>
      </c>
      <c r="R178" s="41">
        <f>IF(AND('Courses Valid'!C190=0,Courses!G184&lt;&gt;"",Courses!H184&gt;0,SUM(Courses!Y184,Courses!Z184)&gt;0),Courses!H184*SUM(Courses!Y184,Courses!Z184),0)</f>
        <v>0</v>
      </c>
      <c r="S178" s="105">
        <f>IF(AND('Courses Valid'!C190=0,Courses!I184&lt;&gt;"",Courses!J184&gt;0,SUM(Courses!Y184,Courses!Z184)&gt;0),Courses!J184*SUM(Courses!Y184,Courses!Z184),0)</f>
        <v>0</v>
      </c>
      <c r="T178" s="41">
        <f>IF(AND('Courses Valid'!C190=0,Courses!E184&lt;&gt;"",Courses!F184&gt;0,Courses!AA184&gt;0),Courses!F184*Courses!AA184,0)</f>
        <v>0</v>
      </c>
      <c r="U178" s="41">
        <f>IF(AND('Courses Valid'!C190=0,Courses!G184&lt;&gt;"",Courses!H184&gt;0,Courses!AA184&gt;0),Courses!H184*Courses!AA184,0)</f>
        <v>0</v>
      </c>
      <c r="V178" s="106">
        <f>IF(AND('Courses Valid'!C190=0,Courses!I184&lt;&gt;"",Courses!J184&gt;0,Courses!AA184&gt;0),Courses!J184*Courses!AA184,0)</f>
        <v>0</v>
      </c>
      <c r="W178" s="41"/>
    </row>
    <row r="179" spans="2:23" x14ac:dyDescent="0.35">
      <c r="B179" s="70" t="str">
        <f>IF(Courses!B185&lt;&gt;"",CONCATENATE(Courses!E185,"/",Courses!L185,"/",Courses!K185),"")</f>
        <v/>
      </c>
      <c r="C179" s="1579" t="str">
        <f>IF(AND(Courses!B185&lt;&gt;"",Courses!G185&lt;&gt;""),CONCATENATE(Courses!G185,"/",Courses!L185,"/",Courses!K185),"")</f>
        <v/>
      </c>
      <c r="D179" s="71" t="str">
        <f>IF(AND(Courses!B185&lt;&gt;"",Courses!I185&lt;&gt;""),CONCATENATE(Courses!I185,"/",Courses!L185,"/",Courses!K185),"")</f>
        <v/>
      </c>
      <c r="E179" s="1580">
        <f>IF(AND('Courses Valid'!C191=0,Courses!E185&lt;&gt;"",Courses!F185&gt;0,SUM(Courses!M185,Courses!N185)&gt;0),Courses!F185*SUM(Courses!M185,Courses!N185),0)</f>
        <v>0</v>
      </c>
      <c r="F179" s="41">
        <f>IF(AND('Courses Valid'!C191=0,Courses!G185&lt;&gt;"",Courses!H185&gt;0,SUM(Courses!M185,Courses!N185)&gt;0),Courses!H185*SUM(Courses!M185,Courses!N185),0)</f>
        <v>0</v>
      </c>
      <c r="G179" s="105">
        <f>IF(AND('Courses Valid'!C191=0,Courses!I185&lt;&gt;"",Courses!J185&gt;0,SUM(Courses!M185,Courses!N185)&gt;0),Courses!J185*SUM(Courses!M185,Courses!N185),0)</f>
        <v>0</v>
      </c>
      <c r="H179" s="1580">
        <f>IF(AND('Courses Valid'!C191=0,Courses!E185&lt;&gt;"",Courses!F185&gt;0,SUM(Courses!O185,Courses!P185)&gt;0),Courses!F185*SUM(Courses!O185,Courses!P185),0)</f>
        <v>0</v>
      </c>
      <c r="I179" s="41">
        <f>IF(AND('Courses Valid'!C191=0,Courses!G185&lt;&gt;"",Courses!H185&gt;0,SUM(Courses!O185,Courses!P185)&gt;0),Courses!H185*SUM(Courses!O185,Courses!P185),0)</f>
        <v>0</v>
      </c>
      <c r="J179" s="105">
        <f>IF(AND('Courses Valid'!C191=0,Courses!I185&lt;&gt;"",Courses!J185&gt;0,SUM(Courses!O185,Courses!P185)&gt;0),Courses!J185*SUM(Courses!O185,Courses!P185),0)</f>
        <v>0</v>
      </c>
      <c r="K179" s="1580">
        <f>IF(AND('Courses Valid'!C191=0,Courses!E185&lt;&gt;"",Courses!F185&gt;0,Courses!Q185&gt;0),Courses!F185*Courses!Q185,0)</f>
        <v>0</v>
      </c>
      <c r="L179" s="41">
        <f>IF(AND('Courses Valid'!C191=0,Courses!G185&lt;&gt;"",Courses!H185&gt;0,Courses!Q185&gt;0),Courses!H185*Courses!Q185,0)</f>
        <v>0</v>
      </c>
      <c r="M179" s="105">
        <f>IF(AND('Courses Valid'!C191=0,Courses!I185&lt;&gt;"",Courses!J185&gt;0,Courses!Q185&gt;0),Courses!J185*Courses!Q185,0)</f>
        <v>0</v>
      </c>
      <c r="N179" s="41">
        <f>IF(AND('Courses Valid'!C191=0,Courses!E185&lt;&gt;"",Courses!F185&gt;0,SUM(Courses!W185,Courses!X185)&gt;0),Courses!F185*SUM(Courses!W185,Courses!X185),0)</f>
        <v>0</v>
      </c>
      <c r="O179" s="41">
        <f>IF(AND('Courses Valid'!C191=0,Courses!G185&lt;&gt;"",Courses!H185&gt;0,SUM(Courses!W185,Courses!X185)&gt;0),Courses!H185*SUM(Courses!W185,Courses!X185),0)</f>
        <v>0</v>
      </c>
      <c r="P179" s="41">
        <f>IF(AND('Courses Valid'!C191=0,Courses!I185&lt;&gt;"",Courses!J185&gt;0,SUM(Courses!W185,Courses!X185)&gt;0),Courses!J185*SUM(Courses!W185,Courses!X185),0)</f>
        <v>0</v>
      </c>
      <c r="Q179" s="1580">
        <f>IF(AND('Courses Valid'!C191=0,Courses!E185&lt;&gt;"",Courses!F185&gt;0,SUM(Courses!Y185,Courses!Z185)&gt;0),Courses!F185*SUM(Courses!Y185,Courses!Z185),0)</f>
        <v>0</v>
      </c>
      <c r="R179" s="41">
        <f>IF(AND('Courses Valid'!C191=0,Courses!G185&lt;&gt;"",Courses!H185&gt;0,SUM(Courses!Y185,Courses!Z185)&gt;0),Courses!H185*SUM(Courses!Y185,Courses!Z185),0)</f>
        <v>0</v>
      </c>
      <c r="S179" s="105">
        <f>IF(AND('Courses Valid'!C191=0,Courses!I185&lt;&gt;"",Courses!J185&gt;0,SUM(Courses!Y185,Courses!Z185)&gt;0),Courses!J185*SUM(Courses!Y185,Courses!Z185),0)</f>
        <v>0</v>
      </c>
      <c r="T179" s="41">
        <f>IF(AND('Courses Valid'!C191=0,Courses!E185&lt;&gt;"",Courses!F185&gt;0,Courses!AA185&gt;0),Courses!F185*Courses!AA185,0)</f>
        <v>0</v>
      </c>
      <c r="U179" s="41">
        <f>IF(AND('Courses Valid'!C191=0,Courses!G185&lt;&gt;"",Courses!H185&gt;0,Courses!AA185&gt;0),Courses!H185*Courses!AA185,0)</f>
        <v>0</v>
      </c>
      <c r="V179" s="106">
        <f>IF(AND('Courses Valid'!C191=0,Courses!I185&lt;&gt;"",Courses!J185&gt;0,Courses!AA185&gt;0),Courses!J185*Courses!AA185,0)</f>
        <v>0</v>
      </c>
      <c r="W179" s="41"/>
    </row>
    <row r="180" spans="2:23" x14ac:dyDescent="0.35">
      <c r="B180" s="70" t="str">
        <f>IF(Courses!B186&lt;&gt;"",CONCATENATE(Courses!E186,"/",Courses!L186,"/",Courses!K186),"")</f>
        <v/>
      </c>
      <c r="C180" s="1579" t="str">
        <f>IF(AND(Courses!B186&lt;&gt;"",Courses!G186&lt;&gt;""),CONCATENATE(Courses!G186,"/",Courses!L186,"/",Courses!K186),"")</f>
        <v/>
      </c>
      <c r="D180" s="71" t="str">
        <f>IF(AND(Courses!B186&lt;&gt;"",Courses!I186&lt;&gt;""),CONCATENATE(Courses!I186,"/",Courses!L186,"/",Courses!K186),"")</f>
        <v/>
      </c>
      <c r="E180" s="1580">
        <f>IF(AND('Courses Valid'!C192=0,Courses!E186&lt;&gt;"",Courses!F186&gt;0,SUM(Courses!M186,Courses!N186)&gt;0),Courses!F186*SUM(Courses!M186,Courses!N186),0)</f>
        <v>0</v>
      </c>
      <c r="F180" s="41">
        <f>IF(AND('Courses Valid'!C192=0,Courses!G186&lt;&gt;"",Courses!H186&gt;0,SUM(Courses!M186,Courses!N186)&gt;0),Courses!H186*SUM(Courses!M186,Courses!N186),0)</f>
        <v>0</v>
      </c>
      <c r="G180" s="105">
        <f>IF(AND('Courses Valid'!C192=0,Courses!I186&lt;&gt;"",Courses!J186&gt;0,SUM(Courses!M186,Courses!N186)&gt;0),Courses!J186*SUM(Courses!M186,Courses!N186),0)</f>
        <v>0</v>
      </c>
      <c r="H180" s="1580">
        <f>IF(AND('Courses Valid'!C192=0,Courses!E186&lt;&gt;"",Courses!F186&gt;0,SUM(Courses!O186,Courses!P186)&gt;0),Courses!F186*SUM(Courses!O186,Courses!P186),0)</f>
        <v>0</v>
      </c>
      <c r="I180" s="41">
        <f>IF(AND('Courses Valid'!C192=0,Courses!G186&lt;&gt;"",Courses!H186&gt;0,SUM(Courses!O186,Courses!P186)&gt;0),Courses!H186*SUM(Courses!O186,Courses!P186),0)</f>
        <v>0</v>
      </c>
      <c r="J180" s="105">
        <f>IF(AND('Courses Valid'!C192=0,Courses!I186&lt;&gt;"",Courses!J186&gt;0,SUM(Courses!O186,Courses!P186)&gt;0),Courses!J186*SUM(Courses!O186,Courses!P186),0)</f>
        <v>0</v>
      </c>
      <c r="K180" s="1580">
        <f>IF(AND('Courses Valid'!C192=0,Courses!E186&lt;&gt;"",Courses!F186&gt;0,Courses!Q186&gt;0),Courses!F186*Courses!Q186,0)</f>
        <v>0</v>
      </c>
      <c r="L180" s="41">
        <f>IF(AND('Courses Valid'!C192=0,Courses!G186&lt;&gt;"",Courses!H186&gt;0,Courses!Q186&gt;0),Courses!H186*Courses!Q186,0)</f>
        <v>0</v>
      </c>
      <c r="M180" s="105">
        <f>IF(AND('Courses Valid'!C192=0,Courses!I186&lt;&gt;"",Courses!J186&gt;0,Courses!Q186&gt;0),Courses!J186*Courses!Q186,0)</f>
        <v>0</v>
      </c>
      <c r="N180" s="41">
        <f>IF(AND('Courses Valid'!C192=0,Courses!E186&lt;&gt;"",Courses!F186&gt;0,SUM(Courses!W186,Courses!X186)&gt;0),Courses!F186*SUM(Courses!W186,Courses!X186),0)</f>
        <v>0</v>
      </c>
      <c r="O180" s="41">
        <f>IF(AND('Courses Valid'!C192=0,Courses!G186&lt;&gt;"",Courses!H186&gt;0,SUM(Courses!W186,Courses!X186)&gt;0),Courses!H186*SUM(Courses!W186,Courses!X186),0)</f>
        <v>0</v>
      </c>
      <c r="P180" s="41">
        <f>IF(AND('Courses Valid'!C192=0,Courses!I186&lt;&gt;"",Courses!J186&gt;0,SUM(Courses!W186,Courses!X186)&gt;0),Courses!J186*SUM(Courses!W186,Courses!X186),0)</f>
        <v>0</v>
      </c>
      <c r="Q180" s="1580">
        <f>IF(AND('Courses Valid'!C192=0,Courses!E186&lt;&gt;"",Courses!F186&gt;0,SUM(Courses!Y186,Courses!Z186)&gt;0),Courses!F186*SUM(Courses!Y186,Courses!Z186),0)</f>
        <v>0</v>
      </c>
      <c r="R180" s="41">
        <f>IF(AND('Courses Valid'!C192=0,Courses!G186&lt;&gt;"",Courses!H186&gt;0,SUM(Courses!Y186,Courses!Z186)&gt;0),Courses!H186*SUM(Courses!Y186,Courses!Z186),0)</f>
        <v>0</v>
      </c>
      <c r="S180" s="105">
        <f>IF(AND('Courses Valid'!C192=0,Courses!I186&lt;&gt;"",Courses!J186&gt;0,SUM(Courses!Y186,Courses!Z186)&gt;0),Courses!J186*SUM(Courses!Y186,Courses!Z186),0)</f>
        <v>0</v>
      </c>
      <c r="T180" s="41">
        <f>IF(AND('Courses Valid'!C192=0,Courses!E186&lt;&gt;"",Courses!F186&gt;0,Courses!AA186&gt;0),Courses!F186*Courses!AA186,0)</f>
        <v>0</v>
      </c>
      <c r="U180" s="41">
        <f>IF(AND('Courses Valid'!C192=0,Courses!G186&lt;&gt;"",Courses!H186&gt;0,Courses!AA186&gt;0),Courses!H186*Courses!AA186,0)</f>
        <v>0</v>
      </c>
      <c r="V180" s="106">
        <f>IF(AND('Courses Valid'!C192=0,Courses!I186&lt;&gt;"",Courses!J186&gt;0,Courses!AA186&gt;0),Courses!J186*Courses!AA186,0)</f>
        <v>0</v>
      </c>
    </row>
    <row r="181" spans="2:23" x14ac:dyDescent="0.35">
      <c r="B181" s="70" t="str">
        <f>IF(Courses!B187&lt;&gt;"",CONCATENATE(Courses!E187,"/",Courses!L187,"/",Courses!K187),"")</f>
        <v/>
      </c>
      <c r="C181" s="1579" t="str">
        <f>IF(AND(Courses!B187&lt;&gt;"",Courses!G187&lt;&gt;""),CONCATENATE(Courses!G187,"/",Courses!L187,"/",Courses!K187),"")</f>
        <v/>
      </c>
      <c r="D181" s="71" t="str">
        <f>IF(AND(Courses!B187&lt;&gt;"",Courses!I187&lt;&gt;""),CONCATENATE(Courses!I187,"/",Courses!L187,"/",Courses!K187),"")</f>
        <v/>
      </c>
      <c r="E181" s="1580">
        <f>IF(AND('Courses Valid'!C193=0,Courses!E187&lt;&gt;"",Courses!F187&gt;0,SUM(Courses!M187,Courses!N187)&gt;0),Courses!F187*SUM(Courses!M187,Courses!N187),0)</f>
        <v>0</v>
      </c>
      <c r="F181" s="41">
        <f>IF(AND('Courses Valid'!C193=0,Courses!G187&lt;&gt;"",Courses!H187&gt;0,SUM(Courses!M187,Courses!N187)&gt;0),Courses!H187*SUM(Courses!M187,Courses!N187),0)</f>
        <v>0</v>
      </c>
      <c r="G181" s="105">
        <f>IF(AND('Courses Valid'!C193=0,Courses!I187&lt;&gt;"",Courses!J187&gt;0,SUM(Courses!M187,Courses!N187)&gt;0),Courses!J187*SUM(Courses!M187,Courses!N187),0)</f>
        <v>0</v>
      </c>
      <c r="H181" s="1580">
        <f>IF(AND('Courses Valid'!C193=0,Courses!E187&lt;&gt;"",Courses!F187&gt;0,SUM(Courses!O187,Courses!P187)&gt;0),Courses!F187*SUM(Courses!O187,Courses!P187),0)</f>
        <v>0</v>
      </c>
      <c r="I181" s="41">
        <f>IF(AND('Courses Valid'!C193=0,Courses!G187&lt;&gt;"",Courses!H187&gt;0,SUM(Courses!O187,Courses!P187)&gt;0),Courses!H187*SUM(Courses!O187,Courses!P187),0)</f>
        <v>0</v>
      </c>
      <c r="J181" s="105">
        <f>IF(AND('Courses Valid'!C193=0,Courses!I187&lt;&gt;"",Courses!J187&gt;0,SUM(Courses!O187,Courses!P187)&gt;0),Courses!J187*SUM(Courses!O187,Courses!P187),0)</f>
        <v>0</v>
      </c>
      <c r="K181" s="1580">
        <f>IF(AND('Courses Valid'!C193=0,Courses!E187&lt;&gt;"",Courses!F187&gt;0,Courses!Q187&gt;0),Courses!F187*Courses!Q187,0)</f>
        <v>0</v>
      </c>
      <c r="L181" s="41">
        <f>IF(AND('Courses Valid'!C193=0,Courses!G187&lt;&gt;"",Courses!H187&gt;0,Courses!Q187&gt;0),Courses!H187*Courses!Q187,0)</f>
        <v>0</v>
      </c>
      <c r="M181" s="105">
        <f>IF(AND('Courses Valid'!C193=0,Courses!I187&lt;&gt;"",Courses!J187&gt;0,Courses!Q187&gt;0),Courses!J187*Courses!Q187,0)</f>
        <v>0</v>
      </c>
      <c r="N181" s="41">
        <f>IF(AND('Courses Valid'!C193=0,Courses!E187&lt;&gt;"",Courses!F187&gt;0,SUM(Courses!W187,Courses!X187)&gt;0),Courses!F187*SUM(Courses!W187,Courses!X187),0)</f>
        <v>0</v>
      </c>
      <c r="O181" s="41">
        <f>IF(AND('Courses Valid'!C193=0,Courses!G187&lt;&gt;"",Courses!H187&gt;0,SUM(Courses!W187,Courses!X187)&gt;0),Courses!H187*SUM(Courses!W187,Courses!X187),0)</f>
        <v>0</v>
      </c>
      <c r="P181" s="41">
        <f>IF(AND('Courses Valid'!C193=0,Courses!I187&lt;&gt;"",Courses!J187&gt;0,SUM(Courses!W187,Courses!X187)&gt;0),Courses!J187*SUM(Courses!W187,Courses!X187),0)</f>
        <v>0</v>
      </c>
      <c r="Q181" s="1580">
        <f>IF(AND('Courses Valid'!C193=0,Courses!E187&lt;&gt;"",Courses!F187&gt;0,SUM(Courses!Y187,Courses!Z187)&gt;0),Courses!F187*SUM(Courses!Y187,Courses!Z187),0)</f>
        <v>0</v>
      </c>
      <c r="R181" s="41">
        <f>IF(AND('Courses Valid'!C193=0,Courses!G187&lt;&gt;"",Courses!H187&gt;0,SUM(Courses!Y187,Courses!Z187)&gt;0),Courses!H187*SUM(Courses!Y187,Courses!Z187),0)</f>
        <v>0</v>
      </c>
      <c r="S181" s="105">
        <f>IF(AND('Courses Valid'!C193=0,Courses!I187&lt;&gt;"",Courses!J187&gt;0,SUM(Courses!Y187,Courses!Z187)&gt;0),Courses!J187*SUM(Courses!Y187,Courses!Z187),0)</f>
        <v>0</v>
      </c>
      <c r="T181" s="41">
        <f>IF(AND('Courses Valid'!C193=0,Courses!E187&lt;&gt;"",Courses!F187&gt;0,Courses!AA187&gt;0),Courses!F187*Courses!AA187,0)</f>
        <v>0</v>
      </c>
      <c r="U181" s="41">
        <f>IF(AND('Courses Valid'!C193=0,Courses!G187&lt;&gt;"",Courses!H187&gt;0,Courses!AA187&gt;0),Courses!H187*Courses!AA187,0)</f>
        <v>0</v>
      </c>
      <c r="V181" s="106">
        <f>IF(AND('Courses Valid'!C193=0,Courses!I187&lt;&gt;"",Courses!J187&gt;0,Courses!AA187&gt;0),Courses!J187*Courses!AA187,0)</f>
        <v>0</v>
      </c>
    </row>
    <row r="182" spans="2:23" x14ac:dyDescent="0.35">
      <c r="B182" s="70" t="str">
        <f>IF(Courses!B188&lt;&gt;"",CONCATENATE(Courses!E188,"/",Courses!L188,"/",Courses!K188),"")</f>
        <v/>
      </c>
      <c r="C182" s="1579" t="str">
        <f>IF(AND(Courses!B188&lt;&gt;"",Courses!G188&lt;&gt;""),CONCATENATE(Courses!G188,"/",Courses!L188,"/",Courses!K188),"")</f>
        <v/>
      </c>
      <c r="D182" s="71" t="str">
        <f>IF(AND(Courses!B188&lt;&gt;"",Courses!I188&lt;&gt;""),CONCATENATE(Courses!I188,"/",Courses!L188,"/",Courses!K188),"")</f>
        <v/>
      </c>
      <c r="E182" s="1580">
        <f>IF(AND('Courses Valid'!C194=0,Courses!E188&lt;&gt;"",Courses!F188&gt;0,SUM(Courses!M188,Courses!N188)&gt;0),Courses!F188*SUM(Courses!M188,Courses!N188),0)</f>
        <v>0</v>
      </c>
      <c r="F182" s="41">
        <f>IF(AND('Courses Valid'!C194=0,Courses!G188&lt;&gt;"",Courses!H188&gt;0,SUM(Courses!M188,Courses!N188)&gt;0),Courses!H188*SUM(Courses!M188,Courses!N188),0)</f>
        <v>0</v>
      </c>
      <c r="G182" s="105">
        <f>IF(AND('Courses Valid'!C194=0,Courses!I188&lt;&gt;"",Courses!J188&gt;0,SUM(Courses!M188,Courses!N188)&gt;0),Courses!J188*SUM(Courses!M188,Courses!N188),0)</f>
        <v>0</v>
      </c>
      <c r="H182" s="1580">
        <f>IF(AND('Courses Valid'!C194=0,Courses!E188&lt;&gt;"",Courses!F188&gt;0,SUM(Courses!O188,Courses!P188)&gt;0),Courses!F188*SUM(Courses!O188,Courses!P188),0)</f>
        <v>0</v>
      </c>
      <c r="I182" s="41">
        <f>IF(AND('Courses Valid'!C194=0,Courses!G188&lt;&gt;"",Courses!H188&gt;0,SUM(Courses!O188,Courses!P188)&gt;0),Courses!H188*SUM(Courses!O188,Courses!P188),0)</f>
        <v>0</v>
      </c>
      <c r="J182" s="105">
        <f>IF(AND('Courses Valid'!C194=0,Courses!I188&lt;&gt;"",Courses!J188&gt;0,SUM(Courses!O188,Courses!P188)&gt;0),Courses!J188*SUM(Courses!O188,Courses!P188),0)</f>
        <v>0</v>
      </c>
      <c r="K182" s="1580">
        <f>IF(AND('Courses Valid'!C194=0,Courses!E188&lt;&gt;"",Courses!F188&gt;0,Courses!Q188&gt;0),Courses!F188*Courses!Q188,0)</f>
        <v>0</v>
      </c>
      <c r="L182" s="41">
        <f>IF(AND('Courses Valid'!C194=0,Courses!G188&lt;&gt;"",Courses!H188&gt;0,Courses!Q188&gt;0),Courses!H188*Courses!Q188,0)</f>
        <v>0</v>
      </c>
      <c r="M182" s="105">
        <f>IF(AND('Courses Valid'!C194=0,Courses!I188&lt;&gt;"",Courses!J188&gt;0,Courses!Q188&gt;0),Courses!J188*Courses!Q188,0)</f>
        <v>0</v>
      </c>
      <c r="N182" s="41">
        <f>IF(AND('Courses Valid'!C194=0,Courses!E188&lt;&gt;"",Courses!F188&gt;0,SUM(Courses!W188,Courses!X188)&gt;0),Courses!F188*SUM(Courses!W188,Courses!X188),0)</f>
        <v>0</v>
      </c>
      <c r="O182" s="41">
        <f>IF(AND('Courses Valid'!C194=0,Courses!G188&lt;&gt;"",Courses!H188&gt;0,SUM(Courses!W188,Courses!X188)&gt;0),Courses!H188*SUM(Courses!W188,Courses!X188),0)</f>
        <v>0</v>
      </c>
      <c r="P182" s="41">
        <f>IF(AND('Courses Valid'!C194=0,Courses!I188&lt;&gt;"",Courses!J188&gt;0,SUM(Courses!W188,Courses!X188)&gt;0),Courses!J188*SUM(Courses!W188,Courses!X188),0)</f>
        <v>0</v>
      </c>
      <c r="Q182" s="1580">
        <f>IF(AND('Courses Valid'!C194=0,Courses!E188&lt;&gt;"",Courses!F188&gt;0,SUM(Courses!Y188,Courses!Z188)&gt;0),Courses!F188*SUM(Courses!Y188,Courses!Z188),0)</f>
        <v>0</v>
      </c>
      <c r="R182" s="41">
        <f>IF(AND('Courses Valid'!C194=0,Courses!G188&lt;&gt;"",Courses!H188&gt;0,SUM(Courses!Y188,Courses!Z188)&gt;0),Courses!H188*SUM(Courses!Y188,Courses!Z188),0)</f>
        <v>0</v>
      </c>
      <c r="S182" s="105">
        <f>IF(AND('Courses Valid'!C194=0,Courses!I188&lt;&gt;"",Courses!J188&gt;0,SUM(Courses!Y188,Courses!Z188)&gt;0),Courses!J188*SUM(Courses!Y188,Courses!Z188),0)</f>
        <v>0</v>
      </c>
      <c r="T182" s="41">
        <f>IF(AND('Courses Valid'!C194=0,Courses!E188&lt;&gt;"",Courses!F188&gt;0,Courses!AA188&gt;0),Courses!F188*Courses!AA188,0)</f>
        <v>0</v>
      </c>
      <c r="U182" s="41">
        <f>IF(AND('Courses Valid'!C194=0,Courses!G188&lt;&gt;"",Courses!H188&gt;0,Courses!AA188&gt;0),Courses!H188*Courses!AA188,0)</f>
        <v>0</v>
      </c>
      <c r="V182" s="106">
        <f>IF(AND('Courses Valid'!C194=0,Courses!I188&lt;&gt;"",Courses!J188&gt;0,Courses!AA188&gt;0),Courses!J188*Courses!AA188,0)</f>
        <v>0</v>
      </c>
    </row>
    <row r="183" spans="2:23" x14ac:dyDescent="0.35">
      <c r="B183" s="70" t="str">
        <f>IF(Courses!B189&lt;&gt;"",CONCATENATE(Courses!E189,"/",Courses!L189,"/",Courses!K189),"")</f>
        <v/>
      </c>
      <c r="C183" s="1579" t="str">
        <f>IF(AND(Courses!B189&lt;&gt;"",Courses!G189&lt;&gt;""),CONCATENATE(Courses!G189,"/",Courses!L189,"/",Courses!K189),"")</f>
        <v/>
      </c>
      <c r="D183" s="71" t="str">
        <f>IF(AND(Courses!B189&lt;&gt;"",Courses!I189&lt;&gt;""),CONCATENATE(Courses!I189,"/",Courses!L189,"/",Courses!K189),"")</f>
        <v/>
      </c>
      <c r="E183" s="1580">
        <f>IF(AND('Courses Valid'!C195=0,Courses!E189&lt;&gt;"",Courses!F189&gt;0,SUM(Courses!M189,Courses!N189)&gt;0),Courses!F189*SUM(Courses!M189,Courses!N189),0)</f>
        <v>0</v>
      </c>
      <c r="F183" s="41">
        <f>IF(AND('Courses Valid'!C195=0,Courses!G189&lt;&gt;"",Courses!H189&gt;0,SUM(Courses!M189,Courses!N189)&gt;0),Courses!H189*SUM(Courses!M189,Courses!N189),0)</f>
        <v>0</v>
      </c>
      <c r="G183" s="105">
        <f>IF(AND('Courses Valid'!C195=0,Courses!I189&lt;&gt;"",Courses!J189&gt;0,SUM(Courses!M189,Courses!N189)&gt;0),Courses!J189*SUM(Courses!M189,Courses!N189),0)</f>
        <v>0</v>
      </c>
      <c r="H183" s="1580">
        <f>IF(AND('Courses Valid'!C195=0,Courses!E189&lt;&gt;"",Courses!F189&gt;0,SUM(Courses!O189,Courses!P189)&gt;0),Courses!F189*SUM(Courses!O189,Courses!P189),0)</f>
        <v>0</v>
      </c>
      <c r="I183" s="41">
        <f>IF(AND('Courses Valid'!C195=0,Courses!G189&lt;&gt;"",Courses!H189&gt;0,SUM(Courses!O189,Courses!P189)&gt;0),Courses!H189*SUM(Courses!O189,Courses!P189),0)</f>
        <v>0</v>
      </c>
      <c r="J183" s="105">
        <f>IF(AND('Courses Valid'!C195=0,Courses!I189&lt;&gt;"",Courses!J189&gt;0,SUM(Courses!O189,Courses!P189)&gt;0),Courses!J189*SUM(Courses!O189,Courses!P189),0)</f>
        <v>0</v>
      </c>
      <c r="K183" s="1580">
        <f>IF(AND('Courses Valid'!C195=0,Courses!E189&lt;&gt;"",Courses!F189&gt;0,Courses!Q189&gt;0),Courses!F189*Courses!Q189,0)</f>
        <v>0</v>
      </c>
      <c r="L183" s="41">
        <f>IF(AND('Courses Valid'!C195=0,Courses!G189&lt;&gt;"",Courses!H189&gt;0,Courses!Q189&gt;0),Courses!H189*Courses!Q189,0)</f>
        <v>0</v>
      </c>
      <c r="M183" s="105">
        <f>IF(AND('Courses Valid'!C195=0,Courses!I189&lt;&gt;"",Courses!J189&gt;0,Courses!Q189&gt;0),Courses!J189*Courses!Q189,0)</f>
        <v>0</v>
      </c>
      <c r="N183" s="41">
        <f>IF(AND('Courses Valid'!C195=0,Courses!E189&lt;&gt;"",Courses!F189&gt;0,SUM(Courses!W189,Courses!X189)&gt;0),Courses!F189*SUM(Courses!W189,Courses!X189),0)</f>
        <v>0</v>
      </c>
      <c r="O183" s="41">
        <f>IF(AND('Courses Valid'!C195=0,Courses!G189&lt;&gt;"",Courses!H189&gt;0,SUM(Courses!W189,Courses!X189)&gt;0),Courses!H189*SUM(Courses!W189,Courses!X189),0)</f>
        <v>0</v>
      </c>
      <c r="P183" s="41">
        <f>IF(AND('Courses Valid'!C195=0,Courses!I189&lt;&gt;"",Courses!J189&gt;0,SUM(Courses!W189,Courses!X189)&gt;0),Courses!J189*SUM(Courses!W189,Courses!X189),0)</f>
        <v>0</v>
      </c>
      <c r="Q183" s="1580">
        <f>IF(AND('Courses Valid'!C195=0,Courses!E189&lt;&gt;"",Courses!F189&gt;0,SUM(Courses!Y189,Courses!Z189)&gt;0),Courses!F189*SUM(Courses!Y189,Courses!Z189),0)</f>
        <v>0</v>
      </c>
      <c r="R183" s="41">
        <f>IF(AND('Courses Valid'!C195=0,Courses!G189&lt;&gt;"",Courses!H189&gt;0,SUM(Courses!Y189,Courses!Z189)&gt;0),Courses!H189*SUM(Courses!Y189,Courses!Z189),0)</f>
        <v>0</v>
      </c>
      <c r="S183" s="105">
        <f>IF(AND('Courses Valid'!C195=0,Courses!I189&lt;&gt;"",Courses!J189&gt;0,SUM(Courses!Y189,Courses!Z189)&gt;0),Courses!J189*SUM(Courses!Y189,Courses!Z189),0)</f>
        <v>0</v>
      </c>
      <c r="T183" s="41">
        <f>IF(AND('Courses Valid'!C195=0,Courses!E189&lt;&gt;"",Courses!F189&gt;0,Courses!AA189&gt;0),Courses!F189*Courses!AA189,0)</f>
        <v>0</v>
      </c>
      <c r="U183" s="41">
        <f>IF(AND('Courses Valid'!C195=0,Courses!G189&lt;&gt;"",Courses!H189&gt;0,Courses!AA189&gt;0),Courses!H189*Courses!AA189,0)</f>
        <v>0</v>
      </c>
      <c r="V183" s="106">
        <f>IF(AND('Courses Valid'!C195=0,Courses!I189&lt;&gt;"",Courses!J189&gt;0,Courses!AA189&gt;0),Courses!J189*Courses!AA189,0)</f>
        <v>0</v>
      </c>
    </row>
    <row r="184" spans="2:23" x14ac:dyDescent="0.35">
      <c r="B184" s="70" t="str">
        <f>IF(Courses!B190&lt;&gt;"",CONCATENATE(Courses!E190,"/",Courses!L190,"/",Courses!K190),"")</f>
        <v/>
      </c>
      <c r="C184" s="1579" t="str">
        <f>IF(AND(Courses!B190&lt;&gt;"",Courses!G190&lt;&gt;""),CONCATENATE(Courses!G190,"/",Courses!L190,"/",Courses!K190),"")</f>
        <v/>
      </c>
      <c r="D184" s="71" t="str">
        <f>IF(AND(Courses!B190&lt;&gt;"",Courses!I190&lt;&gt;""),CONCATENATE(Courses!I190,"/",Courses!L190,"/",Courses!K190),"")</f>
        <v/>
      </c>
      <c r="E184" s="1580">
        <f>IF(AND('Courses Valid'!C196=0,Courses!E190&lt;&gt;"",Courses!F190&gt;0,SUM(Courses!M190,Courses!N190)&gt;0),Courses!F190*SUM(Courses!M190,Courses!N190),0)</f>
        <v>0</v>
      </c>
      <c r="F184" s="41">
        <f>IF(AND('Courses Valid'!C196=0,Courses!G190&lt;&gt;"",Courses!H190&gt;0,SUM(Courses!M190,Courses!N190)&gt;0),Courses!H190*SUM(Courses!M190,Courses!N190),0)</f>
        <v>0</v>
      </c>
      <c r="G184" s="105">
        <f>IF(AND('Courses Valid'!C196=0,Courses!I190&lt;&gt;"",Courses!J190&gt;0,SUM(Courses!M190,Courses!N190)&gt;0),Courses!J190*SUM(Courses!M190,Courses!N190),0)</f>
        <v>0</v>
      </c>
      <c r="H184" s="1580">
        <f>IF(AND('Courses Valid'!C196=0,Courses!E190&lt;&gt;"",Courses!F190&gt;0,SUM(Courses!O190,Courses!P190)&gt;0),Courses!F190*SUM(Courses!O190,Courses!P190),0)</f>
        <v>0</v>
      </c>
      <c r="I184" s="41">
        <f>IF(AND('Courses Valid'!C196=0,Courses!G190&lt;&gt;"",Courses!H190&gt;0,SUM(Courses!O190,Courses!P190)&gt;0),Courses!H190*SUM(Courses!O190,Courses!P190),0)</f>
        <v>0</v>
      </c>
      <c r="J184" s="105">
        <f>IF(AND('Courses Valid'!C196=0,Courses!I190&lt;&gt;"",Courses!J190&gt;0,SUM(Courses!O190,Courses!P190)&gt;0),Courses!J190*SUM(Courses!O190,Courses!P190),0)</f>
        <v>0</v>
      </c>
      <c r="K184" s="1580">
        <f>IF(AND('Courses Valid'!C196=0,Courses!E190&lt;&gt;"",Courses!F190&gt;0,Courses!Q190&gt;0),Courses!F190*Courses!Q190,0)</f>
        <v>0</v>
      </c>
      <c r="L184" s="41">
        <f>IF(AND('Courses Valid'!C196=0,Courses!G190&lt;&gt;"",Courses!H190&gt;0,Courses!Q190&gt;0),Courses!H190*Courses!Q190,0)</f>
        <v>0</v>
      </c>
      <c r="M184" s="105">
        <f>IF(AND('Courses Valid'!C196=0,Courses!I190&lt;&gt;"",Courses!J190&gt;0,Courses!Q190&gt;0),Courses!J190*Courses!Q190,0)</f>
        <v>0</v>
      </c>
      <c r="N184" s="41">
        <f>IF(AND('Courses Valid'!C196=0,Courses!E190&lt;&gt;"",Courses!F190&gt;0,SUM(Courses!W190,Courses!X190)&gt;0),Courses!F190*SUM(Courses!W190,Courses!X190),0)</f>
        <v>0</v>
      </c>
      <c r="O184" s="41">
        <f>IF(AND('Courses Valid'!C196=0,Courses!G190&lt;&gt;"",Courses!H190&gt;0,SUM(Courses!W190,Courses!X190)&gt;0),Courses!H190*SUM(Courses!W190,Courses!X190),0)</f>
        <v>0</v>
      </c>
      <c r="P184" s="41">
        <f>IF(AND('Courses Valid'!C196=0,Courses!I190&lt;&gt;"",Courses!J190&gt;0,SUM(Courses!W190,Courses!X190)&gt;0),Courses!J190*SUM(Courses!W190,Courses!X190),0)</f>
        <v>0</v>
      </c>
      <c r="Q184" s="1580">
        <f>IF(AND('Courses Valid'!C196=0,Courses!E190&lt;&gt;"",Courses!F190&gt;0,SUM(Courses!Y190,Courses!Z190)&gt;0),Courses!F190*SUM(Courses!Y190,Courses!Z190),0)</f>
        <v>0</v>
      </c>
      <c r="R184" s="41">
        <f>IF(AND('Courses Valid'!C196=0,Courses!G190&lt;&gt;"",Courses!H190&gt;0,SUM(Courses!Y190,Courses!Z190)&gt;0),Courses!H190*SUM(Courses!Y190,Courses!Z190),0)</f>
        <v>0</v>
      </c>
      <c r="S184" s="105">
        <f>IF(AND('Courses Valid'!C196=0,Courses!I190&lt;&gt;"",Courses!J190&gt;0,SUM(Courses!Y190,Courses!Z190)&gt;0),Courses!J190*SUM(Courses!Y190,Courses!Z190),0)</f>
        <v>0</v>
      </c>
      <c r="T184" s="41">
        <f>IF(AND('Courses Valid'!C196=0,Courses!E190&lt;&gt;"",Courses!F190&gt;0,Courses!AA190&gt;0),Courses!F190*Courses!AA190,0)</f>
        <v>0</v>
      </c>
      <c r="U184" s="41">
        <f>IF(AND('Courses Valid'!C196=0,Courses!G190&lt;&gt;"",Courses!H190&gt;0,Courses!AA190&gt;0),Courses!H190*Courses!AA190,0)</f>
        <v>0</v>
      </c>
      <c r="V184" s="106">
        <f>IF(AND('Courses Valid'!C196=0,Courses!I190&lt;&gt;"",Courses!J190&gt;0,Courses!AA190&gt;0),Courses!J190*Courses!AA190,0)</f>
        <v>0</v>
      </c>
    </row>
    <row r="185" spans="2:23" x14ac:dyDescent="0.35">
      <c r="B185" s="70" t="str">
        <f>IF(Courses!B191&lt;&gt;"",CONCATENATE(Courses!E191,"/",Courses!L191,"/",Courses!K191),"")</f>
        <v/>
      </c>
      <c r="C185" s="1579" t="str">
        <f>IF(AND(Courses!B191&lt;&gt;"",Courses!G191&lt;&gt;""),CONCATENATE(Courses!G191,"/",Courses!L191,"/",Courses!K191),"")</f>
        <v/>
      </c>
      <c r="D185" s="71" t="str">
        <f>IF(AND(Courses!B191&lt;&gt;"",Courses!I191&lt;&gt;""),CONCATENATE(Courses!I191,"/",Courses!L191,"/",Courses!K191),"")</f>
        <v/>
      </c>
      <c r="E185" s="1580">
        <f>IF(AND('Courses Valid'!C197=0,Courses!E191&lt;&gt;"",Courses!F191&gt;0,SUM(Courses!M191,Courses!N191)&gt;0),Courses!F191*SUM(Courses!M191,Courses!N191),0)</f>
        <v>0</v>
      </c>
      <c r="F185" s="41">
        <f>IF(AND('Courses Valid'!C197=0,Courses!G191&lt;&gt;"",Courses!H191&gt;0,SUM(Courses!M191,Courses!N191)&gt;0),Courses!H191*SUM(Courses!M191,Courses!N191),0)</f>
        <v>0</v>
      </c>
      <c r="G185" s="105">
        <f>IF(AND('Courses Valid'!C197=0,Courses!I191&lt;&gt;"",Courses!J191&gt;0,SUM(Courses!M191,Courses!N191)&gt;0),Courses!J191*SUM(Courses!M191,Courses!N191),0)</f>
        <v>0</v>
      </c>
      <c r="H185" s="1580">
        <f>IF(AND('Courses Valid'!C197=0,Courses!E191&lt;&gt;"",Courses!F191&gt;0,SUM(Courses!O191,Courses!P191)&gt;0),Courses!F191*SUM(Courses!O191,Courses!P191),0)</f>
        <v>0</v>
      </c>
      <c r="I185" s="41">
        <f>IF(AND('Courses Valid'!C197=0,Courses!G191&lt;&gt;"",Courses!H191&gt;0,SUM(Courses!O191,Courses!P191)&gt;0),Courses!H191*SUM(Courses!O191,Courses!P191),0)</f>
        <v>0</v>
      </c>
      <c r="J185" s="105">
        <f>IF(AND('Courses Valid'!C197=0,Courses!I191&lt;&gt;"",Courses!J191&gt;0,SUM(Courses!O191,Courses!P191)&gt;0),Courses!J191*SUM(Courses!O191,Courses!P191),0)</f>
        <v>0</v>
      </c>
      <c r="K185" s="1580">
        <f>IF(AND('Courses Valid'!C197=0,Courses!E191&lt;&gt;"",Courses!F191&gt;0,Courses!Q191&gt;0),Courses!F191*Courses!Q191,0)</f>
        <v>0</v>
      </c>
      <c r="L185" s="41">
        <f>IF(AND('Courses Valid'!C197=0,Courses!G191&lt;&gt;"",Courses!H191&gt;0,Courses!Q191&gt;0),Courses!H191*Courses!Q191,0)</f>
        <v>0</v>
      </c>
      <c r="M185" s="105">
        <f>IF(AND('Courses Valid'!C197=0,Courses!I191&lt;&gt;"",Courses!J191&gt;0,Courses!Q191&gt;0),Courses!J191*Courses!Q191,0)</f>
        <v>0</v>
      </c>
      <c r="N185" s="41">
        <f>IF(AND('Courses Valid'!C197=0,Courses!E191&lt;&gt;"",Courses!F191&gt;0,SUM(Courses!W191,Courses!X191)&gt;0),Courses!F191*SUM(Courses!W191,Courses!X191),0)</f>
        <v>0</v>
      </c>
      <c r="O185" s="41">
        <f>IF(AND('Courses Valid'!C197=0,Courses!G191&lt;&gt;"",Courses!H191&gt;0,SUM(Courses!W191,Courses!X191)&gt;0),Courses!H191*SUM(Courses!W191,Courses!X191),0)</f>
        <v>0</v>
      </c>
      <c r="P185" s="41">
        <f>IF(AND('Courses Valid'!C197=0,Courses!I191&lt;&gt;"",Courses!J191&gt;0,SUM(Courses!W191,Courses!X191)&gt;0),Courses!J191*SUM(Courses!W191,Courses!X191),0)</f>
        <v>0</v>
      </c>
      <c r="Q185" s="1580">
        <f>IF(AND('Courses Valid'!C197=0,Courses!E191&lt;&gt;"",Courses!F191&gt;0,SUM(Courses!Y191,Courses!Z191)&gt;0),Courses!F191*SUM(Courses!Y191,Courses!Z191),0)</f>
        <v>0</v>
      </c>
      <c r="R185" s="41">
        <f>IF(AND('Courses Valid'!C197=0,Courses!G191&lt;&gt;"",Courses!H191&gt;0,SUM(Courses!Y191,Courses!Z191)&gt;0),Courses!H191*SUM(Courses!Y191,Courses!Z191),0)</f>
        <v>0</v>
      </c>
      <c r="S185" s="105">
        <f>IF(AND('Courses Valid'!C197=0,Courses!I191&lt;&gt;"",Courses!J191&gt;0,SUM(Courses!Y191,Courses!Z191)&gt;0),Courses!J191*SUM(Courses!Y191,Courses!Z191),0)</f>
        <v>0</v>
      </c>
      <c r="T185" s="41">
        <f>IF(AND('Courses Valid'!C197=0,Courses!E191&lt;&gt;"",Courses!F191&gt;0,Courses!AA191&gt;0),Courses!F191*Courses!AA191,0)</f>
        <v>0</v>
      </c>
      <c r="U185" s="41">
        <f>IF(AND('Courses Valid'!C197=0,Courses!G191&lt;&gt;"",Courses!H191&gt;0,Courses!AA191&gt;0),Courses!H191*Courses!AA191,0)</f>
        <v>0</v>
      </c>
      <c r="V185" s="106">
        <f>IF(AND('Courses Valid'!C197=0,Courses!I191&lt;&gt;"",Courses!J191&gt;0,Courses!AA191&gt;0),Courses!J191*Courses!AA191,0)</f>
        <v>0</v>
      </c>
    </row>
    <row r="186" spans="2:23" x14ac:dyDescent="0.35">
      <c r="B186" s="70" t="str">
        <f>IF(Courses!B192&lt;&gt;"",CONCATENATE(Courses!E192,"/",Courses!L192,"/",Courses!K192),"")</f>
        <v/>
      </c>
      <c r="C186" s="1579" t="str">
        <f>IF(AND(Courses!B192&lt;&gt;"",Courses!G192&lt;&gt;""),CONCATENATE(Courses!G192,"/",Courses!L192,"/",Courses!K192),"")</f>
        <v/>
      </c>
      <c r="D186" s="71" t="str">
        <f>IF(AND(Courses!B192&lt;&gt;"",Courses!I192&lt;&gt;""),CONCATENATE(Courses!I192,"/",Courses!L192,"/",Courses!K192),"")</f>
        <v/>
      </c>
      <c r="E186" s="1580">
        <f>IF(AND('Courses Valid'!C198=0,Courses!E192&lt;&gt;"",Courses!F192&gt;0,SUM(Courses!M192,Courses!N192)&gt;0),Courses!F192*SUM(Courses!M192,Courses!N192),0)</f>
        <v>0</v>
      </c>
      <c r="F186" s="41">
        <f>IF(AND('Courses Valid'!C198=0,Courses!G192&lt;&gt;"",Courses!H192&gt;0,SUM(Courses!M192,Courses!N192)&gt;0),Courses!H192*SUM(Courses!M192,Courses!N192),0)</f>
        <v>0</v>
      </c>
      <c r="G186" s="105">
        <f>IF(AND('Courses Valid'!C198=0,Courses!I192&lt;&gt;"",Courses!J192&gt;0,SUM(Courses!M192,Courses!N192)&gt;0),Courses!J192*SUM(Courses!M192,Courses!N192),0)</f>
        <v>0</v>
      </c>
      <c r="H186" s="1580">
        <f>IF(AND('Courses Valid'!C198=0,Courses!E192&lt;&gt;"",Courses!F192&gt;0,SUM(Courses!O192,Courses!P192)&gt;0),Courses!F192*SUM(Courses!O192,Courses!P192),0)</f>
        <v>0</v>
      </c>
      <c r="I186" s="41">
        <f>IF(AND('Courses Valid'!C198=0,Courses!G192&lt;&gt;"",Courses!H192&gt;0,SUM(Courses!O192,Courses!P192)&gt;0),Courses!H192*SUM(Courses!O192,Courses!P192),0)</f>
        <v>0</v>
      </c>
      <c r="J186" s="105">
        <f>IF(AND('Courses Valid'!C198=0,Courses!I192&lt;&gt;"",Courses!J192&gt;0,SUM(Courses!O192,Courses!P192)&gt;0),Courses!J192*SUM(Courses!O192,Courses!P192),0)</f>
        <v>0</v>
      </c>
      <c r="K186" s="1580">
        <f>IF(AND('Courses Valid'!C198=0,Courses!E192&lt;&gt;"",Courses!F192&gt;0,Courses!Q192&gt;0),Courses!F192*Courses!Q192,0)</f>
        <v>0</v>
      </c>
      <c r="L186" s="41">
        <f>IF(AND('Courses Valid'!C198=0,Courses!G192&lt;&gt;"",Courses!H192&gt;0,Courses!Q192&gt;0),Courses!H192*Courses!Q192,0)</f>
        <v>0</v>
      </c>
      <c r="M186" s="105">
        <f>IF(AND('Courses Valid'!C198=0,Courses!I192&lt;&gt;"",Courses!J192&gt;0,Courses!Q192&gt;0),Courses!J192*Courses!Q192,0)</f>
        <v>0</v>
      </c>
      <c r="N186" s="41">
        <f>IF(AND('Courses Valid'!C198=0,Courses!E192&lt;&gt;"",Courses!F192&gt;0,SUM(Courses!W192,Courses!X192)&gt;0),Courses!F192*SUM(Courses!W192,Courses!X192),0)</f>
        <v>0</v>
      </c>
      <c r="O186" s="41">
        <f>IF(AND('Courses Valid'!C198=0,Courses!G192&lt;&gt;"",Courses!H192&gt;0,SUM(Courses!W192,Courses!X192)&gt;0),Courses!H192*SUM(Courses!W192,Courses!X192),0)</f>
        <v>0</v>
      </c>
      <c r="P186" s="41">
        <f>IF(AND('Courses Valid'!C198=0,Courses!I192&lt;&gt;"",Courses!J192&gt;0,SUM(Courses!W192,Courses!X192)&gt;0),Courses!J192*SUM(Courses!W192,Courses!X192),0)</f>
        <v>0</v>
      </c>
      <c r="Q186" s="1580">
        <f>IF(AND('Courses Valid'!C198=0,Courses!E192&lt;&gt;"",Courses!F192&gt;0,SUM(Courses!Y192,Courses!Z192)&gt;0),Courses!F192*SUM(Courses!Y192,Courses!Z192),0)</f>
        <v>0</v>
      </c>
      <c r="R186" s="41">
        <f>IF(AND('Courses Valid'!C198=0,Courses!G192&lt;&gt;"",Courses!H192&gt;0,SUM(Courses!Y192,Courses!Z192)&gt;0),Courses!H192*SUM(Courses!Y192,Courses!Z192),0)</f>
        <v>0</v>
      </c>
      <c r="S186" s="105">
        <f>IF(AND('Courses Valid'!C198=0,Courses!I192&lt;&gt;"",Courses!J192&gt;0,SUM(Courses!Y192,Courses!Z192)&gt;0),Courses!J192*SUM(Courses!Y192,Courses!Z192),0)</f>
        <v>0</v>
      </c>
      <c r="T186" s="41">
        <f>IF(AND('Courses Valid'!C198=0,Courses!E192&lt;&gt;"",Courses!F192&gt;0,Courses!AA192&gt;0),Courses!F192*Courses!AA192,0)</f>
        <v>0</v>
      </c>
      <c r="U186" s="41">
        <f>IF(AND('Courses Valid'!C198=0,Courses!G192&lt;&gt;"",Courses!H192&gt;0,Courses!AA192&gt;0),Courses!H192*Courses!AA192,0)</f>
        <v>0</v>
      </c>
      <c r="V186" s="106">
        <f>IF(AND('Courses Valid'!C198=0,Courses!I192&lt;&gt;"",Courses!J192&gt;0,Courses!AA192&gt;0),Courses!J192*Courses!AA192,0)</f>
        <v>0</v>
      </c>
    </row>
    <row r="187" spans="2:23" x14ac:dyDescent="0.35">
      <c r="B187" s="70" t="str">
        <f>IF(Courses!B193&lt;&gt;"",CONCATENATE(Courses!E193,"/",Courses!L193,"/",Courses!K193),"")</f>
        <v/>
      </c>
      <c r="C187" s="1579" t="str">
        <f>IF(AND(Courses!B193&lt;&gt;"",Courses!G193&lt;&gt;""),CONCATENATE(Courses!G193,"/",Courses!L193,"/",Courses!K193),"")</f>
        <v/>
      </c>
      <c r="D187" s="71" t="str">
        <f>IF(AND(Courses!B193&lt;&gt;"",Courses!I193&lt;&gt;""),CONCATENATE(Courses!I193,"/",Courses!L193,"/",Courses!K193),"")</f>
        <v/>
      </c>
      <c r="E187" s="1580">
        <f>IF(AND('Courses Valid'!C199=0,Courses!E193&lt;&gt;"",Courses!F193&gt;0,SUM(Courses!M193,Courses!N193)&gt;0),Courses!F193*SUM(Courses!M193,Courses!N193),0)</f>
        <v>0</v>
      </c>
      <c r="F187" s="41">
        <f>IF(AND('Courses Valid'!C199=0,Courses!G193&lt;&gt;"",Courses!H193&gt;0,SUM(Courses!M193,Courses!N193)&gt;0),Courses!H193*SUM(Courses!M193,Courses!N193),0)</f>
        <v>0</v>
      </c>
      <c r="G187" s="105">
        <f>IF(AND('Courses Valid'!C199=0,Courses!I193&lt;&gt;"",Courses!J193&gt;0,SUM(Courses!M193,Courses!N193)&gt;0),Courses!J193*SUM(Courses!M193,Courses!N193),0)</f>
        <v>0</v>
      </c>
      <c r="H187" s="1580">
        <f>IF(AND('Courses Valid'!C199=0,Courses!E193&lt;&gt;"",Courses!F193&gt;0,SUM(Courses!O193,Courses!P193)&gt;0),Courses!F193*SUM(Courses!O193,Courses!P193),0)</f>
        <v>0</v>
      </c>
      <c r="I187" s="41">
        <f>IF(AND('Courses Valid'!C199=0,Courses!G193&lt;&gt;"",Courses!H193&gt;0,SUM(Courses!O193,Courses!P193)&gt;0),Courses!H193*SUM(Courses!O193,Courses!P193),0)</f>
        <v>0</v>
      </c>
      <c r="J187" s="105">
        <f>IF(AND('Courses Valid'!C199=0,Courses!I193&lt;&gt;"",Courses!J193&gt;0,SUM(Courses!O193,Courses!P193)&gt;0),Courses!J193*SUM(Courses!O193,Courses!P193),0)</f>
        <v>0</v>
      </c>
      <c r="K187" s="1580">
        <f>IF(AND('Courses Valid'!C199=0,Courses!E193&lt;&gt;"",Courses!F193&gt;0,Courses!Q193&gt;0),Courses!F193*Courses!Q193,0)</f>
        <v>0</v>
      </c>
      <c r="L187" s="41">
        <f>IF(AND('Courses Valid'!C199=0,Courses!G193&lt;&gt;"",Courses!H193&gt;0,Courses!Q193&gt;0),Courses!H193*Courses!Q193,0)</f>
        <v>0</v>
      </c>
      <c r="M187" s="105">
        <f>IF(AND('Courses Valid'!C199=0,Courses!I193&lt;&gt;"",Courses!J193&gt;0,Courses!Q193&gt;0),Courses!J193*Courses!Q193,0)</f>
        <v>0</v>
      </c>
      <c r="N187" s="41">
        <f>IF(AND('Courses Valid'!C199=0,Courses!E193&lt;&gt;"",Courses!F193&gt;0,SUM(Courses!W193,Courses!X193)&gt;0),Courses!F193*SUM(Courses!W193,Courses!X193),0)</f>
        <v>0</v>
      </c>
      <c r="O187" s="41">
        <f>IF(AND('Courses Valid'!C199=0,Courses!G193&lt;&gt;"",Courses!H193&gt;0,SUM(Courses!W193,Courses!X193)&gt;0),Courses!H193*SUM(Courses!W193,Courses!X193),0)</f>
        <v>0</v>
      </c>
      <c r="P187" s="41">
        <f>IF(AND('Courses Valid'!C199=0,Courses!I193&lt;&gt;"",Courses!J193&gt;0,SUM(Courses!W193,Courses!X193)&gt;0),Courses!J193*SUM(Courses!W193,Courses!X193),0)</f>
        <v>0</v>
      </c>
      <c r="Q187" s="1580">
        <f>IF(AND('Courses Valid'!C199=0,Courses!E193&lt;&gt;"",Courses!F193&gt;0,SUM(Courses!Y193,Courses!Z193)&gt;0),Courses!F193*SUM(Courses!Y193,Courses!Z193),0)</f>
        <v>0</v>
      </c>
      <c r="R187" s="41">
        <f>IF(AND('Courses Valid'!C199=0,Courses!G193&lt;&gt;"",Courses!H193&gt;0,SUM(Courses!Y193,Courses!Z193)&gt;0),Courses!H193*SUM(Courses!Y193,Courses!Z193),0)</f>
        <v>0</v>
      </c>
      <c r="S187" s="105">
        <f>IF(AND('Courses Valid'!C199=0,Courses!I193&lt;&gt;"",Courses!J193&gt;0,SUM(Courses!Y193,Courses!Z193)&gt;0),Courses!J193*SUM(Courses!Y193,Courses!Z193),0)</f>
        <v>0</v>
      </c>
      <c r="T187" s="41">
        <f>IF(AND('Courses Valid'!C199=0,Courses!E193&lt;&gt;"",Courses!F193&gt;0,Courses!AA193&gt;0),Courses!F193*Courses!AA193,0)</f>
        <v>0</v>
      </c>
      <c r="U187" s="41">
        <f>IF(AND('Courses Valid'!C199=0,Courses!G193&lt;&gt;"",Courses!H193&gt;0,Courses!AA193&gt;0),Courses!H193*Courses!AA193,0)</f>
        <v>0</v>
      </c>
      <c r="V187" s="106">
        <f>IF(AND('Courses Valid'!C199=0,Courses!I193&lt;&gt;"",Courses!J193&gt;0,Courses!AA193&gt;0),Courses!J193*Courses!AA193,0)</f>
        <v>0</v>
      </c>
    </row>
    <row r="188" spans="2:23" x14ac:dyDescent="0.35">
      <c r="B188" s="70" t="str">
        <f>IF(Courses!B194&lt;&gt;"",CONCATENATE(Courses!E194,"/",Courses!L194,"/",Courses!K194),"")</f>
        <v/>
      </c>
      <c r="C188" s="1579" t="str">
        <f>IF(AND(Courses!B194&lt;&gt;"",Courses!G194&lt;&gt;""),CONCATENATE(Courses!G194,"/",Courses!L194,"/",Courses!K194),"")</f>
        <v/>
      </c>
      <c r="D188" s="71" t="str">
        <f>IF(AND(Courses!B194&lt;&gt;"",Courses!I194&lt;&gt;""),CONCATENATE(Courses!I194,"/",Courses!L194,"/",Courses!K194),"")</f>
        <v/>
      </c>
      <c r="E188" s="1580">
        <f>IF(AND('Courses Valid'!C200=0,Courses!E194&lt;&gt;"",Courses!F194&gt;0,SUM(Courses!M194,Courses!N194)&gt;0),Courses!F194*SUM(Courses!M194,Courses!N194),0)</f>
        <v>0</v>
      </c>
      <c r="F188" s="41">
        <f>IF(AND('Courses Valid'!C200=0,Courses!G194&lt;&gt;"",Courses!H194&gt;0,SUM(Courses!M194,Courses!N194)&gt;0),Courses!H194*SUM(Courses!M194,Courses!N194),0)</f>
        <v>0</v>
      </c>
      <c r="G188" s="105">
        <f>IF(AND('Courses Valid'!C200=0,Courses!I194&lt;&gt;"",Courses!J194&gt;0,SUM(Courses!M194,Courses!N194)&gt;0),Courses!J194*SUM(Courses!M194,Courses!N194),0)</f>
        <v>0</v>
      </c>
      <c r="H188" s="1580">
        <f>IF(AND('Courses Valid'!C200=0,Courses!E194&lt;&gt;"",Courses!F194&gt;0,SUM(Courses!O194,Courses!P194)&gt;0),Courses!F194*SUM(Courses!O194,Courses!P194),0)</f>
        <v>0</v>
      </c>
      <c r="I188" s="41">
        <f>IF(AND('Courses Valid'!C200=0,Courses!G194&lt;&gt;"",Courses!H194&gt;0,SUM(Courses!O194,Courses!P194)&gt;0),Courses!H194*SUM(Courses!O194,Courses!P194),0)</f>
        <v>0</v>
      </c>
      <c r="J188" s="105">
        <f>IF(AND('Courses Valid'!C200=0,Courses!I194&lt;&gt;"",Courses!J194&gt;0,SUM(Courses!O194,Courses!P194)&gt;0),Courses!J194*SUM(Courses!O194,Courses!P194),0)</f>
        <v>0</v>
      </c>
      <c r="K188" s="1580">
        <f>IF(AND('Courses Valid'!C200=0,Courses!E194&lt;&gt;"",Courses!F194&gt;0,Courses!Q194&gt;0),Courses!F194*Courses!Q194,0)</f>
        <v>0</v>
      </c>
      <c r="L188" s="41">
        <f>IF(AND('Courses Valid'!C200=0,Courses!G194&lt;&gt;"",Courses!H194&gt;0,Courses!Q194&gt;0),Courses!H194*Courses!Q194,0)</f>
        <v>0</v>
      </c>
      <c r="M188" s="105">
        <f>IF(AND('Courses Valid'!C200=0,Courses!I194&lt;&gt;"",Courses!J194&gt;0,Courses!Q194&gt;0),Courses!J194*Courses!Q194,0)</f>
        <v>0</v>
      </c>
      <c r="N188" s="41">
        <f>IF(AND('Courses Valid'!C200=0,Courses!E194&lt;&gt;"",Courses!F194&gt;0,SUM(Courses!W194,Courses!X194)&gt;0),Courses!F194*SUM(Courses!W194,Courses!X194),0)</f>
        <v>0</v>
      </c>
      <c r="O188" s="41">
        <f>IF(AND('Courses Valid'!C200=0,Courses!G194&lt;&gt;"",Courses!H194&gt;0,SUM(Courses!W194,Courses!X194)&gt;0),Courses!H194*SUM(Courses!W194,Courses!X194),0)</f>
        <v>0</v>
      </c>
      <c r="P188" s="41">
        <f>IF(AND('Courses Valid'!C200=0,Courses!I194&lt;&gt;"",Courses!J194&gt;0,SUM(Courses!W194,Courses!X194)&gt;0),Courses!J194*SUM(Courses!W194,Courses!X194),0)</f>
        <v>0</v>
      </c>
      <c r="Q188" s="1580">
        <f>IF(AND('Courses Valid'!C200=0,Courses!E194&lt;&gt;"",Courses!F194&gt;0,SUM(Courses!Y194,Courses!Z194)&gt;0),Courses!F194*SUM(Courses!Y194,Courses!Z194),0)</f>
        <v>0</v>
      </c>
      <c r="R188" s="41">
        <f>IF(AND('Courses Valid'!C200=0,Courses!G194&lt;&gt;"",Courses!H194&gt;0,SUM(Courses!Y194,Courses!Z194)&gt;0),Courses!H194*SUM(Courses!Y194,Courses!Z194),0)</f>
        <v>0</v>
      </c>
      <c r="S188" s="105">
        <f>IF(AND('Courses Valid'!C200=0,Courses!I194&lt;&gt;"",Courses!J194&gt;0,SUM(Courses!Y194,Courses!Z194)&gt;0),Courses!J194*SUM(Courses!Y194,Courses!Z194),0)</f>
        <v>0</v>
      </c>
      <c r="T188" s="41">
        <f>IF(AND('Courses Valid'!C200=0,Courses!E194&lt;&gt;"",Courses!F194&gt;0,Courses!AA194&gt;0),Courses!F194*Courses!AA194,0)</f>
        <v>0</v>
      </c>
      <c r="U188" s="41">
        <f>IF(AND('Courses Valid'!C200=0,Courses!G194&lt;&gt;"",Courses!H194&gt;0,Courses!AA194&gt;0),Courses!H194*Courses!AA194,0)</f>
        <v>0</v>
      </c>
      <c r="V188" s="106">
        <f>IF(AND('Courses Valid'!C200=0,Courses!I194&lt;&gt;"",Courses!J194&gt;0,Courses!AA194&gt;0),Courses!J194*Courses!AA194,0)</f>
        <v>0</v>
      </c>
    </row>
    <row r="189" spans="2:23" x14ac:dyDescent="0.35">
      <c r="B189" s="70" t="str">
        <f>IF(Courses!B195&lt;&gt;"",CONCATENATE(Courses!E195,"/",Courses!L195,"/",Courses!K195),"")</f>
        <v/>
      </c>
      <c r="C189" s="1579" t="str">
        <f>IF(AND(Courses!B195&lt;&gt;"",Courses!G195&lt;&gt;""),CONCATENATE(Courses!G195,"/",Courses!L195,"/",Courses!K195),"")</f>
        <v/>
      </c>
      <c r="D189" s="71" t="str">
        <f>IF(AND(Courses!B195&lt;&gt;"",Courses!I195&lt;&gt;""),CONCATENATE(Courses!I195,"/",Courses!L195,"/",Courses!K195),"")</f>
        <v/>
      </c>
      <c r="E189" s="1580">
        <f>IF(AND('Courses Valid'!C201=0,Courses!E195&lt;&gt;"",Courses!F195&gt;0,SUM(Courses!M195,Courses!N195)&gt;0),Courses!F195*SUM(Courses!M195,Courses!N195),0)</f>
        <v>0</v>
      </c>
      <c r="F189" s="41">
        <f>IF(AND('Courses Valid'!C201=0,Courses!G195&lt;&gt;"",Courses!H195&gt;0,SUM(Courses!M195,Courses!N195)&gt;0),Courses!H195*SUM(Courses!M195,Courses!N195),0)</f>
        <v>0</v>
      </c>
      <c r="G189" s="105">
        <f>IF(AND('Courses Valid'!C201=0,Courses!I195&lt;&gt;"",Courses!J195&gt;0,SUM(Courses!M195,Courses!N195)&gt;0),Courses!J195*SUM(Courses!M195,Courses!N195),0)</f>
        <v>0</v>
      </c>
      <c r="H189" s="1580">
        <f>IF(AND('Courses Valid'!C201=0,Courses!E195&lt;&gt;"",Courses!F195&gt;0,SUM(Courses!O195,Courses!P195)&gt;0),Courses!F195*SUM(Courses!O195,Courses!P195),0)</f>
        <v>0</v>
      </c>
      <c r="I189" s="41">
        <f>IF(AND('Courses Valid'!C201=0,Courses!G195&lt;&gt;"",Courses!H195&gt;0,SUM(Courses!O195,Courses!P195)&gt;0),Courses!H195*SUM(Courses!O195,Courses!P195),0)</f>
        <v>0</v>
      </c>
      <c r="J189" s="105">
        <f>IF(AND('Courses Valid'!C201=0,Courses!I195&lt;&gt;"",Courses!J195&gt;0,SUM(Courses!O195,Courses!P195)&gt;0),Courses!J195*SUM(Courses!O195,Courses!P195),0)</f>
        <v>0</v>
      </c>
      <c r="K189" s="1580">
        <f>IF(AND('Courses Valid'!C201=0,Courses!E195&lt;&gt;"",Courses!F195&gt;0,Courses!Q195&gt;0),Courses!F195*Courses!Q195,0)</f>
        <v>0</v>
      </c>
      <c r="L189" s="41">
        <f>IF(AND('Courses Valid'!C201=0,Courses!G195&lt;&gt;"",Courses!H195&gt;0,Courses!Q195&gt;0),Courses!H195*Courses!Q195,0)</f>
        <v>0</v>
      </c>
      <c r="M189" s="105">
        <f>IF(AND('Courses Valid'!C201=0,Courses!I195&lt;&gt;"",Courses!J195&gt;0,Courses!Q195&gt;0),Courses!J195*Courses!Q195,0)</f>
        <v>0</v>
      </c>
      <c r="N189" s="41">
        <f>IF(AND('Courses Valid'!C201=0,Courses!E195&lt;&gt;"",Courses!F195&gt;0,SUM(Courses!W195,Courses!X195)&gt;0),Courses!F195*SUM(Courses!W195,Courses!X195),0)</f>
        <v>0</v>
      </c>
      <c r="O189" s="41">
        <f>IF(AND('Courses Valid'!C201=0,Courses!G195&lt;&gt;"",Courses!H195&gt;0,SUM(Courses!W195,Courses!X195)&gt;0),Courses!H195*SUM(Courses!W195,Courses!X195),0)</f>
        <v>0</v>
      </c>
      <c r="P189" s="41">
        <f>IF(AND('Courses Valid'!C201=0,Courses!I195&lt;&gt;"",Courses!J195&gt;0,SUM(Courses!W195,Courses!X195)&gt;0),Courses!J195*SUM(Courses!W195,Courses!X195),0)</f>
        <v>0</v>
      </c>
      <c r="Q189" s="1580">
        <f>IF(AND('Courses Valid'!C201=0,Courses!E195&lt;&gt;"",Courses!F195&gt;0,SUM(Courses!Y195,Courses!Z195)&gt;0),Courses!F195*SUM(Courses!Y195,Courses!Z195),0)</f>
        <v>0</v>
      </c>
      <c r="R189" s="41">
        <f>IF(AND('Courses Valid'!C201=0,Courses!G195&lt;&gt;"",Courses!H195&gt;0,SUM(Courses!Y195,Courses!Z195)&gt;0),Courses!H195*SUM(Courses!Y195,Courses!Z195),0)</f>
        <v>0</v>
      </c>
      <c r="S189" s="105">
        <f>IF(AND('Courses Valid'!C201=0,Courses!I195&lt;&gt;"",Courses!J195&gt;0,SUM(Courses!Y195,Courses!Z195)&gt;0),Courses!J195*SUM(Courses!Y195,Courses!Z195),0)</f>
        <v>0</v>
      </c>
      <c r="T189" s="41">
        <f>IF(AND('Courses Valid'!C201=0,Courses!E195&lt;&gt;"",Courses!F195&gt;0,Courses!AA195&gt;0),Courses!F195*Courses!AA195,0)</f>
        <v>0</v>
      </c>
      <c r="U189" s="41">
        <f>IF(AND('Courses Valid'!C201=0,Courses!G195&lt;&gt;"",Courses!H195&gt;0,Courses!AA195&gt;0),Courses!H195*Courses!AA195,0)</f>
        <v>0</v>
      </c>
      <c r="V189" s="106">
        <f>IF(AND('Courses Valid'!C201=0,Courses!I195&lt;&gt;"",Courses!J195&gt;0,Courses!AA195&gt;0),Courses!J195*Courses!AA195,0)</f>
        <v>0</v>
      </c>
    </row>
    <row r="190" spans="2:23" x14ac:dyDescent="0.35">
      <c r="B190" s="70" t="str">
        <f>IF(Courses!B196&lt;&gt;"",CONCATENATE(Courses!E196,"/",Courses!L196,"/",Courses!K196),"")</f>
        <v/>
      </c>
      <c r="C190" s="1579" t="str">
        <f>IF(AND(Courses!B196&lt;&gt;"",Courses!G196&lt;&gt;""),CONCATENATE(Courses!G196,"/",Courses!L196,"/",Courses!K196),"")</f>
        <v/>
      </c>
      <c r="D190" s="71" t="str">
        <f>IF(AND(Courses!B196&lt;&gt;"",Courses!I196&lt;&gt;""),CONCATENATE(Courses!I196,"/",Courses!L196,"/",Courses!K196),"")</f>
        <v/>
      </c>
      <c r="E190" s="1580">
        <f>IF(AND('Courses Valid'!C202=0,Courses!E196&lt;&gt;"",Courses!F196&gt;0,SUM(Courses!M196,Courses!N196)&gt;0),Courses!F196*SUM(Courses!M196,Courses!N196),0)</f>
        <v>0</v>
      </c>
      <c r="F190" s="41">
        <f>IF(AND('Courses Valid'!C202=0,Courses!G196&lt;&gt;"",Courses!H196&gt;0,SUM(Courses!M196,Courses!N196)&gt;0),Courses!H196*SUM(Courses!M196,Courses!N196),0)</f>
        <v>0</v>
      </c>
      <c r="G190" s="105">
        <f>IF(AND('Courses Valid'!C202=0,Courses!I196&lt;&gt;"",Courses!J196&gt;0,SUM(Courses!M196,Courses!N196)&gt;0),Courses!J196*SUM(Courses!M196,Courses!N196),0)</f>
        <v>0</v>
      </c>
      <c r="H190" s="1580">
        <f>IF(AND('Courses Valid'!C202=0,Courses!E196&lt;&gt;"",Courses!F196&gt;0,SUM(Courses!O196,Courses!P196)&gt;0),Courses!F196*SUM(Courses!O196,Courses!P196),0)</f>
        <v>0</v>
      </c>
      <c r="I190" s="41">
        <f>IF(AND('Courses Valid'!C202=0,Courses!G196&lt;&gt;"",Courses!H196&gt;0,SUM(Courses!O196,Courses!P196)&gt;0),Courses!H196*SUM(Courses!O196,Courses!P196),0)</f>
        <v>0</v>
      </c>
      <c r="J190" s="105">
        <f>IF(AND('Courses Valid'!C202=0,Courses!I196&lt;&gt;"",Courses!J196&gt;0,SUM(Courses!O196,Courses!P196)&gt;0),Courses!J196*SUM(Courses!O196,Courses!P196),0)</f>
        <v>0</v>
      </c>
      <c r="K190" s="1580">
        <f>IF(AND('Courses Valid'!C202=0,Courses!E196&lt;&gt;"",Courses!F196&gt;0,Courses!Q196&gt;0),Courses!F196*Courses!Q196,0)</f>
        <v>0</v>
      </c>
      <c r="L190" s="41">
        <f>IF(AND('Courses Valid'!C202=0,Courses!G196&lt;&gt;"",Courses!H196&gt;0,Courses!Q196&gt;0),Courses!H196*Courses!Q196,0)</f>
        <v>0</v>
      </c>
      <c r="M190" s="105">
        <f>IF(AND('Courses Valid'!C202=0,Courses!I196&lt;&gt;"",Courses!J196&gt;0,Courses!Q196&gt;0),Courses!J196*Courses!Q196,0)</f>
        <v>0</v>
      </c>
      <c r="N190" s="41">
        <f>IF(AND('Courses Valid'!C202=0,Courses!E196&lt;&gt;"",Courses!F196&gt;0,SUM(Courses!W196,Courses!X196)&gt;0),Courses!F196*SUM(Courses!W196,Courses!X196),0)</f>
        <v>0</v>
      </c>
      <c r="O190" s="41">
        <f>IF(AND('Courses Valid'!C202=0,Courses!G196&lt;&gt;"",Courses!H196&gt;0,SUM(Courses!W196,Courses!X196)&gt;0),Courses!H196*SUM(Courses!W196,Courses!X196),0)</f>
        <v>0</v>
      </c>
      <c r="P190" s="41">
        <f>IF(AND('Courses Valid'!C202=0,Courses!I196&lt;&gt;"",Courses!J196&gt;0,SUM(Courses!W196,Courses!X196)&gt;0),Courses!J196*SUM(Courses!W196,Courses!X196),0)</f>
        <v>0</v>
      </c>
      <c r="Q190" s="1580">
        <f>IF(AND('Courses Valid'!C202=0,Courses!E196&lt;&gt;"",Courses!F196&gt;0,SUM(Courses!Y196,Courses!Z196)&gt;0),Courses!F196*SUM(Courses!Y196,Courses!Z196),0)</f>
        <v>0</v>
      </c>
      <c r="R190" s="41">
        <f>IF(AND('Courses Valid'!C202=0,Courses!G196&lt;&gt;"",Courses!H196&gt;0,SUM(Courses!Y196,Courses!Z196)&gt;0),Courses!H196*SUM(Courses!Y196,Courses!Z196),0)</f>
        <v>0</v>
      </c>
      <c r="S190" s="105">
        <f>IF(AND('Courses Valid'!C202=0,Courses!I196&lt;&gt;"",Courses!J196&gt;0,SUM(Courses!Y196,Courses!Z196)&gt;0),Courses!J196*SUM(Courses!Y196,Courses!Z196),0)</f>
        <v>0</v>
      </c>
      <c r="T190" s="41">
        <f>IF(AND('Courses Valid'!C202=0,Courses!E196&lt;&gt;"",Courses!F196&gt;0,Courses!AA196&gt;0),Courses!F196*Courses!AA196,0)</f>
        <v>0</v>
      </c>
      <c r="U190" s="41">
        <f>IF(AND('Courses Valid'!C202=0,Courses!G196&lt;&gt;"",Courses!H196&gt;0,Courses!AA196&gt;0),Courses!H196*Courses!AA196,0)</f>
        <v>0</v>
      </c>
      <c r="V190" s="106">
        <f>IF(AND('Courses Valid'!C202=0,Courses!I196&lt;&gt;"",Courses!J196&gt;0,Courses!AA196&gt;0),Courses!J196*Courses!AA196,0)</f>
        <v>0</v>
      </c>
    </row>
    <row r="191" spans="2:23" x14ac:dyDescent="0.35">
      <c r="B191" s="70" t="str">
        <f>IF(Courses!B197&lt;&gt;"",CONCATENATE(Courses!E197,"/",Courses!L197,"/",Courses!K197),"")</f>
        <v/>
      </c>
      <c r="C191" s="1579" t="str">
        <f>IF(AND(Courses!B197&lt;&gt;"",Courses!G197&lt;&gt;""),CONCATENATE(Courses!G197,"/",Courses!L197,"/",Courses!K197),"")</f>
        <v/>
      </c>
      <c r="D191" s="71" t="str">
        <f>IF(AND(Courses!B197&lt;&gt;"",Courses!I197&lt;&gt;""),CONCATENATE(Courses!I197,"/",Courses!L197,"/",Courses!K197),"")</f>
        <v/>
      </c>
      <c r="E191" s="1580">
        <f>IF(AND('Courses Valid'!C203=0,Courses!E197&lt;&gt;"",Courses!F197&gt;0,SUM(Courses!M197,Courses!N197)&gt;0),Courses!F197*SUM(Courses!M197,Courses!N197),0)</f>
        <v>0</v>
      </c>
      <c r="F191" s="41">
        <f>IF(AND('Courses Valid'!C203=0,Courses!G197&lt;&gt;"",Courses!H197&gt;0,SUM(Courses!M197,Courses!N197)&gt;0),Courses!H197*SUM(Courses!M197,Courses!N197),0)</f>
        <v>0</v>
      </c>
      <c r="G191" s="105">
        <f>IF(AND('Courses Valid'!C203=0,Courses!I197&lt;&gt;"",Courses!J197&gt;0,SUM(Courses!M197,Courses!N197)&gt;0),Courses!J197*SUM(Courses!M197,Courses!N197),0)</f>
        <v>0</v>
      </c>
      <c r="H191" s="1580">
        <f>IF(AND('Courses Valid'!C203=0,Courses!E197&lt;&gt;"",Courses!F197&gt;0,SUM(Courses!O197,Courses!P197)&gt;0),Courses!F197*SUM(Courses!O197,Courses!P197),0)</f>
        <v>0</v>
      </c>
      <c r="I191" s="41">
        <f>IF(AND('Courses Valid'!C203=0,Courses!G197&lt;&gt;"",Courses!H197&gt;0,SUM(Courses!O197,Courses!P197)&gt;0),Courses!H197*SUM(Courses!O197,Courses!P197),0)</f>
        <v>0</v>
      </c>
      <c r="J191" s="105">
        <f>IF(AND('Courses Valid'!C203=0,Courses!I197&lt;&gt;"",Courses!J197&gt;0,SUM(Courses!O197,Courses!P197)&gt;0),Courses!J197*SUM(Courses!O197,Courses!P197),0)</f>
        <v>0</v>
      </c>
      <c r="K191" s="1580">
        <f>IF(AND('Courses Valid'!C203=0,Courses!E197&lt;&gt;"",Courses!F197&gt;0,Courses!Q197&gt;0),Courses!F197*Courses!Q197,0)</f>
        <v>0</v>
      </c>
      <c r="L191" s="41">
        <f>IF(AND('Courses Valid'!C203=0,Courses!G197&lt;&gt;"",Courses!H197&gt;0,Courses!Q197&gt;0),Courses!H197*Courses!Q197,0)</f>
        <v>0</v>
      </c>
      <c r="M191" s="105">
        <f>IF(AND('Courses Valid'!C203=0,Courses!I197&lt;&gt;"",Courses!J197&gt;0,Courses!Q197&gt;0),Courses!J197*Courses!Q197,0)</f>
        <v>0</v>
      </c>
      <c r="N191" s="41">
        <f>IF(AND('Courses Valid'!C203=0,Courses!E197&lt;&gt;"",Courses!F197&gt;0,SUM(Courses!W197,Courses!X197)&gt;0),Courses!F197*SUM(Courses!W197,Courses!X197),0)</f>
        <v>0</v>
      </c>
      <c r="O191" s="41">
        <f>IF(AND('Courses Valid'!C203=0,Courses!G197&lt;&gt;"",Courses!H197&gt;0,SUM(Courses!W197,Courses!X197)&gt;0),Courses!H197*SUM(Courses!W197,Courses!X197),0)</f>
        <v>0</v>
      </c>
      <c r="P191" s="41">
        <f>IF(AND('Courses Valid'!C203=0,Courses!I197&lt;&gt;"",Courses!J197&gt;0,SUM(Courses!W197,Courses!X197)&gt;0),Courses!J197*SUM(Courses!W197,Courses!X197),0)</f>
        <v>0</v>
      </c>
      <c r="Q191" s="1580">
        <f>IF(AND('Courses Valid'!C203=0,Courses!E197&lt;&gt;"",Courses!F197&gt;0,SUM(Courses!Y197,Courses!Z197)&gt;0),Courses!F197*SUM(Courses!Y197,Courses!Z197),0)</f>
        <v>0</v>
      </c>
      <c r="R191" s="41">
        <f>IF(AND('Courses Valid'!C203=0,Courses!G197&lt;&gt;"",Courses!H197&gt;0,SUM(Courses!Y197,Courses!Z197)&gt;0),Courses!H197*SUM(Courses!Y197,Courses!Z197),0)</f>
        <v>0</v>
      </c>
      <c r="S191" s="105">
        <f>IF(AND('Courses Valid'!C203=0,Courses!I197&lt;&gt;"",Courses!J197&gt;0,SUM(Courses!Y197,Courses!Z197)&gt;0),Courses!J197*SUM(Courses!Y197,Courses!Z197),0)</f>
        <v>0</v>
      </c>
      <c r="T191" s="41">
        <f>IF(AND('Courses Valid'!C203=0,Courses!E197&lt;&gt;"",Courses!F197&gt;0,Courses!AA197&gt;0),Courses!F197*Courses!AA197,0)</f>
        <v>0</v>
      </c>
      <c r="U191" s="41">
        <f>IF(AND('Courses Valid'!C203=0,Courses!G197&lt;&gt;"",Courses!H197&gt;0,Courses!AA197&gt;0),Courses!H197*Courses!AA197,0)</f>
        <v>0</v>
      </c>
      <c r="V191" s="106">
        <f>IF(AND('Courses Valid'!C203=0,Courses!I197&lt;&gt;"",Courses!J197&gt;0,Courses!AA197&gt;0),Courses!J197*Courses!AA197,0)</f>
        <v>0</v>
      </c>
    </row>
    <row r="192" spans="2:23" x14ac:dyDescent="0.35">
      <c r="B192" s="70" t="str">
        <f>IF(Courses!B198&lt;&gt;"",CONCATENATE(Courses!E198,"/",Courses!L198,"/",Courses!K198),"")</f>
        <v/>
      </c>
      <c r="C192" s="1579" t="str">
        <f>IF(AND(Courses!B198&lt;&gt;"",Courses!G198&lt;&gt;""),CONCATENATE(Courses!G198,"/",Courses!L198,"/",Courses!K198),"")</f>
        <v/>
      </c>
      <c r="D192" s="71" t="str">
        <f>IF(AND(Courses!B198&lt;&gt;"",Courses!I198&lt;&gt;""),CONCATENATE(Courses!I198,"/",Courses!L198,"/",Courses!K198),"")</f>
        <v/>
      </c>
      <c r="E192" s="1580">
        <f>IF(AND('Courses Valid'!C204=0,Courses!E198&lt;&gt;"",Courses!F198&gt;0,SUM(Courses!M198,Courses!N198)&gt;0),Courses!F198*SUM(Courses!M198,Courses!N198),0)</f>
        <v>0</v>
      </c>
      <c r="F192" s="41">
        <f>IF(AND('Courses Valid'!C204=0,Courses!G198&lt;&gt;"",Courses!H198&gt;0,SUM(Courses!M198,Courses!N198)&gt;0),Courses!H198*SUM(Courses!M198,Courses!N198),0)</f>
        <v>0</v>
      </c>
      <c r="G192" s="105">
        <f>IF(AND('Courses Valid'!C204=0,Courses!I198&lt;&gt;"",Courses!J198&gt;0,SUM(Courses!M198,Courses!N198)&gt;0),Courses!J198*SUM(Courses!M198,Courses!N198),0)</f>
        <v>0</v>
      </c>
      <c r="H192" s="1580">
        <f>IF(AND('Courses Valid'!C204=0,Courses!E198&lt;&gt;"",Courses!F198&gt;0,SUM(Courses!O198,Courses!P198)&gt;0),Courses!F198*SUM(Courses!O198,Courses!P198),0)</f>
        <v>0</v>
      </c>
      <c r="I192" s="41">
        <f>IF(AND('Courses Valid'!C204=0,Courses!G198&lt;&gt;"",Courses!H198&gt;0,SUM(Courses!O198,Courses!P198)&gt;0),Courses!H198*SUM(Courses!O198,Courses!P198),0)</f>
        <v>0</v>
      </c>
      <c r="J192" s="105">
        <f>IF(AND('Courses Valid'!C204=0,Courses!I198&lt;&gt;"",Courses!J198&gt;0,SUM(Courses!O198,Courses!P198)&gt;0),Courses!J198*SUM(Courses!O198,Courses!P198),0)</f>
        <v>0</v>
      </c>
      <c r="K192" s="1580">
        <f>IF(AND('Courses Valid'!C204=0,Courses!E198&lt;&gt;"",Courses!F198&gt;0,Courses!Q198&gt;0),Courses!F198*Courses!Q198,0)</f>
        <v>0</v>
      </c>
      <c r="L192" s="41">
        <f>IF(AND('Courses Valid'!C204=0,Courses!G198&lt;&gt;"",Courses!H198&gt;0,Courses!Q198&gt;0),Courses!H198*Courses!Q198,0)</f>
        <v>0</v>
      </c>
      <c r="M192" s="105">
        <f>IF(AND('Courses Valid'!C204=0,Courses!I198&lt;&gt;"",Courses!J198&gt;0,Courses!Q198&gt;0),Courses!J198*Courses!Q198,0)</f>
        <v>0</v>
      </c>
      <c r="N192" s="41">
        <f>IF(AND('Courses Valid'!C204=0,Courses!E198&lt;&gt;"",Courses!F198&gt;0,SUM(Courses!W198,Courses!X198)&gt;0),Courses!F198*SUM(Courses!W198,Courses!X198),0)</f>
        <v>0</v>
      </c>
      <c r="O192" s="41">
        <f>IF(AND('Courses Valid'!C204=0,Courses!G198&lt;&gt;"",Courses!H198&gt;0,SUM(Courses!W198,Courses!X198)&gt;0),Courses!H198*SUM(Courses!W198,Courses!X198),0)</f>
        <v>0</v>
      </c>
      <c r="P192" s="41">
        <f>IF(AND('Courses Valid'!C204=0,Courses!I198&lt;&gt;"",Courses!J198&gt;0,SUM(Courses!W198,Courses!X198)&gt;0),Courses!J198*SUM(Courses!W198,Courses!X198),0)</f>
        <v>0</v>
      </c>
      <c r="Q192" s="1580">
        <f>IF(AND('Courses Valid'!C204=0,Courses!E198&lt;&gt;"",Courses!F198&gt;0,SUM(Courses!Y198,Courses!Z198)&gt;0),Courses!F198*SUM(Courses!Y198,Courses!Z198),0)</f>
        <v>0</v>
      </c>
      <c r="R192" s="41">
        <f>IF(AND('Courses Valid'!C204=0,Courses!G198&lt;&gt;"",Courses!H198&gt;0,SUM(Courses!Y198,Courses!Z198)&gt;0),Courses!H198*SUM(Courses!Y198,Courses!Z198),0)</f>
        <v>0</v>
      </c>
      <c r="S192" s="105">
        <f>IF(AND('Courses Valid'!C204=0,Courses!I198&lt;&gt;"",Courses!J198&gt;0,SUM(Courses!Y198,Courses!Z198)&gt;0),Courses!J198*SUM(Courses!Y198,Courses!Z198),0)</f>
        <v>0</v>
      </c>
      <c r="T192" s="41">
        <f>IF(AND('Courses Valid'!C204=0,Courses!E198&lt;&gt;"",Courses!F198&gt;0,Courses!AA198&gt;0),Courses!F198*Courses!AA198,0)</f>
        <v>0</v>
      </c>
      <c r="U192" s="41">
        <f>IF(AND('Courses Valid'!C204=0,Courses!G198&lt;&gt;"",Courses!H198&gt;0,Courses!AA198&gt;0),Courses!H198*Courses!AA198,0)</f>
        <v>0</v>
      </c>
      <c r="V192" s="106">
        <f>IF(AND('Courses Valid'!C204=0,Courses!I198&lt;&gt;"",Courses!J198&gt;0,Courses!AA198&gt;0),Courses!J198*Courses!AA198,0)</f>
        <v>0</v>
      </c>
    </row>
    <row r="193" spans="2:22" x14ac:dyDescent="0.35">
      <c r="B193" s="70" t="str">
        <f>IF(Courses!B199&lt;&gt;"",CONCATENATE(Courses!E199,"/",Courses!L199,"/",Courses!K199),"")</f>
        <v/>
      </c>
      <c r="C193" s="1579" t="str">
        <f>IF(AND(Courses!B199&lt;&gt;"",Courses!G199&lt;&gt;""),CONCATENATE(Courses!G199,"/",Courses!L199,"/",Courses!K199),"")</f>
        <v/>
      </c>
      <c r="D193" s="71" t="str">
        <f>IF(AND(Courses!B199&lt;&gt;"",Courses!I199&lt;&gt;""),CONCATENATE(Courses!I199,"/",Courses!L199,"/",Courses!K199),"")</f>
        <v/>
      </c>
      <c r="E193" s="1580">
        <f>IF(AND('Courses Valid'!C205=0,Courses!E199&lt;&gt;"",Courses!F199&gt;0,SUM(Courses!M199,Courses!N199)&gt;0),Courses!F199*SUM(Courses!M199,Courses!N199),0)</f>
        <v>0</v>
      </c>
      <c r="F193" s="41">
        <f>IF(AND('Courses Valid'!C205=0,Courses!G199&lt;&gt;"",Courses!H199&gt;0,SUM(Courses!M199,Courses!N199)&gt;0),Courses!H199*SUM(Courses!M199,Courses!N199),0)</f>
        <v>0</v>
      </c>
      <c r="G193" s="105">
        <f>IF(AND('Courses Valid'!C205=0,Courses!I199&lt;&gt;"",Courses!J199&gt;0,SUM(Courses!M199,Courses!N199)&gt;0),Courses!J199*SUM(Courses!M199,Courses!N199),0)</f>
        <v>0</v>
      </c>
      <c r="H193" s="1580">
        <f>IF(AND('Courses Valid'!C205=0,Courses!E199&lt;&gt;"",Courses!F199&gt;0,SUM(Courses!O199,Courses!P199)&gt;0),Courses!F199*SUM(Courses!O199,Courses!P199),0)</f>
        <v>0</v>
      </c>
      <c r="I193" s="41">
        <f>IF(AND('Courses Valid'!C205=0,Courses!G199&lt;&gt;"",Courses!H199&gt;0,SUM(Courses!O199,Courses!P199)&gt;0),Courses!H199*SUM(Courses!O199,Courses!P199),0)</f>
        <v>0</v>
      </c>
      <c r="J193" s="105">
        <f>IF(AND('Courses Valid'!C205=0,Courses!I199&lt;&gt;"",Courses!J199&gt;0,SUM(Courses!O199,Courses!P199)&gt;0),Courses!J199*SUM(Courses!O199,Courses!P199),0)</f>
        <v>0</v>
      </c>
      <c r="K193" s="1580">
        <f>IF(AND('Courses Valid'!C205=0,Courses!E199&lt;&gt;"",Courses!F199&gt;0,Courses!Q199&gt;0),Courses!F199*Courses!Q199,0)</f>
        <v>0</v>
      </c>
      <c r="L193" s="41">
        <f>IF(AND('Courses Valid'!C205=0,Courses!G199&lt;&gt;"",Courses!H199&gt;0,Courses!Q199&gt;0),Courses!H199*Courses!Q199,0)</f>
        <v>0</v>
      </c>
      <c r="M193" s="105">
        <f>IF(AND('Courses Valid'!C205=0,Courses!I199&lt;&gt;"",Courses!J199&gt;0,Courses!Q199&gt;0),Courses!J199*Courses!Q199,0)</f>
        <v>0</v>
      </c>
      <c r="N193" s="41">
        <f>IF(AND('Courses Valid'!C205=0,Courses!E199&lt;&gt;"",Courses!F199&gt;0,SUM(Courses!W199,Courses!X199)&gt;0),Courses!F199*SUM(Courses!W199,Courses!X199),0)</f>
        <v>0</v>
      </c>
      <c r="O193" s="41">
        <f>IF(AND('Courses Valid'!C205=0,Courses!G199&lt;&gt;"",Courses!H199&gt;0,SUM(Courses!W199,Courses!X199)&gt;0),Courses!H199*SUM(Courses!W199,Courses!X199),0)</f>
        <v>0</v>
      </c>
      <c r="P193" s="41">
        <f>IF(AND('Courses Valid'!C205=0,Courses!I199&lt;&gt;"",Courses!J199&gt;0,SUM(Courses!W199,Courses!X199)&gt;0),Courses!J199*SUM(Courses!W199,Courses!X199),0)</f>
        <v>0</v>
      </c>
      <c r="Q193" s="1580">
        <f>IF(AND('Courses Valid'!C205=0,Courses!E199&lt;&gt;"",Courses!F199&gt;0,SUM(Courses!Y199,Courses!Z199)&gt;0),Courses!F199*SUM(Courses!Y199,Courses!Z199),0)</f>
        <v>0</v>
      </c>
      <c r="R193" s="41">
        <f>IF(AND('Courses Valid'!C205=0,Courses!G199&lt;&gt;"",Courses!H199&gt;0,SUM(Courses!Y199,Courses!Z199)&gt;0),Courses!H199*SUM(Courses!Y199,Courses!Z199),0)</f>
        <v>0</v>
      </c>
      <c r="S193" s="105">
        <f>IF(AND('Courses Valid'!C205=0,Courses!I199&lt;&gt;"",Courses!J199&gt;0,SUM(Courses!Y199,Courses!Z199)&gt;0),Courses!J199*SUM(Courses!Y199,Courses!Z199),0)</f>
        <v>0</v>
      </c>
      <c r="T193" s="41">
        <f>IF(AND('Courses Valid'!C205=0,Courses!E199&lt;&gt;"",Courses!F199&gt;0,Courses!AA199&gt;0),Courses!F199*Courses!AA199,0)</f>
        <v>0</v>
      </c>
      <c r="U193" s="41">
        <f>IF(AND('Courses Valid'!C205=0,Courses!G199&lt;&gt;"",Courses!H199&gt;0,Courses!AA199&gt;0),Courses!H199*Courses!AA199,0)</f>
        <v>0</v>
      </c>
      <c r="V193" s="106">
        <f>IF(AND('Courses Valid'!C205=0,Courses!I199&lt;&gt;"",Courses!J199&gt;0,Courses!AA199&gt;0),Courses!J199*Courses!AA199,0)</f>
        <v>0</v>
      </c>
    </row>
    <row r="194" spans="2:22" x14ac:dyDescent="0.35">
      <c r="B194" s="70" t="str">
        <f>IF(Courses!B200&lt;&gt;"",CONCATENATE(Courses!E200,"/",Courses!L200,"/",Courses!K200),"")</f>
        <v/>
      </c>
      <c r="C194" s="1579" t="str">
        <f>IF(AND(Courses!B200&lt;&gt;"",Courses!G200&lt;&gt;""),CONCATENATE(Courses!G200,"/",Courses!L200,"/",Courses!K200),"")</f>
        <v/>
      </c>
      <c r="D194" s="71" t="str">
        <f>IF(AND(Courses!B200&lt;&gt;"",Courses!I200&lt;&gt;""),CONCATENATE(Courses!I200,"/",Courses!L200,"/",Courses!K200),"")</f>
        <v/>
      </c>
      <c r="E194" s="1580">
        <f>IF(AND('Courses Valid'!C206=0,Courses!E200&lt;&gt;"",Courses!F200&gt;0,SUM(Courses!M200,Courses!N200)&gt;0),Courses!F200*SUM(Courses!M200,Courses!N200),0)</f>
        <v>0</v>
      </c>
      <c r="F194" s="41">
        <f>IF(AND('Courses Valid'!C206=0,Courses!G200&lt;&gt;"",Courses!H200&gt;0,SUM(Courses!M200,Courses!N200)&gt;0),Courses!H200*SUM(Courses!M200,Courses!N200),0)</f>
        <v>0</v>
      </c>
      <c r="G194" s="105">
        <f>IF(AND('Courses Valid'!C206=0,Courses!I200&lt;&gt;"",Courses!J200&gt;0,SUM(Courses!M200,Courses!N200)&gt;0),Courses!J200*SUM(Courses!M200,Courses!N200),0)</f>
        <v>0</v>
      </c>
      <c r="H194" s="1580">
        <f>IF(AND('Courses Valid'!C206=0,Courses!E200&lt;&gt;"",Courses!F200&gt;0,SUM(Courses!O200,Courses!P200)&gt;0),Courses!F200*SUM(Courses!O200,Courses!P200),0)</f>
        <v>0</v>
      </c>
      <c r="I194" s="41">
        <f>IF(AND('Courses Valid'!C206=0,Courses!G200&lt;&gt;"",Courses!H200&gt;0,SUM(Courses!O200,Courses!P200)&gt;0),Courses!H200*SUM(Courses!O200,Courses!P200),0)</f>
        <v>0</v>
      </c>
      <c r="J194" s="105">
        <f>IF(AND('Courses Valid'!C206=0,Courses!I200&lt;&gt;"",Courses!J200&gt;0,SUM(Courses!O200,Courses!P200)&gt;0),Courses!J200*SUM(Courses!O200,Courses!P200),0)</f>
        <v>0</v>
      </c>
      <c r="K194" s="1580">
        <f>IF(AND('Courses Valid'!C206=0,Courses!E200&lt;&gt;"",Courses!F200&gt;0,Courses!Q200&gt;0),Courses!F200*Courses!Q200,0)</f>
        <v>0</v>
      </c>
      <c r="L194" s="41">
        <f>IF(AND('Courses Valid'!C206=0,Courses!G200&lt;&gt;"",Courses!H200&gt;0,Courses!Q200&gt;0),Courses!H200*Courses!Q200,0)</f>
        <v>0</v>
      </c>
      <c r="M194" s="105">
        <f>IF(AND('Courses Valid'!C206=0,Courses!I200&lt;&gt;"",Courses!J200&gt;0,Courses!Q200&gt;0),Courses!J200*Courses!Q200,0)</f>
        <v>0</v>
      </c>
      <c r="N194" s="41">
        <f>IF(AND('Courses Valid'!C206=0,Courses!E200&lt;&gt;"",Courses!F200&gt;0,SUM(Courses!W200,Courses!X200)&gt;0),Courses!F200*SUM(Courses!W200,Courses!X200),0)</f>
        <v>0</v>
      </c>
      <c r="O194" s="41">
        <f>IF(AND('Courses Valid'!C206=0,Courses!G200&lt;&gt;"",Courses!H200&gt;0,SUM(Courses!W200,Courses!X200)&gt;0),Courses!H200*SUM(Courses!W200,Courses!X200),0)</f>
        <v>0</v>
      </c>
      <c r="P194" s="41">
        <f>IF(AND('Courses Valid'!C206=0,Courses!I200&lt;&gt;"",Courses!J200&gt;0,SUM(Courses!W200,Courses!X200)&gt;0),Courses!J200*SUM(Courses!W200,Courses!X200),0)</f>
        <v>0</v>
      </c>
      <c r="Q194" s="1580">
        <f>IF(AND('Courses Valid'!C206=0,Courses!E200&lt;&gt;"",Courses!F200&gt;0,SUM(Courses!Y200,Courses!Z200)&gt;0),Courses!F200*SUM(Courses!Y200,Courses!Z200),0)</f>
        <v>0</v>
      </c>
      <c r="R194" s="41">
        <f>IF(AND('Courses Valid'!C206=0,Courses!G200&lt;&gt;"",Courses!H200&gt;0,SUM(Courses!Y200,Courses!Z200)&gt;0),Courses!H200*SUM(Courses!Y200,Courses!Z200),0)</f>
        <v>0</v>
      </c>
      <c r="S194" s="105">
        <f>IF(AND('Courses Valid'!C206=0,Courses!I200&lt;&gt;"",Courses!J200&gt;0,SUM(Courses!Y200,Courses!Z200)&gt;0),Courses!J200*SUM(Courses!Y200,Courses!Z200),0)</f>
        <v>0</v>
      </c>
      <c r="T194" s="41">
        <f>IF(AND('Courses Valid'!C206=0,Courses!E200&lt;&gt;"",Courses!F200&gt;0,Courses!AA200&gt;0),Courses!F200*Courses!AA200,0)</f>
        <v>0</v>
      </c>
      <c r="U194" s="41">
        <f>IF(AND('Courses Valid'!C206=0,Courses!G200&lt;&gt;"",Courses!H200&gt;0,Courses!AA200&gt;0),Courses!H200*Courses!AA200,0)</f>
        <v>0</v>
      </c>
      <c r="V194" s="106">
        <f>IF(AND('Courses Valid'!C206=0,Courses!I200&lt;&gt;"",Courses!J200&gt;0,Courses!AA200&gt;0),Courses!J200*Courses!AA200,0)</f>
        <v>0</v>
      </c>
    </row>
    <row r="195" spans="2:22" x14ac:dyDescent="0.35">
      <c r="B195" s="70" t="str">
        <f>IF(Courses!B201&lt;&gt;"",CONCATENATE(Courses!E201,"/",Courses!L201,"/",Courses!K201),"")</f>
        <v/>
      </c>
      <c r="C195" s="1579" t="str">
        <f>IF(AND(Courses!B201&lt;&gt;"",Courses!G201&lt;&gt;""),CONCATENATE(Courses!G201,"/",Courses!L201,"/",Courses!K201),"")</f>
        <v/>
      </c>
      <c r="D195" s="71" t="str">
        <f>IF(AND(Courses!B201&lt;&gt;"",Courses!I201&lt;&gt;""),CONCATENATE(Courses!I201,"/",Courses!L201,"/",Courses!K201),"")</f>
        <v/>
      </c>
      <c r="E195" s="1580">
        <f>IF(AND('Courses Valid'!C207=0,Courses!E201&lt;&gt;"",Courses!F201&gt;0,SUM(Courses!M201,Courses!N201)&gt;0),Courses!F201*SUM(Courses!M201,Courses!N201),0)</f>
        <v>0</v>
      </c>
      <c r="F195" s="41">
        <f>IF(AND('Courses Valid'!C207=0,Courses!G201&lt;&gt;"",Courses!H201&gt;0,SUM(Courses!M201,Courses!N201)&gt;0),Courses!H201*SUM(Courses!M201,Courses!N201),0)</f>
        <v>0</v>
      </c>
      <c r="G195" s="105">
        <f>IF(AND('Courses Valid'!C207=0,Courses!I201&lt;&gt;"",Courses!J201&gt;0,SUM(Courses!M201,Courses!N201)&gt;0),Courses!J201*SUM(Courses!M201,Courses!N201),0)</f>
        <v>0</v>
      </c>
      <c r="H195" s="1580">
        <f>IF(AND('Courses Valid'!C207=0,Courses!E201&lt;&gt;"",Courses!F201&gt;0,SUM(Courses!O201,Courses!P201)&gt;0),Courses!F201*SUM(Courses!O201,Courses!P201),0)</f>
        <v>0</v>
      </c>
      <c r="I195" s="41">
        <f>IF(AND('Courses Valid'!C207=0,Courses!G201&lt;&gt;"",Courses!H201&gt;0,SUM(Courses!O201,Courses!P201)&gt;0),Courses!H201*SUM(Courses!O201,Courses!P201),0)</f>
        <v>0</v>
      </c>
      <c r="J195" s="105">
        <f>IF(AND('Courses Valid'!C207=0,Courses!I201&lt;&gt;"",Courses!J201&gt;0,SUM(Courses!O201,Courses!P201)&gt;0),Courses!J201*SUM(Courses!O201,Courses!P201),0)</f>
        <v>0</v>
      </c>
      <c r="K195" s="1580">
        <f>IF(AND('Courses Valid'!C207=0,Courses!E201&lt;&gt;"",Courses!F201&gt;0,Courses!Q201&gt;0),Courses!F201*Courses!Q201,0)</f>
        <v>0</v>
      </c>
      <c r="L195" s="41">
        <f>IF(AND('Courses Valid'!C207=0,Courses!G201&lt;&gt;"",Courses!H201&gt;0,Courses!Q201&gt;0),Courses!H201*Courses!Q201,0)</f>
        <v>0</v>
      </c>
      <c r="M195" s="105">
        <f>IF(AND('Courses Valid'!C207=0,Courses!I201&lt;&gt;"",Courses!J201&gt;0,Courses!Q201&gt;0),Courses!J201*Courses!Q201,0)</f>
        <v>0</v>
      </c>
      <c r="N195" s="41">
        <f>IF(AND('Courses Valid'!C207=0,Courses!E201&lt;&gt;"",Courses!F201&gt;0,SUM(Courses!W201,Courses!X201)&gt;0),Courses!F201*SUM(Courses!W201,Courses!X201),0)</f>
        <v>0</v>
      </c>
      <c r="O195" s="41">
        <f>IF(AND('Courses Valid'!C207=0,Courses!G201&lt;&gt;"",Courses!H201&gt;0,SUM(Courses!W201,Courses!X201)&gt;0),Courses!H201*SUM(Courses!W201,Courses!X201),0)</f>
        <v>0</v>
      </c>
      <c r="P195" s="41">
        <f>IF(AND('Courses Valid'!C207=0,Courses!I201&lt;&gt;"",Courses!J201&gt;0,SUM(Courses!W201,Courses!X201)&gt;0),Courses!J201*SUM(Courses!W201,Courses!X201),0)</f>
        <v>0</v>
      </c>
      <c r="Q195" s="1580">
        <f>IF(AND('Courses Valid'!C207=0,Courses!E201&lt;&gt;"",Courses!F201&gt;0,SUM(Courses!Y201,Courses!Z201)&gt;0),Courses!F201*SUM(Courses!Y201,Courses!Z201),0)</f>
        <v>0</v>
      </c>
      <c r="R195" s="41">
        <f>IF(AND('Courses Valid'!C207=0,Courses!G201&lt;&gt;"",Courses!H201&gt;0,SUM(Courses!Y201,Courses!Z201)&gt;0),Courses!H201*SUM(Courses!Y201,Courses!Z201),0)</f>
        <v>0</v>
      </c>
      <c r="S195" s="105">
        <f>IF(AND('Courses Valid'!C207=0,Courses!I201&lt;&gt;"",Courses!J201&gt;0,SUM(Courses!Y201,Courses!Z201)&gt;0),Courses!J201*SUM(Courses!Y201,Courses!Z201),0)</f>
        <v>0</v>
      </c>
      <c r="T195" s="41">
        <f>IF(AND('Courses Valid'!C207=0,Courses!E201&lt;&gt;"",Courses!F201&gt;0,Courses!AA201&gt;0),Courses!F201*Courses!AA201,0)</f>
        <v>0</v>
      </c>
      <c r="U195" s="41">
        <f>IF(AND('Courses Valid'!C207=0,Courses!G201&lt;&gt;"",Courses!H201&gt;0,Courses!AA201&gt;0),Courses!H201*Courses!AA201,0)</f>
        <v>0</v>
      </c>
      <c r="V195" s="106">
        <f>IF(AND('Courses Valid'!C207=0,Courses!I201&lt;&gt;"",Courses!J201&gt;0,Courses!AA201&gt;0),Courses!J201*Courses!AA201,0)</f>
        <v>0</v>
      </c>
    </row>
    <row r="196" spans="2:22" x14ac:dyDescent="0.35">
      <c r="B196" s="70" t="str">
        <f>IF(Courses!B202&lt;&gt;"",CONCATENATE(Courses!E202,"/",Courses!L202,"/",Courses!K202),"")</f>
        <v/>
      </c>
      <c r="C196" s="1579" t="str">
        <f>IF(AND(Courses!B202&lt;&gt;"",Courses!G202&lt;&gt;""),CONCATENATE(Courses!G202,"/",Courses!L202,"/",Courses!K202),"")</f>
        <v/>
      </c>
      <c r="D196" s="71" t="str">
        <f>IF(AND(Courses!B202&lt;&gt;"",Courses!I202&lt;&gt;""),CONCATENATE(Courses!I202,"/",Courses!L202,"/",Courses!K202),"")</f>
        <v/>
      </c>
      <c r="E196" s="1580">
        <f>IF(AND('Courses Valid'!C208=0,Courses!E202&lt;&gt;"",Courses!F202&gt;0,SUM(Courses!M202,Courses!N202)&gt;0),Courses!F202*SUM(Courses!M202,Courses!N202),0)</f>
        <v>0</v>
      </c>
      <c r="F196" s="41">
        <f>IF(AND('Courses Valid'!C208=0,Courses!G202&lt;&gt;"",Courses!H202&gt;0,SUM(Courses!M202,Courses!N202)&gt;0),Courses!H202*SUM(Courses!M202,Courses!N202),0)</f>
        <v>0</v>
      </c>
      <c r="G196" s="105">
        <f>IF(AND('Courses Valid'!C208=0,Courses!I202&lt;&gt;"",Courses!J202&gt;0,SUM(Courses!M202,Courses!N202)&gt;0),Courses!J202*SUM(Courses!M202,Courses!N202),0)</f>
        <v>0</v>
      </c>
      <c r="H196" s="1580">
        <f>IF(AND('Courses Valid'!C208=0,Courses!E202&lt;&gt;"",Courses!F202&gt;0,SUM(Courses!O202,Courses!P202)&gt;0),Courses!F202*SUM(Courses!O202,Courses!P202),0)</f>
        <v>0</v>
      </c>
      <c r="I196" s="41">
        <f>IF(AND('Courses Valid'!C208=0,Courses!G202&lt;&gt;"",Courses!H202&gt;0,SUM(Courses!O202,Courses!P202)&gt;0),Courses!H202*SUM(Courses!O202,Courses!P202),0)</f>
        <v>0</v>
      </c>
      <c r="J196" s="105">
        <f>IF(AND('Courses Valid'!C208=0,Courses!I202&lt;&gt;"",Courses!J202&gt;0,SUM(Courses!O202,Courses!P202)&gt;0),Courses!J202*SUM(Courses!O202,Courses!P202),0)</f>
        <v>0</v>
      </c>
      <c r="K196" s="1580">
        <f>IF(AND('Courses Valid'!C208=0,Courses!E202&lt;&gt;"",Courses!F202&gt;0,Courses!Q202&gt;0),Courses!F202*Courses!Q202,0)</f>
        <v>0</v>
      </c>
      <c r="L196" s="41">
        <f>IF(AND('Courses Valid'!C208=0,Courses!G202&lt;&gt;"",Courses!H202&gt;0,Courses!Q202&gt;0),Courses!H202*Courses!Q202,0)</f>
        <v>0</v>
      </c>
      <c r="M196" s="105">
        <f>IF(AND('Courses Valid'!C208=0,Courses!I202&lt;&gt;"",Courses!J202&gt;0,Courses!Q202&gt;0),Courses!J202*Courses!Q202,0)</f>
        <v>0</v>
      </c>
      <c r="N196" s="41">
        <f>IF(AND('Courses Valid'!C208=0,Courses!E202&lt;&gt;"",Courses!F202&gt;0,SUM(Courses!W202,Courses!X202)&gt;0),Courses!F202*SUM(Courses!W202,Courses!X202),0)</f>
        <v>0</v>
      </c>
      <c r="O196" s="41">
        <f>IF(AND('Courses Valid'!C208=0,Courses!G202&lt;&gt;"",Courses!H202&gt;0,SUM(Courses!W202,Courses!X202)&gt;0),Courses!H202*SUM(Courses!W202,Courses!X202),0)</f>
        <v>0</v>
      </c>
      <c r="P196" s="41">
        <f>IF(AND('Courses Valid'!C208=0,Courses!I202&lt;&gt;"",Courses!J202&gt;0,SUM(Courses!W202,Courses!X202)&gt;0),Courses!J202*SUM(Courses!W202,Courses!X202),0)</f>
        <v>0</v>
      </c>
      <c r="Q196" s="1580">
        <f>IF(AND('Courses Valid'!C208=0,Courses!E202&lt;&gt;"",Courses!F202&gt;0,SUM(Courses!Y202,Courses!Z202)&gt;0),Courses!F202*SUM(Courses!Y202,Courses!Z202),0)</f>
        <v>0</v>
      </c>
      <c r="R196" s="41">
        <f>IF(AND('Courses Valid'!C208=0,Courses!G202&lt;&gt;"",Courses!H202&gt;0,SUM(Courses!Y202,Courses!Z202)&gt;0),Courses!H202*SUM(Courses!Y202,Courses!Z202),0)</f>
        <v>0</v>
      </c>
      <c r="S196" s="105">
        <f>IF(AND('Courses Valid'!C208=0,Courses!I202&lt;&gt;"",Courses!J202&gt;0,SUM(Courses!Y202,Courses!Z202)&gt;0),Courses!J202*SUM(Courses!Y202,Courses!Z202),0)</f>
        <v>0</v>
      </c>
      <c r="T196" s="41">
        <f>IF(AND('Courses Valid'!C208=0,Courses!E202&lt;&gt;"",Courses!F202&gt;0,Courses!AA202&gt;0),Courses!F202*Courses!AA202,0)</f>
        <v>0</v>
      </c>
      <c r="U196" s="41">
        <f>IF(AND('Courses Valid'!C208=0,Courses!G202&lt;&gt;"",Courses!H202&gt;0,Courses!AA202&gt;0),Courses!H202*Courses!AA202,0)</f>
        <v>0</v>
      </c>
      <c r="V196" s="106">
        <f>IF(AND('Courses Valid'!C208=0,Courses!I202&lt;&gt;"",Courses!J202&gt;0,Courses!AA202&gt;0),Courses!J202*Courses!AA202,0)</f>
        <v>0</v>
      </c>
    </row>
    <row r="197" spans="2:22" x14ac:dyDescent="0.35">
      <c r="B197" s="70" t="str">
        <f>IF(Courses!B203&lt;&gt;"",CONCATENATE(Courses!E203,"/",Courses!L203,"/",Courses!K203),"")</f>
        <v/>
      </c>
      <c r="C197" s="1579" t="str">
        <f>IF(AND(Courses!B203&lt;&gt;"",Courses!G203&lt;&gt;""),CONCATENATE(Courses!G203,"/",Courses!L203,"/",Courses!K203),"")</f>
        <v/>
      </c>
      <c r="D197" s="71" t="str">
        <f>IF(AND(Courses!B203&lt;&gt;"",Courses!I203&lt;&gt;""),CONCATENATE(Courses!I203,"/",Courses!L203,"/",Courses!K203),"")</f>
        <v/>
      </c>
      <c r="E197" s="1580">
        <f>IF(AND('Courses Valid'!C209=0,Courses!E203&lt;&gt;"",Courses!F203&gt;0,SUM(Courses!M203,Courses!N203)&gt;0),Courses!F203*SUM(Courses!M203,Courses!N203),0)</f>
        <v>0</v>
      </c>
      <c r="F197" s="41">
        <f>IF(AND('Courses Valid'!C209=0,Courses!G203&lt;&gt;"",Courses!H203&gt;0,SUM(Courses!M203,Courses!N203)&gt;0),Courses!H203*SUM(Courses!M203,Courses!N203),0)</f>
        <v>0</v>
      </c>
      <c r="G197" s="105">
        <f>IF(AND('Courses Valid'!C209=0,Courses!I203&lt;&gt;"",Courses!J203&gt;0,SUM(Courses!M203,Courses!N203)&gt;0),Courses!J203*SUM(Courses!M203,Courses!N203),0)</f>
        <v>0</v>
      </c>
      <c r="H197" s="1580">
        <f>IF(AND('Courses Valid'!C209=0,Courses!E203&lt;&gt;"",Courses!F203&gt;0,SUM(Courses!O203,Courses!P203)&gt;0),Courses!F203*SUM(Courses!O203,Courses!P203),0)</f>
        <v>0</v>
      </c>
      <c r="I197" s="41">
        <f>IF(AND('Courses Valid'!C209=0,Courses!G203&lt;&gt;"",Courses!H203&gt;0,SUM(Courses!O203,Courses!P203)&gt;0),Courses!H203*SUM(Courses!O203,Courses!P203),0)</f>
        <v>0</v>
      </c>
      <c r="J197" s="105">
        <f>IF(AND('Courses Valid'!C209=0,Courses!I203&lt;&gt;"",Courses!J203&gt;0,SUM(Courses!O203,Courses!P203)&gt;0),Courses!J203*SUM(Courses!O203,Courses!P203),0)</f>
        <v>0</v>
      </c>
      <c r="K197" s="1580">
        <f>IF(AND('Courses Valid'!C209=0,Courses!E203&lt;&gt;"",Courses!F203&gt;0,Courses!Q203&gt;0),Courses!F203*Courses!Q203,0)</f>
        <v>0</v>
      </c>
      <c r="L197" s="41">
        <f>IF(AND('Courses Valid'!C209=0,Courses!G203&lt;&gt;"",Courses!H203&gt;0,Courses!Q203&gt;0),Courses!H203*Courses!Q203,0)</f>
        <v>0</v>
      </c>
      <c r="M197" s="105">
        <f>IF(AND('Courses Valid'!C209=0,Courses!I203&lt;&gt;"",Courses!J203&gt;0,Courses!Q203&gt;0),Courses!J203*Courses!Q203,0)</f>
        <v>0</v>
      </c>
      <c r="N197" s="41">
        <f>IF(AND('Courses Valid'!C209=0,Courses!E203&lt;&gt;"",Courses!F203&gt;0,SUM(Courses!W203,Courses!X203)&gt;0),Courses!F203*SUM(Courses!W203,Courses!X203),0)</f>
        <v>0</v>
      </c>
      <c r="O197" s="41">
        <f>IF(AND('Courses Valid'!C209=0,Courses!G203&lt;&gt;"",Courses!H203&gt;0,SUM(Courses!W203,Courses!X203)&gt;0),Courses!H203*SUM(Courses!W203,Courses!X203),0)</f>
        <v>0</v>
      </c>
      <c r="P197" s="41">
        <f>IF(AND('Courses Valid'!C209=0,Courses!I203&lt;&gt;"",Courses!J203&gt;0,SUM(Courses!W203,Courses!X203)&gt;0),Courses!J203*SUM(Courses!W203,Courses!X203),0)</f>
        <v>0</v>
      </c>
      <c r="Q197" s="1580">
        <f>IF(AND('Courses Valid'!C209=0,Courses!E203&lt;&gt;"",Courses!F203&gt;0,SUM(Courses!Y203,Courses!Z203)&gt;0),Courses!F203*SUM(Courses!Y203,Courses!Z203),0)</f>
        <v>0</v>
      </c>
      <c r="R197" s="41">
        <f>IF(AND('Courses Valid'!C209=0,Courses!G203&lt;&gt;"",Courses!H203&gt;0,SUM(Courses!Y203,Courses!Z203)&gt;0),Courses!H203*SUM(Courses!Y203,Courses!Z203),0)</f>
        <v>0</v>
      </c>
      <c r="S197" s="105">
        <f>IF(AND('Courses Valid'!C209=0,Courses!I203&lt;&gt;"",Courses!J203&gt;0,SUM(Courses!Y203,Courses!Z203)&gt;0),Courses!J203*SUM(Courses!Y203,Courses!Z203),0)</f>
        <v>0</v>
      </c>
      <c r="T197" s="41">
        <f>IF(AND('Courses Valid'!C209=0,Courses!E203&lt;&gt;"",Courses!F203&gt;0,Courses!AA203&gt;0),Courses!F203*Courses!AA203,0)</f>
        <v>0</v>
      </c>
      <c r="U197" s="41">
        <f>IF(AND('Courses Valid'!C209=0,Courses!G203&lt;&gt;"",Courses!H203&gt;0,Courses!AA203&gt;0),Courses!H203*Courses!AA203,0)</f>
        <v>0</v>
      </c>
      <c r="V197" s="106">
        <f>IF(AND('Courses Valid'!C209=0,Courses!I203&lt;&gt;"",Courses!J203&gt;0,Courses!AA203&gt;0),Courses!J203*Courses!AA203,0)</f>
        <v>0</v>
      </c>
    </row>
    <row r="198" spans="2:22" x14ac:dyDescent="0.35">
      <c r="B198" s="70" t="str">
        <f>IF(Courses!B204&lt;&gt;"",CONCATENATE(Courses!E204,"/",Courses!L204,"/",Courses!K204),"")</f>
        <v/>
      </c>
      <c r="C198" s="1579" t="str">
        <f>IF(AND(Courses!B204&lt;&gt;"",Courses!G204&lt;&gt;""),CONCATENATE(Courses!G204,"/",Courses!L204,"/",Courses!K204),"")</f>
        <v/>
      </c>
      <c r="D198" s="71" t="str">
        <f>IF(AND(Courses!B204&lt;&gt;"",Courses!I204&lt;&gt;""),CONCATENATE(Courses!I204,"/",Courses!L204,"/",Courses!K204),"")</f>
        <v/>
      </c>
      <c r="E198" s="1580">
        <f>IF(AND('Courses Valid'!C210=0,Courses!E204&lt;&gt;"",Courses!F204&gt;0,SUM(Courses!M204,Courses!N204)&gt;0),Courses!F204*SUM(Courses!M204,Courses!N204),0)</f>
        <v>0</v>
      </c>
      <c r="F198" s="41">
        <f>IF(AND('Courses Valid'!C210=0,Courses!G204&lt;&gt;"",Courses!H204&gt;0,SUM(Courses!M204,Courses!N204)&gt;0),Courses!H204*SUM(Courses!M204,Courses!N204),0)</f>
        <v>0</v>
      </c>
      <c r="G198" s="105">
        <f>IF(AND('Courses Valid'!C210=0,Courses!I204&lt;&gt;"",Courses!J204&gt;0,SUM(Courses!M204,Courses!N204)&gt;0),Courses!J204*SUM(Courses!M204,Courses!N204),0)</f>
        <v>0</v>
      </c>
      <c r="H198" s="1580">
        <f>IF(AND('Courses Valid'!C210=0,Courses!E204&lt;&gt;"",Courses!F204&gt;0,SUM(Courses!O204,Courses!P204)&gt;0),Courses!F204*SUM(Courses!O204,Courses!P204),0)</f>
        <v>0</v>
      </c>
      <c r="I198" s="41">
        <f>IF(AND('Courses Valid'!C210=0,Courses!G204&lt;&gt;"",Courses!H204&gt;0,SUM(Courses!O204,Courses!P204)&gt;0),Courses!H204*SUM(Courses!O204,Courses!P204),0)</f>
        <v>0</v>
      </c>
      <c r="J198" s="105">
        <f>IF(AND('Courses Valid'!C210=0,Courses!I204&lt;&gt;"",Courses!J204&gt;0,SUM(Courses!O204,Courses!P204)&gt;0),Courses!J204*SUM(Courses!O204,Courses!P204),0)</f>
        <v>0</v>
      </c>
      <c r="K198" s="1580">
        <f>IF(AND('Courses Valid'!C210=0,Courses!E204&lt;&gt;"",Courses!F204&gt;0,Courses!Q204&gt;0),Courses!F204*Courses!Q204,0)</f>
        <v>0</v>
      </c>
      <c r="L198" s="41">
        <f>IF(AND('Courses Valid'!C210=0,Courses!G204&lt;&gt;"",Courses!H204&gt;0,Courses!Q204&gt;0),Courses!H204*Courses!Q204,0)</f>
        <v>0</v>
      </c>
      <c r="M198" s="105">
        <f>IF(AND('Courses Valid'!C210=0,Courses!I204&lt;&gt;"",Courses!J204&gt;0,Courses!Q204&gt;0),Courses!J204*Courses!Q204,0)</f>
        <v>0</v>
      </c>
      <c r="N198" s="41">
        <f>IF(AND('Courses Valid'!C210=0,Courses!E204&lt;&gt;"",Courses!F204&gt;0,SUM(Courses!W204,Courses!X204)&gt;0),Courses!F204*SUM(Courses!W204,Courses!X204),0)</f>
        <v>0</v>
      </c>
      <c r="O198" s="41">
        <f>IF(AND('Courses Valid'!C210=0,Courses!G204&lt;&gt;"",Courses!H204&gt;0,SUM(Courses!W204,Courses!X204)&gt;0),Courses!H204*SUM(Courses!W204,Courses!X204),0)</f>
        <v>0</v>
      </c>
      <c r="P198" s="41">
        <f>IF(AND('Courses Valid'!C210=0,Courses!I204&lt;&gt;"",Courses!J204&gt;0,SUM(Courses!W204,Courses!X204)&gt;0),Courses!J204*SUM(Courses!W204,Courses!X204),0)</f>
        <v>0</v>
      </c>
      <c r="Q198" s="1580">
        <f>IF(AND('Courses Valid'!C210=0,Courses!E204&lt;&gt;"",Courses!F204&gt;0,SUM(Courses!Y204,Courses!Z204)&gt;0),Courses!F204*SUM(Courses!Y204,Courses!Z204),0)</f>
        <v>0</v>
      </c>
      <c r="R198" s="41">
        <f>IF(AND('Courses Valid'!C210=0,Courses!G204&lt;&gt;"",Courses!H204&gt;0,SUM(Courses!Y204,Courses!Z204)&gt;0),Courses!H204*SUM(Courses!Y204,Courses!Z204),0)</f>
        <v>0</v>
      </c>
      <c r="S198" s="105">
        <f>IF(AND('Courses Valid'!C210=0,Courses!I204&lt;&gt;"",Courses!J204&gt;0,SUM(Courses!Y204,Courses!Z204)&gt;0),Courses!J204*SUM(Courses!Y204,Courses!Z204),0)</f>
        <v>0</v>
      </c>
      <c r="T198" s="41">
        <f>IF(AND('Courses Valid'!C210=0,Courses!E204&lt;&gt;"",Courses!F204&gt;0,Courses!AA204&gt;0),Courses!F204*Courses!AA204,0)</f>
        <v>0</v>
      </c>
      <c r="U198" s="41">
        <f>IF(AND('Courses Valid'!C210=0,Courses!G204&lt;&gt;"",Courses!H204&gt;0,Courses!AA204&gt;0),Courses!H204*Courses!AA204,0)</f>
        <v>0</v>
      </c>
      <c r="V198" s="106">
        <f>IF(AND('Courses Valid'!C210=0,Courses!I204&lt;&gt;"",Courses!J204&gt;0,Courses!AA204&gt;0),Courses!J204*Courses!AA204,0)</f>
        <v>0</v>
      </c>
    </row>
    <row r="199" spans="2:22" x14ac:dyDescent="0.35">
      <c r="B199" s="70" t="str">
        <f>IF(Courses!B205&lt;&gt;"",CONCATENATE(Courses!E205,"/",Courses!L205,"/",Courses!K205),"")</f>
        <v/>
      </c>
      <c r="C199" s="1579" t="str">
        <f>IF(AND(Courses!B205&lt;&gt;"",Courses!G205&lt;&gt;""),CONCATENATE(Courses!G205,"/",Courses!L205,"/",Courses!K205),"")</f>
        <v/>
      </c>
      <c r="D199" s="71" t="str">
        <f>IF(AND(Courses!B205&lt;&gt;"",Courses!I205&lt;&gt;""),CONCATENATE(Courses!I205,"/",Courses!L205,"/",Courses!K205),"")</f>
        <v/>
      </c>
      <c r="E199" s="1580">
        <f>IF(AND('Courses Valid'!C211=0,Courses!E205&lt;&gt;"",Courses!F205&gt;0,SUM(Courses!M205,Courses!N205)&gt;0),Courses!F205*SUM(Courses!M205,Courses!N205),0)</f>
        <v>0</v>
      </c>
      <c r="F199" s="41">
        <f>IF(AND('Courses Valid'!C211=0,Courses!G205&lt;&gt;"",Courses!H205&gt;0,SUM(Courses!M205,Courses!N205)&gt;0),Courses!H205*SUM(Courses!M205,Courses!N205),0)</f>
        <v>0</v>
      </c>
      <c r="G199" s="105">
        <f>IF(AND('Courses Valid'!C211=0,Courses!I205&lt;&gt;"",Courses!J205&gt;0,SUM(Courses!M205,Courses!N205)&gt;0),Courses!J205*SUM(Courses!M205,Courses!N205),0)</f>
        <v>0</v>
      </c>
      <c r="H199" s="1580">
        <f>IF(AND('Courses Valid'!C211=0,Courses!E205&lt;&gt;"",Courses!F205&gt;0,SUM(Courses!O205,Courses!P205)&gt;0),Courses!F205*SUM(Courses!O205,Courses!P205),0)</f>
        <v>0</v>
      </c>
      <c r="I199" s="41">
        <f>IF(AND('Courses Valid'!C211=0,Courses!G205&lt;&gt;"",Courses!H205&gt;0,SUM(Courses!O205,Courses!P205)&gt;0),Courses!H205*SUM(Courses!O205,Courses!P205),0)</f>
        <v>0</v>
      </c>
      <c r="J199" s="105">
        <f>IF(AND('Courses Valid'!C211=0,Courses!I205&lt;&gt;"",Courses!J205&gt;0,SUM(Courses!O205,Courses!P205)&gt;0),Courses!J205*SUM(Courses!O205,Courses!P205),0)</f>
        <v>0</v>
      </c>
      <c r="K199" s="1580">
        <f>IF(AND('Courses Valid'!C211=0,Courses!E205&lt;&gt;"",Courses!F205&gt;0,Courses!Q205&gt;0),Courses!F205*Courses!Q205,0)</f>
        <v>0</v>
      </c>
      <c r="L199" s="41">
        <f>IF(AND('Courses Valid'!C211=0,Courses!G205&lt;&gt;"",Courses!H205&gt;0,Courses!Q205&gt;0),Courses!H205*Courses!Q205,0)</f>
        <v>0</v>
      </c>
      <c r="M199" s="105">
        <f>IF(AND('Courses Valid'!C211=0,Courses!I205&lt;&gt;"",Courses!J205&gt;0,Courses!Q205&gt;0),Courses!J205*Courses!Q205,0)</f>
        <v>0</v>
      </c>
      <c r="N199" s="41">
        <f>IF(AND('Courses Valid'!C211=0,Courses!E205&lt;&gt;"",Courses!F205&gt;0,SUM(Courses!W205,Courses!X205)&gt;0),Courses!F205*SUM(Courses!W205,Courses!X205),0)</f>
        <v>0</v>
      </c>
      <c r="O199" s="41">
        <f>IF(AND('Courses Valid'!C211=0,Courses!G205&lt;&gt;"",Courses!H205&gt;0,SUM(Courses!W205,Courses!X205)&gt;0),Courses!H205*SUM(Courses!W205,Courses!X205),0)</f>
        <v>0</v>
      </c>
      <c r="P199" s="41">
        <f>IF(AND('Courses Valid'!C211=0,Courses!I205&lt;&gt;"",Courses!J205&gt;0,SUM(Courses!W205,Courses!X205)&gt;0),Courses!J205*SUM(Courses!W205,Courses!X205),0)</f>
        <v>0</v>
      </c>
      <c r="Q199" s="1580">
        <f>IF(AND('Courses Valid'!C211=0,Courses!E205&lt;&gt;"",Courses!F205&gt;0,SUM(Courses!Y205,Courses!Z205)&gt;0),Courses!F205*SUM(Courses!Y205,Courses!Z205),0)</f>
        <v>0</v>
      </c>
      <c r="R199" s="41">
        <f>IF(AND('Courses Valid'!C211=0,Courses!G205&lt;&gt;"",Courses!H205&gt;0,SUM(Courses!Y205,Courses!Z205)&gt;0),Courses!H205*SUM(Courses!Y205,Courses!Z205),0)</f>
        <v>0</v>
      </c>
      <c r="S199" s="105">
        <f>IF(AND('Courses Valid'!C211=0,Courses!I205&lt;&gt;"",Courses!J205&gt;0,SUM(Courses!Y205,Courses!Z205)&gt;0),Courses!J205*SUM(Courses!Y205,Courses!Z205),0)</f>
        <v>0</v>
      </c>
      <c r="T199" s="41">
        <f>IF(AND('Courses Valid'!C211=0,Courses!E205&lt;&gt;"",Courses!F205&gt;0,Courses!AA205&gt;0),Courses!F205*Courses!AA205,0)</f>
        <v>0</v>
      </c>
      <c r="U199" s="41">
        <f>IF(AND('Courses Valid'!C211=0,Courses!G205&lt;&gt;"",Courses!H205&gt;0,Courses!AA205&gt;0),Courses!H205*Courses!AA205,0)</f>
        <v>0</v>
      </c>
      <c r="V199" s="106">
        <f>IF(AND('Courses Valid'!C211=0,Courses!I205&lt;&gt;"",Courses!J205&gt;0,Courses!AA205&gt;0),Courses!J205*Courses!AA205,0)</f>
        <v>0</v>
      </c>
    </row>
    <row r="200" spans="2:22" x14ac:dyDescent="0.35">
      <c r="B200" s="70" t="str">
        <f>IF(Courses!B206&lt;&gt;"",CONCATENATE(Courses!E206,"/",Courses!L206,"/",Courses!K206),"")</f>
        <v/>
      </c>
      <c r="C200" s="1579" t="str">
        <f>IF(AND(Courses!B206&lt;&gt;"",Courses!G206&lt;&gt;""),CONCATENATE(Courses!G206,"/",Courses!L206,"/",Courses!K206),"")</f>
        <v/>
      </c>
      <c r="D200" s="71" t="str">
        <f>IF(AND(Courses!B206&lt;&gt;"",Courses!I206&lt;&gt;""),CONCATENATE(Courses!I206,"/",Courses!L206,"/",Courses!K206),"")</f>
        <v/>
      </c>
      <c r="E200" s="1580">
        <f>IF(AND('Courses Valid'!C212=0,Courses!E206&lt;&gt;"",Courses!F206&gt;0,SUM(Courses!M206,Courses!N206)&gt;0),Courses!F206*SUM(Courses!M206,Courses!N206),0)</f>
        <v>0</v>
      </c>
      <c r="F200" s="41">
        <f>IF(AND('Courses Valid'!C212=0,Courses!G206&lt;&gt;"",Courses!H206&gt;0,SUM(Courses!M206,Courses!N206)&gt;0),Courses!H206*SUM(Courses!M206,Courses!N206),0)</f>
        <v>0</v>
      </c>
      <c r="G200" s="105">
        <f>IF(AND('Courses Valid'!C212=0,Courses!I206&lt;&gt;"",Courses!J206&gt;0,SUM(Courses!M206,Courses!N206)&gt;0),Courses!J206*SUM(Courses!M206,Courses!N206),0)</f>
        <v>0</v>
      </c>
      <c r="H200" s="1580">
        <f>IF(AND('Courses Valid'!C212=0,Courses!E206&lt;&gt;"",Courses!F206&gt;0,SUM(Courses!O206,Courses!P206)&gt;0),Courses!F206*SUM(Courses!O206,Courses!P206),0)</f>
        <v>0</v>
      </c>
      <c r="I200" s="41">
        <f>IF(AND('Courses Valid'!C212=0,Courses!G206&lt;&gt;"",Courses!H206&gt;0,SUM(Courses!O206,Courses!P206)&gt;0),Courses!H206*SUM(Courses!O206,Courses!P206),0)</f>
        <v>0</v>
      </c>
      <c r="J200" s="105">
        <f>IF(AND('Courses Valid'!C212=0,Courses!I206&lt;&gt;"",Courses!J206&gt;0,SUM(Courses!O206,Courses!P206)&gt;0),Courses!J206*SUM(Courses!O206,Courses!P206),0)</f>
        <v>0</v>
      </c>
      <c r="K200" s="1580">
        <f>IF(AND('Courses Valid'!C212=0,Courses!E206&lt;&gt;"",Courses!F206&gt;0,Courses!Q206&gt;0),Courses!F206*Courses!Q206,0)</f>
        <v>0</v>
      </c>
      <c r="L200" s="41">
        <f>IF(AND('Courses Valid'!C212=0,Courses!G206&lt;&gt;"",Courses!H206&gt;0,Courses!Q206&gt;0),Courses!H206*Courses!Q206,0)</f>
        <v>0</v>
      </c>
      <c r="M200" s="105">
        <f>IF(AND('Courses Valid'!C212=0,Courses!I206&lt;&gt;"",Courses!J206&gt;0,Courses!Q206&gt;0),Courses!J206*Courses!Q206,0)</f>
        <v>0</v>
      </c>
      <c r="N200" s="41">
        <f>IF(AND('Courses Valid'!C212=0,Courses!E206&lt;&gt;"",Courses!F206&gt;0,SUM(Courses!W206,Courses!X206)&gt;0),Courses!F206*SUM(Courses!W206,Courses!X206),0)</f>
        <v>0</v>
      </c>
      <c r="O200" s="41">
        <f>IF(AND('Courses Valid'!C212=0,Courses!G206&lt;&gt;"",Courses!H206&gt;0,SUM(Courses!W206,Courses!X206)&gt;0),Courses!H206*SUM(Courses!W206,Courses!X206),0)</f>
        <v>0</v>
      </c>
      <c r="P200" s="41">
        <f>IF(AND('Courses Valid'!C212=0,Courses!I206&lt;&gt;"",Courses!J206&gt;0,SUM(Courses!W206,Courses!X206)&gt;0),Courses!J206*SUM(Courses!W206,Courses!X206),0)</f>
        <v>0</v>
      </c>
      <c r="Q200" s="1580">
        <f>IF(AND('Courses Valid'!C212=0,Courses!E206&lt;&gt;"",Courses!F206&gt;0,SUM(Courses!Y206,Courses!Z206)&gt;0),Courses!F206*SUM(Courses!Y206,Courses!Z206),0)</f>
        <v>0</v>
      </c>
      <c r="R200" s="41">
        <f>IF(AND('Courses Valid'!C212=0,Courses!G206&lt;&gt;"",Courses!H206&gt;0,SUM(Courses!Y206,Courses!Z206)&gt;0),Courses!H206*SUM(Courses!Y206,Courses!Z206),0)</f>
        <v>0</v>
      </c>
      <c r="S200" s="105">
        <f>IF(AND('Courses Valid'!C212=0,Courses!I206&lt;&gt;"",Courses!J206&gt;0,SUM(Courses!Y206,Courses!Z206)&gt;0),Courses!J206*SUM(Courses!Y206,Courses!Z206),0)</f>
        <v>0</v>
      </c>
      <c r="T200" s="41">
        <f>IF(AND('Courses Valid'!C212=0,Courses!E206&lt;&gt;"",Courses!F206&gt;0,Courses!AA206&gt;0),Courses!F206*Courses!AA206,0)</f>
        <v>0</v>
      </c>
      <c r="U200" s="41">
        <f>IF(AND('Courses Valid'!C212=0,Courses!G206&lt;&gt;"",Courses!H206&gt;0,Courses!AA206&gt;0),Courses!H206*Courses!AA206,0)</f>
        <v>0</v>
      </c>
      <c r="V200" s="106">
        <f>IF(AND('Courses Valid'!C212=0,Courses!I206&lt;&gt;"",Courses!J206&gt;0,Courses!AA206&gt;0),Courses!J206*Courses!AA206,0)</f>
        <v>0</v>
      </c>
    </row>
    <row r="201" spans="2:22" x14ac:dyDescent="0.35">
      <c r="B201" s="70" t="str">
        <f>IF(Courses!B207&lt;&gt;"",CONCATENATE(Courses!E207,"/",Courses!L207,"/",Courses!K207),"")</f>
        <v/>
      </c>
      <c r="C201" s="1579" t="str">
        <f>IF(AND(Courses!B207&lt;&gt;"",Courses!G207&lt;&gt;""),CONCATENATE(Courses!G207,"/",Courses!L207,"/",Courses!K207),"")</f>
        <v/>
      </c>
      <c r="D201" s="71" t="str">
        <f>IF(AND(Courses!B207&lt;&gt;"",Courses!I207&lt;&gt;""),CONCATENATE(Courses!I207,"/",Courses!L207,"/",Courses!K207),"")</f>
        <v/>
      </c>
      <c r="E201" s="1580">
        <f>IF(AND('Courses Valid'!C213=0,Courses!E207&lt;&gt;"",Courses!F207&gt;0,SUM(Courses!M207,Courses!N207)&gt;0),Courses!F207*SUM(Courses!M207,Courses!N207),0)</f>
        <v>0</v>
      </c>
      <c r="F201" s="41">
        <f>IF(AND('Courses Valid'!C213=0,Courses!G207&lt;&gt;"",Courses!H207&gt;0,SUM(Courses!M207,Courses!N207)&gt;0),Courses!H207*SUM(Courses!M207,Courses!N207),0)</f>
        <v>0</v>
      </c>
      <c r="G201" s="105">
        <f>IF(AND('Courses Valid'!C213=0,Courses!I207&lt;&gt;"",Courses!J207&gt;0,SUM(Courses!M207,Courses!N207)&gt;0),Courses!J207*SUM(Courses!M207,Courses!N207),0)</f>
        <v>0</v>
      </c>
      <c r="H201" s="1580">
        <f>IF(AND('Courses Valid'!C213=0,Courses!E207&lt;&gt;"",Courses!F207&gt;0,SUM(Courses!O207,Courses!P207)&gt;0),Courses!F207*SUM(Courses!O207,Courses!P207),0)</f>
        <v>0</v>
      </c>
      <c r="I201" s="41">
        <f>IF(AND('Courses Valid'!C213=0,Courses!G207&lt;&gt;"",Courses!H207&gt;0,SUM(Courses!O207,Courses!P207)&gt;0),Courses!H207*SUM(Courses!O207,Courses!P207),0)</f>
        <v>0</v>
      </c>
      <c r="J201" s="105">
        <f>IF(AND('Courses Valid'!C213=0,Courses!I207&lt;&gt;"",Courses!J207&gt;0,SUM(Courses!O207,Courses!P207)&gt;0),Courses!J207*SUM(Courses!O207,Courses!P207),0)</f>
        <v>0</v>
      </c>
      <c r="K201" s="1580">
        <f>IF(AND('Courses Valid'!C213=0,Courses!E207&lt;&gt;"",Courses!F207&gt;0,Courses!Q207&gt;0),Courses!F207*Courses!Q207,0)</f>
        <v>0</v>
      </c>
      <c r="L201" s="41">
        <f>IF(AND('Courses Valid'!C213=0,Courses!G207&lt;&gt;"",Courses!H207&gt;0,Courses!Q207&gt;0),Courses!H207*Courses!Q207,0)</f>
        <v>0</v>
      </c>
      <c r="M201" s="105">
        <f>IF(AND('Courses Valid'!C213=0,Courses!I207&lt;&gt;"",Courses!J207&gt;0,Courses!Q207&gt;0),Courses!J207*Courses!Q207,0)</f>
        <v>0</v>
      </c>
      <c r="N201" s="41">
        <f>IF(AND('Courses Valid'!C213=0,Courses!E207&lt;&gt;"",Courses!F207&gt;0,SUM(Courses!W207,Courses!X207)&gt;0),Courses!F207*SUM(Courses!W207,Courses!X207),0)</f>
        <v>0</v>
      </c>
      <c r="O201" s="41">
        <f>IF(AND('Courses Valid'!C213=0,Courses!G207&lt;&gt;"",Courses!H207&gt;0,SUM(Courses!W207,Courses!X207)&gt;0),Courses!H207*SUM(Courses!W207,Courses!X207),0)</f>
        <v>0</v>
      </c>
      <c r="P201" s="41">
        <f>IF(AND('Courses Valid'!C213=0,Courses!I207&lt;&gt;"",Courses!J207&gt;0,SUM(Courses!W207,Courses!X207)&gt;0),Courses!J207*SUM(Courses!W207,Courses!X207),0)</f>
        <v>0</v>
      </c>
      <c r="Q201" s="1580">
        <f>IF(AND('Courses Valid'!C213=0,Courses!E207&lt;&gt;"",Courses!F207&gt;0,SUM(Courses!Y207,Courses!Z207)&gt;0),Courses!F207*SUM(Courses!Y207,Courses!Z207),0)</f>
        <v>0</v>
      </c>
      <c r="R201" s="41">
        <f>IF(AND('Courses Valid'!C213=0,Courses!G207&lt;&gt;"",Courses!H207&gt;0,SUM(Courses!Y207,Courses!Z207)&gt;0),Courses!H207*SUM(Courses!Y207,Courses!Z207),0)</f>
        <v>0</v>
      </c>
      <c r="S201" s="105">
        <f>IF(AND('Courses Valid'!C213=0,Courses!I207&lt;&gt;"",Courses!J207&gt;0,SUM(Courses!Y207,Courses!Z207)&gt;0),Courses!J207*SUM(Courses!Y207,Courses!Z207),0)</f>
        <v>0</v>
      </c>
      <c r="T201" s="41">
        <f>IF(AND('Courses Valid'!C213=0,Courses!E207&lt;&gt;"",Courses!F207&gt;0,Courses!AA207&gt;0),Courses!F207*Courses!AA207,0)</f>
        <v>0</v>
      </c>
      <c r="U201" s="41">
        <f>IF(AND('Courses Valid'!C213=0,Courses!G207&lt;&gt;"",Courses!H207&gt;0,Courses!AA207&gt;0),Courses!H207*Courses!AA207,0)</f>
        <v>0</v>
      </c>
      <c r="V201" s="106">
        <f>IF(AND('Courses Valid'!C213=0,Courses!I207&lt;&gt;"",Courses!J207&gt;0,Courses!AA207&gt;0),Courses!J207*Courses!AA207,0)</f>
        <v>0</v>
      </c>
    </row>
    <row r="202" spans="2:22" x14ac:dyDescent="0.35">
      <c r="B202" s="70" t="str">
        <f>IF(Courses!B208&lt;&gt;"",CONCATENATE(Courses!E208,"/",Courses!L208,"/",Courses!K208),"")</f>
        <v/>
      </c>
      <c r="C202" s="1579" t="str">
        <f>IF(AND(Courses!B208&lt;&gt;"",Courses!G208&lt;&gt;""),CONCATENATE(Courses!G208,"/",Courses!L208,"/",Courses!K208),"")</f>
        <v/>
      </c>
      <c r="D202" s="71" t="str">
        <f>IF(AND(Courses!B208&lt;&gt;"",Courses!I208&lt;&gt;""),CONCATENATE(Courses!I208,"/",Courses!L208,"/",Courses!K208),"")</f>
        <v/>
      </c>
      <c r="E202" s="1580">
        <f>IF(AND('Courses Valid'!C214=0,Courses!E208&lt;&gt;"",Courses!F208&gt;0,SUM(Courses!M208,Courses!N208)&gt;0),Courses!F208*SUM(Courses!M208,Courses!N208),0)</f>
        <v>0</v>
      </c>
      <c r="F202" s="41">
        <f>IF(AND('Courses Valid'!C214=0,Courses!G208&lt;&gt;"",Courses!H208&gt;0,SUM(Courses!M208,Courses!N208)&gt;0),Courses!H208*SUM(Courses!M208,Courses!N208),0)</f>
        <v>0</v>
      </c>
      <c r="G202" s="105">
        <f>IF(AND('Courses Valid'!C214=0,Courses!I208&lt;&gt;"",Courses!J208&gt;0,SUM(Courses!M208,Courses!N208)&gt;0),Courses!J208*SUM(Courses!M208,Courses!N208),0)</f>
        <v>0</v>
      </c>
      <c r="H202" s="1580">
        <f>IF(AND('Courses Valid'!C214=0,Courses!E208&lt;&gt;"",Courses!F208&gt;0,SUM(Courses!O208,Courses!P208)&gt;0),Courses!F208*SUM(Courses!O208,Courses!P208),0)</f>
        <v>0</v>
      </c>
      <c r="I202" s="41">
        <f>IF(AND('Courses Valid'!C214=0,Courses!G208&lt;&gt;"",Courses!H208&gt;0,SUM(Courses!O208,Courses!P208)&gt;0),Courses!H208*SUM(Courses!O208,Courses!P208),0)</f>
        <v>0</v>
      </c>
      <c r="J202" s="105">
        <f>IF(AND('Courses Valid'!C214=0,Courses!I208&lt;&gt;"",Courses!J208&gt;0,SUM(Courses!O208,Courses!P208)&gt;0),Courses!J208*SUM(Courses!O208,Courses!P208),0)</f>
        <v>0</v>
      </c>
      <c r="K202" s="1580">
        <f>IF(AND('Courses Valid'!C214=0,Courses!E208&lt;&gt;"",Courses!F208&gt;0,Courses!Q208&gt;0),Courses!F208*Courses!Q208,0)</f>
        <v>0</v>
      </c>
      <c r="L202" s="41">
        <f>IF(AND('Courses Valid'!C214=0,Courses!G208&lt;&gt;"",Courses!H208&gt;0,Courses!Q208&gt;0),Courses!H208*Courses!Q208,0)</f>
        <v>0</v>
      </c>
      <c r="M202" s="105">
        <f>IF(AND('Courses Valid'!C214=0,Courses!I208&lt;&gt;"",Courses!J208&gt;0,Courses!Q208&gt;0),Courses!J208*Courses!Q208,0)</f>
        <v>0</v>
      </c>
      <c r="N202" s="41">
        <f>IF(AND('Courses Valid'!C214=0,Courses!E208&lt;&gt;"",Courses!F208&gt;0,SUM(Courses!W208,Courses!X208)&gt;0),Courses!F208*SUM(Courses!W208,Courses!X208),0)</f>
        <v>0</v>
      </c>
      <c r="O202" s="41">
        <f>IF(AND('Courses Valid'!C214=0,Courses!G208&lt;&gt;"",Courses!H208&gt;0,SUM(Courses!W208,Courses!X208)&gt;0),Courses!H208*SUM(Courses!W208,Courses!X208),0)</f>
        <v>0</v>
      </c>
      <c r="P202" s="41">
        <f>IF(AND('Courses Valid'!C214=0,Courses!I208&lt;&gt;"",Courses!J208&gt;0,SUM(Courses!W208,Courses!X208)&gt;0),Courses!J208*SUM(Courses!W208,Courses!X208),0)</f>
        <v>0</v>
      </c>
      <c r="Q202" s="1580">
        <f>IF(AND('Courses Valid'!C214=0,Courses!E208&lt;&gt;"",Courses!F208&gt;0,SUM(Courses!Y208,Courses!Z208)&gt;0),Courses!F208*SUM(Courses!Y208,Courses!Z208),0)</f>
        <v>0</v>
      </c>
      <c r="R202" s="41">
        <f>IF(AND('Courses Valid'!C214=0,Courses!G208&lt;&gt;"",Courses!H208&gt;0,SUM(Courses!Y208,Courses!Z208)&gt;0),Courses!H208*SUM(Courses!Y208,Courses!Z208),0)</f>
        <v>0</v>
      </c>
      <c r="S202" s="105">
        <f>IF(AND('Courses Valid'!C214=0,Courses!I208&lt;&gt;"",Courses!J208&gt;0,SUM(Courses!Y208,Courses!Z208)&gt;0),Courses!J208*SUM(Courses!Y208,Courses!Z208),0)</f>
        <v>0</v>
      </c>
      <c r="T202" s="41">
        <f>IF(AND('Courses Valid'!C214=0,Courses!E208&lt;&gt;"",Courses!F208&gt;0,Courses!AA208&gt;0),Courses!F208*Courses!AA208,0)</f>
        <v>0</v>
      </c>
      <c r="U202" s="41">
        <f>IF(AND('Courses Valid'!C214=0,Courses!G208&lt;&gt;"",Courses!H208&gt;0,Courses!AA208&gt;0),Courses!H208*Courses!AA208,0)</f>
        <v>0</v>
      </c>
      <c r="V202" s="106">
        <f>IF(AND('Courses Valid'!C214=0,Courses!I208&lt;&gt;"",Courses!J208&gt;0,Courses!AA208&gt;0),Courses!J208*Courses!AA208,0)</f>
        <v>0</v>
      </c>
    </row>
    <row r="203" spans="2:22" x14ac:dyDescent="0.35">
      <c r="B203" s="70" t="str">
        <f>IF(Courses!B209&lt;&gt;"",CONCATENATE(Courses!E209,"/",Courses!L209,"/",Courses!K209),"")</f>
        <v/>
      </c>
      <c r="C203" s="1579" t="str">
        <f>IF(AND(Courses!B209&lt;&gt;"",Courses!G209&lt;&gt;""),CONCATENATE(Courses!G209,"/",Courses!L209,"/",Courses!K209),"")</f>
        <v/>
      </c>
      <c r="D203" s="71" t="str">
        <f>IF(AND(Courses!B209&lt;&gt;"",Courses!I209&lt;&gt;""),CONCATENATE(Courses!I209,"/",Courses!L209,"/",Courses!K209),"")</f>
        <v/>
      </c>
      <c r="E203" s="1580">
        <f>IF(AND('Courses Valid'!C215=0,Courses!E209&lt;&gt;"",Courses!F209&gt;0,SUM(Courses!M209,Courses!N209)&gt;0),Courses!F209*SUM(Courses!M209,Courses!N209),0)</f>
        <v>0</v>
      </c>
      <c r="F203" s="41">
        <f>IF(AND('Courses Valid'!C215=0,Courses!G209&lt;&gt;"",Courses!H209&gt;0,SUM(Courses!M209,Courses!N209)&gt;0),Courses!H209*SUM(Courses!M209,Courses!N209),0)</f>
        <v>0</v>
      </c>
      <c r="G203" s="105">
        <f>IF(AND('Courses Valid'!C215=0,Courses!I209&lt;&gt;"",Courses!J209&gt;0,SUM(Courses!M209,Courses!N209)&gt;0),Courses!J209*SUM(Courses!M209,Courses!N209),0)</f>
        <v>0</v>
      </c>
      <c r="H203" s="1580">
        <f>IF(AND('Courses Valid'!C215=0,Courses!E209&lt;&gt;"",Courses!F209&gt;0,SUM(Courses!O209,Courses!P209)&gt;0),Courses!F209*SUM(Courses!O209,Courses!P209),0)</f>
        <v>0</v>
      </c>
      <c r="I203" s="41">
        <f>IF(AND('Courses Valid'!C215=0,Courses!G209&lt;&gt;"",Courses!H209&gt;0,SUM(Courses!O209,Courses!P209)&gt;0),Courses!H209*SUM(Courses!O209,Courses!P209),0)</f>
        <v>0</v>
      </c>
      <c r="J203" s="105">
        <f>IF(AND('Courses Valid'!C215=0,Courses!I209&lt;&gt;"",Courses!J209&gt;0,SUM(Courses!O209,Courses!P209)&gt;0),Courses!J209*SUM(Courses!O209,Courses!P209),0)</f>
        <v>0</v>
      </c>
      <c r="K203" s="1580">
        <f>IF(AND('Courses Valid'!C215=0,Courses!E209&lt;&gt;"",Courses!F209&gt;0,Courses!Q209&gt;0),Courses!F209*Courses!Q209,0)</f>
        <v>0</v>
      </c>
      <c r="L203" s="41">
        <f>IF(AND('Courses Valid'!C215=0,Courses!G209&lt;&gt;"",Courses!H209&gt;0,Courses!Q209&gt;0),Courses!H209*Courses!Q209,0)</f>
        <v>0</v>
      </c>
      <c r="M203" s="105">
        <f>IF(AND('Courses Valid'!C215=0,Courses!I209&lt;&gt;"",Courses!J209&gt;0,Courses!Q209&gt;0),Courses!J209*Courses!Q209,0)</f>
        <v>0</v>
      </c>
      <c r="N203" s="41">
        <f>IF(AND('Courses Valid'!C215=0,Courses!E209&lt;&gt;"",Courses!F209&gt;0,SUM(Courses!W209,Courses!X209)&gt;0),Courses!F209*SUM(Courses!W209,Courses!X209),0)</f>
        <v>0</v>
      </c>
      <c r="O203" s="41">
        <f>IF(AND('Courses Valid'!C215=0,Courses!G209&lt;&gt;"",Courses!H209&gt;0,SUM(Courses!W209,Courses!X209)&gt;0),Courses!H209*SUM(Courses!W209,Courses!X209),0)</f>
        <v>0</v>
      </c>
      <c r="P203" s="41">
        <f>IF(AND('Courses Valid'!C215=0,Courses!I209&lt;&gt;"",Courses!J209&gt;0,SUM(Courses!W209,Courses!X209)&gt;0),Courses!J209*SUM(Courses!W209,Courses!X209),0)</f>
        <v>0</v>
      </c>
      <c r="Q203" s="1580">
        <f>IF(AND('Courses Valid'!C215=0,Courses!E209&lt;&gt;"",Courses!F209&gt;0,SUM(Courses!Y209,Courses!Z209)&gt;0),Courses!F209*SUM(Courses!Y209,Courses!Z209),0)</f>
        <v>0</v>
      </c>
      <c r="R203" s="41">
        <f>IF(AND('Courses Valid'!C215=0,Courses!G209&lt;&gt;"",Courses!H209&gt;0,SUM(Courses!Y209,Courses!Z209)&gt;0),Courses!H209*SUM(Courses!Y209,Courses!Z209),0)</f>
        <v>0</v>
      </c>
      <c r="S203" s="105">
        <f>IF(AND('Courses Valid'!C215=0,Courses!I209&lt;&gt;"",Courses!J209&gt;0,SUM(Courses!Y209,Courses!Z209)&gt;0),Courses!J209*SUM(Courses!Y209,Courses!Z209),0)</f>
        <v>0</v>
      </c>
      <c r="T203" s="41">
        <f>IF(AND('Courses Valid'!C215=0,Courses!E209&lt;&gt;"",Courses!F209&gt;0,Courses!AA209&gt;0),Courses!F209*Courses!AA209,0)</f>
        <v>0</v>
      </c>
      <c r="U203" s="41">
        <f>IF(AND('Courses Valid'!C215=0,Courses!G209&lt;&gt;"",Courses!H209&gt;0,Courses!AA209&gt;0),Courses!H209*Courses!AA209,0)</f>
        <v>0</v>
      </c>
      <c r="V203" s="106">
        <f>IF(AND('Courses Valid'!C215=0,Courses!I209&lt;&gt;"",Courses!J209&gt;0,Courses!AA209&gt;0),Courses!J209*Courses!AA209,0)</f>
        <v>0</v>
      </c>
    </row>
    <row r="204" spans="2:22" x14ac:dyDescent="0.35">
      <c r="B204" s="70" t="str">
        <f>IF(Courses!B210&lt;&gt;"",CONCATENATE(Courses!E210,"/",Courses!L210,"/",Courses!K210),"")</f>
        <v/>
      </c>
      <c r="C204" s="1579" t="str">
        <f>IF(AND(Courses!B210&lt;&gt;"",Courses!G210&lt;&gt;""),CONCATENATE(Courses!G210,"/",Courses!L210,"/",Courses!K210),"")</f>
        <v/>
      </c>
      <c r="D204" s="71" t="str">
        <f>IF(AND(Courses!B210&lt;&gt;"",Courses!I210&lt;&gt;""),CONCATENATE(Courses!I210,"/",Courses!L210,"/",Courses!K210),"")</f>
        <v/>
      </c>
      <c r="E204" s="1580">
        <f>IF(AND('Courses Valid'!C216=0,Courses!E210&lt;&gt;"",Courses!F210&gt;0,SUM(Courses!M210,Courses!N210)&gt;0),Courses!F210*SUM(Courses!M210,Courses!N210),0)</f>
        <v>0</v>
      </c>
      <c r="F204" s="41">
        <f>IF(AND('Courses Valid'!C216=0,Courses!G210&lt;&gt;"",Courses!H210&gt;0,SUM(Courses!M210,Courses!N210)&gt;0),Courses!H210*SUM(Courses!M210,Courses!N210),0)</f>
        <v>0</v>
      </c>
      <c r="G204" s="105">
        <f>IF(AND('Courses Valid'!C216=0,Courses!I210&lt;&gt;"",Courses!J210&gt;0,SUM(Courses!M210,Courses!N210)&gt;0),Courses!J210*SUM(Courses!M210,Courses!N210),0)</f>
        <v>0</v>
      </c>
      <c r="H204" s="1580">
        <f>IF(AND('Courses Valid'!C216=0,Courses!E210&lt;&gt;"",Courses!F210&gt;0,SUM(Courses!O210,Courses!P210)&gt;0),Courses!F210*SUM(Courses!O210,Courses!P210),0)</f>
        <v>0</v>
      </c>
      <c r="I204" s="41">
        <f>IF(AND('Courses Valid'!C216=0,Courses!G210&lt;&gt;"",Courses!H210&gt;0,SUM(Courses!O210,Courses!P210)&gt;0),Courses!H210*SUM(Courses!O210,Courses!P210),0)</f>
        <v>0</v>
      </c>
      <c r="J204" s="105">
        <f>IF(AND('Courses Valid'!C216=0,Courses!I210&lt;&gt;"",Courses!J210&gt;0,SUM(Courses!O210,Courses!P210)&gt;0),Courses!J210*SUM(Courses!O210,Courses!P210),0)</f>
        <v>0</v>
      </c>
      <c r="K204" s="1580">
        <f>IF(AND('Courses Valid'!C216=0,Courses!E210&lt;&gt;"",Courses!F210&gt;0,Courses!Q210&gt;0),Courses!F210*Courses!Q210,0)</f>
        <v>0</v>
      </c>
      <c r="L204" s="41">
        <f>IF(AND('Courses Valid'!C216=0,Courses!G210&lt;&gt;"",Courses!H210&gt;0,Courses!Q210&gt;0),Courses!H210*Courses!Q210,0)</f>
        <v>0</v>
      </c>
      <c r="M204" s="105">
        <f>IF(AND('Courses Valid'!C216=0,Courses!I210&lt;&gt;"",Courses!J210&gt;0,Courses!Q210&gt;0),Courses!J210*Courses!Q210,0)</f>
        <v>0</v>
      </c>
      <c r="N204" s="41">
        <f>IF(AND('Courses Valid'!C216=0,Courses!E210&lt;&gt;"",Courses!F210&gt;0,SUM(Courses!W210,Courses!X210)&gt;0),Courses!F210*SUM(Courses!W210,Courses!X210),0)</f>
        <v>0</v>
      </c>
      <c r="O204" s="41">
        <f>IF(AND('Courses Valid'!C216=0,Courses!G210&lt;&gt;"",Courses!H210&gt;0,SUM(Courses!W210,Courses!X210)&gt;0),Courses!H210*SUM(Courses!W210,Courses!X210),0)</f>
        <v>0</v>
      </c>
      <c r="P204" s="41">
        <f>IF(AND('Courses Valid'!C216=0,Courses!I210&lt;&gt;"",Courses!J210&gt;0,SUM(Courses!W210,Courses!X210)&gt;0),Courses!J210*SUM(Courses!W210,Courses!X210),0)</f>
        <v>0</v>
      </c>
      <c r="Q204" s="1580">
        <f>IF(AND('Courses Valid'!C216=0,Courses!E210&lt;&gt;"",Courses!F210&gt;0,SUM(Courses!Y210,Courses!Z210)&gt;0),Courses!F210*SUM(Courses!Y210,Courses!Z210),0)</f>
        <v>0</v>
      </c>
      <c r="R204" s="41">
        <f>IF(AND('Courses Valid'!C216=0,Courses!G210&lt;&gt;"",Courses!H210&gt;0,SUM(Courses!Y210,Courses!Z210)&gt;0),Courses!H210*SUM(Courses!Y210,Courses!Z210),0)</f>
        <v>0</v>
      </c>
      <c r="S204" s="105">
        <f>IF(AND('Courses Valid'!C216=0,Courses!I210&lt;&gt;"",Courses!J210&gt;0,SUM(Courses!Y210,Courses!Z210)&gt;0),Courses!J210*SUM(Courses!Y210,Courses!Z210),0)</f>
        <v>0</v>
      </c>
      <c r="T204" s="41">
        <f>IF(AND('Courses Valid'!C216=0,Courses!E210&lt;&gt;"",Courses!F210&gt;0,Courses!AA210&gt;0),Courses!F210*Courses!AA210,0)</f>
        <v>0</v>
      </c>
      <c r="U204" s="41">
        <f>IF(AND('Courses Valid'!C216=0,Courses!G210&lt;&gt;"",Courses!H210&gt;0,Courses!AA210&gt;0),Courses!H210*Courses!AA210,0)</f>
        <v>0</v>
      </c>
      <c r="V204" s="106">
        <f>IF(AND('Courses Valid'!C216=0,Courses!I210&lt;&gt;"",Courses!J210&gt;0,Courses!AA210&gt;0),Courses!J210*Courses!AA210,0)</f>
        <v>0</v>
      </c>
    </row>
    <row r="205" spans="2:22" x14ac:dyDescent="0.35">
      <c r="B205" s="70" t="str">
        <f>IF(Courses!B211&lt;&gt;"",CONCATENATE(Courses!E211,"/",Courses!L211,"/",Courses!K211),"")</f>
        <v/>
      </c>
      <c r="C205" s="1579" t="str">
        <f>IF(AND(Courses!B211&lt;&gt;"",Courses!G211&lt;&gt;""),CONCATENATE(Courses!G211,"/",Courses!L211,"/",Courses!K211),"")</f>
        <v/>
      </c>
      <c r="D205" s="71" t="str">
        <f>IF(AND(Courses!B211&lt;&gt;"",Courses!I211&lt;&gt;""),CONCATENATE(Courses!I211,"/",Courses!L211,"/",Courses!K211),"")</f>
        <v/>
      </c>
      <c r="E205" s="1580">
        <f>IF(AND('Courses Valid'!C217=0,Courses!E211&lt;&gt;"",Courses!F211&gt;0,SUM(Courses!M211,Courses!N211)&gt;0),Courses!F211*SUM(Courses!M211,Courses!N211),0)</f>
        <v>0</v>
      </c>
      <c r="F205" s="41">
        <f>IF(AND('Courses Valid'!C217=0,Courses!G211&lt;&gt;"",Courses!H211&gt;0,SUM(Courses!M211,Courses!N211)&gt;0),Courses!H211*SUM(Courses!M211,Courses!N211),0)</f>
        <v>0</v>
      </c>
      <c r="G205" s="105">
        <f>IF(AND('Courses Valid'!C217=0,Courses!I211&lt;&gt;"",Courses!J211&gt;0,SUM(Courses!M211,Courses!N211)&gt;0),Courses!J211*SUM(Courses!M211,Courses!N211),0)</f>
        <v>0</v>
      </c>
      <c r="H205" s="1580">
        <f>IF(AND('Courses Valid'!C217=0,Courses!E211&lt;&gt;"",Courses!F211&gt;0,SUM(Courses!O211,Courses!P211)&gt;0),Courses!F211*SUM(Courses!O211,Courses!P211),0)</f>
        <v>0</v>
      </c>
      <c r="I205" s="41">
        <f>IF(AND('Courses Valid'!C217=0,Courses!G211&lt;&gt;"",Courses!H211&gt;0,SUM(Courses!O211,Courses!P211)&gt;0),Courses!H211*SUM(Courses!O211,Courses!P211),0)</f>
        <v>0</v>
      </c>
      <c r="J205" s="105">
        <f>IF(AND('Courses Valid'!C217=0,Courses!I211&lt;&gt;"",Courses!J211&gt;0,SUM(Courses!O211,Courses!P211)&gt;0),Courses!J211*SUM(Courses!O211,Courses!P211),0)</f>
        <v>0</v>
      </c>
      <c r="K205" s="1580">
        <f>IF(AND('Courses Valid'!C217=0,Courses!E211&lt;&gt;"",Courses!F211&gt;0,Courses!Q211&gt;0),Courses!F211*Courses!Q211,0)</f>
        <v>0</v>
      </c>
      <c r="L205" s="41">
        <f>IF(AND('Courses Valid'!C217=0,Courses!G211&lt;&gt;"",Courses!H211&gt;0,Courses!Q211&gt;0),Courses!H211*Courses!Q211,0)</f>
        <v>0</v>
      </c>
      <c r="M205" s="105">
        <f>IF(AND('Courses Valid'!C217=0,Courses!I211&lt;&gt;"",Courses!J211&gt;0,Courses!Q211&gt;0),Courses!J211*Courses!Q211,0)</f>
        <v>0</v>
      </c>
      <c r="N205" s="41">
        <f>IF(AND('Courses Valid'!C217=0,Courses!E211&lt;&gt;"",Courses!F211&gt;0,SUM(Courses!W211,Courses!X211)&gt;0),Courses!F211*SUM(Courses!W211,Courses!X211),0)</f>
        <v>0</v>
      </c>
      <c r="O205" s="41">
        <f>IF(AND('Courses Valid'!C217=0,Courses!G211&lt;&gt;"",Courses!H211&gt;0,SUM(Courses!W211,Courses!X211)&gt;0),Courses!H211*SUM(Courses!W211,Courses!X211),0)</f>
        <v>0</v>
      </c>
      <c r="P205" s="41">
        <f>IF(AND('Courses Valid'!C217=0,Courses!I211&lt;&gt;"",Courses!J211&gt;0,SUM(Courses!W211,Courses!X211)&gt;0),Courses!J211*SUM(Courses!W211,Courses!X211),0)</f>
        <v>0</v>
      </c>
      <c r="Q205" s="1580">
        <f>IF(AND('Courses Valid'!C217=0,Courses!E211&lt;&gt;"",Courses!F211&gt;0,SUM(Courses!Y211,Courses!Z211)&gt;0),Courses!F211*SUM(Courses!Y211,Courses!Z211),0)</f>
        <v>0</v>
      </c>
      <c r="R205" s="41">
        <f>IF(AND('Courses Valid'!C217=0,Courses!G211&lt;&gt;"",Courses!H211&gt;0,SUM(Courses!Y211,Courses!Z211)&gt;0),Courses!H211*SUM(Courses!Y211,Courses!Z211),0)</f>
        <v>0</v>
      </c>
      <c r="S205" s="105">
        <f>IF(AND('Courses Valid'!C217=0,Courses!I211&lt;&gt;"",Courses!J211&gt;0,SUM(Courses!Y211,Courses!Z211)&gt;0),Courses!J211*SUM(Courses!Y211,Courses!Z211),0)</f>
        <v>0</v>
      </c>
      <c r="T205" s="41">
        <f>IF(AND('Courses Valid'!C217=0,Courses!E211&lt;&gt;"",Courses!F211&gt;0,Courses!AA211&gt;0),Courses!F211*Courses!AA211,0)</f>
        <v>0</v>
      </c>
      <c r="U205" s="41">
        <f>IF(AND('Courses Valid'!C217=0,Courses!G211&lt;&gt;"",Courses!H211&gt;0,Courses!AA211&gt;0),Courses!H211*Courses!AA211,0)</f>
        <v>0</v>
      </c>
      <c r="V205" s="106">
        <f>IF(AND('Courses Valid'!C217=0,Courses!I211&lt;&gt;"",Courses!J211&gt;0,Courses!AA211&gt;0),Courses!J211*Courses!AA211,0)</f>
        <v>0</v>
      </c>
    </row>
    <row r="206" spans="2:22" x14ac:dyDescent="0.35">
      <c r="B206" s="70" t="str">
        <f>IF(Courses!B212&lt;&gt;"",CONCATENATE(Courses!E212,"/",Courses!L212,"/",Courses!K212),"")</f>
        <v/>
      </c>
      <c r="C206" s="1579" t="str">
        <f>IF(AND(Courses!B212&lt;&gt;"",Courses!G212&lt;&gt;""),CONCATENATE(Courses!G212,"/",Courses!L212,"/",Courses!K212),"")</f>
        <v/>
      </c>
      <c r="D206" s="71" t="str">
        <f>IF(AND(Courses!B212&lt;&gt;"",Courses!I212&lt;&gt;""),CONCATENATE(Courses!I212,"/",Courses!L212,"/",Courses!K212),"")</f>
        <v/>
      </c>
      <c r="E206" s="1580">
        <f>IF(AND('Courses Valid'!C218=0,Courses!E212&lt;&gt;"",Courses!F212&gt;0,SUM(Courses!M212,Courses!N212)&gt;0),Courses!F212*SUM(Courses!M212,Courses!N212),0)</f>
        <v>0</v>
      </c>
      <c r="F206" s="41">
        <f>IF(AND('Courses Valid'!C218=0,Courses!G212&lt;&gt;"",Courses!H212&gt;0,SUM(Courses!M212,Courses!N212)&gt;0),Courses!H212*SUM(Courses!M212,Courses!N212),0)</f>
        <v>0</v>
      </c>
      <c r="G206" s="105">
        <f>IF(AND('Courses Valid'!C218=0,Courses!I212&lt;&gt;"",Courses!J212&gt;0,SUM(Courses!M212,Courses!N212)&gt;0),Courses!J212*SUM(Courses!M212,Courses!N212),0)</f>
        <v>0</v>
      </c>
      <c r="H206" s="1580">
        <f>IF(AND('Courses Valid'!C218=0,Courses!E212&lt;&gt;"",Courses!F212&gt;0,SUM(Courses!O212,Courses!P212)&gt;0),Courses!F212*SUM(Courses!O212,Courses!P212),0)</f>
        <v>0</v>
      </c>
      <c r="I206" s="41">
        <f>IF(AND('Courses Valid'!C218=0,Courses!G212&lt;&gt;"",Courses!H212&gt;0,SUM(Courses!O212,Courses!P212)&gt;0),Courses!H212*SUM(Courses!O212,Courses!P212),0)</f>
        <v>0</v>
      </c>
      <c r="J206" s="105">
        <f>IF(AND('Courses Valid'!C218=0,Courses!I212&lt;&gt;"",Courses!J212&gt;0,SUM(Courses!O212,Courses!P212)&gt;0),Courses!J212*SUM(Courses!O212,Courses!P212),0)</f>
        <v>0</v>
      </c>
      <c r="K206" s="1580">
        <f>IF(AND('Courses Valid'!C218=0,Courses!E212&lt;&gt;"",Courses!F212&gt;0,Courses!Q212&gt;0),Courses!F212*Courses!Q212,0)</f>
        <v>0</v>
      </c>
      <c r="L206" s="41">
        <f>IF(AND('Courses Valid'!C218=0,Courses!G212&lt;&gt;"",Courses!H212&gt;0,Courses!Q212&gt;0),Courses!H212*Courses!Q212,0)</f>
        <v>0</v>
      </c>
      <c r="M206" s="105">
        <f>IF(AND('Courses Valid'!C218=0,Courses!I212&lt;&gt;"",Courses!J212&gt;0,Courses!Q212&gt;0),Courses!J212*Courses!Q212,0)</f>
        <v>0</v>
      </c>
      <c r="N206" s="41">
        <f>IF(AND('Courses Valid'!C218=0,Courses!E212&lt;&gt;"",Courses!F212&gt;0,SUM(Courses!W212,Courses!X212)&gt;0),Courses!F212*SUM(Courses!W212,Courses!X212),0)</f>
        <v>0</v>
      </c>
      <c r="O206" s="41">
        <f>IF(AND('Courses Valid'!C218=0,Courses!G212&lt;&gt;"",Courses!H212&gt;0,SUM(Courses!W212,Courses!X212)&gt;0),Courses!H212*SUM(Courses!W212,Courses!X212),0)</f>
        <v>0</v>
      </c>
      <c r="P206" s="41">
        <f>IF(AND('Courses Valid'!C218=0,Courses!I212&lt;&gt;"",Courses!J212&gt;0,SUM(Courses!W212,Courses!X212)&gt;0),Courses!J212*SUM(Courses!W212,Courses!X212),0)</f>
        <v>0</v>
      </c>
      <c r="Q206" s="1580">
        <f>IF(AND('Courses Valid'!C218=0,Courses!E212&lt;&gt;"",Courses!F212&gt;0,SUM(Courses!Y212,Courses!Z212)&gt;0),Courses!F212*SUM(Courses!Y212,Courses!Z212),0)</f>
        <v>0</v>
      </c>
      <c r="R206" s="41">
        <f>IF(AND('Courses Valid'!C218=0,Courses!G212&lt;&gt;"",Courses!H212&gt;0,SUM(Courses!Y212,Courses!Z212)&gt;0),Courses!H212*SUM(Courses!Y212,Courses!Z212),0)</f>
        <v>0</v>
      </c>
      <c r="S206" s="105">
        <f>IF(AND('Courses Valid'!C218=0,Courses!I212&lt;&gt;"",Courses!J212&gt;0,SUM(Courses!Y212,Courses!Z212)&gt;0),Courses!J212*SUM(Courses!Y212,Courses!Z212),0)</f>
        <v>0</v>
      </c>
      <c r="T206" s="41">
        <f>IF(AND('Courses Valid'!C218=0,Courses!E212&lt;&gt;"",Courses!F212&gt;0,Courses!AA212&gt;0),Courses!F212*Courses!AA212,0)</f>
        <v>0</v>
      </c>
      <c r="U206" s="41">
        <f>IF(AND('Courses Valid'!C218=0,Courses!G212&lt;&gt;"",Courses!H212&gt;0,Courses!AA212&gt;0),Courses!H212*Courses!AA212,0)</f>
        <v>0</v>
      </c>
      <c r="V206" s="106">
        <f>IF(AND('Courses Valid'!C218=0,Courses!I212&lt;&gt;"",Courses!J212&gt;0,Courses!AA212&gt;0),Courses!J212*Courses!AA212,0)</f>
        <v>0</v>
      </c>
    </row>
    <row r="207" spans="2:22" x14ac:dyDescent="0.35">
      <c r="B207" s="70" t="str">
        <f>IF(Courses!B213&lt;&gt;"",CONCATENATE(Courses!E213,"/",Courses!L213,"/",Courses!K213),"")</f>
        <v/>
      </c>
      <c r="C207" s="1579" t="str">
        <f>IF(AND(Courses!B213&lt;&gt;"",Courses!G213&lt;&gt;""),CONCATENATE(Courses!G213,"/",Courses!L213,"/",Courses!K213),"")</f>
        <v/>
      </c>
      <c r="D207" s="71" t="str">
        <f>IF(AND(Courses!B213&lt;&gt;"",Courses!I213&lt;&gt;""),CONCATENATE(Courses!I213,"/",Courses!L213,"/",Courses!K213),"")</f>
        <v/>
      </c>
      <c r="E207" s="1580">
        <f>IF(AND('Courses Valid'!C219=0,Courses!E213&lt;&gt;"",Courses!F213&gt;0,SUM(Courses!M213,Courses!N213)&gt;0),Courses!F213*SUM(Courses!M213,Courses!N213),0)</f>
        <v>0</v>
      </c>
      <c r="F207" s="41">
        <f>IF(AND('Courses Valid'!C219=0,Courses!G213&lt;&gt;"",Courses!H213&gt;0,SUM(Courses!M213,Courses!N213)&gt;0),Courses!H213*SUM(Courses!M213,Courses!N213),0)</f>
        <v>0</v>
      </c>
      <c r="G207" s="105">
        <f>IF(AND('Courses Valid'!C219=0,Courses!I213&lt;&gt;"",Courses!J213&gt;0,SUM(Courses!M213,Courses!N213)&gt;0),Courses!J213*SUM(Courses!M213,Courses!N213),0)</f>
        <v>0</v>
      </c>
      <c r="H207" s="1580">
        <f>IF(AND('Courses Valid'!C219=0,Courses!E213&lt;&gt;"",Courses!F213&gt;0,SUM(Courses!O213,Courses!P213)&gt;0),Courses!F213*SUM(Courses!O213,Courses!P213),0)</f>
        <v>0</v>
      </c>
      <c r="I207" s="41">
        <f>IF(AND('Courses Valid'!C219=0,Courses!G213&lt;&gt;"",Courses!H213&gt;0,SUM(Courses!O213,Courses!P213)&gt;0),Courses!H213*SUM(Courses!O213,Courses!P213),0)</f>
        <v>0</v>
      </c>
      <c r="J207" s="105">
        <f>IF(AND('Courses Valid'!C219=0,Courses!I213&lt;&gt;"",Courses!J213&gt;0,SUM(Courses!O213,Courses!P213)&gt;0),Courses!J213*SUM(Courses!O213,Courses!P213),0)</f>
        <v>0</v>
      </c>
      <c r="K207" s="1580">
        <f>IF(AND('Courses Valid'!C219=0,Courses!E213&lt;&gt;"",Courses!F213&gt;0,Courses!Q213&gt;0),Courses!F213*Courses!Q213,0)</f>
        <v>0</v>
      </c>
      <c r="L207" s="41">
        <f>IF(AND('Courses Valid'!C219=0,Courses!G213&lt;&gt;"",Courses!H213&gt;0,Courses!Q213&gt;0),Courses!H213*Courses!Q213,0)</f>
        <v>0</v>
      </c>
      <c r="M207" s="105">
        <f>IF(AND('Courses Valid'!C219=0,Courses!I213&lt;&gt;"",Courses!J213&gt;0,Courses!Q213&gt;0),Courses!J213*Courses!Q213,0)</f>
        <v>0</v>
      </c>
      <c r="N207" s="41">
        <f>IF(AND('Courses Valid'!C219=0,Courses!E213&lt;&gt;"",Courses!F213&gt;0,SUM(Courses!W213,Courses!X213)&gt;0),Courses!F213*SUM(Courses!W213,Courses!X213),0)</f>
        <v>0</v>
      </c>
      <c r="O207" s="41">
        <f>IF(AND('Courses Valid'!C219=0,Courses!G213&lt;&gt;"",Courses!H213&gt;0,SUM(Courses!W213,Courses!X213)&gt;0),Courses!H213*SUM(Courses!W213,Courses!X213),0)</f>
        <v>0</v>
      </c>
      <c r="P207" s="41">
        <f>IF(AND('Courses Valid'!C219=0,Courses!I213&lt;&gt;"",Courses!J213&gt;0,SUM(Courses!W213,Courses!X213)&gt;0),Courses!J213*SUM(Courses!W213,Courses!X213),0)</f>
        <v>0</v>
      </c>
      <c r="Q207" s="1580">
        <f>IF(AND('Courses Valid'!C219=0,Courses!E213&lt;&gt;"",Courses!F213&gt;0,SUM(Courses!Y213,Courses!Z213)&gt;0),Courses!F213*SUM(Courses!Y213,Courses!Z213),0)</f>
        <v>0</v>
      </c>
      <c r="R207" s="41">
        <f>IF(AND('Courses Valid'!C219=0,Courses!G213&lt;&gt;"",Courses!H213&gt;0,SUM(Courses!Y213,Courses!Z213)&gt;0),Courses!H213*SUM(Courses!Y213,Courses!Z213),0)</f>
        <v>0</v>
      </c>
      <c r="S207" s="105">
        <f>IF(AND('Courses Valid'!C219=0,Courses!I213&lt;&gt;"",Courses!J213&gt;0,SUM(Courses!Y213,Courses!Z213)&gt;0),Courses!J213*SUM(Courses!Y213,Courses!Z213),0)</f>
        <v>0</v>
      </c>
      <c r="T207" s="41">
        <f>IF(AND('Courses Valid'!C219=0,Courses!E213&lt;&gt;"",Courses!F213&gt;0,Courses!AA213&gt;0),Courses!F213*Courses!AA213,0)</f>
        <v>0</v>
      </c>
      <c r="U207" s="41">
        <f>IF(AND('Courses Valid'!C219=0,Courses!G213&lt;&gt;"",Courses!H213&gt;0,Courses!AA213&gt;0),Courses!H213*Courses!AA213,0)</f>
        <v>0</v>
      </c>
      <c r="V207" s="106">
        <f>IF(AND('Courses Valid'!C219=0,Courses!I213&lt;&gt;"",Courses!J213&gt;0,Courses!AA213&gt;0),Courses!J213*Courses!AA213,0)</f>
        <v>0</v>
      </c>
    </row>
    <row r="208" spans="2:22" x14ac:dyDescent="0.35">
      <c r="B208" s="70" t="str">
        <f>IF(Courses!B214&lt;&gt;"",CONCATENATE(Courses!E214,"/",Courses!L214,"/",Courses!K214),"")</f>
        <v/>
      </c>
      <c r="C208" s="1579" t="str">
        <f>IF(AND(Courses!B214&lt;&gt;"",Courses!G214&lt;&gt;""),CONCATENATE(Courses!G214,"/",Courses!L214,"/",Courses!K214),"")</f>
        <v/>
      </c>
      <c r="D208" s="71" t="str">
        <f>IF(AND(Courses!B214&lt;&gt;"",Courses!I214&lt;&gt;""),CONCATENATE(Courses!I214,"/",Courses!L214,"/",Courses!K214),"")</f>
        <v/>
      </c>
      <c r="E208" s="1580">
        <f>IF(AND('Courses Valid'!C220=0,Courses!E214&lt;&gt;"",Courses!F214&gt;0,SUM(Courses!M214,Courses!N214)&gt;0),Courses!F214*SUM(Courses!M214,Courses!N214),0)</f>
        <v>0</v>
      </c>
      <c r="F208" s="41">
        <f>IF(AND('Courses Valid'!C220=0,Courses!G214&lt;&gt;"",Courses!H214&gt;0,SUM(Courses!M214,Courses!N214)&gt;0),Courses!H214*SUM(Courses!M214,Courses!N214),0)</f>
        <v>0</v>
      </c>
      <c r="G208" s="105">
        <f>IF(AND('Courses Valid'!C220=0,Courses!I214&lt;&gt;"",Courses!J214&gt;0,SUM(Courses!M214,Courses!N214)&gt;0),Courses!J214*SUM(Courses!M214,Courses!N214),0)</f>
        <v>0</v>
      </c>
      <c r="H208" s="1580">
        <f>IF(AND('Courses Valid'!C220=0,Courses!E214&lt;&gt;"",Courses!F214&gt;0,SUM(Courses!O214,Courses!P214)&gt;0),Courses!F214*SUM(Courses!O214,Courses!P214),0)</f>
        <v>0</v>
      </c>
      <c r="I208" s="41">
        <f>IF(AND('Courses Valid'!C220=0,Courses!G214&lt;&gt;"",Courses!H214&gt;0,SUM(Courses!O214,Courses!P214)&gt;0),Courses!H214*SUM(Courses!O214,Courses!P214),0)</f>
        <v>0</v>
      </c>
      <c r="J208" s="105">
        <f>IF(AND('Courses Valid'!C220=0,Courses!I214&lt;&gt;"",Courses!J214&gt;0,SUM(Courses!O214,Courses!P214)&gt;0),Courses!J214*SUM(Courses!O214,Courses!P214),0)</f>
        <v>0</v>
      </c>
      <c r="K208" s="1580">
        <f>IF(AND('Courses Valid'!C220=0,Courses!E214&lt;&gt;"",Courses!F214&gt;0,Courses!Q214&gt;0),Courses!F214*Courses!Q214,0)</f>
        <v>0</v>
      </c>
      <c r="L208" s="41">
        <f>IF(AND('Courses Valid'!C220=0,Courses!G214&lt;&gt;"",Courses!H214&gt;0,Courses!Q214&gt;0),Courses!H214*Courses!Q214,0)</f>
        <v>0</v>
      </c>
      <c r="M208" s="105">
        <f>IF(AND('Courses Valid'!C220=0,Courses!I214&lt;&gt;"",Courses!J214&gt;0,Courses!Q214&gt;0),Courses!J214*Courses!Q214,0)</f>
        <v>0</v>
      </c>
      <c r="N208" s="41">
        <f>IF(AND('Courses Valid'!C220=0,Courses!E214&lt;&gt;"",Courses!F214&gt;0,SUM(Courses!W214,Courses!X214)&gt;0),Courses!F214*SUM(Courses!W214,Courses!X214),0)</f>
        <v>0</v>
      </c>
      <c r="O208" s="41">
        <f>IF(AND('Courses Valid'!C220=0,Courses!G214&lt;&gt;"",Courses!H214&gt;0,SUM(Courses!W214,Courses!X214)&gt;0),Courses!H214*SUM(Courses!W214,Courses!X214),0)</f>
        <v>0</v>
      </c>
      <c r="P208" s="41">
        <f>IF(AND('Courses Valid'!C220=0,Courses!I214&lt;&gt;"",Courses!J214&gt;0,SUM(Courses!W214,Courses!X214)&gt;0),Courses!J214*SUM(Courses!W214,Courses!X214),0)</f>
        <v>0</v>
      </c>
      <c r="Q208" s="1580">
        <f>IF(AND('Courses Valid'!C220=0,Courses!E214&lt;&gt;"",Courses!F214&gt;0,SUM(Courses!Y214,Courses!Z214)&gt;0),Courses!F214*SUM(Courses!Y214,Courses!Z214),0)</f>
        <v>0</v>
      </c>
      <c r="R208" s="41">
        <f>IF(AND('Courses Valid'!C220=0,Courses!G214&lt;&gt;"",Courses!H214&gt;0,SUM(Courses!Y214,Courses!Z214)&gt;0),Courses!H214*SUM(Courses!Y214,Courses!Z214),0)</f>
        <v>0</v>
      </c>
      <c r="S208" s="105">
        <f>IF(AND('Courses Valid'!C220=0,Courses!I214&lt;&gt;"",Courses!J214&gt;0,SUM(Courses!Y214,Courses!Z214)&gt;0),Courses!J214*SUM(Courses!Y214,Courses!Z214),0)</f>
        <v>0</v>
      </c>
      <c r="T208" s="41">
        <f>IF(AND('Courses Valid'!C220=0,Courses!E214&lt;&gt;"",Courses!F214&gt;0,Courses!AA214&gt;0),Courses!F214*Courses!AA214,0)</f>
        <v>0</v>
      </c>
      <c r="U208" s="41">
        <f>IF(AND('Courses Valid'!C220=0,Courses!G214&lt;&gt;"",Courses!H214&gt;0,Courses!AA214&gt;0),Courses!H214*Courses!AA214,0)</f>
        <v>0</v>
      </c>
      <c r="V208" s="106">
        <f>IF(AND('Courses Valid'!C220=0,Courses!I214&lt;&gt;"",Courses!J214&gt;0,Courses!AA214&gt;0),Courses!J214*Courses!AA214,0)</f>
        <v>0</v>
      </c>
    </row>
    <row r="209" spans="2:22" x14ac:dyDescent="0.35">
      <c r="B209" s="70" t="str">
        <f>IF(Courses!B215&lt;&gt;"",CONCATENATE(Courses!E215,"/",Courses!L215,"/",Courses!K215),"")</f>
        <v/>
      </c>
      <c r="C209" s="1579" t="str">
        <f>IF(AND(Courses!B215&lt;&gt;"",Courses!G215&lt;&gt;""),CONCATENATE(Courses!G215,"/",Courses!L215,"/",Courses!K215),"")</f>
        <v/>
      </c>
      <c r="D209" s="71" t="str">
        <f>IF(AND(Courses!B215&lt;&gt;"",Courses!I215&lt;&gt;""),CONCATENATE(Courses!I215,"/",Courses!L215,"/",Courses!K215),"")</f>
        <v/>
      </c>
      <c r="E209" s="1580">
        <f>IF(AND('Courses Valid'!C221=0,Courses!E215&lt;&gt;"",Courses!F215&gt;0,SUM(Courses!M215,Courses!N215)&gt;0),Courses!F215*SUM(Courses!M215,Courses!N215),0)</f>
        <v>0</v>
      </c>
      <c r="F209" s="41">
        <f>IF(AND('Courses Valid'!C221=0,Courses!G215&lt;&gt;"",Courses!H215&gt;0,SUM(Courses!M215,Courses!N215)&gt;0),Courses!H215*SUM(Courses!M215,Courses!N215),0)</f>
        <v>0</v>
      </c>
      <c r="G209" s="105">
        <f>IF(AND('Courses Valid'!C221=0,Courses!I215&lt;&gt;"",Courses!J215&gt;0,SUM(Courses!M215,Courses!N215)&gt;0),Courses!J215*SUM(Courses!M215,Courses!N215),0)</f>
        <v>0</v>
      </c>
      <c r="H209" s="1580">
        <f>IF(AND('Courses Valid'!C221=0,Courses!E215&lt;&gt;"",Courses!F215&gt;0,SUM(Courses!O215,Courses!P215)&gt;0),Courses!F215*SUM(Courses!O215,Courses!P215),0)</f>
        <v>0</v>
      </c>
      <c r="I209" s="41">
        <f>IF(AND('Courses Valid'!C221=0,Courses!G215&lt;&gt;"",Courses!H215&gt;0,SUM(Courses!O215,Courses!P215)&gt;0),Courses!H215*SUM(Courses!O215,Courses!P215),0)</f>
        <v>0</v>
      </c>
      <c r="J209" s="105">
        <f>IF(AND('Courses Valid'!C221=0,Courses!I215&lt;&gt;"",Courses!J215&gt;0,SUM(Courses!O215,Courses!P215)&gt;0),Courses!J215*SUM(Courses!O215,Courses!P215),0)</f>
        <v>0</v>
      </c>
      <c r="K209" s="1580">
        <f>IF(AND('Courses Valid'!C221=0,Courses!E215&lt;&gt;"",Courses!F215&gt;0,Courses!Q215&gt;0),Courses!F215*Courses!Q215,0)</f>
        <v>0</v>
      </c>
      <c r="L209" s="41">
        <f>IF(AND('Courses Valid'!C221=0,Courses!G215&lt;&gt;"",Courses!H215&gt;0,Courses!Q215&gt;0),Courses!H215*Courses!Q215,0)</f>
        <v>0</v>
      </c>
      <c r="M209" s="105">
        <f>IF(AND('Courses Valid'!C221=0,Courses!I215&lt;&gt;"",Courses!J215&gt;0,Courses!Q215&gt;0),Courses!J215*Courses!Q215,0)</f>
        <v>0</v>
      </c>
      <c r="N209" s="41">
        <f>IF(AND('Courses Valid'!C221=0,Courses!E215&lt;&gt;"",Courses!F215&gt;0,SUM(Courses!W215,Courses!X215)&gt;0),Courses!F215*SUM(Courses!W215,Courses!X215),0)</f>
        <v>0</v>
      </c>
      <c r="O209" s="41">
        <f>IF(AND('Courses Valid'!C221=0,Courses!G215&lt;&gt;"",Courses!H215&gt;0,SUM(Courses!W215,Courses!X215)&gt;0),Courses!H215*SUM(Courses!W215,Courses!X215),0)</f>
        <v>0</v>
      </c>
      <c r="P209" s="41">
        <f>IF(AND('Courses Valid'!C221=0,Courses!I215&lt;&gt;"",Courses!J215&gt;0,SUM(Courses!W215,Courses!X215)&gt;0),Courses!J215*SUM(Courses!W215,Courses!X215),0)</f>
        <v>0</v>
      </c>
      <c r="Q209" s="1580">
        <f>IF(AND('Courses Valid'!C221=0,Courses!E215&lt;&gt;"",Courses!F215&gt;0,SUM(Courses!Y215,Courses!Z215)&gt;0),Courses!F215*SUM(Courses!Y215,Courses!Z215),0)</f>
        <v>0</v>
      </c>
      <c r="R209" s="41">
        <f>IF(AND('Courses Valid'!C221=0,Courses!G215&lt;&gt;"",Courses!H215&gt;0,SUM(Courses!Y215,Courses!Z215)&gt;0),Courses!H215*SUM(Courses!Y215,Courses!Z215),0)</f>
        <v>0</v>
      </c>
      <c r="S209" s="105">
        <f>IF(AND('Courses Valid'!C221=0,Courses!I215&lt;&gt;"",Courses!J215&gt;0,SUM(Courses!Y215,Courses!Z215)&gt;0),Courses!J215*SUM(Courses!Y215,Courses!Z215),0)</f>
        <v>0</v>
      </c>
      <c r="T209" s="41">
        <f>IF(AND('Courses Valid'!C221=0,Courses!E215&lt;&gt;"",Courses!F215&gt;0,Courses!AA215&gt;0),Courses!F215*Courses!AA215,0)</f>
        <v>0</v>
      </c>
      <c r="U209" s="41">
        <f>IF(AND('Courses Valid'!C221=0,Courses!G215&lt;&gt;"",Courses!H215&gt;0,Courses!AA215&gt;0),Courses!H215*Courses!AA215,0)</f>
        <v>0</v>
      </c>
      <c r="V209" s="106">
        <f>IF(AND('Courses Valid'!C221=0,Courses!I215&lt;&gt;"",Courses!J215&gt;0,Courses!AA215&gt;0),Courses!J215*Courses!AA215,0)</f>
        <v>0</v>
      </c>
    </row>
    <row r="210" spans="2:22" x14ac:dyDescent="0.35">
      <c r="B210" s="70" t="str">
        <f>IF(Courses!B216&lt;&gt;"",CONCATENATE(Courses!E216,"/",Courses!L216,"/",Courses!K216),"")</f>
        <v/>
      </c>
      <c r="C210" s="1579" t="str">
        <f>IF(AND(Courses!B216&lt;&gt;"",Courses!G216&lt;&gt;""),CONCATENATE(Courses!G216,"/",Courses!L216,"/",Courses!K216),"")</f>
        <v/>
      </c>
      <c r="D210" s="71" t="str">
        <f>IF(AND(Courses!B216&lt;&gt;"",Courses!I216&lt;&gt;""),CONCATENATE(Courses!I216,"/",Courses!L216,"/",Courses!K216),"")</f>
        <v/>
      </c>
      <c r="E210" s="1580">
        <f>IF(AND('Courses Valid'!C222=0,Courses!E216&lt;&gt;"",Courses!F216&gt;0,SUM(Courses!M216,Courses!N216)&gt;0),Courses!F216*SUM(Courses!M216,Courses!N216),0)</f>
        <v>0</v>
      </c>
      <c r="F210" s="41">
        <f>IF(AND('Courses Valid'!C222=0,Courses!G216&lt;&gt;"",Courses!H216&gt;0,SUM(Courses!M216,Courses!N216)&gt;0),Courses!H216*SUM(Courses!M216,Courses!N216),0)</f>
        <v>0</v>
      </c>
      <c r="G210" s="105">
        <f>IF(AND('Courses Valid'!C222=0,Courses!I216&lt;&gt;"",Courses!J216&gt;0,SUM(Courses!M216,Courses!N216)&gt;0),Courses!J216*SUM(Courses!M216,Courses!N216),0)</f>
        <v>0</v>
      </c>
      <c r="H210" s="1580">
        <f>IF(AND('Courses Valid'!C222=0,Courses!E216&lt;&gt;"",Courses!F216&gt;0,SUM(Courses!O216,Courses!P216)&gt;0),Courses!F216*SUM(Courses!O216,Courses!P216),0)</f>
        <v>0</v>
      </c>
      <c r="I210" s="41">
        <f>IF(AND('Courses Valid'!C222=0,Courses!G216&lt;&gt;"",Courses!H216&gt;0,SUM(Courses!O216,Courses!P216)&gt;0),Courses!H216*SUM(Courses!O216,Courses!P216),0)</f>
        <v>0</v>
      </c>
      <c r="J210" s="105">
        <f>IF(AND('Courses Valid'!C222=0,Courses!I216&lt;&gt;"",Courses!J216&gt;0,SUM(Courses!O216,Courses!P216)&gt;0),Courses!J216*SUM(Courses!O216,Courses!P216),0)</f>
        <v>0</v>
      </c>
      <c r="K210" s="1580">
        <f>IF(AND('Courses Valid'!C222=0,Courses!E216&lt;&gt;"",Courses!F216&gt;0,Courses!Q216&gt;0),Courses!F216*Courses!Q216,0)</f>
        <v>0</v>
      </c>
      <c r="L210" s="41">
        <f>IF(AND('Courses Valid'!C222=0,Courses!G216&lt;&gt;"",Courses!H216&gt;0,Courses!Q216&gt;0),Courses!H216*Courses!Q216,0)</f>
        <v>0</v>
      </c>
      <c r="M210" s="105">
        <f>IF(AND('Courses Valid'!C222=0,Courses!I216&lt;&gt;"",Courses!J216&gt;0,Courses!Q216&gt;0),Courses!J216*Courses!Q216,0)</f>
        <v>0</v>
      </c>
      <c r="N210" s="41">
        <f>IF(AND('Courses Valid'!C222=0,Courses!E216&lt;&gt;"",Courses!F216&gt;0,SUM(Courses!W216,Courses!X216)&gt;0),Courses!F216*SUM(Courses!W216,Courses!X216),0)</f>
        <v>0</v>
      </c>
      <c r="O210" s="41">
        <f>IF(AND('Courses Valid'!C222=0,Courses!G216&lt;&gt;"",Courses!H216&gt;0,SUM(Courses!W216,Courses!X216)&gt;0),Courses!H216*SUM(Courses!W216,Courses!X216),0)</f>
        <v>0</v>
      </c>
      <c r="P210" s="41">
        <f>IF(AND('Courses Valid'!C222=0,Courses!I216&lt;&gt;"",Courses!J216&gt;0,SUM(Courses!W216,Courses!X216)&gt;0),Courses!J216*SUM(Courses!W216,Courses!X216),0)</f>
        <v>0</v>
      </c>
      <c r="Q210" s="1580">
        <f>IF(AND('Courses Valid'!C222=0,Courses!E216&lt;&gt;"",Courses!F216&gt;0,SUM(Courses!Y216,Courses!Z216)&gt;0),Courses!F216*SUM(Courses!Y216,Courses!Z216),0)</f>
        <v>0</v>
      </c>
      <c r="R210" s="41">
        <f>IF(AND('Courses Valid'!C222=0,Courses!G216&lt;&gt;"",Courses!H216&gt;0,SUM(Courses!Y216,Courses!Z216)&gt;0),Courses!H216*SUM(Courses!Y216,Courses!Z216),0)</f>
        <v>0</v>
      </c>
      <c r="S210" s="105">
        <f>IF(AND('Courses Valid'!C222=0,Courses!I216&lt;&gt;"",Courses!J216&gt;0,SUM(Courses!Y216,Courses!Z216)&gt;0),Courses!J216*SUM(Courses!Y216,Courses!Z216),0)</f>
        <v>0</v>
      </c>
      <c r="T210" s="41">
        <f>IF(AND('Courses Valid'!C222=0,Courses!E216&lt;&gt;"",Courses!F216&gt;0,Courses!AA216&gt;0),Courses!F216*Courses!AA216,0)</f>
        <v>0</v>
      </c>
      <c r="U210" s="41">
        <f>IF(AND('Courses Valid'!C222=0,Courses!G216&lt;&gt;"",Courses!H216&gt;0,Courses!AA216&gt;0),Courses!H216*Courses!AA216,0)</f>
        <v>0</v>
      </c>
      <c r="V210" s="106">
        <f>IF(AND('Courses Valid'!C222=0,Courses!I216&lt;&gt;"",Courses!J216&gt;0,Courses!AA216&gt;0),Courses!J216*Courses!AA216,0)</f>
        <v>0</v>
      </c>
    </row>
    <row r="211" spans="2:22" x14ac:dyDescent="0.35">
      <c r="B211" s="70" t="str">
        <f>IF(Courses!B217&lt;&gt;"",CONCATENATE(Courses!E217,"/",Courses!L217,"/",Courses!K217),"")</f>
        <v/>
      </c>
      <c r="C211" s="1579" t="str">
        <f>IF(AND(Courses!B217&lt;&gt;"",Courses!G217&lt;&gt;""),CONCATENATE(Courses!G217,"/",Courses!L217,"/",Courses!K217),"")</f>
        <v/>
      </c>
      <c r="D211" s="71" t="str">
        <f>IF(AND(Courses!B217&lt;&gt;"",Courses!I217&lt;&gt;""),CONCATENATE(Courses!I217,"/",Courses!L217,"/",Courses!K217),"")</f>
        <v/>
      </c>
      <c r="E211" s="1580">
        <f>IF(AND('Courses Valid'!C223=0,Courses!E217&lt;&gt;"",Courses!F217&gt;0,SUM(Courses!M217,Courses!N217)&gt;0),Courses!F217*SUM(Courses!M217,Courses!N217),0)</f>
        <v>0</v>
      </c>
      <c r="F211" s="41">
        <f>IF(AND('Courses Valid'!C223=0,Courses!G217&lt;&gt;"",Courses!H217&gt;0,SUM(Courses!M217,Courses!N217)&gt;0),Courses!H217*SUM(Courses!M217,Courses!N217),0)</f>
        <v>0</v>
      </c>
      <c r="G211" s="105">
        <f>IF(AND('Courses Valid'!C223=0,Courses!I217&lt;&gt;"",Courses!J217&gt;0,SUM(Courses!M217,Courses!N217)&gt;0),Courses!J217*SUM(Courses!M217,Courses!N217),0)</f>
        <v>0</v>
      </c>
      <c r="H211" s="1580">
        <f>IF(AND('Courses Valid'!C223=0,Courses!E217&lt;&gt;"",Courses!F217&gt;0,SUM(Courses!O217,Courses!P217)&gt;0),Courses!F217*SUM(Courses!O217,Courses!P217),0)</f>
        <v>0</v>
      </c>
      <c r="I211" s="41">
        <f>IF(AND('Courses Valid'!C223=0,Courses!G217&lt;&gt;"",Courses!H217&gt;0,SUM(Courses!O217,Courses!P217)&gt;0),Courses!H217*SUM(Courses!O217,Courses!P217),0)</f>
        <v>0</v>
      </c>
      <c r="J211" s="105">
        <f>IF(AND('Courses Valid'!C223=0,Courses!I217&lt;&gt;"",Courses!J217&gt;0,SUM(Courses!O217,Courses!P217)&gt;0),Courses!J217*SUM(Courses!O217,Courses!P217),0)</f>
        <v>0</v>
      </c>
      <c r="K211" s="1580">
        <f>IF(AND('Courses Valid'!C223=0,Courses!E217&lt;&gt;"",Courses!F217&gt;0,Courses!Q217&gt;0),Courses!F217*Courses!Q217,0)</f>
        <v>0</v>
      </c>
      <c r="L211" s="41">
        <f>IF(AND('Courses Valid'!C223=0,Courses!G217&lt;&gt;"",Courses!H217&gt;0,Courses!Q217&gt;0),Courses!H217*Courses!Q217,0)</f>
        <v>0</v>
      </c>
      <c r="M211" s="105">
        <f>IF(AND('Courses Valid'!C223=0,Courses!I217&lt;&gt;"",Courses!J217&gt;0,Courses!Q217&gt;0),Courses!J217*Courses!Q217,0)</f>
        <v>0</v>
      </c>
      <c r="N211" s="41">
        <f>IF(AND('Courses Valid'!C223=0,Courses!E217&lt;&gt;"",Courses!F217&gt;0,SUM(Courses!W217,Courses!X217)&gt;0),Courses!F217*SUM(Courses!W217,Courses!X217),0)</f>
        <v>0</v>
      </c>
      <c r="O211" s="41">
        <f>IF(AND('Courses Valid'!C223=0,Courses!G217&lt;&gt;"",Courses!H217&gt;0,SUM(Courses!W217,Courses!X217)&gt;0),Courses!H217*SUM(Courses!W217,Courses!X217),0)</f>
        <v>0</v>
      </c>
      <c r="P211" s="41">
        <f>IF(AND('Courses Valid'!C223=0,Courses!I217&lt;&gt;"",Courses!J217&gt;0,SUM(Courses!W217,Courses!X217)&gt;0),Courses!J217*SUM(Courses!W217,Courses!X217),0)</f>
        <v>0</v>
      </c>
      <c r="Q211" s="1580">
        <f>IF(AND('Courses Valid'!C223=0,Courses!E217&lt;&gt;"",Courses!F217&gt;0,SUM(Courses!Y217,Courses!Z217)&gt;0),Courses!F217*SUM(Courses!Y217,Courses!Z217),0)</f>
        <v>0</v>
      </c>
      <c r="R211" s="41">
        <f>IF(AND('Courses Valid'!C223=0,Courses!G217&lt;&gt;"",Courses!H217&gt;0,SUM(Courses!Y217,Courses!Z217)&gt;0),Courses!H217*SUM(Courses!Y217,Courses!Z217),0)</f>
        <v>0</v>
      </c>
      <c r="S211" s="105">
        <f>IF(AND('Courses Valid'!C223=0,Courses!I217&lt;&gt;"",Courses!J217&gt;0,SUM(Courses!Y217,Courses!Z217)&gt;0),Courses!J217*SUM(Courses!Y217,Courses!Z217),0)</f>
        <v>0</v>
      </c>
      <c r="T211" s="41">
        <f>IF(AND('Courses Valid'!C223=0,Courses!E217&lt;&gt;"",Courses!F217&gt;0,Courses!AA217&gt;0),Courses!F217*Courses!AA217,0)</f>
        <v>0</v>
      </c>
      <c r="U211" s="41">
        <f>IF(AND('Courses Valid'!C223=0,Courses!G217&lt;&gt;"",Courses!H217&gt;0,Courses!AA217&gt;0),Courses!H217*Courses!AA217,0)</f>
        <v>0</v>
      </c>
      <c r="V211" s="106">
        <f>IF(AND('Courses Valid'!C223=0,Courses!I217&lt;&gt;"",Courses!J217&gt;0,Courses!AA217&gt;0),Courses!J217*Courses!AA217,0)</f>
        <v>0</v>
      </c>
    </row>
    <row r="212" spans="2:22" x14ac:dyDescent="0.35">
      <c r="B212" s="70" t="str">
        <f>IF(Courses!B218&lt;&gt;"",CONCATENATE(Courses!E218,"/",Courses!L218,"/",Courses!K218),"")</f>
        <v/>
      </c>
      <c r="C212" s="1579" t="str">
        <f>IF(AND(Courses!B218&lt;&gt;"",Courses!G218&lt;&gt;""),CONCATENATE(Courses!G218,"/",Courses!L218,"/",Courses!K218),"")</f>
        <v/>
      </c>
      <c r="D212" s="71" t="str">
        <f>IF(AND(Courses!B218&lt;&gt;"",Courses!I218&lt;&gt;""),CONCATENATE(Courses!I218,"/",Courses!L218,"/",Courses!K218),"")</f>
        <v/>
      </c>
      <c r="E212" s="1580">
        <f>IF(AND('Courses Valid'!C224=0,Courses!E218&lt;&gt;"",Courses!F218&gt;0,SUM(Courses!M218,Courses!N218)&gt;0),Courses!F218*SUM(Courses!M218,Courses!N218),0)</f>
        <v>0</v>
      </c>
      <c r="F212" s="41">
        <f>IF(AND('Courses Valid'!C224=0,Courses!G218&lt;&gt;"",Courses!H218&gt;0,SUM(Courses!M218,Courses!N218)&gt;0),Courses!H218*SUM(Courses!M218,Courses!N218),0)</f>
        <v>0</v>
      </c>
      <c r="G212" s="105">
        <f>IF(AND('Courses Valid'!C224=0,Courses!I218&lt;&gt;"",Courses!J218&gt;0,SUM(Courses!M218,Courses!N218)&gt;0),Courses!J218*SUM(Courses!M218,Courses!N218),0)</f>
        <v>0</v>
      </c>
      <c r="H212" s="1580">
        <f>IF(AND('Courses Valid'!C224=0,Courses!E218&lt;&gt;"",Courses!F218&gt;0,SUM(Courses!O218,Courses!P218)&gt;0),Courses!F218*SUM(Courses!O218,Courses!P218),0)</f>
        <v>0</v>
      </c>
      <c r="I212" s="41">
        <f>IF(AND('Courses Valid'!C224=0,Courses!G218&lt;&gt;"",Courses!H218&gt;0,SUM(Courses!O218,Courses!P218)&gt;0),Courses!H218*SUM(Courses!O218,Courses!P218),0)</f>
        <v>0</v>
      </c>
      <c r="J212" s="105">
        <f>IF(AND('Courses Valid'!C224=0,Courses!I218&lt;&gt;"",Courses!J218&gt;0,SUM(Courses!O218,Courses!P218)&gt;0),Courses!J218*SUM(Courses!O218,Courses!P218),0)</f>
        <v>0</v>
      </c>
      <c r="K212" s="1580">
        <f>IF(AND('Courses Valid'!C224=0,Courses!E218&lt;&gt;"",Courses!F218&gt;0,Courses!Q218&gt;0),Courses!F218*Courses!Q218,0)</f>
        <v>0</v>
      </c>
      <c r="L212" s="41">
        <f>IF(AND('Courses Valid'!C224=0,Courses!G218&lt;&gt;"",Courses!H218&gt;0,Courses!Q218&gt;0),Courses!H218*Courses!Q218,0)</f>
        <v>0</v>
      </c>
      <c r="M212" s="105">
        <f>IF(AND('Courses Valid'!C224=0,Courses!I218&lt;&gt;"",Courses!J218&gt;0,Courses!Q218&gt;0),Courses!J218*Courses!Q218,0)</f>
        <v>0</v>
      </c>
      <c r="N212" s="41">
        <f>IF(AND('Courses Valid'!C224=0,Courses!E218&lt;&gt;"",Courses!F218&gt;0,SUM(Courses!W218,Courses!X218)&gt;0),Courses!F218*SUM(Courses!W218,Courses!X218),0)</f>
        <v>0</v>
      </c>
      <c r="O212" s="41">
        <f>IF(AND('Courses Valid'!C224=0,Courses!G218&lt;&gt;"",Courses!H218&gt;0,SUM(Courses!W218,Courses!X218)&gt;0),Courses!H218*SUM(Courses!W218,Courses!X218),0)</f>
        <v>0</v>
      </c>
      <c r="P212" s="41">
        <f>IF(AND('Courses Valid'!C224=0,Courses!I218&lt;&gt;"",Courses!J218&gt;0,SUM(Courses!W218,Courses!X218)&gt;0),Courses!J218*SUM(Courses!W218,Courses!X218),0)</f>
        <v>0</v>
      </c>
      <c r="Q212" s="1580">
        <f>IF(AND('Courses Valid'!C224=0,Courses!E218&lt;&gt;"",Courses!F218&gt;0,SUM(Courses!Y218,Courses!Z218)&gt;0),Courses!F218*SUM(Courses!Y218,Courses!Z218),0)</f>
        <v>0</v>
      </c>
      <c r="R212" s="41">
        <f>IF(AND('Courses Valid'!C224=0,Courses!G218&lt;&gt;"",Courses!H218&gt;0,SUM(Courses!Y218,Courses!Z218)&gt;0),Courses!H218*SUM(Courses!Y218,Courses!Z218),0)</f>
        <v>0</v>
      </c>
      <c r="S212" s="105">
        <f>IF(AND('Courses Valid'!C224=0,Courses!I218&lt;&gt;"",Courses!J218&gt;0,SUM(Courses!Y218,Courses!Z218)&gt;0),Courses!J218*SUM(Courses!Y218,Courses!Z218),0)</f>
        <v>0</v>
      </c>
      <c r="T212" s="41">
        <f>IF(AND('Courses Valid'!C224=0,Courses!E218&lt;&gt;"",Courses!F218&gt;0,Courses!AA218&gt;0),Courses!F218*Courses!AA218,0)</f>
        <v>0</v>
      </c>
      <c r="U212" s="41">
        <f>IF(AND('Courses Valid'!C224=0,Courses!G218&lt;&gt;"",Courses!H218&gt;0,Courses!AA218&gt;0),Courses!H218*Courses!AA218,0)</f>
        <v>0</v>
      </c>
      <c r="V212" s="106">
        <f>IF(AND('Courses Valid'!C224=0,Courses!I218&lt;&gt;"",Courses!J218&gt;0,Courses!AA218&gt;0),Courses!J218*Courses!AA218,0)</f>
        <v>0</v>
      </c>
    </row>
    <row r="213" spans="2:22" x14ac:dyDescent="0.35">
      <c r="B213" s="70" t="str">
        <f>IF(Courses!B219&lt;&gt;"",CONCATENATE(Courses!E219,"/",Courses!L219,"/",Courses!K219),"")</f>
        <v/>
      </c>
      <c r="C213" s="1579" t="str">
        <f>IF(AND(Courses!B219&lt;&gt;"",Courses!G219&lt;&gt;""),CONCATENATE(Courses!G219,"/",Courses!L219,"/",Courses!K219),"")</f>
        <v/>
      </c>
      <c r="D213" s="71" t="str">
        <f>IF(AND(Courses!B219&lt;&gt;"",Courses!I219&lt;&gt;""),CONCATENATE(Courses!I219,"/",Courses!L219,"/",Courses!K219),"")</f>
        <v/>
      </c>
      <c r="E213" s="1580">
        <f>IF(AND('Courses Valid'!C225=0,Courses!E219&lt;&gt;"",Courses!F219&gt;0,SUM(Courses!M219,Courses!N219)&gt;0),Courses!F219*SUM(Courses!M219,Courses!N219),0)</f>
        <v>0</v>
      </c>
      <c r="F213" s="41">
        <f>IF(AND('Courses Valid'!C225=0,Courses!G219&lt;&gt;"",Courses!H219&gt;0,SUM(Courses!M219,Courses!N219)&gt;0),Courses!H219*SUM(Courses!M219,Courses!N219),0)</f>
        <v>0</v>
      </c>
      <c r="G213" s="105">
        <f>IF(AND('Courses Valid'!C225=0,Courses!I219&lt;&gt;"",Courses!J219&gt;0,SUM(Courses!M219,Courses!N219)&gt;0),Courses!J219*SUM(Courses!M219,Courses!N219),0)</f>
        <v>0</v>
      </c>
      <c r="H213" s="1580">
        <f>IF(AND('Courses Valid'!C225=0,Courses!E219&lt;&gt;"",Courses!F219&gt;0,SUM(Courses!O219,Courses!P219)&gt;0),Courses!F219*SUM(Courses!O219,Courses!P219),0)</f>
        <v>0</v>
      </c>
      <c r="I213" s="41">
        <f>IF(AND('Courses Valid'!C225=0,Courses!G219&lt;&gt;"",Courses!H219&gt;0,SUM(Courses!O219,Courses!P219)&gt;0),Courses!H219*SUM(Courses!O219,Courses!P219),0)</f>
        <v>0</v>
      </c>
      <c r="J213" s="105">
        <f>IF(AND('Courses Valid'!C225=0,Courses!I219&lt;&gt;"",Courses!J219&gt;0,SUM(Courses!O219,Courses!P219)&gt;0),Courses!J219*SUM(Courses!O219,Courses!P219),0)</f>
        <v>0</v>
      </c>
      <c r="K213" s="1580">
        <f>IF(AND('Courses Valid'!C225=0,Courses!E219&lt;&gt;"",Courses!F219&gt;0,Courses!Q219&gt;0),Courses!F219*Courses!Q219,0)</f>
        <v>0</v>
      </c>
      <c r="L213" s="41">
        <f>IF(AND('Courses Valid'!C225=0,Courses!G219&lt;&gt;"",Courses!H219&gt;0,Courses!Q219&gt;0),Courses!H219*Courses!Q219,0)</f>
        <v>0</v>
      </c>
      <c r="M213" s="105">
        <f>IF(AND('Courses Valid'!C225=0,Courses!I219&lt;&gt;"",Courses!J219&gt;0,Courses!Q219&gt;0),Courses!J219*Courses!Q219,0)</f>
        <v>0</v>
      </c>
      <c r="N213" s="41">
        <f>IF(AND('Courses Valid'!C225=0,Courses!E219&lt;&gt;"",Courses!F219&gt;0,SUM(Courses!W219,Courses!X219)&gt;0),Courses!F219*SUM(Courses!W219,Courses!X219),0)</f>
        <v>0</v>
      </c>
      <c r="O213" s="41">
        <f>IF(AND('Courses Valid'!C225=0,Courses!G219&lt;&gt;"",Courses!H219&gt;0,SUM(Courses!W219,Courses!X219)&gt;0),Courses!H219*SUM(Courses!W219,Courses!X219),0)</f>
        <v>0</v>
      </c>
      <c r="P213" s="41">
        <f>IF(AND('Courses Valid'!C225=0,Courses!I219&lt;&gt;"",Courses!J219&gt;0,SUM(Courses!W219,Courses!X219)&gt;0),Courses!J219*SUM(Courses!W219,Courses!X219),0)</f>
        <v>0</v>
      </c>
      <c r="Q213" s="1580">
        <f>IF(AND('Courses Valid'!C225=0,Courses!E219&lt;&gt;"",Courses!F219&gt;0,SUM(Courses!Y219,Courses!Z219)&gt;0),Courses!F219*SUM(Courses!Y219,Courses!Z219),0)</f>
        <v>0</v>
      </c>
      <c r="R213" s="41">
        <f>IF(AND('Courses Valid'!C225=0,Courses!G219&lt;&gt;"",Courses!H219&gt;0,SUM(Courses!Y219,Courses!Z219)&gt;0),Courses!H219*SUM(Courses!Y219,Courses!Z219),0)</f>
        <v>0</v>
      </c>
      <c r="S213" s="105">
        <f>IF(AND('Courses Valid'!C225=0,Courses!I219&lt;&gt;"",Courses!J219&gt;0,SUM(Courses!Y219,Courses!Z219)&gt;0),Courses!J219*SUM(Courses!Y219,Courses!Z219),0)</f>
        <v>0</v>
      </c>
      <c r="T213" s="41">
        <f>IF(AND('Courses Valid'!C225=0,Courses!E219&lt;&gt;"",Courses!F219&gt;0,Courses!AA219&gt;0),Courses!F219*Courses!AA219,0)</f>
        <v>0</v>
      </c>
      <c r="U213" s="41">
        <f>IF(AND('Courses Valid'!C225=0,Courses!G219&lt;&gt;"",Courses!H219&gt;0,Courses!AA219&gt;0),Courses!H219*Courses!AA219,0)</f>
        <v>0</v>
      </c>
      <c r="V213" s="106">
        <f>IF(AND('Courses Valid'!C225=0,Courses!I219&lt;&gt;"",Courses!J219&gt;0,Courses!AA219&gt;0),Courses!J219*Courses!AA219,0)</f>
        <v>0</v>
      </c>
    </row>
    <row r="214" spans="2:22" x14ac:dyDescent="0.35">
      <c r="B214" s="70" t="str">
        <f>IF(Courses!B220&lt;&gt;"",CONCATENATE(Courses!E220,"/",Courses!L220,"/",Courses!K220),"")</f>
        <v/>
      </c>
      <c r="C214" s="1579" t="str">
        <f>IF(AND(Courses!B220&lt;&gt;"",Courses!G220&lt;&gt;""),CONCATENATE(Courses!G220,"/",Courses!L220,"/",Courses!K220),"")</f>
        <v/>
      </c>
      <c r="D214" s="71" t="str">
        <f>IF(AND(Courses!B220&lt;&gt;"",Courses!I220&lt;&gt;""),CONCATENATE(Courses!I220,"/",Courses!L220,"/",Courses!K220),"")</f>
        <v/>
      </c>
      <c r="E214" s="1580">
        <f>IF(AND('Courses Valid'!C226=0,Courses!E220&lt;&gt;"",Courses!F220&gt;0,SUM(Courses!M220,Courses!N220)&gt;0),Courses!F220*SUM(Courses!M220,Courses!N220),0)</f>
        <v>0</v>
      </c>
      <c r="F214" s="41">
        <f>IF(AND('Courses Valid'!C226=0,Courses!G220&lt;&gt;"",Courses!H220&gt;0,SUM(Courses!M220,Courses!N220)&gt;0),Courses!H220*SUM(Courses!M220,Courses!N220),0)</f>
        <v>0</v>
      </c>
      <c r="G214" s="105">
        <f>IF(AND('Courses Valid'!C226=0,Courses!I220&lt;&gt;"",Courses!J220&gt;0,SUM(Courses!M220,Courses!N220)&gt;0),Courses!J220*SUM(Courses!M220,Courses!N220),0)</f>
        <v>0</v>
      </c>
      <c r="H214" s="1580">
        <f>IF(AND('Courses Valid'!C226=0,Courses!E220&lt;&gt;"",Courses!F220&gt;0,SUM(Courses!O220,Courses!P220)&gt;0),Courses!F220*SUM(Courses!O220,Courses!P220),0)</f>
        <v>0</v>
      </c>
      <c r="I214" s="41">
        <f>IF(AND('Courses Valid'!C226=0,Courses!G220&lt;&gt;"",Courses!H220&gt;0,SUM(Courses!O220,Courses!P220)&gt;0),Courses!H220*SUM(Courses!O220,Courses!P220),0)</f>
        <v>0</v>
      </c>
      <c r="J214" s="105">
        <f>IF(AND('Courses Valid'!C226=0,Courses!I220&lt;&gt;"",Courses!J220&gt;0,SUM(Courses!O220,Courses!P220)&gt;0),Courses!J220*SUM(Courses!O220,Courses!P220),0)</f>
        <v>0</v>
      </c>
      <c r="K214" s="1580">
        <f>IF(AND('Courses Valid'!C226=0,Courses!E220&lt;&gt;"",Courses!F220&gt;0,Courses!Q220&gt;0),Courses!F220*Courses!Q220,0)</f>
        <v>0</v>
      </c>
      <c r="L214" s="41">
        <f>IF(AND('Courses Valid'!C226=0,Courses!G220&lt;&gt;"",Courses!H220&gt;0,Courses!Q220&gt;0),Courses!H220*Courses!Q220,0)</f>
        <v>0</v>
      </c>
      <c r="M214" s="105">
        <f>IF(AND('Courses Valid'!C226=0,Courses!I220&lt;&gt;"",Courses!J220&gt;0,Courses!Q220&gt;0),Courses!J220*Courses!Q220,0)</f>
        <v>0</v>
      </c>
      <c r="N214" s="41">
        <f>IF(AND('Courses Valid'!C226=0,Courses!E220&lt;&gt;"",Courses!F220&gt;0,SUM(Courses!W220,Courses!X220)&gt;0),Courses!F220*SUM(Courses!W220,Courses!X220),0)</f>
        <v>0</v>
      </c>
      <c r="O214" s="41">
        <f>IF(AND('Courses Valid'!C226=0,Courses!G220&lt;&gt;"",Courses!H220&gt;0,SUM(Courses!W220,Courses!X220)&gt;0),Courses!H220*SUM(Courses!W220,Courses!X220),0)</f>
        <v>0</v>
      </c>
      <c r="P214" s="41">
        <f>IF(AND('Courses Valid'!C226=0,Courses!I220&lt;&gt;"",Courses!J220&gt;0,SUM(Courses!W220,Courses!X220)&gt;0),Courses!J220*SUM(Courses!W220,Courses!X220),0)</f>
        <v>0</v>
      </c>
      <c r="Q214" s="1580">
        <f>IF(AND('Courses Valid'!C226=0,Courses!E220&lt;&gt;"",Courses!F220&gt;0,SUM(Courses!Y220,Courses!Z220)&gt;0),Courses!F220*SUM(Courses!Y220,Courses!Z220),0)</f>
        <v>0</v>
      </c>
      <c r="R214" s="41">
        <f>IF(AND('Courses Valid'!C226=0,Courses!G220&lt;&gt;"",Courses!H220&gt;0,SUM(Courses!Y220,Courses!Z220)&gt;0),Courses!H220*SUM(Courses!Y220,Courses!Z220),0)</f>
        <v>0</v>
      </c>
      <c r="S214" s="105">
        <f>IF(AND('Courses Valid'!C226=0,Courses!I220&lt;&gt;"",Courses!J220&gt;0,SUM(Courses!Y220,Courses!Z220)&gt;0),Courses!J220*SUM(Courses!Y220,Courses!Z220),0)</f>
        <v>0</v>
      </c>
      <c r="T214" s="41">
        <f>IF(AND('Courses Valid'!C226=0,Courses!E220&lt;&gt;"",Courses!F220&gt;0,Courses!AA220&gt;0),Courses!F220*Courses!AA220,0)</f>
        <v>0</v>
      </c>
      <c r="U214" s="41">
        <f>IF(AND('Courses Valid'!C226=0,Courses!G220&lt;&gt;"",Courses!H220&gt;0,Courses!AA220&gt;0),Courses!H220*Courses!AA220,0)</f>
        <v>0</v>
      </c>
      <c r="V214" s="106">
        <f>IF(AND('Courses Valid'!C226=0,Courses!I220&lt;&gt;"",Courses!J220&gt;0,Courses!AA220&gt;0),Courses!J220*Courses!AA220,0)</f>
        <v>0</v>
      </c>
    </row>
    <row r="215" spans="2:22" x14ac:dyDescent="0.35">
      <c r="B215" s="70" t="str">
        <f>IF(Courses!B221&lt;&gt;"",CONCATENATE(Courses!E221,"/",Courses!L221,"/",Courses!K221),"")</f>
        <v/>
      </c>
      <c r="C215" s="1579" t="str">
        <f>IF(AND(Courses!B221&lt;&gt;"",Courses!G221&lt;&gt;""),CONCATENATE(Courses!G221,"/",Courses!L221,"/",Courses!K221),"")</f>
        <v/>
      </c>
      <c r="D215" s="71" t="str">
        <f>IF(AND(Courses!B221&lt;&gt;"",Courses!I221&lt;&gt;""),CONCATENATE(Courses!I221,"/",Courses!L221,"/",Courses!K221),"")</f>
        <v/>
      </c>
      <c r="E215" s="1580">
        <f>IF(AND('Courses Valid'!C227=0,Courses!E221&lt;&gt;"",Courses!F221&gt;0,SUM(Courses!M221,Courses!N221)&gt;0),Courses!F221*SUM(Courses!M221,Courses!N221),0)</f>
        <v>0</v>
      </c>
      <c r="F215" s="41">
        <f>IF(AND('Courses Valid'!C227=0,Courses!G221&lt;&gt;"",Courses!H221&gt;0,SUM(Courses!M221,Courses!N221)&gt;0),Courses!H221*SUM(Courses!M221,Courses!N221),0)</f>
        <v>0</v>
      </c>
      <c r="G215" s="105">
        <f>IF(AND('Courses Valid'!C227=0,Courses!I221&lt;&gt;"",Courses!J221&gt;0,SUM(Courses!M221,Courses!N221)&gt;0),Courses!J221*SUM(Courses!M221,Courses!N221),0)</f>
        <v>0</v>
      </c>
      <c r="H215" s="1580">
        <f>IF(AND('Courses Valid'!C227=0,Courses!E221&lt;&gt;"",Courses!F221&gt;0,SUM(Courses!O221,Courses!P221)&gt;0),Courses!F221*SUM(Courses!O221,Courses!P221),0)</f>
        <v>0</v>
      </c>
      <c r="I215" s="41">
        <f>IF(AND('Courses Valid'!C227=0,Courses!G221&lt;&gt;"",Courses!H221&gt;0,SUM(Courses!O221,Courses!P221)&gt;0),Courses!H221*SUM(Courses!O221,Courses!P221),0)</f>
        <v>0</v>
      </c>
      <c r="J215" s="105">
        <f>IF(AND('Courses Valid'!C227=0,Courses!I221&lt;&gt;"",Courses!J221&gt;0,SUM(Courses!O221,Courses!P221)&gt;0),Courses!J221*SUM(Courses!O221,Courses!P221),0)</f>
        <v>0</v>
      </c>
      <c r="K215" s="1580">
        <f>IF(AND('Courses Valid'!C227=0,Courses!E221&lt;&gt;"",Courses!F221&gt;0,Courses!Q221&gt;0),Courses!F221*Courses!Q221,0)</f>
        <v>0</v>
      </c>
      <c r="L215" s="41">
        <f>IF(AND('Courses Valid'!C227=0,Courses!G221&lt;&gt;"",Courses!H221&gt;0,Courses!Q221&gt;0),Courses!H221*Courses!Q221,0)</f>
        <v>0</v>
      </c>
      <c r="M215" s="105">
        <f>IF(AND('Courses Valid'!C227=0,Courses!I221&lt;&gt;"",Courses!J221&gt;0,Courses!Q221&gt;0),Courses!J221*Courses!Q221,0)</f>
        <v>0</v>
      </c>
      <c r="N215" s="41">
        <f>IF(AND('Courses Valid'!C227=0,Courses!E221&lt;&gt;"",Courses!F221&gt;0,SUM(Courses!W221,Courses!X221)&gt;0),Courses!F221*SUM(Courses!W221,Courses!X221),0)</f>
        <v>0</v>
      </c>
      <c r="O215" s="41">
        <f>IF(AND('Courses Valid'!C227=0,Courses!G221&lt;&gt;"",Courses!H221&gt;0,SUM(Courses!W221,Courses!X221)&gt;0),Courses!H221*SUM(Courses!W221,Courses!X221),0)</f>
        <v>0</v>
      </c>
      <c r="P215" s="41">
        <f>IF(AND('Courses Valid'!C227=0,Courses!I221&lt;&gt;"",Courses!J221&gt;0,SUM(Courses!W221,Courses!X221)&gt;0),Courses!J221*SUM(Courses!W221,Courses!X221),0)</f>
        <v>0</v>
      </c>
      <c r="Q215" s="1580">
        <f>IF(AND('Courses Valid'!C227=0,Courses!E221&lt;&gt;"",Courses!F221&gt;0,SUM(Courses!Y221,Courses!Z221)&gt;0),Courses!F221*SUM(Courses!Y221,Courses!Z221),0)</f>
        <v>0</v>
      </c>
      <c r="R215" s="41">
        <f>IF(AND('Courses Valid'!C227=0,Courses!G221&lt;&gt;"",Courses!H221&gt;0,SUM(Courses!Y221,Courses!Z221)&gt;0),Courses!H221*SUM(Courses!Y221,Courses!Z221),0)</f>
        <v>0</v>
      </c>
      <c r="S215" s="105">
        <f>IF(AND('Courses Valid'!C227=0,Courses!I221&lt;&gt;"",Courses!J221&gt;0,SUM(Courses!Y221,Courses!Z221)&gt;0),Courses!J221*SUM(Courses!Y221,Courses!Z221),0)</f>
        <v>0</v>
      </c>
      <c r="T215" s="41">
        <f>IF(AND('Courses Valid'!C227=0,Courses!E221&lt;&gt;"",Courses!F221&gt;0,Courses!AA221&gt;0),Courses!F221*Courses!AA221,0)</f>
        <v>0</v>
      </c>
      <c r="U215" s="41">
        <f>IF(AND('Courses Valid'!C227=0,Courses!G221&lt;&gt;"",Courses!H221&gt;0,Courses!AA221&gt;0),Courses!H221*Courses!AA221,0)</f>
        <v>0</v>
      </c>
      <c r="V215" s="106">
        <f>IF(AND('Courses Valid'!C227=0,Courses!I221&lt;&gt;"",Courses!J221&gt;0,Courses!AA221&gt;0),Courses!J221*Courses!AA221,0)</f>
        <v>0</v>
      </c>
    </row>
    <row r="216" spans="2:22" x14ac:dyDescent="0.35">
      <c r="B216" s="70" t="str">
        <f>IF(Courses!B222&lt;&gt;"",CONCATENATE(Courses!E222,"/",Courses!L222,"/",Courses!K222),"")</f>
        <v/>
      </c>
      <c r="C216" s="1579" t="str">
        <f>IF(AND(Courses!B222&lt;&gt;"",Courses!G222&lt;&gt;""),CONCATENATE(Courses!G222,"/",Courses!L222,"/",Courses!K222),"")</f>
        <v/>
      </c>
      <c r="D216" s="71" t="str">
        <f>IF(AND(Courses!B222&lt;&gt;"",Courses!I222&lt;&gt;""),CONCATENATE(Courses!I222,"/",Courses!L222,"/",Courses!K222),"")</f>
        <v/>
      </c>
      <c r="E216" s="1580">
        <f>IF(AND('Courses Valid'!C228=0,Courses!E222&lt;&gt;"",Courses!F222&gt;0,SUM(Courses!M222,Courses!N222)&gt;0),Courses!F222*SUM(Courses!M222,Courses!N222),0)</f>
        <v>0</v>
      </c>
      <c r="F216" s="41">
        <f>IF(AND('Courses Valid'!C228=0,Courses!G222&lt;&gt;"",Courses!H222&gt;0,SUM(Courses!M222,Courses!N222)&gt;0),Courses!H222*SUM(Courses!M222,Courses!N222),0)</f>
        <v>0</v>
      </c>
      <c r="G216" s="105">
        <f>IF(AND('Courses Valid'!C228=0,Courses!I222&lt;&gt;"",Courses!J222&gt;0,SUM(Courses!M222,Courses!N222)&gt;0),Courses!J222*SUM(Courses!M222,Courses!N222),0)</f>
        <v>0</v>
      </c>
      <c r="H216" s="1580">
        <f>IF(AND('Courses Valid'!C228=0,Courses!E222&lt;&gt;"",Courses!F222&gt;0,SUM(Courses!O222,Courses!P222)&gt;0),Courses!F222*SUM(Courses!O222,Courses!P222),0)</f>
        <v>0</v>
      </c>
      <c r="I216" s="41">
        <f>IF(AND('Courses Valid'!C228=0,Courses!G222&lt;&gt;"",Courses!H222&gt;0,SUM(Courses!O222,Courses!P222)&gt;0),Courses!H222*SUM(Courses!O222,Courses!P222),0)</f>
        <v>0</v>
      </c>
      <c r="J216" s="105">
        <f>IF(AND('Courses Valid'!C228=0,Courses!I222&lt;&gt;"",Courses!J222&gt;0,SUM(Courses!O222,Courses!P222)&gt;0),Courses!J222*SUM(Courses!O222,Courses!P222),0)</f>
        <v>0</v>
      </c>
      <c r="K216" s="1580">
        <f>IF(AND('Courses Valid'!C228=0,Courses!E222&lt;&gt;"",Courses!F222&gt;0,Courses!Q222&gt;0),Courses!F222*Courses!Q222,0)</f>
        <v>0</v>
      </c>
      <c r="L216" s="41">
        <f>IF(AND('Courses Valid'!C228=0,Courses!G222&lt;&gt;"",Courses!H222&gt;0,Courses!Q222&gt;0),Courses!H222*Courses!Q222,0)</f>
        <v>0</v>
      </c>
      <c r="M216" s="105">
        <f>IF(AND('Courses Valid'!C228=0,Courses!I222&lt;&gt;"",Courses!J222&gt;0,Courses!Q222&gt;0),Courses!J222*Courses!Q222,0)</f>
        <v>0</v>
      </c>
      <c r="N216" s="41">
        <f>IF(AND('Courses Valid'!C228=0,Courses!E222&lt;&gt;"",Courses!F222&gt;0,SUM(Courses!W222,Courses!X222)&gt;0),Courses!F222*SUM(Courses!W222,Courses!X222),0)</f>
        <v>0</v>
      </c>
      <c r="O216" s="41">
        <f>IF(AND('Courses Valid'!C228=0,Courses!G222&lt;&gt;"",Courses!H222&gt;0,SUM(Courses!W222,Courses!X222)&gt;0),Courses!H222*SUM(Courses!W222,Courses!X222),0)</f>
        <v>0</v>
      </c>
      <c r="P216" s="41">
        <f>IF(AND('Courses Valid'!C228=0,Courses!I222&lt;&gt;"",Courses!J222&gt;0,SUM(Courses!W222,Courses!X222)&gt;0),Courses!J222*SUM(Courses!W222,Courses!X222),0)</f>
        <v>0</v>
      </c>
      <c r="Q216" s="1580">
        <f>IF(AND('Courses Valid'!C228=0,Courses!E222&lt;&gt;"",Courses!F222&gt;0,SUM(Courses!Y222,Courses!Z222)&gt;0),Courses!F222*SUM(Courses!Y222,Courses!Z222),0)</f>
        <v>0</v>
      </c>
      <c r="R216" s="41">
        <f>IF(AND('Courses Valid'!C228=0,Courses!G222&lt;&gt;"",Courses!H222&gt;0,SUM(Courses!Y222,Courses!Z222)&gt;0),Courses!H222*SUM(Courses!Y222,Courses!Z222),0)</f>
        <v>0</v>
      </c>
      <c r="S216" s="105">
        <f>IF(AND('Courses Valid'!C228=0,Courses!I222&lt;&gt;"",Courses!J222&gt;0,SUM(Courses!Y222,Courses!Z222)&gt;0),Courses!J222*SUM(Courses!Y222,Courses!Z222),0)</f>
        <v>0</v>
      </c>
      <c r="T216" s="41">
        <f>IF(AND('Courses Valid'!C228=0,Courses!E222&lt;&gt;"",Courses!F222&gt;0,Courses!AA222&gt;0),Courses!F222*Courses!AA222,0)</f>
        <v>0</v>
      </c>
      <c r="U216" s="41">
        <f>IF(AND('Courses Valid'!C228=0,Courses!G222&lt;&gt;"",Courses!H222&gt;0,Courses!AA222&gt;0),Courses!H222*Courses!AA222,0)</f>
        <v>0</v>
      </c>
      <c r="V216" s="106">
        <f>IF(AND('Courses Valid'!C228=0,Courses!I222&lt;&gt;"",Courses!J222&gt;0,Courses!AA222&gt;0),Courses!J222*Courses!AA222,0)</f>
        <v>0</v>
      </c>
    </row>
    <row r="217" spans="2:22" x14ac:dyDescent="0.35">
      <c r="B217" s="70" t="str">
        <f>IF(Courses!B223&lt;&gt;"",CONCATENATE(Courses!E223,"/",Courses!L223,"/",Courses!K223),"")</f>
        <v/>
      </c>
      <c r="C217" s="1579" t="str">
        <f>IF(AND(Courses!B223&lt;&gt;"",Courses!G223&lt;&gt;""),CONCATENATE(Courses!G223,"/",Courses!L223,"/",Courses!K223),"")</f>
        <v/>
      </c>
      <c r="D217" s="71" t="str">
        <f>IF(AND(Courses!B223&lt;&gt;"",Courses!I223&lt;&gt;""),CONCATENATE(Courses!I223,"/",Courses!L223,"/",Courses!K223),"")</f>
        <v/>
      </c>
      <c r="E217" s="1580">
        <f>IF(AND('Courses Valid'!C229=0,Courses!E223&lt;&gt;"",Courses!F223&gt;0,SUM(Courses!M223,Courses!N223)&gt;0),Courses!F223*SUM(Courses!M223,Courses!N223),0)</f>
        <v>0</v>
      </c>
      <c r="F217" s="41">
        <f>IF(AND('Courses Valid'!C229=0,Courses!G223&lt;&gt;"",Courses!H223&gt;0,SUM(Courses!M223,Courses!N223)&gt;0),Courses!H223*SUM(Courses!M223,Courses!N223),0)</f>
        <v>0</v>
      </c>
      <c r="G217" s="105">
        <f>IF(AND('Courses Valid'!C229=0,Courses!I223&lt;&gt;"",Courses!J223&gt;0,SUM(Courses!M223,Courses!N223)&gt;0),Courses!J223*SUM(Courses!M223,Courses!N223),0)</f>
        <v>0</v>
      </c>
      <c r="H217" s="1580">
        <f>IF(AND('Courses Valid'!C229=0,Courses!E223&lt;&gt;"",Courses!F223&gt;0,SUM(Courses!O223,Courses!P223)&gt;0),Courses!F223*SUM(Courses!O223,Courses!P223),0)</f>
        <v>0</v>
      </c>
      <c r="I217" s="41">
        <f>IF(AND('Courses Valid'!C229=0,Courses!G223&lt;&gt;"",Courses!H223&gt;0,SUM(Courses!O223,Courses!P223)&gt;0),Courses!H223*SUM(Courses!O223,Courses!P223),0)</f>
        <v>0</v>
      </c>
      <c r="J217" s="105">
        <f>IF(AND('Courses Valid'!C229=0,Courses!I223&lt;&gt;"",Courses!J223&gt;0,SUM(Courses!O223,Courses!P223)&gt;0),Courses!J223*SUM(Courses!O223,Courses!P223),0)</f>
        <v>0</v>
      </c>
      <c r="K217" s="1580">
        <f>IF(AND('Courses Valid'!C229=0,Courses!E223&lt;&gt;"",Courses!F223&gt;0,Courses!Q223&gt;0),Courses!F223*Courses!Q223,0)</f>
        <v>0</v>
      </c>
      <c r="L217" s="41">
        <f>IF(AND('Courses Valid'!C229=0,Courses!G223&lt;&gt;"",Courses!H223&gt;0,Courses!Q223&gt;0),Courses!H223*Courses!Q223,0)</f>
        <v>0</v>
      </c>
      <c r="M217" s="105">
        <f>IF(AND('Courses Valid'!C229=0,Courses!I223&lt;&gt;"",Courses!J223&gt;0,Courses!Q223&gt;0),Courses!J223*Courses!Q223,0)</f>
        <v>0</v>
      </c>
      <c r="N217" s="41">
        <f>IF(AND('Courses Valid'!C229=0,Courses!E223&lt;&gt;"",Courses!F223&gt;0,SUM(Courses!W223,Courses!X223)&gt;0),Courses!F223*SUM(Courses!W223,Courses!X223),0)</f>
        <v>0</v>
      </c>
      <c r="O217" s="41">
        <f>IF(AND('Courses Valid'!C229=0,Courses!G223&lt;&gt;"",Courses!H223&gt;0,SUM(Courses!W223,Courses!X223)&gt;0),Courses!H223*SUM(Courses!W223,Courses!X223),0)</f>
        <v>0</v>
      </c>
      <c r="P217" s="41">
        <f>IF(AND('Courses Valid'!C229=0,Courses!I223&lt;&gt;"",Courses!J223&gt;0,SUM(Courses!W223,Courses!X223)&gt;0),Courses!J223*SUM(Courses!W223,Courses!X223),0)</f>
        <v>0</v>
      </c>
      <c r="Q217" s="1580">
        <f>IF(AND('Courses Valid'!C229=0,Courses!E223&lt;&gt;"",Courses!F223&gt;0,SUM(Courses!Y223,Courses!Z223)&gt;0),Courses!F223*SUM(Courses!Y223,Courses!Z223),0)</f>
        <v>0</v>
      </c>
      <c r="R217" s="41">
        <f>IF(AND('Courses Valid'!C229=0,Courses!G223&lt;&gt;"",Courses!H223&gt;0,SUM(Courses!Y223,Courses!Z223)&gt;0),Courses!H223*SUM(Courses!Y223,Courses!Z223),0)</f>
        <v>0</v>
      </c>
      <c r="S217" s="105">
        <f>IF(AND('Courses Valid'!C229=0,Courses!I223&lt;&gt;"",Courses!J223&gt;0,SUM(Courses!Y223,Courses!Z223)&gt;0),Courses!J223*SUM(Courses!Y223,Courses!Z223),0)</f>
        <v>0</v>
      </c>
      <c r="T217" s="41">
        <f>IF(AND('Courses Valid'!C229=0,Courses!E223&lt;&gt;"",Courses!F223&gt;0,Courses!AA223&gt;0),Courses!F223*Courses!AA223,0)</f>
        <v>0</v>
      </c>
      <c r="U217" s="41">
        <f>IF(AND('Courses Valid'!C229=0,Courses!G223&lt;&gt;"",Courses!H223&gt;0,Courses!AA223&gt;0),Courses!H223*Courses!AA223,0)</f>
        <v>0</v>
      </c>
      <c r="V217" s="106">
        <f>IF(AND('Courses Valid'!C229=0,Courses!I223&lt;&gt;"",Courses!J223&gt;0,Courses!AA223&gt;0),Courses!J223*Courses!AA223,0)</f>
        <v>0</v>
      </c>
    </row>
    <row r="218" spans="2:22" x14ac:dyDescent="0.35">
      <c r="B218" s="70" t="str">
        <f>IF(Courses!B224&lt;&gt;"",CONCATENATE(Courses!E224,"/",Courses!L224,"/",Courses!K224),"")</f>
        <v/>
      </c>
      <c r="C218" s="1579" t="str">
        <f>IF(AND(Courses!B224&lt;&gt;"",Courses!G224&lt;&gt;""),CONCATENATE(Courses!G224,"/",Courses!L224,"/",Courses!K224),"")</f>
        <v/>
      </c>
      <c r="D218" s="71" t="str">
        <f>IF(AND(Courses!B224&lt;&gt;"",Courses!I224&lt;&gt;""),CONCATENATE(Courses!I224,"/",Courses!L224,"/",Courses!K224),"")</f>
        <v/>
      </c>
      <c r="E218" s="1580">
        <f>IF(AND('Courses Valid'!C230=0,Courses!E224&lt;&gt;"",Courses!F224&gt;0,SUM(Courses!M224,Courses!N224)&gt;0),Courses!F224*SUM(Courses!M224,Courses!N224),0)</f>
        <v>0</v>
      </c>
      <c r="F218" s="41">
        <f>IF(AND('Courses Valid'!C230=0,Courses!G224&lt;&gt;"",Courses!H224&gt;0,SUM(Courses!M224,Courses!N224)&gt;0),Courses!H224*SUM(Courses!M224,Courses!N224),0)</f>
        <v>0</v>
      </c>
      <c r="G218" s="105">
        <f>IF(AND('Courses Valid'!C230=0,Courses!I224&lt;&gt;"",Courses!J224&gt;0,SUM(Courses!M224,Courses!N224)&gt;0),Courses!J224*SUM(Courses!M224,Courses!N224),0)</f>
        <v>0</v>
      </c>
      <c r="H218" s="1580">
        <f>IF(AND('Courses Valid'!C230=0,Courses!E224&lt;&gt;"",Courses!F224&gt;0,SUM(Courses!O224,Courses!P224)&gt;0),Courses!F224*SUM(Courses!O224,Courses!P224),0)</f>
        <v>0</v>
      </c>
      <c r="I218" s="41">
        <f>IF(AND('Courses Valid'!C230=0,Courses!G224&lt;&gt;"",Courses!H224&gt;0,SUM(Courses!O224,Courses!P224)&gt;0),Courses!H224*SUM(Courses!O224,Courses!P224),0)</f>
        <v>0</v>
      </c>
      <c r="J218" s="105">
        <f>IF(AND('Courses Valid'!C230=0,Courses!I224&lt;&gt;"",Courses!J224&gt;0,SUM(Courses!O224,Courses!P224)&gt;0),Courses!J224*SUM(Courses!O224,Courses!P224),0)</f>
        <v>0</v>
      </c>
      <c r="K218" s="1580">
        <f>IF(AND('Courses Valid'!C230=0,Courses!E224&lt;&gt;"",Courses!F224&gt;0,Courses!Q224&gt;0),Courses!F224*Courses!Q224,0)</f>
        <v>0</v>
      </c>
      <c r="L218" s="41">
        <f>IF(AND('Courses Valid'!C230=0,Courses!G224&lt;&gt;"",Courses!H224&gt;0,Courses!Q224&gt;0),Courses!H224*Courses!Q224,0)</f>
        <v>0</v>
      </c>
      <c r="M218" s="105">
        <f>IF(AND('Courses Valid'!C230=0,Courses!I224&lt;&gt;"",Courses!J224&gt;0,Courses!Q224&gt;0),Courses!J224*Courses!Q224,0)</f>
        <v>0</v>
      </c>
      <c r="N218" s="41">
        <f>IF(AND('Courses Valid'!C230=0,Courses!E224&lt;&gt;"",Courses!F224&gt;0,SUM(Courses!W224,Courses!X224)&gt;0),Courses!F224*SUM(Courses!W224,Courses!X224),0)</f>
        <v>0</v>
      </c>
      <c r="O218" s="41">
        <f>IF(AND('Courses Valid'!C230=0,Courses!G224&lt;&gt;"",Courses!H224&gt;0,SUM(Courses!W224,Courses!X224)&gt;0),Courses!H224*SUM(Courses!W224,Courses!X224),0)</f>
        <v>0</v>
      </c>
      <c r="P218" s="41">
        <f>IF(AND('Courses Valid'!C230=0,Courses!I224&lt;&gt;"",Courses!J224&gt;0,SUM(Courses!W224,Courses!X224)&gt;0),Courses!J224*SUM(Courses!W224,Courses!X224),0)</f>
        <v>0</v>
      </c>
      <c r="Q218" s="1580">
        <f>IF(AND('Courses Valid'!C230=0,Courses!E224&lt;&gt;"",Courses!F224&gt;0,SUM(Courses!Y224,Courses!Z224)&gt;0),Courses!F224*SUM(Courses!Y224,Courses!Z224),0)</f>
        <v>0</v>
      </c>
      <c r="R218" s="41">
        <f>IF(AND('Courses Valid'!C230=0,Courses!G224&lt;&gt;"",Courses!H224&gt;0,SUM(Courses!Y224,Courses!Z224)&gt;0),Courses!H224*SUM(Courses!Y224,Courses!Z224),0)</f>
        <v>0</v>
      </c>
      <c r="S218" s="105">
        <f>IF(AND('Courses Valid'!C230=0,Courses!I224&lt;&gt;"",Courses!J224&gt;0,SUM(Courses!Y224,Courses!Z224)&gt;0),Courses!J224*SUM(Courses!Y224,Courses!Z224),0)</f>
        <v>0</v>
      </c>
      <c r="T218" s="41">
        <f>IF(AND('Courses Valid'!C230=0,Courses!E224&lt;&gt;"",Courses!F224&gt;0,Courses!AA224&gt;0),Courses!F224*Courses!AA224,0)</f>
        <v>0</v>
      </c>
      <c r="U218" s="41">
        <f>IF(AND('Courses Valid'!C230=0,Courses!G224&lt;&gt;"",Courses!H224&gt;0,Courses!AA224&gt;0),Courses!H224*Courses!AA224,0)</f>
        <v>0</v>
      </c>
      <c r="V218" s="106">
        <f>IF(AND('Courses Valid'!C230=0,Courses!I224&lt;&gt;"",Courses!J224&gt;0,Courses!AA224&gt;0),Courses!J224*Courses!AA224,0)</f>
        <v>0</v>
      </c>
    </row>
    <row r="219" spans="2:22" x14ac:dyDescent="0.35">
      <c r="B219" s="70" t="str">
        <f>IF(Courses!B225&lt;&gt;"",CONCATENATE(Courses!E225,"/",Courses!L225,"/",Courses!K225),"")</f>
        <v/>
      </c>
      <c r="C219" s="1579" t="str">
        <f>IF(AND(Courses!B225&lt;&gt;"",Courses!G225&lt;&gt;""),CONCATENATE(Courses!G225,"/",Courses!L225,"/",Courses!K225),"")</f>
        <v/>
      </c>
      <c r="D219" s="71" t="str">
        <f>IF(AND(Courses!B225&lt;&gt;"",Courses!I225&lt;&gt;""),CONCATENATE(Courses!I225,"/",Courses!L225,"/",Courses!K225),"")</f>
        <v/>
      </c>
      <c r="E219" s="1580">
        <f>IF(AND('Courses Valid'!C231=0,Courses!E225&lt;&gt;"",Courses!F225&gt;0,SUM(Courses!M225,Courses!N225)&gt;0),Courses!F225*SUM(Courses!M225,Courses!N225),0)</f>
        <v>0</v>
      </c>
      <c r="F219" s="41">
        <f>IF(AND('Courses Valid'!C231=0,Courses!G225&lt;&gt;"",Courses!H225&gt;0,SUM(Courses!M225,Courses!N225)&gt;0),Courses!H225*SUM(Courses!M225,Courses!N225),0)</f>
        <v>0</v>
      </c>
      <c r="G219" s="105">
        <f>IF(AND('Courses Valid'!C231=0,Courses!I225&lt;&gt;"",Courses!J225&gt;0,SUM(Courses!M225,Courses!N225)&gt;0),Courses!J225*SUM(Courses!M225,Courses!N225),0)</f>
        <v>0</v>
      </c>
      <c r="H219" s="1580">
        <f>IF(AND('Courses Valid'!C231=0,Courses!E225&lt;&gt;"",Courses!F225&gt;0,SUM(Courses!O225,Courses!P225)&gt;0),Courses!F225*SUM(Courses!O225,Courses!P225),0)</f>
        <v>0</v>
      </c>
      <c r="I219" s="41">
        <f>IF(AND('Courses Valid'!C231=0,Courses!G225&lt;&gt;"",Courses!H225&gt;0,SUM(Courses!O225,Courses!P225)&gt;0),Courses!H225*SUM(Courses!O225,Courses!P225),0)</f>
        <v>0</v>
      </c>
      <c r="J219" s="105">
        <f>IF(AND('Courses Valid'!C231=0,Courses!I225&lt;&gt;"",Courses!J225&gt;0,SUM(Courses!O225,Courses!P225)&gt;0),Courses!J225*SUM(Courses!O225,Courses!P225),0)</f>
        <v>0</v>
      </c>
      <c r="K219" s="1580">
        <f>IF(AND('Courses Valid'!C231=0,Courses!E225&lt;&gt;"",Courses!F225&gt;0,Courses!Q225&gt;0),Courses!F225*Courses!Q225,0)</f>
        <v>0</v>
      </c>
      <c r="L219" s="41">
        <f>IF(AND('Courses Valid'!C231=0,Courses!G225&lt;&gt;"",Courses!H225&gt;0,Courses!Q225&gt;0),Courses!H225*Courses!Q225,0)</f>
        <v>0</v>
      </c>
      <c r="M219" s="105">
        <f>IF(AND('Courses Valid'!C231=0,Courses!I225&lt;&gt;"",Courses!J225&gt;0,Courses!Q225&gt;0),Courses!J225*Courses!Q225,0)</f>
        <v>0</v>
      </c>
      <c r="N219" s="41">
        <f>IF(AND('Courses Valid'!C231=0,Courses!E225&lt;&gt;"",Courses!F225&gt;0,SUM(Courses!W225,Courses!X225)&gt;0),Courses!F225*SUM(Courses!W225,Courses!X225),0)</f>
        <v>0</v>
      </c>
      <c r="O219" s="41">
        <f>IF(AND('Courses Valid'!C231=0,Courses!G225&lt;&gt;"",Courses!H225&gt;0,SUM(Courses!W225,Courses!X225)&gt;0),Courses!H225*SUM(Courses!W225,Courses!X225),0)</f>
        <v>0</v>
      </c>
      <c r="P219" s="41">
        <f>IF(AND('Courses Valid'!C231=0,Courses!I225&lt;&gt;"",Courses!J225&gt;0,SUM(Courses!W225,Courses!X225)&gt;0),Courses!J225*SUM(Courses!W225,Courses!X225),0)</f>
        <v>0</v>
      </c>
      <c r="Q219" s="1580">
        <f>IF(AND('Courses Valid'!C231=0,Courses!E225&lt;&gt;"",Courses!F225&gt;0,SUM(Courses!Y225,Courses!Z225)&gt;0),Courses!F225*SUM(Courses!Y225,Courses!Z225),0)</f>
        <v>0</v>
      </c>
      <c r="R219" s="41">
        <f>IF(AND('Courses Valid'!C231=0,Courses!G225&lt;&gt;"",Courses!H225&gt;0,SUM(Courses!Y225,Courses!Z225)&gt;0),Courses!H225*SUM(Courses!Y225,Courses!Z225),0)</f>
        <v>0</v>
      </c>
      <c r="S219" s="105">
        <f>IF(AND('Courses Valid'!C231=0,Courses!I225&lt;&gt;"",Courses!J225&gt;0,SUM(Courses!Y225,Courses!Z225)&gt;0),Courses!J225*SUM(Courses!Y225,Courses!Z225),0)</f>
        <v>0</v>
      </c>
      <c r="T219" s="41">
        <f>IF(AND('Courses Valid'!C231=0,Courses!E225&lt;&gt;"",Courses!F225&gt;0,Courses!AA225&gt;0),Courses!F225*Courses!AA225,0)</f>
        <v>0</v>
      </c>
      <c r="U219" s="41">
        <f>IF(AND('Courses Valid'!C231=0,Courses!G225&lt;&gt;"",Courses!H225&gt;0,Courses!AA225&gt;0),Courses!H225*Courses!AA225,0)</f>
        <v>0</v>
      </c>
      <c r="V219" s="106">
        <f>IF(AND('Courses Valid'!C231=0,Courses!I225&lt;&gt;"",Courses!J225&gt;0,Courses!AA225&gt;0),Courses!J225*Courses!AA225,0)</f>
        <v>0</v>
      </c>
    </row>
  </sheetData>
  <sheetProtection algorithmName="SHA-512" hashValue="oE/HclymHMWOyjE7XyP7LaZ6hGvTiVZadzC2LuiBad7nTvOsucOPNSsv+tnW5NdFIjAWIE4Eex9o9QDf2km/LQ==" saltValue="nxpAiufB1l+8WroaHd929Q==" spinCount="100000" sheet="1" objects="1" scenarios="1"/>
  <mergeCells count="7">
    <mergeCell ref="AR5:AR6"/>
    <mergeCell ref="E6:G6"/>
    <mergeCell ref="H6:J6"/>
    <mergeCell ref="K6:M6"/>
    <mergeCell ref="N6:P6"/>
    <mergeCell ref="Q6:S6"/>
    <mergeCell ref="T6:V6"/>
  </mergeCells>
  <conditionalFormatting sqref="E8:W113 E114:V219">
    <cfRule type="cellIs" dxfId="238" priority="28" operator="equal">
      <formula>0</formula>
    </cfRule>
  </conditionalFormatting>
  <conditionalFormatting sqref="W114:W179">
    <cfRule type="cellIs" dxfId="237" priority="27" operator="equal">
      <formula>0</formula>
    </cfRule>
  </conditionalFormatting>
  <conditionalFormatting sqref="AB8:AD19">
    <cfRule type="cellIs" dxfId="236" priority="22" operator="equal">
      <formula>0</formula>
    </cfRule>
  </conditionalFormatting>
  <conditionalFormatting sqref="AB20:AE21 AB56:AJ60 AB61:AG61 AH61:AJ79 AB62:AE63 AB64:AD79">
    <cfRule type="cellIs" dxfId="235" priority="26" operator="equal">
      <formula>0</formula>
    </cfRule>
  </conditionalFormatting>
  <conditionalFormatting sqref="AH8:AJ55 AB22:AD55">
    <cfRule type="cellIs" dxfId="234" priority="20" operator="equal">
      <formula>0</formula>
    </cfRule>
  </conditionalFormatting>
  <conditionalFormatting sqref="AN8:AR19">
    <cfRule type="cellIs" dxfId="233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8A95-639C-4E6E-B8F0-EC9F3E757C1B}">
  <sheetPr codeName="Sheet46">
    <tabColor theme="5" tint="0.39997558519241921"/>
    <pageSetUpPr autoPageBreaks="0" fitToPage="1"/>
  </sheetPr>
  <dimension ref="A1:Q110"/>
  <sheetViews>
    <sheetView showGridLines="0" workbookViewId="0"/>
  </sheetViews>
  <sheetFormatPr defaultColWidth="9" defaultRowHeight="14.25" customHeight="1" x14ac:dyDescent="0.45"/>
  <cols>
    <col min="1" max="1" width="34.265625" style="2270" customWidth="1"/>
    <col min="2" max="2" width="9" style="2270" customWidth="1"/>
    <col min="3" max="3" width="20" style="2270" customWidth="1"/>
    <col min="4" max="4" width="16.73046875" style="2270" customWidth="1"/>
    <col min="5" max="7" width="15" style="2270" customWidth="1"/>
    <col min="8" max="9" width="17.1328125" style="2270" customWidth="1"/>
    <col min="10" max="10" width="50" style="2270" customWidth="1"/>
    <col min="11" max="11" width="14" style="2270" customWidth="1"/>
    <col min="12" max="12" width="15" style="2270" customWidth="1"/>
    <col min="13" max="13" width="42.86328125" style="2270" customWidth="1"/>
    <col min="14" max="14" width="16.73046875" customWidth="1"/>
    <col min="15" max="15" width="9.86328125" style="2270" hidden="1" customWidth="1"/>
    <col min="16" max="16" width="10.265625" style="2270" hidden="1" customWidth="1"/>
    <col min="17" max="17" width="0" style="2270" hidden="1" customWidth="1"/>
    <col min="18" max="16384" width="9" style="2270"/>
  </cols>
  <sheetData>
    <row r="1" spans="1:17" ht="25.5" customHeight="1" x14ac:dyDescent="0.45">
      <c r="A1" s="636" t="s">
        <v>29800</v>
      </c>
      <c r="B1" s="2476"/>
      <c r="C1" s="2472"/>
      <c r="D1" s="2475"/>
      <c r="E1" s="2475"/>
      <c r="F1" s="2475"/>
      <c r="G1" s="2475"/>
      <c r="H1" s="2475"/>
      <c r="I1" s="2475"/>
      <c r="J1" s="2475"/>
      <c r="K1" s="2383"/>
      <c r="L1" s="2383"/>
      <c r="M1" s="2384"/>
    </row>
    <row r="2" spans="1:17" ht="18" customHeight="1" x14ac:dyDescent="0.45">
      <c r="A2" s="1385" t="str">
        <f>IF(PROVIDER="","Provider name",PROVIDER&amp;" ("&amp;UKPRN&amp;")")</f>
        <v>Provider name</v>
      </c>
      <c r="B2" s="2361"/>
      <c r="C2" s="2472"/>
      <c r="D2" s="2473"/>
      <c r="E2" s="2473"/>
      <c r="F2" s="2473"/>
      <c r="G2" s="2473"/>
      <c r="H2" s="2474"/>
      <c r="I2" s="2474"/>
      <c r="J2" s="2473"/>
      <c r="K2" s="2383"/>
      <c r="L2" s="2383"/>
      <c r="M2" s="2384"/>
    </row>
    <row r="3" spans="1:17" ht="14.25" customHeight="1" x14ac:dyDescent="0.45">
      <c r="A3" s="1501" t="s">
        <v>27970</v>
      </c>
      <c r="B3" s="2361"/>
      <c r="C3" s="2472"/>
      <c r="D3" s="2473"/>
      <c r="E3" s="2473"/>
      <c r="F3" s="2473"/>
      <c r="G3" s="2473"/>
      <c r="H3" s="2474"/>
      <c r="I3" s="2474"/>
      <c r="J3" s="2473"/>
      <c r="K3" s="2383"/>
      <c r="L3" s="2383"/>
      <c r="M3" s="2384"/>
    </row>
    <row r="4" spans="1:17" ht="14.65" customHeight="1" x14ac:dyDescent="0.45">
      <c r="A4" s="1501" t="s">
        <v>27713</v>
      </c>
      <c r="B4" s="2361"/>
      <c r="C4" s="2472"/>
      <c r="D4" s="2471"/>
      <c r="E4" s="2471"/>
      <c r="F4" s="2471"/>
      <c r="G4" s="2471"/>
      <c r="H4" s="2471"/>
      <c r="I4" s="2471"/>
      <c r="J4" s="2471"/>
      <c r="K4" s="2383"/>
      <c r="L4" s="2383"/>
      <c r="M4" s="2384"/>
    </row>
    <row r="5" spans="1:17" ht="33" customHeight="1" thickBot="1" x14ac:dyDescent="0.5">
      <c r="A5" s="2470"/>
      <c r="B5" s="2368"/>
      <c r="C5" s="2400"/>
      <c r="D5" s="2469"/>
      <c r="E5" s="2469"/>
      <c r="F5" s="2469"/>
      <c r="G5" s="2469"/>
      <c r="H5" s="2358" t="str">
        <f>'FTE Table 6c Valid'!E3</f>
        <v>Validation: OK</v>
      </c>
      <c r="I5" s="2358"/>
      <c r="J5" s="2358" t="str">
        <f>'FTE Table 6c Valid'!F3</f>
        <v>Validation: OK</v>
      </c>
      <c r="K5" s="2468"/>
      <c r="L5" s="2468"/>
      <c r="M5" s="2467"/>
    </row>
    <row r="6" spans="1:17" ht="48" customHeight="1" x14ac:dyDescent="0.45">
      <c r="A6" s="2269"/>
      <c r="B6" s="2269"/>
      <c r="C6" s="2269"/>
      <c r="D6" s="3125" t="s">
        <v>29703</v>
      </c>
      <c r="E6" s="3126" t="s">
        <v>29401</v>
      </c>
      <c r="F6" s="3126" t="s">
        <v>29400</v>
      </c>
      <c r="G6" s="3127" t="s">
        <v>29670</v>
      </c>
      <c r="H6" s="3128" t="s">
        <v>29736</v>
      </c>
      <c r="I6" s="3126" t="s">
        <v>29671</v>
      </c>
      <c r="J6" s="3127" t="s">
        <v>29399</v>
      </c>
      <c r="K6" s="3212" t="s">
        <v>29398</v>
      </c>
      <c r="L6" s="3213" t="s">
        <v>29397</v>
      </c>
      <c r="M6" s="3248" t="s">
        <v>29396</v>
      </c>
    </row>
    <row r="7" spans="1:17" ht="29.65" customHeight="1" x14ac:dyDescent="0.45">
      <c r="A7" s="2269"/>
      <c r="B7" s="2269"/>
      <c r="C7" s="2269"/>
      <c r="D7" s="3129" t="s">
        <v>27681</v>
      </c>
      <c r="E7" s="3130" t="s">
        <v>27681</v>
      </c>
      <c r="F7" s="3130" t="s">
        <v>27681</v>
      </c>
      <c r="G7" s="3131" t="s">
        <v>27681</v>
      </c>
      <c r="H7" s="3132"/>
      <c r="I7" s="3130" t="s">
        <v>27681</v>
      </c>
      <c r="J7" s="3114"/>
      <c r="K7" s="2356"/>
      <c r="L7" s="2355"/>
      <c r="M7" s="3114"/>
      <c r="O7" s="2465" t="s">
        <v>27841</v>
      </c>
      <c r="P7" s="2465" t="s">
        <v>65</v>
      </c>
      <c r="Q7" s="2465" t="s">
        <v>66</v>
      </c>
    </row>
    <row r="8" spans="1:17" ht="97.15" customHeight="1" x14ac:dyDescent="0.45">
      <c r="A8" s="2466" t="s">
        <v>27840</v>
      </c>
      <c r="B8" s="2353" t="s">
        <v>56</v>
      </c>
      <c r="C8" s="2352" t="s">
        <v>57</v>
      </c>
      <c r="D8" s="3133" t="str">
        <f>"Countable years in academic year 20"&amp;YEAR&amp;"-"&amp;RIGHT(YEAR+1,2)</f>
        <v>Countable years in academic year 2024-25</v>
      </c>
      <c r="E8" s="2347" t="s">
        <v>29682</v>
      </c>
      <c r="F8" s="2347" t="str">
        <f>"Aggregation level of multiplication factor used where different to last year"</f>
        <v>Aggregation level of multiplication factor used where different to last year</v>
      </c>
      <c r="G8" s="2346" t="s">
        <v>29672</v>
      </c>
      <c r="H8" s="2351" t="s">
        <v>29737</v>
      </c>
      <c r="I8" s="2350" t="s">
        <v>29752</v>
      </c>
      <c r="J8" s="2349" t="s">
        <v>29751</v>
      </c>
      <c r="K8" s="2348" t="s">
        <v>29395</v>
      </c>
      <c r="L8" s="2347" t="s">
        <v>29394</v>
      </c>
      <c r="M8" s="2346" t="s">
        <v>29393</v>
      </c>
      <c r="O8" s="2366" t="s">
        <v>27843</v>
      </c>
      <c r="P8" s="2366" t="s">
        <v>27685</v>
      </c>
      <c r="Q8" s="2390" t="s">
        <v>27826</v>
      </c>
    </row>
    <row r="9" spans="1:17" ht="14.65" customHeight="1" x14ac:dyDescent="0.45">
      <c r="A9" s="2429" t="s">
        <v>27842</v>
      </c>
      <c r="B9" s="2428" t="s">
        <v>204</v>
      </c>
      <c r="C9" s="2429" t="s">
        <v>27769</v>
      </c>
      <c r="D9" s="3134">
        <f>'6c_Health_part_time'!J13</f>
        <v>0</v>
      </c>
      <c r="E9" s="3135">
        <f>IF(D9=0,0,'Table 6c MF'!D2)</f>
        <v>0</v>
      </c>
      <c r="F9" s="3136" t="str">
        <f>IF(D9=0,"N/A",'Table 6c MF'!E2)</f>
        <v>N/A</v>
      </c>
      <c r="G9" s="3137">
        <f>D9*E9</f>
        <v>0</v>
      </c>
      <c r="H9" s="3237">
        <v>0</v>
      </c>
      <c r="I9" s="3138">
        <f>IF(H9&gt;0,D9*H9, 0)</f>
        <v>0</v>
      </c>
      <c r="J9" s="3224"/>
      <c r="K9" s="3249"/>
      <c r="L9" s="3250"/>
      <c r="M9" s="3251"/>
      <c r="O9" s="2366" t="s">
        <v>27843</v>
      </c>
      <c r="P9" s="2366" t="s">
        <v>27685</v>
      </c>
      <c r="Q9" s="2390" t="s">
        <v>27688</v>
      </c>
    </row>
    <row r="10" spans="1:17" ht="14.65" customHeight="1" x14ac:dyDescent="0.45">
      <c r="A10" s="2425" t="s">
        <v>27842</v>
      </c>
      <c r="B10" s="2419" t="s">
        <v>204</v>
      </c>
      <c r="C10" s="3310" t="s">
        <v>210</v>
      </c>
      <c r="D10" s="3311"/>
      <c r="E10" s="2464"/>
      <c r="F10" s="2463"/>
      <c r="G10" s="2462"/>
      <c r="H10" s="2461"/>
      <c r="I10" s="2460"/>
      <c r="J10" s="2459"/>
      <c r="K10" s="2458"/>
      <c r="L10" s="2457"/>
      <c r="M10" s="2456"/>
      <c r="O10" s="2366" t="s">
        <v>27843</v>
      </c>
      <c r="P10" s="2366" t="s">
        <v>27691</v>
      </c>
      <c r="Q10" s="2390" t="s">
        <v>27826</v>
      </c>
    </row>
    <row r="11" spans="1:17" ht="14.65" customHeight="1" x14ac:dyDescent="0.45">
      <c r="A11" s="2425" t="s">
        <v>27842</v>
      </c>
      <c r="B11" s="2417" t="s">
        <v>218</v>
      </c>
      <c r="C11" s="2416" t="s">
        <v>27769</v>
      </c>
      <c r="D11" s="3312">
        <f>'6c_Health_part_time'!J15</f>
        <v>0</v>
      </c>
      <c r="E11" s="3300">
        <f>IF(D11=0,0,'Table 6c MF'!D4)</f>
        <v>0</v>
      </c>
      <c r="F11" s="3301" t="str">
        <f>IF(D11=0,"N/A",'Table 6c MF'!E4)</f>
        <v>N/A</v>
      </c>
      <c r="G11" s="3302">
        <f t="shared" ref="G11:G74" si="0">D11*E11</f>
        <v>0</v>
      </c>
      <c r="H11" s="3252">
        <v>0</v>
      </c>
      <c r="I11" s="3163">
        <f t="shared" ref="I11:I74" si="1">IF(H11&gt;0,D11*H11, 0)</f>
        <v>0</v>
      </c>
      <c r="J11" s="3253"/>
      <c r="K11" s="3249"/>
      <c r="L11" s="3254"/>
      <c r="M11" s="3255"/>
      <c r="O11" s="2366" t="s">
        <v>27843</v>
      </c>
      <c r="P11" s="2366" t="s">
        <v>27691</v>
      </c>
      <c r="Q11" s="2390" t="s">
        <v>27688</v>
      </c>
    </row>
    <row r="12" spans="1:17" ht="14.65" customHeight="1" x14ac:dyDescent="0.45">
      <c r="A12" s="2427" t="s">
        <v>27842</v>
      </c>
      <c r="B12" s="2412" t="s">
        <v>218</v>
      </c>
      <c r="C12" s="2411" t="s">
        <v>210</v>
      </c>
      <c r="D12" s="3313"/>
      <c r="E12" s="2455"/>
      <c r="F12" s="2409"/>
      <c r="G12" s="2454"/>
      <c r="H12" s="2438"/>
      <c r="I12" s="2437"/>
      <c r="J12" s="2436"/>
      <c r="K12" s="2453"/>
      <c r="L12" s="2452"/>
      <c r="M12" s="2451"/>
      <c r="O12" s="2366" t="s">
        <v>27845</v>
      </c>
      <c r="P12" s="2366" t="s">
        <v>27685</v>
      </c>
      <c r="Q12" s="2390" t="s">
        <v>27826</v>
      </c>
    </row>
    <row r="13" spans="1:17" ht="14.65" customHeight="1" x14ac:dyDescent="0.45">
      <c r="A13" s="2416" t="s">
        <v>27844</v>
      </c>
      <c r="B13" s="2417" t="s">
        <v>204</v>
      </c>
      <c r="C13" s="2416" t="s">
        <v>27769</v>
      </c>
      <c r="D13" s="3314">
        <f>'6c_Health_part_time'!J17</f>
        <v>0</v>
      </c>
      <c r="E13" s="3297">
        <f>IF(D13=0,0,'Table 6c MF'!D6)</f>
        <v>0</v>
      </c>
      <c r="F13" s="3298" t="str">
        <f>IF(D13=0,"N/A",'Table 6c MF'!E6)</f>
        <v>N/A</v>
      </c>
      <c r="G13" s="3299">
        <f t="shared" si="0"/>
        <v>0</v>
      </c>
      <c r="H13" s="3256">
        <v>0</v>
      </c>
      <c r="I13" s="3306">
        <f t="shared" si="1"/>
        <v>0</v>
      </c>
      <c r="J13" s="3257"/>
      <c r="K13" s="3258"/>
      <c r="L13" s="3259"/>
      <c r="M13" s="3260"/>
      <c r="O13" s="2366" t="s">
        <v>27845</v>
      </c>
      <c r="P13" s="2366" t="s">
        <v>27685</v>
      </c>
      <c r="Q13" s="2390" t="s">
        <v>27688</v>
      </c>
    </row>
    <row r="14" spans="1:17" ht="14.65" customHeight="1" x14ac:dyDescent="0.45">
      <c r="A14" s="2425" t="s">
        <v>27844</v>
      </c>
      <c r="B14" s="2419" t="s">
        <v>204</v>
      </c>
      <c r="C14" s="3310" t="s">
        <v>210</v>
      </c>
      <c r="D14" s="3315"/>
      <c r="E14" s="2450"/>
      <c r="F14" s="2449"/>
      <c r="G14" s="2448"/>
      <c r="H14" s="2447"/>
      <c r="I14" s="2446"/>
      <c r="J14" s="2445"/>
      <c r="K14" s="2444"/>
      <c r="L14" s="2443"/>
      <c r="M14" s="2442"/>
      <c r="O14" s="2366" t="s">
        <v>27845</v>
      </c>
      <c r="P14" s="2366" t="s">
        <v>27691</v>
      </c>
      <c r="Q14" s="2390" t="s">
        <v>27826</v>
      </c>
    </row>
    <row r="15" spans="1:17" ht="14.65" customHeight="1" x14ac:dyDescent="0.45">
      <c r="A15" s="2425" t="s">
        <v>27844</v>
      </c>
      <c r="B15" s="2417" t="s">
        <v>218</v>
      </c>
      <c r="C15" s="2416" t="s">
        <v>27769</v>
      </c>
      <c r="D15" s="3159">
        <f>'6c_Health_part_time'!J19</f>
        <v>0</v>
      </c>
      <c r="E15" s="3160">
        <f>IF(D15=0,0,'Table 6c MF'!D8)</f>
        <v>0</v>
      </c>
      <c r="F15" s="3161" t="str">
        <f>IF(D15=0,"N/A",'Table 6c MF'!E8)</f>
        <v>N/A</v>
      </c>
      <c r="G15" s="3162">
        <f t="shared" si="0"/>
        <v>0</v>
      </c>
      <c r="H15" s="3252">
        <v>0</v>
      </c>
      <c r="I15" s="3163">
        <f t="shared" si="1"/>
        <v>0</v>
      </c>
      <c r="J15" s="3261"/>
      <c r="K15" s="3262"/>
      <c r="L15" s="3263"/>
      <c r="M15" s="3264"/>
      <c r="O15" s="2366" t="s">
        <v>27845</v>
      </c>
      <c r="P15" s="2366" t="s">
        <v>27691</v>
      </c>
      <c r="Q15" s="2390" t="s">
        <v>27688</v>
      </c>
    </row>
    <row r="16" spans="1:17" ht="14.65" customHeight="1" x14ac:dyDescent="0.45">
      <c r="A16" s="2427" t="s">
        <v>27844</v>
      </c>
      <c r="B16" s="2412" t="s">
        <v>218</v>
      </c>
      <c r="C16" s="2411" t="s">
        <v>210</v>
      </c>
      <c r="D16" s="3316"/>
      <c r="E16" s="2441"/>
      <c r="F16" s="2440"/>
      <c r="G16" s="2439"/>
      <c r="H16" s="2438"/>
      <c r="I16" s="2437"/>
      <c r="J16" s="2436"/>
      <c r="K16" s="2435"/>
      <c r="L16" s="2434"/>
      <c r="M16" s="2433"/>
      <c r="O16" s="2366" t="s">
        <v>27845</v>
      </c>
      <c r="P16" s="2366" t="s">
        <v>27685</v>
      </c>
      <c r="Q16" s="2390" t="s">
        <v>27689</v>
      </c>
    </row>
    <row r="17" spans="1:17" ht="14.65" customHeight="1" x14ac:dyDescent="0.45">
      <c r="A17" s="2416" t="s">
        <v>27846</v>
      </c>
      <c r="B17" s="2432" t="s">
        <v>204</v>
      </c>
      <c r="C17" s="3310" t="s">
        <v>212</v>
      </c>
      <c r="D17" s="3317">
        <f>'6c_Health_part_time'!J21</f>
        <v>0</v>
      </c>
      <c r="E17" s="3287">
        <f>IF(D17=0,0,'Table 6c MF'!D10)</f>
        <v>0</v>
      </c>
      <c r="F17" s="3288" t="str">
        <f>IF(D17=0,"N/A",'Table 6c MF'!E10)</f>
        <v>N/A</v>
      </c>
      <c r="G17" s="3289">
        <f t="shared" si="0"/>
        <v>0</v>
      </c>
      <c r="H17" s="3252">
        <v>0</v>
      </c>
      <c r="I17" s="3163">
        <f t="shared" si="1"/>
        <v>0</v>
      </c>
      <c r="J17" s="3261"/>
      <c r="K17" s="3249"/>
      <c r="L17" s="3254"/>
      <c r="M17" s="3255"/>
      <c r="O17" s="2366" t="s">
        <v>27845</v>
      </c>
      <c r="P17" s="2366" t="s">
        <v>27691</v>
      </c>
      <c r="Q17" s="2390" t="s">
        <v>27689</v>
      </c>
    </row>
    <row r="18" spans="1:17" ht="14.65" customHeight="1" x14ac:dyDescent="0.45">
      <c r="A18" s="2425" t="s">
        <v>27846</v>
      </c>
      <c r="B18" s="2431" t="s">
        <v>218</v>
      </c>
      <c r="C18" s="2411" t="s">
        <v>212</v>
      </c>
      <c r="D18" s="3149">
        <f>'6c_Health_part_time'!J22</f>
        <v>0</v>
      </c>
      <c r="E18" s="3150">
        <f>IF(D18=0,0,'Table 6c MF'!D11)</f>
        <v>0</v>
      </c>
      <c r="F18" s="3151" t="str">
        <f>IF(D18=0,"N/A",'Table 6c MF'!E11)</f>
        <v>N/A</v>
      </c>
      <c r="G18" s="3152">
        <f t="shared" si="0"/>
        <v>0</v>
      </c>
      <c r="H18" s="3265">
        <v>0</v>
      </c>
      <c r="I18" s="3169">
        <f t="shared" si="1"/>
        <v>0</v>
      </c>
      <c r="J18" s="3266"/>
      <c r="K18" s="3267"/>
      <c r="L18" s="3268"/>
      <c r="M18" s="3269"/>
      <c r="O18" s="2366" t="s">
        <v>27848</v>
      </c>
      <c r="P18" s="2366" t="s">
        <v>27685</v>
      </c>
      <c r="Q18" s="2390" t="s">
        <v>27826</v>
      </c>
    </row>
    <row r="19" spans="1:17" ht="14.65" customHeight="1" x14ac:dyDescent="0.45">
      <c r="A19" s="2429" t="s">
        <v>27847</v>
      </c>
      <c r="B19" s="2428" t="s">
        <v>204</v>
      </c>
      <c r="C19" s="2429" t="s">
        <v>27769</v>
      </c>
      <c r="D19" s="3134">
        <f>'6c_Health_part_time'!J23</f>
        <v>0</v>
      </c>
      <c r="E19" s="3135">
        <f>IF(D19=0,0,'Table 6c MF'!D12)</f>
        <v>0</v>
      </c>
      <c r="F19" s="3136" t="str">
        <f>IF(D19=0,"N/A",'Table 6c MF'!E12)</f>
        <v>N/A</v>
      </c>
      <c r="G19" s="3137">
        <f t="shared" si="0"/>
        <v>0</v>
      </c>
      <c r="H19" s="3237">
        <v>0</v>
      </c>
      <c r="I19" s="3138">
        <f t="shared" si="1"/>
        <v>0</v>
      </c>
      <c r="J19" s="3224"/>
      <c r="K19" s="3249"/>
      <c r="L19" s="3270"/>
      <c r="M19" s="3251"/>
      <c r="O19" s="2366" t="s">
        <v>27848</v>
      </c>
      <c r="P19" s="2366" t="s">
        <v>27685</v>
      </c>
      <c r="Q19" s="2390" t="s">
        <v>27688</v>
      </c>
    </row>
    <row r="20" spans="1:17" ht="14.65" customHeight="1" x14ac:dyDescent="0.45">
      <c r="A20" s="2425" t="s">
        <v>27847</v>
      </c>
      <c r="B20" s="2419" t="s">
        <v>204</v>
      </c>
      <c r="C20" s="3310" t="s">
        <v>210</v>
      </c>
      <c r="D20" s="3318">
        <f>'6c_Health_part_time'!J24</f>
        <v>0</v>
      </c>
      <c r="E20" s="3290">
        <f>IF(D20=0,0,'Table 6c MF'!D13)</f>
        <v>0</v>
      </c>
      <c r="F20" s="3291" t="str">
        <f>IF(D20=0,"N/A",'Table 6c MF'!E13)</f>
        <v>N/A</v>
      </c>
      <c r="G20" s="3292">
        <f t="shared" si="0"/>
        <v>0</v>
      </c>
      <c r="H20" s="3239">
        <v>0</v>
      </c>
      <c r="I20" s="3157">
        <f t="shared" si="1"/>
        <v>0</v>
      </c>
      <c r="J20" s="3233"/>
      <c r="K20" s="3271"/>
      <c r="L20" s="3272"/>
      <c r="M20" s="3273"/>
      <c r="O20" s="2366" t="s">
        <v>27848</v>
      </c>
      <c r="P20" s="2366" t="s">
        <v>27691</v>
      </c>
      <c r="Q20" s="2390" t="s">
        <v>27826</v>
      </c>
    </row>
    <row r="21" spans="1:17" ht="14.65" customHeight="1" x14ac:dyDescent="0.45">
      <c r="A21" s="2425" t="s">
        <v>27847</v>
      </c>
      <c r="B21" s="2417" t="s">
        <v>218</v>
      </c>
      <c r="C21" s="2416" t="s">
        <v>27769</v>
      </c>
      <c r="D21" s="3159">
        <f>'6c_Health_part_time'!J25</f>
        <v>0</v>
      </c>
      <c r="E21" s="3160">
        <f>IF(D21=0,0,'Table 6c MF'!D14)</f>
        <v>0</v>
      </c>
      <c r="F21" s="3161" t="str">
        <f>IF(D21=0,"N/A",'Table 6c MF'!E14)</f>
        <v>N/A</v>
      </c>
      <c r="G21" s="3162">
        <f t="shared" si="0"/>
        <v>0</v>
      </c>
      <c r="H21" s="3274">
        <v>0</v>
      </c>
      <c r="I21" s="3303">
        <f t="shared" si="1"/>
        <v>0</v>
      </c>
      <c r="J21" s="3275"/>
      <c r="K21" s="3276"/>
      <c r="L21" s="3263"/>
      <c r="M21" s="3264"/>
      <c r="O21" s="2366" t="s">
        <v>27848</v>
      </c>
      <c r="P21" s="2366" t="s">
        <v>27691</v>
      </c>
      <c r="Q21" s="2390" t="s">
        <v>27688</v>
      </c>
    </row>
    <row r="22" spans="1:17" ht="14.65" customHeight="1" x14ac:dyDescent="0.45">
      <c r="A22" s="2427" t="s">
        <v>27847</v>
      </c>
      <c r="B22" s="2412" t="s">
        <v>218</v>
      </c>
      <c r="C22" s="2411" t="s">
        <v>210</v>
      </c>
      <c r="D22" s="3319">
        <f>'6c_Health_part_time'!J26</f>
        <v>0</v>
      </c>
      <c r="E22" s="3293">
        <f>IF(D22=0,0,'Table 6c MF'!D15)</f>
        <v>0</v>
      </c>
      <c r="F22" s="3294" t="str">
        <f>IF(D22=0,"N/A",'Table 6c MF'!E15)</f>
        <v>N/A</v>
      </c>
      <c r="G22" s="3285">
        <f t="shared" si="0"/>
        <v>0</v>
      </c>
      <c r="H22" s="3277">
        <v>0</v>
      </c>
      <c r="I22" s="3304">
        <f t="shared" si="1"/>
        <v>0</v>
      </c>
      <c r="J22" s="3278"/>
      <c r="K22" s="3267"/>
      <c r="L22" s="3268"/>
      <c r="M22" s="3269"/>
      <c r="O22" s="2366" t="s">
        <v>27850</v>
      </c>
      <c r="P22" s="2366" t="s">
        <v>27685</v>
      </c>
      <c r="Q22" s="2390" t="s">
        <v>27826</v>
      </c>
    </row>
    <row r="23" spans="1:17" ht="14.65" customHeight="1" x14ac:dyDescent="0.45">
      <c r="A23" s="2416" t="s">
        <v>27849</v>
      </c>
      <c r="B23" s="2417" t="s">
        <v>204</v>
      </c>
      <c r="C23" s="2416" t="s">
        <v>27769</v>
      </c>
      <c r="D23" s="3134">
        <f>'6c_Health_part_time'!J27</f>
        <v>0</v>
      </c>
      <c r="E23" s="3135">
        <f>IF(D23=0,0,'Table 6c MF'!D16)</f>
        <v>0</v>
      </c>
      <c r="F23" s="3136" t="str">
        <f>IF(D23=0,"N/A",'Table 6c MF'!E16)</f>
        <v>N/A</v>
      </c>
      <c r="G23" s="3137">
        <f t="shared" si="0"/>
        <v>0</v>
      </c>
      <c r="H23" s="3237">
        <v>0</v>
      </c>
      <c r="I23" s="3138">
        <f t="shared" si="1"/>
        <v>0</v>
      </c>
      <c r="J23" s="3224"/>
      <c r="K23" s="3249"/>
      <c r="L23" s="3270"/>
      <c r="M23" s="3251"/>
      <c r="O23" s="2366" t="s">
        <v>27850</v>
      </c>
      <c r="P23" s="2366" t="s">
        <v>27685</v>
      </c>
      <c r="Q23" s="2390" t="s">
        <v>27688</v>
      </c>
    </row>
    <row r="24" spans="1:17" ht="14.65" customHeight="1" x14ac:dyDescent="0.45">
      <c r="A24" s="2425" t="s">
        <v>27849</v>
      </c>
      <c r="B24" s="2419" t="s">
        <v>204</v>
      </c>
      <c r="C24" s="3310" t="s">
        <v>210</v>
      </c>
      <c r="D24" s="3318">
        <f>'6c_Health_part_time'!J28</f>
        <v>0</v>
      </c>
      <c r="E24" s="3290">
        <f>IF(D24=0,0,'Table 6c MF'!D17)</f>
        <v>0</v>
      </c>
      <c r="F24" s="3291" t="str">
        <f>IF(D24=0,"N/A",'Table 6c MF'!E17)</f>
        <v>N/A</v>
      </c>
      <c r="G24" s="3292">
        <f t="shared" si="0"/>
        <v>0</v>
      </c>
      <c r="H24" s="3239">
        <v>0</v>
      </c>
      <c r="I24" s="3157">
        <f t="shared" si="1"/>
        <v>0</v>
      </c>
      <c r="J24" s="3233"/>
      <c r="K24" s="3271"/>
      <c r="L24" s="3272"/>
      <c r="M24" s="3273"/>
      <c r="O24" s="2366" t="s">
        <v>27850</v>
      </c>
      <c r="P24" s="2366" t="s">
        <v>27691</v>
      </c>
      <c r="Q24" s="2390" t="s">
        <v>27826</v>
      </c>
    </row>
    <row r="25" spans="1:17" ht="14.65" customHeight="1" x14ac:dyDescent="0.45">
      <c r="A25" s="2425" t="s">
        <v>27849</v>
      </c>
      <c r="B25" s="2417" t="s">
        <v>218</v>
      </c>
      <c r="C25" s="2416" t="s">
        <v>27769</v>
      </c>
      <c r="D25" s="3159">
        <f>'6c_Health_part_time'!J29</f>
        <v>0</v>
      </c>
      <c r="E25" s="3160">
        <f>IF(D25=0,0,'Table 6c MF'!D18)</f>
        <v>0</v>
      </c>
      <c r="F25" s="3161" t="str">
        <f>IF(D25=0,"N/A",'Table 6c MF'!E18)</f>
        <v>N/A</v>
      </c>
      <c r="G25" s="3162">
        <f t="shared" si="0"/>
        <v>0</v>
      </c>
      <c r="H25" s="3274">
        <v>0</v>
      </c>
      <c r="I25" s="3303">
        <f t="shared" si="1"/>
        <v>0</v>
      </c>
      <c r="J25" s="3275"/>
      <c r="K25" s="3276"/>
      <c r="L25" s="3263"/>
      <c r="M25" s="3264"/>
      <c r="O25" s="2366" t="s">
        <v>27850</v>
      </c>
      <c r="P25" s="2366" t="s">
        <v>27691</v>
      </c>
      <c r="Q25" s="2390" t="s">
        <v>27688</v>
      </c>
    </row>
    <row r="26" spans="1:17" ht="14.65" customHeight="1" x14ac:dyDescent="0.45">
      <c r="A26" s="2427" t="s">
        <v>27849</v>
      </c>
      <c r="B26" s="2412" t="s">
        <v>218</v>
      </c>
      <c r="C26" s="2411" t="s">
        <v>210</v>
      </c>
      <c r="D26" s="3319">
        <f>'6c_Health_part_time'!J30</f>
        <v>0</v>
      </c>
      <c r="E26" s="3293">
        <f>IF(D26=0,0,'Table 6c MF'!D19)</f>
        <v>0</v>
      </c>
      <c r="F26" s="3294" t="str">
        <f>IF(D26=0,"N/A",'Table 6c MF'!E19)</f>
        <v>N/A</v>
      </c>
      <c r="G26" s="3285">
        <f t="shared" si="0"/>
        <v>0</v>
      </c>
      <c r="H26" s="3277">
        <v>0</v>
      </c>
      <c r="I26" s="3304">
        <f t="shared" si="1"/>
        <v>0</v>
      </c>
      <c r="J26" s="3278"/>
      <c r="K26" s="3267"/>
      <c r="L26" s="3268"/>
      <c r="M26" s="3269"/>
      <c r="O26" s="2366" t="s">
        <v>27852</v>
      </c>
      <c r="P26" s="2366" t="s">
        <v>27685</v>
      </c>
      <c r="Q26" s="2390" t="s">
        <v>27826</v>
      </c>
    </row>
    <row r="27" spans="1:17" ht="14.65" customHeight="1" x14ac:dyDescent="0.45">
      <c r="A27" s="2426" t="s">
        <v>27851</v>
      </c>
      <c r="B27" s="2417" t="s">
        <v>204</v>
      </c>
      <c r="C27" s="2416" t="s">
        <v>27769</v>
      </c>
      <c r="D27" s="3134">
        <f>'6c_Health_part_time'!J31</f>
        <v>0</v>
      </c>
      <c r="E27" s="3135">
        <f>IF(D27=0,0,'Table 6c MF'!D20)</f>
        <v>0</v>
      </c>
      <c r="F27" s="3136" t="str">
        <f>IF(D27=0,"N/A",'Table 6c MF'!E20)</f>
        <v>N/A</v>
      </c>
      <c r="G27" s="3137">
        <f t="shared" si="0"/>
        <v>0</v>
      </c>
      <c r="H27" s="3237">
        <v>0</v>
      </c>
      <c r="I27" s="3138">
        <f t="shared" si="1"/>
        <v>0</v>
      </c>
      <c r="J27" s="3224"/>
      <c r="K27" s="3249"/>
      <c r="L27" s="3270"/>
      <c r="M27" s="3251"/>
      <c r="O27" s="2366" t="s">
        <v>27852</v>
      </c>
      <c r="P27" s="2366" t="s">
        <v>27685</v>
      </c>
      <c r="Q27" s="2390" t="s">
        <v>27688</v>
      </c>
    </row>
    <row r="28" spans="1:17" ht="14.65" customHeight="1" x14ac:dyDescent="0.45">
      <c r="A28" s="2420" t="s">
        <v>27851</v>
      </c>
      <c r="B28" s="2419" t="s">
        <v>204</v>
      </c>
      <c r="C28" s="3310" t="s">
        <v>210</v>
      </c>
      <c r="D28" s="3318">
        <f>'6c_Health_part_time'!J32</f>
        <v>0</v>
      </c>
      <c r="E28" s="3290">
        <f>IF(D28=0,0,'Table 6c MF'!D21)</f>
        <v>0</v>
      </c>
      <c r="F28" s="3291" t="str">
        <f>IF(D28=0,"N/A",'Table 6c MF'!E21)</f>
        <v>N/A</v>
      </c>
      <c r="G28" s="3292">
        <f t="shared" si="0"/>
        <v>0</v>
      </c>
      <c r="H28" s="3239">
        <v>0</v>
      </c>
      <c r="I28" s="3157">
        <f t="shared" si="1"/>
        <v>0</v>
      </c>
      <c r="J28" s="3233"/>
      <c r="K28" s="3271"/>
      <c r="L28" s="3272"/>
      <c r="M28" s="3273"/>
      <c r="O28" s="2366" t="s">
        <v>27852</v>
      </c>
      <c r="P28" s="2366" t="s">
        <v>27691</v>
      </c>
      <c r="Q28" s="2390" t="s">
        <v>27826</v>
      </c>
    </row>
    <row r="29" spans="1:17" ht="14.65" customHeight="1" x14ac:dyDescent="0.45">
      <c r="A29" s="2425" t="s">
        <v>27851</v>
      </c>
      <c r="B29" s="2417" t="s">
        <v>218</v>
      </c>
      <c r="C29" s="2416" t="s">
        <v>27769</v>
      </c>
      <c r="D29" s="3159">
        <f>'6c_Health_part_time'!J33</f>
        <v>0</v>
      </c>
      <c r="E29" s="3160">
        <f>IF(D29=0,0,'Table 6c MF'!D22)</f>
        <v>0</v>
      </c>
      <c r="F29" s="3161" t="str">
        <f>IF(D29=0,"N/A",'Table 6c MF'!E22)</f>
        <v>N/A</v>
      </c>
      <c r="G29" s="3162">
        <f t="shared" si="0"/>
        <v>0</v>
      </c>
      <c r="H29" s="3274">
        <v>0</v>
      </c>
      <c r="I29" s="3303">
        <f t="shared" si="1"/>
        <v>0</v>
      </c>
      <c r="J29" s="3275"/>
      <c r="K29" s="3276"/>
      <c r="L29" s="3263"/>
      <c r="M29" s="3264"/>
      <c r="O29" s="2366" t="s">
        <v>27852</v>
      </c>
      <c r="P29" s="2366" t="s">
        <v>27691</v>
      </c>
      <c r="Q29" s="2390" t="s">
        <v>27688</v>
      </c>
    </row>
    <row r="30" spans="1:17" ht="14.65" customHeight="1" x14ac:dyDescent="0.45">
      <c r="A30" s="2427" t="s">
        <v>27851</v>
      </c>
      <c r="B30" s="2412" t="s">
        <v>218</v>
      </c>
      <c r="C30" s="2411" t="s">
        <v>210</v>
      </c>
      <c r="D30" s="3319">
        <f>'6c_Health_part_time'!J34</f>
        <v>0</v>
      </c>
      <c r="E30" s="3293">
        <f>IF(D30=0,0,'Table 6c MF'!D23)</f>
        <v>0</v>
      </c>
      <c r="F30" s="3294" t="str">
        <f>IF(D30=0,"N/A",'Table 6c MF'!E23)</f>
        <v>N/A</v>
      </c>
      <c r="G30" s="3285">
        <f t="shared" si="0"/>
        <v>0</v>
      </c>
      <c r="H30" s="3277">
        <v>0</v>
      </c>
      <c r="I30" s="3304">
        <f t="shared" si="1"/>
        <v>0</v>
      </c>
      <c r="J30" s="3278"/>
      <c r="K30" s="3267"/>
      <c r="L30" s="3268"/>
      <c r="M30" s="3269"/>
      <c r="O30" s="2366" t="s">
        <v>27854</v>
      </c>
      <c r="P30" s="2366" t="s">
        <v>27685</v>
      </c>
      <c r="Q30" s="2390" t="s">
        <v>27826</v>
      </c>
    </row>
    <row r="31" spans="1:17" ht="14.65" customHeight="1" x14ac:dyDescent="0.45">
      <c r="A31" s="2426" t="s">
        <v>27853</v>
      </c>
      <c r="B31" s="2417" t="s">
        <v>204</v>
      </c>
      <c r="C31" s="2416" t="s">
        <v>27769</v>
      </c>
      <c r="D31" s="3134">
        <f>'6c_Health_part_time'!J35</f>
        <v>0</v>
      </c>
      <c r="E31" s="3135">
        <f>IF(D31=0,0,'Table 6c MF'!D24)</f>
        <v>0</v>
      </c>
      <c r="F31" s="3136" t="str">
        <f>IF(D31=0,"N/A",'Table 6c MF'!E24)</f>
        <v>N/A</v>
      </c>
      <c r="G31" s="3137">
        <f t="shared" si="0"/>
        <v>0</v>
      </c>
      <c r="H31" s="3237">
        <v>0</v>
      </c>
      <c r="I31" s="3138">
        <f t="shared" si="1"/>
        <v>0</v>
      </c>
      <c r="J31" s="3224"/>
      <c r="K31" s="3249"/>
      <c r="L31" s="3270"/>
      <c r="M31" s="3251"/>
      <c r="O31" s="2366" t="s">
        <v>27854</v>
      </c>
      <c r="P31" s="2366" t="s">
        <v>27685</v>
      </c>
      <c r="Q31" s="2390" t="s">
        <v>27688</v>
      </c>
    </row>
    <row r="32" spans="1:17" ht="14.65" customHeight="1" x14ac:dyDescent="0.45">
      <c r="A32" s="2420" t="s">
        <v>27853</v>
      </c>
      <c r="B32" s="2419" t="s">
        <v>204</v>
      </c>
      <c r="C32" s="3310" t="s">
        <v>210</v>
      </c>
      <c r="D32" s="3318">
        <f>'6c_Health_part_time'!J36</f>
        <v>0</v>
      </c>
      <c r="E32" s="3290">
        <f>IF(D32=0,0,'Table 6c MF'!D25)</f>
        <v>0</v>
      </c>
      <c r="F32" s="3291" t="str">
        <f>IF(D32=0,"N/A",'Table 6c MF'!E25)</f>
        <v>N/A</v>
      </c>
      <c r="G32" s="3292">
        <f t="shared" si="0"/>
        <v>0</v>
      </c>
      <c r="H32" s="3239">
        <v>0</v>
      </c>
      <c r="I32" s="3157">
        <f t="shared" si="1"/>
        <v>0</v>
      </c>
      <c r="J32" s="3233"/>
      <c r="K32" s="3271"/>
      <c r="L32" s="3272"/>
      <c r="M32" s="3273"/>
      <c r="O32" s="2366" t="s">
        <v>27854</v>
      </c>
      <c r="P32" s="2366" t="s">
        <v>27691</v>
      </c>
      <c r="Q32" s="2390" t="s">
        <v>27826</v>
      </c>
    </row>
    <row r="33" spans="1:17" ht="14.65" customHeight="1" x14ac:dyDescent="0.45">
      <c r="A33" s="2425" t="s">
        <v>27853</v>
      </c>
      <c r="B33" s="2417" t="s">
        <v>218</v>
      </c>
      <c r="C33" s="2416" t="s">
        <v>27769</v>
      </c>
      <c r="D33" s="3159">
        <f>'6c_Health_part_time'!J37</f>
        <v>0</v>
      </c>
      <c r="E33" s="3160">
        <f>IF(D33=0,0,'Table 6c MF'!D26)</f>
        <v>0</v>
      </c>
      <c r="F33" s="3161" t="str">
        <f>IF(D33=0,"N/A",'Table 6c MF'!E26)</f>
        <v>N/A</v>
      </c>
      <c r="G33" s="3162">
        <f t="shared" si="0"/>
        <v>0</v>
      </c>
      <c r="H33" s="3274">
        <v>0</v>
      </c>
      <c r="I33" s="3303">
        <f t="shared" si="1"/>
        <v>0</v>
      </c>
      <c r="J33" s="3275"/>
      <c r="K33" s="3276"/>
      <c r="L33" s="3263"/>
      <c r="M33" s="3264"/>
      <c r="O33" s="2366" t="s">
        <v>27854</v>
      </c>
      <c r="P33" s="2366" t="s">
        <v>27691</v>
      </c>
      <c r="Q33" s="2390" t="s">
        <v>27688</v>
      </c>
    </row>
    <row r="34" spans="1:17" ht="14.65" customHeight="1" x14ac:dyDescent="0.45">
      <c r="A34" s="2427" t="s">
        <v>27853</v>
      </c>
      <c r="B34" s="2412" t="s">
        <v>218</v>
      </c>
      <c r="C34" s="2411" t="s">
        <v>210</v>
      </c>
      <c r="D34" s="3319">
        <f>'6c_Health_part_time'!J38</f>
        <v>0</v>
      </c>
      <c r="E34" s="3293">
        <f>IF(D34=0,0,'Table 6c MF'!D27)</f>
        <v>0</v>
      </c>
      <c r="F34" s="3294" t="str">
        <f>IF(D34=0,"N/A",'Table 6c MF'!E27)</f>
        <v>N/A</v>
      </c>
      <c r="G34" s="3285">
        <f t="shared" si="0"/>
        <v>0</v>
      </c>
      <c r="H34" s="3277">
        <v>0</v>
      </c>
      <c r="I34" s="3304">
        <f t="shared" si="1"/>
        <v>0</v>
      </c>
      <c r="J34" s="3278"/>
      <c r="K34" s="3267"/>
      <c r="L34" s="3268"/>
      <c r="M34" s="3269"/>
      <c r="O34" s="2366" t="s">
        <v>27856</v>
      </c>
      <c r="P34" s="2366" t="s">
        <v>27685</v>
      </c>
      <c r="Q34" s="2390" t="s">
        <v>27826</v>
      </c>
    </row>
    <row r="35" spans="1:17" ht="14.65" customHeight="1" x14ac:dyDescent="0.45">
      <c r="A35" s="2426" t="s">
        <v>27855</v>
      </c>
      <c r="B35" s="2417" t="s">
        <v>204</v>
      </c>
      <c r="C35" s="2416" t="s">
        <v>27769</v>
      </c>
      <c r="D35" s="3134">
        <f>'6c_Health_part_time'!J39</f>
        <v>0</v>
      </c>
      <c r="E35" s="3135">
        <f>IF(D35=0,0,'Table 6c MF'!D28)</f>
        <v>0</v>
      </c>
      <c r="F35" s="3136" t="str">
        <f>IF(D35=0,"N/A",'Table 6c MF'!E28)</f>
        <v>N/A</v>
      </c>
      <c r="G35" s="3137">
        <f t="shared" si="0"/>
        <v>0</v>
      </c>
      <c r="H35" s="3237">
        <v>0</v>
      </c>
      <c r="I35" s="3138">
        <f t="shared" si="1"/>
        <v>0</v>
      </c>
      <c r="J35" s="3224"/>
      <c r="K35" s="3249"/>
      <c r="L35" s="3270"/>
      <c r="M35" s="3251"/>
      <c r="O35" s="2366" t="s">
        <v>27856</v>
      </c>
      <c r="P35" s="2366" t="s">
        <v>27685</v>
      </c>
      <c r="Q35" s="2390" t="s">
        <v>27688</v>
      </c>
    </row>
    <row r="36" spans="1:17" ht="14.65" customHeight="1" x14ac:dyDescent="0.45">
      <c r="A36" s="2420" t="s">
        <v>27855</v>
      </c>
      <c r="B36" s="2419" t="s">
        <v>204</v>
      </c>
      <c r="C36" s="3310" t="s">
        <v>210</v>
      </c>
      <c r="D36" s="3318">
        <f>'6c_Health_part_time'!J40</f>
        <v>0</v>
      </c>
      <c r="E36" s="3290">
        <f>IF(D36=0,0,'Table 6c MF'!D29)</f>
        <v>0</v>
      </c>
      <c r="F36" s="3291" t="str">
        <f>IF(D36=0,"N/A",'Table 6c MF'!E29)</f>
        <v>N/A</v>
      </c>
      <c r="G36" s="3292">
        <f t="shared" si="0"/>
        <v>0</v>
      </c>
      <c r="H36" s="3239">
        <v>0</v>
      </c>
      <c r="I36" s="3157">
        <f t="shared" si="1"/>
        <v>0</v>
      </c>
      <c r="J36" s="3233"/>
      <c r="K36" s="3271"/>
      <c r="L36" s="3272"/>
      <c r="M36" s="3273"/>
      <c r="O36" s="2366" t="s">
        <v>27856</v>
      </c>
      <c r="P36" s="2366" t="s">
        <v>27691</v>
      </c>
      <c r="Q36" s="2390" t="s">
        <v>27826</v>
      </c>
    </row>
    <row r="37" spans="1:17" ht="14.65" customHeight="1" x14ac:dyDescent="0.45">
      <c r="A37" s="2425" t="s">
        <v>27855</v>
      </c>
      <c r="B37" s="2417" t="s">
        <v>218</v>
      </c>
      <c r="C37" s="2416" t="s">
        <v>27769</v>
      </c>
      <c r="D37" s="3159">
        <f>'6c_Health_part_time'!J41</f>
        <v>0</v>
      </c>
      <c r="E37" s="3160">
        <f>IF(D37=0,0,'Table 6c MF'!D30)</f>
        <v>0</v>
      </c>
      <c r="F37" s="3161" t="str">
        <f>IF(D37=0,"N/A",'Table 6c MF'!E30)</f>
        <v>N/A</v>
      </c>
      <c r="G37" s="3162">
        <f t="shared" si="0"/>
        <v>0</v>
      </c>
      <c r="H37" s="3274">
        <v>0</v>
      </c>
      <c r="I37" s="3303">
        <f t="shared" si="1"/>
        <v>0</v>
      </c>
      <c r="J37" s="3275"/>
      <c r="K37" s="3276"/>
      <c r="L37" s="3263"/>
      <c r="M37" s="3264"/>
      <c r="O37" s="2366" t="s">
        <v>27856</v>
      </c>
      <c r="P37" s="2366" t="s">
        <v>27691</v>
      </c>
      <c r="Q37" s="2390" t="s">
        <v>27688</v>
      </c>
    </row>
    <row r="38" spans="1:17" ht="14.65" customHeight="1" x14ac:dyDescent="0.45">
      <c r="A38" s="2427" t="s">
        <v>27855</v>
      </c>
      <c r="B38" s="2412" t="s">
        <v>218</v>
      </c>
      <c r="C38" s="2411" t="s">
        <v>210</v>
      </c>
      <c r="D38" s="3319">
        <f>'6c_Health_part_time'!J42</f>
        <v>0</v>
      </c>
      <c r="E38" s="3293">
        <f>IF(D38=0,0,'Table 6c MF'!D31)</f>
        <v>0</v>
      </c>
      <c r="F38" s="3294" t="str">
        <f>IF(D38=0,"N/A",'Table 6c MF'!E31)</f>
        <v>N/A</v>
      </c>
      <c r="G38" s="3285">
        <f t="shared" si="0"/>
        <v>0</v>
      </c>
      <c r="H38" s="3277">
        <v>0</v>
      </c>
      <c r="I38" s="3304">
        <f t="shared" si="1"/>
        <v>0</v>
      </c>
      <c r="J38" s="3278"/>
      <c r="K38" s="3267"/>
      <c r="L38" s="3268"/>
      <c r="M38" s="3269"/>
      <c r="O38" s="2366" t="s">
        <v>27858</v>
      </c>
      <c r="P38" s="2366" t="s">
        <v>27685</v>
      </c>
      <c r="Q38" s="2390" t="s">
        <v>27826</v>
      </c>
    </row>
    <row r="39" spans="1:17" ht="14.65" customHeight="1" x14ac:dyDescent="0.45">
      <c r="A39" s="2426" t="s">
        <v>27857</v>
      </c>
      <c r="B39" s="2417" t="s">
        <v>204</v>
      </c>
      <c r="C39" s="2416" t="s">
        <v>27769</v>
      </c>
      <c r="D39" s="3134">
        <f>'6c_Health_part_time'!J43</f>
        <v>0</v>
      </c>
      <c r="E39" s="3135">
        <f>IF(D39=0,0,'Table 6c MF'!D32)</f>
        <v>0</v>
      </c>
      <c r="F39" s="3136" t="str">
        <f>IF(D39=0,"N/A",'Table 6c MF'!E32)</f>
        <v>N/A</v>
      </c>
      <c r="G39" s="3137">
        <f t="shared" si="0"/>
        <v>0</v>
      </c>
      <c r="H39" s="3237">
        <v>0</v>
      </c>
      <c r="I39" s="3138">
        <f t="shared" si="1"/>
        <v>0</v>
      </c>
      <c r="J39" s="3224"/>
      <c r="K39" s="3249"/>
      <c r="L39" s="3270"/>
      <c r="M39" s="3251"/>
      <c r="O39" s="2366" t="s">
        <v>27858</v>
      </c>
      <c r="P39" s="2366" t="s">
        <v>27685</v>
      </c>
      <c r="Q39" s="2390" t="s">
        <v>27688</v>
      </c>
    </row>
    <row r="40" spans="1:17" ht="14.65" customHeight="1" x14ac:dyDescent="0.45">
      <c r="A40" s="2420" t="s">
        <v>27857</v>
      </c>
      <c r="B40" s="2419" t="s">
        <v>204</v>
      </c>
      <c r="C40" s="3310" t="s">
        <v>210</v>
      </c>
      <c r="D40" s="3318">
        <f>'6c_Health_part_time'!J44</f>
        <v>0</v>
      </c>
      <c r="E40" s="3290">
        <f>IF(D40=0,0,'Table 6c MF'!D33)</f>
        <v>0</v>
      </c>
      <c r="F40" s="3291" t="str">
        <f>IF(D40=0,"N/A",'Table 6c MF'!E33)</f>
        <v>N/A</v>
      </c>
      <c r="G40" s="3292">
        <f t="shared" si="0"/>
        <v>0</v>
      </c>
      <c r="H40" s="3239">
        <v>0</v>
      </c>
      <c r="I40" s="3157">
        <f t="shared" si="1"/>
        <v>0</v>
      </c>
      <c r="J40" s="3233"/>
      <c r="K40" s="3271"/>
      <c r="L40" s="3272"/>
      <c r="M40" s="3273"/>
      <c r="O40" s="2366" t="s">
        <v>27858</v>
      </c>
      <c r="P40" s="2366" t="s">
        <v>27691</v>
      </c>
      <c r="Q40" s="2390" t="s">
        <v>27826</v>
      </c>
    </row>
    <row r="41" spans="1:17" ht="14.65" customHeight="1" x14ac:dyDescent="0.45">
      <c r="A41" s="2425" t="s">
        <v>27857</v>
      </c>
      <c r="B41" s="2417" t="s">
        <v>218</v>
      </c>
      <c r="C41" s="2416" t="s">
        <v>27769</v>
      </c>
      <c r="D41" s="3159">
        <f>'6c_Health_part_time'!J45</f>
        <v>0</v>
      </c>
      <c r="E41" s="3160">
        <f>IF(D41=0,0,'Table 6c MF'!D34)</f>
        <v>0</v>
      </c>
      <c r="F41" s="3161" t="str">
        <f>IF(D41=0,"N/A",'Table 6c MF'!E34)</f>
        <v>N/A</v>
      </c>
      <c r="G41" s="3162">
        <f t="shared" si="0"/>
        <v>0</v>
      </c>
      <c r="H41" s="3274">
        <v>0</v>
      </c>
      <c r="I41" s="3303">
        <f t="shared" si="1"/>
        <v>0</v>
      </c>
      <c r="J41" s="3275"/>
      <c r="K41" s="3276"/>
      <c r="L41" s="3263"/>
      <c r="M41" s="3264"/>
      <c r="O41" s="2366" t="s">
        <v>27858</v>
      </c>
      <c r="P41" s="2366" t="s">
        <v>27691</v>
      </c>
      <c r="Q41" s="2390" t="s">
        <v>27688</v>
      </c>
    </row>
    <row r="42" spans="1:17" ht="14.65" customHeight="1" x14ac:dyDescent="0.45">
      <c r="A42" s="2427" t="s">
        <v>27857</v>
      </c>
      <c r="B42" s="2412" t="s">
        <v>218</v>
      </c>
      <c r="C42" s="2411" t="s">
        <v>210</v>
      </c>
      <c r="D42" s="3319">
        <f>'6c_Health_part_time'!J46</f>
        <v>0</v>
      </c>
      <c r="E42" s="3293">
        <f>IF(D42=0,0,'Table 6c MF'!D35)</f>
        <v>0</v>
      </c>
      <c r="F42" s="3294" t="str">
        <f>IF(D42=0,"N/A",'Table 6c MF'!E35)</f>
        <v>N/A</v>
      </c>
      <c r="G42" s="3285">
        <f t="shared" si="0"/>
        <v>0</v>
      </c>
      <c r="H42" s="3277">
        <v>0</v>
      </c>
      <c r="I42" s="3304">
        <f t="shared" si="1"/>
        <v>0</v>
      </c>
      <c r="J42" s="3278"/>
      <c r="K42" s="3267"/>
      <c r="L42" s="3268"/>
      <c r="M42" s="3269"/>
      <c r="O42" s="2366" t="s">
        <v>27860</v>
      </c>
      <c r="P42" s="2366" t="s">
        <v>27685</v>
      </c>
      <c r="Q42" s="2390" t="s">
        <v>27826</v>
      </c>
    </row>
    <row r="43" spans="1:17" ht="14.65" customHeight="1" x14ac:dyDescent="0.45">
      <c r="A43" s="2426" t="s">
        <v>27859</v>
      </c>
      <c r="B43" s="2417" t="s">
        <v>204</v>
      </c>
      <c r="C43" s="2416" t="s">
        <v>27769</v>
      </c>
      <c r="D43" s="3134">
        <f>'6c_Health_part_time'!J47</f>
        <v>0</v>
      </c>
      <c r="E43" s="3135">
        <f>IF(D43=0,0,'Table 6c MF'!D36)</f>
        <v>0</v>
      </c>
      <c r="F43" s="3136" t="str">
        <f>IF(D43=0,"N/A",'Table 6c MF'!E36)</f>
        <v>N/A</v>
      </c>
      <c r="G43" s="3137">
        <f t="shared" si="0"/>
        <v>0</v>
      </c>
      <c r="H43" s="3237">
        <v>0</v>
      </c>
      <c r="I43" s="3138">
        <f t="shared" si="1"/>
        <v>0</v>
      </c>
      <c r="J43" s="3224"/>
      <c r="K43" s="3249"/>
      <c r="L43" s="3270"/>
      <c r="M43" s="3251"/>
      <c r="O43" s="2366" t="s">
        <v>27860</v>
      </c>
      <c r="P43" s="2366" t="s">
        <v>27685</v>
      </c>
      <c r="Q43" s="2390" t="s">
        <v>27688</v>
      </c>
    </row>
    <row r="44" spans="1:17" ht="14.65" customHeight="1" x14ac:dyDescent="0.45">
      <c r="A44" s="2420" t="s">
        <v>27859</v>
      </c>
      <c r="B44" s="2419" t="s">
        <v>204</v>
      </c>
      <c r="C44" s="3310" t="s">
        <v>210</v>
      </c>
      <c r="D44" s="3318">
        <f>'6c_Health_part_time'!J48</f>
        <v>0</v>
      </c>
      <c r="E44" s="3290">
        <f>IF(D44=0,0,'Table 6c MF'!D37)</f>
        <v>0</v>
      </c>
      <c r="F44" s="3291" t="str">
        <f>IF(D44=0,"N/A",'Table 6c MF'!E37)</f>
        <v>N/A</v>
      </c>
      <c r="G44" s="3292">
        <f t="shared" si="0"/>
        <v>0</v>
      </c>
      <c r="H44" s="3239">
        <v>0</v>
      </c>
      <c r="I44" s="3157">
        <f t="shared" si="1"/>
        <v>0</v>
      </c>
      <c r="J44" s="3233"/>
      <c r="K44" s="3271"/>
      <c r="L44" s="3272"/>
      <c r="M44" s="3273"/>
      <c r="O44" s="2366" t="s">
        <v>27860</v>
      </c>
      <c r="P44" s="2366" t="s">
        <v>27691</v>
      </c>
      <c r="Q44" s="2390" t="s">
        <v>27826</v>
      </c>
    </row>
    <row r="45" spans="1:17" ht="14.65" customHeight="1" x14ac:dyDescent="0.45">
      <c r="A45" s="2425" t="s">
        <v>27859</v>
      </c>
      <c r="B45" s="2417" t="s">
        <v>218</v>
      </c>
      <c r="C45" s="2416" t="s">
        <v>27769</v>
      </c>
      <c r="D45" s="3159">
        <f>'6c_Health_part_time'!J49</f>
        <v>0</v>
      </c>
      <c r="E45" s="3160">
        <f>IF(D45=0,0,'Table 6c MF'!D38)</f>
        <v>0</v>
      </c>
      <c r="F45" s="3161" t="str">
        <f>IF(D45=0,"N/A",'Table 6c MF'!E38)</f>
        <v>N/A</v>
      </c>
      <c r="G45" s="3162">
        <f t="shared" si="0"/>
        <v>0</v>
      </c>
      <c r="H45" s="3274">
        <v>0</v>
      </c>
      <c r="I45" s="3303">
        <f t="shared" si="1"/>
        <v>0</v>
      </c>
      <c r="J45" s="3275"/>
      <c r="K45" s="3276"/>
      <c r="L45" s="3263"/>
      <c r="M45" s="3264"/>
      <c r="O45" s="2366" t="s">
        <v>27860</v>
      </c>
      <c r="P45" s="2366" t="s">
        <v>27691</v>
      </c>
      <c r="Q45" s="2390" t="s">
        <v>27688</v>
      </c>
    </row>
    <row r="46" spans="1:17" ht="14.65" customHeight="1" x14ac:dyDescent="0.45">
      <c r="A46" s="2427" t="s">
        <v>27859</v>
      </c>
      <c r="B46" s="2412" t="s">
        <v>218</v>
      </c>
      <c r="C46" s="2411" t="s">
        <v>210</v>
      </c>
      <c r="D46" s="3319">
        <f>'6c_Health_part_time'!J50</f>
        <v>0</v>
      </c>
      <c r="E46" s="3293">
        <f>IF(D46=0,0,'Table 6c MF'!D39)</f>
        <v>0</v>
      </c>
      <c r="F46" s="3294" t="str">
        <f>IF(D46=0,"N/A",'Table 6c MF'!E39)</f>
        <v>N/A</v>
      </c>
      <c r="G46" s="3285">
        <f t="shared" si="0"/>
        <v>0</v>
      </c>
      <c r="H46" s="3277">
        <v>0</v>
      </c>
      <c r="I46" s="3304">
        <f t="shared" si="1"/>
        <v>0</v>
      </c>
      <c r="J46" s="3278"/>
      <c r="K46" s="3267"/>
      <c r="L46" s="3268"/>
      <c r="M46" s="3269"/>
      <c r="O46" s="2366" t="s">
        <v>27862</v>
      </c>
      <c r="P46" s="2366" t="s">
        <v>27685</v>
      </c>
      <c r="Q46" s="2390" t="s">
        <v>27826</v>
      </c>
    </row>
    <row r="47" spans="1:17" ht="14.65" customHeight="1" x14ac:dyDescent="0.45">
      <c r="A47" s="2426" t="s">
        <v>27861</v>
      </c>
      <c r="B47" s="2417" t="s">
        <v>204</v>
      </c>
      <c r="C47" s="2416" t="s">
        <v>27769</v>
      </c>
      <c r="D47" s="3134">
        <f>'6c_Health_part_time'!J51</f>
        <v>0</v>
      </c>
      <c r="E47" s="3135">
        <f>IF(D47=0,0,'Table 6c MF'!D40)</f>
        <v>0</v>
      </c>
      <c r="F47" s="3136" t="str">
        <f>IF(D47=0,"N/A",'Table 6c MF'!E40)</f>
        <v>N/A</v>
      </c>
      <c r="G47" s="3137">
        <f t="shared" si="0"/>
        <v>0</v>
      </c>
      <c r="H47" s="3237">
        <v>0</v>
      </c>
      <c r="I47" s="3138">
        <f t="shared" si="1"/>
        <v>0</v>
      </c>
      <c r="J47" s="3224"/>
      <c r="K47" s="3249"/>
      <c r="L47" s="3270"/>
      <c r="M47" s="3251"/>
      <c r="O47" s="2366" t="s">
        <v>27862</v>
      </c>
      <c r="P47" s="2366" t="s">
        <v>27685</v>
      </c>
      <c r="Q47" s="2390" t="s">
        <v>27688</v>
      </c>
    </row>
    <row r="48" spans="1:17" ht="14.65" customHeight="1" x14ac:dyDescent="0.45">
      <c r="A48" s="2420" t="s">
        <v>27861</v>
      </c>
      <c r="B48" s="2419" t="s">
        <v>204</v>
      </c>
      <c r="C48" s="3310" t="s">
        <v>210</v>
      </c>
      <c r="D48" s="3318">
        <f>'6c_Health_part_time'!J52</f>
        <v>0</v>
      </c>
      <c r="E48" s="3290">
        <f>IF(D48=0,0,'Table 6c MF'!D41)</f>
        <v>0</v>
      </c>
      <c r="F48" s="3291" t="str">
        <f>IF(D48=0,"N/A",'Table 6c MF'!E41)</f>
        <v>N/A</v>
      </c>
      <c r="G48" s="3292">
        <f t="shared" si="0"/>
        <v>0</v>
      </c>
      <c r="H48" s="3239">
        <v>0</v>
      </c>
      <c r="I48" s="3157">
        <f t="shared" si="1"/>
        <v>0</v>
      </c>
      <c r="J48" s="3233"/>
      <c r="K48" s="3271"/>
      <c r="L48" s="3272"/>
      <c r="M48" s="3273"/>
      <c r="O48" s="2366" t="s">
        <v>27862</v>
      </c>
      <c r="P48" s="2366" t="s">
        <v>27691</v>
      </c>
      <c r="Q48" s="2390" t="s">
        <v>27826</v>
      </c>
    </row>
    <row r="49" spans="1:17" ht="14.65" customHeight="1" x14ac:dyDescent="0.45">
      <c r="A49" s="2425" t="s">
        <v>27861</v>
      </c>
      <c r="B49" s="2417" t="s">
        <v>218</v>
      </c>
      <c r="C49" s="2416" t="s">
        <v>27769</v>
      </c>
      <c r="D49" s="3159">
        <f>'6c_Health_part_time'!J53</f>
        <v>0</v>
      </c>
      <c r="E49" s="3160">
        <f>IF(D49=0,0,'Table 6c MF'!D42)</f>
        <v>0</v>
      </c>
      <c r="F49" s="3161" t="str">
        <f>IF(D49=0,"N/A",'Table 6c MF'!E42)</f>
        <v>N/A</v>
      </c>
      <c r="G49" s="3162">
        <f t="shared" si="0"/>
        <v>0</v>
      </c>
      <c r="H49" s="3274">
        <v>0</v>
      </c>
      <c r="I49" s="3303">
        <f t="shared" si="1"/>
        <v>0</v>
      </c>
      <c r="J49" s="3275"/>
      <c r="K49" s="3276"/>
      <c r="L49" s="3263"/>
      <c r="M49" s="3264"/>
      <c r="O49" s="2366" t="s">
        <v>27862</v>
      </c>
      <c r="P49" s="2366" t="s">
        <v>27691</v>
      </c>
      <c r="Q49" s="2390" t="s">
        <v>27688</v>
      </c>
    </row>
    <row r="50" spans="1:17" ht="14.65" customHeight="1" x14ac:dyDescent="0.45">
      <c r="A50" s="2427" t="s">
        <v>27861</v>
      </c>
      <c r="B50" s="2412" t="s">
        <v>218</v>
      </c>
      <c r="C50" s="2411" t="s">
        <v>210</v>
      </c>
      <c r="D50" s="3319">
        <f>'6c_Health_part_time'!J54</f>
        <v>0</v>
      </c>
      <c r="E50" s="3293">
        <f>IF(D50=0,0,'Table 6c MF'!D43)</f>
        <v>0</v>
      </c>
      <c r="F50" s="3294" t="str">
        <f>IF(D50=0,"N/A",'Table 6c MF'!E43)</f>
        <v>N/A</v>
      </c>
      <c r="G50" s="3285">
        <f t="shared" si="0"/>
        <v>0</v>
      </c>
      <c r="H50" s="3277">
        <v>0</v>
      </c>
      <c r="I50" s="3304">
        <f t="shared" si="1"/>
        <v>0</v>
      </c>
      <c r="J50" s="3278"/>
      <c r="K50" s="3267"/>
      <c r="L50" s="3268"/>
      <c r="M50" s="3269"/>
      <c r="O50" s="2366" t="s">
        <v>27864</v>
      </c>
      <c r="P50" s="2366" t="s">
        <v>27685</v>
      </c>
      <c r="Q50" s="2390" t="s">
        <v>27826</v>
      </c>
    </row>
    <row r="51" spans="1:17" ht="14.65" customHeight="1" x14ac:dyDescent="0.45">
      <c r="A51" s="2426" t="s">
        <v>27863</v>
      </c>
      <c r="B51" s="2417" t="s">
        <v>204</v>
      </c>
      <c r="C51" s="2416" t="s">
        <v>27769</v>
      </c>
      <c r="D51" s="3134">
        <f>'6c_Health_part_time'!J55</f>
        <v>0</v>
      </c>
      <c r="E51" s="3135">
        <f>IF(D51=0,0,'Table 6c MF'!D44)</f>
        <v>0</v>
      </c>
      <c r="F51" s="3136" t="str">
        <f>IF(D51=0,"N/A",'Table 6c MF'!E44)</f>
        <v>N/A</v>
      </c>
      <c r="G51" s="3137">
        <f t="shared" si="0"/>
        <v>0</v>
      </c>
      <c r="H51" s="3237">
        <v>0</v>
      </c>
      <c r="I51" s="3138">
        <f t="shared" si="1"/>
        <v>0</v>
      </c>
      <c r="J51" s="3224"/>
      <c r="K51" s="3249"/>
      <c r="L51" s="3270"/>
      <c r="M51" s="3251"/>
      <c r="O51" s="2366" t="s">
        <v>27864</v>
      </c>
      <c r="P51" s="2366" t="s">
        <v>27685</v>
      </c>
      <c r="Q51" s="2390" t="s">
        <v>27688</v>
      </c>
    </row>
    <row r="52" spans="1:17" ht="14.65" customHeight="1" x14ac:dyDescent="0.45">
      <c r="A52" s="2420" t="s">
        <v>27863</v>
      </c>
      <c r="B52" s="2419" t="s">
        <v>204</v>
      </c>
      <c r="C52" s="3310" t="s">
        <v>210</v>
      </c>
      <c r="D52" s="3318">
        <f>'6c_Health_part_time'!J56</f>
        <v>0</v>
      </c>
      <c r="E52" s="3290">
        <f>IF(D52=0,0,'Table 6c MF'!D45)</f>
        <v>0</v>
      </c>
      <c r="F52" s="3291" t="str">
        <f>IF(D52=0,"N/A",'Table 6c MF'!E45)</f>
        <v>N/A</v>
      </c>
      <c r="G52" s="3292">
        <f t="shared" si="0"/>
        <v>0</v>
      </c>
      <c r="H52" s="3239">
        <v>0</v>
      </c>
      <c r="I52" s="3157">
        <f t="shared" si="1"/>
        <v>0</v>
      </c>
      <c r="J52" s="3233"/>
      <c r="K52" s="3271"/>
      <c r="L52" s="3272"/>
      <c r="M52" s="3273"/>
      <c r="O52" s="2366" t="s">
        <v>27864</v>
      </c>
      <c r="P52" s="2366" t="s">
        <v>27691</v>
      </c>
      <c r="Q52" s="2390" t="s">
        <v>27826</v>
      </c>
    </row>
    <row r="53" spans="1:17" ht="14.65" customHeight="1" x14ac:dyDescent="0.45">
      <c r="A53" s="2425" t="s">
        <v>27863</v>
      </c>
      <c r="B53" s="2417" t="s">
        <v>218</v>
      </c>
      <c r="C53" s="2416" t="s">
        <v>27769</v>
      </c>
      <c r="D53" s="3159">
        <f>'6c_Health_part_time'!J57</f>
        <v>0</v>
      </c>
      <c r="E53" s="3160">
        <f>IF(D53=0,0,'Table 6c MF'!D46)</f>
        <v>0</v>
      </c>
      <c r="F53" s="3161" t="str">
        <f>IF(D53=0,"N/A",'Table 6c MF'!E46)</f>
        <v>N/A</v>
      </c>
      <c r="G53" s="3162">
        <f t="shared" si="0"/>
        <v>0</v>
      </c>
      <c r="H53" s="3274">
        <v>0</v>
      </c>
      <c r="I53" s="3303">
        <f t="shared" si="1"/>
        <v>0</v>
      </c>
      <c r="J53" s="3275"/>
      <c r="K53" s="3276"/>
      <c r="L53" s="3263"/>
      <c r="M53" s="3264"/>
      <c r="O53" s="2366" t="s">
        <v>27864</v>
      </c>
      <c r="P53" s="2366" t="s">
        <v>27691</v>
      </c>
      <c r="Q53" s="2390" t="s">
        <v>27688</v>
      </c>
    </row>
    <row r="54" spans="1:17" ht="14.65" customHeight="1" x14ac:dyDescent="0.45">
      <c r="A54" s="2427" t="s">
        <v>27863</v>
      </c>
      <c r="B54" s="2412" t="s">
        <v>218</v>
      </c>
      <c r="C54" s="2411" t="s">
        <v>210</v>
      </c>
      <c r="D54" s="3319">
        <f>'6c_Health_part_time'!J58</f>
        <v>0</v>
      </c>
      <c r="E54" s="3293">
        <f>IF(D54=0,0,'Table 6c MF'!D47)</f>
        <v>0</v>
      </c>
      <c r="F54" s="3294" t="str">
        <f>IF(D54=0,"N/A",'Table 6c MF'!E47)</f>
        <v>N/A</v>
      </c>
      <c r="G54" s="3285">
        <f t="shared" si="0"/>
        <v>0</v>
      </c>
      <c r="H54" s="3277">
        <v>0</v>
      </c>
      <c r="I54" s="3304">
        <f t="shared" si="1"/>
        <v>0</v>
      </c>
      <c r="J54" s="3278"/>
      <c r="K54" s="3267"/>
      <c r="L54" s="3268"/>
      <c r="M54" s="3269"/>
      <c r="O54" s="2366" t="s">
        <v>27866</v>
      </c>
      <c r="P54" s="2366" t="s">
        <v>27685</v>
      </c>
      <c r="Q54" s="2390" t="s">
        <v>27826</v>
      </c>
    </row>
    <row r="55" spans="1:17" ht="14.65" customHeight="1" x14ac:dyDescent="0.45">
      <c r="A55" s="2416" t="s">
        <v>27865</v>
      </c>
      <c r="B55" s="2417" t="s">
        <v>204</v>
      </c>
      <c r="C55" s="2416" t="s">
        <v>27769</v>
      </c>
      <c r="D55" s="3134">
        <f>'6c_Health_part_time'!J59</f>
        <v>0</v>
      </c>
      <c r="E55" s="3135">
        <f>IF(D55=0,0,'Table 6c MF'!D48)</f>
        <v>0</v>
      </c>
      <c r="F55" s="3136" t="str">
        <f>IF(D55=0,"N/A",'Table 6c MF'!E48)</f>
        <v>N/A</v>
      </c>
      <c r="G55" s="3137">
        <f t="shared" si="0"/>
        <v>0</v>
      </c>
      <c r="H55" s="3237">
        <v>0</v>
      </c>
      <c r="I55" s="3138">
        <f t="shared" si="1"/>
        <v>0</v>
      </c>
      <c r="J55" s="3224"/>
      <c r="K55" s="3249"/>
      <c r="L55" s="3270"/>
      <c r="M55" s="3251"/>
      <c r="O55" s="2366" t="s">
        <v>27866</v>
      </c>
      <c r="P55" s="2366" t="s">
        <v>27685</v>
      </c>
      <c r="Q55" s="2390" t="s">
        <v>27688</v>
      </c>
    </row>
    <row r="56" spans="1:17" ht="14.65" customHeight="1" x14ac:dyDescent="0.45">
      <c r="A56" s="2425" t="s">
        <v>27865</v>
      </c>
      <c r="B56" s="2419" t="s">
        <v>204</v>
      </c>
      <c r="C56" s="3310" t="s">
        <v>210</v>
      </c>
      <c r="D56" s="3318">
        <f>'6c_Health_part_time'!J60</f>
        <v>0</v>
      </c>
      <c r="E56" s="3290">
        <f>IF(D56=0,0,'Table 6c MF'!D49)</f>
        <v>0</v>
      </c>
      <c r="F56" s="3291" t="str">
        <f>IF(D56=0,"N/A",'Table 6c MF'!E49)</f>
        <v>N/A</v>
      </c>
      <c r="G56" s="3292">
        <f t="shared" si="0"/>
        <v>0</v>
      </c>
      <c r="H56" s="3239">
        <v>0</v>
      </c>
      <c r="I56" s="3157">
        <f t="shared" si="1"/>
        <v>0</v>
      </c>
      <c r="J56" s="3233"/>
      <c r="K56" s="3271"/>
      <c r="L56" s="3272"/>
      <c r="M56" s="3273"/>
      <c r="O56" s="2366" t="s">
        <v>27866</v>
      </c>
      <c r="P56" s="2366" t="s">
        <v>27691</v>
      </c>
      <c r="Q56" s="2390" t="s">
        <v>27826</v>
      </c>
    </row>
    <row r="57" spans="1:17" ht="14.65" customHeight="1" x14ac:dyDescent="0.45">
      <c r="A57" s="2425" t="s">
        <v>27865</v>
      </c>
      <c r="B57" s="2417" t="s">
        <v>218</v>
      </c>
      <c r="C57" s="2416" t="s">
        <v>27769</v>
      </c>
      <c r="D57" s="3159">
        <f>'6c_Health_part_time'!J61</f>
        <v>0</v>
      </c>
      <c r="E57" s="3160">
        <f>IF(D57=0,0,'Table 6c MF'!D50)</f>
        <v>0</v>
      </c>
      <c r="F57" s="3161" t="str">
        <f>IF(D57=0,"N/A",'Table 6c MF'!E50)</f>
        <v>N/A</v>
      </c>
      <c r="G57" s="3162">
        <f t="shared" si="0"/>
        <v>0</v>
      </c>
      <c r="H57" s="3274">
        <v>0</v>
      </c>
      <c r="I57" s="3303">
        <f t="shared" si="1"/>
        <v>0</v>
      </c>
      <c r="J57" s="3275"/>
      <c r="K57" s="3276"/>
      <c r="L57" s="3263"/>
      <c r="M57" s="3264"/>
      <c r="O57" s="2366" t="s">
        <v>27866</v>
      </c>
      <c r="P57" s="2366" t="s">
        <v>27691</v>
      </c>
      <c r="Q57" s="2390" t="s">
        <v>27688</v>
      </c>
    </row>
    <row r="58" spans="1:17" ht="14.65" customHeight="1" x14ac:dyDescent="0.45">
      <c r="A58" s="2427" t="s">
        <v>27865</v>
      </c>
      <c r="B58" s="2412" t="s">
        <v>218</v>
      </c>
      <c r="C58" s="2411" t="s">
        <v>210</v>
      </c>
      <c r="D58" s="3319">
        <f>'6c_Health_part_time'!J62</f>
        <v>0</v>
      </c>
      <c r="E58" s="3293">
        <f>IF(D58=0,0,'Table 6c MF'!D51)</f>
        <v>0</v>
      </c>
      <c r="F58" s="3294" t="str">
        <f>IF(D58=0,"N/A",'Table 6c MF'!E51)</f>
        <v>N/A</v>
      </c>
      <c r="G58" s="3285">
        <f t="shared" si="0"/>
        <v>0</v>
      </c>
      <c r="H58" s="3277">
        <v>0</v>
      </c>
      <c r="I58" s="3304">
        <f t="shared" si="1"/>
        <v>0</v>
      </c>
      <c r="J58" s="3278"/>
      <c r="K58" s="3267"/>
      <c r="L58" s="3268"/>
      <c r="M58" s="3269"/>
      <c r="O58" s="2366" t="s">
        <v>27868</v>
      </c>
      <c r="P58" s="2366" t="s">
        <v>27685</v>
      </c>
      <c r="Q58" s="2390" t="s">
        <v>27826</v>
      </c>
    </row>
    <row r="59" spans="1:17" ht="14.65" customHeight="1" x14ac:dyDescent="0.45">
      <c r="A59" s="2426" t="s">
        <v>27867</v>
      </c>
      <c r="B59" s="2417" t="s">
        <v>204</v>
      </c>
      <c r="C59" s="2416" t="s">
        <v>27769</v>
      </c>
      <c r="D59" s="3134">
        <f>'6c_Health_part_time'!J63</f>
        <v>0</v>
      </c>
      <c r="E59" s="3135">
        <f>IF(D59=0,0,'Table 6c MF'!D52)</f>
        <v>0</v>
      </c>
      <c r="F59" s="3136" t="str">
        <f>IF(D59=0,"N/A",'Table 6c MF'!E52)</f>
        <v>N/A</v>
      </c>
      <c r="G59" s="3137">
        <f t="shared" si="0"/>
        <v>0</v>
      </c>
      <c r="H59" s="3237">
        <v>0</v>
      </c>
      <c r="I59" s="3138">
        <f t="shared" si="1"/>
        <v>0</v>
      </c>
      <c r="J59" s="3224"/>
      <c r="K59" s="3249"/>
      <c r="L59" s="3270"/>
      <c r="M59" s="3251"/>
      <c r="O59" s="2366" t="s">
        <v>27868</v>
      </c>
      <c r="P59" s="2366" t="s">
        <v>27685</v>
      </c>
      <c r="Q59" s="2390" t="s">
        <v>27688</v>
      </c>
    </row>
    <row r="60" spans="1:17" ht="14.65" customHeight="1" x14ac:dyDescent="0.45">
      <c r="A60" s="2420" t="s">
        <v>27867</v>
      </c>
      <c r="B60" s="2419" t="s">
        <v>204</v>
      </c>
      <c r="C60" s="3310" t="s">
        <v>210</v>
      </c>
      <c r="D60" s="3318">
        <f>'6c_Health_part_time'!J64</f>
        <v>0</v>
      </c>
      <c r="E60" s="3290">
        <f>IF(D60=0,0,'Table 6c MF'!D53)</f>
        <v>0</v>
      </c>
      <c r="F60" s="3291" t="str">
        <f>IF(D60=0,"N/A",'Table 6c MF'!E53)</f>
        <v>N/A</v>
      </c>
      <c r="G60" s="3292">
        <f t="shared" si="0"/>
        <v>0</v>
      </c>
      <c r="H60" s="3239">
        <v>0</v>
      </c>
      <c r="I60" s="3157">
        <f t="shared" si="1"/>
        <v>0</v>
      </c>
      <c r="J60" s="3233"/>
      <c r="K60" s="3271"/>
      <c r="L60" s="3272"/>
      <c r="M60" s="3273"/>
      <c r="O60" s="2366" t="s">
        <v>27868</v>
      </c>
      <c r="P60" s="2366" t="s">
        <v>27691</v>
      </c>
      <c r="Q60" s="2390" t="s">
        <v>27826</v>
      </c>
    </row>
    <row r="61" spans="1:17" ht="14.65" customHeight="1" x14ac:dyDescent="0.45">
      <c r="A61" s="2425" t="s">
        <v>27867</v>
      </c>
      <c r="B61" s="2417" t="s">
        <v>218</v>
      </c>
      <c r="C61" s="2416" t="s">
        <v>27769</v>
      </c>
      <c r="D61" s="3159">
        <f>'6c_Health_part_time'!J65</f>
        <v>0</v>
      </c>
      <c r="E61" s="3160">
        <f>IF(D61=0,0,'Table 6c MF'!D54)</f>
        <v>0</v>
      </c>
      <c r="F61" s="3161" t="str">
        <f>IF(D61=0,"N/A",'Table 6c MF'!E54)</f>
        <v>N/A</v>
      </c>
      <c r="G61" s="3162">
        <f t="shared" si="0"/>
        <v>0</v>
      </c>
      <c r="H61" s="3274">
        <v>0</v>
      </c>
      <c r="I61" s="3303">
        <f t="shared" si="1"/>
        <v>0</v>
      </c>
      <c r="J61" s="3275"/>
      <c r="K61" s="3276"/>
      <c r="L61" s="3263"/>
      <c r="M61" s="3264"/>
      <c r="O61" s="2366" t="s">
        <v>27868</v>
      </c>
      <c r="P61" s="2366" t="s">
        <v>27691</v>
      </c>
      <c r="Q61" s="2390" t="s">
        <v>27688</v>
      </c>
    </row>
    <row r="62" spans="1:17" ht="14.65" customHeight="1" x14ac:dyDescent="0.45">
      <c r="A62" s="2427" t="s">
        <v>27867</v>
      </c>
      <c r="B62" s="2412" t="s">
        <v>218</v>
      </c>
      <c r="C62" s="2411" t="s">
        <v>210</v>
      </c>
      <c r="D62" s="3319">
        <f>'6c_Health_part_time'!J66</f>
        <v>0</v>
      </c>
      <c r="E62" s="3293">
        <f>IF(D62=0,0,'Table 6c MF'!D55)</f>
        <v>0</v>
      </c>
      <c r="F62" s="3294" t="str">
        <f>IF(D62=0,"N/A",'Table 6c MF'!E55)</f>
        <v>N/A</v>
      </c>
      <c r="G62" s="3285">
        <f t="shared" si="0"/>
        <v>0</v>
      </c>
      <c r="H62" s="3277">
        <v>0</v>
      </c>
      <c r="I62" s="3304">
        <f t="shared" si="1"/>
        <v>0</v>
      </c>
      <c r="J62" s="3278"/>
      <c r="K62" s="3267"/>
      <c r="L62" s="3268"/>
      <c r="M62" s="3269"/>
      <c r="O62" s="2366" t="s">
        <v>27870</v>
      </c>
      <c r="P62" s="2366" t="s">
        <v>27685</v>
      </c>
      <c r="Q62" s="2390" t="s">
        <v>27826</v>
      </c>
    </row>
    <row r="63" spans="1:17" ht="14.65" customHeight="1" x14ac:dyDescent="0.45">
      <c r="A63" s="2416" t="s">
        <v>27869</v>
      </c>
      <c r="B63" s="2417" t="s">
        <v>204</v>
      </c>
      <c r="C63" s="2416" t="s">
        <v>27769</v>
      </c>
      <c r="D63" s="3134">
        <f>'6c_Health_part_time'!J67</f>
        <v>0</v>
      </c>
      <c r="E63" s="3135">
        <f>IF(D63=0,0,'Table 6c MF'!D56)</f>
        <v>0</v>
      </c>
      <c r="F63" s="3136" t="str">
        <f>IF(D63=0,"N/A",'Table 6c MF'!E56)</f>
        <v>N/A</v>
      </c>
      <c r="G63" s="3137">
        <f t="shared" si="0"/>
        <v>0</v>
      </c>
      <c r="H63" s="3237">
        <v>0</v>
      </c>
      <c r="I63" s="3138">
        <f t="shared" si="1"/>
        <v>0</v>
      </c>
      <c r="J63" s="3224"/>
      <c r="K63" s="3249"/>
      <c r="L63" s="3270"/>
      <c r="M63" s="3251"/>
      <c r="O63" s="2366" t="s">
        <v>27870</v>
      </c>
      <c r="P63" s="2366" t="s">
        <v>27685</v>
      </c>
      <c r="Q63" s="2390" t="s">
        <v>27688</v>
      </c>
    </row>
    <row r="64" spans="1:17" ht="14.65" customHeight="1" x14ac:dyDescent="0.45">
      <c r="A64" s="2425" t="s">
        <v>27869</v>
      </c>
      <c r="B64" s="2419" t="s">
        <v>204</v>
      </c>
      <c r="C64" s="3310" t="s">
        <v>210</v>
      </c>
      <c r="D64" s="3318">
        <f>'6c_Health_part_time'!J68</f>
        <v>0</v>
      </c>
      <c r="E64" s="3290">
        <f>IF(D64=0,0,'Table 6c MF'!D57)</f>
        <v>0</v>
      </c>
      <c r="F64" s="3291" t="str">
        <f>IF(D64=0,"N/A",'Table 6c MF'!E57)</f>
        <v>N/A</v>
      </c>
      <c r="G64" s="3292">
        <f t="shared" si="0"/>
        <v>0</v>
      </c>
      <c r="H64" s="3239">
        <v>0</v>
      </c>
      <c r="I64" s="3157">
        <f t="shared" si="1"/>
        <v>0</v>
      </c>
      <c r="J64" s="3233"/>
      <c r="K64" s="3271"/>
      <c r="L64" s="3272"/>
      <c r="M64" s="3273"/>
      <c r="O64" s="2366" t="s">
        <v>27870</v>
      </c>
      <c r="P64" s="2366" t="s">
        <v>27691</v>
      </c>
      <c r="Q64" s="2390" t="s">
        <v>27826</v>
      </c>
    </row>
    <row r="65" spans="1:17" ht="14.65" customHeight="1" x14ac:dyDescent="0.45">
      <c r="A65" s="2425" t="s">
        <v>27869</v>
      </c>
      <c r="B65" s="2417" t="s">
        <v>218</v>
      </c>
      <c r="C65" s="2416" t="s">
        <v>27769</v>
      </c>
      <c r="D65" s="3159">
        <f>'6c_Health_part_time'!J69</f>
        <v>0</v>
      </c>
      <c r="E65" s="3160">
        <f>IF(D65=0,0,'Table 6c MF'!D58)</f>
        <v>0</v>
      </c>
      <c r="F65" s="3161" t="str">
        <f>IF(D65=0,"N/A",'Table 6c MF'!E58)</f>
        <v>N/A</v>
      </c>
      <c r="G65" s="3162">
        <f t="shared" si="0"/>
        <v>0</v>
      </c>
      <c r="H65" s="3274">
        <v>0</v>
      </c>
      <c r="I65" s="3303">
        <f t="shared" si="1"/>
        <v>0</v>
      </c>
      <c r="J65" s="3275"/>
      <c r="K65" s="3276"/>
      <c r="L65" s="3263"/>
      <c r="M65" s="3264"/>
      <c r="O65" s="2366" t="s">
        <v>27870</v>
      </c>
      <c r="P65" s="2366" t="s">
        <v>27691</v>
      </c>
      <c r="Q65" s="2390" t="s">
        <v>27688</v>
      </c>
    </row>
    <row r="66" spans="1:17" ht="14.65" customHeight="1" x14ac:dyDescent="0.45">
      <c r="A66" s="2427" t="s">
        <v>27869</v>
      </c>
      <c r="B66" s="2412" t="s">
        <v>218</v>
      </c>
      <c r="C66" s="2411" t="s">
        <v>210</v>
      </c>
      <c r="D66" s="3319">
        <f>'6c_Health_part_time'!J70</f>
        <v>0</v>
      </c>
      <c r="E66" s="3293">
        <f>IF(D66=0,0,'Table 6c MF'!D59)</f>
        <v>0</v>
      </c>
      <c r="F66" s="3294" t="str">
        <f>IF(D66=0,"N/A",'Table 6c MF'!E59)</f>
        <v>N/A</v>
      </c>
      <c r="G66" s="3285">
        <f t="shared" si="0"/>
        <v>0</v>
      </c>
      <c r="H66" s="3277">
        <v>0</v>
      </c>
      <c r="I66" s="3304">
        <f t="shared" si="1"/>
        <v>0</v>
      </c>
      <c r="J66" s="3278"/>
      <c r="K66" s="3267"/>
      <c r="L66" s="3268"/>
      <c r="M66" s="3269"/>
      <c r="O66" s="2366" t="s">
        <v>27872</v>
      </c>
      <c r="P66" s="2366" t="s">
        <v>27685</v>
      </c>
      <c r="Q66" s="2390" t="s">
        <v>27826</v>
      </c>
    </row>
    <row r="67" spans="1:17" ht="14.65" customHeight="1" x14ac:dyDescent="0.45">
      <c r="A67" s="2426" t="s">
        <v>27871</v>
      </c>
      <c r="B67" s="2417" t="s">
        <v>204</v>
      </c>
      <c r="C67" s="2416" t="s">
        <v>27769</v>
      </c>
      <c r="D67" s="3134">
        <f>'6c_Health_part_time'!J71</f>
        <v>0</v>
      </c>
      <c r="E67" s="3135">
        <f>IF(D67=0,0,'Table 6c MF'!D60)</f>
        <v>0</v>
      </c>
      <c r="F67" s="3136" t="str">
        <f>IF(D67=0,"N/A",'Table 6c MF'!E60)</f>
        <v>N/A</v>
      </c>
      <c r="G67" s="3137">
        <f t="shared" si="0"/>
        <v>0</v>
      </c>
      <c r="H67" s="3237">
        <v>0</v>
      </c>
      <c r="I67" s="3138">
        <f t="shared" si="1"/>
        <v>0</v>
      </c>
      <c r="J67" s="3224"/>
      <c r="K67" s="3249"/>
      <c r="L67" s="3270"/>
      <c r="M67" s="3251"/>
      <c r="O67" s="2366" t="s">
        <v>27872</v>
      </c>
      <c r="P67" s="2366" t="s">
        <v>27685</v>
      </c>
      <c r="Q67" s="2390" t="s">
        <v>27688</v>
      </c>
    </row>
    <row r="68" spans="1:17" ht="14.65" customHeight="1" x14ac:dyDescent="0.45">
      <c r="A68" s="2420" t="s">
        <v>27871</v>
      </c>
      <c r="B68" s="2419" t="s">
        <v>204</v>
      </c>
      <c r="C68" s="3310" t="s">
        <v>210</v>
      </c>
      <c r="D68" s="3318">
        <f>'6c_Health_part_time'!J72</f>
        <v>0</v>
      </c>
      <c r="E68" s="3290">
        <f>IF(D68=0,0,'Table 6c MF'!D61)</f>
        <v>0</v>
      </c>
      <c r="F68" s="3291" t="str">
        <f>IF(D68=0,"N/A",'Table 6c MF'!E61)</f>
        <v>N/A</v>
      </c>
      <c r="G68" s="3292">
        <f t="shared" si="0"/>
        <v>0</v>
      </c>
      <c r="H68" s="3239">
        <v>0</v>
      </c>
      <c r="I68" s="3157">
        <f t="shared" si="1"/>
        <v>0</v>
      </c>
      <c r="J68" s="3233"/>
      <c r="K68" s="3271"/>
      <c r="L68" s="3272"/>
      <c r="M68" s="3273"/>
      <c r="O68" s="2366" t="s">
        <v>27872</v>
      </c>
      <c r="P68" s="2366" t="s">
        <v>27691</v>
      </c>
      <c r="Q68" s="2390" t="s">
        <v>27826</v>
      </c>
    </row>
    <row r="69" spans="1:17" ht="14.65" customHeight="1" x14ac:dyDescent="0.45">
      <c r="A69" s="2425" t="s">
        <v>27871</v>
      </c>
      <c r="B69" s="2417" t="s">
        <v>218</v>
      </c>
      <c r="C69" s="2416" t="s">
        <v>27769</v>
      </c>
      <c r="D69" s="3159">
        <f>'6c_Health_part_time'!J73</f>
        <v>0</v>
      </c>
      <c r="E69" s="3160">
        <f>IF(D69=0,0,'Table 6c MF'!D62)</f>
        <v>0</v>
      </c>
      <c r="F69" s="3161" t="str">
        <f>IF(D69=0,"N/A",'Table 6c MF'!E62)</f>
        <v>N/A</v>
      </c>
      <c r="G69" s="3162">
        <f t="shared" si="0"/>
        <v>0</v>
      </c>
      <c r="H69" s="3274">
        <v>0</v>
      </c>
      <c r="I69" s="3303">
        <f t="shared" si="1"/>
        <v>0</v>
      </c>
      <c r="J69" s="3275"/>
      <c r="K69" s="3276"/>
      <c r="L69" s="3263"/>
      <c r="M69" s="3264"/>
      <c r="O69" s="2366" t="s">
        <v>27872</v>
      </c>
      <c r="P69" s="2366" t="s">
        <v>27691</v>
      </c>
      <c r="Q69" s="2390" t="s">
        <v>27688</v>
      </c>
    </row>
    <row r="70" spans="1:17" ht="14.65" customHeight="1" x14ac:dyDescent="0.45">
      <c r="A70" s="2427" t="s">
        <v>27871</v>
      </c>
      <c r="B70" s="2412" t="s">
        <v>218</v>
      </c>
      <c r="C70" s="2411" t="s">
        <v>210</v>
      </c>
      <c r="D70" s="3319">
        <f>'6c_Health_part_time'!J74</f>
        <v>0</v>
      </c>
      <c r="E70" s="3293">
        <f>IF(D70=0,0,'Table 6c MF'!D63)</f>
        <v>0</v>
      </c>
      <c r="F70" s="3294" t="str">
        <f>IF(D70=0,"N/A",'Table 6c MF'!E63)</f>
        <v>N/A</v>
      </c>
      <c r="G70" s="3285">
        <f t="shared" si="0"/>
        <v>0</v>
      </c>
      <c r="H70" s="3277">
        <v>0</v>
      </c>
      <c r="I70" s="3304">
        <f t="shared" si="1"/>
        <v>0</v>
      </c>
      <c r="J70" s="3278"/>
      <c r="K70" s="3267"/>
      <c r="L70" s="3268"/>
      <c r="M70" s="3269"/>
      <c r="O70" s="2366" t="s">
        <v>27874</v>
      </c>
      <c r="P70" s="2366" t="s">
        <v>27685</v>
      </c>
      <c r="Q70" s="2390" t="s">
        <v>27826</v>
      </c>
    </row>
    <row r="71" spans="1:17" ht="14.65" customHeight="1" x14ac:dyDescent="0.45">
      <c r="A71" s="2426" t="s">
        <v>27873</v>
      </c>
      <c r="B71" s="2417" t="s">
        <v>204</v>
      </c>
      <c r="C71" s="2416" t="s">
        <v>27769</v>
      </c>
      <c r="D71" s="3134">
        <f>'6c_Health_part_time'!J75</f>
        <v>0</v>
      </c>
      <c r="E71" s="3135">
        <f>IF(D71=0,0,'Table 6c MF'!D64)</f>
        <v>0</v>
      </c>
      <c r="F71" s="3136" t="str">
        <f>IF(D71=0,"N/A",'Table 6c MF'!E64)</f>
        <v>N/A</v>
      </c>
      <c r="G71" s="3137">
        <f t="shared" si="0"/>
        <v>0</v>
      </c>
      <c r="H71" s="3237">
        <v>0</v>
      </c>
      <c r="I71" s="3138">
        <f t="shared" si="1"/>
        <v>0</v>
      </c>
      <c r="J71" s="3224"/>
      <c r="K71" s="3249"/>
      <c r="L71" s="3270"/>
      <c r="M71" s="3251"/>
      <c r="O71" s="2366" t="s">
        <v>27874</v>
      </c>
      <c r="P71" s="2366" t="s">
        <v>27685</v>
      </c>
      <c r="Q71" s="2390" t="s">
        <v>27688</v>
      </c>
    </row>
    <row r="72" spans="1:17" ht="14.65" customHeight="1" x14ac:dyDescent="0.45">
      <c r="A72" s="2420" t="s">
        <v>27873</v>
      </c>
      <c r="B72" s="2419" t="s">
        <v>204</v>
      </c>
      <c r="C72" s="3310" t="s">
        <v>210</v>
      </c>
      <c r="D72" s="3318">
        <f>'6c_Health_part_time'!J76</f>
        <v>0</v>
      </c>
      <c r="E72" s="3290">
        <f>IF(D72=0,0,'Table 6c MF'!D65)</f>
        <v>0</v>
      </c>
      <c r="F72" s="3291" t="str">
        <f>IF(D72=0,"N/A",'Table 6c MF'!E65)</f>
        <v>N/A</v>
      </c>
      <c r="G72" s="3292">
        <f t="shared" si="0"/>
        <v>0</v>
      </c>
      <c r="H72" s="3239">
        <v>0</v>
      </c>
      <c r="I72" s="3157">
        <f t="shared" si="1"/>
        <v>0</v>
      </c>
      <c r="J72" s="3233"/>
      <c r="K72" s="3271"/>
      <c r="L72" s="3272"/>
      <c r="M72" s="3273"/>
      <c r="O72" s="2366" t="s">
        <v>27874</v>
      </c>
      <c r="P72" s="2366" t="s">
        <v>27691</v>
      </c>
      <c r="Q72" s="2390" t="s">
        <v>27826</v>
      </c>
    </row>
    <row r="73" spans="1:17" ht="14.65" customHeight="1" x14ac:dyDescent="0.45">
      <c r="A73" s="2425" t="s">
        <v>27873</v>
      </c>
      <c r="B73" s="2417" t="s">
        <v>218</v>
      </c>
      <c r="C73" s="2416" t="s">
        <v>27769</v>
      </c>
      <c r="D73" s="3159">
        <f>'6c_Health_part_time'!J77</f>
        <v>0</v>
      </c>
      <c r="E73" s="3160">
        <f>IF(D73=0,0,'Table 6c MF'!D66)</f>
        <v>0</v>
      </c>
      <c r="F73" s="3161" t="str">
        <f>IF(D73=0,"N/A",'Table 6c MF'!E66)</f>
        <v>N/A</v>
      </c>
      <c r="G73" s="3162">
        <f t="shared" si="0"/>
        <v>0</v>
      </c>
      <c r="H73" s="3274">
        <v>0</v>
      </c>
      <c r="I73" s="3303">
        <f t="shared" si="1"/>
        <v>0</v>
      </c>
      <c r="J73" s="3275"/>
      <c r="K73" s="3276"/>
      <c r="L73" s="3263"/>
      <c r="M73" s="3264"/>
      <c r="O73" s="2366" t="s">
        <v>27874</v>
      </c>
      <c r="P73" s="2366" t="s">
        <v>27691</v>
      </c>
      <c r="Q73" s="2390" t="s">
        <v>27688</v>
      </c>
    </row>
    <row r="74" spans="1:17" ht="14.65" customHeight="1" x14ac:dyDescent="0.45">
      <c r="A74" s="2427" t="s">
        <v>27873</v>
      </c>
      <c r="B74" s="2412" t="s">
        <v>218</v>
      </c>
      <c r="C74" s="2411" t="s">
        <v>210</v>
      </c>
      <c r="D74" s="3319">
        <f>'6c_Health_part_time'!J78</f>
        <v>0</v>
      </c>
      <c r="E74" s="3293">
        <f>IF(D74=0,0,'Table 6c MF'!D67)</f>
        <v>0</v>
      </c>
      <c r="F74" s="3294" t="str">
        <f>IF(D74=0,"N/A",'Table 6c MF'!E67)</f>
        <v>N/A</v>
      </c>
      <c r="G74" s="3285">
        <f t="shared" si="0"/>
        <v>0</v>
      </c>
      <c r="H74" s="3277">
        <v>0</v>
      </c>
      <c r="I74" s="3304">
        <f t="shared" si="1"/>
        <v>0</v>
      </c>
      <c r="J74" s="3278"/>
      <c r="K74" s="3267"/>
      <c r="L74" s="3268"/>
      <c r="M74" s="3269"/>
      <c r="O74" s="2366" t="s">
        <v>27876</v>
      </c>
      <c r="P74" s="2366" t="s">
        <v>27685</v>
      </c>
      <c r="Q74" s="2390" t="s">
        <v>27826</v>
      </c>
    </row>
    <row r="75" spans="1:17" ht="14.65" customHeight="1" x14ac:dyDescent="0.45">
      <c r="A75" s="2426" t="s">
        <v>27875</v>
      </c>
      <c r="B75" s="2428" t="s">
        <v>204</v>
      </c>
      <c r="C75" s="2429" t="s">
        <v>27769</v>
      </c>
      <c r="D75" s="3134">
        <f>'6c_Health_part_time'!J79</f>
        <v>0</v>
      </c>
      <c r="E75" s="3135">
        <f>IF(D75=0,0,'Table 6c MF'!D68)</f>
        <v>0</v>
      </c>
      <c r="F75" s="3136" t="str">
        <f>IF(D75=0,"N/A",'Table 6c MF'!E68)</f>
        <v>N/A</v>
      </c>
      <c r="G75" s="3137">
        <f t="shared" ref="G75:G82" si="2">D75*E75</f>
        <v>0</v>
      </c>
      <c r="H75" s="3237">
        <v>0</v>
      </c>
      <c r="I75" s="3138">
        <f t="shared" ref="I75:I82" si="3">IF(H75&gt;0,D75*H75, 0)</f>
        <v>0</v>
      </c>
      <c r="J75" s="3224"/>
      <c r="K75" s="3249"/>
      <c r="L75" s="3270"/>
      <c r="M75" s="3251"/>
      <c r="O75" s="2366" t="s">
        <v>27876</v>
      </c>
      <c r="P75" s="2366" t="s">
        <v>27685</v>
      </c>
      <c r="Q75" s="2390" t="s">
        <v>27688</v>
      </c>
    </row>
    <row r="76" spans="1:17" ht="14.65" customHeight="1" x14ac:dyDescent="0.45">
      <c r="A76" s="2420" t="s">
        <v>27875</v>
      </c>
      <c r="B76" s="2419" t="s">
        <v>204</v>
      </c>
      <c r="C76" s="3310" t="s">
        <v>210</v>
      </c>
      <c r="D76" s="3318">
        <f>'6c_Health_part_time'!J80</f>
        <v>0</v>
      </c>
      <c r="E76" s="3290">
        <f>IF(D76=0,0,'Table 6c MF'!D69)</f>
        <v>0</v>
      </c>
      <c r="F76" s="3291" t="str">
        <f>IF(D76=0,"N/A",'Table 6c MF'!E69)</f>
        <v>N/A</v>
      </c>
      <c r="G76" s="3292">
        <f t="shared" si="2"/>
        <v>0</v>
      </c>
      <c r="H76" s="3239">
        <v>0</v>
      </c>
      <c r="I76" s="3157">
        <f t="shared" si="3"/>
        <v>0</v>
      </c>
      <c r="J76" s="3233"/>
      <c r="K76" s="3271"/>
      <c r="L76" s="3272"/>
      <c r="M76" s="3273"/>
      <c r="O76" s="2366" t="s">
        <v>27876</v>
      </c>
      <c r="P76" s="2366" t="s">
        <v>27691</v>
      </c>
      <c r="Q76" s="2390" t="s">
        <v>27826</v>
      </c>
    </row>
    <row r="77" spans="1:17" ht="14.65" customHeight="1" x14ac:dyDescent="0.45">
      <c r="A77" s="2425" t="s">
        <v>27875</v>
      </c>
      <c r="B77" s="2417" t="s">
        <v>218</v>
      </c>
      <c r="C77" s="2416" t="s">
        <v>27769</v>
      </c>
      <c r="D77" s="3159">
        <f>'6c_Health_part_time'!J81</f>
        <v>0</v>
      </c>
      <c r="E77" s="3160">
        <f>IF(D77=0,0,'Table 6c MF'!D70)</f>
        <v>0</v>
      </c>
      <c r="F77" s="3161" t="str">
        <f>IF(D77=0,"N/A",'Table 6c MF'!E70)</f>
        <v>N/A</v>
      </c>
      <c r="G77" s="3162">
        <f t="shared" si="2"/>
        <v>0</v>
      </c>
      <c r="H77" s="3274">
        <v>0</v>
      </c>
      <c r="I77" s="3303">
        <f t="shared" si="3"/>
        <v>0</v>
      </c>
      <c r="J77" s="3275"/>
      <c r="K77" s="3276"/>
      <c r="L77" s="3263"/>
      <c r="M77" s="3264"/>
      <c r="O77" s="2366" t="s">
        <v>27876</v>
      </c>
      <c r="P77" s="2366" t="s">
        <v>27691</v>
      </c>
      <c r="Q77" s="2390" t="s">
        <v>27688</v>
      </c>
    </row>
    <row r="78" spans="1:17" ht="14.65" customHeight="1" x14ac:dyDescent="0.45">
      <c r="A78" s="2427" t="s">
        <v>27875</v>
      </c>
      <c r="B78" s="2412" t="s">
        <v>218</v>
      </c>
      <c r="C78" s="2411" t="s">
        <v>210</v>
      </c>
      <c r="D78" s="3319">
        <f>'6c_Health_part_time'!J82</f>
        <v>0</v>
      </c>
      <c r="E78" s="3293">
        <f>IF(D78=0,0,'Table 6c MF'!D71)</f>
        <v>0</v>
      </c>
      <c r="F78" s="3294" t="str">
        <f>IF(D78=0,"N/A",'Table 6c MF'!E71)</f>
        <v>N/A</v>
      </c>
      <c r="G78" s="3285">
        <f t="shared" si="2"/>
        <v>0</v>
      </c>
      <c r="H78" s="3277">
        <v>0</v>
      </c>
      <c r="I78" s="3304">
        <f t="shared" si="3"/>
        <v>0</v>
      </c>
      <c r="J78" s="3278"/>
      <c r="K78" s="3267"/>
      <c r="L78" s="3268"/>
      <c r="M78" s="3269"/>
      <c r="O78" s="2366" t="s">
        <v>27878</v>
      </c>
      <c r="P78" s="2366" t="s">
        <v>27685</v>
      </c>
      <c r="Q78" s="2390" t="s">
        <v>27826</v>
      </c>
    </row>
    <row r="79" spans="1:17" ht="14.65" customHeight="1" x14ac:dyDescent="0.45">
      <c r="A79" s="2426" t="s">
        <v>27877</v>
      </c>
      <c r="B79" s="2417" t="s">
        <v>204</v>
      </c>
      <c r="C79" s="2416" t="s">
        <v>27769</v>
      </c>
      <c r="D79" s="3134">
        <f>'6c_Health_part_time'!J83</f>
        <v>0</v>
      </c>
      <c r="E79" s="3135">
        <f>IF(D79=0,0,'Table 6c MF'!D72)</f>
        <v>0</v>
      </c>
      <c r="F79" s="3136" t="str">
        <f>IF(D79=0,"N/A",'Table 6c MF'!E72)</f>
        <v>N/A</v>
      </c>
      <c r="G79" s="3137">
        <f t="shared" si="2"/>
        <v>0</v>
      </c>
      <c r="H79" s="3237">
        <v>0</v>
      </c>
      <c r="I79" s="3138">
        <f t="shared" si="3"/>
        <v>0</v>
      </c>
      <c r="J79" s="3224"/>
      <c r="K79" s="3249"/>
      <c r="L79" s="3270"/>
      <c r="M79" s="3251"/>
      <c r="O79" s="2366" t="s">
        <v>27878</v>
      </c>
      <c r="P79" s="2366" t="s">
        <v>27685</v>
      </c>
      <c r="Q79" s="2390" t="s">
        <v>27688</v>
      </c>
    </row>
    <row r="80" spans="1:17" ht="14.65" customHeight="1" x14ac:dyDescent="0.45">
      <c r="A80" s="2420" t="s">
        <v>27877</v>
      </c>
      <c r="B80" s="2419" t="s">
        <v>204</v>
      </c>
      <c r="C80" s="3310" t="s">
        <v>210</v>
      </c>
      <c r="D80" s="3318">
        <f>'6c_Health_part_time'!J84</f>
        <v>0</v>
      </c>
      <c r="E80" s="3290">
        <f>IF(D80=0,0,'Table 6c MF'!D73)</f>
        <v>0</v>
      </c>
      <c r="F80" s="3291" t="str">
        <f>IF(D80=0,"N/A",'Table 6c MF'!E73)</f>
        <v>N/A</v>
      </c>
      <c r="G80" s="3292">
        <f t="shared" si="2"/>
        <v>0</v>
      </c>
      <c r="H80" s="3239">
        <v>0</v>
      </c>
      <c r="I80" s="3157">
        <f t="shared" si="3"/>
        <v>0</v>
      </c>
      <c r="J80" s="3233"/>
      <c r="K80" s="3271"/>
      <c r="L80" s="3272"/>
      <c r="M80" s="3273"/>
      <c r="O80" s="2366" t="s">
        <v>27878</v>
      </c>
      <c r="P80" s="2366" t="s">
        <v>27691</v>
      </c>
      <c r="Q80" s="2390" t="s">
        <v>27826</v>
      </c>
    </row>
    <row r="81" spans="1:17" ht="14.65" customHeight="1" x14ac:dyDescent="0.45">
      <c r="A81" s="2425" t="s">
        <v>27877</v>
      </c>
      <c r="B81" s="2417" t="s">
        <v>218</v>
      </c>
      <c r="C81" s="2416" t="s">
        <v>27769</v>
      </c>
      <c r="D81" s="3159">
        <f>'6c_Health_part_time'!J85</f>
        <v>0</v>
      </c>
      <c r="E81" s="3160">
        <f>IF(D81=0,0,'Table 6c MF'!D74)</f>
        <v>0</v>
      </c>
      <c r="F81" s="3161" t="str">
        <f>IF(D81=0,"N/A",'Table 6c MF'!E74)</f>
        <v>N/A</v>
      </c>
      <c r="G81" s="3162">
        <f t="shared" si="2"/>
        <v>0</v>
      </c>
      <c r="H81" s="3274">
        <v>0</v>
      </c>
      <c r="I81" s="3303">
        <f t="shared" si="3"/>
        <v>0</v>
      </c>
      <c r="J81" s="3275"/>
      <c r="K81" s="3276"/>
      <c r="L81" s="3263"/>
      <c r="M81" s="3264"/>
      <c r="O81" s="2366" t="s">
        <v>27878</v>
      </c>
      <c r="P81" s="2366" t="s">
        <v>27691</v>
      </c>
      <c r="Q81" s="2390" t="s">
        <v>27688</v>
      </c>
    </row>
    <row r="82" spans="1:17" ht="14.65" customHeight="1" thickBot="1" x14ac:dyDescent="0.5">
      <c r="A82" s="2424" t="s">
        <v>27877</v>
      </c>
      <c r="B82" s="2423" t="s">
        <v>218</v>
      </c>
      <c r="C82" s="2422" t="s">
        <v>210</v>
      </c>
      <c r="D82" s="3320">
        <f>'6c_Health_part_time'!J86</f>
        <v>0</v>
      </c>
      <c r="E82" s="3177">
        <f>IF(D82=0,0,'Table 6c MF'!D75)</f>
        <v>0</v>
      </c>
      <c r="F82" s="3295" t="str">
        <f>IF(D82=0,"N/A",'Table 6c MF'!E75)</f>
        <v>N/A</v>
      </c>
      <c r="G82" s="3296">
        <f t="shared" si="2"/>
        <v>0</v>
      </c>
      <c r="H82" s="3279">
        <v>0</v>
      </c>
      <c r="I82" s="3305">
        <f t="shared" si="3"/>
        <v>0</v>
      </c>
      <c r="J82" s="3280"/>
      <c r="K82" s="3281"/>
      <c r="L82" s="3282"/>
      <c r="M82" s="3283"/>
      <c r="O82" s="2366" t="s">
        <v>28321</v>
      </c>
      <c r="P82" s="2366" t="s">
        <v>27685</v>
      </c>
      <c r="Q82" s="2390" t="s">
        <v>27826</v>
      </c>
    </row>
    <row r="83" spans="1:17" ht="14.65" customHeight="1" thickTop="1" x14ac:dyDescent="0.45">
      <c r="A83" s="2421" t="s">
        <v>27879</v>
      </c>
      <c r="B83" s="2417" t="s">
        <v>204</v>
      </c>
      <c r="C83" s="2416" t="s">
        <v>27769</v>
      </c>
      <c r="D83" s="3321">
        <f>'6c_Health_part_time'!J87</f>
        <v>0</v>
      </c>
      <c r="E83" s="2318"/>
      <c r="F83" s="2327"/>
      <c r="G83" s="3182">
        <f>SUM(G9,G13,G19,G23,G27,G31,G35,G39,G43,G47,G51,G55,G59,G63,G67,G71,G75,G79)</f>
        <v>0</v>
      </c>
      <c r="H83" s="2415"/>
      <c r="I83" s="2414"/>
      <c r="J83" s="2413"/>
      <c r="K83" s="2304"/>
      <c r="L83" s="2303"/>
      <c r="M83" s="2303"/>
      <c r="N83" s="3309"/>
      <c r="O83" s="2366" t="s">
        <v>28321</v>
      </c>
      <c r="P83" s="2366" t="s">
        <v>27685</v>
      </c>
      <c r="Q83" s="2390" t="s">
        <v>27688</v>
      </c>
    </row>
    <row r="84" spans="1:17" ht="14.65" customHeight="1" x14ac:dyDescent="0.45">
      <c r="A84" s="2420" t="s">
        <v>27879</v>
      </c>
      <c r="B84" s="2419" t="s">
        <v>204</v>
      </c>
      <c r="C84" s="3310" t="s">
        <v>27880</v>
      </c>
      <c r="D84" s="3322">
        <f>'6c_Health_part_time'!J88</f>
        <v>0</v>
      </c>
      <c r="E84" s="2318"/>
      <c r="F84" s="2317"/>
      <c r="G84" s="3284">
        <f>SUM(G17,G20,G24,G28,G32,G36,G40,G44,G48,G52,G56,G60,G64,G68,G72,G76,G80)</f>
        <v>0</v>
      </c>
      <c r="H84" s="2415"/>
      <c r="I84" s="2414"/>
      <c r="J84" s="2413"/>
      <c r="K84" s="2304"/>
      <c r="L84" s="2303"/>
      <c r="M84" s="2303"/>
      <c r="N84" s="3309"/>
      <c r="O84" s="2366" t="s">
        <v>28321</v>
      </c>
      <c r="P84" s="2366" t="s">
        <v>27691</v>
      </c>
      <c r="Q84" s="2390" t="s">
        <v>27826</v>
      </c>
    </row>
    <row r="85" spans="1:17" ht="14.65" customHeight="1" x14ac:dyDescent="0.45">
      <c r="A85" s="2388" t="s">
        <v>27879</v>
      </c>
      <c r="B85" s="2417" t="s">
        <v>218</v>
      </c>
      <c r="C85" s="2416" t="s">
        <v>27769</v>
      </c>
      <c r="D85" s="3323">
        <f>'6c_Health_part_time'!J89</f>
        <v>0</v>
      </c>
      <c r="E85" s="2318"/>
      <c r="F85" s="2317"/>
      <c r="G85" s="3162">
        <f>SUM(G11,G15,G21,G25,G29,G33,G37,G41,G45,G49,G53,G57,G61,G65,G69,G73,G77,G81)</f>
        <v>0</v>
      </c>
      <c r="H85" s="2415"/>
      <c r="I85" s="2414"/>
      <c r="J85" s="2413"/>
      <c r="K85" s="2304"/>
      <c r="L85" s="2303"/>
      <c r="M85" s="2303"/>
      <c r="N85" s="3309"/>
      <c r="O85" s="2366" t="s">
        <v>28321</v>
      </c>
      <c r="P85" s="2366" t="s">
        <v>27691</v>
      </c>
      <c r="Q85" s="2390" t="s">
        <v>27688</v>
      </c>
    </row>
    <row r="86" spans="1:17" ht="14.65" customHeight="1" x14ac:dyDescent="0.45">
      <c r="A86" s="2388" t="s">
        <v>27879</v>
      </c>
      <c r="B86" s="2412" t="s">
        <v>218</v>
      </c>
      <c r="C86" s="2411" t="s">
        <v>27880</v>
      </c>
      <c r="D86" s="3324">
        <f>'6c_Health_part_time'!J90</f>
        <v>0</v>
      </c>
      <c r="E86" s="2410"/>
      <c r="F86" s="2409"/>
      <c r="G86" s="3285">
        <f>SUM(G18,G22,G26,G30,G34,G38,G42,G46,G50,G54,G58,G62,G66,G70,G74,G78,G82)</f>
        <v>0</v>
      </c>
      <c r="H86" s="2408"/>
      <c r="I86" s="2407"/>
      <c r="J86" s="2406"/>
      <c r="K86" s="2405"/>
      <c r="L86" s="2404"/>
      <c r="M86" s="2403"/>
      <c r="O86" s="2366" t="s">
        <v>28321</v>
      </c>
      <c r="P86" s="2366" t="s">
        <v>203</v>
      </c>
      <c r="Q86" s="2390" t="s">
        <v>28321</v>
      </c>
    </row>
    <row r="87" spans="1:17" ht="14.25" customHeight="1" thickBot="1" x14ac:dyDescent="0.5">
      <c r="A87" s="2402" t="s">
        <v>27879</v>
      </c>
      <c r="B87" s="2401" t="s">
        <v>27695</v>
      </c>
      <c r="C87" s="2400" t="s">
        <v>27696</v>
      </c>
      <c r="D87" s="3325">
        <f>'6c_Health_part_time'!J91</f>
        <v>0</v>
      </c>
      <c r="E87" s="2399"/>
      <c r="F87" s="2398"/>
      <c r="G87" s="3286">
        <f>SUM(G83:G86)</f>
        <v>0</v>
      </c>
      <c r="H87" s="2397"/>
      <c r="I87" s="2396"/>
      <c r="J87" s="2395"/>
      <c r="K87" s="2394"/>
      <c r="L87" s="2393"/>
      <c r="M87" s="2392"/>
    </row>
    <row r="88" spans="1:17" ht="14.25" hidden="1" customHeight="1" x14ac:dyDescent="0.45">
      <c r="A88" s="2388"/>
      <c r="B88" s="2361"/>
      <c r="C88" s="2385"/>
      <c r="D88"/>
      <c r="E88"/>
      <c r="F88"/>
    </row>
    <row r="89" spans="1:17" ht="14.25" hidden="1" customHeight="1" x14ac:dyDescent="0.45">
      <c r="A89" s="2383"/>
      <c r="B89" s="2362"/>
      <c r="C89" s="2385"/>
      <c r="D89" s="2362"/>
      <c r="E89" s="2362"/>
      <c r="F89" s="2362"/>
      <c r="G89" s="2282" t="s">
        <v>29724</v>
      </c>
      <c r="H89" s="3104" t="s">
        <v>29390</v>
      </c>
      <c r="I89" s="2284"/>
      <c r="J89" s="2378" t="s">
        <v>29389</v>
      </c>
      <c r="K89" s="2282" t="s">
        <v>29388</v>
      </c>
      <c r="L89" s="2282" t="s">
        <v>29387</v>
      </c>
      <c r="M89" s="2282" t="s">
        <v>29386</v>
      </c>
    </row>
    <row r="90" spans="1:17" ht="14.25" customHeight="1" x14ac:dyDescent="0.45">
      <c r="A90" s="657"/>
      <c r="B90" s="657"/>
      <c r="C90" s="657"/>
      <c r="D90" s="657"/>
      <c r="E90" s="657"/>
      <c r="F90" s="657"/>
      <c r="G90" s="657"/>
      <c r="H90" s="657"/>
      <c r="I90" s="657"/>
      <c r="J90" s="657"/>
      <c r="K90" s="657"/>
      <c r="L90" s="657"/>
      <c r="M90" s="1348"/>
    </row>
    <row r="91" spans="1:17" ht="14.25" customHeight="1" x14ac:dyDescent="0.45">
      <c r="A91" s="657" t="s">
        <v>29762</v>
      </c>
      <c r="B91" s="2361"/>
      <c r="C91" s="2364"/>
      <c r="D91" s="2361"/>
      <c r="E91" s="2362"/>
      <c r="F91" s="2362"/>
      <c r="G91" s="2362"/>
      <c r="H91" s="2362"/>
      <c r="I91" s="2362"/>
      <c r="J91" s="2362"/>
      <c r="K91" s="2362"/>
      <c r="L91" s="2362"/>
      <c r="M91" s="2384"/>
    </row>
    <row r="92" spans="1:17" ht="14.25" customHeight="1" x14ac:dyDescent="0.45">
      <c r="A92" s="2269" t="s">
        <v>29753</v>
      </c>
      <c r="B92" s="2387"/>
      <c r="C92" s="2386"/>
      <c r="D92" s="2364"/>
      <c r="E92" s="2362"/>
      <c r="F92" s="2362"/>
      <c r="G92" s="2362"/>
      <c r="H92" s="2362"/>
      <c r="I92" s="2362"/>
      <c r="J92" s="2362"/>
      <c r="K92" s="2362"/>
      <c r="L92" s="2362"/>
      <c r="M92" s="2384"/>
    </row>
    <row r="93" spans="1:17" ht="14.25" customHeight="1" x14ac:dyDescent="0.45">
      <c r="A93" s="2278" t="str">
        <f>'FTE Table 6c Valid'!E89</f>
        <v/>
      </c>
      <c r="B93" s="2387"/>
      <c r="C93" s="2386"/>
      <c r="D93" s="2364"/>
      <c r="E93" s="2362"/>
      <c r="F93" s="2362"/>
      <c r="G93" s="2362"/>
      <c r="H93" s="2362"/>
      <c r="I93" s="2362"/>
      <c r="J93" s="2362"/>
      <c r="K93" s="2362"/>
      <c r="L93" s="2362"/>
      <c r="M93" s="2384"/>
    </row>
    <row r="94" spans="1:17" ht="14.25" customHeight="1" x14ac:dyDescent="0.45">
      <c r="A94" s="2280" t="s">
        <v>29757</v>
      </c>
      <c r="B94" s="2387"/>
      <c r="C94" s="2386"/>
      <c r="D94" s="2364"/>
      <c r="E94" s="2362"/>
      <c r="F94" s="2362"/>
      <c r="G94" s="2362"/>
      <c r="H94" s="2362"/>
      <c r="I94" s="2362"/>
      <c r="J94" s="2362"/>
      <c r="K94" s="2362"/>
      <c r="L94" s="2362"/>
      <c r="M94" s="2384"/>
    </row>
    <row r="95" spans="1:17" ht="14.25" customHeight="1" x14ac:dyDescent="0.45">
      <c r="A95" s="2279" t="str">
        <f>'FTE Table 6c Valid'!F89</f>
        <v/>
      </c>
      <c r="B95" s="2387"/>
      <c r="C95" s="2386"/>
      <c r="D95" s="2364"/>
      <c r="E95" s="2362"/>
      <c r="F95" s="2362"/>
      <c r="G95" s="2362"/>
      <c r="H95" s="2362"/>
      <c r="I95" s="2362"/>
      <c r="J95" s="2362"/>
      <c r="K95" s="2362"/>
      <c r="L95" s="2362"/>
      <c r="M95" s="2384"/>
    </row>
    <row r="96" spans="1:17" ht="14.25" customHeight="1" x14ac:dyDescent="0.45">
      <c r="A96" s="2269" t="s">
        <v>29749</v>
      </c>
      <c r="B96" s="2387"/>
      <c r="C96" s="2386"/>
      <c r="D96" s="2364"/>
      <c r="E96" s="2362"/>
      <c r="F96" s="2362"/>
      <c r="G96" s="2362"/>
      <c r="H96" s="2362"/>
      <c r="I96" s="2362"/>
      <c r="J96" s="2362"/>
      <c r="K96" s="2362"/>
      <c r="L96" s="2362"/>
      <c r="M96" s="2384"/>
    </row>
    <row r="97" spans="1:13" ht="14.25" customHeight="1" x14ac:dyDescent="0.45">
      <c r="A97" s="2274" t="str">
        <f>'FTE Table 6c Valid'!G89</f>
        <v/>
      </c>
      <c r="B97" s="2387"/>
      <c r="C97" s="2386"/>
      <c r="D97" s="2364"/>
      <c r="E97" s="2362"/>
      <c r="F97" s="2362"/>
      <c r="G97" s="2362"/>
      <c r="H97" s="2362"/>
      <c r="I97" s="2362"/>
      <c r="J97" s="2362"/>
      <c r="K97" s="2362"/>
      <c r="L97" s="2362"/>
      <c r="M97" s="2384"/>
    </row>
    <row r="98" spans="1:13" ht="14.25" customHeight="1" x14ac:dyDescent="0.45">
      <c r="A98" s="2269" t="s">
        <v>29750</v>
      </c>
      <c r="B98" s="2387"/>
      <c r="C98" s="2386"/>
      <c r="D98" s="2364"/>
      <c r="E98" s="2362"/>
      <c r="F98" s="2362"/>
      <c r="G98" s="2362"/>
      <c r="H98" s="2362"/>
      <c r="I98" s="2362"/>
      <c r="J98" s="2362"/>
      <c r="K98" s="2362"/>
      <c r="L98" s="2362"/>
      <c r="M98" s="2384"/>
    </row>
    <row r="99" spans="1:13" ht="14.25" customHeight="1" x14ac:dyDescent="0.45">
      <c r="A99" s="2278" t="str">
        <f>'FTE Table 6c Valid'!H89</f>
        <v/>
      </c>
      <c r="B99" s="2387"/>
      <c r="C99" s="2386"/>
      <c r="D99" s="2364"/>
      <c r="E99" s="2362"/>
      <c r="F99" s="2362"/>
      <c r="G99" s="2362"/>
      <c r="H99" s="2362"/>
      <c r="I99" s="2362"/>
      <c r="J99" s="2362"/>
      <c r="K99" s="2362"/>
      <c r="L99" s="2362"/>
      <c r="M99" s="2384"/>
    </row>
    <row r="100" spans="1:13" ht="14.25" customHeight="1" x14ac:dyDescent="0.45">
      <c r="A100" s="1035" t="s">
        <v>29754</v>
      </c>
      <c r="B100" s="2387"/>
      <c r="C100" s="2386"/>
      <c r="D100" s="2364"/>
      <c r="E100" s="2362"/>
      <c r="F100" s="2362"/>
      <c r="G100" s="2362"/>
      <c r="H100" s="2362"/>
      <c r="I100" s="2362"/>
      <c r="J100" s="2362"/>
      <c r="K100" s="2362"/>
      <c r="L100" s="2362"/>
      <c r="M100" s="2384"/>
    </row>
    <row r="101" spans="1:13" ht="14.25" customHeight="1" x14ac:dyDescent="0.45">
      <c r="A101" s="2278" t="str">
        <f>'FTE Table 6c Valid'!I89</f>
        <v/>
      </c>
      <c r="B101" s="2387"/>
      <c r="C101" s="2386"/>
      <c r="D101" s="2364"/>
      <c r="E101" s="2362"/>
      <c r="F101" s="2362"/>
      <c r="G101" s="2362"/>
      <c r="H101" s="2362"/>
      <c r="I101" s="2362"/>
      <c r="J101" s="2362"/>
      <c r="K101" s="2362"/>
      <c r="L101" s="2362"/>
      <c r="M101" s="2384"/>
    </row>
    <row r="102" spans="1:13" ht="14.25" customHeight="1" x14ac:dyDescent="0.45">
      <c r="A102" s="2276"/>
      <c r="B102" s="2387"/>
      <c r="C102" s="2386"/>
      <c r="D102" s="2364"/>
      <c r="E102" s="2362"/>
      <c r="F102" s="2362"/>
      <c r="G102" s="2362"/>
      <c r="H102" s="2362"/>
      <c r="I102" s="2362"/>
      <c r="J102" s="2362"/>
      <c r="K102" s="2362"/>
      <c r="L102" s="2362"/>
      <c r="M102" s="2384"/>
    </row>
    <row r="103" spans="1:13" ht="14.25" customHeight="1" x14ac:dyDescent="0.45">
      <c r="A103" s="2269"/>
      <c r="B103" s="2387"/>
      <c r="C103" s="2386"/>
      <c r="D103" s="2364"/>
      <c r="E103" s="2362"/>
      <c r="F103" s="2362"/>
      <c r="G103" s="2362"/>
      <c r="H103" s="2362"/>
      <c r="I103" s="2362"/>
      <c r="J103" s="2362"/>
      <c r="K103" s="2362"/>
      <c r="L103" s="2362"/>
      <c r="M103" s="2384"/>
    </row>
    <row r="104" spans="1:13" ht="14.25" customHeight="1" x14ac:dyDescent="0.45">
      <c r="A104" s="2275"/>
      <c r="B104" s="657"/>
      <c r="C104" s="657"/>
      <c r="D104" s="657"/>
      <c r="E104" s="657"/>
      <c r="F104" s="657"/>
      <c r="G104" s="657"/>
      <c r="H104" s="657"/>
      <c r="I104" s="657"/>
      <c r="J104" s="657"/>
      <c r="K104" s="657"/>
      <c r="L104" s="657"/>
      <c r="M104" s="1348"/>
    </row>
    <row r="105" spans="1:13" ht="14.25" customHeight="1" x14ac:dyDescent="0.45">
      <c r="A105" s="2269"/>
      <c r="B105" s="2362"/>
      <c r="C105" s="2385"/>
      <c r="D105" s="2362"/>
      <c r="E105" s="2362"/>
      <c r="F105" s="2362"/>
      <c r="G105" s="2362"/>
      <c r="H105" s="2362"/>
      <c r="I105" s="2362"/>
      <c r="J105" s="2362"/>
      <c r="K105" s="2362"/>
      <c r="L105" s="2362"/>
      <c r="M105" s="2384"/>
    </row>
    <row r="106" spans="1:13" ht="14.25" customHeight="1" x14ac:dyDescent="0.45">
      <c r="A106" s="2274"/>
      <c r="B106" s="2362"/>
      <c r="C106" s="2385"/>
      <c r="D106" s="2362"/>
      <c r="E106" s="2362"/>
      <c r="F106" s="2362"/>
      <c r="G106" s="2362"/>
      <c r="H106" s="2362"/>
      <c r="I106" s="2362"/>
      <c r="J106" s="2362"/>
      <c r="K106" s="2362"/>
      <c r="L106" s="2362"/>
      <c r="M106" s="2384"/>
    </row>
    <row r="107" spans="1:13" ht="14.25" customHeight="1" x14ac:dyDescent="0.45">
      <c r="A107" s="2383"/>
      <c r="B107" s="2362"/>
      <c r="C107" s="2385"/>
      <c r="D107" s="2362"/>
      <c r="E107" s="2362"/>
      <c r="F107" s="2362"/>
      <c r="G107" s="2362"/>
      <c r="H107" s="2362"/>
      <c r="I107" s="2362"/>
      <c r="J107" s="2362"/>
      <c r="K107" s="2362"/>
      <c r="L107" s="2362"/>
      <c r="M107" s="2384"/>
    </row>
    <row r="108" spans="1:13" ht="14.25" customHeight="1" x14ac:dyDescent="0.45">
      <c r="A108" s="2382"/>
      <c r="B108" s="2362"/>
      <c r="C108" s="2385"/>
      <c r="D108" s="2362"/>
      <c r="E108" s="2362"/>
      <c r="F108" s="2362"/>
      <c r="G108" s="2362"/>
      <c r="H108" s="2362"/>
      <c r="I108" s="2362"/>
      <c r="J108" s="2362"/>
      <c r="K108" s="2362"/>
      <c r="L108" s="2362"/>
      <c r="M108" s="2384"/>
    </row>
    <row r="109" spans="1:13" ht="14.25" customHeight="1" x14ac:dyDescent="0.45">
      <c r="A109" s="2383"/>
    </row>
    <row r="110" spans="1:13" ht="14.25" customHeight="1" x14ac:dyDescent="0.45">
      <c r="A110" s="2382"/>
    </row>
  </sheetData>
  <sheetProtection algorithmName="SHA-512" hashValue="DvrvBTvEg+qvy9ss8e7NUy+EDWtSVsvrXcIh8bloQwiHtjuP0X93gFvi98PS5erqfhdEF4jy+Lw2to9N6m/nyw==" saltValue="j6K0eBRJ9w/bHgIsMbXm7w==" spinCount="100000" sheet="1" objects="1" scenarios="1"/>
  <protectedRanges>
    <protectedRange sqref="J86 J8:J81" name="HealthFullTime_70"/>
  </protectedRanges>
  <conditionalFormatting sqref="D9:M82">
    <cfRule type="cellIs" dxfId="15" priority="8" operator="equal">
      <formula>0</formula>
    </cfRule>
  </conditionalFormatting>
  <conditionalFormatting sqref="D83:M87">
    <cfRule type="cellIs" dxfId="14" priority="1" operator="equal">
      <formula>0</formula>
    </cfRule>
  </conditionalFormatting>
  <conditionalFormatting sqref="F9:F82">
    <cfRule type="expression" dxfId="13" priority="7">
      <formula>IF(AND(F9="N/A",D9=0),1,0)</formula>
    </cfRule>
  </conditionalFormatting>
  <conditionalFormatting sqref="H5">
    <cfRule type="cellIs" dxfId="12" priority="4" operator="notEqual">
      <formula>"Validation: OK"</formula>
    </cfRule>
  </conditionalFormatting>
  <conditionalFormatting sqref="H9:H82">
    <cfRule type="expression" dxfId="11" priority="2">
      <formula>IF($G9=0, 1, 0)</formula>
    </cfRule>
  </conditionalFormatting>
  <conditionalFormatting sqref="I9:J82">
    <cfRule type="expression" dxfId="10" priority="6">
      <formula>IF($H9=0,1,0)</formula>
    </cfRule>
  </conditionalFormatting>
  <conditionalFormatting sqref="J5">
    <cfRule type="cellIs" dxfId="9" priority="3" operator="notEqual">
      <formula>"Validation: OK"</formula>
    </cfRule>
  </conditionalFormatting>
  <conditionalFormatting sqref="K9:K82">
    <cfRule type="cellIs" dxfId="8" priority="5" operator="equal">
      <formula>"No"</formula>
    </cfRule>
  </conditionalFormatting>
  <dataValidations count="4">
    <dataValidation type="custom" allowBlank="1" showInputMessage="1" showErrorMessage="1" errorTitle="Validation check" error="This cell can only contain numbers between 0 and 1 to two decimal places" sqref="I9:I82" xr:uid="{39663440-B441-422A-9466-1AB94BEE6E37}">
      <formula1>AND(I9&lt;=1,I9&gt;=0,ROUND(I9,2)=I9)</formula1>
    </dataValidation>
    <dataValidation type="custom" allowBlank="1" showInputMessage="1" showErrorMessage="1" errorTitle="Validation check" error="Table 1, Column 1 can only contain postive values up to two decimal places or zero." sqref="G9:G82 D9:D87 E9:E82" xr:uid="{A1D0A963-5D90-4B70-88F4-89207D1E24FB}">
      <formula1>AND(D9&gt;=0,ROUND(D9,2)=D9)</formula1>
    </dataValidation>
    <dataValidation type="custom" allowBlank="1" showInputMessage="1" showErrorMessage="1" errorTitle="Validation check" error="Please select a representation category and level first. This cell can only contain numbers between 0 and 1 to two decimal places." sqref="H9:H82" xr:uid="{C2FD73C3-711D-4989-8107-6178E3911626}">
      <formula1>AND(#REF!="Own rate", $H9&lt;=1,$H9&gt;=0,ROUND($H9,2)=$H9)</formula1>
    </dataValidation>
    <dataValidation type="custom" allowBlank="1" showInputMessage="1" showErrorMessage="1" errorTitle="Please check the following:" error="1. Previous columns are filled in._x000a_2. The explanation is within 2000 characters." sqref="J9:J82" xr:uid="{8D8315AE-C233-499F-B55D-2640B1FBFA26}">
      <formula1>AND(#REF!&lt;&gt;"", #REF!&lt;&gt;"", OR(#REF!&lt;&gt;"", $H9&lt;&gt;""), LEN($J9)&lt;=2000)</formula1>
    </dataValidation>
  </dataValidations>
  <pageMargins left="0.7" right="0.7" top="0.75" bottom="0.75" header="0.3" footer="0.3"/>
  <pageSetup paperSize="8" orientation="landscape" horizontalDpi="1200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1BC5A-277C-40AD-8BE6-26AFCFC4837D}">
  <sheetPr codeName="Sheet47"/>
  <dimension ref="A1:I77"/>
  <sheetViews>
    <sheetView workbookViewId="0"/>
  </sheetViews>
  <sheetFormatPr defaultColWidth="9.1328125" defaultRowHeight="14.25" x14ac:dyDescent="0.45"/>
  <cols>
    <col min="1" max="5" width="20" style="2270" customWidth="1"/>
    <col min="6" max="16384" width="9.1328125" style="2270"/>
  </cols>
  <sheetData>
    <row r="1" spans="1:9" x14ac:dyDescent="0.45">
      <c r="A1" s="2466" t="s">
        <v>27840</v>
      </c>
      <c r="B1" s="2466" t="s">
        <v>56</v>
      </c>
      <c r="C1" s="2466" t="s">
        <v>57</v>
      </c>
      <c r="D1" s="3006" t="s">
        <v>29391</v>
      </c>
      <c r="E1" s="3006" t="s">
        <v>29734</v>
      </c>
      <c r="G1" s="2465" t="s">
        <v>27841</v>
      </c>
      <c r="H1" s="2465" t="s">
        <v>65</v>
      </c>
      <c r="I1" s="2465" t="s">
        <v>66</v>
      </c>
    </row>
    <row r="2" spans="1:9" x14ac:dyDescent="0.45">
      <c r="A2" s="2429" t="s">
        <v>27842</v>
      </c>
      <c r="B2" s="2428" t="s">
        <v>204</v>
      </c>
      <c r="C2" s="2429" t="s">
        <v>27769</v>
      </c>
      <c r="D2" s="3004">
        <v>0</v>
      </c>
      <c r="E2" s="3105"/>
      <c r="G2" s="2366" t="s">
        <v>27843</v>
      </c>
      <c r="H2" s="2366" t="s">
        <v>27685</v>
      </c>
      <c r="I2" s="2390" t="s">
        <v>27826</v>
      </c>
    </row>
    <row r="3" spans="1:9" x14ac:dyDescent="0.45">
      <c r="A3" s="2425" t="s">
        <v>27842</v>
      </c>
      <c r="B3" s="2419" t="s">
        <v>204</v>
      </c>
      <c r="C3" s="2418" t="s">
        <v>210</v>
      </c>
      <c r="D3" s="3002">
        <v>0</v>
      </c>
      <c r="E3" s="3106"/>
      <c r="G3" s="2366" t="s">
        <v>27843</v>
      </c>
      <c r="H3" s="2366" t="s">
        <v>27685</v>
      </c>
      <c r="I3" s="2390" t="s">
        <v>27688</v>
      </c>
    </row>
    <row r="4" spans="1:9" x14ac:dyDescent="0.45">
      <c r="A4" s="2425" t="s">
        <v>27842</v>
      </c>
      <c r="B4" s="2417" t="s">
        <v>218</v>
      </c>
      <c r="C4" s="2416" t="s">
        <v>27769</v>
      </c>
      <c r="D4" s="3002">
        <v>0</v>
      </c>
      <c r="E4" s="3106"/>
      <c r="G4" s="2366" t="s">
        <v>27843</v>
      </c>
      <c r="H4" s="2366" t="s">
        <v>27691</v>
      </c>
      <c r="I4" s="2390" t="s">
        <v>27826</v>
      </c>
    </row>
    <row r="5" spans="1:9" x14ac:dyDescent="0.45">
      <c r="A5" s="2427" t="s">
        <v>27842</v>
      </c>
      <c r="B5" s="2412" t="s">
        <v>218</v>
      </c>
      <c r="C5" s="2411" t="s">
        <v>210</v>
      </c>
      <c r="D5" s="3062">
        <v>0</v>
      </c>
      <c r="E5" s="3107"/>
      <c r="G5" s="2366" t="s">
        <v>27843</v>
      </c>
      <c r="H5" s="2366" t="s">
        <v>27691</v>
      </c>
      <c r="I5" s="2390" t="s">
        <v>27688</v>
      </c>
    </row>
    <row r="6" spans="1:9" x14ac:dyDescent="0.45">
      <c r="A6" s="2416" t="s">
        <v>27844</v>
      </c>
      <c r="B6" s="2417" t="s">
        <v>204</v>
      </c>
      <c r="C6" s="2416" t="s">
        <v>27769</v>
      </c>
      <c r="D6" s="3063">
        <v>0</v>
      </c>
      <c r="E6" s="3108"/>
      <c r="G6" s="2366" t="s">
        <v>27845</v>
      </c>
      <c r="H6" s="2366" t="s">
        <v>27685</v>
      </c>
      <c r="I6" s="2390" t="s">
        <v>27826</v>
      </c>
    </row>
    <row r="7" spans="1:9" x14ac:dyDescent="0.45">
      <c r="A7" s="2425" t="s">
        <v>27844</v>
      </c>
      <c r="B7" s="2419" t="s">
        <v>204</v>
      </c>
      <c r="C7" s="2418" t="s">
        <v>210</v>
      </c>
      <c r="D7" s="3002">
        <v>0</v>
      </c>
      <c r="E7" s="3106"/>
      <c r="G7" s="2366" t="s">
        <v>27845</v>
      </c>
      <c r="H7" s="2366" t="s">
        <v>27685</v>
      </c>
      <c r="I7" s="2390" t="s">
        <v>27688</v>
      </c>
    </row>
    <row r="8" spans="1:9" x14ac:dyDescent="0.45">
      <c r="A8" s="2425" t="s">
        <v>27844</v>
      </c>
      <c r="B8" s="2417" t="s">
        <v>218</v>
      </c>
      <c r="C8" s="2416" t="s">
        <v>27769</v>
      </c>
      <c r="D8" s="3002">
        <v>0</v>
      </c>
      <c r="E8" s="3106"/>
      <c r="G8" s="2366" t="s">
        <v>27845</v>
      </c>
      <c r="H8" s="2366" t="s">
        <v>27691</v>
      </c>
      <c r="I8" s="2390" t="s">
        <v>27826</v>
      </c>
    </row>
    <row r="9" spans="1:9" x14ac:dyDescent="0.45">
      <c r="A9" s="2427" t="s">
        <v>27844</v>
      </c>
      <c r="B9" s="2412" t="s">
        <v>218</v>
      </c>
      <c r="C9" s="2411" t="s">
        <v>210</v>
      </c>
      <c r="D9" s="3062">
        <v>0</v>
      </c>
      <c r="E9" s="3107"/>
      <c r="G9" s="2366" t="s">
        <v>27845</v>
      </c>
      <c r="H9" s="2366" t="s">
        <v>27691</v>
      </c>
      <c r="I9" s="2390" t="s">
        <v>27688</v>
      </c>
    </row>
    <row r="10" spans="1:9" x14ac:dyDescent="0.45">
      <c r="A10" s="2416" t="s">
        <v>27846</v>
      </c>
      <c r="B10" s="2432" t="s">
        <v>204</v>
      </c>
      <c r="C10" s="2418" t="s">
        <v>212</v>
      </c>
      <c r="D10" s="3063">
        <v>0</v>
      </c>
      <c r="E10" s="3108"/>
      <c r="G10" s="2366" t="s">
        <v>27845</v>
      </c>
      <c r="H10" s="2366" t="s">
        <v>27685</v>
      </c>
      <c r="I10" s="2390" t="s">
        <v>27689</v>
      </c>
    </row>
    <row r="11" spans="1:9" x14ac:dyDescent="0.45">
      <c r="A11" s="2425" t="s">
        <v>27846</v>
      </c>
      <c r="B11" s="2431" t="s">
        <v>218</v>
      </c>
      <c r="C11" s="2430" t="s">
        <v>212</v>
      </c>
      <c r="D11" s="3062">
        <v>0</v>
      </c>
      <c r="E11" s="3107"/>
      <c r="G11" s="2366" t="s">
        <v>27845</v>
      </c>
      <c r="H11" s="2366" t="s">
        <v>27691</v>
      </c>
      <c r="I11" s="2390" t="s">
        <v>27689</v>
      </c>
    </row>
    <row r="12" spans="1:9" x14ac:dyDescent="0.45">
      <c r="A12" s="2429" t="s">
        <v>27847</v>
      </c>
      <c r="B12" s="2428" t="s">
        <v>204</v>
      </c>
      <c r="C12" s="2429" t="s">
        <v>27769</v>
      </c>
      <c r="D12" s="3063">
        <v>0</v>
      </c>
      <c r="E12" s="3108"/>
      <c r="G12" s="2366" t="s">
        <v>27848</v>
      </c>
      <c r="H12" s="2366" t="s">
        <v>27685</v>
      </c>
      <c r="I12" s="2390" t="s">
        <v>27826</v>
      </c>
    </row>
    <row r="13" spans="1:9" x14ac:dyDescent="0.45">
      <c r="A13" s="2425" t="s">
        <v>27847</v>
      </c>
      <c r="B13" s="2419" t="s">
        <v>204</v>
      </c>
      <c r="C13" s="2418" t="s">
        <v>210</v>
      </c>
      <c r="D13" s="3002">
        <v>0</v>
      </c>
      <c r="E13" s="3106"/>
      <c r="G13" s="2366" t="s">
        <v>27848</v>
      </c>
      <c r="H13" s="2366" t="s">
        <v>27685</v>
      </c>
      <c r="I13" s="2390" t="s">
        <v>27688</v>
      </c>
    </row>
    <row r="14" spans="1:9" x14ac:dyDescent="0.45">
      <c r="A14" s="2425" t="s">
        <v>27847</v>
      </c>
      <c r="B14" s="2417" t="s">
        <v>218</v>
      </c>
      <c r="C14" s="2416" t="s">
        <v>27769</v>
      </c>
      <c r="D14" s="3002">
        <v>0</v>
      </c>
      <c r="E14" s="3106"/>
      <c r="G14" s="2366" t="s">
        <v>27848</v>
      </c>
      <c r="H14" s="2366" t="s">
        <v>27691</v>
      </c>
      <c r="I14" s="2390" t="s">
        <v>27826</v>
      </c>
    </row>
    <row r="15" spans="1:9" x14ac:dyDescent="0.45">
      <c r="A15" s="2427" t="s">
        <v>27847</v>
      </c>
      <c r="B15" s="2412" t="s">
        <v>218</v>
      </c>
      <c r="C15" s="2411" t="s">
        <v>210</v>
      </c>
      <c r="D15" s="3062">
        <v>0</v>
      </c>
      <c r="E15" s="3107"/>
      <c r="G15" s="2366" t="s">
        <v>27848</v>
      </c>
      <c r="H15" s="2366" t="s">
        <v>27691</v>
      </c>
      <c r="I15" s="2390" t="s">
        <v>27688</v>
      </c>
    </row>
    <row r="16" spans="1:9" x14ac:dyDescent="0.45">
      <c r="A16" s="2416" t="s">
        <v>27849</v>
      </c>
      <c r="B16" s="2417" t="s">
        <v>204</v>
      </c>
      <c r="C16" s="2416" t="s">
        <v>27769</v>
      </c>
      <c r="D16" s="3063">
        <v>0</v>
      </c>
      <c r="E16" s="3108"/>
      <c r="G16" s="2366" t="s">
        <v>27850</v>
      </c>
      <c r="H16" s="2366" t="s">
        <v>27685</v>
      </c>
      <c r="I16" s="2390" t="s">
        <v>27826</v>
      </c>
    </row>
    <row r="17" spans="1:9" x14ac:dyDescent="0.45">
      <c r="A17" s="2425" t="s">
        <v>27849</v>
      </c>
      <c r="B17" s="2419" t="s">
        <v>204</v>
      </c>
      <c r="C17" s="2418" t="s">
        <v>210</v>
      </c>
      <c r="D17" s="3002">
        <v>0</v>
      </c>
      <c r="E17" s="3106"/>
      <c r="G17" s="2366" t="s">
        <v>27850</v>
      </c>
      <c r="H17" s="2366" t="s">
        <v>27685</v>
      </c>
      <c r="I17" s="2390" t="s">
        <v>27688</v>
      </c>
    </row>
    <row r="18" spans="1:9" x14ac:dyDescent="0.45">
      <c r="A18" s="2425" t="s">
        <v>27849</v>
      </c>
      <c r="B18" s="2417" t="s">
        <v>218</v>
      </c>
      <c r="C18" s="2416" t="s">
        <v>27769</v>
      </c>
      <c r="D18" s="3002">
        <v>0</v>
      </c>
      <c r="E18" s="3106"/>
      <c r="G18" s="2366" t="s">
        <v>27850</v>
      </c>
      <c r="H18" s="2366" t="s">
        <v>27691</v>
      </c>
      <c r="I18" s="2390" t="s">
        <v>27826</v>
      </c>
    </row>
    <row r="19" spans="1:9" x14ac:dyDescent="0.45">
      <c r="A19" s="2427" t="s">
        <v>27849</v>
      </c>
      <c r="B19" s="2412" t="s">
        <v>218</v>
      </c>
      <c r="C19" s="2411" t="s">
        <v>210</v>
      </c>
      <c r="D19" s="3062">
        <v>0</v>
      </c>
      <c r="E19" s="3107"/>
      <c r="G19" s="2366" t="s">
        <v>27850</v>
      </c>
      <c r="H19" s="2366" t="s">
        <v>27691</v>
      </c>
      <c r="I19" s="2390" t="s">
        <v>27688</v>
      </c>
    </row>
    <row r="20" spans="1:9" x14ac:dyDescent="0.45">
      <c r="A20" s="2426" t="s">
        <v>27851</v>
      </c>
      <c r="B20" s="2417" t="s">
        <v>204</v>
      </c>
      <c r="C20" s="2416" t="s">
        <v>27769</v>
      </c>
      <c r="D20" s="3063">
        <v>0</v>
      </c>
      <c r="E20" s="3108"/>
      <c r="G20" s="2366" t="s">
        <v>27852</v>
      </c>
      <c r="H20" s="2366" t="s">
        <v>27685</v>
      </c>
      <c r="I20" s="2390" t="s">
        <v>27826</v>
      </c>
    </row>
    <row r="21" spans="1:9" x14ac:dyDescent="0.45">
      <c r="A21" s="2420" t="s">
        <v>27851</v>
      </c>
      <c r="B21" s="2419" t="s">
        <v>204</v>
      </c>
      <c r="C21" s="2418" t="s">
        <v>210</v>
      </c>
      <c r="D21" s="3002">
        <v>0</v>
      </c>
      <c r="E21" s="3106"/>
      <c r="G21" s="2366" t="s">
        <v>27852</v>
      </c>
      <c r="H21" s="2366" t="s">
        <v>27685</v>
      </c>
      <c r="I21" s="2390" t="s">
        <v>27688</v>
      </c>
    </row>
    <row r="22" spans="1:9" x14ac:dyDescent="0.45">
      <c r="A22" s="2425" t="s">
        <v>27851</v>
      </c>
      <c r="B22" s="2417" t="s">
        <v>218</v>
      </c>
      <c r="C22" s="2416" t="s">
        <v>27769</v>
      </c>
      <c r="D22" s="3002">
        <v>0</v>
      </c>
      <c r="E22" s="3106"/>
      <c r="G22" s="2366" t="s">
        <v>27852</v>
      </c>
      <c r="H22" s="2366" t="s">
        <v>27691</v>
      </c>
      <c r="I22" s="2390" t="s">
        <v>27826</v>
      </c>
    </row>
    <row r="23" spans="1:9" x14ac:dyDescent="0.45">
      <c r="A23" s="2427" t="s">
        <v>27851</v>
      </c>
      <c r="B23" s="2412" t="s">
        <v>218</v>
      </c>
      <c r="C23" s="2411" t="s">
        <v>210</v>
      </c>
      <c r="D23" s="3062">
        <v>0</v>
      </c>
      <c r="E23" s="3107"/>
      <c r="G23" s="2366" t="s">
        <v>27852</v>
      </c>
      <c r="H23" s="2366" t="s">
        <v>27691</v>
      </c>
      <c r="I23" s="2390" t="s">
        <v>27688</v>
      </c>
    </row>
    <row r="24" spans="1:9" ht="27" x14ac:dyDescent="0.45">
      <c r="A24" s="2426" t="s">
        <v>27853</v>
      </c>
      <c r="B24" s="2417" t="s">
        <v>204</v>
      </c>
      <c r="C24" s="2416" t="s">
        <v>27769</v>
      </c>
      <c r="D24" s="3063">
        <v>0</v>
      </c>
      <c r="E24" s="3108"/>
      <c r="G24" s="2366" t="s">
        <v>27854</v>
      </c>
      <c r="H24" s="2366" t="s">
        <v>27685</v>
      </c>
      <c r="I24" s="2390" t="s">
        <v>27826</v>
      </c>
    </row>
    <row r="25" spans="1:9" ht="27" x14ac:dyDescent="0.45">
      <c r="A25" s="2420" t="s">
        <v>27853</v>
      </c>
      <c r="B25" s="2419" t="s">
        <v>204</v>
      </c>
      <c r="C25" s="2418" t="s">
        <v>210</v>
      </c>
      <c r="D25" s="3002">
        <v>0</v>
      </c>
      <c r="E25" s="3106"/>
      <c r="G25" s="2366" t="s">
        <v>27854</v>
      </c>
      <c r="H25" s="2366" t="s">
        <v>27685</v>
      </c>
      <c r="I25" s="2390" t="s">
        <v>27688</v>
      </c>
    </row>
    <row r="26" spans="1:9" x14ac:dyDescent="0.45">
      <c r="A26" s="2425" t="s">
        <v>27853</v>
      </c>
      <c r="B26" s="2417" t="s">
        <v>218</v>
      </c>
      <c r="C26" s="2416" t="s">
        <v>27769</v>
      </c>
      <c r="D26" s="3002">
        <v>0</v>
      </c>
      <c r="E26" s="3106"/>
      <c r="G26" s="2366" t="s">
        <v>27854</v>
      </c>
      <c r="H26" s="2366" t="s">
        <v>27691</v>
      </c>
      <c r="I26" s="2390" t="s">
        <v>27826</v>
      </c>
    </row>
    <row r="27" spans="1:9" x14ac:dyDescent="0.45">
      <c r="A27" s="2427" t="s">
        <v>27853</v>
      </c>
      <c r="B27" s="2412" t="s">
        <v>218</v>
      </c>
      <c r="C27" s="2411" t="s">
        <v>210</v>
      </c>
      <c r="D27" s="3062">
        <v>0</v>
      </c>
      <c r="E27" s="3107"/>
      <c r="G27" s="2366" t="s">
        <v>27854</v>
      </c>
      <c r="H27" s="2366" t="s">
        <v>27691</v>
      </c>
      <c r="I27" s="2390" t="s">
        <v>27688</v>
      </c>
    </row>
    <row r="28" spans="1:9" ht="27" x14ac:dyDescent="0.45">
      <c r="A28" s="2426" t="s">
        <v>27855</v>
      </c>
      <c r="B28" s="2417" t="s">
        <v>204</v>
      </c>
      <c r="C28" s="2416" t="s">
        <v>27769</v>
      </c>
      <c r="D28" s="3063">
        <v>0</v>
      </c>
      <c r="E28" s="3108"/>
      <c r="G28" s="2366" t="s">
        <v>27856</v>
      </c>
      <c r="H28" s="2366" t="s">
        <v>27685</v>
      </c>
      <c r="I28" s="2390" t="s">
        <v>27826</v>
      </c>
    </row>
    <row r="29" spans="1:9" ht="27" x14ac:dyDescent="0.45">
      <c r="A29" s="2420" t="s">
        <v>27855</v>
      </c>
      <c r="B29" s="2419" t="s">
        <v>204</v>
      </c>
      <c r="C29" s="2418" t="s">
        <v>210</v>
      </c>
      <c r="D29" s="3002">
        <v>0</v>
      </c>
      <c r="E29" s="3106"/>
      <c r="G29" s="2366" t="s">
        <v>27856</v>
      </c>
      <c r="H29" s="2366" t="s">
        <v>27685</v>
      </c>
      <c r="I29" s="2390" t="s">
        <v>27688</v>
      </c>
    </row>
    <row r="30" spans="1:9" x14ac:dyDescent="0.45">
      <c r="A30" s="2425" t="s">
        <v>27855</v>
      </c>
      <c r="B30" s="2417" t="s">
        <v>218</v>
      </c>
      <c r="C30" s="2416" t="s">
        <v>27769</v>
      </c>
      <c r="D30" s="3002">
        <v>0</v>
      </c>
      <c r="E30" s="3106"/>
      <c r="G30" s="2366" t="s">
        <v>27856</v>
      </c>
      <c r="H30" s="2366" t="s">
        <v>27691</v>
      </c>
      <c r="I30" s="2390" t="s">
        <v>27826</v>
      </c>
    </row>
    <row r="31" spans="1:9" x14ac:dyDescent="0.45">
      <c r="A31" s="2427" t="s">
        <v>27855</v>
      </c>
      <c r="B31" s="2412" t="s">
        <v>218</v>
      </c>
      <c r="C31" s="2411" t="s">
        <v>210</v>
      </c>
      <c r="D31" s="3062">
        <v>0</v>
      </c>
      <c r="E31" s="3107"/>
      <c r="G31" s="2366" t="s">
        <v>27856</v>
      </c>
      <c r="H31" s="2366" t="s">
        <v>27691</v>
      </c>
      <c r="I31" s="2390" t="s">
        <v>27688</v>
      </c>
    </row>
    <row r="32" spans="1:9" ht="27" x14ac:dyDescent="0.45">
      <c r="A32" s="2426" t="s">
        <v>27857</v>
      </c>
      <c r="B32" s="2417" t="s">
        <v>204</v>
      </c>
      <c r="C32" s="2416" t="s">
        <v>27769</v>
      </c>
      <c r="D32" s="3063">
        <v>0</v>
      </c>
      <c r="E32" s="3108"/>
      <c r="G32" s="2366" t="s">
        <v>27858</v>
      </c>
      <c r="H32" s="2366" t="s">
        <v>27685</v>
      </c>
      <c r="I32" s="2390" t="s">
        <v>27826</v>
      </c>
    </row>
    <row r="33" spans="1:9" ht="27" x14ac:dyDescent="0.45">
      <c r="A33" s="2420" t="s">
        <v>27857</v>
      </c>
      <c r="B33" s="2419" t="s">
        <v>204</v>
      </c>
      <c r="C33" s="2418" t="s">
        <v>210</v>
      </c>
      <c r="D33" s="3002">
        <v>0</v>
      </c>
      <c r="E33" s="3106"/>
      <c r="G33" s="2366" t="s">
        <v>27858</v>
      </c>
      <c r="H33" s="2366" t="s">
        <v>27685</v>
      </c>
      <c r="I33" s="2390" t="s">
        <v>27688</v>
      </c>
    </row>
    <row r="34" spans="1:9" x14ac:dyDescent="0.45">
      <c r="A34" s="2425" t="s">
        <v>27857</v>
      </c>
      <c r="B34" s="2417" t="s">
        <v>218</v>
      </c>
      <c r="C34" s="2416" t="s">
        <v>27769</v>
      </c>
      <c r="D34" s="3002">
        <v>0</v>
      </c>
      <c r="E34" s="3106"/>
      <c r="G34" s="2366" t="s">
        <v>27858</v>
      </c>
      <c r="H34" s="2366" t="s">
        <v>27691</v>
      </c>
      <c r="I34" s="2390" t="s">
        <v>27826</v>
      </c>
    </row>
    <row r="35" spans="1:9" x14ac:dyDescent="0.45">
      <c r="A35" s="2427" t="s">
        <v>27857</v>
      </c>
      <c r="B35" s="2412" t="s">
        <v>218</v>
      </c>
      <c r="C35" s="2411" t="s">
        <v>210</v>
      </c>
      <c r="D35" s="3062">
        <v>0</v>
      </c>
      <c r="E35" s="3107"/>
      <c r="G35" s="2366" t="s">
        <v>27858</v>
      </c>
      <c r="H35" s="2366" t="s">
        <v>27691</v>
      </c>
      <c r="I35" s="2390" t="s">
        <v>27688</v>
      </c>
    </row>
    <row r="36" spans="1:9" ht="27" x14ac:dyDescent="0.45">
      <c r="A36" s="2426" t="s">
        <v>27859</v>
      </c>
      <c r="B36" s="2417" t="s">
        <v>204</v>
      </c>
      <c r="C36" s="2416" t="s">
        <v>27769</v>
      </c>
      <c r="D36" s="3063">
        <v>0</v>
      </c>
      <c r="E36" s="3108"/>
      <c r="G36" s="2366" t="s">
        <v>27860</v>
      </c>
      <c r="H36" s="2366" t="s">
        <v>27685</v>
      </c>
      <c r="I36" s="2390" t="s">
        <v>27826</v>
      </c>
    </row>
    <row r="37" spans="1:9" ht="27" x14ac:dyDescent="0.45">
      <c r="A37" s="2420" t="s">
        <v>27859</v>
      </c>
      <c r="B37" s="2419" t="s">
        <v>204</v>
      </c>
      <c r="C37" s="2418" t="s">
        <v>210</v>
      </c>
      <c r="D37" s="3002">
        <v>0</v>
      </c>
      <c r="E37" s="3106"/>
      <c r="G37" s="2366" t="s">
        <v>27860</v>
      </c>
      <c r="H37" s="2366" t="s">
        <v>27685</v>
      </c>
      <c r="I37" s="2390" t="s">
        <v>27688</v>
      </c>
    </row>
    <row r="38" spans="1:9" x14ac:dyDescent="0.45">
      <c r="A38" s="2425" t="s">
        <v>27859</v>
      </c>
      <c r="B38" s="2417" t="s">
        <v>218</v>
      </c>
      <c r="C38" s="2416" t="s">
        <v>27769</v>
      </c>
      <c r="D38" s="3002">
        <v>0</v>
      </c>
      <c r="E38" s="3106"/>
      <c r="G38" s="2366" t="s">
        <v>27860</v>
      </c>
      <c r="H38" s="2366" t="s">
        <v>27691</v>
      </c>
      <c r="I38" s="2390" t="s">
        <v>27826</v>
      </c>
    </row>
    <row r="39" spans="1:9" x14ac:dyDescent="0.45">
      <c r="A39" s="2427" t="s">
        <v>27859</v>
      </c>
      <c r="B39" s="2412" t="s">
        <v>218</v>
      </c>
      <c r="C39" s="2411" t="s">
        <v>210</v>
      </c>
      <c r="D39" s="3062">
        <v>0</v>
      </c>
      <c r="E39" s="3107"/>
      <c r="G39" s="2366" t="s">
        <v>27860</v>
      </c>
      <c r="H39" s="2366" t="s">
        <v>27691</v>
      </c>
      <c r="I39" s="2390" t="s">
        <v>27688</v>
      </c>
    </row>
    <row r="40" spans="1:9" ht="27" x14ac:dyDescent="0.45">
      <c r="A40" s="2426" t="s">
        <v>27861</v>
      </c>
      <c r="B40" s="2417" t="s">
        <v>204</v>
      </c>
      <c r="C40" s="2416" t="s">
        <v>27769</v>
      </c>
      <c r="D40" s="3063">
        <v>0</v>
      </c>
      <c r="E40" s="3108"/>
      <c r="G40" s="2366" t="s">
        <v>27862</v>
      </c>
      <c r="H40" s="2366" t="s">
        <v>27685</v>
      </c>
      <c r="I40" s="2390" t="s">
        <v>27826</v>
      </c>
    </row>
    <row r="41" spans="1:9" ht="27" x14ac:dyDescent="0.45">
      <c r="A41" s="2420" t="s">
        <v>27861</v>
      </c>
      <c r="B41" s="2419" t="s">
        <v>204</v>
      </c>
      <c r="C41" s="2418" t="s">
        <v>210</v>
      </c>
      <c r="D41" s="3002">
        <v>0</v>
      </c>
      <c r="E41" s="3106"/>
      <c r="G41" s="2366" t="s">
        <v>27862</v>
      </c>
      <c r="H41" s="2366" t="s">
        <v>27685</v>
      </c>
      <c r="I41" s="2390" t="s">
        <v>27688</v>
      </c>
    </row>
    <row r="42" spans="1:9" x14ac:dyDescent="0.45">
      <c r="A42" s="2425" t="s">
        <v>27861</v>
      </c>
      <c r="B42" s="2417" t="s">
        <v>218</v>
      </c>
      <c r="C42" s="2416" t="s">
        <v>27769</v>
      </c>
      <c r="D42" s="3002">
        <v>0</v>
      </c>
      <c r="E42" s="3106"/>
      <c r="G42" s="2366" t="s">
        <v>27862</v>
      </c>
      <c r="H42" s="2366" t="s">
        <v>27691</v>
      </c>
      <c r="I42" s="2390" t="s">
        <v>27826</v>
      </c>
    </row>
    <row r="43" spans="1:9" x14ac:dyDescent="0.45">
      <c r="A43" s="2427" t="s">
        <v>27861</v>
      </c>
      <c r="B43" s="2412" t="s">
        <v>218</v>
      </c>
      <c r="C43" s="2411" t="s">
        <v>210</v>
      </c>
      <c r="D43" s="3062">
        <v>0</v>
      </c>
      <c r="E43" s="3107"/>
      <c r="G43" s="2366" t="s">
        <v>27862</v>
      </c>
      <c r="H43" s="2366" t="s">
        <v>27691</v>
      </c>
      <c r="I43" s="2390" t="s">
        <v>27688</v>
      </c>
    </row>
    <row r="44" spans="1:9" ht="27" x14ac:dyDescent="0.45">
      <c r="A44" s="2426" t="s">
        <v>27863</v>
      </c>
      <c r="B44" s="2417" t="s">
        <v>204</v>
      </c>
      <c r="C44" s="2416" t="s">
        <v>27769</v>
      </c>
      <c r="D44" s="3063">
        <v>0</v>
      </c>
      <c r="E44" s="3108"/>
      <c r="G44" s="2366" t="s">
        <v>27864</v>
      </c>
      <c r="H44" s="2366" t="s">
        <v>27685</v>
      </c>
      <c r="I44" s="2390" t="s">
        <v>27826</v>
      </c>
    </row>
    <row r="45" spans="1:9" ht="27" x14ac:dyDescent="0.45">
      <c r="A45" s="2420" t="s">
        <v>27863</v>
      </c>
      <c r="B45" s="2419" t="s">
        <v>204</v>
      </c>
      <c r="C45" s="2418" t="s">
        <v>210</v>
      </c>
      <c r="D45" s="3002">
        <v>0</v>
      </c>
      <c r="E45" s="3106"/>
      <c r="G45" s="2366" t="s">
        <v>27864</v>
      </c>
      <c r="H45" s="2366" t="s">
        <v>27685</v>
      </c>
      <c r="I45" s="2390" t="s">
        <v>27688</v>
      </c>
    </row>
    <row r="46" spans="1:9" x14ac:dyDescent="0.45">
      <c r="A46" s="2425" t="s">
        <v>27863</v>
      </c>
      <c r="B46" s="2417" t="s">
        <v>218</v>
      </c>
      <c r="C46" s="2416" t="s">
        <v>27769</v>
      </c>
      <c r="D46" s="3002">
        <v>0</v>
      </c>
      <c r="E46" s="3106"/>
      <c r="G46" s="2366" t="s">
        <v>27864</v>
      </c>
      <c r="H46" s="2366" t="s">
        <v>27691</v>
      </c>
      <c r="I46" s="2390" t="s">
        <v>27826</v>
      </c>
    </row>
    <row r="47" spans="1:9" x14ac:dyDescent="0.45">
      <c r="A47" s="2427" t="s">
        <v>27863</v>
      </c>
      <c r="B47" s="2412" t="s">
        <v>218</v>
      </c>
      <c r="C47" s="2411" t="s">
        <v>210</v>
      </c>
      <c r="D47" s="3062">
        <v>0</v>
      </c>
      <c r="E47" s="3107"/>
      <c r="G47" s="2366" t="s">
        <v>27864</v>
      </c>
      <c r="H47" s="2366" t="s">
        <v>27691</v>
      </c>
      <c r="I47" s="2390" t="s">
        <v>27688</v>
      </c>
    </row>
    <row r="48" spans="1:9" x14ac:dyDescent="0.45">
      <c r="A48" s="2416" t="s">
        <v>27865</v>
      </c>
      <c r="B48" s="2417" t="s">
        <v>204</v>
      </c>
      <c r="C48" s="2416" t="s">
        <v>27769</v>
      </c>
      <c r="D48" s="3063">
        <v>0</v>
      </c>
      <c r="E48" s="3108"/>
      <c r="G48" s="2366" t="s">
        <v>27866</v>
      </c>
      <c r="H48" s="2366" t="s">
        <v>27685</v>
      </c>
      <c r="I48" s="2390" t="s">
        <v>27826</v>
      </c>
    </row>
    <row r="49" spans="1:9" x14ac:dyDescent="0.45">
      <c r="A49" s="2425" t="s">
        <v>27865</v>
      </c>
      <c r="B49" s="2419" t="s">
        <v>204</v>
      </c>
      <c r="C49" s="2418" t="s">
        <v>210</v>
      </c>
      <c r="D49" s="3002">
        <v>0</v>
      </c>
      <c r="E49" s="3106"/>
      <c r="G49" s="2366" t="s">
        <v>27866</v>
      </c>
      <c r="H49" s="2366" t="s">
        <v>27685</v>
      </c>
      <c r="I49" s="2390" t="s">
        <v>27688</v>
      </c>
    </row>
    <row r="50" spans="1:9" x14ac:dyDescent="0.45">
      <c r="A50" s="2425" t="s">
        <v>27865</v>
      </c>
      <c r="B50" s="2417" t="s">
        <v>218</v>
      </c>
      <c r="C50" s="2416" t="s">
        <v>27769</v>
      </c>
      <c r="D50" s="3002">
        <v>0</v>
      </c>
      <c r="E50" s="3106"/>
      <c r="G50" s="2366" t="s">
        <v>27866</v>
      </c>
      <c r="H50" s="2366" t="s">
        <v>27691</v>
      </c>
      <c r="I50" s="2390" t="s">
        <v>27826</v>
      </c>
    </row>
    <row r="51" spans="1:9" x14ac:dyDescent="0.45">
      <c r="A51" s="2427" t="s">
        <v>27865</v>
      </c>
      <c r="B51" s="2412" t="s">
        <v>218</v>
      </c>
      <c r="C51" s="2411" t="s">
        <v>210</v>
      </c>
      <c r="D51" s="3062">
        <v>0</v>
      </c>
      <c r="E51" s="3107"/>
      <c r="G51" s="2366" t="s">
        <v>27866</v>
      </c>
      <c r="H51" s="2366" t="s">
        <v>27691</v>
      </c>
      <c r="I51" s="2390" t="s">
        <v>27688</v>
      </c>
    </row>
    <row r="52" spans="1:9" ht="27" x14ac:dyDescent="0.45">
      <c r="A52" s="2426" t="s">
        <v>27867</v>
      </c>
      <c r="B52" s="2417" t="s">
        <v>204</v>
      </c>
      <c r="C52" s="2416" t="s">
        <v>27769</v>
      </c>
      <c r="D52" s="3063">
        <v>0</v>
      </c>
      <c r="E52" s="3108"/>
      <c r="G52" s="2366" t="s">
        <v>27868</v>
      </c>
      <c r="H52" s="2366" t="s">
        <v>27685</v>
      </c>
      <c r="I52" s="2390" t="s">
        <v>27826</v>
      </c>
    </row>
    <row r="53" spans="1:9" ht="27" x14ac:dyDescent="0.45">
      <c r="A53" s="2420" t="s">
        <v>27867</v>
      </c>
      <c r="B53" s="2419" t="s">
        <v>204</v>
      </c>
      <c r="C53" s="2418" t="s">
        <v>210</v>
      </c>
      <c r="D53" s="3002">
        <v>0</v>
      </c>
      <c r="E53" s="3106"/>
      <c r="G53" s="2366" t="s">
        <v>27868</v>
      </c>
      <c r="H53" s="2366" t="s">
        <v>27685</v>
      </c>
      <c r="I53" s="2390" t="s">
        <v>27688</v>
      </c>
    </row>
    <row r="54" spans="1:9" x14ac:dyDescent="0.45">
      <c r="A54" s="2425" t="s">
        <v>27867</v>
      </c>
      <c r="B54" s="2417" t="s">
        <v>218</v>
      </c>
      <c r="C54" s="2416" t="s">
        <v>27769</v>
      </c>
      <c r="D54" s="3002">
        <v>0</v>
      </c>
      <c r="E54" s="3106"/>
      <c r="G54" s="2366" t="s">
        <v>27868</v>
      </c>
      <c r="H54" s="2366" t="s">
        <v>27691</v>
      </c>
      <c r="I54" s="2390" t="s">
        <v>27826</v>
      </c>
    </row>
    <row r="55" spans="1:9" x14ac:dyDescent="0.45">
      <c r="A55" s="2427" t="s">
        <v>27867</v>
      </c>
      <c r="B55" s="2412" t="s">
        <v>218</v>
      </c>
      <c r="C55" s="2411" t="s">
        <v>210</v>
      </c>
      <c r="D55" s="3062">
        <v>0</v>
      </c>
      <c r="E55" s="3107"/>
      <c r="G55" s="2366" t="s">
        <v>27868</v>
      </c>
      <c r="H55" s="2366" t="s">
        <v>27691</v>
      </c>
      <c r="I55" s="2390" t="s">
        <v>27688</v>
      </c>
    </row>
    <row r="56" spans="1:9" x14ac:dyDescent="0.45">
      <c r="A56" s="2416" t="s">
        <v>27869</v>
      </c>
      <c r="B56" s="2417" t="s">
        <v>204</v>
      </c>
      <c r="C56" s="2416" t="s">
        <v>27769</v>
      </c>
      <c r="D56" s="3063">
        <v>0</v>
      </c>
      <c r="E56" s="3108"/>
      <c r="G56" s="2366" t="s">
        <v>27870</v>
      </c>
      <c r="H56" s="2366" t="s">
        <v>27685</v>
      </c>
      <c r="I56" s="2390" t="s">
        <v>27826</v>
      </c>
    </row>
    <row r="57" spans="1:9" x14ac:dyDescent="0.45">
      <c r="A57" s="2425" t="s">
        <v>27869</v>
      </c>
      <c r="B57" s="3067" t="s">
        <v>204</v>
      </c>
      <c r="C57" s="3066" t="s">
        <v>210</v>
      </c>
      <c r="D57" s="3002">
        <v>0</v>
      </c>
      <c r="E57" s="3106"/>
      <c r="G57" s="2366" t="s">
        <v>27870</v>
      </c>
      <c r="H57" s="2366" t="s">
        <v>27685</v>
      </c>
      <c r="I57" s="2390" t="s">
        <v>27688</v>
      </c>
    </row>
    <row r="58" spans="1:9" x14ac:dyDescent="0.45">
      <c r="A58" s="2425" t="s">
        <v>27869</v>
      </c>
      <c r="B58" s="2417" t="s">
        <v>218</v>
      </c>
      <c r="C58" s="2416" t="s">
        <v>27769</v>
      </c>
      <c r="D58" s="3002">
        <v>0</v>
      </c>
      <c r="E58" s="3106"/>
      <c r="G58" s="2366" t="s">
        <v>27870</v>
      </c>
      <c r="H58" s="2366" t="s">
        <v>27691</v>
      </c>
      <c r="I58" s="2390" t="s">
        <v>27826</v>
      </c>
    </row>
    <row r="59" spans="1:9" x14ac:dyDescent="0.45">
      <c r="A59" s="2427" t="s">
        <v>27869</v>
      </c>
      <c r="B59" s="2412" t="s">
        <v>218</v>
      </c>
      <c r="C59" s="2411" t="s">
        <v>210</v>
      </c>
      <c r="D59" s="3062">
        <v>0</v>
      </c>
      <c r="E59" s="3107"/>
      <c r="G59" s="2366" t="s">
        <v>27870</v>
      </c>
      <c r="H59" s="2366" t="s">
        <v>27691</v>
      </c>
      <c r="I59" s="2390" t="s">
        <v>27688</v>
      </c>
    </row>
    <row r="60" spans="1:9" x14ac:dyDescent="0.45">
      <c r="A60" s="2426" t="s">
        <v>27871</v>
      </c>
      <c r="B60" s="2417" t="s">
        <v>204</v>
      </c>
      <c r="C60" s="2416" t="s">
        <v>27769</v>
      </c>
      <c r="D60" s="3063">
        <v>0</v>
      </c>
      <c r="E60" s="3108"/>
      <c r="G60" s="2366" t="s">
        <v>27872</v>
      </c>
      <c r="H60" s="2366" t="s">
        <v>27685</v>
      </c>
      <c r="I60" s="2390" t="s">
        <v>27826</v>
      </c>
    </row>
    <row r="61" spans="1:9" x14ac:dyDescent="0.45">
      <c r="A61" s="2420" t="s">
        <v>27871</v>
      </c>
      <c r="B61" s="2419" t="s">
        <v>204</v>
      </c>
      <c r="C61" s="2418" t="s">
        <v>210</v>
      </c>
      <c r="D61" s="3002">
        <v>0</v>
      </c>
      <c r="E61" s="3106"/>
      <c r="G61" s="2366" t="s">
        <v>27872</v>
      </c>
      <c r="H61" s="2366" t="s">
        <v>27685</v>
      </c>
      <c r="I61" s="2390" t="s">
        <v>27688</v>
      </c>
    </row>
    <row r="62" spans="1:9" x14ac:dyDescent="0.45">
      <c r="A62" s="2425" t="s">
        <v>27871</v>
      </c>
      <c r="B62" s="2417" t="s">
        <v>218</v>
      </c>
      <c r="C62" s="2416" t="s">
        <v>27769</v>
      </c>
      <c r="D62" s="3002">
        <v>0</v>
      </c>
      <c r="E62" s="3106"/>
      <c r="G62" s="2366" t="s">
        <v>27872</v>
      </c>
      <c r="H62" s="2366" t="s">
        <v>27691</v>
      </c>
      <c r="I62" s="2390" t="s">
        <v>27826</v>
      </c>
    </row>
    <row r="63" spans="1:9" x14ac:dyDescent="0.45">
      <c r="A63" s="2427" t="s">
        <v>27871</v>
      </c>
      <c r="B63" s="2412" t="s">
        <v>218</v>
      </c>
      <c r="C63" s="2411" t="s">
        <v>210</v>
      </c>
      <c r="D63" s="3062">
        <v>0</v>
      </c>
      <c r="E63" s="3107"/>
      <c r="G63" s="2366" t="s">
        <v>27872</v>
      </c>
      <c r="H63" s="2366" t="s">
        <v>27691</v>
      </c>
      <c r="I63" s="2390" t="s">
        <v>27688</v>
      </c>
    </row>
    <row r="64" spans="1:9" ht="27" x14ac:dyDescent="0.45">
      <c r="A64" s="2426" t="s">
        <v>27873</v>
      </c>
      <c r="B64" s="2417" t="s">
        <v>204</v>
      </c>
      <c r="C64" s="2416" t="s">
        <v>27769</v>
      </c>
      <c r="D64" s="3063">
        <v>0</v>
      </c>
      <c r="E64" s="3108"/>
      <c r="G64" s="2366" t="s">
        <v>27874</v>
      </c>
      <c r="H64" s="2366" t="s">
        <v>27685</v>
      </c>
      <c r="I64" s="2390" t="s">
        <v>27826</v>
      </c>
    </row>
    <row r="65" spans="1:9" ht="27" x14ac:dyDescent="0.45">
      <c r="A65" s="2420" t="s">
        <v>27873</v>
      </c>
      <c r="B65" s="2419" t="s">
        <v>204</v>
      </c>
      <c r="C65" s="2418" t="s">
        <v>210</v>
      </c>
      <c r="D65" s="3002">
        <v>0</v>
      </c>
      <c r="E65" s="3106"/>
      <c r="G65" s="2366" t="s">
        <v>27874</v>
      </c>
      <c r="H65" s="2366" t="s">
        <v>27685</v>
      </c>
      <c r="I65" s="2390" t="s">
        <v>27688</v>
      </c>
    </row>
    <row r="66" spans="1:9" x14ac:dyDescent="0.45">
      <c r="A66" s="2425" t="s">
        <v>27873</v>
      </c>
      <c r="B66" s="2417" t="s">
        <v>218</v>
      </c>
      <c r="C66" s="2416" t="s">
        <v>27769</v>
      </c>
      <c r="D66" s="3002">
        <v>0</v>
      </c>
      <c r="E66" s="3106"/>
      <c r="G66" s="2366" t="s">
        <v>27874</v>
      </c>
      <c r="H66" s="2366" t="s">
        <v>27691</v>
      </c>
      <c r="I66" s="2390" t="s">
        <v>27826</v>
      </c>
    </row>
    <row r="67" spans="1:9" x14ac:dyDescent="0.45">
      <c r="A67" s="2427" t="s">
        <v>27873</v>
      </c>
      <c r="B67" s="2412" t="s">
        <v>218</v>
      </c>
      <c r="C67" s="2411" t="s">
        <v>210</v>
      </c>
      <c r="D67" s="3062">
        <v>0</v>
      </c>
      <c r="E67" s="3107"/>
      <c r="G67" s="2366" t="s">
        <v>27874</v>
      </c>
      <c r="H67" s="2366" t="s">
        <v>27691</v>
      </c>
      <c r="I67" s="2390" t="s">
        <v>27688</v>
      </c>
    </row>
    <row r="68" spans="1:9" ht="27" x14ac:dyDescent="0.45">
      <c r="A68" s="2426" t="s">
        <v>27875</v>
      </c>
      <c r="B68" s="2417" t="s">
        <v>204</v>
      </c>
      <c r="C68" s="2416" t="s">
        <v>27769</v>
      </c>
      <c r="D68" s="3062">
        <v>0</v>
      </c>
      <c r="E68" s="3107"/>
      <c r="G68" s="2366" t="s">
        <v>27876</v>
      </c>
      <c r="H68" s="2366" t="s">
        <v>27685</v>
      </c>
      <c r="I68" s="2390" t="s">
        <v>27826</v>
      </c>
    </row>
    <row r="69" spans="1:9" ht="27" x14ac:dyDescent="0.45">
      <c r="A69" s="2420" t="s">
        <v>27875</v>
      </c>
      <c r="B69" s="3065" t="s">
        <v>204</v>
      </c>
      <c r="C69" s="3064" t="s">
        <v>210</v>
      </c>
      <c r="D69" s="3063">
        <v>0</v>
      </c>
      <c r="E69" s="3108"/>
      <c r="G69" s="2366" t="s">
        <v>27876</v>
      </c>
      <c r="H69" s="2366" t="s">
        <v>27685</v>
      </c>
      <c r="I69" s="2390" t="s">
        <v>27688</v>
      </c>
    </row>
    <row r="70" spans="1:9" x14ac:dyDescent="0.45">
      <c r="A70" s="2425" t="s">
        <v>27875</v>
      </c>
      <c r="B70" s="2417" t="s">
        <v>218</v>
      </c>
      <c r="C70" s="2416" t="s">
        <v>27769</v>
      </c>
      <c r="D70" s="3002">
        <v>0</v>
      </c>
      <c r="E70" s="3106"/>
      <c r="G70" s="2366" t="s">
        <v>27876</v>
      </c>
      <c r="H70" s="2366" t="s">
        <v>27691</v>
      </c>
      <c r="I70" s="2390" t="s">
        <v>27826</v>
      </c>
    </row>
    <row r="71" spans="1:9" x14ac:dyDescent="0.45">
      <c r="A71" s="2427" t="s">
        <v>27875</v>
      </c>
      <c r="B71" s="2412" t="s">
        <v>218</v>
      </c>
      <c r="C71" s="2411" t="s">
        <v>210</v>
      </c>
      <c r="D71" s="3062">
        <v>0</v>
      </c>
      <c r="E71" s="3107"/>
      <c r="G71" s="2366" t="s">
        <v>27876</v>
      </c>
      <c r="H71" s="2366" t="s">
        <v>27691</v>
      </c>
      <c r="I71" s="2390" t="s">
        <v>27688</v>
      </c>
    </row>
    <row r="72" spans="1:9" ht="27" x14ac:dyDescent="0.45">
      <c r="A72" s="2426" t="s">
        <v>27877</v>
      </c>
      <c r="B72" s="2417" t="s">
        <v>204</v>
      </c>
      <c r="C72" s="2416" t="s">
        <v>27769</v>
      </c>
      <c r="D72" s="3063">
        <v>0</v>
      </c>
      <c r="E72" s="3108"/>
      <c r="G72" s="2366" t="s">
        <v>27878</v>
      </c>
      <c r="H72" s="2366" t="s">
        <v>27685</v>
      </c>
      <c r="I72" s="2390" t="s">
        <v>27826</v>
      </c>
    </row>
    <row r="73" spans="1:9" ht="27" x14ac:dyDescent="0.45">
      <c r="A73" s="2420" t="s">
        <v>27877</v>
      </c>
      <c r="B73" s="2419" t="s">
        <v>204</v>
      </c>
      <c r="C73" s="2418" t="s">
        <v>210</v>
      </c>
      <c r="D73" s="3002">
        <v>0</v>
      </c>
      <c r="E73" s="3106"/>
      <c r="G73" s="2366" t="s">
        <v>27878</v>
      </c>
      <c r="H73" s="2366" t="s">
        <v>27685</v>
      </c>
      <c r="I73" s="2390" t="s">
        <v>27688</v>
      </c>
    </row>
    <row r="74" spans="1:9" x14ac:dyDescent="0.45">
      <c r="A74" s="2425" t="s">
        <v>27877</v>
      </c>
      <c r="B74" s="2417" t="s">
        <v>218</v>
      </c>
      <c r="C74" s="2416" t="s">
        <v>27769</v>
      </c>
      <c r="D74" s="3002">
        <v>0</v>
      </c>
      <c r="E74" s="3106"/>
      <c r="G74" s="2366" t="s">
        <v>27878</v>
      </c>
      <c r="H74" s="2366" t="s">
        <v>27691</v>
      </c>
      <c r="I74" s="2390" t="s">
        <v>27826</v>
      </c>
    </row>
    <row r="75" spans="1:9" x14ac:dyDescent="0.45">
      <c r="A75" s="2427" t="s">
        <v>27877</v>
      </c>
      <c r="B75" s="2412" t="s">
        <v>218</v>
      </c>
      <c r="C75" s="2411" t="s">
        <v>210</v>
      </c>
      <c r="D75" s="3062">
        <v>0</v>
      </c>
      <c r="E75" s="3107"/>
      <c r="G75" s="2366" t="s">
        <v>27878</v>
      </c>
      <c r="H75" s="2366" t="s">
        <v>27691</v>
      </c>
      <c r="I75" s="2390" t="s">
        <v>27688</v>
      </c>
    </row>
    <row r="77" spans="1:9" x14ac:dyDescent="0.45">
      <c r="D77" s="3113" t="s">
        <v>29392</v>
      </c>
      <c r="E77" s="3113" t="s">
        <v>29735</v>
      </c>
    </row>
  </sheetData>
  <sheetProtection algorithmName="SHA-512" hashValue="Te2egdcMPKtjcc9wxQplmr0T38q+khsbcVhFv4RyhbIHZSS0QkX898ohFJey95qLMP7ISzqFxDaoqR+660PVBA==" saltValue="Z4dD2PiMrbS92S0B9CSZOg==" spinCount="100000" sheet="1" objects="1" scenarios="1"/>
  <conditionalFormatting sqref="D2:E75">
    <cfRule type="cellIs" dxfId="7" priority="1" operator="equal">
      <formula>0</formula>
    </cfRule>
  </conditionalFormatting>
  <dataValidations count="1">
    <dataValidation type="custom" allowBlank="1" showInputMessage="1" showErrorMessage="1" errorTitle="Validation check" error="Table 1, Column 1 can only contain postive values up to two decimal places or zero." sqref="D2:D75" xr:uid="{313B51F2-5553-41E4-9C23-E55428397B65}">
      <formula1>AND(D2&gt;=0,ROUND(D2,2)=D2)</formula1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6D3BD-9A28-4CB2-9BE9-4436E9C2943D}">
  <sheetPr codeName="Sheet48"/>
  <dimension ref="A1:AN253"/>
  <sheetViews>
    <sheetView workbookViewId="0"/>
  </sheetViews>
  <sheetFormatPr defaultColWidth="9" defaultRowHeight="14.25" x14ac:dyDescent="0.45"/>
  <cols>
    <col min="1" max="1" width="9" style="2270"/>
    <col min="2" max="2" width="20.59765625" style="2270" customWidth="1"/>
    <col min="3" max="3" width="18.265625" style="2270" customWidth="1"/>
    <col min="4" max="4" width="17" style="2270" bestFit="1" customWidth="1"/>
    <col min="5" max="9" width="12" style="2270" customWidth="1"/>
    <col min="10" max="10" width="13" style="2270" customWidth="1"/>
    <col min="11" max="11" width="19" style="2270" customWidth="1"/>
    <col min="12" max="12" width="13" style="2270" bestFit="1" customWidth="1"/>
    <col min="13" max="13" width="10" style="2270" customWidth="1"/>
    <col min="14" max="14" width="14" style="2270" customWidth="1"/>
    <col min="15" max="16384" width="9" style="2270"/>
  </cols>
  <sheetData>
    <row r="1" spans="1:30" ht="15.4" x14ac:dyDescent="0.45">
      <c r="A1" s="3057" t="s">
        <v>29655</v>
      </c>
    </row>
    <row r="2" spans="1:30" x14ac:dyDescent="0.45">
      <c r="D2" s="2995" t="s">
        <v>28277</v>
      </c>
      <c r="E2" s="3056" t="s">
        <v>29649</v>
      </c>
      <c r="F2" s="3036" t="s">
        <v>29399</v>
      </c>
      <c r="G2"/>
      <c r="H2"/>
      <c r="I2"/>
      <c r="K2" s="3036"/>
      <c r="L2" s="3036"/>
    </row>
    <row r="3" spans="1:30" ht="26.25" x14ac:dyDescent="0.45">
      <c r="B3" s="3055" t="s">
        <v>343</v>
      </c>
      <c r="D3" s="2377">
        <f>IF(AND(E3="Validation: OK",F3="Validation: OK"),0,1)</f>
        <v>0</v>
      </c>
      <c r="E3" s="3119" t="str">
        <f>IF(AND(E89="",F89="",H89="",I89=""),"Validation: OK","Validation: Failure (see below table)")</f>
        <v>Validation: OK</v>
      </c>
      <c r="F3" s="3120" t="str">
        <f>IF(AND(G89="",H89="",I89=""),"Validation: OK","Validation: Failure (see below table)")</f>
        <v>Validation: OK</v>
      </c>
      <c r="G3"/>
      <c r="H3"/>
      <c r="I3"/>
    </row>
    <row r="4" spans="1:30" x14ac:dyDescent="0.45">
      <c r="B4" s="3055"/>
      <c r="C4" s="2995"/>
      <c r="D4" s="2995"/>
      <c r="E4" s="2995"/>
      <c r="F4" s="2995"/>
      <c r="G4" s="2995"/>
      <c r="H4" s="2995"/>
      <c r="I4" s="2995"/>
      <c r="K4" s="2995"/>
      <c r="L4" s="2995"/>
      <c r="M4" s="2995"/>
      <c r="N4" s="2995"/>
      <c r="O4" s="2995"/>
    </row>
    <row r="5" spans="1:30" ht="139.5" customHeight="1" x14ac:dyDescent="0.45">
      <c r="B5" s="3054" t="s">
        <v>346</v>
      </c>
      <c r="C5" s="3053"/>
      <c r="D5" s="3023"/>
      <c r="E5" s="3052" t="s">
        <v>29748</v>
      </c>
      <c r="F5" s="3051" t="s">
        <v>29739</v>
      </c>
      <c r="G5" s="3051" t="s">
        <v>29743</v>
      </c>
      <c r="H5" s="3051" t="s">
        <v>29744</v>
      </c>
      <c r="I5" s="3050" t="s">
        <v>29742</v>
      </c>
      <c r="K5" s="2995"/>
      <c r="M5" s="2995"/>
      <c r="N5" s="2995"/>
      <c r="O5" s="2995"/>
    </row>
    <row r="6" spans="1:30" x14ac:dyDescent="0.45">
      <c r="B6" s="3048" t="s">
        <v>363</v>
      </c>
      <c r="C6" s="2995"/>
      <c r="E6" s="2982">
        <v>1</v>
      </c>
      <c r="F6" s="2270">
        <v>1</v>
      </c>
      <c r="G6" s="2270">
        <v>1</v>
      </c>
      <c r="H6" s="2270">
        <v>1</v>
      </c>
      <c r="I6" s="2982">
        <v>1</v>
      </c>
      <c r="K6" s="2995"/>
      <c r="M6" s="2995"/>
      <c r="N6" s="2995"/>
    </row>
    <row r="7" spans="1:30" s="2993" customFormat="1" ht="12.75" customHeight="1" x14ac:dyDescent="0.45">
      <c r="B7" s="3046"/>
      <c r="C7" s="3044"/>
      <c r="D7" s="3044"/>
      <c r="E7" s="3044"/>
      <c r="F7" s="3044"/>
      <c r="G7" s="3044"/>
      <c r="H7" s="3045"/>
      <c r="I7" s="3045"/>
      <c r="K7" s="2996"/>
      <c r="L7" s="2270"/>
      <c r="M7" s="2996"/>
      <c r="N7" s="2996"/>
      <c r="AC7" s="2270"/>
      <c r="AD7" s="2270"/>
    </row>
    <row r="8" spans="1:30" s="2993" customFormat="1" x14ac:dyDescent="0.45">
      <c r="B8" s="3042"/>
      <c r="C8" s="2996"/>
      <c r="D8" s="2996"/>
      <c r="E8" s="2996"/>
      <c r="F8" s="2996"/>
      <c r="G8" s="2996"/>
      <c r="H8" s="2996"/>
      <c r="I8" s="2996"/>
      <c r="K8" s="2996"/>
      <c r="L8" s="2996"/>
      <c r="M8" s="2996"/>
      <c r="N8" s="2996"/>
      <c r="AC8" s="2270"/>
      <c r="AD8" s="2270"/>
    </row>
    <row r="9" spans="1:30" s="2993" customFormat="1" ht="26.25" x14ac:dyDescent="0.45">
      <c r="B9" s="3041"/>
      <c r="C9" s="3039"/>
      <c r="D9" s="3037"/>
      <c r="E9" s="3040"/>
      <c r="F9" s="3218">
        <v>0.02</v>
      </c>
      <c r="G9" s="3217" t="s">
        <v>29755</v>
      </c>
      <c r="H9" s="3039"/>
      <c r="I9" s="3038"/>
      <c r="M9" s="3036"/>
      <c r="N9" s="2270"/>
      <c r="R9"/>
      <c r="S9"/>
      <c r="AC9" s="2270"/>
      <c r="AD9" s="2270"/>
    </row>
    <row r="10" spans="1:30" s="2993" customFormat="1" ht="26.25" x14ac:dyDescent="0.45">
      <c r="B10" s="3215"/>
      <c r="C10" s="3011"/>
      <c r="D10" s="3059"/>
      <c r="E10" s="3009"/>
      <c r="F10" s="3216">
        <v>0.05</v>
      </c>
      <c r="G10" s="3059" t="s">
        <v>29756</v>
      </c>
      <c r="H10" s="3011"/>
      <c r="I10" s="3216"/>
      <c r="L10" s="3036" t="s">
        <v>27709</v>
      </c>
      <c r="M10" s="3036"/>
      <c r="N10" s="2270"/>
      <c r="O10" s="2270"/>
      <c r="P10" s="2270"/>
      <c r="Q10" s="2270"/>
      <c r="R10"/>
      <c r="S10"/>
      <c r="V10" s="2270"/>
      <c r="W10" s="2270"/>
    </row>
    <row r="11" spans="1:30" x14ac:dyDescent="0.45">
      <c r="B11" s="3035"/>
      <c r="C11" s="2377"/>
      <c r="D11" s="3009"/>
      <c r="E11" s="2377" t="s">
        <v>29639</v>
      </c>
      <c r="F11" s="2377" t="s">
        <v>29638</v>
      </c>
      <c r="G11" s="2377" t="s">
        <v>29637</v>
      </c>
      <c r="H11" s="2377" t="s">
        <v>29636</v>
      </c>
      <c r="I11" s="2377" t="s">
        <v>29635</v>
      </c>
      <c r="K11" s="2377" t="s">
        <v>29648</v>
      </c>
      <c r="L11" s="3308" t="s">
        <v>29760</v>
      </c>
      <c r="M11" s="3034"/>
      <c r="N11" s="3308" t="s">
        <v>29761</v>
      </c>
      <c r="R11"/>
      <c r="S11"/>
    </row>
    <row r="12" spans="1:30" ht="13.15" customHeight="1" x14ac:dyDescent="0.45">
      <c r="A12" s="3021"/>
      <c r="B12" s="2354" t="s">
        <v>200</v>
      </c>
      <c r="C12" s="2353" t="s">
        <v>56</v>
      </c>
      <c r="D12" s="2352" t="s">
        <v>57</v>
      </c>
      <c r="E12" s="2270" t="s">
        <v>29647</v>
      </c>
      <c r="F12" s="2270" t="s">
        <v>29646</v>
      </c>
      <c r="G12" s="2270" t="s">
        <v>29646</v>
      </c>
      <c r="H12" s="2270" t="s">
        <v>29645</v>
      </c>
      <c r="I12" s="2270" t="s">
        <v>29392</v>
      </c>
      <c r="K12" s="2995"/>
      <c r="L12" s="2993" t="s">
        <v>29643</v>
      </c>
      <c r="M12" s="2993" t="s">
        <v>29641</v>
      </c>
      <c r="N12" s="2993" t="s">
        <v>29399</v>
      </c>
      <c r="R12"/>
      <c r="S12"/>
    </row>
    <row r="13" spans="1:30" ht="13.15" customHeight="1" x14ac:dyDescent="0.45">
      <c r="A13" s="3021"/>
      <c r="B13" s="3093" t="s">
        <v>27842</v>
      </c>
      <c r="C13" s="3084" t="s">
        <v>204</v>
      </c>
      <c r="D13" s="3093" t="s">
        <v>27769</v>
      </c>
      <c r="E13" s="3029" t="str">
        <f>IF(AND($E$6=1, ROUND(FTE_6c_Health_part_time!$H9, 2)&lt;&gt;FTE_6c_Health_part_time!$H9), CONCATENATE("Price group", " ", $B12, ", ", $C12, " ", "Length", ", Level ", $D12, "; "), "")</f>
        <v/>
      </c>
      <c r="F13" s="3028" t="str">
        <f>IF(AND($F$6=1,FTE_6c_Health_part_time!$E9&lt;&gt;0,ABS(FTE_6c_Health_part_time!$H9-FTE_6c_Health_part_time!$E9)&lt;$F$9),CONCATENATE("Price group"," ",$B13,", ",$C13," ","Length",", Level ",$D13,"; "),"")</f>
        <v/>
      </c>
      <c r="G13" s="3029" t="str">
        <f>IF(AND($G$6=1,LEN(FTE_6c_Health_part_time!$J9)&gt;2000), CONCATENATE("Price group", " ", $B13, ", ", $C13, " ", "Length", ", Level ", $D13, "; "), "")</f>
        <v/>
      </c>
      <c r="H13" s="3029" t="str">
        <f>IF(AND($H$6=1,OR(AND(FTE_6c_Health_part_time!$H9=0,FTE_6c_Health_part_time!$J9&lt;&gt;""),AND(FTE_6c_Health_part_time!$H9&lt;&gt;0,FTE_6c_Health_part_time!$J9=""))),CONCATENATE("Price group"," ",$B13,", ",$C13," ","Length",", Level ",$D13,"; "),"")</f>
        <v/>
      </c>
      <c r="I13" s="3028" t="str">
        <f>IF(AND($I$6=1,FTE_6c_Health_part_time!$G9=0,OR(FTE_6c_Health_part_time!$H9&lt;&gt;0,FTE_6c_Health_part_time!$J9&lt;&gt;"")),CONCATENATE("Price group"," ",$B13,", ",$C13," ","Length",", Level ",$D13,"; "),"")</f>
        <v/>
      </c>
      <c r="K13" s="3092" t="s">
        <v>27842</v>
      </c>
      <c r="L13" s="3024">
        <f>IF(OR(E13&lt;&gt;"",F13&lt;&gt;"",H13&lt;&gt;"",I13&lt;&gt;""),1,0)</f>
        <v>0</v>
      </c>
      <c r="M13" s="3025"/>
      <c r="N13" s="3024">
        <f>IF(OR(G13&lt;&gt;"",H13&lt;&gt;"",I13&lt;&gt;""),1,0)</f>
        <v>0</v>
      </c>
      <c r="R13"/>
      <c r="S13"/>
    </row>
    <row r="14" spans="1:30" ht="13.15" customHeight="1" x14ac:dyDescent="0.45">
      <c r="A14" s="3021"/>
      <c r="B14" s="3079" t="s">
        <v>27842</v>
      </c>
      <c r="C14" s="3101"/>
      <c r="D14" s="3100"/>
      <c r="E14" s="3096"/>
      <c r="F14" s="3096"/>
      <c r="G14" s="3097"/>
      <c r="H14" s="3096" t="str">
        <f>IF(AND($H$6=1,OR(AND(FTE_6c_Health_part_time!$H10=0,FTE_6c_Health_part_time!$J10&lt;&gt;""),AND(FTE_6c_Health_part_time!$H10&lt;&gt;0,FTE_6c_Health_part_time!$J10=""))),CONCATENATE("Price group"," ",$B14,", ",$C14," ","Length",", Level ",$D14,"; "),"")</f>
        <v/>
      </c>
      <c r="I14" s="3096" t="str">
        <f>IF(AND($I$6=1,FTE_6c_Health_part_time!$G10=0,OR(FTE_6c_Health_part_time!$H10&lt;&gt;0,FTE_6c_Health_part_time!$J10&lt;&gt;"")),CONCATENATE("Price group"," ",$B14,", ",$C14," ","Length",", Level ",$D14,"; "),"")</f>
        <v/>
      </c>
      <c r="K14" s="3076" t="s">
        <v>27842</v>
      </c>
      <c r="L14" s="3024">
        <f t="shared" ref="L14:L77" si="0">IF(OR(E14&lt;&gt;"",F14&lt;&gt;"",H14&lt;&gt;"",I14&lt;&gt;""),1,0)</f>
        <v>0</v>
      </c>
      <c r="M14" s="3025"/>
      <c r="N14" s="3024">
        <f t="shared" ref="N14:N77" si="1">IF(OR(G14&lt;&gt;"",H14&lt;&gt;"",I14&lt;&gt;""),1,0)</f>
        <v>0</v>
      </c>
      <c r="R14"/>
      <c r="S14"/>
    </row>
    <row r="15" spans="1:30" ht="13.15" customHeight="1" x14ac:dyDescent="0.45">
      <c r="A15" s="3021"/>
      <c r="B15" s="3079" t="s">
        <v>27842</v>
      </c>
      <c r="C15" s="3078" t="s">
        <v>218</v>
      </c>
      <c r="D15" s="3077" t="s">
        <v>27769</v>
      </c>
      <c r="E15" s="3072" t="str">
        <f>IF(AND($E$6=1, ROUND(FTE_6c_Health_part_time!$H11, 2)&lt;&gt;FTE_6c_Health_part_time!$H11), CONCATENATE("Price group", " ", $B14, ", ", $C14, " ", "Length", ", Level ", $D14, "; "), "")</f>
        <v/>
      </c>
      <c r="F15" s="3072" t="str">
        <f>IF(AND($F$6=1,FTE_6c_Health_part_time!$E11&lt;&gt;0,ABS(FTE_6c_Health_part_time!$H11-FTE_6c_Health_part_time!$E11)&lt;$F$9),CONCATENATE("Price group"," ",$B15,", ",$C15," ","Length",", Level ",$D15,"; "),"")</f>
        <v/>
      </c>
      <c r="G15" s="3029" t="str">
        <f>IF(AND($G$6=1,LEN(FTE_6c_Health_part_time!$J11)&gt;2000), CONCATENATE("Price group", " ", $B15, ", ", $C15, " ", "Length", ", Level ", $D15, "; "), "")</f>
        <v/>
      </c>
      <c r="H15" s="3072" t="str">
        <f>IF(AND($H$6=1,OR(AND(FTE_6c_Health_part_time!$H11=0,FTE_6c_Health_part_time!$J11&lt;&gt;""),AND(FTE_6c_Health_part_time!$H11&lt;&gt;0,FTE_6c_Health_part_time!$J11=""))),CONCATENATE("Price group"," ",$B15,", ",$C15," ","Length",", Level ",$D15,"; "),"")</f>
        <v/>
      </c>
      <c r="I15" s="3072" t="str">
        <f>IF(AND($I$6=1,FTE_6c_Health_part_time!$G11=0,OR(FTE_6c_Health_part_time!$H11&lt;&gt;0,FTE_6c_Health_part_time!$J11&lt;&gt;"")),CONCATENATE("Price group"," ",$B15,", ",$C15," ","Length",", Level ",$D15,"; "),"")</f>
        <v/>
      </c>
      <c r="K15" s="3076" t="s">
        <v>27842</v>
      </c>
      <c r="L15" s="3024">
        <f t="shared" si="0"/>
        <v>0</v>
      </c>
      <c r="M15" s="3025"/>
      <c r="N15" s="3024">
        <f t="shared" si="1"/>
        <v>0</v>
      </c>
      <c r="R15"/>
      <c r="S15"/>
    </row>
    <row r="16" spans="1:30" ht="13.15" customHeight="1" x14ac:dyDescent="0.45">
      <c r="A16" s="3021"/>
      <c r="B16" s="3075" t="s">
        <v>27842</v>
      </c>
      <c r="C16" s="3101"/>
      <c r="D16" s="3098"/>
      <c r="E16" s="3096"/>
      <c r="F16" s="3096"/>
      <c r="G16" s="3097"/>
      <c r="H16" s="3096" t="str">
        <f>IF(AND($H$6=1,OR(AND(FTE_6c_Health_part_time!$H12=0,FTE_6c_Health_part_time!$J12&lt;&gt;""),AND(FTE_6c_Health_part_time!$H12&lt;&gt;0,FTE_6c_Health_part_time!$J12=""))),CONCATENATE("Price group"," ",$B16,", ",$C16," ","Length",", Level ",$D16,"; "),"")</f>
        <v/>
      </c>
      <c r="I16" s="3096" t="str">
        <f>IF(AND($I$6=1,FTE_6c_Health_part_time!$G12=0,OR(FTE_6c_Health_part_time!$H12&lt;&gt;0,FTE_6c_Health_part_time!$J12&lt;&gt;"")),CONCATENATE("Price group"," ",$B16,", ",$C16," ","Length",", Level ",$D16,"; "),"")</f>
        <v/>
      </c>
      <c r="K16" s="3070" t="s">
        <v>27842</v>
      </c>
      <c r="L16" s="3024">
        <f t="shared" si="0"/>
        <v>0</v>
      </c>
      <c r="M16" s="3025"/>
      <c r="N16" s="3024">
        <f t="shared" si="1"/>
        <v>0</v>
      </c>
      <c r="R16"/>
      <c r="S16"/>
    </row>
    <row r="17" spans="1:19" ht="13.15" customHeight="1" x14ac:dyDescent="0.45">
      <c r="A17" s="3021"/>
      <c r="B17" s="3077" t="s">
        <v>27844</v>
      </c>
      <c r="C17" s="3084" t="s">
        <v>204</v>
      </c>
      <c r="D17" s="3077" t="s">
        <v>27769</v>
      </c>
      <c r="E17" s="3072" t="str">
        <f>IF(AND($E$6=1, ROUND(FTE_6c_Health_part_time!$H13, 2)&lt;&gt;FTE_6c_Health_part_time!$H13), CONCATENATE("Price group", " ", $B16, ", ", $C16, " ", "Length", ", Level ", $D16, "; "), "")</f>
        <v/>
      </c>
      <c r="F17" s="3072" t="str">
        <f>IF(AND($F$6=1,FTE_6c_Health_part_time!$E13&lt;&gt;0,ABS(FTE_6c_Health_part_time!$H13-FTE_6c_Health_part_time!$E13)&lt;$F$9),CONCATENATE("Price group"," ",$B17,", ",$C17," ","Length",", Level ",$D17,"; "),"")</f>
        <v/>
      </c>
      <c r="G17" s="3029" t="str">
        <f>IF(AND($G$6=1,LEN(FTE_6c_Health_part_time!$J13)&gt;2000), CONCATENATE("Price group", " ", $B17, ", ", $C17, " ", "Length", ", Level ", $D17, "; "), "")</f>
        <v/>
      </c>
      <c r="H17" s="3072" t="str">
        <f>IF(AND($H$6=1,OR(AND(FTE_6c_Health_part_time!$H13=0,FTE_6c_Health_part_time!$J13&lt;&gt;""),AND(FTE_6c_Health_part_time!$H13&lt;&gt;0,FTE_6c_Health_part_time!$J13=""))),CONCATENATE("Price group"," ",$B17,", ",$C17," ","Length",", Level ",$D17,"; "),"")</f>
        <v/>
      </c>
      <c r="I17" s="3072" t="str">
        <f>IF(AND($I$6=1,FTE_6c_Health_part_time!$G13=0,OR(FTE_6c_Health_part_time!$H13&lt;&gt;0,FTE_6c_Health_part_time!$J13&lt;&gt;"")),CONCATENATE("Price group"," ",$B17,", ",$C17," ","Length",", Level ",$D17,"; "),"")</f>
        <v/>
      </c>
      <c r="K17" s="3091" t="s">
        <v>27844</v>
      </c>
      <c r="L17" s="3024">
        <f t="shared" si="0"/>
        <v>0</v>
      </c>
      <c r="M17" s="3025"/>
      <c r="N17" s="3024">
        <f t="shared" si="1"/>
        <v>0</v>
      </c>
      <c r="R17"/>
      <c r="S17"/>
    </row>
    <row r="18" spans="1:19" ht="13.15" customHeight="1" x14ac:dyDescent="0.45">
      <c r="A18" s="3021"/>
      <c r="B18" s="3079" t="s">
        <v>27844</v>
      </c>
      <c r="C18" s="3101"/>
      <c r="D18" s="3100"/>
      <c r="E18" s="3096"/>
      <c r="F18" s="3096"/>
      <c r="G18" s="3097"/>
      <c r="H18" s="3096" t="str">
        <f>IF(AND($H$6=1,OR(AND(FTE_6c_Health_part_time!$H14=0,FTE_6c_Health_part_time!$J14&lt;&gt;""),AND(FTE_6c_Health_part_time!$H14&lt;&gt;0,FTE_6c_Health_part_time!$J14=""))),CONCATENATE("Price group"," ",$B18,", ",$C18," ","Length",", Level ",$D18,"; "),"")</f>
        <v/>
      </c>
      <c r="I18" s="3096" t="str">
        <f>IF(AND($I$6=1,FTE_6c_Health_part_time!$G14=0,OR(FTE_6c_Health_part_time!$H14&lt;&gt;0,FTE_6c_Health_part_time!$J14&lt;&gt;"")),CONCATENATE("Price group"," ",$B18,", ",$C18," ","Length",", Level ",$D18,"; "),"")</f>
        <v/>
      </c>
      <c r="K18" s="3076" t="s">
        <v>27844</v>
      </c>
      <c r="L18" s="3024">
        <f t="shared" si="0"/>
        <v>0</v>
      </c>
      <c r="M18" s="3025"/>
      <c r="N18" s="3024">
        <f t="shared" si="1"/>
        <v>0</v>
      </c>
    </row>
    <row r="19" spans="1:19" ht="13.15" customHeight="1" x14ac:dyDescent="0.45">
      <c r="A19" s="3021"/>
      <c r="B19" s="3079" t="s">
        <v>27844</v>
      </c>
      <c r="C19" s="3078" t="s">
        <v>218</v>
      </c>
      <c r="D19" s="3077" t="s">
        <v>27769</v>
      </c>
      <c r="E19" s="3072" t="str">
        <f>IF(AND($E$6=1, ROUND(FTE_6c_Health_part_time!$H15, 2)&lt;&gt;FTE_6c_Health_part_time!$H15), CONCATENATE("Price group", " ", $B18, ", ", $C18, " ", "Length", ", Level ", $D18, "; "), "")</f>
        <v/>
      </c>
      <c r="F19" s="3072" t="str">
        <f>IF(AND($F$6=1,FTE_6c_Health_part_time!$E15&lt;&gt;0,ABS(FTE_6c_Health_part_time!$H15-FTE_6c_Health_part_time!$E15)&lt;$F$9),CONCATENATE("Price group"," ",$B19,", ",$C19," ","Length",", Level ",$D19,"; "),"")</f>
        <v/>
      </c>
      <c r="G19" s="3029" t="str">
        <f>IF(AND($G$6=1,LEN(FTE_6c_Health_part_time!$J15)&gt;2000), CONCATENATE("Price group", " ", $B19, ", ", $C19, " ", "Length", ", Level ", $D19, "; "), "")</f>
        <v/>
      </c>
      <c r="H19" s="3072" t="str">
        <f>IF(AND($H$6=1,OR(AND(FTE_6c_Health_part_time!$H15=0,FTE_6c_Health_part_time!$J15&lt;&gt;""),AND(FTE_6c_Health_part_time!$H15&lt;&gt;0,FTE_6c_Health_part_time!$J15=""))),CONCATENATE("Price group"," ",$B19,", ",$C19," ","Length",", Level ",$D19,"; "),"")</f>
        <v/>
      </c>
      <c r="I19" s="3072" t="str">
        <f>IF(AND($I$6=1,FTE_6c_Health_part_time!$G15=0,OR(FTE_6c_Health_part_time!$H15&lt;&gt;0,FTE_6c_Health_part_time!$J15&lt;&gt;"")),CONCATENATE("Price group"," ",$B19,", ",$C19," ","Length",", Level ",$D19,"; "),"")</f>
        <v/>
      </c>
      <c r="K19" s="3076" t="s">
        <v>27844</v>
      </c>
      <c r="L19" s="3024">
        <f t="shared" si="0"/>
        <v>0</v>
      </c>
      <c r="M19" s="3025"/>
      <c r="N19" s="3024">
        <f t="shared" si="1"/>
        <v>0</v>
      </c>
    </row>
    <row r="20" spans="1:19" ht="13.15" customHeight="1" x14ac:dyDescent="0.45">
      <c r="A20" s="3021"/>
      <c r="B20" s="3075" t="s">
        <v>27844</v>
      </c>
      <c r="C20" s="3099"/>
      <c r="D20" s="3098"/>
      <c r="E20" s="3096"/>
      <c r="F20" s="3096"/>
      <c r="G20" s="3097"/>
      <c r="H20" s="3096" t="str">
        <f>IF(AND($H$6=1,OR(AND(FTE_6c_Health_part_time!$H16=0,FTE_6c_Health_part_time!$J16&lt;&gt;""),AND(FTE_6c_Health_part_time!$H16&lt;&gt;0,FTE_6c_Health_part_time!$J16=""))),CONCATENATE("Price group"," ",$B20,", ",$C20," ","Length",", Level ",$D20,"; "),"")</f>
        <v/>
      </c>
      <c r="I20" s="3096" t="str">
        <f>IF(AND($I$6=1,FTE_6c_Health_part_time!$G16=0,OR(FTE_6c_Health_part_time!$H16&lt;&gt;0,FTE_6c_Health_part_time!$J16&lt;&gt;"")),CONCATENATE("Price group"," ",$B20,", ",$C20," ","Length",", Level ",$D20,"; "),"")</f>
        <v/>
      </c>
      <c r="K20" s="3070" t="s">
        <v>27844</v>
      </c>
      <c r="L20" s="3024">
        <f t="shared" si="0"/>
        <v>0</v>
      </c>
      <c r="M20" s="3025"/>
      <c r="N20" s="3024">
        <f t="shared" si="1"/>
        <v>0</v>
      </c>
    </row>
    <row r="21" spans="1:19" ht="13.15" customHeight="1" x14ac:dyDescent="0.45">
      <c r="A21" s="3021"/>
      <c r="B21" s="3077" t="s">
        <v>27846</v>
      </c>
      <c r="C21" s="3095" t="s">
        <v>204</v>
      </c>
      <c r="D21" s="3081" t="s">
        <v>212</v>
      </c>
      <c r="E21" s="3072" t="str">
        <f>IF(AND($E$6=1, ROUND(FTE_6c_Health_part_time!$H17, 2)&lt;&gt;FTE_6c_Health_part_time!$H17), CONCATENATE("Price group", " ", $B20, ", ", $C20, " ", "Length", ", Level ", $D20, "; "), "")</f>
        <v/>
      </c>
      <c r="F21" s="3072" t="str">
        <f>IF(AND($F$6=1,FTE_6c_Health_part_time!$E17&lt;&gt;0,ABS(FTE_6c_Health_part_time!$H17-FTE_6c_Health_part_time!$E17)&lt;$F$10),CONCATENATE("Price group"," ",$B21,", ",$C21," ","Length",", Level ",$D21,"; "),"")</f>
        <v/>
      </c>
      <c r="G21" s="3029" t="str">
        <f>IF(AND($G$6=1,LEN(FTE_6c_Health_part_time!$J17)&gt;2000), CONCATENATE("Price group", " ", $B21, ", ", $C21, " ", "Length", ", Level ", $D21, "; "), "")</f>
        <v/>
      </c>
      <c r="H21" s="3072" t="str">
        <f>IF(AND($H$6=1,OR(AND(FTE_6c_Health_part_time!$H17=0,FTE_6c_Health_part_time!$J17&lt;&gt;""),AND(FTE_6c_Health_part_time!$H17&lt;&gt;0,FTE_6c_Health_part_time!$J17=""))),CONCATENATE("Price group"," ",$B21,", ",$C21," ","Length",", Level ",$D21,"; "),"")</f>
        <v/>
      </c>
      <c r="I21" s="3072" t="str">
        <f>IF(AND($I$6=1,FTE_6c_Health_part_time!$G17=0,OR(FTE_6c_Health_part_time!$H17&lt;&gt;0,FTE_6c_Health_part_time!$J17&lt;&gt;"")),CONCATENATE("Price group"," ",$B21,", ",$C21," ","Length",", Level ",$D21,"; "),"")</f>
        <v/>
      </c>
      <c r="K21" s="3091" t="s">
        <v>27846</v>
      </c>
      <c r="L21" s="3024">
        <f t="shared" si="0"/>
        <v>0</v>
      </c>
      <c r="M21" s="3025"/>
      <c r="N21" s="3024">
        <f t="shared" si="1"/>
        <v>0</v>
      </c>
    </row>
    <row r="22" spans="1:19" ht="13.15" customHeight="1" x14ac:dyDescent="0.45">
      <c r="A22" s="3021"/>
      <c r="B22" s="3079" t="s">
        <v>27846</v>
      </c>
      <c r="C22" s="3074" t="s">
        <v>218</v>
      </c>
      <c r="D22" s="3094" t="s">
        <v>212</v>
      </c>
      <c r="E22" s="3072" t="str">
        <f>IF(AND($E$6=1, ROUND(FTE_6c_Health_part_time!$H18, 2)&lt;&gt;FTE_6c_Health_part_time!$H18), CONCATENATE("Price group", " ", $B21, ", ", $C21, " ", "Length", ", Level ", $D21, "; "), "")</f>
        <v/>
      </c>
      <c r="F22" s="3072" t="str">
        <f>IF(AND($F$6=1,FTE_6c_Health_part_time!$E18&lt;&gt;0,ABS(FTE_6c_Health_part_time!$H18-FTE_6c_Health_part_time!$E18)&lt;$F$10),CONCATENATE("Price group"," ",$B22,", ",$C22," ","Length",", Level ",$D22,"; "),"")</f>
        <v/>
      </c>
      <c r="G22" s="3029" t="str">
        <f>IF(AND($G$6=1,LEN(FTE_6c_Health_part_time!$J18)&gt;2000), CONCATENATE("Price group", " ", $B22, ", ", $C22, " ", "Length", ", Level ", $D22, "; "), "")</f>
        <v/>
      </c>
      <c r="H22" s="3072" t="str">
        <f>IF(AND($H$6=1,OR(AND(FTE_6c_Health_part_time!$H18=0,FTE_6c_Health_part_time!$J18&lt;&gt;""),AND(FTE_6c_Health_part_time!$H18&lt;&gt;0,FTE_6c_Health_part_time!$J18=""))),CONCATENATE("Price group"," ",$B22,", ",$C22," ","Length",", Level ",$D22,"; "),"")</f>
        <v/>
      </c>
      <c r="I22" s="3072" t="str">
        <f>IF(AND($I$6=1,FTE_6c_Health_part_time!$G18=0,OR(FTE_6c_Health_part_time!$H18&lt;&gt;0,FTE_6c_Health_part_time!$J18&lt;&gt;"")),CONCATENATE("Price group"," ",$B22,", ",$C22," ","Length",", Level ",$D22,"; "),"")</f>
        <v/>
      </c>
      <c r="K22" s="3076" t="s">
        <v>27846</v>
      </c>
      <c r="L22" s="3024">
        <f t="shared" si="0"/>
        <v>0</v>
      </c>
      <c r="M22" s="3025"/>
      <c r="N22" s="3024">
        <f t="shared" si="1"/>
        <v>0</v>
      </c>
    </row>
    <row r="23" spans="1:19" ht="13.15" customHeight="1" x14ac:dyDescent="0.45">
      <c r="A23" s="3021"/>
      <c r="B23" s="3093" t="s">
        <v>27847</v>
      </c>
      <c r="C23" s="3084" t="s">
        <v>204</v>
      </c>
      <c r="D23" s="3093" t="s">
        <v>27769</v>
      </c>
      <c r="E23" s="3072" t="str">
        <f>IF(AND($E$6=1, ROUND(FTE_6c_Health_part_time!$H19, 2)&lt;&gt;FTE_6c_Health_part_time!$H19), CONCATENATE("Price group", " ", $B22, ", ", $C22, " ", "Length", ", Level ", $D22, "; "), "")</f>
        <v/>
      </c>
      <c r="F23" s="3072" t="str">
        <f>IF(AND($F$6=1,FTE_6c_Health_part_time!$E19&lt;&gt;0,ABS(FTE_6c_Health_part_time!$H19-FTE_6c_Health_part_time!$E19)&lt;$F$10),CONCATENATE("Price group"," ",$B23,", ",$C23," ","Length",", Level ",$D23,"; "),"")</f>
        <v/>
      </c>
      <c r="G23" s="3029" t="str">
        <f>IF(AND($G$6=1,LEN(FTE_6c_Health_part_time!$J19)&gt;2000), CONCATENATE("Price group", " ", $B23, ", ", $C23, " ", "Length", ", Level ", $D23, "; "), "")</f>
        <v/>
      </c>
      <c r="H23" s="3072" t="str">
        <f>IF(AND($H$6=1,OR(AND(FTE_6c_Health_part_time!$H19=0,FTE_6c_Health_part_time!$J19&lt;&gt;""),AND(FTE_6c_Health_part_time!$H19&lt;&gt;0,FTE_6c_Health_part_time!$J19=""))),CONCATENATE("Price group"," ",$B23,", ",$C23," ","Length",", Level ",$D23,"; "),"")</f>
        <v/>
      </c>
      <c r="I23" s="3072" t="str">
        <f>IF(AND($I$6=1,FTE_6c_Health_part_time!$G19=0,OR(FTE_6c_Health_part_time!$H19&lt;&gt;0,FTE_6c_Health_part_time!$J19&lt;&gt;"")),CONCATENATE("Price group"," ",$B23,", ",$C23," ","Length",", Level ",$D23,"; "),"")</f>
        <v/>
      </c>
      <c r="K23" s="3092" t="s">
        <v>27847</v>
      </c>
      <c r="L23" s="3024">
        <f t="shared" si="0"/>
        <v>0</v>
      </c>
      <c r="M23" s="3025"/>
      <c r="N23" s="3024">
        <f t="shared" si="1"/>
        <v>0</v>
      </c>
    </row>
    <row r="24" spans="1:19" ht="13.15" customHeight="1" x14ac:dyDescent="0.45">
      <c r="A24" s="3021"/>
      <c r="B24" s="3079" t="s">
        <v>27847</v>
      </c>
      <c r="C24" s="3078" t="s">
        <v>204</v>
      </c>
      <c r="D24" s="3081" t="s">
        <v>210</v>
      </c>
      <c r="E24" s="3072" t="str">
        <f>IF(AND($E$6=1, ROUND(FTE_6c_Health_part_time!$H20, 2)&lt;&gt;FTE_6c_Health_part_time!$H20), CONCATENATE("Price group", " ", $B23, ", ", $C23, " ", "Length", ", Level ", $D23, "; "), "")</f>
        <v/>
      </c>
      <c r="F24" s="3072" t="str">
        <f>IF(AND($F$6=1,FTE_6c_Health_part_time!$E20&lt;&gt;0,ABS(FTE_6c_Health_part_time!$H20-FTE_6c_Health_part_time!$E20)&lt;$F$10),CONCATENATE("Price group"," ",$B24,", ",$C24," ","Length",", Level ",$D24,"; "),"")</f>
        <v/>
      </c>
      <c r="G24" s="3029" t="str">
        <f>IF(AND($G$6=1,LEN(FTE_6c_Health_part_time!$J20)&gt;2000), CONCATENATE("Price group", " ", $B24, ", ", $C24, " ", "Length", ", Level ", $D24, "; "), "")</f>
        <v/>
      </c>
      <c r="H24" s="3072" t="str">
        <f>IF(AND($H$6=1,OR(AND(FTE_6c_Health_part_time!$H20=0,FTE_6c_Health_part_time!$J20&lt;&gt;""),AND(FTE_6c_Health_part_time!$H20&lt;&gt;0,FTE_6c_Health_part_time!$J20=""))),CONCATENATE("Price group"," ",$B24,", ",$C24," ","Length",", Level ",$D24,"; "),"")</f>
        <v/>
      </c>
      <c r="I24" s="3072" t="str">
        <f>IF(AND($I$6=1,FTE_6c_Health_part_time!$G20=0,OR(FTE_6c_Health_part_time!$H20&lt;&gt;0,FTE_6c_Health_part_time!$J20&lt;&gt;"")),CONCATENATE("Price group"," ",$B24,", ",$C24," ","Length",", Level ",$D24,"; "),"")</f>
        <v/>
      </c>
      <c r="K24" s="3076" t="s">
        <v>27847</v>
      </c>
      <c r="L24" s="3024">
        <f t="shared" si="0"/>
        <v>0</v>
      </c>
      <c r="M24" s="3025"/>
      <c r="N24" s="3024">
        <f t="shared" si="1"/>
        <v>0</v>
      </c>
    </row>
    <row r="25" spans="1:19" ht="13.15" customHeight="1" x14ac:dyDescent="0.45">
      <c r="A25" s="3021"/>
      <c r="B25" s="3079" t="s">
        <v>27847</v>
      </c>
      <c r="C25" s="3078" t="s">
        <v>218</v>
      </c>
      <c r="D25" s="3077" t="s">
        <v>27769</v>
      </c>
      <c r="E25" s="3072" t="str">
        <f>IF(AND($E$6=1, ROUND(FTE_6c_Health_part_time!$H21, 2)&lt;&gt;FTE_6c_Health_part_time!$H21), CONCATENATE("Price group", " ", $B24, ", ", $C24, " ", "Length", ", Level ", $D24, "; "), "")</f>
        <v/>
      </c>
      <c r="F25" s="3072" t="str">
        <f>IF(AND($F$6=1,FTE_6c_Health_part_time!$E21&lt;&gt;0,ABS(FTE_6c_Health_part_time!$H21-FTE_6c_Health_part_time!$E21)&lt;$F$10),CONCATENATE("Price group"," ",$B25,", ",$C25," ","Length",", Level ",$D25,"; "),"")</f>
        <v/>
      </c>
      <c r="G25" s="3029" t="str">
        <f>IF(AND($G$6=1,LEN(FTE_6c_Health_part_time!$J21)&gt;2000), CONCATENATE("Price group", " ", $B25, ", ", $C25, " ", "Length", ", Level ", $D25, "; "), "")</f>
        <v/>
      </c>
      <c r="H25" s="3072" t="str">
        <f>IF(AND($H$6=1,OR(AND(FTE_6c_Health_part_time!$H21=0,FTE_6c_Health_part_time!$J21&lt;&gt;""),AND(FTE_6c_Health_part_time!$H21&lt;&gt;0,FTE_6c_Health_part_time!$J21=""))),CONCATENATE("Price group"," ",$B25,", ",$C25," ","Length",", Level ",$D25,"; "),"")</f>
        <v/>
      </c>
      <c r="I25" s="3072" t="str">
        <f>IF(AND($I$6=1,FTE_6c_Health_part_time!$G21=0,OR(FTE_6c_Health_part_time!$H21&lt;&gt;0,FTE_6c_Health_part_time!$J21&lt;&gt;"")),CONCATENATE("Price group"," ",$B25,", ",$C25," ","Length",", Level ",$D25,"; "),"")</f>
        <v/>
      </c>
      <c r="K25" s="3076" t="s">
        <v>27847</v>
      </c>
      <c r="L25" s="3024">
        <f t="shared" si="0"/>
        <v>0</v>
      </c>
      <c r="M25" s="3025"/>
      <c r="N25" s="3024">
        <f t="shared" si="1"/>
        <v>0</v>
      </c>
    </row>
    <row r="26" spans="1:19" ht="13.15" customHeight="1" x14ac:dyDescent="0.45">
      <c r="A26" s="3021"/>
      <c r="B26" s="3075" t="s">
        <v>27847</v>
      </c>
      <c r="C26" s="3078" t="s">
        <v>218</v>
      </c>
      <c r="D26" s="3073" t="s">
        <v>210</v>
      </c>
      <c r="E26" s="3072" t="str">
        <f>IF(AND($E$6=1, ROUND(FTE_6c_Health_part_time!$H22, 2)&lt;&gt;FTE_6c_Health_part_time!$H22), CONCATENATE("Price group", " ", $B25, ", ", $C25, " ", "Length", ", Level ", $D25, "; "), "")</f>
        <v/>
      </c>
      <c r="F26" s="3072" t="str">
        <f>IF(AND($F$6=1,FTE_6c_Health_part_time!$E22&lt;&gt;0,ABS(FTE_6c_Health_part_time!$H22-FTE_6c_Health_part_time!$E22)&lt;$F$10),CONCATENATE("Price group"," ",$B26,", ",$C26," ","Length",", Level ",$D26,"; "),"")</f>
        <v/>
      </c>
      <c r="G26" s="3029" t="str">
        <f>IF(AND($G$6=1,LEN(FTE_6c_Health_part_time!$J22)&gt;2000), CONCATENATE("Price group", " ", $B26, ", ", $C26, " ", "Length", ", Level ", $D26, "; "), "")</f>
        <v/>
      </c>
      <c r="H26" s="3072" t="str">
        <f>IF(AND($H$6=1,OR(AND(FTE_6c_Health_part_time!$H22=0,FTE_6c_Health_part_time!$J22&lt;&gt;""),AND(FTE_6c_Health_part_time!$H22&lt;&gt;0,FTE_6c_Health_part_time!$J22=""))),CONCATENATE("Price group"," ",$B26,", ",$C26," ","Length",", Level ",$D26,"; "),"")</f>
        <v/>
      </c>
      <c r="I26" s="3072" t="str">
        <f>IF(AND($I$6=1,FTE_6c_Health_part_time!$G22=0,OR(FTE_6c_Health_part_time!$H22&lt;&gt;0,FTE_6c_Health_part_time!$J22&lt;&gt;"")),CONCATENATE("Price group"," ",$B26,", ",$C26," ","Length",", Level ",$D26,"; "),"")</f>
        <v/>
      </c>
      <c r="K26" s="3070" t="s">
        <v>27847</v>
      </c>
      <c r="L26" s="3024">
        <f t="shared" si="0"/>
        <v>0</v>
      </c>
      <c r="M26" s="3025"/>
      <c r="N26" s="3024">
        <f t="shared" si="1"/>
        <v>0</v>
      </c>
    </row>
    <row r="27" spans="1:19" ht="13.15" customHeight="1" x14ac:dyDescent="0.45">
      <c r="A27" s="3021"/>
      <c r="B27" s="3077" t="s">
        <v>27849</v>
      </c>
      <c r="C27" s="3084" t="s">
        <v>204</v>
      </c>
      <c r="D27" s="3077" t="s">
        <v>27769</v>
      </c>
      <c r="E27" s="3072" t="str">
        <f>IF(AND($E$6=1, ROUND(FTE_6c_Health_part_time!$H23, 2)&lt;&gt;FTE_6c_Health_part_time!$H23), CONCATENATE("Price group", " ", $B26, ", ", $C26, " ", "Length", ", Level ", $D26, "; "), "")</f>
        <v/>
      </c>
      <c r="F27" s="3072" t="str">
        <f>IF(AND($F$6=1,FTE_6c_Health_part_time!$E23&lt;&gt;0,ABS(FTE_6c_Health_part_time!$H23-FTE_6c_Health_part_time!$E23)&lt;$F$10),CONCATENATE("Price group"," ",$B27,", ",$C27," ","Length",", Level ",$D27,"; "),"")</f>
        <v/>
      </c>
      <c r="G27" s="3029" t="str">
        <f>IF(AND($G$6=1,LEN(FTE_6c_Health_part_time!$J23)&gt;2000), CONCATENATE("Price group", " ", $B27, ", ", $C27, " ", "Length", ", Level ", $D27, "; "), "")</f>
        <v/>
      </c>
      <c r="H27" s="3072" t="str">
        <f>IF(AND($H$6=1,OR(AND(FTE_6c_Health_part_time!$H23=0,FTE_6c_Health_part_time!$J23&lt;&gt;""),AND(FTE_6c_Health_part_time!$H23&lt;&gt;0,FTE_6c_Health_part_time!$J23=""))),CONCATENATE("Price group"," ",$B27,", ",$C27," ","Length",", Level ",$D27,"; "),"")</f>
        <v/>
      </c>
      <c r="I27" s="3072" t="str">
        <f>IF(AND($I$6=1,FTE_6c_Health_part_time!$G23=0,OR(FTE_6c_Health_part_time!$H23&lt;&gt;0,FTE_6c_Health_part_time!$J23&lt;&gt;"")),CONCATENATE("Price group"," ",$B27,", ",$C27," ","Length",", Level ",$D27,"; "),"")</f>
        <v/>
      </c>
      <c r="K27" s="3091" t="s">
        <v>27849</v>
      </c>
      <c r="L27" s="3024">
        <f t="shared" si="0"/>
        <v>0</v>
      </c>
      <c r="M27" s="3025"/>
      <c r="N27" s="3024">
        <f t="shared" si="1"/>
        <v>0</v>
      </c>
    </row>
    <row r="28" spans="1:19" ht="13.15" customHeight="1" x14ac:dyDescent="0.45">
      <c r="A28" s="3021"/>
      <c r="B28" s="3079" t="s">
        <v>27849</v>
      </c>
      <c r="C28" s="3078" t="s">
        <v>204</v>
      </c>
      <c r="D28" s="3081" t="s">
        <v>210</v>
      </c>
      <c r="E28" s="3072" t="str">
        <f>IF(AND($E$6=1, ROUND(FTE_6c_Health_part_time!$H24, 2)&lt;&gt;FTE_6c_Health_part_time!$H24), CONCATENATE("Price group", " ", $B27, ", ", $C27, " ", "Length", ", Level ", $D27, "; "), "")</f>
        <v/>
      </c>
      <c r="F28" s="3072" t="str">
        <f>IF(AND($F$6=1,FTE_6c_Health_part_time!$E24&lt;&gt;0,ABS(FTE_6c_Health_part_time!$H24-FTE_6c_Health_part_time!$E24)&lt;$F$10),CONCATENATE("Price group"," ",$B28,", ",$C28," ","Length",", Level ",$D28,"; "),"")</f>
        <v/>
      </c>
      <c r="G28" s="3029" t="str">
        <f>IF(AND($G$6=1,LEN(FTE_6c_Health_part_time!$J24)&gt;2000), CONCATENATE("Price group", " ", $B28, ", ", $C28, " ", "Length", ", Level ", $D28, "; "), "")</f>
        <v/>
      </c>
      <c r="H28" s="3072" t="str">
        <f>IF(AND($H$6=1,OR(AND(FTE_6c_Health_part_time!$H24=0,FTE_6c_Health_part_time!$J24&lt;&gt;""),AND(FTE_6c_Health_part_time!$H24&lt;&gt;0,FTE_6c_Health_part_time!$J24=""))),CONCATENATE("Price group"," ",$B28,", ",$C28," ","Length",", Level ",$D28,"; "),"")</f>
        <v/>
      </c>
      <c r="I28" s="3072" t="str">
        <f>IF(AND($I$6=1,FTE_6c_Health_part_time!$G24=0,OR(FTE_6c_Health_part_time!$H24&lt;&gt;0,FTE_6c_Health_part_time!$J24&lt;&gt;"")),CONCATENATE("Price group"," ",$B28,", ",$C28," ","Length",", Level ",$D28,"; "),"")</f>
        <v/>
      </c>
      <c r="K28" s="3076" t="s">
        <v>27849</v>
      </c>
      <c r="L28" s="3024">
        <f t="shared" si="0"/>
        <v>0</v>
      </c>
      <c r="M28" s="3025"/>
      <c r="N28" s="3024">
        <f t="shared" si="1"/>
        <v>0</v>
      </c>
    </row>
    <row r="29" spans="1:19" ht="13.15" customHeight="1" x14ac:dyDescent="0.45">
      <c r="A29" s="3021"/>
      <c r="B29" s="3079" t="s">
        <v>27849</v>
      </c>
      <c r="C29" s="3078" t="s">
        <v>218</v>
      </c>
      <c r="D29" s="3077" t="s">
        <v>27769</v>
      </c>
      <c r="E29" s="3072" t="str">
        <f>IF(AND($E$6=1, ROUND(FTE_6c_Health_part_time!$H25, 2)&lt;&gt;FTE_6c_Health_part_time!$H25), CONCATENATE("Price group", " ", $B28, ", ", $C28, " ", "Length", ", Level ", $D28, "; "), "")</f>
        <v/>
      </c>
      <c r="F29" s="3072" t="str">
        <f>IF(AND($F$6=1,FTE_6c_Health_part_time!$E25&lt;&gt;0,ABS(FTE_6c_Health_part_time!$H25-FTE_6c_Health_part_time!$E25)&lt;$F$10),CONCATENATE("Price group"," ",$B29,", ",$C29," ","Length",", Level ",$D29,"; "),"")</f>
        <v/>
      </c>
      <c r="G29" s="3029" t="str">
        <f>IF(AND($G$6=1,LEN(FTE_6c_Health_part_time!$J25)&gt;2000), CONCATENATE("Price group", " ", $B29, ", ", $C29, " ", "Length", ", Level ", $D29, "; "), "")</f>
        <v/>
      </c>
      <c r="H29" s="3072" t="str">
        <f>IF(AND($H$6=1,OR(AND(FTE_6c_Health_part_time!$H25=0,FTE_6c_Health_part_time!$J25&lt;&gt;""),AND(FTE_6c_Health_part_time!$H25&lt;&gt;0,FTE_6c_Health_part_time!$J25=""))),CONCATENATE("Price group"," ",$B29,", ",$C29," ","Length",", Level ",$D29,"; "),"")</f>
        <v/>
      </c>
      <c r="I29" s="3072" t="str">
        <f>IF(AND($I$6=1,FTE_6c_Health_part_time!$G25=0,OR(FTE_6c_Health_part_time!$H25&lt;&gt;0,FTE_6c_Health_part_time!$J25&lt;&gt;"")),CONCATENATE("Price group"," ",$B29,", ",$C29," ","Length",", Level ",$D29,"; "),"")</f>
        <v/>
      </c>
      <c r="K29" s="3076" t="s">
        <v>27849</v>
      </c>
      <c r="L29" s="3024">
        <f t="shared" si="0"/>
        <v>0</v>
      </c>
      <c r="M29" s="3025"/>
      <c r="N29" s="3024">
        <f t="shared" si="1"/>
        <v>0</v>
      </c>
    </row>
    <row r="30" spans="1:19" ht="13.15" customHeight="1" x14ac:dyDescent="0.45">
      <c r="A30" s="3021"/>
      <c r="B30" s="3075" t="s">
        <v>27849</v>
      </c>
      <c r="C30" s="3078" t="s">
        <v>218</v>
      </c>
      <c r="D30" s="3073" t="s">
        <v>210</v>
      </c>
      <c r="E30" s="3072" t="str">
        <f>IF(AND($E$6=1, ROUND(FTE_6c_Health_part_time!$H26, 2)&lt;&gt;FTE_6c_Health_part_time!$H26), CONCATENATE("Price group", " ", $B29, ", ", $C29, " ", "Length", ", Level ", $D29, "; "), "")</f>
        <v/>
      </c>
      <c r="F30" s="3072" t="str">
        <f>IF(AND($F$6=1,FTE_6c_Health_part_time!$E26&lt;&gt;0,ABS(FTE_6c_Health_part_time!$H26-FTE_6c_Health_part_time!$E26)&lt;$F$10),CONCATENATE("Price group"," ",$B30,", ",$C30," ","Length",", Level ",$D30,"; "),"")</f>
        <v/>
      </c>
      <c r="G30" s="3029" t="str">
        <f>IF(AND($G$6=1,LEN(FTE_6c_Health_part_time!$J26)&gt;2000), CONCATENATE("Price group", " ", $B30, ", ", $C30, " ", "Length", ", Level ", $D30, "; "), "")</f>
        <v/>
      </c>
      <c r="H30" s="3072" t="str">
        <f>IF(AND($H$6=1,OR(AND(FTE_6c_Health_part_time!$H26=0,FTE_6c_Health_part_time!$J26&lt;&gt;""),AND(FTE_6c_Health_part_time!$H26&lt;&gt;0,FTE_6c_Health_part_time!$J26=""))),CONCATENATE("Price group"," ",$B30,", ",$C30," ","Length",", Level ",$D30,"; "),"")</f>
        <v/>
      </c>
      <c r="I30" s="3072" t="str">
        <f>IF(AND($I$6=1,FTE_6c_Health_part_time!$G26=0,OR(FTE_6c_Health_part_time!$H26&lt;&gt;0,FTE_6c_Health_part_time!$J26&lt;&gt;"")),CONCATENATE("Price group"," ",$B30,", ",$C30," ","Length",", Level ",$D30,"; "),"")</f>
        <v/>
      </c>
      <c r="K30" s="3070" t="s">
        <v>27849</v>
      </c>
      <c r="L30" s="3024">
        <f t="shared" si="0"/>
        <v>0</v>
      </c>
      <c r="M30" s="3025"/>
      <c r="N30" s="3024">
        <f t="shared" si="1"/>
        <v>0</v>
      </c>
    </row>
    <row r="31" spans="1:19" ht="13.15" customHeight="1" x14ac:dyDescent="0.45">
      <c r="A31" s="3021"/>
      <c r="B31" s="3085" t="s">
        <v>27851</v>
      </c>
      <c r="C31" s="3084" t="s">
        <v>204</v>
      </c>
      <c r="D31" s="3077" t="s">
        <v>27769</v>
      </c>
      <c r="E31" s="3072" t="str">
        <f>IF(AND($E$6=1, ROUND(FTE_6c_Health_part_time!$H27, 2)&lt;&gt;FTE_6c_Health_part_time!$H27), CONCATENATE("Price group", " ", $B30, ", ", $C30, " ", "Length", ", Level ", $D30, "; "), "")</f>
        <v/>
      </c>
      <c r="F31" s="3072" t="str">
        <f>IF(AND($F$6=1,FTE_6c_Health_part_time!$E27&lt;&gt;0,ABS(FTE_6c_Health_part_time!$H27-FTE_6c_Health_part_time!$E27)&lt;$F$10),CONCATENATE("Price group"," ",$B31,", ",$C31," ","Length",", Level ",$D31,"; "),"")</f>
        <v/>
      </c>
      <c r="G31" s="3029" t="str">
        <f>IF(AND($G$6=1,LEN(FTE_6c_Health_part_time!$J27)&gt;2000), CONCATENATE("Price group", " ", $B31, ", ", $C31, " ", "Length", ", Level ", $D31, "; "), "")</f>
        <v/>
      </c>
      <c r="H31" s="3072" t="str">
        <f>IF(AND($H$6=1,OR(AND(FTE_6c_Health_part_time!$H27=0,FTE_6c_Health_part_time!$J27&lt;&gt;""),AND(FTE_6c_Health_part_time!$H27&lt;&gt;0,FTE_6c_Health_part_time!$J27=""))),CONCATENATE("Price group"," ",$B31,", ",$C31," ","Length",", Level ",$D31,"; "),"")</f>
        <v/>
      </c>
      <c r="I31" s="3072" t="str">
        <f>IF(AND($I$6=1,FTE_6c_Health_part_time!$G27=0,OR(FTE_6c_Health_part_time!$H27&lt;&gt;0,FTE_6c_Health_part_time!$J27&lt;&gt;"")),CONCATENATE("Price group"," ",$B31,", ",$C31," ","Length",", Level ",$D31,"; "),"")</f>
        <v/>
      </c>
      <c r="K31" s="3083" t="s">
        <v>27851</v>
      </c>
      <c r="L31" s="3024">
        <f t="shared" si="0"/>
        <v>0</v>
      </c>
      <c r="M31" s="3025"/>
      <c r="N31" s="3024">
        <f t="shared" si="1"/>
        <v>0</v>
      </c>
    </row>
    <row r="32" spans="1:19" ht="13.15" customHeight="1" x14ac:dyDescent="0.45">
      <c r="A32" s="3021"/>
      <c r="B32" s="3082" t="s">
        <v>27851</v>
      </c>
      <c r="C32" s="3078" t="s">
        <v>204</v>
      </c>
      <c r="D32" s="3081" t="s">
        <v>210</v>
      </c>
      <c r="E32" s="3072" t="str">
        <f>IF(AND($E$6=1, ROUND(FTE_6c_Health_part_time!$H28, 2)&lt;&gt;FTE_6c_Health_part_time!$H28), CONCATENATE("Price group", " ", $B31, ", ", $C31, " ", "Length", ", Level ", $D31, "; "), "")</f>
        <v/>
      </c>
      <c r="F32" s="3072" t="str">
        <f>IF(AND($F$6=1,FTE_6c_Health_part_time!$E28&lt;&gt;0,ABS(FTE_6c_Health_part_time!$H28-FTE_6c_Health_part_time!$E28)&lt;$F$10),CONCATENATE("Price group"," ",$B32,", ",$C32," ","Length",", Level ",$D32,"; "),"")</f>
        <v/>
      </c>
      <c r="G32" s="3029" t="str">
        <f>IF(AND($G$6=1,LEN(FTE_6c_Health_part_time!$J28)&gt;2000), CONCATENATE("Price group", " ", $B32, ", ", $C32, " ", "Length", ", Level ", $D32, "; "), "")</f>
        <v/>
      </c>
      <c r="H32" s="3072" t="str">
        <f>IF(AND($H$6=1,OR(AND(FTE_6c_Health_part_time!$H28=0,FTE_6c_Health_part_time!$J28&lt;&gt;""),AND(FTE_6c_Health_part_time!$H28&lt;&gt;0,FTE_6c_Health_part_time!$J28=""))),CONCATENATE("Price group"," ",$B32,", ",$C32," ","Length",", Level ",$D32,"; "),"")</f>
        <v/>
      </c>
      <c r="I32" s="3072" t="str">
        <f>IF(AND($I$6=1,FTE_6c_Health_part_time!$G28=0,OR(FTE_6c_Health_part_time!$H28&lt;&gt;0,FTE_6c_Health_part_time!$J28&lt;&gt;"")),CONCATENATE("Price group"," ",$B32,", ",$C32," ","Length",", Level ",$D32,"; "),"")</f>
        <v/>
      </c>
      <c r="K32" s="3080" t="s">
        <v>27851</v>
      </c>
      <c r="L32" s="3024">
        <f t="shared" si="0"/>
        <v>0</v>
      </c>
      <c r="M32" s="3025"/>
      <c r="N32" s="3024">
        <f t="shared" si="1"/>
        <v>0</v>
      </c>
    </row>
    <row r="33" spans="1:14" ht="13.15" customHeight="1" x14ac:dyDescent="0.45">
      <c r="A33" s="3021"/>
      <c r="B33" s="3079" t="s">
        <v>27851</v>
      </c>
      <c r="C33" s="3078" t="s">
        <v>218</v>
      </c>
      <c r="D33" s="3077" t="s">
        <v>27769</v>
      </c>
      <c r="E33" s="3072" t="str">
        <f>IF(AND($E$6=1, ROUND(FTE_6c_Health_part_time!$H29, 2)&lt;&gt;FTE_6c_Health_part_time!$H29), CONCATENATE("Price group", " ", $B32, ", ", $C32, " ", "Length", ", Level ", $D32, "; "), "")</f>
        <v/>
      </c>
      <c r="F33" s="3072" t="str">
        <f>IF(AND($F$6=1,FTE_6c_Health_part_time!$E29&lt;&gt;0,ABS(FTE_6c_Health_part_time!$H29-FTE_6c_Health_part_time!$E29)&lt;$F$10),CONCATENATE("Price group"," ",$B33,", ",$C33," ","Length",", Level ",$D33,"; "),"")</f>
        <v/>
      </c>
      <c r="G33" s="3029" t="str">
        <f>IF(AND($G$6=1,LEN(FTE_6c_Health_part_time!$J29)&gt;2000), CONCATENATE("Price group", " ", $B33, ", ", $C33, " ", "Length", ", Level ", $D33, "; "), "")</f>
        <v/>
      </c>
      <c r="H33" s="3072" t="str">
        <f>IF(AND($H$6=1,OR(AND(FTE_6c_Health_part_time!$H29=0,FTE_6c_Health_part_time!$J29&lt;&gt;""),AND(FTE_6c_Health_part_time!$H29&lt;&gt;0,FTE_6c_Health_part_time!$J29=""))),CONCATENATE("Price group"," ",$B33,", ",$C33," ","Length",", Level ",$D33,"; "),"")</f>
        <v/>
      </c>
      <c r="I33" s="3072" t="str">
        <f>IF(AND($I$6=1,FTE_6c_Health_part_time!$G29=0,OR(FTE_6c_Health_part_time!$H29&lt;&gt;0,FTE_6c_Health_part_time!$J29&lt;&gt;"")),CONCATENATE("Price group"," ",$B33,", ",$C33," ","Length",", Level ",$D33,"; "),"")</f>
        <v/>
      </c>
      <c r="K33" s="3076" t="s">
        <v>27851</v>
      </c>
      <c r="L33" s="3024">
        <f t="shared" si="0"/>
        <v>0</v>
      </c>
      <c r="M33" s="3025"/>
      <c r="N33" s="3024">
        <f t="shared" si="1"/>
        <v>0</v>
      </c>
    </row>
    <row r="34" spans="1:14" ht="13.15" customHeight="1" x14ac:dyDescent="0.45">
      <c r="A34" s="3021"/>
      <c r="B34" s="3075" t="s">
        <v>27851</v>
      </c>
      <c r="C34" s="3078" t="s">
        <v>218</v>
      </c>
      <c r="D34" s="3073" t="s">
        <v>210</v>
      </c>
      <c r="E34" s="3072" t="str">
        <f>IF(AND($E$6=1, ROUND(FTE_6c_Health_part_time!$H30, 2)&lt;&gt;FTE_6c_Health_part_time!$H30), CONCATENATE("Price group", " ", $B33, ", ", $C33, " ", "Length", ", Level ", $D33, "; "), "")</f>
        <v/>
      </c>
      <c r="F34" s="3072" t="str">
        <f>IF(AND($F$6=1,FTE_6c_Health_part_time!$E30&lt;&gt;0,ABS(FTE_6c_Health_part_time!$H30-FTE_6c_Health_part_time!$E30)&lt;$F$10),CONCATENATE("Price group"," ",$B34,", ",$C34," ","Length",", Level ",$D34,"; "),"")</f>
        <v/>
      </c>
      <c r="G34" s="3029" t="str">
        <f>IF(AND($G$6=1,LEN(FTE_6c_Health_part_time!$J30)&gt;2000), CONCATENATE("Price group", " ", $B34, ", ", $C34, " ", "Length", ", Level ", $D34, "; "), "")</f>
        <v/>
      </c>
      <c r="H34" s="3072" t="str">
        <f>IF(AND($H$6=1,OR(AND(FTE_6c_Health_part_time!$H30=0,FTE_6c_Health_part_time!$J30&lt;&gt;""),AND(FTE_6c_Health_part_time!$H30&lt;&gt;0,FTE_6c_Health_part_time!$J30=""))),CONCATENATE("Price group"," ",$B34,", ",$C34," ","Length",", Level ",$D34,"; "),"")</f>
        <v/>
      </c>
      <c r="I34" s="3072" t="str">
        <f>IF(AND($I$6=1,FTE_6c_Health_part_time!$G30=0,OR(FTE_6c_Health_part_time!$H30&lt;&gt;0,FTE_6c_Health_part_time!$J30&lt;&gt;"")),CONCATENATE("Price group"," ",$B34,", ",$C34," ","Length",", Level ",$D34,"; "),"")</f>
        <v/>
      </c>
      <c r="K34" s="3070" t="s">
        <v>27851</v>
      </c>
      <c r="L34" s="3024">
        <f t="shared" si="0"/>
        <v>0</v>
      </c>
      <c r="M34" s="3025"/>
      <c r="N34" s="3024">
        <f t="shared" si="1"/>
        <v>0</v>
      </c>
    </row>
    <row r="35" spans="1:14" ht="13.15" customHeight="1" x14ac:dyDescent="0.45">
      <c r="A35" s="3021"/>
      <c r="B35" s="3085" t="s">
        <v>27853</v>
      </c>
      <c r="C35" s="3084" t="s">
        <v>204</v>
      </c>
      <c r="D35" s="3077" t="s">
        <v>27769</v>
      </c>
      <c r="E35" s="3072" t="str">
        <f>IF(AND($E$6=1, ROUND(FTE_6c_Health_part_time!$H31, 2)&lt;&gt;FTE_6c_Health_part_time!$H31), CONCATENATE("Price group", " ", $B34, ", ", $C34, " ", "Length", ", Level ", $D34, "; "), "")</f>
        <v/>
      </c>
      <c r="F35" s="3072" t="str">
        <f>IF(AND($F$6=1,FTE_6c_Health_part_time!$E31&lt;&gt;0,ABS(FTE_6c_Health_part_time!$H31-FTE_6c_Health_part_time!$E31)&lt;$F$10),CONCATENATE("Price group"," ",$B35,", ",$C35," ","Length",", Level ",$D35,"; "),"")</f>
        <v/>
      </c>
      <c r="G35" s="3029" t="str">
        <f>IF(AND($G$6=1,LEN(FTE_6c_Health_part_time!$J31)&gt;2000), CONCATENATE("Price group", " ", $B35, ", ", $C35, " ", "Length", ", Level ", $D35, "; "), "")</f>
        <v/>
      </c>
      <c r="H35" s="3072" t="str">
        <f>IF(AND($H$6=1,OR(AND(FTE_6c_Health_part_time!$H31=0,FTE_6c_Health_part_time!$J31&lt;&gt;""),AND(FTE_6c_Health_part_time!$H31&lt;&gt;0,FTE_6c_Health_part_time!$J31=""))),CONCATENATE("Price group"," ",$B35,", ",$C35," ","Length",", Level ",$D35,"; "),"")</f>
        <v/>
      </c>
      <c r="I35" s="3072" t="str">
        <f>IF(AND($I$6=1,FTE_6c_Health_part_time!$G31=0,OR(FTE_6c_Health_part_time!$H31&lt;&gt;0,FTE_6c_Health_part_time!$J31&lt;&gt;"")),CONCATENATE("Price group"," ",$B35,", ",$C35," ","Length",", Level ",$D35,"; "),"")</f>
        <v/>
      </c>
      <c r="K35" s="3083" t="s">
        <v>27853</v>
      </c>
      <c r="L35" s="3024">
        <f t="shared" si="0"/>
        <v>0</v>
      </c>
      <c r="M35" s="3025"/>
      <c r="N35" s="3024">
        <f t="shared" si="1"/>
        <v>0</v>
      </c>
    </row>
    <row r="36" spans="1:14" ht="13.15" customHeight="1" x14ac:dyDescent="0.45">
      <c r="A36" s="3021"/>
      <c r="B36" s="3082" t="s">
        <v>27853</v>
      </c>
      <c r="C36" s="3078" t="s">
        <v>204</v>
      </c>
      <c r="D36" s="3081" t="s">
        <v>210</v>
      </c>
      <c r="E36" s="3072" t="str">
        <f>IF(AND($E$6=1, ROUND(FTE_6c_Health_part_time!$H32, 2)&lt;&gt;FTE_6c_Health_part_time!$H32), CONCATENATE("Price group", " ", $B35, ", ", $C35, " ", "Length", ", Level ", $D35, "; "), "")</f>
        <v/>
      </c>
      <c r="F36" s="3072" t="str">
        <f>IF(AND($F$6=1,FTE_6c_Health_part_time!$E32&lt;&gt;0,ABS(FTE_6c_Health_part_time!$H32-FTE_6c_Health_part_time!$E32)&lt;$F$10),CONCATENATE("Price group"," ",$B36,", ",$C36," ","Length",", Level ",$D36,"; "),"")</f>
        <v/>
      </c>
      <c r="G36" s="3029" t="str">
        <f>IF(AND($G$6=1,LEN(FTE_6c_Health_part_time!$J32)&gt;2000), CONCATENATE("Price group", " ", $B36, ", ", $C36, " ", "Length", ", Level ", $D36, "; "), "")</f>
        <v/>
      </c>
      <c r="H36" s="3072" t="str">
        <f>IF(AND($H$6=1,OR(AND(FTE_6c_Health_part_time!$H32=0,FTE_6c_Health_part_time!$J32&lt;&gt;""),AND(FTE_6c_Health_part_time!$H32&lt;&gt;0,FTE_6c_Health_part_time!$J32=""))),CONCATENATE("Price group"," ",$B36,", ",$C36," ","Length",", Level ",$D36,"; "),"")</f>
        <v/>
      </c>
      <c r="I36" s="3072" t="str">
        <f>IF(AND($I$6=1,FTE_6c_Health_part_time!$G32=0,OR(FTE_6c_Health_part_time!$H32&lt;&gt;0,FTE_6c_Health_part_time!$J32&lt;&gt;"")),CONCATENATE("Price group"," ",$B36,", ",$C36," ","Length",", Level ",$D36,"; "),"")</f>
        <v/>
      </c>
      <c r="K36" s="3080" t="s">
        <v>27853</v>
      </c>
      <c r="L36" s="3024">
        <f t="shared" si="0"/>
        <v>0</v>
      </c>
      <c r="M36" s="3025"/>
      <c r="N36" s="3024">
        <f t="shared" si="1"/>
        <v>0</v>
      </c>
    </row>
    <row r="37" spans="1:14" ht="13.15" customHeight="1" x14ac:dyDescent="0.45">
      <c r="A37" s="3021"/>
      <c r="B37" s="3079" t="s">
        <v>27853</v>
      </c>
      <c r="C37" s="3078" t="s">
        <v>218</v>
      </c>
      <c r="D37" s="3077" t="s">
        <v>27769</v>
      </c>
      <c r="E37" s="3072" t="str">
        <f>IF(AND($E$6=1, ROUND(FTE_6c_Health_part_time!$H33, 2)&lt;&gt;FTE_6c_Health_part_time!$H33), CONCATENATE("Price group", " ", $B36, ", ", $C36, " ", "Length", ", Level ", $D36, "; "), "")</f>
        <v/>
      </c>
      <c r="F37" s="3072" t="str">
        <f>IF(AND($F$6=1,FTE_6c_Health_part_time!$E33&lt;&gt;0,ABS(FTE_6c_Health_part_time!$H33-FTE_6c_Health_part_time!$E33)&lt;$F$10),CONCATENATE("Price group"," ",$B37,", ",$C37," ","Length",", Level ",$D37,"; "),"")</f>
        <v/>
      </c>
      <c r="G37" s="3029" t="str">
        <f>IF(AND($G$6=1,LEN(FTE_6c_Health_part_time!$J33)&gt;2000), CONCATENATE("Price group", " ", $B37, ", ", $C37, " ", "Length", ", Level ", $D37, "; "), "")</f>
        <v/>
      </c>
      <c r="H37" s="3072" t="str">
        <f>IF(AND($H$6=1,OR(AND(FTE_6c_Health_part_time!$H33=0,FTE_6c_Health_part_time!$J33&lt;&gt;""),AND(FTE_6c_Health_part_time!$H33&lt;&gt;0,FTE_6c_Health_part_time!$J33=""))),CONCATENATE("Price group"," ",$B37,", ",$C37," ","Length",", Level ",$D37,"; "),"")</f>
        <v/>
      </c>
      <c r="I37" s="3072" t="str">
        <f>IF(AND($I$6=1,FTE_6c_Health_part_time!$G33=0,OR(FTE_6c_Health_part_time!$H33&lt;&gt;0,FTE_6c_Health_part_time!$J33&lt;&gt;"")),CONCATENATE("Price group"," ",$B37,", ",$C37," ","Length",", Level ",$D37,"; "),"")</f>
        <v/>
      </c>
      <c r="K37" s="3076" t="s">
        <v>27853</v>
      </c>
      <c r="L37" s="3024">
        <f t="shared" si="0"/>
        <v>0</v>
      </c>
      <c r="M37" s="3025"/>
      <c r="N37" s="3024">
        <f t="shared" si="1"/>
        <v>0</v>
      </c>
    </row>
    <row r="38" spans="1:14" ht="13.15" customHeight="1" x14ac:dyDescent="0.45">
      <c r="A38" s="3021"/>
      <c r="B38" s="3075" t="s">
        <v>27853</v>
      </c>
      <c r="C38" s="3078" t="s">
        <v>218</v>
      </c>
      <c r="D38" s="3073" t="s">
        <v>210</v>
      </c>
      <c r="E38" s="3072" t="str">
        <f>IF(AND($E$6=1, ROUND(FTE_6c_Health_part_time!$H34, 2)&lt;&gt;FTE_6c_Health_part_time!$H34), CONCATENATE("Price group", " ", $B37, ", ", $C37, " ", "Length", ", Level ", $D37, "; "), "")</f>
        <v/>
      </c>
      <c r="F38" s="3072" t="str">
        <f>IF(AND($F$6=1,FTE_6c_Health_part_time!$E34&lt;&gt;0,ABS(FTE_6c_Health_part_time!$H34-FTE_6c_Health_part_time!$E34)&lt;$F$10),CONCATENATE("Price group"," ",$B38,", ",$C38," ","Length",", Level ",$D38,"; "),"")</f>
        <v/>
      </c>
      <c r="G38" s="3029" t="str">
        <f>IF(AND($G$6=1,LEN(FTE_6c_Health_part_time!$J34)&gt;2000), CONCATENATE("Price group", " ", $B38, ", ", $C38, " ", "Length", ", Level ", $D38, "; "), "")</f>
        <v/>
      </c>
      <c r="H38" s="3072" t="str">
        <f>IF(AND($H$6=1,OR(AND(FTE_6c_Health_part_time!$H34=0,FTE_6c_Health_part_time!$J34&lt;&gt;""),AND(FTE_6c_Health_part_time!$H34&lt;&gt;0,FTE_6c_Health_part_time!$J34=""))),CONCATENATE("Price group"," ",$B38,", ",$C38," ","Length",", Level ",$D38,"; "),"")</f>
        <v/>
      </c>
      <c r="I38" s="3072" t="str">
        <f>IF(AND($I$6=1,FTE_6c_Health_part_time!$G34=0,OR(FTE_6c_Health_part_time!$H34&lt;&gt;0,FTE_6c_Health_part_time!$J34&lt;&gt;"")),CONCATENATE("Price group"," ",$B38,", ",$C38," ","Length",", Level ",$D38,"; "),"")</f>
        <v/>
      </c>
      <c r="K38" s="3070" t="s">
        <v>27853</v>
      </c>
      <c r="L38" s="3024">
        <f t="shared" si="0"/>
        <v>0</v>
      </c>
      <c r="M38" s="3025"/>
      <c r="N38" s="3024">
        <f t="shared" si="1"/>
        <v>0</v>
      </c>
    </row>
    <row r="39" spans="1:14" ht="13.15" customHeight="1" x14ac:dyDescent="0.45">
      <c r="A39" s="3021"/>
      <c r="B39" s="3085" t="s">
        <v>27855</v>
      </c>
      <c r="C39" s="3084" t="s">
        <v>204</v>
      </c>
      <c r="D39" s="3077" t="s">
        <v>27769</v>
      </c>
      <c r="E39" s="3072" t="str">
        <f>IF(AND($E$6=1, ROUND(FTE_6c_Health_part_time!$H35, 2)&lt;&gt;FTE_6c_Health_part_time!$H35), CONCATENATE("Price group", " ", $B38, ", ", $C38, " ", "Length", ", Level ", $D38, "; "), "")</f>
        <v/>
      </c>
      <c r="F39" s="3072" t="str">
        <f>IF(AND($F$6=1,FTE_6c_Health_part_time!$E35&lt;&gt;0,ABS(FTE_6c_Health_part_time!$H35-FTE_6c_Health_part_time!$E35)&lt;$F$10),CONCATENATE("Price group"," ",$B39,", ",$C39," ","Length",", Level ",$D39,"; "),"")</f>
        <v/>
      </c>
      <c r="G39" s="3029" t="str">
        <f>IF(AND($G$6=1,LEN(FTE_6c_Health_part_time!$J35)&gt;2000), CONCATENATE("Price group", " ", $B39, ", ", $C39, " ", "Length", ", Level ", $D39, "; "), "")</f>
        <v/>
      </c>
      <c r="H39" s="3072" t="str">
        <f>IF(AND($H$6=1,OR(AND(FTE_6c_Health_part_time!$H35=0,FTE_6c_Health_part_time!$J35&lt;&gt;""),AND(FTE_6c_Health_part_time!$H35&lt;&gt;0,FTE_6c_Health_part_time!$J35=""))),CONCATENATE("Price group"," ",$B39,", ",$C39," ","Length",", Level ",$D39,"; "),"")</f>
        <v/>
      </c>
      <c r="I39" s="3072" t="str">
        <f>IF(AND($I$6=1,FTE_6c_Health_part_time!$G35=0,OR(FTE_6c_Health_part_time!$H35&lt;&gt;0,FTE_6c_Health_part_time!$J35&lt;&gt;"")),CONCATENATE("Price group"," ",$B39,", ",$C39," ","Length",", Level ",$D39,"; "),"")</f>
        <v/>
      </c>
      <c r="K39" s="3083" t="s">
        <v>27855</v>
      </c>
      <c r="L39" s="3024">
        <f t="shared" si="0"/>
        <v>0</v>
      </c>
      <c r="M39" s="3025"/>
      <c r="N39" s="3024">
        <f t="shared" si="1"/>
        <v>0</v>
      </c>
    </row>
    <row r="40" spans="1:14" ht="13.15" customHeight="1" x14ac:dyDescent="0.45">
      <c r="A40" s="3021"/>
      <c r="B40" s="3082" t="s">
        <v>27855</v>
      </c>
      <c r="C40" s="3078" t="s">
        <v>204</v>
      </c>
      <c r="D40" s="3081" t="s">
        <v>210</v>
      </c>
      <c r="E40" s="3072" t="str">
        <f>IF(AND($E$6=1, ROUND(FTE_6c_Health_part_time!$H36, 2)&lt;&gt;FTE_6c_Health_part_time!$H36), CONCATENATE("Price group", " ", $B39, ", ", $C39, " ", "Length", ", Level ", $D39, "; "), "")</f>
        <v/>
      </c>
      <c r="F40" s="3072" t="str">
        <f>IF(AND($F$6=1,FTE_6c_Health_part_time!$E36&lt;&gt;0,ABS(FTE_6c_Health_part_time!$H36-FTE_6c_Health_part_time!$E36)&lt;$F$10),CONCATENATE("Price group"," ",$B40,", ",$C40," ","Length",", Level ",$D40,"; "),"")</f>
        <v/>
      </c>
      <c r="G40" s="3029" t="str">
        <f>IF(AND($G$6=1,LEN(FTE_6c_Health_part_time!$J36)&gt;2000), CONCATENATE("Price group", " ", $B40, ", ", $C40, " ", "Length", ", Level ", $D40, "; "), "")</f>
        <v/>
      </c>
      <c r="H40" s="3072" t="str">
        <f>IF(AND($H$6=1,OR(AND(FTE_6c_Health_part_time!$H36=0,FTE_6c_Health_part_time!$J36&lt;&gt;""),AND(FTE_6c_Health_part_time!$H36&lt;&gt;0,FTE_6c_Health_part_time!$J36=""))),CONCATENATE("Price group"," ",$B40,", ",$C40," ","Length",", Level ",$D40,"; "),"")</f>
        <v/>
      </c>
      <c r="I40" s="3072" t="str">
        <f>IF(AND($I$6=1,FTE_6c_Health_part_time!$G36=0,OR(FTE_6c_Health_part_time!$H36&lt;&gt;0,FTE_6c_Health_part_time!$J36&lt;&gt;"")),CONCATENATE("Price group"," ",$B40,", ",$C40," ","Length",", Level ",$D40,"; "),"")</f>
        <v/>
      </c>
      <c r="K40" s="3080" t="s">
        <v>27855</v>
      </c>
      <c r="L40" s="3024">
        <f t="shared" si="0"/>
        <v>0</v>
      </c>
      <c r="M40" s="3025"/>
      <c r="N40" s="3024">
        <f t="shared" si="1"/>
        <v>0</v>
      </c>
    </row>
    <row r="41" spans="1:14" ht="13.15" customHeight="1" x14ac:dyDescent="0.45">
      <c r="A41" s="3021"/>
      <c r="B41" s="3079" t="s">
        <v>27855</v>
      </c>
      <c r="C41" s="3078" t="s">
        <v>218</v>
      </c>
      <c r="D41" s="3077" t="s">
        <v>27769</v>
      </c>
      <c r="E41" s="3072" t="str">
        <f>IF(AND($E$6=1, ROUND(FTE_6c_Health_part_time!$H37, 2)&lt;&gt;FTE_6c_Health_part_time!$H37), CONCATENATE("Price group", " ", $B40, ", ", $C40, " ", "Length", ", Level ", $D40, "; "), "")</f>
        <v/>
      </c>
      <c r="F41" s="3072" t="str">
        <f>IF(AND($F$6=1,FTE_6c_Health_part_time!$E37&lt;&gt;0,ABS(FTE_6c_Health_part_time!$H37-FTE_6c_Health_part_time!$E37)&lt;$F$10),CONCATENATE("Price group"," ",$B41,", ",$C41," ","Length",", Level ",$D41,"; "),"")</f>
        <v/>
      </c>
      <c r="G41" s="3029" t="str">
        <f>IF(AND($G$6=1,LEN(FTE_6c_Health_part_time!$J37)&gt;2000), CONCATENATE("Price group", " ", $B41, ", ", $C41, " ", "Length", ", Level ", $D41, "; "), "")</f>
        <v/>
      </c>
      <c r="H41" s="3072" t="str">
        <f>IF(AND($H$6=1,OR(AND(FTE_6c_Health_part_time!$H37=0,FTE_6c_Health_part_time!$J37&lt;&gt;""),AND(FTE_6c_Health_part_time!$H37&lt;&gt;0,FTE_6c_Health_part_time!$J37=""))),CONCATENATE("Price group"," ",$B41,", ",$C41," ","Length",", Level ",$D41,"; "),"")</f>
        <v/>
      </c>
      <c r="I41" s="3072" t="str">
        <f>IF(AND($I$6=1,FTE_6c_Health_part_time!$G37=0,OR(FTE_6c_Health_part_time!$H37&lt;&gt;0,FTE_6c_Health_part_time!$J37&lt;&gt;"")),CONCATENATE("Price group"," ",$B41,", ",$C41," ","Length",", Level ",$D41,"; "),"")</f>
        <v/>
      </c>
      <c r="K41" s="3076" t="s">
        <v>27855</v>
      </c>
      <c r="L41" s="3024">
        <f t="shared" si="0"/>
        <v>0</v>
      </c>
      <c r="M41" s="3025"/>
      <c r="N41" s="3024">
        <f t="shared" si="1"/>
        <v>0</v>
      </c>
    </row>
    <row r="42" spans="1:14" ht="13.15" customHeight="1" x14ac:dyDescent="0.45">
      <c r="A42" s="3021"/>
      <c r="B42" s="3075" t="s">
        <v>27855</v>
      </c>
      <c r="C42" s="3078" t="s">
        <v>218</v>
      </c>
      <c r="D42" s="3073" t="s">
        <v>210</v>
      </c>
      <c r="E42" s="3072" t="str">
        <f>IF(AND($E$6=1, ROUND(FTE_6c_Health_part_time!$H38, 2)&lt;&gt;FTE_6c_Health_part_time!$H38), CONCATENATE("Price group", " ", $B41, ", ", $C41, " ", "Length", ", Level ", $D41, "; "), "")</f>
        <v/>
      </c>
      <c r="F42" s="3072" t="str">
        <f>IF(AND($F$6=1,FTE_6c_Health_part_time!$E38&lt;&gt;0,ABS(FTE_6c_Health_part_time!$H38-FTE_6c_Health_part_time!$E38)&lt;$F$10),CONCATENATE("Price group"," ",$B42,", ",$C42," ","Length",", Level ",$D42,"; "),"")</f>
        <v/>
      </c>
      <c r="G42" s="3029" t="str">
        <f>IF(AND($G$6=1,LEN(FTE_6c_Health_part_time!$J38)&gt;2000), CONCATENATE("Price group", " ", $B42, ", ", $C42, " ", "Length", ", Level ", $D42, "; "), "")</f>
        <v/>
      </c>
      <c r="H42" s="3072" t="str">
        <f>IF(AND($H$6=1,OR(AND(FTE_6c_Health_part_time!$H38=0,FTE_6c_Health_part_time!$J38&lt;&gt;""),AND(FTE_6c_Health_part_time!$H38&lt;&gt;0,FTE_6c_Health_part_time!$J38=""))),CONCATENATE("Price group"," ",$B42,", ",$C42," ","Length",", Level ",$D42,"; "),"")</f>
        <v/>
      </c>
      <c r="I42" s="3072" t="str">
        <f>IF(AND($I$6=1,FTE_6c_Health_part_time!$G38=0,OR(FTE_6c_Health_part_time!$H38&lt;&gt;0,FTE_6c_Health_part_time!$J38&lt;&gt;"")),CONCATENATE("Price group"," ",$B42,", ",$C42," ","Length",", Level ",$D42,"; "),"")</f>
        <v/>
      </c>
      <c r="K42" s="3070" t="s">
        <v>27855</v>
      </c>
      <c r="L42" s="3024">
        <f t="shared" si="0"/>
        <v>0</v>
      </c>
      <c r="M42" s="3025"/>
      <c r="N42" s="3024">
        <f t="shared" si="1"/>
        <v>0</v>
      </c>
    </row>
    <row r="43" spans="1:14" ht="13.15" customHeight="1" x14ac:dyDescent="0.45">
      <c r="A43" s="3021"/>
      <c r="B43" s="3085" t="s">
        <v>27857</v>
      </c>
      <c r="C43" s="3084" t="s">
        <v>204</v>
      </c>
      <c r="D43" s="3077" t="s">
        <v>27769</v>
      </c>
      <c r="E43" s="3072" t="str">
        <f>IF(AND($E$6=1, ROUND(FTE_6c_Health_part_time!$H39, 2)&lt;&gt;FTE_6c_Health_part_time!$H39), CONCATENATE("Price group", " ", $B42, ", ", $C42, " ", "Length", ", Level ", $D42, "; "), "")</f>
        <v/>
      </c>
      <c r="F43" s="3072" t="str">
        <f>IF(AND($F$6=1,FTE_6c_Health_part_time!$E39&lt;&gt;0,ABS(FTE_6c_Health_part_time!$H39-FTE_6c_Health_part_time!$E39)&lt;$F$10),CONCATENATE("Price group"," ",$B43,", ",$C43," ","Length",", Level ",$D43,"; "),"")</f>
        <v/>
      </c>
      <c r="G43" s="3029" t="str">
        <f>IF(AND($G$6=1,LEN(FTE_6c_Health_part_time!$J39)&gt;2000), CONCATENATE("Price group", " ", $B43, ", ", $C43, " ", "Length", ", Level ", $D43, "; "), "")</f>
        <v/>
      </c>
      <c r="H43" s="3072" t="str">
        <f>IF(AND($H$6=1,OR(AND(FTE_6c_Health_part_time!$H39=0,FTE_6c_Health_part_time!$J39&lt;&gt;""),AND(FTE_6c_Health_part_time!$H39&lt;&gt;0,FTE_6c_Health_part_time!$J39=""))),CONCATENATE("Price group"," ",$B43,", ",$C43," ","Length",", Level ",$D43,"; "),"")</f>
        <v/>
      </c>
      <c r="I43" s="3072" t="str">
        <f>IF(AND($I$6=1,FTE_6c_Health_part_time!$G39=0,OR(FTE_6c_Health_part_time!$H39&lt;&gt;0,FTE_6c_Health_part_time!$J39&lt;&gt;"")),CONCATENATE("Price group"," ",$B43,", ",$C43," ","Length",", Level ",$D43,"; "),"")</f>
        <v/>
      </c>
      <c r="K43" s="3083" t="s">
        <v>27857</v>
      </c>
      <c r="L43" s="3024">
        <f t="shared" si="0"/>
        <v>0</v>
      </c>
      <c r="M43" s="3025"/>
      <c r="N43" s="3024">
        <f t="shared" si="1"/>
        <v>0</v>
      </c>
    </row>
    <row r="44" spans="1:14" ht="13.15" customHeight="1" x14ac:dyDescent="0.45">
      <c r="A44" s="3021"/>
      <c r="B44" s="3082" t="s">
        <v>27857</v>
      </c>
      <c r="C44" s="3078" t="s">
        <v>204</v>
      </c>
      <c r="D44" s="3081" t="s">
        <v>210</v>
      </c>
      <c r="E44" s="3072" t="str">
        <f>IF(AND($E$6=1, ROUND(FTE_6c_Health_part_time!$H40, 2)&lt;&gt;FTE_6c_Health_part_time!$H40), CONCATENATE("Price group", " ", $B43, ", ", $C43, " ", "Length", ", Level ", $D43, "; "), "")</f>
        <v/>
      </c>
      <c r="F44" s="3072" t="str">
        <f>IF(AND($F$6=1,FTE_6c_Health_part_time!$E40&lt;&gt;0,ABS(FTE_6c_Health_part_time!$H40-FTE_6c_Health_part_time!$E40)&lt;$F$10),CONCATENATE("Price group"," ",$B44,", ",$C44," ","Length",", Level ",$D44,"; "),"")</f>
        <v/>
      </c>
      <c r="G44" s="3029" t="str">
        <f>IF(AND($G$6=1,LEN(FTE_6c_Health_part_time!$J40)&gt;2000), CONCATENATE("Price group", " ", $B44, ", ", $C44, " ", "Length", ", Level ", $D44, "; "), "")</f>
        <v/>
      </c>
      <c r="H44" s="3072" t="str">
        <f>IF(AND($H$6=1,OR(AND(FTE_6c_Health_part_time!$H40=0,FTE_6c_Health_part_time!$J40&lt;&gt;""),AND(FTE_6c_Health_part_time!$H40&lt;&gt;0,FTE_6c_Health_part_time!$J40=""))),CONCATENATE("Price group"," ",$B44,", ",$C44," ","Length",", Level ",$D44,"; "),"")</f>
        <v/>
      </c>
      <c r="I44" s="3072" t="str">
        <f>IF(AND($I$6=1,FTE_6c_Health_part_time!$G40=0,OR(FTE_6c_Health_part_time!$H40&lt;&gt;0,FTE_6c_Health_part_time!$J40&lt;&gt;"")),CONCATENATE("Price group"," ",$B44,", ",$C44," ","Length",", Level ",$D44,"; "),"")</f>
        <v/>
      </c>
      <c r="K44" s="3080" t="s">
        <v>27857</v>
      </c>
      <c r="L44" s="3024">
        <f t="shared" si="0"/>
        <v>0</v>
      </c>
      <c r="M44" s="3025"/>
      <c r="N44" s="3024">
        <f t="shared" si="1"/>
        <v>0</v>
      </c>
    </row>
    <row r="45" spans="1:14" ht="13.15" customHeight="1" x14ac:dyDescent="0.45">
      <c r="A45" s="3021"/>
      <c r="B45" s="3079" t="s">
        <v>27857</v>
      </c>
      <c r="C45" s="3078" t="s">
        <v>218</v>
      </c>
      <c r="D45" s="3077" t="s">
        <v>27769</v>
      </c>
      <c r="E45" s="3072" t="str">
        <f>IF(AND($E$6=1, ROUND(FTE_6c_Health_part_time!$H41, 2)&lt;&gt;FTE_6c_Health_part_time!$H41), CONCATENATE("Price group", " ", $B44, ", ", $C44, " ", "Length", ", Level ", $D44, "; "), "")</f>
        <v/>
      </c>
      <c r="F45" s="3072" t="str">
        <f>IF(AND($F$6=1,FTE_6c_Health_part_time!$E41&lt;&gt;0,ABS(FTE_6c_Health_part_time!$H41-FTE_6c_Health_part_time!$E41)&lt;$F$10),CONCATENATE("Price group"," ",$B45,", ",$C45," ","Length",", Level ",$D45,"; "),"")</f>
        <v/>
      </c>
      <c r="G45" s="3029" t="str">
        <f>IF(AND($G$6=1,LEN(FTE_6c_Health_part_time!$J41)&gt;2000), CONCATENATE("Price group", " ", $B45, ", ", $C45, " ", "Length", ", Level ", $D45, "; "), "")</f>
        <v/>
      </c>
      <c r="H45" s="3072" t="str">
        <f>IF(AND($H$6=1,OR(AND(FTE_6c_Health_part_time!$H41=0,FTE_6c_Health_part_time!$J41&lt;&gt;""),AND(FTE_6c_Health_part_time!$H41&lt;&gt;0,FTE_6c_Health_part_time!$J41=""))),CONCATENATE("Price group"," ",$B45,", ",$C45," ","Length",", Level ",$D45,"; "),"")</f>
        <v/>
      </c>
      <c r="I45" s="3072" t="str">
        <f>IF(AND($I$6=1,FTE_6c_Health_part_time!$G41=0,OR(FTE_6c_Health_part_time!$H41&lt;&gt;0,FTE_6c_Health_part_time!$J41&lt;&gt;"")),CONCATENATE("Price group"," ",$B45,", ",$C45," ","Length",", Level ",$D45,"; "),"")</f>
        <v/>
      </c>
      <c r="K45" s="3076" t="s">
        <v>27857</v>
      </c>
      <c r="L45" s="3024">
        <f t="shared" si="0"/>
        <v>0</v>
      </c>
      <c r="M45" s="3025"/>
      <c r="N45" s="3024">
        <f t="shared" si="1"/>
        <v>0</v>
      </c>
    </row>
    <row r="46" spans="1:14" ht="13.15" customHeight="1" x14ac:dyDescent="0.45">
      <c r="A46" s="3021"/>
      <c r="B46" s="3075" t="s">
        <v>27857</v>
      </c>
      <c r="C46" s="3078" t="s">
        <v>218</v>
      </c>
      <c r="D46" s="3073" t="s">
        <v>210</v>
      </c>
      <c r="E46" s="3072" t="str">
        <f>IF(AND($E$6=1, ROUND(FTE_6c_Health_part_time!$H42, 2)&lt;&gt;FTE_6c_Health_part_time!$H42), CONCATENATE("Price group", " ", $B45, ", ", $C45, " ", "Length", ", Level ", $D45, "; "), "")</f>
        <v/>
      </c>
      <c r="F46" s="3072" t="str">
        <f>IF(AND($F$6=1,FTE_6c_Health_part_time!$E42&lt;&gt;0,ABS(FTE_6c_Health_part_time!$H42-FTE_6c_Health_part_time!$E42)&lt;$F$10),CONCATENATE("Price group"," ",$B46,", ",$C46," ","Length",", Level ",$D46,"; "),"")</f>
        <v/>
      </c>
      <c r="G46" s="3029" t="str">
        <f>IF(AND($G$6=1,LEN(FTE_6c_Health_part_time!$J42)&gt;2000), CONCATENATE("Price group", " ", $B46, ", ", $C46, " ", "Length", ", Level ", $D46, "; "), "")</f>
        <v/>
      </c>
      <c r="H46" s="3072" t="str">
        <f>IF(AND($H$6=1,OR(AND(FTE_6c_Health_part_time!$H42=0,FTE_6c_Health_part_time!$J42&lt;&gt;""),AND(FTE_6c_Health_part_time!$H42&lt;&gt;0,FTE_6c_Health_part_time!$J42=""))),CONCATENATE("Price group"," ",$B46,", ",$C46," ","Length",", Level ",$D46,"; "),"")</f>
        <v/>
      </c>
      <c r="I46" s="3072" t="str">
        <f>IF(AND($I$6=1,FTE_6c_Health_part_time!$G42=0,OR(FTE_6c_Health_part_time!$H42&lt;&gt;0,FTE_6c_Health_part_time!$J42&lt;&gt;"")),CONCATENATE("Price group"," ",$B46,", ",$C46," ","Length",", Level ",$D46,"; "),"")</f>
        <v/>
      </c>
      <c r="K46" s="3070" t="s">
        <v>27857</v>
      </c>
      <c r="L46" s="3024">
        <f t="shared" si="0"/>
        <v>0</v>
      </c>
      <c r="M46" s="3025"/>
      <c r="N46" s="3024">
        <f t="shared" si="1"/>
        <v>0</v>
      </c>
    </row>
    <row r="47" spans="1:14" ht="13.15" customHeight="1" x14ac:dyDescent="0.45">
      <c r="A47" s="3021"/>
      <c r="B47" s="3085" t="s">
        <v>27859</v>
      </c>
      <c r="C47" s="3084" t="s">
        <v>204</v>
      </c>
      <c r="D47" s="3077" t="s">
        <v>27769</v>
      </c>
      <c r="E47" s="3072" t="str">
        <f>IF(AND($E$6=1, ROUND(FTE_6c_Health_part_time!$H43, 2)&lt;&gt;FTE_6c_Health_part_time!$H43), CONCATENATE("Price group", " ", $B46, ", ", $C46, " ", "Length", ", Level ", $D46, "; "), "")</f>
        <v/>
      </c>
      <c r="F47" s="3072" t="str">
        <f>IF(AND($F$6=1,FTE_6c_Health_part_time!$E43&lt;&gt;0,ABS(FTE_6c_Health_part_time!$H43-FTE_6c_Health_part_time!$E43)&lt;$F$10),CONCATENATE("Price group"," ",$B47,", ",$C47," ","Length",", Level ",$D47,"; "),"")</f>
        <v/>
      </c>
      <c r="G47" s="3029" t="str">
        <f>IF(AND($G$6=1,LEN(FTE_6c_Health_part_time!$J43)&gt;2000), CONCATENATE("Price group", " ", $B47, ", ", $C47, " ", "Length", ", Level ", $D47, "; "), "")</f>
        <v/>
      </c>
      <c r="H47" s="3072" t="str">
        <f>IF(AND($H$6=1,OR(AND(FTE_6c_Health_part_time!$H43=0,FTE_6c_Health_part_time!$J43&lt;&gt;""),AND(FTE_6c_Health_part_time!$H43&lt;&gt;0,FTE_6c_Health_part_time!$J43=""))),CONCATENATE("Price group"," ",$B47,", ",$C47," ","Length",", Level ",$D47,"; "),"")</f>
        <v/>
      </c>
      <c r="I47" s="3072" t="str">
        <f>IF(AND($I$6=1,FTE_6c_Health_part_time!$G43=0,OR(FTE_6c_Health_part_time!$H43&lt;&gt;0,FTE_6c_Health_part_time!$J43&lt;&gt;"")),CONCATENATE("Price group"," ",$B47,", ",$C47," ","Length",", Level ",$D47,"; "),"")</f>
        <v/>
      </c>
      <c r="K47" s="3083" t="s">
        <v>27859</v>
      </c>
      <c r="L47" s="3024">
        <f t="shared" si="0"/>
        <v>0</v>
      </c>
      <c r="M47" s="3025"/>
      <c r="N47" s="3024">
        <f t="shared" si="1"/>
        <v>0</v>
      </c>
    </row>
    <row r="48" spans="1:14" ht="13.15" customHeight="1" x14ac:dyDescent="0.45">
      <c r="A48" s="3021"/>
      <c r="B48" s="3082" t="s">
        <v>27859</v>
      </c>
      <c r="C48" s="3078" t="s">
        <v>204</v>
      </c>
      <c r="D48" s="3081" t="s">
        <v>210</v>
      </c>
      <c r="E48" s="3072" t="str">
        <f>IF(AND($E$6=1, ROUND(FTE_6c_Health_part_time!$H44, 2)&lt;&gt;FTE_6c_Health_part_time!$H44), CONCATENATE("Price group", " ", $B47, ", ", $C47, " ", "Length", ", Level ", $D47, "; "), "")</f>
        <v/>
      </c>
      <c r="F48" s="3072" t="str">
        <f>IF(AND($F$6=1,FTE_6c_Health_part_time!$E44&lt;&gt;0,ABS(FTE_6c_Health_part_time!$H44-FTE_6c_Health_part_time!$E44)&lt;$F$10),CONCATENATE("Price group"," ",$B48,", ",$C48," ","Length",", Level ",$D48,"; "),"")</f>
        <v/>
      </c>
      <c r="G48" s="3029" t="str">
        <f>IF(AND($G$6=1,LEN(FTE_6c_Health_part_time!$J44)&gt;2000), CONCATENATE("Price group", " ", $B48, ", ", $C48, " ", "Length", ", Level ", $D48, "; "), "")</f>
        <v/>
      </c>
      <c r="H48" s="3072" t="str">
        <f>IF(AND($H$6=1,OR(AND(FTE_6c_Health_part_time!$H44=0,FTE_6c_Health_part_time!$J44&lt;&gt;""),AND(FTE_6c_Health_part_time!$H44&lt;&gt;0,FTE_6c_Health_part_time!$J44=""))),CONCATENATE("Price group"," ",$B48,", ",$C48," ","Length",", Level ",$D48,"; "),"")</f>
        <v/>
      </c>
      <c r="I48" s="3072" t="str">
        <f>IF(AND($I$6=1,FTE_6c_Health_part_time!$G44=0,OR(FTE_6c_Health_part_time!$H44&lt;&gt;0,FTE_6c_Health_part_time!$J44&lt;&gt;"")),CONCATENATE("Price group"," ",$B48,", ",$C48," ","Length",", Level ",$D48,"; "),"")</f>
        <v/>
      </c>
      <c r="K48" s="3080" t="s">
        <v>27859</v>
      </c>
      <c r="L48" s="3024">
        <f t="shared" si="0"/>
        <v>0</v>
      </c>
      <c r="M48" s="3025"/>
      <c r="N48" s="3024">
        <f t="shared" si="1"/>
        <v>0</v>
      </c>
    </row>
    <row r="49" spans="1:14" ht="13.15" customHeight="1" x14ac:dyDescent="0.45">
      <c r="A49" s="3021"/>
      <c r="B49" s="3079" t="s">
        <v>27859</v>
      </c>
      <c r="C49" s="3078" t="s">
        <v>218</v>
      </c>
      <c r="D49" s="3077" t="s">
        <v>27769</v>
      </c>
      <c r="E49" s="3072" t="str">
        <f>IF(AND($E$6=1, ROUND(FTE_6c_Health_part_time!$H45, 2)&lt;&gt;FTE_6c_Health_part_time!$H45), CONCATENATE("Price group", " ", $B48, ", ", $C48, " ", "Length", ", Level ", $D48, "; "), "")</f>
        <v/>
      </c>
      <c r="F49" s="3072" t="str">
        <f>IF(AND($F$6=1,FTE_6c_Health_part_time!$E45&lt;&gt;0,ABS(FTE_6c_Health_part_time!$H45-FTE_6c_Health_part_time!$E45)&lt;$F$10),CONCATENATE("Price group"," ",$B49,", ",$C49," ","Length",", Level ",$D49,"; "),"")</f>
        <v/>
      </c>
      <c r="G49" s="3029" t="str">
        <f>IF(AND($G$6=1,LEN(FTE_6c_Health_part_time!$J45)&gt;2000), CONCATENATE("Price group", " ", $B49, ", ", $C49, " ", "Length", ", Level ", $D49, "; "), "")</f>
        <v/>
      </c>
      <c r="H49" s="3072" t="str">
        <f>IF(AND($H$6=1,OR(AND(FTE_6c_Health_part_time!$H45=0,FTE_6c_Health_part_time!$J45&lt;&gt;""),AND(FTE_6c_Health_part_time!$H45&lt;&gt;0,FTE_6c_Health_part_time!$J45=""))),CONCATENATE("Price group"," ",$B49,", ",$C49," ","Length",", Level ",$D49,"; "),"")</f>
        <v/>
      </c>
      <c r="I49" s="3072" t="str">
        <f>IF(AND($I$6=1,FTE_6c_Health_part_time!$G45=0,OR(FTE_6c_Health_part_time!$H45&lt;&gt;0,FTE_6c_Health_part_time!$J45&lt;&gt;"")),CONCATENATE("Price group"," ",$B49,", ",$C49," ","Length",", Level ",$D49,"; "),"")</f>
        <v/>
      </c>
      <c r="K49" s="3076" t="s">
        <v>27859</v>
      </c>
      <c r="L49" s="3024">
        <f t="shared" si="0"/>
        <v>0</v>
      </c>
      <c r="M49" s="3025"/>
      <c r="N49" s="3024">
        <f t="shared" si="1"/>
        <v>0</v>
      </c>
    </row>
    <row r="50" spans="1:14" ht="13.15" customHeight="1" x14ac:dyDescent="0.45">
      <c r="A50" s="3021"/>
      <c r="B50" s="3075" t="s">
        <v>27859</v>
      </c>
      <c r="C50" s="3078" t="s">
        <v>218</v>
      </c>
      <c r="D50" s="3073" t="s">
        <v>210</v>
      </c>
      <c r="E50" s="3072" t="str">
        <f>IF(AND($E$6=1, ROUND(FTE_6c_Health_part_time!$H46, 2)&lt;&gt;FTE_6c_Health_part_time!$H46), CONCATENATE("Price group", " ", $B49, ", ", $C49, " ", "Length", ", Level ", $D49, "; "), "")</f>
        <v/>
      </c>
      <c r="F50" s="3072" t="str">
        <f>IF(AND($F$6=1,FTE_6c_Health_part_time!$E46&lt;&gt;0,ABS(FTE_6c_Health_part_time!$H46-FTE_6c_Health_part_time!$E46)&lt;$F$10),CONCATENATE("Price group"," ",$B50,", ",$C50," ","Length",", Level ",$D50,"; "),"")</f>
        <v/>
      </c>
      <c r="G50" s="3029" t="str">
        <f>IF(AND($G$6=1,LEN(FTE_6c_Health_part_time!$J46)&gt;2000), CONCATENATE("Price group", " ", $B50, ", ", $C50, " ", "Length", ", Level ", $D50, "; "), "")</f>
        <v/>
      </c>
      <c r="H50" s="3072" t="str">
        <f>IF(AND($H$6=1,OR(AND(FTE_6c_Health_part_time!$H46=0,FTE_6c_Health_part_time!$J46&lt;&gt;""),AND(FTE_6c_Health_part_time!$H46&lt;&gt;0,FTE_6c_Health_part_time!$J46=""))),CONCATENATE("Price group"," ",$B50,", ",$C50," ","Length",", Level ",$D50,"; "),"")</f>
        <v/>
      </c>
      <c r="I50" s="3072" t="str">
        <f>IF(AND($I$6=1,FTE_6c_Health_part_time!$G46=0,OR(FTE_6c_Health_part_time!$H46&lt;&gt;0,FTE_6c_Health_part_time!$J46&lt;&gt;"")),CONCATENATE("Price group"," ",$B50,", ",$C50," ","Length",", Level ",$D50,"; "),"")</f>
        <v/>
      </c>
      <c r="K50" s="3070" t="s">
        <v>27859</v>
      </c>
      <c r="L50" s="3024">
        <f t="shared" si="0"/>
        <v>0</v>
      </c>
      <c r="M50" s="3025"/>
      <c r="N50" s="3024">
        <f t="shared" si="1"/>
        <v>0</v>
      </c>
    </row>
    <row r="51" spans="1:14" ht="13.15" customHeight="1" x14ac:dyDescent="0.45">
      <c r="A51" s="3021"/>
      <c r="B51" s="3085" t="s">
        <v>27861</v>
      </c>
      <c r="C51" s="3084" t="s">
        <v>204</v>
      </c>
      <c r="D51" s="3077" t="s">
        <v>27769</v>
      </c>
      <c r="E51" s="3072" t="str">
        <f>IF(AND($E$6=1, ROUND(FTE_6c_Health_part_time!$H47, 2)&lt;&gt;FTE_6c_Health_part_time!$H47), CONCATENATE("Price group", " ", $B50, ", ", $C50, " ", "Length", ", Level ", $D50, "; "), "")</f>
        <v/>
      </c>
      <c r="F51" s="3072" t="str">
        <f>IF(AND($F$6=1,FTE_6c_Health_part_time!$E47&lt;&gt;0,ABS(FTE_6c_Health_part_time!$H47-FTE_6c_Health_part_time!$E47)&lt;$F$10),CONCATENATE("Price group"," ",$B51,", ",$C51," ","Length",", Level ",$D51,"; "),"")</f>
        <v/>
      </c>
      <c r="G51" s="3029" t="str">
        <f>IF(AND($G$6=1,LEN(FTE_6c_Health_part_time!$J47)&gt;2000), CONCATENATE("Price group", " ", $B51, ", ", $C51, " ", "Length", ", Level ", $D51, "; "), "")</f>
        <v/>
      </c>
      <c r="H51" s="3072" t="str">
        <f>IF(AND($H$6=1,OR(AND(FTE_6c_Health_part_time!$H47=0,FTE_6c_Health_part_time!$J47&lt;&gt;""),AND(FTE_6c_Health_part_time!$H47&lt;&gt;0,FTE_6c_Health_part_time!$J47=""))),CONCATENATE("Price group"," ",$B51,", ",$C51," ","Length",", Level ",$D51,"; "),"")</f>
        <v/>
      </c>
      <c r="I51" s="3072" t="str">
        <f>IF(AND($I$6=1,FTE_6c_Health_part_time!$G47=0,OR(FTE_6c_Health_part_time!$H47&lt;&gt;0,FTE_6c_Health_part_time!$J47&lt;&gt;"")),CONCATENATE("Price group"," ",$B51,", ",$C51," ","Length",", Level ",$D51,"; "),"")</f>
        <v/>
      </c>
      <c r="K51" s="3083" t="s">
        <v>27861</v>
      </c>
      <c r="L51" s="3024">
        <f t="shared" si="0"/>
        <v>0</v>
      </c>
      <c r="M51" s="3025"/>
      <c r="N51" s="3024">
        <f t="shared" si="1"/>
        <v>0</v>
      </c>
    </row>
    <row r="52" spans="1:14" ht="13.15" customHeight="1" x14ac:dyDescent="0.45">
      <c r="A52" s="3021"/>
      <c r="B52" s="3082" t="s">
        <v>27861</v>
      </c>
      <c r="C52" s="3078" t="s">
        <v>204</v>
      </c>
      <c r="D52" s="3081" t="s">
        <v>210</v>
      </c>
      <c r="E52" s="3072" t="str">
        <f>IF(AND($E$6=1, ROUND(FTE_6c_Health_part_time!$H48, 2)&lt;&gt;FTE_6c_Health_part_time!$H48), CONCATENATE("Price group", " ", $B51, ", ", $C51, " ", "Length", ", Level ", $D51, "; "), "")</f>
        <v/>
      </c>
      <c r="F52" s="3072" t="str">
        <f>IF(AND($F$6=1,FTE_6c_Health_part_time!$E48&lt;&gt;0,ABS(FTE_6c_Health_part_time!$H48-FTE_6c_Health_part_time!$E48)&lt;$F$10),CONCATENATE("Price group"," ",$B52,", ",$C52," ","Length",", Level ",$D52,"; "),"")</f>
        <v/>
      </c>
      <c r="G52" s="3029" t="str">
        <f>IF(AND($G$6=1,LEN(FTE_6c_Health_part_time!$J48)&gt;2000), CONCATENATE("Price group", " ", $B52, ", ", $C52, " ", "Length", ", Level ", $D52, "; "), "")</f>
        <v/>
      </c>
      <c r="H52" s="3072" t="str">
        <f>IF(AND($H$6=1,OR(AND(FTE_6c_Health_part_time!$H48=0,FTE_6c_Health_part_time!$J48&lt;&gt;""),AND(FTE_6c_Health_part_time!$H48&lt;&gt;0,FTE_6c_Health_part_time!$J48=""))),CONCATENATE("Price group"," ",$B52,", ",$C52," ","Length",", Level ",$D52,"; "),"")</f>
        <v/>
      </c>
      <c r="I52" s="3072" t="str">
        <f>IF(AND($I$6=1,FTE_6c_Health_part_time!$G48=0,OR(FTE_6c_Health_part_time!$H48&lt;&gt;0,FTE_6c_Health_part_time!$J48&lt;&gt;"")),CONCATENATE("Price group"," ",$B52,", ",$C52," ","Length",", Level ",$D52,"; "),"")</f>
        <v/>
      </c>
      <c r="K52" s="3080" t="s">
        <v>27861</v>
      </c>
      <c r="L52" s="3024">
        <f t="shared" si="0"/>
        <v>0</v>
      </c>
      <c r="M52" s="3025"/>
      <c r="N52" s="3024">
        <f t="shared" si="1"/>
        <v>0</v>
      </c>
    </row>
    <row r="53" spans="1:14" ht="13.15" customHeight="1" x14ac:dyDescent="0.45">
      <c r="A53" s="3021"/>
      <c r="B53" s="3079" t="s">
        <v>27861</v>
      </c>
      <c r="C53" s="3078" t="s">
        <v>218</v>
      </c>
      <c r="D53" s="3077" t="s">
        <v>27769</v>
      </c>
      <c r="E53" s="3072" t="str">
        <f>IF(AND($E$6=1, ROUND(FTE_6c_Health_part_time!$H49, 2)&lt;&gt;FTE_6c_Health_part_time!$H49), CONCATENATE("Price group", " ", $B52, ", ", $C52, " ", "Length", ", Level ", $D52, "; "), "")</f>
        <v/>
      </c>
      <c r="F53" s="3072" t="str">
        <f>IF(AND($F$6=1,FTE_6c_Health_part_time!$E49&lt;&gt;0,ABS(FTE_6c_Health_part_time!$H49-FTE_6c_Health_part_time!$E49)&lt;$F$10),CONCATENATE("Price group"," ",$B53,", ",$C53," ","Length",", Level ",$D53,"; "),"")</f>
        <v/>
      </c>
      <c r="G53" s="3029" t="str">
        <f>IF(AND($G$6=1,LEN(FTE_6c_Health_part_time!$J49)&gt;2000), CONCATENATE("Price group", " ", $B53, ", ", $C53, " ", "Length", ", Level ", $D53, "; "), "")</f>
        <v/>
      </c>
      <c r="H53" s="3072" t="str">
        <f>IF(AND($H$6=1,OR(AND(FTE_6c_Health_part_time!$H49=0,FTE_6c_Health_part_time!$J49&lt;&gt;""),AND(FTE_6c_Health_part_time!$H49&lt;&gt;0,FTE_6c_Health_part_time!$J49=""))),CONCATENATE("Price group"," ",$B53,", ",$C53," ","Length",", Level ",$D53,"; "),"")</f>
        <v/>
      </c>
      <c r="I53" s="3072" t="str">
        <f>IF(AND($I$6=1,FTE_6c_Health_part_time!$G49=0,OR(FTE_6c_Health_part_time!$H49&lt;&gt;0,FTE_6c_Health_part_time!$J49&lt;&gt;"")),CONCATENATE("Price group"," ",$B53,", ",$C53," ","Length",", Level ",$D53,"; "),"")</f>
        <v/>
      </c>
      <c r="K53" s="3076" t="s">
        <v>27861</v>
      </c>
      <c r="L53" s="3024">
        <f t="shared" si="0"/>
        <v>0</v>
      </c>
      <c r="M53" s="3025"/>
      <c r="N53" s="3024">
        <f t="shared" si="1"/>
        <v>0</v>
      </c>
    </row>
    <row r="54" spans="1:14" ht="13.15" customHeight="1" x14ac:dyDescent="0.45">
      <c r="A54" s="3021"/>
      <c r="B54" s="3075" t="s">
        <v>27861</v>
      </c>
      <c r="C54" s="3078" t="s">
        <v>218</v>
      </c>
      <c r="D54" s="3073" t="s">
        <v>210</v>
      </c>
      <c r="E54" s="3072" t="str">
        <f>IF(AND($E$6=1, ROUND(FTE_6c_Health_part_time!$H50, 2)&lt;&gt;FTE_6c_Health_part_time!$H50), CONCATENATE("Price group", " ", $B53, ", ", $C53, " ", "Length", ", Level ", $D53, "; "), "")</f>
        <v/>
      </c>
      <c r="F54" s="3072" t="str">
        <f>IF(AND($F$6=1,FTE_6c_Health_part_time!$E50&lt;&gt;0,ABS(FTE_6c_Health_part_time!$H50-FTE_6c_Health_part_time!$E50)&lt;$F$10),CONCATENATE("Price group"," ",$B54,", ",$C54," ","Length",", Level ",$D54,"; "),"")</f>
        <v/>
      </c>
      <c r="G54" s="3029" t="str">
        <f>IF(AND($G$6=1,LEN(FTE_6c_Health_part_time!$J50)&gt;2000), CONCATENATE("Price group", " ", $B54, ", ", $C54, " ", "Length", ", Level ", $D54, "; "), "")</f>
        <v/>
      </c>
      <c r="H54" s="3072" t="str">
        <f>IF(AND($H$6=1,OR(AND(FTE_6c_Health_part_time!$H50=0,FTE_6c_Health_part_time!$J50&lt;&gt;""),AND(FTE_6c_Health_part_time!$H50&lt;&gt;0,FTE_6c_Health_part_time!$J50=""))),CONCATENATE("Price group"," ",$B54,", ",$C54," ","Length",", Level ",$D54,"; "),"")</f>
        <v/>
      </c>
      <c r="I54" s="3072" t="str">
        <f>IF(AND($I$6=1,FTE_6c_Health_part_time!$G50=0,OR(FTE_6c_Health_part_time!$H50&lt;&gt;0,FTE_6c_Health_part_time!$J50&lt;&gt;"")),CONCATENATE("Price group"," ",$B54,", ",$C54," ","Length",", Level ",$D54,"; "),"")</f>
        <v/>
      </c>
      <c r="K54" s="3070" t="s">
        <v>27861</v>
      </c>
      <c r="L54" s="3024">
        <f t="shared" si="0"/>
        <v>0</v>
      </c>
      <c r="M54" s="3025"/>
      <c r="N54" s="3024">
        <f t="shared" si="1"/>
        <v>0</v>
      </c>
    </row>
    <row r="55" spans="1:14" ht="13.15" customHeight="1" x14ac:dyDescent="0.45">
      <c r="A55" s="3021"/>
      <c r="B55" s="3085" t="s">
        <v>27863</v>
      </c>
      <c r="C55" s="3084" t="s">
        <v>204</v>
      </c>
      <c r="D55" s="3077" t="s">
        <v>27769</v>
      </c>
      <c r="E55" s="3072" t="str">
        <f>IF(AND($E$6=1, ROUND(FTE_6c_Health_part_time!$H51, 2)&lt;&gt;FTE_6c_Health_part_time!$H51), CONCATENATE("Price group", " ", $B54, ", ", $C54, " ", "Length", ", Level ", $D54, "; "), "")</f>
        <v/>
      </c>
      <c r="F55" s="3072" t="str">
        <f>IF(AND($F$6=1,FTE_6c_Health_part_time!$E51&lt;&gt;0,ABS(FTE_6c_Health_part_time!$H51-FTE_6c_Health_part_time!$E51)&lt;$F$10),CONCATENATE("Price group"," ",$B55,", ",$C55," ","Length",", Level ",$D55,"; "),"")</f>
        <v/>
      </c>
      <c r="G55" s="3029" t="str">
        <f>IF(AND($G$6=1,LEN(FTE_6c_Health_part_time!$J51)&gt;2000), CONCATENATE("Price group", " ", $B55, ", ", $C55, " ", "Length", ", Level ", $D55, "; "), "")</f>
        <v/>
      </c>
      <c r="H55" s="3072" t="str">
        <f>IF(AND($H$6=1,OR(AND(FTE_6c_Health_part_time!$H51=0,FTE_6c_Health_part_time!$J51&lt;&gt;""),AND(FTE_6c_Health_part_time!$H51&lt;&gt;0,FTE_6c_Health_part_time!$J51=""))),CONCATENATE("Price group"," ",$B55,", ",$C55," ","Length",", Level ",$D55,"; "),"")</f>
        <v/>
      </c>
      <c r="I55" s="3072" t="str">
        <f>IF(AND($I$6=1,FTE_6c_Health_part_time!$G51=0,OR(FTE_6c_Health_part_time!$H51&lt;&gt;0,FTE_6c_Health_part_time!$J51&lt;&gt;"")),CONCATENATE("Price group"," ",$B55,", ",$C55," ","Length",", Level ",$D55,"; "),"")</f>
        <v/>
      </c>
      <c r="K55" s="3083" t="s">
        <v>27863</v>
      </c>
      <c r="L55" s="3024">
        <f t="shared" si="0"/>
        <v>0</v>
      </c>
      <c r="M55" s="3025"/>
      <c r="N55" s="3024">
        <f t="shared" si="1"/>
        <v>0</v>
      </c>
    </row>
    <row r="56" spans="1:14" ht="13.15" customHeight="1" x14ac:dyDescent="0.45">
      <c r="A56" s="3021"/>
      <c r="B56" s="3082" t="s">
        <v>27863</v>
      </c>
      <c r="C56" s="3078" t="s">
        <v>204</v>
      </c>
      <c r="D56" s="3081" t="s">
        <v>210</v>
      </c>
      <c r="E56" s="3072" t="str">
        <f>IF(AND($E$6=1, ROUND(FTE_6c_Health_part_time!$H52, 2)&lt;&gt;FTE_6c_Health_part_time!$H52), CONCATENATE("Price group", " ", $B55, ", ", $C55, " ", "Length", ", Level ", $D55, "; "), "")</f>
        <v/>
      </c>
      <c r="F56" s="3072" t="str">
        <f>IF(AND($F$6=1,FTE_6c_Health_part_time!$E52&lt;&gt;0,ABS(FTE_6c_Health_part_time!$H52-FTE_6c_Health_part_time!$E52)&lt;$F$10),CONCATENATE("Price group"," ",$B56,", ",$C56," ","Length",", Level ",$D56,"; "),"")</f>
        <v/>
      </c>
      <c r="G56" s="3029" t="str">
        <f>IF(AND($G$6=1,LEN(FTE_6c_Health_part_time!$J52)&gt;2000), CONCATENATE("Price group", " ", $B56, ", ", $C56, " ", "Length", ", Level ", $D56, "; "), "")</f>
        <v/>
      </c>
      <c r="H56" s="3072" t="str">
        <f>IF(AND($H$6=1,OR(AND(FTE_6c_Health_part_time!$H52=0,FTE_6c_Health_part_time!$J52&lt;&gt;""),AND(FTE_6c_Health_part_time!$H52&lt;&gt;0,FTE_6c_Health_part_time!$J52=""))),CONCATENATE("Price group"," ",$B56,", ",$C56," ","Length",", Level ",$D56,"; "),"")</f>
        <v/>
      </c>
      <c r="I56" s="3072" t="str">
        <f>IF(AND($I$6=1,FTE_6c_Health_part_time!$G52=0,OR(FTE_6c_Health_part_time!$H52&lt;&gt;0,FTE_6c_Health_part_time!$J52&lt;&gt;"")),CONCATENATE("Price group"," ",$B56,", ",$C56," ","Length",", Level ",$D56,"; "),"")</f>
        <v/>
      </c>
      <c r="K56" s="3080" t="s">
        <v>27863</v>
      </c>
      <c r="L56" s="3024">
        <f t="shared" si="0"/>
        <v>0</v>
      </c>
      <c r="M56" s="3025"/>
      <c r="N56" s="3024">
        <f t="shared" si="1"/>
        <v>0</v>
      </c>
    </row>
    <row r="57" spans="1:14" ht="13.15" customHeight="1" x14ac:dyDescent="0.45">
      <c r="A57" s="3021"/>
      <c r="B57" s="3079" t="s">
        <v>27863</v>
      </c>
      <c r="C57" s="3078" t="s">
        <v>218</v>
      </c>
      <c r="D57" s="3077" t="s">
        <v>27769</v>
      </c>
      <c r="E57" s="3072" t="str">
        <f>IF(AND($E$6=1, ROUND(FTE_6c_Health_part_time!$H53, 2)&lt;&gt;FTE_6c_Health_part_time!$H53), CONCATENATE("Price group", " ", $B56, ", ", $C56, " ", "Length", ", Level ", $D56, "; "), "")</f>
        <v/>
      </c>
      <c r="F57" s="3072" t="str">
        <f>IF(AND($F$6=1,FTE_6c_Health_part_time!$E53&lt;&gt;0,ABS(FTE_6c_Health_part_time!$H53-FTE_6c_Health_part_time!$E53)&lt;$F$10),CONCATENATE("Price group"," ",$B57,", ",$C57," ","Length",", Level ",$D57,"; "),"")</f>
        <v/>
      </c>
      <c r="G57" s="3029" t="str">
        <f>IF(AND($G$6=1,LEN(FTE_6c_Health_part_time!$J53)&gt;2000), CONCATENATE("Price group", " ", $B57, ", ", $C57, " ", "Length", ", Level ", $D57, "; "), "")</f>
        <v/>
      </c>
      <c r="H57" s="3072" t="str">
        <f>IF(AND($H$6=1,OR(AND(FTE_6c_Health_part_time!$H53=0,FTE_6c_Health_part_time!$J53&lt;&gt;""),AND(FTE_6c_Health_part_time!$H53&lt;&gt;0,FTE_6c_Health_part_time!$J53=""))),CONCATENATE("Price group"," ",$B57,", ",$C57," ","Length",", Level ",$D57,"; "),"")</f>
        <v/>
      </c>
      <c r="I57" s="3072" t="str">
        <f>IF(AND($I$6=1,FTE_6c_Health_part_time!$G53=0,OR(FTE_6c_Health_part_time!$H53&lt;&gt;0,FTE_6c_Health_part_time!$J53&lt;&gt;"")),CONCATENATE("Price group"," ",$B57,", ",$C57," ","Length",", Level ",$D57,"; "),"")</f>
        <v/>
      </c>
      <c r="K57" s="3076" t="s">
        <v>27863</v>
      </c>
      <c r="L57" s="3024">
        <f t="shared" si="0"/>
        <v>0</v>
      </c>
      <c r="M57" s="3025"/>
      <c r="N57" s="3024">
        <f t="shared" si="1"/>
        <v>0</v>
      </c>
    </row>
    <row r="58" spans="1:14" ht="13.15" customHeight="1" x14ac:dyDescent="0.45">
      <c r="A58" s="3021"/>
      <c r="B58" s="3075" t="s">
        <v>27863</v>
      </c>
      <c r="C58" s="3078" t="s">
        <v>218</v>
      </c>
      <c r="D58" s="3073" t="s">
        <v>210</v>
      </c>
      <c r="E58" s="3072" t="str">
        <f>IF(AND($E$6=1, ROUND(FTE_6c_Health_part_time!$H54, 2)&lt;&gt;FTE_6c_Health_part_time!$H54), CONCATENATE("Price group", " ", $B57, ", ", $C57, " ", "Length", ", Level ", $D57, "; "), "")</f>
        <v/>
      </c>
      <c r="F58" s="3072" t="str">
        <f>IF(AND($F$6=1,FTE_6c_Health_part_time!$E54&lt;&gt;0,ABS(FTE_6c_Health_part_time!$H54-FTE_6c_Health_part_time!$E54)&lt;$F$10),CONCATENATE("Price group"," ",$B58,", ",$C58," ","Length",", Level ",$D58,"; "),"")</f>
        <v/>
      </c>
      <c r="G58" s="3029" t="str">
        <f>IF(AND($G$6=1,LEN(FTE_6c_Health_part_time!$J54)&gt;2000), CONCATENATE("Price group", " ", $B58, ", ", $C58, " ", "Length", ", Level ", $D58, "; "), "")</f>
        <v/>
      </c>
      <c r="H58" s="3072" t="str">
        <f>IF(AND($H$6=1,OR(AND(FTE_6c_Health_part_time!$H54=0,FTE_6c_Health_part_time!$J54&lt;&gt;""),AND(FTE_6c_Health_part_time!$H54&lt;&gt;0,FTE_6c_Health_part_time!$J54=""))),CONCATENATE("Price group"," ",$B58,", ",$C58," ","Length",", Level ",$D58,"; "),"")</f>
        <v/>
      </c>
      <c r="I58" s="3072" t="str">
        <f>IF(AND($I$6=1,FTE_6c_Health_part_time!$G54=0,OR(FTE_6c_Health_part_time!$H54&lt;&gt;0,FTE_6c_Health_part_time!$J54&lt;&gt;"")),CONCATENATE("Price group"," ",$B58,", ",$C58," ","Length",", Level ",$D58,"; "),"")</f>
        <v/>
      </c>
      <c r="K58" s="3070" t="s">
        <v>27863</v>
      </c>
      <c r="L58" s="3024">
        <f t="shared" si="0"/>
        <v>0</v>
      </c>
      <c r="M58" s="3025"/>
      <c r="N58" s="3024">
        <f t="shared" si="1"/>
        <v>0</v>
      </c>
    </row>
    <row r="59" spans="1:14" ht="13.15" customHeight="1" x14ac:dyDescent="0.45">
      <c r="A59" s="3021"/>
      <c r="B59" s="3077" t="s">
        <v>27865</v>
      </c>
      <c r="C59" s="3084" t="s">
        <v>204</v>
      </c>
      <c r="D59" s="3077" t="s">
        <v>27769</v>
      </c>
      <c r="E59" s="3072" t="str">
        <f>IF(AND($E$6=1, ROUND(FTE_6c_Health_part_time!$H55, 2)&lt;&gt;FTE_6c_Health_part_time!$H55), CONCATENATE("Price group", " ", $B58, ", ", $C58, " ", "Length", ", Level ", $D58, "; "), "")</f>
        <v/>
      </c>
      <c r="F59" s="3072" t="str">
        <f>IF(AND($F$6=1,FTE_6c_Health_part_time!$E55&lt;&gt;0,ABS(FTE_6c_Health_part_time!$H55-FTE_6c_Health_part_time!$E55)&lt;$F$10),CONCATENATE("Price group"," ",$B59,", ",$C59," ","Length",", Level ",$D59,"; "),"")</f>
        <v/>
      </c>
      <c r="G59" s="3029" t="str">
        <f>IF(AND($G$6=1,LEN(FTE_6c_Health_part_time!$J55)&gt;2000), CONCATENATE("Price group", " ", $B59, ", ", $C59, " ", "Length", ", Level ", $D59, "; "), "")</f>
        <v/>
      </c>
      <c r="H59" s="3072" t="str">
        <f>IF(AND($H$6=1,OR(AND(FTE_6c_Health_part_time!$H55=0,FTE_6c_Health_part_time!$J55&lt;&gt;""),AND(FTE_6c_Health_part_time!$H55&lt;&gt;0,FTE_6c_Health_part_time!$J55=""))),CONCATENATE("Price group"," ",$B59,", ",$C59," ","Length",", Level ",$D59,"; "),"")</f>
        <v/>
      </c>
      <c r="I59" s="3072" t="str">
        <f>IF(AND($I$6=1,FTE_6c_Health_part_time!$G55=0,OR(FTE_6c_Health_part_time!$H55&lt;&gt;0,FTE_6c_Health_part_time!$J55&lt;&gt;"")),CONCATENATE("Price group"," ",$B59,", ",$C59," ","Length",", Level ",$D59,"; "),"")</f>
        <v/>
      </c>
      <c r="K59" s="3091" t="s">
        <v>27865</v>
      </c>
      <c r="L59" s="3024">
        <f t="shared" si="0"/>
        <v>0</v>
      </c>
      <c r="M59" s="3025"/>
      <c r="N59" s="3024">
        <f t="shared" si="1"/>
        <v>0</v>
      </c>
    </row>
    <row r="60" spans="1:14" ht="13.15" customHeight="1" x14ac:dyDescent="0.45">
      <c r="A60" s="3021"/>
      <c r="B60" s="3079" t="s">
        <v>27865</v>
      </c>
      <c r="C60" s="3078" t="s">
        <v>204</v>
      </c>
      <c r="D60" s="3081" t="s">
        <v>210</v>
      </c>
      <c r="E60" s="3072" t="str">
        <f>IF(AND($E$6=1, ROUND(FTE_6c_Health_part_time!$H56, 2)&lt;&gt;FTE_6c_Health_part_time!$H56), CONCATENATE("Price group", " ", $B59, ", ", $C59, " ", "Length", ", Level ", $D59, "; "), "")</f>
        <v/>
      </c>
      <c r="F60" s="3072" t="str">
        <f>IF(AND($F$6=1,FTE_6c_Health_part_time!$E56&lt;&gt;0,ABS(FTE_6c_Health_part_time!$H56-FTE_6c_Health_part_time!$E56)&lt;$F$10),CONCATENATE("Price group"," ",$B60,", ",$C60," ","Length",", Level ",$D60,"; "),"")</f>
        <v/>
      </c>
      <c r="G60" s="3029" t="str">
        <f>IF(AND($G$6=1,LEN(FTE_6c_Health_part_time!$J56)&gt;2000), CONCATENATE("Price group", " ", $B60, ", ", $C60, " ", "Length", ", Level ", $D60, "; "), "")</f>
        <v/>
      </c>
      <c r="H60" s="3072" t="str">
        <f>IF(AND($H$6=1,OR(AND(FTE_6c_Health_part_time!$H56=0,FTE_6c_Health_part_time!$J56&lt;&gt;""),AND(FTE_6c_Health_part_time!$H56&lt;&gt;0,FTE_6c_Health_part_time!$J56=""))),CONCATENATE("Price group"," ",$B60,", ",$C60," ","Length",", Level ",$D60,"; "),"")</f>
        <v/>
      </c>
      <c r="I60" s="3072" t="str">
        <f>IF(AND($I$6=1,FTE_6c_Health_part_time!$G56=0,OR(FTE_6c_Health_part_time!$H56&lt;&gt;0,FTE_6c_Health_part_time!$J56&lt;&gt;"")),CONCATENATE("Price group"," ",$B60,", ",$C60," ","Length",", Level ",$D60,"; "),"")</f>
        <v/>
      </c>
      <c r="K60" s="3076" t="s">
        <v>27865</v>
      </c>
      <c r="L60" s="3024">
        <f t="shared" si="0"/>
        <v>0</v>
      </c>
      <c r="M60" s="3025"/>
      <c r="N60" s="3024">
        <f t="shared" si="1"/>
        <v>0</v>
      </c>
    </row>
    <row r="61" spans="1:14" ht="13.15" customHeight="1" x14ac:dyDescent="0.45">
      <c r="A61" s="3021"/>
      <c r="B61" s="3079" t="s">
        <v>27865</v>
      </c>
      <c r="C61" s="3078" t="s">
        <v>218</v>
      </c>
      <c r="D61" s="3077" t="s">
        <v>27769</v>
      </c>
      <c r="E61" s="3072" t="str">
        <f>IF(AND($E$6=1, ROUND(FTE_6c_Health_part_time!$H57, 2)&lt;&gt;FTE_6c_Health_part_time!$H57), CONCATENATE("Price group", " ", $B60, ", ", $C60, " ", "Length", ", Level ", $D60, "; "), "")</f>
        <v/>
      </c>
      <c r="F61" s="3072" t="str">
        <f>IF(AND($F$6=1,FTE_6c_Health_part_time!$E57&lt;&gt;0,ABS(FTE_6c_Health_part_time!$H57-FTE_6c_Health_part_time!$E57)&lt;$F$10),CONCATENATE("Price group"," ",$B61,", ",$C61," ","Length",", Level ",$D61,"; "),"")</f>
        <v/>
      </c>
      <c r="G61" s="3029" t="str">
        <f>IF(AND($G$6=1,LEN(FTE_6c_Health_part_time!$J57)&gt;2000), CONCATENATE("Price group", " ", $B61, ", ", $C61, " ", "Length", ", Level ", $D61, "; "), "")</f>
        <v/>
      </c>
      <c r="H61" s="3072" t="str">
        <f>IF(AND($H$6=1,OR(AND(FTE_6c_Health_part_time!$H57=0,FTE_6c_Health_part_time!$J57&lt;&gt;""),AND(FTE_6c_Health_part_time!$H57&lt;&gt;0,FTE_6c_Health_part_time!$J57=""))),CONCATENATE("Price group"," ",$B61,", ",$C61," ","Length",", Level ",$D61,"; "),"")</f>
        <v/>
      </c>
      <c r="I61" s="3072" t="str">
        <f>IF(AND($I$6=1,FTE_6c_Health_part_time!$G57=0,OR(FTE_6c_Health_part_time!$H57&lt;&gt;0,FTE_6c_Health_part_time!$J57&lt;&gt;"")),CONCATENATE("Price group"," ",$B61,", ",$C61," ","Length",", Level ",$D61,"; "),"")</f>
        <v/>
      </c>
      <c r="K61" s="3076" t="s">
        <v>27865</v>
      </c>
      <c r="L61" s="3024">
        <f t="shared" si="0"/>
        <v>0</v>
      </c>
      <c r="M61" s="3025"/>
      <c r="N61" s="3024">
        <f t="shared" si="1"/>
        <v>0</v>
      </c>
    </row>
    <row r="62" spans="1:14" ht="13.15" customHeight="1" x14ac:dyDescent="0.45">
      <c r="A62" s="3021"/>
      <c r="B62" s="3075" t="s">
        <v>27865</v>
      </c>
      <c r="C62" s="3078" t="s">
        <v>218</v>
      </c>
      <c r="D62" s="3073" t="s">
        <v>210</v>
      </c>
      <c r="E62" s="3072" t="str">
        <f>IF(AND($E$6=1, ROUND(FTE_6c_Health_part_time!$H58, 2)&lt;&gt;FTE_6c_Health_part_time!$H58), CONCATENATE("Price group", " ", $B61, ", ", $C61, " ", "Length", ", Level ", $D61, "; "), "")</f>
        <v/>
      </c>
      <c r="F62" s="3072" t="str">
        <f>IF(AND($F$6=1,FTE_6c_Health_part_time!$E58&lt;&gt;0,ABS(FTE_6c_Health_part_time!$H58-FTE_6c_Health_part_time!$E58)&lt;$F$10),CONCATENATE("Price group"," ",$B62,", ",$C62," ","Length",", Level ",$D62,"; "),"")</f>
        <v/>
      </c>
      <c r="G62" s="3029" t="str">
        <f>IF(AND($G$6=1,LEN(FTE_6c_Health_part_time!$J58)&gt;2000), CONCATENATE("Price group", " ", $B62, ", ", $C62, " ", "Length", ", Level ", $D62, "; "), "")</f>
        <v/>
      </c>
      <c r="H62" s="3072" t="str">
        <f>IF(AND($H$6=1,OR(AND(FTE_6c_Health_part_time!$H58=0,FTE_6c_Health_part_time!$J58&lt;&gt;""),AND(FTE_6c_Health_part_time!$H58&lt;&gt;0,FTE_6c_Health_part_time!$J58=""))),CONCATENATE("Price group"," ",$B62,", ",$C62," ","Length",", Level ",$D62,"; "),"")</f>
        <v/>
      </c>
      <c r="I62" s="3072" t="str">
        <f>IF(AND($I$6=1,FTE_6c_Health_part_time!$G58=0,OR(FTE_6c_Health_part_time!$H58&lt;&gt;0,FTE_6c_Health_part_time!$J58&lt;&gt;"")),CONCATENATE("Price group"," ",$B62,", ",$C62," ","Length",", Level ",$D62,"; "),"")</f>
        <v/>
      </c>
      <c r="K62" s="3070" t="s">
        <v>27865</v>
      </c>
      <c r="L62" s="3024">
        <f t="shared" si="0"/>
        <v>0</v>
      </c>
      <c r="M62" s="3025"/>
      <c r="N62" s="3024">
        <f t="shared" si="1"/>
        <v>0</v>
      </c>
    </row>
    <row r="63" spans="1:14" ht="13.15" customHeight="1" x14ac:dyDescent="0.45">
      <c r="A63" s="3021"/>
      <c r="B63" s="3085" t="s">
        <v>27867</v>
      </c>
      <c r="C63" s="3084" t="s">
        <v>204</v>
      </c>
      <c r="D63" s="3077" t="s">
        <v>27769</v>
      </c>
      <c r="E63" s="3072" t="str">
        <f>IF(AND($E$6=1, ROUND(FTE_6c_Health_part_time!$H59, 2)&lt;&gt;FTE_6c_Health_part_time!$H59), CONCATENATE("Price group", " ", $B62, ", ", $C62, " ", "Length", ", Level ", $D62, "; "), "")</f>
        <v/>
      </c>
      <c r="F63" s="3072" t="str">
        <f>IF(AND($F$6=1,FTE_6c_Health_part_time!$E59&lt;&gt;0,ABS(FTE_6c_Health_part_time!$H59-FTE_6c_Health_part_time!$E59)&lt;$F$10),CONCATENATE("Price group"," ",$B63,", ",$C63," ","Length",", Level ",$D63,"; "),"")</f>
        <v/>
      </c>
      <c r="G63" s="3029" t="str">
        <f>IF(AND($G$6=1,LEN(FTE_6c_Health_part_time!$J59)&gt;2000), CONCATENATE("Price group", " ", $B63, ", ", $C63, " ", "Length", ", Level ", $D63, "; "), "")</f>
        <v/>
      </c>
      <c r="H63" s="3072" t="str">
        <f>IF(AND($H$6=1,OR(AND(FTE_6c_Health_part_time!$H59=0,FTE_6c_Health_part_time!$J59&lt;&gt;""),AND(FTE_6c_Health_part_time!$H59&lt;&gt;0,FTE_6c_Health_part_time!$J59=""))),CONCATENATE("Price group"," ",$B63,", ",$C63," ","Length",", Level ",$D63,"; "),"")</f>
        <v/>
      </c>
      <c r="I63" s="3072" t="str">
        <f>IF(AND($I$6=1,FTE_6c_Health_part_time!$G59=0,OR(FTE_6c_Health_part_time!$H59&lt;&gt;0,FTE_6c_Health_part_time!$J59&lt;&gt;"")),CONCATENATE("Price group"," ",$B63,", ",$C63," ","Length",", Level ",$D63,"; "),"")</f>
        <v/>
      </c>
      <c r="K63" s="3083" t="s">
        <v>27867</v>
      </c>
      <c r="L63" s="3024">
        <f t="shared" si="0"/>
        <v>0</v>
      </c>
      <c r="M63" s="3025"/>
      <c r="N63" s="3024">
        <f t="shared" si="1"/>
        <v>0</v>
      </c>
    </row>
    <row r="64" spans="1:14" ht="13.15" customHeight="1" x14ac:dyDescent="0.45">
      <c r="A64" s="3021"/>
      <c r="B64" s="3082" t="s">
        <v>27867</v>
      </c>
      <c r="C64" s="3078" t="s">
        <v>204</v>
      </c>
      <c r="D64" s="3081" t="s">
        <v>210</v>
      </c>
      <c r="E64" s="3072" t="str">
        <f>IF(AND($E$6=1, ROUND(FTE_6c_Health_part_time!$H60, 2)&lt;&gt;FTE_6c_Health_part_time!$H60), CONCATENATE("Price group", " ", $B63, ", ", $C63, " ", "Length", ", Level ", $D63, "; "), "")</f>
        <v/>
      </c>
      <c r="F64" s="3072" t="str">
        <f>IF(AND($F$6=1,FTE_6c_Health_part_time!$E60&lt;&gt;0,ABS(FTE_6c_Health_part_time!$H60-FTE_6c_Health_part_time!$E60)&lt;$F$10),CONCATENATE("Price group"," ",$B64,", ",$C64," ","Length",", Level ",$D64,"; "),"")</f>
        <v/>
      </c>
      <c r="G64" s="3029" t="str">
        <f>IF(AND($G$6=1,LEN(FTE_6c_Health_part_time!$J60)&gt;2000), CONCATENATE("Price group", " ", $B64, ", ", $C64, " ", "Length", ", Level ", $D64, "; "), "")</f>
        <v/>
      </c>
      <c r="H64" s="3072" t="str">
        <f>IF(AND($H$6=1,OR(AND(FTE_6c_Health_part_time!$H60=0,FTE_6c_Health_part_time!$J60&lt;&gt;""),AND(FTE_6c_Health_part_time!$H60&lt;&gt;0,FTE_6c_Health_part_time!$J60=""))),CONCATENATE("Price group"," ",$B64,", ",$C64," ","Length",", Level ",$D64,"; "),"")</f>
        <v/>
      </c>
      <c r="I64" s="3072" t="str">
        <f>IF(AND($I$6=1,FTE_6c_Health_part_time!$G60=0,OR(FTE_6c_Health_part_time!$H60&lt;&gt;0,FTE_6c_Health_part_time!$J60&lt;&gt;"")),CONCATENATE("Price group"," ",$B64,", ",$C64," ","Length",", Level ",$D64,"; "),"")</f>
        <v/>
      </c>
      <c r="K64" s="3080" t="s">
        <v>27867</v>
      </c>
      <c r="L64" s="3024">
        <f t="shared" si="0"/>
        <v>0</v>
      </c>
      <c r="M64" s="3025"/>
      <c r="N64" s="3024">
        <f t="shared" si="1"/>
        <v>0</v>
      </c>
    </row>
    <row r="65" spans="1:15" ht="13.15" customHeight="1" x14ac:dyDescent="0.45">
      <c r="A65" s="3021"/>
      <c r="B65" s="3079" t="s">
        <v>27867</v>
      </c>
      <c r="C65" s="3078" t="s">
        <v>218</v>
      </c>
      <c r="D65" s="3077" t="s">
        <v>27769</v>
      </c>
      <c r="E65" s="3072" t="str">
        <f>IF(AND($E$6=1, ROUND(FTE_6c_Health_part_time!$H61, 2)&lt;&gt;FTE_6c_Health_part_time!$H61), CONCATENATE("Price group", " ", $B64, ", ", $C64, " ", "Length", ", Level ", $D64, "; "), "")</f>
        <v/>
      </c>
      <c r="F65" s="3072" t="str">
        <f>IF(AND($F$6=1,FTE_6c_Health_part_time!$E61&lt;&gt;0,ABS(FTE_6c_Health_part_time!$H61-FTE_6c_Health_part_time!$E61)&lt;$F$10),CONCATENATE("Price group"," ",$B65,", ",$C65," ","Length",", Level ",$D65,"; "),"")</f>
        <v/>
      </c>
      <c r="G65" s="3029" t="str">
        <f>IF(AND($G$6=1,LEN(FTE_6c_Health_part_time!$J61)&gt;2000), CONCATENATE("Price group", " ", $B65, ", ", $C65, " ", "Length", ", Level ", $D65, "; "), "")</f>
        <v/>
      </c>
      <c r="H65" s="3072" t="str">
        <f>IF(AND($H$6=1,OR(AND(FTE_6c_Health_part_time!$H61=0,FTE_6c_Health_part_time!$J61&lt;&gt;""),AND(FTE_6c_Health_part_time!$H61&lt;&gt;0,FTE_6c_Health_part_time!$J61=""))),CONCATENATE("Price group"," ",$B65,", ",$C65," ","Length",", Level ",$D65,"; "),"")</f>
        <v/>
      </c>
      <c r="I65" s="3072" t="str">
        <f>IF(AND($I$6=1,FTE_6c_Health_part_time!$G61=0,OR(FTE_6c_Health_part_time!$H61&lt;&gt;0,FTE_6c_Health_part_time!$J61&lt;&gt;"")),CONCATENATE("Price group"," ",$B65,", ",$C65," ","Length",", Level ",$D65,"; "),"")</f>
        <v/>
      </c>
      <c r="K65" s="3076" t="s">
        <v>27867</v>
      </c>
      <c r="L65" s="3024">
        <f t="shared" si="0"/>
        <v>0</v>
      </c>
      <c r="M65" s="3025"/>
      <c r="N65" s="3024">
        <f t="shared" si="1"/>
        <v>0</v>
      </c>
    </row>
    <row r="66" spans="1:15" ht="13.15" customHeight="1" x14ac:dyDescent="0.45">
      <c r="A66" s="3021"/>
      <c r="B66" s="3075" t="s">
        <v>27867</v>
      </c>
      <c r="C66" s="3078" t="s">
        <v>218</v>
      </c>
      <c r="D66" s="3073" t="s">
        <v>210</v>
      </c>
      <c r="E66" s="3072" t="str">
        <f>IF(AND($E$6=1, ROUND(FTE_6c_Health_part_time!$H62, 2)&lt;&gt;FTE_6c_Health_part_time!$H62), CONCATENATE("Price group", " ", $B65, ", ", $C65, " ", "Length", ", Level ", $D65, "; "), "")</f>
        <v/>
      </c>
      <c r="F66" s="3072" t="str">
        <f>IF(AND($F$6=1,FTE_6c_Health_part_time!$E62&lt;&gt;0,ABS(FTE_6c_Health_part_time!$H62-FTE_6c_Health_part_time!$E62)&lt;$F$10),CONCATENATE("Price group"," ",$B66,", ",$C66," ","Length",", Level ",$D66,"; "),"")</f>
        <v/>
      </c>
      <c r="G66" s="3029" t="str">
        <f>IF(AND($G$6=1,LEN(FTE_6c_Health_part_time!$J62)&gt;2000), CONCATENATE("Price group", " ", $B66, ", ", $C66, " ", "Length", ", Level ", $D66, "; "), "")</f>
        <v/>
      </c>
      <c r="H66" s="3072" t="str">
        <f>IF(AND($H$6=1,OR(AND(FTE_6c_Health_part_time!$H62=0,FTE_6c_Health_part_time!$J62&lt;&gt;""),AND(FTE_6c_Health_part_time!$H62&lt;&gt;0,FTE_6c_Health_part_time!$J62=""))),CONCATENATE("Price group"," ",$B66,", ",$C66," ","Length",", Level ",$D66,"; "),"")</f>
        <v/>
      </c>
      <c r="I66" s="3072" t="str">
        <f>IF(AND($I$6=1,FTE_6c_Health_part_time!$G62=0,OR(FTE_6c_Health_part_time!$H62&lt;&gt;0,FTE_6c_Health_part_time!$J62&lt;&gt;"")),CONCATENATE("Price group"," ",$B66,", ",$C66," ","Length",", Level ",$D66,"; "),"")</f>
        <v/>
      </c>
      <c r="K66" s="3070" t="s">
        <v>27867</v>
      </c>
      <c r="L66" s="3024">
        <f t="shared" si="0"/>
        <v>0</v>
      </c>
      <c r="M66" s="3025"/>
      <c r="N66" s="3024">
        <f t="shared" si="1"/>
        <v>0</v>
      </c>
    </row>
    <row r="67" spans="1:15" ht="13.15" customHeight="1" x14ac:dyDescent="0.45">
      <c r="A67" s="3021"/>
      <c r="B67" s="3077" t="s">
        <v>27869</v>
      </c>
      <c r="C67" s="3084" t="s">
        <v>204</v>
      </c>
      <c r="D67" s="3077" t="s">
        <v>27769</v>
      </c>
      <c r="E67" s="3072" t="str">
        <f>IF(AND($E$6=1, ROUND(FTE_6c_Health_part_time!$H63, 2)&lt;&gt;FTE_6c_Health_part_time!$H63), CONCATENATE("Price group", " ", $B66, ", ", $C66, " ", "Length", ", Level ", $D66, "; "), "")</f>
        <v/>
      </c>
      <c r="F67" s="3072" t="str">
        <f>IF(AND($F$6=1,FTE_6c_Health_part_time!$E63&lt;&gt;0,ABS(FTE_6c_Health_part_time!$H63-FTE_6c_Health_part_time!$E63)&lt;$F$10),CONCATENATE("Price group"," ",$B67,", ",$C67," ","Length",", Level ",$D67,"; "),"")</f>
        <v/>
      </c>
      <c r="G67" s="3029" t="str">
        <f>IF(AND($G$6=1,LEN(FTE_6c_Health_part_time!$J63)&gt;2000), CONCATENATE("Price group", " ", $B67, ", ", $C67, " ", "Length", ", Level ", $D67, "; "), "")</f>
        <v/>
      </c>
      <c r="H67" s="3072" t="str">
        <f>IF(AND($H$6=1,OR(AND(FTE_6c_Health_part_time!$H63=0,FTE_6c_Health_part_time!$J63&lt;&gt;""),AND(FTE_6c_Health_part_time!$H63&lt;&gt;0,FTE_6c_Health_part_time!$J63=""))),CONCATENATE("Price group"," ",$B67,", ",$C67," ","Length",", Level ",$D67,"; "),"")</f>
        <v/>
      </c>
      <c r="I67" s="3072" t="str">
        <f>IF(AND($I$6=1,FTE_6c_Health_part_time!$G63=0,OR(FTE_6c_Health_part_time!$H63&lt;&gt;0,FTE_6c_Health_part_time!$J63&lt;&gt;"")),CONCATENATE("Price group"," ",$B67,", ",$C67," ","Length",", Level ",$D67,"; "),"")</f>
        <v/>
      </c>
      <c r="K67" s="3091" t="s">
        <v>27869</v>
      </c>
      <c r="L67" s="3024">
        <f t="shared" si="0"/>
        <v>0</v>
      </c>
      <c r="M67" s="3025"/>
      <c r="N67" s="3024">
        <f t="shared" si="1"/>
        <v>0</v>
      </c>
    </row>
    <row r="68" spans="1:15" ht="13.15" customHeight="1" x14ac:dyDescent="0.45">
      <c r="A68" s="3021"/>
      <c r="B68" s="3079" t="s">
        <v>27869</v>
      </c>
      <c r="C68" s="3078" t="s">
        <v>204</v>
      </c>
      <c r="D68" s="3090" t="s">
        <v>210</v>
      </c>
      <c r="E68" s="3072" t="str">
        <f>IF(AND($E$6=1, ROUND(FTE_6c_Health_part_time!$H64, 2)&lt;&gt;FTE_6c_Health_part_time!$H64), CONCATENATE("Price group", " ", $B67, ", ", $C67, " ", "Length", ", Level ", $D67, "; "), "")</f>
        <v/>
      </c>
      <c r="F68" s="3072" t="str">
        <f>IF(AND($F$6=1,FTE_6c_Health_part_time!$E64&lt;&gt;0,ABS(FTE_6c_Health_part_time!$H64-FTE_6c_Health_part_time!$E64)&lt;$F$10),CONCATENATE("Price group"," ",$B68,", ",$C68," ","Length",", Level ",$D68,"; "),"")</f>
        <v/>
      </c>
      <c r="G68" s="3029" t="str">
        <f>IF(AND($G$6=1,LEN(FTE_6c_Health_part_time!$J64)&gt;2000), CONCATENATE("Price group", " ", $B68, ", ", $C68, " ", "Length", ", Level ", $D68, "; "), "")</f>
        <v/>
      </c>
      <c r="H68" s="3072" t="str">
        <f>IF(AND($H$6=1,OR(AND(FTE_6c_Health_part_time!$H64=0,FTE_6c_Health_part_time!$J64&lt;&gt;""),AND(FTE_6c_Health_part_time!$H64&lt;&gt;0,FTE_6c_Health_part_time!$J64=""))),CONCATENATE("Price group"," ",$B68,", ",$C68," ","Length",", Level ",$D68,"; "),"")</f>
        <v/>
      </c>
      <c r="I68" s="3072" t="str">
        <f>IF(AND($I$6=1,FTE_6c_Health_part_time!$G64=0,OR(FTE_6c_Health_part_time!$H64&lt;&gt;0,FTE_6c_Health_part_time!$J64&lt;&gt;"")),CONCATENATE("Price group"," ",$B68,", ",$C68," ","Length",", Level ",$D68,"; "),"")</f>
        <v/>
      </c>
      <c r="K68" s="3076" t="s">
        <v>27869</v>
      </c>
      <c r="L68" s="3024">
        <f t="shared" si="0"/>
        <v>0</v>
      </c>
      <c r="M68" s="3025"/>
      <c r="N68" s="3024">
        <f t="shared" si="1"/>
        <v>0</v>
      </c>
    </row>
    <row r="69" spans="1:15" ht="13.15" customHeight="1" x14ac:dyDescent="0.45">
      <c r="A69" s="3021"/>
      <c r="B69" s="3079" t="s">
        <v>27869</v>
      </c>
      <c r="C69" s="3078" t="s">
        <v>218</v>
      </c>
      <c r="D69" s="3077" t="s">
        <v>27769</v>
      </c>
      <c r="E69" s="3072" t="str">
        <f>IF(AND($E$6=1, ROUND(FTE_6c_Health_part_time!$H65, 2)&lt;&gt;FTE_6c_Health_part_time!$H65), CONCATENATE("Price group", " ", $B68, ", ", $C68, " ", "Length", ", Level ", $D68, "; "), "")</f>
        <v/>
      </c>
      <c r="F69" s="3072" t="str">
        <f>IF(AND($F$6=1,FTE_6c_Health_part_time!$E65&lt;&gt;0,ABS(FTE_6c_Health_part_time!$H65-FTE_6c_Health_part_time!$E65)&lt;$F$10),CONCATENATE("Price group"," ",$B69,", ",$C69," ","Length",", Level ",$D69,"; "),"")</f>
        <v/>
      </c>
      <c r="G69" s="3029" t="str">
        <f>IF(AND($G$6=1,LEN(FTE_6c_Health_part_time!$J65)&gt;2000), CONCATENATE("Price group", " ", $B69, ", ", $C69, " ", "Length", ", Level ", $D69, "; "), "")</f>
        <v/>
      </c>
      <c r="H69" s="3072" t="str">
        <f>IF(AND($H$6=1,OR(AND(FTE_6c_Health_part_time!$H65=0,FTE_6c_Health_part_time!$J65&lt;&gt;""),AND(FTE_6c_Health_part_time!$H65&lt;&gt;0,FTE_6c_Health_part_time!$J65=""))),CONCATENATE("Price group"," ",$B69,", ",$C69," ","Length",", Level ",$D69,"; "),"")</f>
        <v/>
      </c>
      <c r="I69" s="3072" t="str">
        <f>IF(AND($I$6=1,FTE_6c_Health_part_time!$G65=0,OR(FTE_6c_Health_part_time!$H65&lt;&gt;0,FTE_6c_Health_part_time!$J65&lt;&gt;"")),CONCATENATE("Price group"," ",$B69,", ",$C69," ","Length",", Level ",$D69,"; "),"")</f>
        <v/>
      </c>
      <c r="K69" s="3076" t="s">
        <v>27869</v>
      </c>
      <c r="L69" s="3024">
        <f t="shared" si="0"/>
        <v>0</v>
      </c>
      <c r="M69" s="3025"/>
      <c r="N69" s="3024">
        <f t="shared" si="1"/>
        <v>0</v>
      </c>
    </row>
    <row r="70" spans="1:15" ht="13.15" customHeight="1" x14ac:dyDescent="0.45">
      <c r="A70" s="3021"/>
      <c r="B70" s="3075" t="s">
        <v>27869</v>
      </c>
      <c r="C70" s="3078" t="s">
        <v>218</v>
      </c>
      <c r="D70" s="3073" t="s">
        <v>210</v>
      </c>
      <c r="E70" s="3072" t="str">
        <f>IF(AND($E$6=1, ROUND(FTE_6c_Health_part_time!$H66, 2)&lt;&gt;FTE_6c_Health_part_time!$H66), CONCATENATE("Price group", " ", $B69, ", ", $C69, " ", "Length", ", Level ", $D69, "; "), "")</f>
        <v/>
      </c>
      <c r="F70" s="3072" t="str">
        <f>IF(AND($F$6=1,FTE_6c_Health_part_time!$E66&lt;&gt;0,ABS(FTE_6c_Health_part_time!$H66-FTE_6c_Health_part_time!$E66)&lt;$F$10),CONCATENATE("Price group"," ",$B70,", ",$C70," ","Length",", Level ",$D70,"; "),"")</f>
        <v/>
      </c>
      <c r="G70" s="3029" t="str">
        <f>IF(AND($G$6=1,LEN(FTE_6c_Health_part_time!$J66)&gt;2000), CONCATENATE("Price group", " ", $B70, ", ", $C70, " ", "Length", ", Level ", $D70, "; "), "")</f>
        <v/>
      </c>
      <c r="H70" s="3072" t="str">
        <f>IF(AND($H$6=1,OR(AND(FTE_6c_Health_part_time!$H66=0,FTE_6c_Health_part_time!$J66&lt;&gt;""),AND(FTE_6c_Health_part_time!$H66&lt;&gt;0,FTE_6c_Health_part_time!$J66=""))),CONCATENATE("Price group"," ",$B70,", ",$C70," ","Length",", Level ",$D70,"; "),"")</f>
        <v/>
      </c>
      <c r="I70" s="3072" t="str">
        <f>IF(AND($I$6=1,FTE_6c_Health_part_time!$G66=0,OR(FTE_6c_Health_part_time!$H66&lt;&gt;0,FTE_6c_Health_part_time!$J66&lt;&gt;"")),CONCATENATE("Price group"," ",$B70,", ",$C70," ","Length",", Level ",$D70,"; "),"")</f>
        <v/>
      </c>
      <c r="K70" s="3070" t="s">
        <v>27869</v>
      </c>
      <c r="L70" s="3024">
        <f t="shared" si="0"/>
        <v>0</v>
      </c>
      <c r="M70" s="3025"/>
      <c r="N70" s="3024">
        <f t="shared" si="1"/>
        <v>0</v>
      </c>
    </row>
    <row r="71" spans="1:15" ht="13.15" customHeight="1" x14ac:dyDescent="0.45">
      <c r="A71" s="3021"/>
      <c r="B71" s="3085" t="s">
        <v>27871</v>
      </c>
      <c r="C71" s="3084" t="s">
        <v>204</v>
      </c>
      <c r="D71" s="3077" t="s">
        <v>27769</v>
      </c>
      <c r="E71" s="3072" t="str">
        <f>IF(AND($E$6=1, ROUND(FTE_6c_Health_part_time!$H67, 2)&lt;&gt;FTE_6c_Health_part_time!$H67), CONCATENATE("Price group", " ", $B70, ", ", $C70, " ", "Length", ", Level ", $D70, "; "), "")</f>
        <v/>
      </c>
      <c r="F71" s="3072" t="str">
        <f>IF(AND($F$6=1,FTE_6c_Health_part_time!$E67&lt;&gt;0,ABS(FTE_6c_Health_part_time!$H67-FTE_6c_Health_part_time!$E67)&lt;$F$10),CONCATENATE("Price group"," ",$B71,", ",$C71," ","Length",", Level ",$D71,"; "),"")</f>
        <v/>
      </c>
      <c r="G71" s="3029" t="str">
        <f>IF(AND($G$6=1,LEN(FTE_6c_Health_part_time!$J67)&gt;2000), CONCATENATE("Price group", " ", $B71, ", ", $C71, " ", "Length", ", Level ", $D71, "; "), "")</f>
        <v/>
      </c>
      <c r="H71" s="3072" t="str">
        <f>IF(AND($H$6=1,OR(AND(FTE_6c_Health_part_time!$H67=0,FTE_6c_Health_part_time!$J67&lt;&gt;""),AND(FTE_6c_Health_part_time!$H67&lt;&gt;0,FTE_6c_Health_part_time!$J67=""))),CONCATENATE("Price group"," ",$B71,", ",$C71," ","Length",", Level ",$D71,"; "),"")</f>
        <v/>
      </c>
      <c r="I71" s="3072" t="str">
        <f>IF(AND($I$6=1,FTE_6c_Health_part_time!$G67=0,OR(FTE_6c_Health_part_time!$H67&lt;&gt;0,FTE_6c_Health_part_time!$J67&lt;&gt;"")),CONCATENATE("Price group"," ",$B71,", ",$C71," ","Length",", Level ",$D71,"; "),"")</f>
        <v/>
      </c>
      <c r="K71" s="3083" t="s">
        <v>27871</v>
      </c>
      <c r="L71" s="3024">
        <f t="shared" si="0"/>
        <v>0</v>
      </c>
      <c r="M71" s="3025"/>
      <c r="N71" s="3024">
        <f t="shared" si="1"/>
        <v>0</v>
      </c>
    </row>
    <row r="72" spans="1:15" ht="13.15" customHeight="1" x14ac:dyDescent="0.45">
      <c r="A72" s="3021"/>
      <c r="B72" s="3082" t="s">
        <v>27871</v>
      </c>
      <c r="C72" s="3078" t="s">
        <v>204</v>
      </c>
      <c r="D72" s="3081" t="s">
        <v>210</v>
      </c>
      <c r="E72" s="3072" t="str">
        <f>IF(AND($E$6=1, ROUND(FTE_6c_Health_part_time!$H68, 2)&lt;&gt;FTE_6c_Health_part_time!$H68), CONCATENATE("Price group", " ", $B71, ", ", $C71, " ", "Length", ", Level ", $D71, "; "), "")</f>
        <v/>
      </c>
      <c r="F72" s="3072" t="str">
        <f>IF(AND($F$6=1,FTE_6c_Health_part_time!$E68&lt;&gt;0,ABS(FTE_6c_Health_part_time!$H68-FTE_6c_Health_part_time!$E68)&lt;$F$10),CONCATENATE("Price group"," ",$B72,", ",$C72," ","Length",", Level ",$D72,"; "),"")</f>
        <v/>
      </c>
      <c r="G72" s="3029" t="str">
        <f>IF(AND($G$6=1,LEN(FTE_6c_Health_part_time!$J68)&gt;2000), CONCATENATE("Price group", " ", $B72, ", ", $C72, " ", "Length", ", Level ", $D72, "; "), "")</f>
        <v/>
      </c>
      <c r="H72" s="3072" t="str">
        <f>IF(AND($H$6=1,OR(AND(FTE_6c_Health_part_time!$H68=0,FTE_6c_Health_part_time!$J68&lt;&gt;""),AND(FTE_6c_Health_part_time!$H68&lt;&gt;0,FTE_6c_Health_part_time!$J68=""))),CONCATENATE("Price group"," ",$B72,", ",$C72," ","Length",", Level ",$D72,"; "),"")</f>
        <v/>
      </c>
      <c r="I72" s="3072" t="str">
        <f>IF(AND($I$6=1,FTE_6c_Health_part_time!$G68=0,OR(FTE_6c_Health_part_time!$H68&lt;&gt;0,FTE_6c_Health_part_time!$J68&lt;&gt;"")),CONCATENATE("Price group"," ",$B72,", ",$C72," ","Length",", Level ",$D72,"; "),"")</f>
        <v/>
      </c>
      <c r="K72" s="3080" t="s">
        <v>27871</v>
      </c>
      <c r="L72" s="3024">
        <f t="shared" si="0"/>
        <v>0</v>
      </c>
      <c r="M72" s="3025"/>
      <c r="N72" s="3024">
        <f t="shared" si="1"/>
        <v>0</v>
      </c>
    </row>
    <row r="73" spans="1:15" ht="13.15" customHeight="1" x14ac:dyDescent="0.45">
      <c r="A73" s="3021"/>
      <c r="B73" s="3079" t="s">
        <v>27871</v>
      </c>
      <c r="C73" s="3078" t="s">
        <v>218</v>
      </c>
      <c r="D73" s="3077" t="s">
        <v>27769</v>
      </c>
      <c r="E73" s="3072" t="str">
        <f>IF(AND($E$6=1, ROUND(FTE_6c_Health_part_time!$H69, 2)&lt;&gt;FTE_6c_Health_part_time!$H69), CONCATENATE("Price group", " ", $B72, ", ", $C72, " ", "Length", ", Level ", $D72, "; "), "")</f>
        <v/>
      </c>
      <c r="F73" s="3072" t="str">
        <f>IF(AND($F$6=1,FTE_6c_Health_part_time!$E69&lt;&gt;0,ABS(FTE_6c_Health_part_time!$H69-FTE_6c_Health_part_time!$E69)&lt;$F$10),CONCATENATE("Price group"," ",$B73,", ",$C73," ","Length",", Level ",$D73,"; "),"")</f>
        <v/>
      </c>
      <c r="G73" s="3029" t="str">
        <f>IF(AND($G$6=1,LEN(FTE_6c_Health_part_time!$J69)&gt;2000), CONCATENATE("Price group", " ", $B73, ", ", $C73, " ", "Length", ", Level ", $D73, "; "), "")</f>
        <v/>
      </c>
      <c r="H73" s="3072" t="str">
        <f>IF(AND($H$6=1,OR(AND(FTE_6c_Health_part_time!$H69=0,FTE_6c_Health_part_time!$J69&lt;&gt;""),AND(FTE_6c_Health_part_time!$H69&lt;&gt;0,FTE_6c_Health_part_time!$J69=""))),CONCATENATE("Price group"," ",$B73,", ",$C73," ","Length",", Level ",$D73,"; "),"")</f>
        <v/>
      </c>
      <c r="I73" s="3072" t="str">
        <f>IF(AND($I$6=1,FTE_6c_Health_part_time!$G69=0,OR(FTE_6c_Health_part_time!$H69&lt;&gt;0,FTE_6c_Health_part_time!$J69&lt;&gt;"")),CONCATENATE("Price group"," ",$B73,", ",$C73," ","Length",", Level ",$D73,"; "),"")</f>
        <v/>
      </c>
      <c r="K73" s="3076" t="s">
        <v>27871</v>
      </c>
      <c r="L73" s="3024">
        <f t="shared" si="0"/>
        <v>0</v>
      </c>
      <c r="M73" s="3025"/>
      <c r="N73" s="3024">
        <f t="shared" si="1"/>
        <v>0</v>
      </c>
    </row>
    <row r="74" spans="1:15" ht="13.15" customHeight="1" x14ac:dyDescent="0.45">
      <c r="A74" s="3021"/>
      <c r="B74" s="3075" t="s">
        <v>27871</v>
      </c>
      <c r="C74" s="3078" t="s">
        <v>218</v>
      </c>
      <c r="D74" s="3073" t="s">
        <v>210</v>
      </c>
      <c r="E74" s="3072" t="str">
        <f>IF(AND($E$6=1, ROUND(FTE_6c_Health_part_time!$H70, 2)&lt;&gt;FTE_6c_Health_part_time!$H70), CONCATENATE("Price group", " ", $B73, ", ", $C73, " ", "Length", ", Level ", $D73, "; "), "")</f>
        <v/>
      </c>
      <c r="F74" s="3072" t="str">
        <f>IF(AND($F$6=1,FTE_6c_Health_part_time!$E70&lt;&gt;0,ABS(FTE_6c_Health_part_time!$H70-FTE_6c_Health_part_time!$E70)&lt;$F$10),CONCATENATE("Price group"," ",$B74,", ",$C74," ","Length",", Level ",$D74,"; "),"")</f>
        <v/>
      </c>
      <c r="G74" s="3029" t="str">
        <f>IF(AND($G$6=1,LEN(FTE_6c_Health_part_time!$J70)&gt;2000), CONCATENATE("Price group", " ", $B74, ", ", $C74, " ", "Length", ", Level ", $D74, "; "), "")</f>
        <v/>
      </c>
      <c r="H74" s="3071" t="str">
        <f>IF(AND($H$6=1,OR(AND(FTE_6c_Health_part_time!$H70=0,FTE_6c_Health_part_time!$J70&lt;&gt;""),AND(FTE_6c_Health_part_time!$H70&lt;&gt;0,FTE_6c_Health_part_time!$J70=""))),CONCATENATE("Price group"," ",$B74,", ",$C74," ","Length",", Level ",$D74,"; "),"")</f>
        <v/>
      </c>
      <c r="I74" s="3071" t="str">
        <f>IF(AND($I$6=1,FTE_6c_Health_part_time!$G70=0,OR(FTE_6c_Health_part_time!$H70&lt;&gt;0,FTE_6c_Health_part_time!$J70&lt;&gt;"")),CONCATENATE("Price group"," ",$B74,", ",$C74," ","Length",", Level ",$D74,"; "),"")</f>
        <v/>
      </c>
      <c r="K74" s="3070" t="s">
        <v>27871</v>
      </c>
      <c r="L74" s="3024">
        <f t="shared" si="0"/>
        <v>0</v>
      </c>
      <c r="M74" s="3025"/>
      <c r="N74" s="3024">
        <f t="shared" si="1"/>
        <v>0</v>
      </c>
    </row>
    <row r="75" spans="1:15" ht="13.15" customHeight="1" x14ac:dyDescent="0.45">
      <c r="A75" s="3021"/>
      <c r="B75" s="3085" t="s">
        <v>27873</v>
      </c>
      <c r="C75" s="3084" t="s">
        <v>204</v>
      </c>
      <c r="D75" s="3077" t="s">
        <v>27769</v>
      </c>
      <c r="E75" s="3072" t="str">
        <f>IF(AND($E$6=1, ROUND(FTE_6c_Health_part_time!$H71, 2)&lt;&gt;FTE_6c_Health_part_time!$H71), CONCATENATE("Price group", " ", $B74, ", ", $C74, " ", "Length", ", Level ", $D74, "; "), "")</f>
        <v/>
      </c>
      <c r="F75" s="3072" t="str">
        <f>IF(AND($F$6=1,FTE_6c_Health_part_time!$E71&lt;&gt;0,ABS(FTE_6c_Health_part_time!$H71-FTE_6c_Health_part_time!$E71)&lt;$F$10),CONCATENATE("Price group"," ",$B75,", ",$C75," ","Length",", Level ",$D75,"; "),"")</f>
        <v/>
      </c>
      <c r="G75" s="3029" t="str">
        <f>IF(AND($G$6=1,LEN(FTE_6c_Health_part_time!$J71)&gt;2000), CONCATENATE("Price group", " ", $B75, ", ", $C75, " ", "Length", ", Level ", $D75, "; "), "")</f>
        <v/>
      </c>
      <c r="H75" s="3072" t="str">
        <f>IF(AND($H$6=1,OR(AND(FTE_6c_Health_part_time!$H71=0,FTE_6c_Health_part_time!$J71&lt;&gt;""),AND(FTE_6c_Health_part_time!$H71&lt;&gt;0,FTE_6c_Health_part_time!$J71=""))),CONCATENATE("Price group"," ",$B75,", ",$C75," ","Length",", Level ",$D75,"; "),"")</f>
        <v/>
      </c>
      <c r="I75" s="3072" t="str">
        <f>IF(AND($I$6=1,FTE_6c_Health_part_time!$G71=0,OR(FTE_6c_Health_part_time!$H71&lt;&gt;0,FTE_6c_Health_part_time!$J71&lt;&gt;"")),CONCATENATE("Price group"," ",$B75,", ",$C75," ","Length",", Level ",$D75,"; "),"")</f>
        <v/>
      </c>
      <c r="K75" s="3083" t="s">
        <v>27873</v>
      </c>
      <c r="L75" s="3024">
        <f t="shared" si="0"/>
        <v>0</v>
      </c>
      <c r="M75" s="3025"/>
      <c r="N75" s="3024">
        <f t="shared" si="1"/>
        <v>0</v>
      </c>
    </row>
    <row r="76" spans="1:15" ht="13.15" customHeight="1" x14ac:dyDescent="0.45">
      <c r="A76" s="3021"/>
      <c r="B76" s="3082" t="s">
        <v>27873</v>
      </c>
      <c r="C76" s="3078" t="s">
        <v>204</v>
      </c>
      <c r="D76" s="3081" t="s">
        <v>210</v>
      </c>
      <c r="E76" s="3072" t="str">
        <f>IF(AND($E$6=1, ROUND(FTE_6c_Health_part_time!$H72, 2)&lt;&gt;FTE_6c_Health_part_time!$H72), CONCATENATE("Price group", " ", $B75, ", ", $C75, " ", "Length", ", Level ", $D75, "; "), "")</f>
        <v/>
      </c>
      <c r="F76" s="3072" t="str">
        <f>IF(AND($F$6=1,FTE_6c_Health_part_time!$E72&lt;&gt;0,ABS(FTE_6c_Health_part_time!$H72-FTE_6c_Health_part_time!$E72)&lt;$F$10),CONCATENATE("Price group"," ",$B76,", ",$C76," ","Length",", Level ",$D76,"; "),"")</f>
        <v/>
      </c>
      <c r="G76" s="3029" t="str">
        <f>IF(AND($G$6=1,LEN(FTE_6c_Health_part_time!$J72)&gt;2000), CONCATENATE("Price group", " ", $B76, ", ", $C76, " ", "Length", ", Level ", $D76, "; "), "")</f>
        <v/>
      </c>
      <c r="H76" s="3089" t="str">
        <f>IF(AND($H$6=1,OR(AND(FTE_6c_Health_part_time!$H72=0,FTE_6c_Health_part_time!$J72&lt;&gt;""),AND(FTE_6c_Health_part_time!$H72&lt;&gt;0,FTE_6c_Health_part_time!$J72=""))),CONCATENATE("Price group"," ",$B76,", ",$C76," ","Length",", Level ",$D76,"; "),"")</f>
        <v/>
      </c>
      <c r="I76" s="3089" t="str">
        <f>IF(AND($I$6=1,FTE_6c_Health_part_time!$G72=0,OR(FTE_6c_Health_part_time!$H72&lt;&gt;0,FTE_6c_Health_part_time!$J72&lt;&gt;"")),CONCATENATE("Price group"," ",$B76,", ",$C76," ","Length",", Level ",$D76,"; "),"")</f>
        <v/>
      </c>
      <c r="K76" s="3080" t="s">
        <v>27873</v>
      </c>
      <c r="L76" s="3024">
        <f t="shared" si="0"/>
        <v>0</v>
      </c>
      <c r="M76" s="3025"/>
      <c r="N76" s="3024">
        <f t="shared" si="1"/>
        <v>0</v>
      </c>
    </row>
    <row r="77" spans="1:15" ht="13.15" customHeight="1" x14ac:dyDescent="0.45">
      <c r="A77" s="3021"/>
      <c r="B77" s="3079" t="s">
        <v>27873</v>
      </c>
      <c r="C77" s="3078" t="s">
        <v>218</v>
      </c>
      <c r="D77" s="3077" t="s">
        <v>27769</v>
      </c>
      <c r="E77" s="3072" t="str">
        <f>IF(AND($E$6=1, ROUND(FTE_6c_Health_part_time!$H73, 2)&lt;&gt;FTE_6c_Health_part_time!$H73), CONCATENATE("Price group", " ", $B76, ", ", $C76, " ", "Length", ", Level ", $D76, "; "), "")</f>
        <v/>
      </c>
      <c r="F77" s="3072" t="str">
        <f>IF(AND($F$6=1,FTE_6c_Health_part_time!$E73&lt;&gt;0,ABS(FTE_6c_Health_part_time!$H73-FTE_6c_Health_part_time!$E73)&lt;$F$10),CONCATENATE("Price group"," ",$B77,", ",$C77," ","Length",", Level ",$D77,"; "),"")</f>
        <v/>
      </c>
      <c r="G77" s="3029" t="str">
        <f>IF(AND($G$6=1,LEN(FTE_6c_Health_part_time!$J73)&gt;2000), CONCATENATE("Price group", " ", $B77, ", ", $C77, " ", "Length", ", Level ", $D77, "; "), "")</f>
        <v/>
      </c>
      <c r="H77" s="3089" t="str">
        <f>IF(AND($H$6=1,OR(AND(FTE_6c_Health_part_time!$H73=0,FTE_6c_Health_part_time!$J73&lt;&gt;""),AND(FTE_6c_Health_part_time!$H73&lt;&gt;0,FTE_6c_Health_part_time!$J73=""))),CONCATENATE("Price group"," ",$B77,", ",$C77," ","Length",", Level ",$D77,"; "),"")</f>
        <v/>
      </c>
      <c r="I77" s="3089" t="str">
        <f>IF(AND($I$6=1,FTE_6c_Health_part_time!$G73=0,OR(FTE_6c_Health_part_time!$H73&lt;&gt;0,FTE_6c_Health_part_time!$J73&lt;&gt;"")),CONCATENATE("Price group"," ",$B77,", ",$C77," ","Length",", Level ",$D77,"; "),"")</f>
        <v/>
      </c>
      <c r="K77" s="3076" t="s">
        <v>27873</v>
      </c>
      <c r="L77" s="3024">
        <f t="shared" si="0"/>
        <v>0</v>
      </c>
      <c r="M77" s="3025"/>
      <c r="N77" s="3024">
        <f t="shared" si="1"/>
        <v>0</v>
      </c>
      <c r="O77" s="2377"/>
    </row>
    <row r="78" spans="1:15" ht="13.15" customHeight="1" x14ac:dyDescent="0.45">
      <c r="A78" s="3021"/>
      <c r="B78" s="3075" t="s">
        <v>27873</v>
      </c>
      <c r="C78" s="3078" t="s">
        <v>218</v>
      </c>
      <c r="D78" s="3073" t="s">
        <v>210</v>
      </c>
      <c r="E78" s="3072" t="str">
        <f>IF(AND($E$6=1, ROUND(FTE_6c_Health_part_time!$H74, 2)&lt;&gt;FTE_6c_Health_part_time!$H74), CONCATENATE("Price group", " ", $B77, ", ", $C77, " ", "Length", ", Level ", $D77, "; "), "")</f>
        <v/>
      </c>
      <c r="F78" s="3072" t="str">
        <f>IF(AND($F$6=1,FTE_6c_Health_part_time!$E74&lt;&gt;0,ABS(FTE_6c_Health_part_time!$H74-FTE_6c_Health_part_time!$E74)&lt;$F$10),CONCATENATE("Price group"," ",$B78,", ",$C78," ","Length",", Level ",$D78,"; "),"")</f>
        <v/>
      </c>
      <c r="G78" s="3029" t="str">
        <f>IF(AND($G$6=1,LEN(FTE_6c_Health_part_time!$J74)&gt;2000), CONCATENATE("Price group", " ", $B78, ", ", $C78, " ", "Length", ", Level ", $D78, "; "), "")</f>
        <v/>
      </c>
      <c r="H78" s="3072" t="str">
        <f>IF(AND($H$6=1,OR(AND(FTE_6c_Health_part_time!$H74=0,FTE_6c_Health_part_time!$J74&lt;&gt;""),AND(FTE_6c_Health_part_time!$H74&lt;&gt;0,FTE_6c_Health_part_time!$J74=""))),CONCATENATE("Price group"," ",$B78,", ",$C78," ","Length",", Level ",$D78,"; "),"")</f>
        <v/>
      </c>
      <c r="I78" s="3072" t="str">
        <f>IF(AND($I$6=1,FTE_6c_Health_part_time!$G74=0,OR(FTE_6c_Health_part_time!$H74&lt;&gt;0,FTE_6c_Health_part_time!$J74&lt;&gt;"")),CONCATENATE("Price group"," ",$B78,", ",$C78," ","Length",", Level ",$D78,"; "),"")</f>
        <v/>
      </c>
      <c r="K78" s="3070" t="s">
        <v>27873</v>
      </c>
      <c r="L78" s="3024">
        <f t="shared" ref="L78:L86" si="2">IF(OR(E78&lt;&gt;"",F78&lt;&gt;"",H78&lt;&gt;"",I78&lt;&gt;""),1,0)</f>
        <v>0</v>
      </c>
      <c r="M78" s="3025"/>
      <c r="N78" s="3024">
        <f t="shared" ref="N78:N86" si="3">IF(OR(G78&lt;&gt;"",H78&lt;&gt;"",I78&lt;&gt;""),1,0)</f>
        <v>0</v>
      </c>
      <c r="O78" s="2377"/>
    </row>
    <row r="79" spans="1:15" ht="13.15" customHeight="1" x14ac:dyDescent="0.45">
      <c r="A79" s="3021"/>
      <c r="B79" s="3085" t="s">
        <v>27875</v>
      </c>
      <c r="C79" s="3084" t="s">
        <v>204</v>
      </c>
      <c r="D79" s="3077" t="s">
        <v>27769</v>
      </c>
      <c r="E79" s="3072" t="str">
        <f>IF(AND($E$6=1, ROUND(FTE_6c_Health_part_time!$H75, 2)&lt;&gt;FTE_6c_Health_part_time!$H75), CONCATENATE("Price group", " ", $B78, ", ", $C78, " ", "Length", ", Level ", $D78, "; "), "")</f>
        <v/>
      </c>
      <c r="F79" s="3072" t="str">
        <f>IF(AND($F$6=1,FTE_6c_Health_part_time!$E75&lt;&gt;0,ABS(FTE_6c_Health_part_time!$H75-FTE_6c_Health_part_time!$E75)&lt;$F$10),CONCATENATE("Price group"," ",$B79,", ",$C79," ","Length",", Level ",$D79,"; "),"")</f>
        <v/>
      </c>
      <c r="G79" s="3029" t="str">
        <f>IF(AND($G$6=1,LEN(FTE_6c_Health_part_time!$J75)&gt;2000), CONCATENATE("Price group", " ", $B79, ", ", $C79, " ", "Length", ", Level ", $D79, "; "), "")</f>
        <v/>
      </c>
      <c r="H79" s="3072" t="str">
        <f>IF(AND($H$6=1,OR(AND(FTE_6c_Health_part_time!$H75=0,FTE_6c_Health_part_time!$J75&lt;&gt;""),AND(FTE_6c_Health_part_time!$H75&lt;&gt;0,FTE_6c_Health_part_time!$J75=""))),CONCATENATE("Price group"," ",$B79,", ",$C79," ","Length",", Level ",$D79,"; "),"")</f>
        <v/>
      </c>
      <c r="I79" s="3072" t="str">
        <f>IF(AND($I$6=1,FTE_6c_Health_part_time!$G75=0,OR(FTE_6c_Health_part_time!$H75&lt;&gt;0,FTE_6c_Health_part_time!$J75&lt;&gt;"")),CONCATENATE("Price group"," ",$B79,", ",$C79," ","Length",", Level ",$D79,"; "),"")</f>
        <v/>
      </c>
      <c r="K79" s="3083" t="s">
        <v>27875</v>
      </c>
      <c r="L79" s="3024">
        <f t="shared" si="2"/>
        <v>0</v>
      </c>
      <c r="M79" s="3025"/>
      <c r="N79" s="3024">
        <f t="shared" si="3"/>
        <v>0</v>
      </c>
      <c r="O79" s="2377"/>
    </row>
    <row r="80" spans="1:15" ht="13.15" customHeight="1" x14ac:dyDescent="0.45">
      <c r="A80" s="3021"/>
      <c r="B80" s="3082" t="s">
        <v>27875</v>
      </c>
      <c r="C80" s="3078" t="s">
        <v>204</v>
      </c>
      <c r="D80" s="3088" t="s">
        <v>210</v>
      </c>
      <c r="E80" s="3072" t="str">
        <f>IF(AND($E$6=1, ROUND(FTE_6c_Health_part_time!$H76, 2)&lt;&gt;FTE_6c_Health_part_time!$H76), CONCATENATE("Price group", " ", $B79, ", ", $C79, " ", "Length", ", Level ", $D79, "; "), "")</f>
        <v/>
      </c>
      <c r="F80" s="3072" t="str">
        <f>IF(AND($F$6=1,FTE_6c_Health_part_time!$E76&lt;&gt;0,ABS(FTE_6c_Health_part_time!$H76-FTE_6c_Health_part_time!$E76)&lt;$F$10),CONCATENATE("Price group"," ",$B80,", ",$C80," ","Length",", Level ",$D80,"; "),"")</f>
        <v/>
      </c>
      <c r="G80" s="3029" t="str">
        <f>IF(AND($G$6=1,LEN(FTE_6c_Health_part_time!$J76)&gt;2000), CONCATENATE("Price group", " ", $B80, ", ", $C80, " ", "Length", ", Level ", $D80, "; "), "")</f>
        <v/>
      </c>
      <c r="H80" s="3087" t="str">
        <f>IF(AND($H$6=1,OR(AND(FTE_6c_Health_part_time!$H76=0,FTE_6c_Health_part_time!$J76&lt;&gt;""),AND(FTE_6c_Health_part_time!$H76&lt;&gt;0,FTE_6c_Health_part_time!$J76=""))),CONCATENATE("Price group"," ",$B80,", ",$C80," ","Length",", Level ",$D80,"; "),"")</f>
        <v/>
      </c>
      <c r="I80" s="3087" t="str">
        <f>IF(AND($I$6=1,FTE_6c_Health_part_time!$G76=0,OR(FTE_6c_Health_part_time!$H76&lt;&gt;0,FTE_6c_Health_part_time!$J76&lt;&gt;"")),CONCATENATE("Price group"," ",$B80,", ",$C80," ","Length",", Level ",$D80,"; "),"")</f>
        <v/>
      </c>
      <c r="K80" s="3080" t="s">
        <v>27875</v>
      </c>
      <c r="L80" s="3024">
        <f t="shared" si="2"/>
        <v>0</v>
      </c>
      <c r="M80" s="3025"/>
      <c r="N80" s="3024">
        <f t="shared" si="3"/>
        <v>0</v>
      </c>
      <c r="O80" s="2377"/>
    </row>
    <row r="81" spans="1:15" ht="13.15" customHeight="1" x14ac:dyDescent="0.45">
      <c r="A81" s="3021"/>
      <c r="B81" s="3079" t="s">
        <v>27875</v>
      </c>
      <c r="C81" s="3078" t="s">
        <v>218</v>
      </c>
      <c r="D81" s="3077" t="s">
        <v>27769</v>
      </c>
      <c r="E81" s="3072" t="str">
        <f>IF(AND($E$6=1, ROUND(FTE_6c_Health_part_time!$H77, 2)&lt;&gt;FTE_6c_Health_part_time!$H77), CONCATENATE("Price group", " ", $B80, ", ", $C80, " ", "Length", ", Level ", $D80, "; "), "")</f>
        <v/>
      </c>
      <c r="F81" s="3072" t="str">
        <f>IF(AND($F$6=1,FTE_6c_Health_part_time!$E77&lt;&gt;0,ABS(FTE_6c_Health_part_time!$H77-FTE_6c_Health_part_time!$E77)&lt;$F$10),CONCATENATE("Price group"," ",$B81,", ",$C81," ","Length",", Level ",$D81,"; "),"")</f>
        <v/>
      </c>
      <c r="G81" s="3029" t="str">
        <f>IF(AND($G$6=1,LEN(FTE_6c_Health_part_time!$J77)&gt;2000), CONCATENATE("Price group", " ", $B81, ", ", $C81, " ", "Length", ", Level ", $D81, "; "), "")</f>
        <v/>
      </c>
      <c r="H81" s="3086" t="str">
        <f>IF(AND($H$6=1,OR(AND(FTE_6c_Health_part_time!$H77=0,FTE_6c_Health_part_time!$J77&lt;&gt;""),AND(FTE_6c_Health_part_time!$H77&lt;&gt;0,FTE_6c_Health_part_time!$J77=""))),CONCATENATE("Price group"," ",$B81,", ",$C81," ","Length",", Level ",$D81,"; "),"")</f>
        <v/>
      </c>
      <c r="I81" s="3086" t="str">
        <f>IF(AND($I$6=1,FTE_6c_Health_part_time!$G77=0,OR(FTE_6c_Health_part_time!$H77&lt;&gt;0,FTE_6c_Health_part_time!$J77&lt;&gt;"")),CONCATENATE("Price group"," ",$B81,", ",$C81," ","Length",", Level ",$D81,"; "),"")</f>
        <v/>
      </c>
      <c r="K81" s="3076" t="s">
        <v>27875</v>
      </c>
      <c r="L81" s="3024">
        <f t="shared" si="2"/>
        <v>0</v>
      </c>
      <c r="M81" s="3025"/>
      <c r="N81" s="3024">
        <f t="shared" si="3"/>
        <v>0</v>
      </c>
      <c r="O81" s="2377"/>
    </row>
    <row r="82" spans="1:15" ht="13.15" customHeight="1" x14ac:dyDescent="0.45">
      <c r="A82" s="3021"/>
      <c r="B82" s="3075" t="s">
        <v>27875</v>
      </c>
      <c r="C82" s="3078" t="s">
        <v>218</v>
      </c>
      <c r="D82" s="3073" t="s">
        <v>210</v>
      </c>
      <c r="E82" s="3072" t="str">
        <f>IF(AND($E$6=1, ROUND(FTE_6c_Health_part_time!$H78, 2)&lt;&gt;FTE_6c_Health_part_time!$H78), CONCATENATE("Price group", " ", $B81, ", ", $C81, " ", "Length", ", Level ", $D81, "; "), "")</f>
        <v/>
      </c>
      <c r="F82" s="3072" t="str">
        <f>IF(AND($F$6=1,FTE_6c_Health_part_time!$E78&lt;&gt;0,ABS(FTE_6c_Health_part_time!$H78-FTE_6c_Health_part_time!$E78)&lt;$F$10),CONCATENATE("Price group"," ",$B82,", ",$C82," ","Length",", Level ",$D82,"; "),"")</f>
        <v/>
      </c>
      <c r="G82" s="3029" t="str">
        <f>IF(AND($G$6=1,LEN(FTE_6c_Health_part_time!$J78)&gt;2000), CONCATENATE("Price group", " ", $B82, ", ", $C82, " ", "Length", ", Level ", $D82, "; "), "")</f>
        <v/>
      </c>
      <c r="H82" s="3071" t="str">
        <f>IF(AND($H$6=1,OR(AND(FTE_6c_Health_part_time!$H78=0,FTE_6c_Health_part_time!$J78&lt;&gt;""),AND(FTE_6c_Health_part_time!$H78&lt;&gt;0,FTE_6c_Health_part_time!$J78=""))),CONCATENATE("Price group"," ",$B82,", ",$C82," ","Length",", Level ",$D82,"; "),"")</f>
        <v/>
      </c>
      <c r="I82" s="3071" t="str">
        <f>IF(AND($I$6=1,FTE_6c_Health_part_time!$G78=0,OR(FTE_6c_Health_part_time!$H78&lt;&gt;0,FTE_6c_Health_part_time!$J78&lt;&gt;"")),CONCATENATE("Price group"," ",$B82,", ",$C82," ","Length",", Level ",$D82,"; "),"")</f>
        <v/>
      </c>
      <c r="K82" s="3070" t="s">
        <v>27875</v>
      </c>
      <c r="L82" s="3024">
        <f t="shared" si="2"/>
        <v>0</v>
      </c>
      <c r="M82" s="3025"/>
      <c r="N82" s="3024">
        <f t="shared" si="3"/>
        <v>0</v>
      </c>
      <c r="O82" s="2377"/>
    </row>
    <row r="83" spans="1:15" ht="13.15" customHeight="1" x14ac:dyDescent="0.45">
      <c r="A83" s="3021"/>
      <c r="B83" s="3085" t="s">
        <v>27877</v>
      </c>
      <c r="C83" s="3084" t="s">
        <v>204</v>
      </c>
      <c r="D83" s="3077" t="s">
        <v>27769</v>
      </c>
      <c r="E83" s="3072" t="str">
        <f>IF(AND($E$6=1, ROUND(FTE_6c_Health_part_time!$H79, 2)&lt;&gt;FTE_6c_Health_part_time!$H79), CONCATENATE("Price group", " ", $B82, ", ", $C82, " ", "Length", ", Level ", $D82, "; "), "")</f>
        <v/>
      </c>
      <c r="F83" s="3072" t="str">
        <f>IF(AND($F$6=1,FTE_6c_Health_part_time!$E79&lt;&gt;0,ABS(FTE_6c_Health_part_time!$H79-FTE_6c_Health_part_time!$E79)&lt;$F$10),CONCATENATE("Price group"," ",$B83,", ",$C83," ","Length",", Level ",$D83,"; "),"")</f>
        <v/>
      </c>
      <c r="G83" s="3029" t="str">
        <f>IF(AND($G$6=1,LEN(FTE_6c_Health_part_time!$J79)&gt;2000), CONCATENATE("Price group", " ", $B83, ", ", $C83, " ", "Length", ", Level ", $D83, "; "), "")</f>
        <v/>
      </c>
      <c r="H83" s="3072" t="str">
        <f>IF(AND($H$6=1,OR(AND(FTE_6c_Health_part_time!$H79=0,FTE_6c_Health_part_time!$J79&lt;&gt;""),AND(FTE_6c_Health_part_time!$H79&lt;&gt;0,FTE_6c_Health_part_time!$J79=""))),CONCATENATE("Price group"," ",$B83,", ",$C83," ","Length",", Level ",$D83,"; "),"")</f>
        <v/>
      </c>
      <c r="I83" s="3072" t="str">
        <f>IF(AND($I$6=1,FTE_6c_Health_part_time!$G79=0,OR(FTE_6c_Health_part_time!$H79&lt;&gt;0,FTE_6c_Health_part_time!$J79&lt;&gt;"")),CONCATENATE("Price group"," ",$B83,", ",$C83," ","Length",", Level ",$D83,"; "),"")</f>
        <v/>
      </c>
      <c r="K83" s="3083" t="s">
        <v>27877</v>
      </c>
      <c r="L83" s="3024">
        <f t="shared" si="2"/>
        <v>0</v>
      </c>
      <c r="M83" s="3025"/>
      <c r="N83" s="3024">
        <f t="shared" si="3"/>
        <v>0</v>
      </c>
      <c r="O83" s="2377"/>
    </row>
    <row r="84" spans="1:15" ht="13.15" customHeight="1" x14ac:dyDescent="0.45">
      <c r="A84" s="3021"/>
      <c r="B84" s="3082" t="s">
        <v>27877</v>
      </c>
      <c r="C84" s="3078" t="s">
        <v>204</v>
      </c>
      <c r="D84" s="3081" t="s">
        <v>210</v>
      </c>
      <c r="E84" s="3072" t="str">
        <f>IF(AND($E$6=1, ROUND(FTE_6c_Health_part_time!$H80, 2)&lt;&gt;FTE_6c_Health_part_time!$H80), CONCATENATE("Price group", " ", $B83, ", ", $C83, " ", "Length", ", Level ", $D83, "; "), "")</f>
        <v/>
      </c>
      <c r="F84" s="3072" t="str">
        <f>IF(AND($F$6=1,FTE_6c_Health_part_time!$E80&lt;&gt;0,ABS(FTE_6c_Health_part_time!$H80-FTE_6c_Health_part_time!$E80)&lt;$F$10),CONCATENATE("Price group"," ",$B84,", ",$C84," ","Length",", Level ",$D84,"; "),"")</f>
        <v/>
      </c>
      <c r="G84" s="3029" t="str">
        <f>IF(AND($G$6=1,LEN(FTE_6c_Health_part_time!$J80)&gt;2000), CONCATENATE("Price group", " ", $B84, ", ", $C84, " ", "Length", ", Level ", $D84, "; "), "")</f>
        <v/>
      </c>
      <c r="H84" s="3072" t="str">
        <f>IF(AND($H$6=1,OR(AND(FTE_6c_Health_part_time!$H80=0,FTE_6c_Health_part_time!$J80&lt;&gt;""),AND(FTE_6c_Health_part_time!$H80&lt;&gt;0,FTE_6c_Health_part_time!$J80=""))),CONCATENATE("Price group"," ",$B84,", ",$C84," ","Length",", Level ",$D84,"; "),"")</f>
        <v/>
      </c>
      <c r="I84" s="3072" t="str">
        <f>IF(AND($I$6=1,FTE_6c_Health_part_time!$G80=0,OR(FTE_6c_Health_part_time!$H80&lt;&gt;0,FTE_6c_Health_part_time!$J80&lt;&gt;"")),CONCATENATE("Price group"," ",$B84,", ",$C84," ","Length",", Level ",$D84,"; "),"")</f>
        <v/>
      </c>
      <c r="K84" s="3080" t="s">
        <v>27877</v>
      </c>
      <c r="L84" s="3024">
        <f t="shared" si="2"/>
        <v>0</v>
      </c>
      <c r="M84" s="3025"/>
      <c r="N84" s="3024">
        <f t="shared" si="3"/>
        <v>0</v>
      </c>
      <c r="O84" s="2377"/>
    </row>
    <row r="85" spans="1:15" ht="13.15" customHeight="1" x14ac:dyDescent="0.45">
      <c r="A85" s="3021"/>
      <c r="B85" s="3079" t="s">
        <v>27877</v>
      </c>
      <c r="C85" s="3078" t="s">
        <v>218</v>
      </c>
      <c r="D85" s="3077" t="s">
        <v>27769</v>
      </c>
      <c r="E85" s="3072" t="str">
        <f>IF(AND($E$6=1, ROUND(FTE_6c_Health_part_time!$H81, 2)&lt;&gt;FTE_6c_Health_part_time!$H81), CONCATENATE("Price group", " ", $B84, ", ", $C84, " ", "Length", ", Level ", $D84, "; "), "")</f>
        <v/>
      </c>
      <c r="F85" s="3072" t="str">
        <f>IF(AND($F$6=1,FTE_6c_Health_part_time!$E81&lt;&gt;0,ABS(FTE_6c_Health_part_time!$H81-FTE_6c_Health_part_time!$E81)&lt;$F$10),CONCATENATE("Price group"," ",$B85,", ",$C85," ","Length",", Level ",$D85,"; "),"")</f>
        <v/>
      </c>
      <c r="G85" s="3029" t="str">
        <f>IF(AND($G$6=1,LEN(FTE_6c_Health_part_time!$J81)&gt;2000), CONCATENATE("Price group", " ", $B85, ", ", $C85, " ", "Length", ", Level ", $D85, "; "), "")</f>
        <v/>
      </c>
      <c r="H85" s="3072" t="str">
        <f>IF(AND($H$6=1,OR(AND(FTE_6c_Health_part_time!$H81=0,FTE_6c_Health_part_time!$J81&lt;&gt;""),AND(FTE_6c_Health_part_time!$H81&lt;&gt;0,FTE_6c_Health_part_time!$J81=""))),CONCATENATE("Price group"," ",$B85,", ",$C85," ","Length",", Level ",$D85,"; "),"")</f>
        <v/>
      </c>
      <c r="I85" s="3072" t="str">
        <f>IF(AND($I$6=1,FTE_6c_Health_part_time!$G81=0,OR(FTE_6c_Health_part_time!$H81&lt;&gt;0,FTE_6c_Health_part_time!$J81&lt;&gt;"")),CONCATENATE("Price group"," ",$B85,", ",$C85," ","Length",", Level ",$D85,"; "),"")</f>
        <v/>
      </c>
      <c r="K85" s="3076" t="s">
        <v>27877</v>
      </c>
      <c r="L85" s="3024">
        <f t="shared" si="2"/>
        <v>0</v>
      </c>
      <c r="M85" s="3025"/>
      <c r="N85" s="3024">
        <f t="shared" si="3"/>
        <v>0</v>
      </c>
      <c r="O85" s="2377"/>
    </row>
    <row r="86" spans="1:15" ht="13.15" customHeight="1" x14ac:dyDescent="0.45">
      <c r="A86" s="3021"/>
      <c r="B86" s="3075" t="s">
        <v>27877</v>
      </c>
      <c r="C86" s="3074" t="s">
        <v>218</v>
      </c>
      <c r="D86" s="3073" t="s">
        <v>210</v>
      </c>
      <c r="E86" s="3072" t="str">
        <f>IF(AND($E$6=1, ROUND(FTE_6c_Health_part_time!$H82, 2)&lt;&gt;FTE_6c_Health_part_time!$H82), CONCATENATE("Price group", " ", $B85, ", ", $C85, " ", "Length", ", Level ", $D85, "; "), "")</f>
        <v/>
      </c>
      <c r="F86" s="3072" t="str">
        <f>IF(AND($F$6=1,FTE_6c_Health_part_time!$E82&lt;&gt;0,ABS(FTE_6c_Health_part_time!$H82-FTE_6c_Health_part_time!$E82)&lt;$F$10),CONCATENATE("Price group"," ",$B86,", ",$C86," ","Length",", Level ",$D86,"; "),"")</f>
        <v/>
      </c>
      <c r="G86" s="3027" t="str">
        <f>IF(AND($G$6=1,LEN(FTE_6c_Health_part_time!$J82)&gt;2000), CONCATENATE("Price group", " ", $B86, ", ", $C86, " ", "Length", ", Level ", $D86, "; "), "")</f>
        <v/>
      </c>
      <c r="H86" s="3072" t="str">
        <f>IF(AND($H$6=1,OR(AND(FTE_6c_Health_part_time!$H82=0,FTE_6c_Health_part_time!$J82&lt;&gt;""),AND(FTE_6c_Health_part_time!$H82&lt;&gt;0,FTE_6c_Health_part_time!$J82=""))),CONCATENATE("Price group"," ",$B86,", ",$C86," ","Length",", Level ",$D86,"; "),"")</f>
        <v/>
      </c>
      <c r="I86" s="3072" t="str">
        <f>IF(AND($I$6=1,FTE_6c_Health_part_time!$G82=0,OR(FTE_6c_Health_part_time!$H82&lt;&gt;0,FTE_6c_Health_part_time!$J82&lt;&gt;"")),CONCATENATE("Price group"," ",$B86,", ",$C86," ","Length",", Level ",$D86,"; "),"")</f>
        <v/>
      </c>
      <c r="K86" s="3070" t="s">
        <v>27877</v>
      </c>
      <c r="L86" s="3024">
        <f t="shared" si="2"/>
        <v>0</v>
      </c>
      <c r="M86" s="3025"/>
      <c r="N86" s="3024">
        <f t="shared" si="3"/>
        <v>0</v>
      </c>
    </row>
    <row r="87" spans="1:15" x14ac:dyDescent="0.45">
      <c r="A87" s="3021"/>
    </row>
    <row r="88" spans="1:15" x14ac:dyDescent="0.45">
      <c r="A88" s="3021"/>
      <c r="E88" s="2377" t="s">
        <v>29639</v>
      </c>
      <c r="F88" s="2377" t="s">
        <v>29638</v>
      </c>
      <c r="G88" s="2377" t="s">
        <v>29637</v>
      </c>
      <c r="H88" s="2377" t="s">
        <v>29636</v>
      </c>
      <c r="I88" s="2377" t="s">
        <v>29635</v>
      </c>
    </row>
    <row r="89" spans="1:15" x14ac:dyDescent="0.45">
      <c r="A89" s="3021"/>
      <c r="B89" s="2270" t="str">
        <f>_xlfn.TEXTJOIN("", TRUE, E13:E86)</f>
        <v/>
      </c>
      <c r="E89" s="3121" t="str">
        <f>_xlfn.TEXTJOIN("",TRUE,E$13:E$86)</f>
        <v/>
      </c>
      <c r="F89" s="3121" t="str">
        <f>_xlfn.TEXTJOIN("",TRUE,F$13:F$86)</f>
        <v/>
      </c>
      <c r="G89" s="3122" t="str">
        <f>_xlfn.TEXTJOIN("",TRUE,G$13:G$86)</f>
        <v/>
      </c>
      <c r="H89" s="3123" t="str">
        <f>_xlfn.TEXTJOIN("",TRUE,H$13:H$86)</f>
        <v/>
      </c>
      <c r="I89" s="3124" t="str">
        <f>_xlfn.TEXTJOIN("",TRUE,I$13:I$86)</f>
        <v/>
      </c>
    </row>
    <row r="90" spans="1:15" x14ac:dyDescent="0.45">
      <c r="A90" s="3021"/>
    </row>
    <row r="91" spans="1:15" x14ac:dyDescent="0.45">
      <c r="A91" s="3021"/>
      <c r="B91" s="3069"/>
      <c r="C91" s="3018"/>
      <c r="D91" s="3018"/>
      <c r="E91" s="3018"/>
      <c r="F91" s="3018"/>
      <c r="G91" s="3018"/>
      <c r="H91" s="3018"/>
      <c r="I91" s="3018"/>
    </row>
    <row r="92" spans="1:15" x14ac:dyDescent="0.45">
      <c r="B92" s="3068"/>
      <c r="C92" s="3068"/>
      <c r="D92" s="3068"/>
      <c r="E92" s="3068"/>
      <c r="F92" s="3068"/>
      <c r="G92" s="3068"/>
      <c r="H92" s="3068"/>
      <c r="I92" s="3068"/>
      <c r="K92" s="3068"/>
    </row>
    <row r="93" spans="1:15" x14ac:dyDescent="0.45">
      <c r="J93" s="3008"/>
    </row>
    <row r="94" spans="1:15" x14ac:dyDescent="0.45">
      <c r="J94" s="3008"/>
    </row>
    <row r="96" spans="1:15" x14ac:dyDescent="0.45">
      <c r="J96" s="3008"/>
    </row>
    <row r="97" spans="10:20" x14ac:dyDescent="0.45">
      <c r="J97" s="3008"/>
    </row>
    <row r="98" spans="10:20" x14ac:dyDescent="0.45">
      <c r="J98" s="3008"/>
    </row>
    <row r="99" spans="10:20" x14ac:dyDescent="0.45">
      <c r="J99" s="3008"/>
    </row>
    <row r="100" spans="10:20" x14ac:dyDescent="0.45">
      <c r="J100" s="3008"/>
    </row>
    <row r="102" spans="10:20" x14ac:dyDescent="0.45">
      <c r="J102" s="3008"/>
    </row>
    <row r="103" spans="10:20" x14ac:dyDescent="0.45">
      <c r="J103" s="3008"/>
    </row>
    <row r="104" spans="10:20" x14ac:dyDescent="0.45">
      <c r="J104" s="3008"/>
    </row>
    <row r="105" spans="10:20" x14ac:dyDescent="0.45">
      <c r="J105" s="3008"/>
    </row>
    <row r="106" spans="10:20" x14ac:dyDescent="0.45">
      <c r="J106" s="3008"/>
    </row>
    <row r="111" spans="10:20" x14ac:dyDescent="0.45">
      <c r="Q111" s="2993"/>
      <c r="R111" s="2993"/>
      <c r="S111" s="2993"/>
      <c r="T111" s="2993"/>
    </row>
    <row r="112" spans="10:20" x14ac:dyDescent="0.45">
      <c r="O112" s="2993"/>
      <c r="P112" s="2993"/>
      <c r="Q112" s="2993"/>
      <c r="R112" s="2993"/>
      <c r="S112" s="2993"/>
      <c r="T112" s="2993"/>
    </row>
    <row r="113" spans="2:40" s="2993" customFormat="1" x14ac:dyDescent="0.45">
      <c r="B113" s="2270"/>
      <c r="C113" s="2270"/>
      <c r="D113" s="2270"/>
      <c r="E113" s="2270"/>
      <c r="F113" s="2270"/>
      <c r="G113" s="2270"/>
      <c r="H113" s="2270"/>
      <c r="I113" s="2270"/>
      <c r="J113" s="2270"/>
      <c r="K113" s="2270"/>
      <c r="L113" s="2270"/>
      <c r="M113" s="2270"/>
      <c r="N113" s="2270"/>
      <c r="O113" s="2270"/>
      <c r="P113" s="2270"/>
      <c r="Q113" s="2270"/>
      <c r="R113" s="2270"/>
      <c r="S113" s="2270"/>
      <c r="T113" s="2270"/>
      <c r="W113" s="2270"/>
      <c r="X113" s="2270"/>
      <c r="Y113" s="2270"/>
      <c r="Z113" s="2270"/>
      <c r="AA113" s="2270"/>
      <c r="AB113" s="2270"/>
      <c r="AC113" s="2270"/>
      <c r="AD113" s="2270"/>
      <c r="AE113" s="2270"/>
      <c r="AF113" s="2270"/>
      <c r="AG113" s="2270"/>
      <c r="AH113" s="2270"/>
      <c r="AI113" s="2270"/>
      <c r="AJ113" s="2270"/>
      <c r="AK113" s="2270"/>
      <c r="AL113" s="2270"/>
      <c r="AM113" s="2270"/>
      <c r="AN113" s="2270"/>
    </row>
    <row r="114" spans="2:40" s="2993" customFormat="1" x14ac:dyDescent="0.45">
      <c r="B114" s="2270"/>
      <c r="C114" s="2270"/>
      <c r="D114" s="2270"/>
      <c r="E114" s="2270"/>
      <c r="F114" s="2270"/>
      <c r="G114" s="2270"/>
      <c r="H114" s="2270"/>
      <c r="I114" s="2270"/>
      <c r="K114" s="2270"/>
      <c r="L114" s="2270"/>
      <c r="M114" s="2270"/>
      <c r="N114" s="2270"/>
      <c r="O114" s="2270"/>
      <c r="P114" s="2270"/>
      <c r="Q114" s="2270"/>
      <c r="R114" s="2270"/>
      <c r="S114" s="2270"/>
      <c r="T114" s="2270"/>
      <c r="W114" s="2270"/>
      <c r="X114" s="2270"/>
      <c r="Y114" s="2270"/>
      <c r="Z114" s="2270"/>
      <c r="AA114" s="2270"/>
      <c r="AB114" s="2270"/>
      <c r="AC114" s="2270"/>
      <c r="AD114" s="2270"/>
      <c r="AE114" s="2270"/>
      <c r="AF114" s="2270"/>
      <c r="AG114" s="2270"/>
      <c r="AH114" s="2270"/>
      <c r="AI114" s="2270"/>
      <c r="AJ114" s="2270"/>
      <c r="AK114" s="2270"/>
      <c r="AL114" s="2270"/>
      <c r="AM114" s="2270"/>
      <c r="AN114" s="2270"/>
    </row>
    <row r="115" spans="2:40" ht="13.5" customHeight="1" x14ac:dyDescent="0.45"/>
    <row r="116" spans="2:40" ht="13.5" customHeight="1" x14ac:dyDescent="0.45"/>
    <row r="118" spans="2:40" ht="12.75" customHeight="1" x14ac:dyDescent="0.45"/>
    <row r="130" ht="12.75" customHeight="1" x14ac:dyDescent="0.45"/>
    <row r="131" ht="12.75" customHeight="1" x14ac:dyDescent="0.45"/>
    <row r="132" ht="12.75" customHeight="1" x14ac:dyDescent="0.45"/>
    <row r="133" ht="12.75" customHeight="1" x14ac:dyDescent="0.45"/>
    <row r="134" ht="12.75" customHeight="1" x14ac:dyDescent="0.45"/>
    <row r="135" ht="12.75" customHeight="1" x14ac:dyDescent="0.45"/>
    <row r="136" ht="12.75" customHeight="1" x14ac:dyDescent="0.45"/>
    <row r="137" ht="12.75" customHeight="1" x14ac:dyDescent="0.45"/>
    <row r="138" ht="12.75" customHeight="1" x14ac:dyDescent="0.45"/>
    <row r="139" ht="12.75" customHeight="1" x14ac:dyDescent="0.45"/>
    <row r="140" ht="12.75" customHeight="1" x14ac:dyDescent="0.45"/>
    <row r="141" ht="12.75" customHeight="1" x14ac:dyDescent="0.45"/>
    <row r="142" ht="12.75" customHeight="1" x14ac:dyDescent="0.45"/>
    <row r="143" ht="12.75" customHeight="1" x14ac:dyDescent="0.45"/>
    <row r="144" ht="12.75" customHeight="1" x14ac:dyDescent="0.45"/>
    <row r="145" ht="12.75" customHeight="1" x14ac:dyDescent="0.45"/>
    <row r="146" ht="12.75" customHeight="1" x14ac:dyDescent="0.45"/>
    <row r="147" ht="12.75" customHeight="1" x14ac:dyDescent="0.45"/>
    <row r="148" ht="12.75" customHeight="1" x14ac:dyDescent="0.45"/>
    <row r="149" ht="12.75" customHeight="1" x14ac:dyDescent="0.45"/>
    <row r="150" ht="12.75" customHeight="1" x14ac:dyDescent="0.45"/>
    <row r="151" ht="12.75" customHeight="1" x14ac:dyDescent="0.45"/>
    <row r="152" ht="12.75" customHeight="1" x14ac:dyDescent="0.45"/>
    <row r="153" ht="12.75" customHeight="1" x14ac:dyDescent="0.45"/>
    <row r="154" ht="12.75" customHeight="1" x14ac:dyDescent="0.45"/>
    <row r="155" ht="12.75" customHeight="1" x14ac:dyDescent="0.45"/>
    <row r="156" ht="12.75" customHeight="1" x14ac:dyDescent="0.45"/>
    <row r="157" ht="12.75" customHeight="1" x14ac:dyDescent="0.45"/>
    <row r="158" ht="12.75" customHeight="1" x14ac:dyDescent="0.45"/>
    <row r="159" ht="12.75" customHeight="1" x14ac:dyDescent="0.45"/>
    <row r="160" ht="12.75" customHeight="1" x14ac:dyDescent="0.45"/>
    <row r="161" ht="12.75" customHeight="1" x14ac:dyDescent="0.45"/>
    <row r="162" ht="12.75" customHeight="1" x14ac:dyDescent="0.45"/>
    <row r="163" ht="12.75" customHeight="1" x14ac:dyDescent="0.45"/>
    <row r="164" ht="12.75" customHeight="1" x14ac:dyDescent="0.45"/>
    <row r="165" ht="12.75" customHeight="1" x14ac:dyDescent="0.45"/>
    <row r="166" ht="12.75" customHeight="1" x14ac:dyDescent="0.45"/>
    <row r="167" ht="12.75" customHeight="1" x14ac:dyDescent="0.45"/>
    <row r="168" ht="12.75" customHeight="1" x14ac:dyDescent="0.45"/>
    <row r="169" ht="12.75" customHeight="1" x14ac:dyDescent="0.45"/>
    <row r="179" ht="13.5" customHeight="1" x14ac:dyDescent="0.45"/>
    <row r="180" ht="13.5" customHeight="1" x14ac:dyDescent="0.45"/>
    <row r="181" ht="13.5" customHeight="1" x14ac:dyDescent="0.45"/>
    <row r="182" ht="13.5" customHeight="1" x14ac:dyDescent="0.45"/>
    <row r="183" ht="13.5" customHeight="1" x14ac:dyDescent="0.45"/>
    <row r="184" ht="13.5" customHeight="1" x14ac:dyDescent="0.45"/>
    <row r="185" ht="13.5" customHeight="1" x14ac:dyDescent="0.45"/>
    <row r="186" ht="13.5" customHeight="1" x14ac:dyDescent="0.45"/>
    <row r="187" ht="13.5" customHeight="1" x14ac:dyDescent="0.45"/>
    <row r="188" ht="13.5" customHeight="1" x14ac:dyDescent="0.45"/>
    <row r="189" ht="13.5" customHeight="1" x14ac:dyDescent="0.45"/>
    <row r="190" ht="13.5" customHeight="1" x14ac:dyDescent="0.45"/>
    <row r="191" ht="13.5" customHeight="1" x14ac:dyDescent="0.45"/>
    <row r="192" ht="13.5" customHeight="1" x14ac:dyDescent="0.45"/>
    <row r="193" ht="13.5" customHeight="1" x14ac:dyDescent="0.45"/>
    <row r="194" ht="13.5" customHeight="1" x14ac:dyDescent="0.45"/>
    <row r="195" ht="13.5" customHeight="1" x14ac:dyDescent="0.45"/>
    <row r="196" ht="13.5" customHeight="1" x14ac:dyDescent="0.45"/>
    <row r="197" ht="13.5" customHeight="1" x14ac:dyDescent="0.45"/>
    <row r="198" ht="12.75" customHeight="1" x14ac:dyDescent="0.45"/>
    <row r="199" ht="13.5" customHeight="1" x14ac:dyDescent="0.45"/>
    <row r="200" ht="13.5" customHeight="1" x14ac:dyDescent="0.45"/>
    <row r="201" ht="13.5" customHeight="1" x14ac:dyDescent="0.45"/>
    <row r="202" ht="13.5" customHeight="1" x14ac:dyDescent="0.45"/>
    <row r="203" ht="13.5" customHeight="1" x14ac:dyDescent="0.45"/>
    <row r="204" ht="13.5" customHeight="1" x14ac:dyDescent="0.45"/>
    <row r="205" ht="13.5" customHeight="1" x14ac:dyDescent="0.45"/>
    <row r="206" ht="13.5" customHeight="1" x14ac:dyDescent="0.45"/>
    <row r="207" ht="13.5" customHeight="1" x14ac:dyDescent="0.45"/>
    <row r="208" ht="13.5" customHeight="1" x14ac:dyDescent="0.45"/>
    <row r="209" ht="13.5" customHeight="1" x14ac:dyDescent="0.45"/>
    <row r="210" ht="13.5" customHeight="1" x14ac:dyDescent="0.45"/>
    <row r="211" ht="13.5" customHeight="1" x14ac:dyDescent="0.45"/>
    <row r="212" ht="13.5" customHeight="1" x14ac:dyDescent="0.45"/>
    <row r="213" ht="13.5" customHeight="1" x14ac:dyDescent="0.45"/>
    <row r="214" ht="13.5" customHeight="1" x14ac:dyDescent="0.45"/>
    <row r="215" ht="13.5" customHeight="1" x14ac:dyDescent="0.45"/>
    <row r="216" ht="13.5" customHeight="1" x14ac:dyDescent="0.45"/>
    <row r="217" ht="13.5" customHeight="1" x14ac:dyDescent="0.45"/>
    <row r="218" ht="13.5" customHeight="1" x14ac:dyDescent="0.45"/>
    <row r="219" ht="13.5" customHeight="1" x14ac:dyDescent="0.45"/>
    <row r="220" ht="13.5" customHeight="1" x14ac:dyDescent="0.45"/>
    <row r="221" ht="13.5" customHeight="1" x14ac:dyDescent="0.45"/>
    <row r="222" ht="13.5" customHeight="1" x14ac:dyDescent="0.45"/>
    <row r="223" ht="13.5" customHeight="1" x14ac:dyDescent="0.45"/>
    <row r="224" ht="13.5" customHeight="1" x14ac:dyDescent="0.45"/>
    <row r="225" ht="13.5" customHeight="1" x14ac:dyDescent="0.45"/>
    <row r="226" ht="13.5" customHeight="1" x14ac:dyDescent="0.45"/>
    <row r="227" ht="13.5" customHeight="1" x14ac:dyDescent="0.45"/>
    <row r="228" ht="13.5" customHeight="1" x14ac:dyDescent="0.45"/>
    <row r="229" ht="13.5" customHeight="1" x14ac:dyDescent="0.45"/>
    <row r="230" ht="13.5" customHeight="1" x14ac:dyDescent="0.45"/>
    <row r="231" ht="13.5" customHeight="1" x14ac:dyDescent="0.45"/>
    <row r="232" ht="13.5" customHeight="1" x14ac:dyDescent="0.45"/>
    <row r="233" ht="13.5" customHeight="1" x14ac:dyDescent="0.45"/>
    <row r="234" ht="13.5" customHeight="1" x14ac:dyDescent="0.45"/>
    <row r="235" ht="13.5" customHeight="1" x14ac:dyDescent="0.45"/>
    <row r="236" ht="13.5" customHeight="1" x14ac:dyDescent="0.45"/>
    <row r="237" ht="13.5" customHeight="1" x14ac:dyDescent="0.45"/>
    <row r="238" ht="13.5" customHeight="1" x14ac:dyDescent="0.45"/>
    <row r="239" ht="13.5" customHeight="1" x14ac:dyDescent="0.45"/>
    <row r="240" ht="13.5" customHeight="1" x14ac:dyDescent="0.45"/>
    <row r="241" ht="13.5" customHeight="1" x14ac:dyDescent="0.45"/>
    <row r="242" ht="13.5" customHeight="1" x14ac:dyDescent="0.45"/>
    <row r="243" ht="13.5" customHeight="1" x14ac:dyDescent="0.45"/>
    <row r="244" ht="13.5" customHeight="1" x14ac:dyDescent="0.45"/>
    <row r="245" ht="13.5" customHeight="1" x14ac:dyDescent="0.45"/>
    <row r="246" ht="13.5" customHeight="1" x14ac:dyDescent="0.45"/>
    <row r="247" ht="13.5" customHeight="1" x14ac:dyDescent="0.45"/>
    <row r="248" ht="13.5" customHeight="1" x14ac:dyDescent="0.45"/>
    <row r="249" ht="13.5" customHeight="1" x14ac:dyDescent="0.45"/>
    <row r="250" ht="13.5" customHeight="1" x14ac:dyDescent="0.45"/>
    <row r="251" ht="13.5" customHeight="1" x14ac:dyDescent="0.45"/>
    <row r="252" ht="13.5" customHeight="1" x14ac:dyDescent="0.45"/>
    <row r="253" ht="13.5" customHeight="1" x14ac:dyDescent="0.45"/>
  </sheetData>
  <sheetProtection algorithmName="SHA-512" hashValue="sMRKdsZYzlwvEOmsWwCgYGOuYheoGY+3oBEubmy5STuJPo9kI+wVQarjLVzPmTPqe5D6gksoawKegjv/2IsLKA==" saltValue="Il94/75rohcH+Lz2B9L86A==" spinCount="100000" sheet="1" objects="1" scenarios="1"/>
  <conditionalFormatting sqref="L13:N86">
    <cfRule type="cellIs" dxfId="6" priority="1" operator="equal">
      <formula>0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5665-5AF8-4974-B3BE-9B04FC3EA051}">
  <sheetPr codeName="Sheet49">
    <tabColor theme="9" tint="0.39997558519241921"/>
    <pageSetUpPr fitToPage="1"/>
  </sheetPr>
  <dimension ref="A1:I27"/>
  <sheetViews>
    <sheetView showGridLines="0" workbookViewId="0"/>
  </sheetViews>
  <sheetFormatPr defaultColWidth="9" defaultRowHeight="13.15" x14ac:dyDescent="0.35"/>
  <cols>
    <col min="1" max="1" width="63.265625" style="2477" customWidth="1"/>
    <col min="2" max="2" width="22.86328125" style="2477" customWidth="1"/>
    <col min="3" max="4" width="22.86328125" style="2478" customWidth="1"/>
    <col min="5" max="5" width="16.86328125" style="2478" customWidth="1"/>
    <col min="6" max="6" width="10.86328125" style="2477" customWidth="1"/>
    <col min="7" max="7" width="22" style="2477" hidden="1" customWidth="1"/>
    <col min="8" max="8" width="16" style="2477" customWidth="1"/>
    <col min="9" max="10" width="9" style="2477" customWidth="1"/>
    <col min="11" max="16384" width="9" style="2477"/>
  </cols>
  <sheetData>
    <row r="1" spans="1:9" ht="25.15" x14ac:dyDescent="0.4">
      <c r="A1" s="636" t="s">
        <v>29801</v>
      </c>
      <c r="B1" s="636"/>
      <c r="C1" s="2525"/>
      <c r="D1" s="2525"/>
      <c r="G1" s="2526"/>
      <c r="H1" s="2524"/>
    </row>
    <row r="2" spans="1:9" ht="19.5" customHeight="1" x14ac:dyDescent="0.4">
      <c r="A2" s="637" t="str">
        <f>IF(PROVIDER="","Provider name",PROVIDER&amp;" ("&amp;UKPRN&amp;")")</f>
        <v>Provider name</v>
      </c>
      <c r="B2" s="2525"/>
      <c r="C2" s="2525"/>
      <c r="D2" s="2525"/>
      <c r="H2" s="2524"/>
      <c r="I2" s="2524"/>
    </row>
    <row r="3" spans="1:9" s="2270" customFormat="1" ht="22.5" customHeight="1" x14ac:dyDescent="0.45"/>
    <row r="4" spans="1:9" s="2520" customFormat="1" ht="39" customHeight="1" x14ac:dyDescent="0.4">
      <c r="A4" s="2523" t="s">
        <v>29450</v>
      </c>
      <c r="B4" s="2523"/>
      <c r="C4" s="2522"/>
      <c r="D4" s="2523"/>
      <c r="E4" s="2522"/>
      <c r="F4" s="2521"/>
    </row>
    <row r="5" spans="1:9" ht="81" customHeight="1" x14ac:dyDescent="0.35">
      <c r="A5" s="2519" t="s">
        <v>29449</v>
      </c>
      <c r="B5" s="2518" t="s">
        <v>29676</v>
      </c>
      <c r="C5" s="2517" t="str">
        <f>"Funding modelled using representation FTEs for 2025-26 funding (£)"</f>
        <v>Funding modelled using representation FTEs for 2025-26 funding (£)</v>
      </c>
      <c r="D5" s="2516" t="s">
        <v>29448</v>
      </c>
      <c r="E5" s="2477"/>
      <c r="G5" s="2512" t="s">
        <v>29447</v>
      </c>
    </row>
    <row r="6" spans="1:9" ht="32.25" customHeight="1" x14ac:dyDescent="0.35">
      <c r="A6" s="2515" t="s">
        <v>29446</v>
      </c>
      <c r="B6" s="2514"/>
      <c r="C6" s="2514"/>
      <c r="D6" s="2513"/>
      <c r="E6" s="2477"/>
      <c r="G6" s="2512"/>
    </row>
    <row r="7" spans="1:9" s="2480" customFormat="1" ht="21.75" customHeight="1" x14ac:dyDescent="0.35">
      <c r="A7" s="2511" t="s">
        <v>29445</v>
      </c>
      <c r="B7" s="2495">
        <v>0</v>
      </c>
      <c r="C7" s="2495">
        <f>B_High_cost!G77</f>
        <v>0</v>
      </c>
      <c r="D7" s="2494">
        <f t="shared" ref="D7:D16" si="0">ROUND(C7-B7,0)</f>
        <v>0</v>
      </c>
      <c r="G7" s="2481" t="s">
        <v>29444</v>
      </c>
    </row>
    <row r="8" spans="1:9" s="2480" customFormat="1" ht="21.75" customHeight="1" x14ac:dyDescent="0.35">
      <c r="A8" s="2508" t="s">
        <v>29443</v>
      </c>
      <c r="B8" s="2507">
        <v>0</v>
      </c>
      <c r="C8" s="2507">
        <f>C_NMAH_supplement!J46</f>
        <v>0</v>
      </c>
      <c r="D8" s="2506">
        <f t="shared" si="0"/>
        <v>0</v>
      </c>
      <c r="F8" s="2509"/>
      <c r="G8" s="2481" t="s">
        <v>29442</v>
      </c>
    </row>
    <row r="9" spans="1:9" s="2480" customFormat="1" ht="21.75" customHeight="1" x14ac:dyDescent="0.35">
      <c r="A9" s="2510" t="s">
        <v>29441</v>
      </c>
      <c r="B9" s="2507">
        <v>0</v>
      </c>
      <c r="C9" s="2507">
        <f>B9</f>
        <v>0</v>
      </c>
      <c r="D9" s="2506">
        <f t="shared" si="0"/>
        <v>0</v>
      </c>
      <c r="G9" s="2481" t="s">
        <v>29440</v>
      </c>
    </row>
    <row r="10" spans="1:9" s="2480" customFormat="1" ht="21.75" customHeight="1" x14ac:dyDescent="0.35">
      <c r="A10" s="2508" t="s">
        <v>29439</v>
      </c>
      <c r="B10" s="2507">
        <v>0</v>
      </c>
      <c r="C10" s="2507">
        <f>D_Overseas!M9</f>
        <v>0</v>
      </c>
      <c r="D10" s="2506">
        <f t="shared" si="0"/>
        <v>0</v>
      </c>
      <c r="F10" s="2509"/>
      <c r="G10" s="2481" t="s">
        <v>29438</v>
      </c>
    </row>
    <row r="11" spans="1:9" s="2480" customFormat="1" ht="21.75" customHeight="1" x14ac:dyDescent="0.35">
      <c r="A11" s="2508" t="s">
        <v>29437</v>
      </c>
      <c r="B11" s="2507">
        <v>0</v>
      </c>
      <c r="C11" s="2507">
        <f>E_Other_high_cost_TAs!J142</f>
        <v>0</v>
      </c>
      <c r="D11" s="2506">
        <f t="shared" si="0"/>
        <v>0</v>
      </c>
      <c r="G11" s="2481" t="s">
        <v>29436</v>
      </c>
    </row>
    <row r="12" spans="1:9" s="2480" customFormat="1" ht="21.75" customHeight="1" x14ac:dyDescent="0.35">
      <c r="A12" s="2508" t="s">
        <v>29435</v>
      </c>
      <c r="B12" s="2507">
        <v>0</v>
      </c>
      <c r="C12" s="2507">
        <f>E_Other_high_cost_TAs!K142</f>
        <v>0</v>
      </c>
      <c r="D12" s="2506">
        <f t="shared" si="0"/>
        <v>0</v>
      </c>
      <c r="G12" s="2481" t="s">
        <v>29434</v>
      </c>
    </row>
    <row r="13" spans="1:9" s="2480" customFormat="1" ht="21.75" customHeight="1" x14ac:dyDescent="0.35">
      <c r="A13" s="2508" t="s">
        <v>29433</v>
      </c>
      <c r="B13" s="2507">
        <v>0</v>
      </c>
      <c r="C13" s="2507">
        <f>E_Other_high_cost_TAs!L142</f>
        <v>0</v>
      </c>
      <c r="D13" s="2506">
        <f t="shared" si="0"/>
        <v>0</v>
      </c>
      <c r="G13" s="2481" t="s">
        <v>29432</v>
      </c>
    </row>
    <row r="14" spans="1:9" s="2480" customFormat="1" ht="21.75" customHeight="1" x14ac:dyDescent="0.35">
      <c r="A14" s="2505" t="s">
        <v>29431</v>
      </c>
      <c r="B14" s="2495">
        <v>0</v>
      </c>
      <c r="C14" s="2495">
        <f>B14</f>
        <v>0</v>
      </c>
      <c r="D14" s="2494">
        <f t="shared" si="0"/>
        <v>0</v>
      </c>
      <c r="G14" s="2481" t="s">
        <v>29430</v>
      </c>
    </row>
    <row r="15" spans="1:9" s="2480" customFormat="1" ht="21.75" customHeight="1" x14ac:dyDescent="0.35">
      <c r="A15" s="2505" t="s">
        <v>29429</v>
      </c>
      <c r="B15" s="2495">
        <v>0</v>
      </c>
      <c r="C15" s="2495">
        <f>B15</f>
        <v>0</v>
      </c>
      <c r="D15" s="2494">
        <f t="shared" si="0"/>
        <v>0</v>
      </c>
      <c r="G15" s="2481" t="s">
        <v>29428</v>
      </c>
    </row>
    <row r="16" spans="1:9" s="2480" customFormat="1" ht="21.75" customHeight="1" x14ac:dyDescent="0.35">
      <c r="A16" s="2505" t="s">
        <v>29427</v>
      </c>
      <c r="B16" s="2495">
        <v>0</v>
      </c>
      <c r="C16" s="2495">
        <f>B16</f>
        <v>0</v>
      </c>
      <c r="D16" s="2494">
        <f t="shared" si="0"/>
        <v>0</v>
      </c>
      <c r="G16" s="2481" t="s">
        <v>29426</v>
      </c>
    </row>
    <row r="17" spans="1:7" s="2480" customFormat="1" ht="21.75" customHeight="1" x14ac:dyDescent="0.35">
      <c r="A17" s="2504" t="s">
        <v>29425</v>
      </c>
      <c r="B17" s="2503" t="s">
        <v>29424</v>
      </c>
      <c r="C17" s="2503" t="s">
        <v>29424</v>
      </c>
      <c r="D17" s="2502" t="s">
        <v>29423</v>
      </c>
    </row>
    <row r="18" spans="1:7" s="2480" customFormat="1" ht="27" customHeight="1" x14ac:dyDescent="0.35">
      <c r="A18" s="2489" t="s">
        <v>29422</v>
      </c>
      <c r="B18" s="2501">
        <v>0</v>
      </c>
      <c r="C18" s="2501">
        <f>SUM(C7:C16)</f>
        <v>0</v>
      </c>
      <c r="D18" s="2487">
        <f>ROUND(C18-B18,0)</f>
        <v>0</v>
      </c>
      <c r="G18" s="2481" t="s">
        <v>29421</v>
      </c>
    </row>
    <row r="19" spans="1:7" s="2480" customFormat="1" ht="32.25" customHeight="1" x14ac:dyDescent="0.35">
      <c r="A19" s="2500" t="s">
        <v>29420</v>
      </c>
      <c r="B19" s="2499"/>
      <c r="C19" s="2499"/>
      <c r="D19" s="2498"/>
    </row>
    <row r="20" spans="1:7" s="2480" customFormat="1" ht="21.75" customHeight="1" x14ac:dyDescent="0.35">
      <c r="A20" s="2497" t="s">
        <v>29419</v>
      </c>
      <c r="B20" s="2495">
        <v>0</v>
      </c>
      <c r="C20" s="2495">
        <f>SUM(F_Student_access_and_success!C27,F_Student_access_and_success!C49)</f>
        <v>0</v>
      </c>
      <c r="D20" s="2494">
        <f t="shared" ref="D20:D25" si="1">ROUND(C20-B20,0)</f>
        <v>0</v>
      </c>
      <c r="G20" s="2481" t="s">
        <v>29418</v>
      </c>
    </row>
    <row r="21" spans="1:7" s="2480" customFormat="1" ht="21.75" customHeight="1" x14ac:dyDescent="0.35">
      <c r="A21" s="2496" t="s">
        <v>29417</v>
      </c>
      <c r="B21" s="2495">
        <v>0</v>
      </c>
      <c r="C21" s="2495">
        <f>F_Student_access_and_success!C55</f>
        <v>0</v>
      </c>
      <c r="D21" s="2494">
        <f t="shared" si="1"/>
        <v>0</v>
      </c>
      <c r="G21" s="2493" t="s">
        <v>29416</v>
      </c>
    </row>
    <row r="22" spans="1:7" s="2480" customFormat="1" ht="21.75" customHeight="1" x14ac:dyDescent="0.35">
      <c r="A22" s="2496" t="s">
        <v>29415</v>
      </c>
      <c r="B22" s="2495">
        <v>0</v>
      </c>
      <c r="C22" s="2495">
        <f>F_Student_access_and_success!C71</f>
        <v>1000</v>
      </c>
      <c r="D22" s="2494">
        <f t="shared" si="1"/>
        <v>1000</v>
      </c>
      <c r="G22" s="2493" t="s">
        <v>29414</v>
      </c>
    </row>
    <row r="23" spans="1:7" s="2480" customFormat="1" ht="21.75" customHeight="1" x14ac:dyDescent="0.35">
      <c r="A23" s="2492" t="s">
        <v>29413</v>
      </c>
      <c r="B23" s="2491">
        <v>0</v>
      </c>
      <c r="C23" s="2491">
        <f>B23</f>
        <v>0</v>
      </c>
      <c r="D23" s="2490">
        <f t="shared" si="1"/>
        <v>0</v>
      </c>
      <c r="G23" s="2486" t="s">
        <v>29412</v>
      </c>
    </row>
    <row r="24" spans="1:7" s="2480" customFormat="1" ht="27" customHeight="1" x14ac:dyDescent="0.35">
      <c r="A24" s="2489" t="s">
        <v>29411</v>
      </c>
      <c r="B24" s="2488">
        <v>0</v>
      </c>
      <c r="C24" s="2488">
        <f>SUM(C20:C23)</f>
        <v>1000</v>
      </c>
      <c r="D24" s="2487">
        <f t="shared" si="1"/>
        <v>1000</v>
      </c>
      <c r="G24" s="2486" t="s">
        <v>29410</v>
      </c>
    </row>
    <row r="25" spans="1:7" s="2480" customFormat="1" ht="27" customHeight="1" x14ac:dyDescent="0.35">
      <c r="A25" s="2485" t="s">
        <v>29409</v>
      </c>
      <c r="B25" s="2484">
        <v>0</v>
      </c>
      <c r="C25" s="2484">
        <f>SUM(C18,C24)</f>
        <v>1000</v>
      </c>
      <c r="D25" s="2483">
        <f t="shared" si="1"/>
        <v>1000</v>
      </c>
      <c r="E25" s="2482"/>
      <c r="G25" s="2481" t="s">
        <v>29408</v>
      </c>
    </row>
    <row r="27" spans="1:7" ht="14.25" hidden="1" x14ac:dyDescent="0.45">
      <c r="B27" s="2479" t="s">
        <v>29407</v>
      </c>
      <c r="C27" s="2270"/>
      <c r="D27" s="2479" t="s">
        <v>29406</v>
      </c>
    </row>
  </sheetData>
  <sheetProtection algorithmName="SHA-512" hashValue="AExAmQgu8mK9jRIuGp/cRsXtKfhaoLpCaNWEe+fCfZHgDRbbOQ8WpWQw3wUs9LI2IrU1ZV8pgZ/nyiizVBWDxw==" saltValue="5PgNlbNzC5QmCEukPcY5Wg==" spinCount="100000" sheet="1" objects="1" scenarios="1"/>
  <conditionalFormatting sqref="B7:D25">
    <cfRule type="cellIs" dxfId="5" priority="1" operator="equal">
      <formula>0</formula>
    </cfRule>
  </conditionalFormatting>
  <hyperlinks>
    <hyperlink ref="A20" location="F_Student_access_and_success!A7" display="Premium to support successful student outcomes: full-time" xr:uid="{D6D682AA-C5B6-4AF3-9173-4F042D31B2A4}"/>
    <hyperlink ref="A21" location="F_Student_access_and_success!A51" display="Premium to support successful student outcomes: part-time" xr:uid="{887F4352-9EBB-4086-B045-079FBCAA1468}"/>
    <hyperlink ref="A10" location="D_Overseas!A1" display="Overseas study programmes" xr:uid="{A1B3CA2A-B4B2-4900-AF18-0BA25E911D46}"/>
    <hyperlink ref="A8" location="C_NMAH_supplement!A1" display="Nursing, midwifery and allied health supplement" xr:uid="{6BD29367-4E9F-4F39-BEB6-BFB8F7FB573B}"/>
    <hyperlink ref="A11" location="E_Other_high_cost_TAs!A1" display="Postgraduate taught supplement" xr:uid="{4CB4348B-BF21-4A3E-8F07-C4B5F803A501}"/>
    <hyperlink ref="A12" location="E_Other_high_cost_TAs!A1" display="Intensive postgraduate provision" xr:uid="{873695CB-A0F2-4343-B1F1-C060463369E4}"/>
    <hyperlink ref="A13" location="E_Other_high_cost_TAs!A1" display="Accelerated full-time undergraduate provision" xr:uid="{B07AD3BE-C478-4BB3-84F1-13CD26E4C46A}"/>
    <hyperlink ref="A7" location="B_High_cost!A1" display="High-cost subject funding" xr:uid="{581C86F1-9496-42F2-93C5-F53EF63513CC}"/>
    <hyperlink ref="A22" location="F_Student_access_and_success!A57" display="Disabled students' premium" xr:uid="{A9A6E766-BC49-4A07-8BA4-D37B4EFC69B4}"/>
    <hyperlink ref="A23" location="F_Student_access_and_success!A73" display="Premium for student transitions and mental health" xr:uid="{EC456916-3D82-4B5C-8FCA-2E4A2788C9D8}"/>
    <hyperlink ref="A4" r:id="rId1" display="Please see Appendix 5 for additional information about these tables: Appendix 5" xr:uid="{6ABD6001-E87E-428A-A466-553024DC6F21}"/>
  </hyperlinks>
  <pageMargins left="0.70866141732283472" right="0.70866141732283472" top="0.74803149606299213" bottom="0.74803149606299213" header="0.31496062992125984" footer="0.31496062992125984"/>
  <pageSetup paperSize="9" scale="72" orientation="landscape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4CF2-D792-44CF-979C-B526502D0E5E}">
  <sheetPr codeName="Sheet50">
    <tabColor theme="9" tint="0.39997558519241921"/>
    <pageSetUpPr fitToPage="1"/>
  </sheetPr>
  <dimension ref="A1:W79"/>
  <sheetViews>
    <sheetView showGridLines="0" workbookViewId="0"/>
  </sheetViews>
  <sheetFormatPr defaultColWidth="9" defaultRowHeight="13.15" x14ac:dyDescent="0.35"/>
  <cols>
    <col min="1" max="1" width="12.73046875" style="2477" customWidth="1"/>
    <col min="2" max="2" width="19" style="2527" customWidth="1"/>
    <col min="3" max="3" width="19.86328125" style="2527" customWidth="1"/>
    <col min="4" max="7" width="17" style="2477" customWidth="1"/>
    <col min="8" max="9" width="16.86328125" style="2477" customWidth="1"/>
    <col min="10" max="10" width="13.86328125" style="2477" customWidth="1"/>
    <col min="11" max="11" width="16.59765625" style="2477" customWidth="1"/>
    <col min="12" max="14" width="13.86328125" style="2477" hidden="1" customWidth="1"/>
    <col min="15" max="15" width="13.86328125" style="2477" customWidth="1"/>
    <col min="16" max="17" width="9" style="2477" customWidth="1"/>
    <col min="18" max="18" width="11" style="2477" customWidth="1"/>
    <col min="19" max="19" width="8" style="2477" customWidth="1"/>
    <col min="20" max="20" width="10" style="2477" customWidth="1"/>
    <col min="21" max="22" width="9" style="2477" customWidth="1"/>
    <col min="23" max="23" width="9" style="2477" hidden="1" customWidth="1"/>
    <col min="24" max="16384" width="9" style="2477"/>
  </cols>
  <sheetData>
    <row r="1" spans="1:23" ht="25.5" customHeight="1" x14ac:dyDescent="0.4">
      <c r="A1" s="636" t="s">
        <v>29802</v>
      </c>
      <c r="B1" s="2618"/>
      <c r="C1" s="2618"/>
      <c r="D1" s="2617"/>
      <c r="E1" s="2617"/>
      <c r="F1" s="2617"/>
      <c r="G1" s="2617"/>
      <c r="H1" s="2617"/>
      <c r="I1" s="2613"/>
      <c r="J1" s="2613"/>
      <c r="K1" s="2613"/>
      <c r="L1" s="2613"/>
      <c r="M1" s="2613"/>
      <c r="N1" s="2613"/>
      <c r="O1" s="2613"/>
      <c r="W1" s="2616"/>
    </row>
    <row r="2" spans="1:23" ht="19.5" customHeight="1" x14ac:dyDescent="0.4">
      <c r="A2" s="637" t="str">
        <f>IF(PROVIDER="","Provider name",PROVIDER&amp;" ("&amp;UKPRN&amp;")")</f>
        <v>Provider name</v>
      </c>
      <c r="B2" s="2525"/>
      <c r="C2" s="2525"/>
      <c r="D2" s="2525"/>
      <c r="E2" s="2525"/>
      <c r="F2" s="2525"/>
      <c r="G2" s="2525"/>
      <c r="H2" s="2525"/>
      <c r="I2" s="2613"/>
      <c r="J2" s="2613"/>
      <c r="K2" s="2613"/>
      <c r="L2" s="2613"/>
      <c r="M2" s="2613"/>
      <c r="N2" s="2613"/>
      <c r="O2" s="2613"/>
    </row>
    <row r="3" spans="1:23" ht="22.5" customHeight="1" x14ac:dyDescent="0.4">
      <c r="A3" s="2615"/>
      <c r="B3" s="2525"/>
      <c r="C3" s="2525"/>
      <c r="D3" s="2525"/>
      <c r="E3" s="2525"/>
      <c r="F3" s="2525"/>
      <c r="G3" s="2525"/>
      <c r="H3" s="2525"/>
      <c r="I3" s="2613"/>
      <c r="J3" s="2613"/>
      <c r="K3" s="2613"/>
      <c r="L3" s="2613"/>
      <c r="M3" s="2613"/>
      <c r="N3" s="2613"/>
      <c r="O3" s="2613"/>
    </row>
    <row r="4" spans="1:23" ht="39" customHeight="1" thickBot="1" x14ac:dyDescent="0.45">
      <c r="A4" s="2523" t="s">
        <v>29450</v>
      </c>
      <c r="B4" s="2614"/>
      <c r="C4" s="2614"/>
      <c r="E4" s="2529"/>
      <c r="F4" s="2529"/>
      <c r="I4" s="2613"/>
      <c r="J4" s="2613"/>
      <c r="K4" s="2613"/>
      <c r="L4" s="2613"/>
      <c r="M4" s="2613"/>
      <c r="N4" s="2613"/>
      <c r="O4" s="2613"/>
    </row>
    <row r="5" spans="1:23" ht="45" customHeight="1" x14ac:dyDescent="0.35">
      <c r="A5" s="2612"/>
      <c r="B5" s="2611"/>
      <c r="C5" s="2611"/>
      <c r="D5" s="3518" t="s">
        <v>29677</v>
      </c>
      <c r="E5" s="3519"/>
      <c r="F5" s="3518" t="str">
        <f>"Calculations modelled from representation FTEs 
for 2025-26 funding"</f>
        <v>Calculations modelled from representation FTEs 
for 2025-26 funding</v>
      </c>
      <c r="G5" s="3519"/>
      <c r="H5" s="3520" t="s">
        <v>27901</v>
      </c>
      <c r="I5" s="3521"/>
      <c r="J5" s="2610"/>
      <c r="K5" s="2610"/>
      <c r="L5" s="2610"/>
      <c r="M5" s="2610"/>
      <c r="N5" s="2610"/>
      <c r="O5" s="2610"/>
    </row>
    <row r="6" spans="1:23" s="2603" customFormat="1" ht="78.75" customHeight="1" x14ac:dyDescent="0.35">
      <c r="A6" s="2609" t="s">
        <v>200</v>
      </c>
      <c r="B6" s="2608" t="s">
        <v>55</v>
      </c>
      <c r="C6" s="2608" t="s">
        <v>57</v>
      </c>
      <c r="D6" s="2607" t="str">
        <f>"Total FTEs for 2025-26 high-cost subject funding"</f>
        <v>Total FTEs for 2025-26 high-cost subject funding</v>
      </c>
      <c r="E6" s="3327" t="s">
        <v>29454</v>
      </c>
      <c r="F6" s="2607" t="str">
        <f>"Total FTEs for 2025-26 high-cost subject funding"</f>
        <v>Total FTEs for 2025-26 high-cost subject funding</v>
      </c>
      <c r="G6" s="2606" t="s">
        <v>29454</v>
      </c>
      <c r="H6" s="2605" t="str">
        <f>"Total FTEs for 2025-26 high-cost subject funding"</f>
        <v>Total FTEs for 2025-26 high-cost subject funding</v>
      </c>
      <c r="I6" s="2604" t="s">
        <v>29454</v>
      </c>
      <c r="L6" s="2512" t="s">
        <v>63</v>
      </c>
      <c r="M6" s="2512" t="s">
        <v>27941</v>
      </c>
      <c r="N6" s="2512" t="s">
        <v>314</v>
      </c>
    </row>
    <row r="7" spans="1:23" ht="17.25" customHeight="1" x14ac:dyDescent="0.4">
      <c r="A7" s="2578" t="s">
        <v>203</v>
      </c>
      <c r="B7" s="2577" t="s">
        <v>189</v>
      </c>
      <c r="C7" s="2561" t="s">
        <v>205</v>
      </c>
      <c r="D7" s="3328">
        <v>0</v>
      </c>
      <c r="E7" s="2602">
        <v>0</v>
      </c>
      <c r="F7" s="2550">
        <f>SUM(FTE_1_Full_time!I8,FTE_1_Full_time!I13)</f>
        <v>0</v>
      </c>
      <c r="G7" s="2602">
        <f>ROUND(F7*H_Parameters!$B$7*H_Parameters!$B$11,0)</f>
        <v>0</v>
      </c>
      <c r="H7" s="2601">
        <f t="shared" ref="H7:H46" si="0">F7-D7</f>
        <v>0</v>
      </c>
      <c r="I7" s="2600">
        <f t="shared" ref="I7:I46" si="1">ROUND(G7-E7,0)</f>
        <v>0</v>
      </c>
      <c r="L7" s="2531" t="s">
        <v>203</v>
      </c>
      <c r="M7" s="2531" t="s">
        <v>27747</v>
      </c>
      <c r="N7" s="2531" t="s">
        <v>27686</v>
      </c>
      <c r="O7" s="2597"/>
      <c r="Q7" s="2524"/>
    </row>
    <row r="8" spans="1:23" ht="17.25" customHeight="1" x14ac:dyDescent="0.4">
      <c r="A8" s="2562"/>
      <c r="B8" s="2561"/>
      <c r="C8" s="2561" t="s">
        <v>208</v>
      </c>
      <c r="D8" s="2550">
        <v>0</v>
      </c>
      <c r="E8" s="2551">
        <v>0</v>
      </c>
      <c r="F8" s="2550">
        <f>SUM(FTE_1_Full_time!I9,FTE_1_Full_time!I14)</f>
        <v>0</v>
      </c>
      <c r="G8" s="2551">
        <f>ROUND(F8*H_Parameters!$B$7*H_Parameters!$B$11,0)</f>
        <v>0</v>
      </c>
      <c r="H8" s="2552">
        <f t="shared" si="0"/>
        <v>0</v>
      </c>
      <c r="I8" s="2549">
        <f t="shared" si="1"/>
        <v>0</v>
      </c>
      <c r="L8" s="2531" t="s">
        <v>203</v>
      </c>
      <c r="M8" s="2531" t="s">
        <v>27747</v>
      </c>
      <c r="N8" s="2531" t="s">
        <v>27687</v>
      </c>
      <c r="O8" s="2597"/>
      <c r="Q8" s="2524"/>
    </row>
    <row r="9" spans="1:23" ht="17.25" customHeight="1" x14ac:dyDescent="0.4">
      <c r="A9" s="2562"/>
      <c r="B9" s="2561"/>
      <c r="C9" s="2561" t="s">
        <v>210</v>
      </c>
      <c r="D9" s="2550">
        <v>0</v>
      </c>
      <c r="E9" s="2551">
        <v>0</v>
      </c>
      <c r="F9" s="2550">
        <f>SUM(FTE_1_Full_time!I10,FTE_1_Full_time!I15)</f>
        <v>0</v>
      </c>
      <c r="G9" s="2551">
        <f>ROUND(F9*H_Parameters!$B$7*H_Parameters!$B$11,0)</f>
        <v>0</v>
      </c>
      <c r="H9" s="2552">
        <f t="shared" si="0"/>
        <v>0</v>
      </c>
      <c r="I9" s="2549">
        <f t="shared" si="1"/>
        <v>0</v>
      </c>
      <c r="L9" s="2531" t="s">
        <v>203</v>
      </c>
      <c r="M9" s="2531" t="s">
        <v>27747</v>
      </c>
      <c r="N9" s="2531" t="s">
        <v>27688</v>
      </c>
      <c r="O9" s="2597"/>
      <c r="Q9" s="2524"/>
    </row>
    <row r="10" spans="1:23" ht="17.25" customHeight="1" x14ac:dyDescent="0.35">
      <c r="A10" s="2562"/>
      <c r="B10" s="2561"/>
      <c r="C10" s="2561" t="s">
        <v>29452</v>
      </c>
      <c r="D10" s="2546">
        <v>0</v>
      </c>
      <c r="E10" s="2547">
        <v>0</v>
      </c>
      <c r="F10" s="2550">
        <f>SUM(FTE_1_Full_time!I11,FTE_1_Full_time!I16)</f>
        <v>0</v>
      </c>
      <c r="G10" s="2547">
        <f>ROUND(F10*H_Parameters!$B$7*H_Parameters!$B$11,0)</f>
        <v>0</v>
      </c>
      <c r="H10" s="2548">
        <f t="shared" si="0"/>
        <v>0</v>
      </c>
      <c r="I10" s="2545">
        <f t="shared" si="1"/>
        <v>0</v>
      </c>
      <c r="L10" s="2531" t="s">
        <v>203</v>
      </c>
      <c r="M10" s="2531" t="s">
        <v>27747</v>
      </c>
      <c r="N10" s="2531" t="s">
        <v>27689</v>
      </c>
      <c r="O10" s="2597"/>
    </row>
    <row r="11" spans="1:23" ht="17.25" customHeight="1" x14ac:dyDescent="0.35">
      <c r="A11" s="2562"/>
      <c r="B11" s="2576"/>
      <c r="C11" s="2576" t="s">
        <v>214</v>
      </c>
      <c r="D11" s="2596">
        <v>0</v>
      </c>
      <c r="E11" s="2595">
        <v>0</v>
      </c>
      <c r="F11" s="2596">
        <f>SUM(FTE_1_Full_time!I12,FTE_1_Full_time!I17)</f>
        <v>0</v>
      </c>
      <c r="G11" s="2599">
        <f>ROUND(F11*H_Parameters!$B$7*H_Parameters!$B$11,0)</f>
        <v>0</v>
      </c>
      <c r="H11" s="2594">
        <f t="shared" si="0"/>
        <v>0</v>
      </c>
      <c r="I11" s="2593">
        <f t="shared" si="1"/>
        <v>0</v>
      </c>
      <c r="L11" s="2531" t="s">
        <v>203</v>
      </c>
      <c r="M11" s="2531" t="s">
        <v>27747</v>
      </c>
      <c r="N11" s="2531" t="s">
        <v>27690</v>
      </c>
      <c r="O11" s="2597"/>
    </row>
    <row r="12" spans="1:23" ht="17.25" customHeight="1" x14ac:dyDescent="0.35">
      <c r="A12" s="2562"/>
      <c r="B12" s="2572" t="s">
        <v>191</v>
      </c>
      <c r="C12" s="2561" t="s">
        <v>205</v>
      </c>
      <c r="D12" s="2592">
        <v>0</v>
      </c>
      <c r="E12" s="2598">
        <v>0</v>
      </c>
      <c r="F12" s="2592">
        <f>SUM(FTE_3_Part_time!I8,FTE_3_Part_time!I13)</f>
        <v>0</v>
      </c>
      <c r="G12" s="2598">
        <f>ROUND(F12*H_Parameters!$B$7*H_Parameters!$B$11,0)</f>
        <v>0</v>
      </c>
      <c r="H12" s="2591">
        <f t="shared" si="0"/>
        <v>0</v>
      </c>
      <c r="I12" s="2590">
        <f t="shared" si="1"/>
        <v>0</v>
      </c>
      <c r="L12" s="2531" t="s">
        <v>203</v>
      </c>
      <c r="M12" s="2531" t="s">
        <v>27767</v>
      </c>
      <c r="N12" s="2531" t="s">
        <v>27686</v>
      </c>
      <c r="O12" s="2597"/>
    </row>
    <row r="13" spans="1:23" ht="17.25" customHeight="1" x14ac:dyDescent="0.35">
      <c r="A13" s="2562"/>
      <c r="B13" s="2561"/>
      <c r="C13" s="2561" t="s">
        <v>208</v>
      </c>
      <c r="D13" s="2550">
        <v>0</v>
      </c>
      <c r="E13" s="2551">
        <v>0</v>
      </c>
      <c r="F13" s="2550">
        <f>SUM(FTE_3_Part_time!I9,FTE_3_Part_time!I14)</f>
        <v>0</v>
      </c>
      <c r="G13" s="2598">
        <f>ROUND(F13*H_Parameters!$B$7*H_Parameters!$B$11,0)</f>
        <v>0</v>
      </c>
      <c r="H13" s="2552">
        <f t="shared" si="0"/>
        <v>0</v>
      </c>
      <c r="I13" s="2549">
        <f t="shared" si="1"/>
        <v>0</v>
      </c>
      <c r="L13" s="2531" t="s">
        <v>203</v>
      </c>
      <c r="M13" s="2531" t="s">
        <v>27767</v>
      </c>
      <c r="N13" s="2531" t="s">
        <v>27687</v>
      </c>
      <c r="O13" s="2597"/>
    </row>
    <row r="14" spans="1:23" ht="17.25" customHeight="1" x14ac:dyDescent="0.35">
      <c r="A14" s="2562"/>
      <c r="B14" s="2561"/>
      <c r="C14" s="2561" t="s">
        <v>210</v>
      </c>
      <c r="D14" s="2550">
        <v>0</v>
      </c>
      <c r="E14" s="2551">
        <v>0</v>
      </c>
      <c r="F14" s="2550">
        <f>SUM(FTE_3_Part_time!I10,FTE_3_Part_time!I15)</f>
        <v>0</v>
      </c>
      <c r="G14" s="2551">
        <f>ROUND(F14*H_Parameters!$B$7*H_Parameters!$B$11,0)</f>
        <v>0</v>
      </c>
      <c r="H14" s="2552">
        <f t="shared" si="0"/>
        <v>0</v>
      </c>
      <c r="I14" s="2549">
        <f t="shared" si="1"/>
        <v>0</v>
      </c>
      <c r="L14" s="2531" t="s">
        <v>203</v>
      </c>
      <c r="M14" s="2531" t="s">
        <v>27767</v>
      </c>
      <c r="N14" s="2531" t="s">
        <v>27688</v>
      </c>
      <c r="O14" s="2597"/>
    </row>
    <row r="15" spans="1:23" ht="17.25" customHeight="1" x14ac:dyDescent="0.35">
      <c r="A15" s="2562"/>
      <c r="B15" s="2561"/>
      <c r="C15" s="2561" t="s">
        <v>29452</v>
      </c>
      <c r="D15" s="2546">
        <v>0</v>
      </c>
      <c r="E15" s="2547">
        <v>0</v>
      </c>
      <c r="F15" s="2546">
        <f>SUM(FTE_3_Part_time!I11,FTE_3_Part_time!I16)</f>
        <v>0</v>
      </c>
      <c r="G15" s="2547">
        <f>ROUND(F15*H_Parameters!$B$7*H_Parameters!$B$11,0)</f>
        <v>0</v>
      </c>
      <c r="H15" s="2548">
        <f t="shared" si="0"/>
        <v>0</v>
      </c>
      <c r="I15" s="2545">
        <f t="shared" si="1"/>
        <v>0</v>
      </c>
      <c r="L15" s="2531" t="s">
        <v>203</v>
      </c>
      <c r="M15" s="2531" t="s">
        <v>27767</v>
      </c>
      <c r="N15" s="2531" t="s">
        <v>27689</v>
      </c>
      <c r="O15" s="2597"/>
    </row>
    <row r="16" spans="1:23" ht="17.25" customHeight="1" x14ac:dyDescent="0.35">
      <c r="A16" s="2583"/>
      <c r="B16" s="2582"/>
      <c r="C16" s="2582" t="s">
        <v>214</v>
      </c>
      <c r="D16" s="2589">
        <v>0</v>
      </c>
      <c r="E16" s="2541">
        <v>0</v>
      </c>
      <c r="F16" s="2589">
        <f>SUM(FTE_3_Part_time!I12,FTE_3_Part_time!I17)</f>
        <v>0</v>
      </c>
      <c r="G16" s="2541">
        <f>ROUND(F16*H_Parameters!$B$7*H_Parameters!$B$11,0)</f>
        <v>0</v>
      </c>
      <c r="H16" s="2588">
        <f t="shared" si="0"/>
        <v>0</v>
      </c>
      <c r="I16" s="2539">
        <f t="shared" si="1"/>
        <v>0</v>
      </c>
      <c r="L16" s="2531" t="s">
        <v>203</v>
      </c>
      <c r="M16" s="2531" t="s">
        <v>27767</v>
      </c>
      <c r="N16" s="2531" t="s">
        <v>27690</v>
      </c>
      <c r="O16" s="2597"/>
    </row>
    <row r="17" spans="1:17" ht="17.25" customHeight="1" x14ac:dyDescent="0.35">
      <c r="A17" s="2578" t="s">
        <v>225</v>
      </c>
      <c r="B17" s="2577" t="s">
        <v>189</v>
      </c>
      <c r="C17" s="2561" t="s">
        <v>205</v>
      </c>
      <c r="D17" s="2550">
        <v>0</v>
      </c>
      <c r="E17" s="2551">
        <v>0</v>
      </c>
      <c r="F17" s="2550">
        <f>SUM(FTE_1_Full_time!I18,FTE_1_Full_time!I23)</f>
        <v>0</v>
      </c>
      <c r="G17" s="2551">
        <f>ROUND(F17*H_Parameters!$B$8*H_Parameters!$B$11,0)</f>
        <v>0</v>
      </c>
      <c r="H17" s="2552">
        <f t="shared" si="0"/>
        <v>0</v>
      </c>
      <c r="I17" s="2549">
        <f t="shared" si="1"/>
        <v>0</v>
      </c>
      <c r="L17" s="2531" t="s">
        <v>225</v>
      </c>
      <c r="M17" s="2531" t="s">
        <v>27747</v>
      </c>
      <c r="N17" s="2531" t="s">
        <v>27686</v>
      </c>
      <c r="O17" s="2597"/>
    </row>
    <row r="18" spans="1:17" ht="17.25" customHeight="1" x14ac:dyDescent="0.35">
      <c r="A18" s="2562"/>
      <c r="B18" s="2561"/>
      <c r="C18" s="2561" t="s">
        <v>208</v>
      </c>
      <c r="D18" s="2550">
        <v>0</v>
      </c>
      <c r="E18" s="2551">
        <v>0</v>
      </c>
      <c r="F18" s="2550">
        <f>SUM(FTE_1_Full_time!I19,FTE_1_Full_time!I24)</f>
        <v>0</v>
      </c>
      <c r="G18" s="2551">
        <f>ROUND(F18*H_Parameters!$B$8*H_Parameters!$B$11,0)</f>
        <v>0</v>
      </c>
      <c r="H18" s="2552">
        <f t="shared" si="0"/>
        <v>0</v>
      </c>
      <c r="I18" s="2549">
        <f t="shared" si="1"/>
        <v>0</v>
      </c>
      <c r="L18" s="2531" t="s">
        <v>225</v>
      </c>
      <c r="M18" s="2531" t="s">
        <v>27747</v>
      </c>
      <c r="N18" s="2531" t="s">
        <v>27687</v>
      </c>
      <c r="O18" s="2597"/>
    </row>
    <row r="19" spans="1:17" ht="17.25" customHeight="1" x14ac:dyDescent="0.35">
      <c r="A19" s="2562"/>
      <c r="B19" s="2561"/>
      <c r="C19" s="2561" t="s">
        <v>210</v>
      </c>
      <c r="D19" s="2546">
        <v>0</v>
      </c>
      <c r="E19" s="2547">
        <v>0</v>
      </c>
      <c r="F19" s="2546">
        <f>SUM(FTE_1_Full_time!I20,FTE_1_Full_time!I25)</f>
        <v>0</v>
      </c>
      <c r="G19" s="2547">
        <f>ROUND(F19*H_Parameters!$B$8*H_Parameters!$B$11,0)</f>
        <v>0</v>
      </c>
      <c r="H19" s="2548">
        <f t="shared" si="0"/>
        <v>0</v>
      </c>
      <c r="I19" s="2545">
        <f t="shared" si="1"/>
        <v>0</v>
      </c>
      <c r="L19" s="2531" t="s">
        <v>225</v>
      </c>
      <c r="M19" s="2531" t="s">
        <v>27747</v>
      </c>
      <c r="N19" s="2531" t="s">
        <v>27688</v>
      </c>
    </row>
    <row r="20" spans="1:17" ht="17.25" customHeight="1" x14ac:dyDescent="0.35">
      <c r="A20" s="2562"/>
      <c r="B20" s="2561"/>
      <c r="C20" s="2561" t="s">
        <v>29452</v>
      </c>
      <c r="D20" s="2546">
        <v>0</v>
      </c>
      <c r="E20" s="2547">
        <v>0</v>
      </c>
      <c r="F20" s="2546">
        <f>SUM(FTE_1_Full_time!I21,FTE_1_Full_time!I26)</f>
        <v>0</v>
      </c>
      <c r="G20" s="2547">
        <f>ROUND(F20*H_Parameters!$B$8*H_Parameters!$B$11,0)</f>
        <v>0</v>
      </c>
      <c r="H20" s="2548">
        <f t="shared" si="0"/>
        <v>0</v>
      </c>
      <c r="I20" s="2545">
        <f t="shared" si="1"/>
        <v>0</v>
      </c>
      <c r="L20" s="2531" t="s">
        <v>225</v>
      </c>
      <c r="M20" s="2531" t="s">
        <v>27747</v>
      </c>
      <c r="N20" s="2531" t="s">
        <v>27689</v>
      </c>
    </row>
    <row r="21" spans="1:17" ht="17.25" customHeight="1" x14ac:dyDescent="0.35">
      <c r="A21" s="2562"/>
      <c r="B21" s="2576"/>
      <c r="C21" s="2576" t="s">
        <v>214</v>
      </c>
      <c r="D21" s="2596">
        <v>0</v>
      </c>
      <c r="E21" s="2595">
        <v>0</v>
      </c>
      <c r="F21" s="2596">
        <f>SUM(FTE_1_Full_time!I22,FTE_1_Full_time!I27)</f>
        <v>0</v>
      </c>
      <c r="G21" s="2595">
        <f>ROUND(F21*H_Parameters!$B$8*H_Parameters!$B$11,0)</f>
        <v>0</v>
      </c>
      <c r="H21" s="2594">
        <f t="shared" si="0"/>
        <v>0</v>
      </c>
      <c r="I21" s="2593">
        <f t="shared" si="1"/>
        <v>0</v>
      </c>
      <c r="L21" s="2531" t="s">
        <v>225</v>
      </c>
      <c r="M21" s="2531" t="s">
        <v>27747</v>
      </c>
      <c r="N21" s="2531" t="s">
        <v>27690</v>
      </c>
    </row>
    <row r="22" spans="1:17" ht="17.25" customHeight="1" x14ac:dyDescent="0.35">
      <c r="A22" s="2562"/>
      <c r="B22" s="2572" t="s">
        <v>191</v>
      </c>
      <c r="C22" s="2561" t="s">
        <v>205</v>
      </c>
      <c r="D22" s="2592">
        <v>0</v>
      </c>
      <c r="E22" s="2598">
        <v>0</v>
      </c>
      <c r="F22" s="2592">
        <f>SUM(FTE_3_Part_time!I18,FTE_3_Part_time!I23)</f>
        <v>0</v>
      </c>
      <c r="G22" s="2551">
        <f>ROUND(F22*H_Parameters!$B$8*H_Parameters!$B$11,0)</f>
        <v>0</v>
      </c>
      <c r="H22" s="2591">
        <f t="shared" si="0"/>
        <v>0</v>
      </c>
      <c r="I22" s="2590">
        <f t="shared" si="1"/>
        <v>0</v>
      </c>
      <c r="L22" s="2531" t="s">
        <v>225</v>
      </c>
      <c r="M22" s="2531" t="s">
        <v>27767</v>
      </c>
      <c r="N22" s="2531" t="s">
        <v>27686</v>
      </c>
    </row>
    <row r="23" spans="1:17" ht="17.25" customHeight="1" x14ac:dyDescent="0.35">
      <c r="A23" s="2562"/>
      <c r="B23" s="2561"/>
      <c r="C23" s="2561" t="s">
        <v>208</v>
      </c>
      <c r="D23" s="2550">
        <v>0</v>
      </c>
      <c r="E23" s="2551">
        <v>0</v>
      </c>
      <c r="F23" s="2550">
        <f>SUM(FTE_3_Part_time!I19,FTE_3_Part_time!I24)</f>
        <v>0</v>
      </c>
      <c r="G23" s="2551">
        <f>ROUND(F23*H_Parameters!$B$8*H_Parameters!$B$11,0)</f>
        <v>0</v>
      </c>
      <c r="H23" s="2552">
        <f t="shared" si="0"/>
        <v>0</v>
      </c>
      <c r="I23" s="2549">
        <f t="shared" si="1"/>
        <v>0</v>
      </c>
      <c r="L23" s="2531" t="s">
        <v>225</v>
      </c>
      <c r="M23" s="2531" t="s">
        <v>27767</v>
      </c>
      <c r="N23" s="2531" t="s">
        <v>27687</v>
      </c>
    </row>
    <row r="24" spans="1:17" ht="17.25" customHeight="1" x14ac:dyDescent="0.4">
      <c r="A24" s="2562"/>
      <c r="B24" s="2561"/>
      <c r="C24" s="2561" t="s">
        <v>210</v>
      </c>
      <c r="D24" s="2546">
        <v>0</v>
      </c>
      <c r="E24" s="2547">
        <v>0</v>
      </c>
      <c r="F24" s="2550">
        <f>SUM(FTE_3_Part_time!I20,FTE_3_Part_time!I25)</f>
        <v>0</v>
      </c>
      <c r="G24" s="2547">
        <f>ROUND(F24*H_Parameters!$B$8*H_Parameters!$B$11,0)</f>
        <v>0</v>
      </c>
      <c r="H24" s="2548">
        <f t="shared" si="0"/>
        <v>0</v>
      </c>
      <c r="I24" s="2545">
        <f t="shared" si="1"/>
        <v>0</v>
      </c>
      <c r="L24" s="2531" t="s">
        <v>225</v>
      </c>
      <c r="M24" s="2531" t="s">
        <v>27767</v>
      </c>
      <c r="N24" s="2531" t="s">
        <v>27688</v>
      </c>
      <c r="Q24" s="2524"/>
    </row>
    <row r="25" spans="1:17" ht="17.25" customHeight="1" x14ac:dyDescent="0.35">
      <c r="A25" s="2562"/>
      <c r="B25" s="2561"/>
      <c r="C25" s="2561" t="s">
        <v>29452</v>
      </c>
      <c r="D25" s="2546">
        <v>0</v>
      </c>
      <c r="E25" s="2547">
        <v>0</v>
      </c>
      <c r="F25" s="2546">
        <f>SUM(FTE_3_Part_time!I21,FTE_3_Part_time!I26)</f>
        <v>0</v>
      </c>
      <c r="G25" s="2547">
        <f>ROUND(F25*H_Parameters!$B$8*H_Parameters!$B$11,0)</f>
        <v>0</v>
      </c>
      <c r="H25" s="2548">
        <f t="shared" si="0"/>
        <v>0</v>
      </c>
      <c r="I25" s="2545">
        <f t="shared" si="1"/>
        <v>0</v>
      </c>
      <c r="L25" s="2531" t="s">
        <v>225</v>
      </c>
      <c r="M25" s="2531" t="s">
        <v>27767</v>
      </c>
      <c r="N25" s="2531" t="s">
        <v>27689</v>
      </c>
    </row>
    <row r="26" spans="1:17" ht="17.25" customHeight="1" x14ac:dyDescent="0.35">
      <c r="A26" s="2583"/>
      <c r="B26" s="2582"/>
      <c r="C26" s="2582" t="s">
        <v>214</v>
      </c>
      <c r="D26" s="2589">
        <v>0</v>
      </c>
      <c r="E26" s="2541">
        <v>0</v>
      </c>
      <c r="F26" s="2589">
        <f>SUM(FTE_3_Part_time!I22,FTE_3_Part_time!I27)</f>
        <v>0</v>
      </c>
      <c r="G26" s="2541">
        <f>ROUND(F26*H_Parameters!$B$8*H_Parameters!$B$11,0)</f>
        <v>0</v>
      </c>
      <c r="H26" s="2588">
        <f t="shared" si="0"/>
        <v>0</v>
      </c>
      <c r="I26" s="2539">
        <f t="shared" si="1"/>
        <v>0</v>
      </c>
      <c r="L26" s="2531" t="s">
        <v>225</v>
      </c>
      <c r="M26" s="2531" t="s">
        <v>27767</v>
      </c>
      <c r="N26" s="2531" t="s">
        <v>27690</v>
      </c>
    </row>
    <row r="27" spans="1:17" ht="17.25" customHeight="1" x14ac:dyDescent="0.35">
      <c r="A27" s="2578" t="s">
        <v>238</v>
      </c>
      <c r="B27" s="2577" t="s">
        <v>189</v>
      </c>
      <c r="C27" s="2561" t="s">
        <v>205</v>
      </c>
      <c r="D27" s="2550">
        <v>0</v>
      </c>
      <c r="E27" s="2551">
        <v>0</v>
      </c>
      <c r="F27" s="2550">
        <f>SUM(FTE_1_Full_time!I28,FTE_1_Full_time!I33)</f>
        <v>0</v>
      </c>
      <c r="G27" s="2551">
        <f>ROUND(F27*H_Parameters!$B$9*H_Parameters!$B$11,0)</f>
        <v>0</v>
      </c>
      <c r="H27" s="2552">
        <f t="shared" si="0"/>
        <v>0</v>
      </c>
      <c r="I27" s="2549">
        <f t="shared" si="1"/>
        <v>0</v>
      </c>
      <c r="L27" s="2531" t="s">
        <v>27692</v>
      </c>
      <c r="M27" s="2531" t="s">
        <v>27747</v>
      </c>
      <c r="N27" s="2531" t="s">
        <v>27686</v>
      </c>
    </row>
    <row r="28" spans="1:17" ht="17.25" customHeight="1" x14ac:dyDescent="0.35">
      <c r="A28" s="2562"/>
      <c r="B28" s="2561"/>
      <c r="C28" s="2561" t="s">
        <v>208</v>
      </c>
      <c r="D28" s="2550">
        <v>0</v>
      </c>
      <c r="E28" s="2551">
        <v>0</v>
      </c>
      <c r="F28" s="2550">
        <f>SUM(FTE_1_Full_time!I29,FTE_1_Full_time!I34)</f>
        <v>0</v>
      </c>
      <c r="G28" s="2551">
        <f>ROUND(F28*H_Parameters!$B$9*H_Parameters!$B$11,0)</f>
        <v>0</v>
      </c>
      <c r="H28" s="2552">
        <f t="shared" si="0"/>
        <v>0</v>
      </c>
      <c r="I28" s="2549">
        <f t="shared" si="1"/>
        <v>0</v>
      </c>
      <c r="L28" s="2531" t="s">
        <v>27692</v>
      </c>
      <c r="M28" s="2531" t="s">
        <v>27747</v>
      </c>
      <c r="N28" s="2531" t="s">
        <v>27687</v>
      </c>
    </row>
    <row r="29" spans="1:17" ht="17.25" customHeight="1" x14ac:dyDescent="0.35">
      <c r="A29" s="2562"/>
      <c r="B29" s="2561"/>
      <c r="C29" s="2561" t="s">
        <v>210</v>
      </c>
      <c r="D29" s="2546">
        <v>0</v>
      </c>
      <c r="E29" s="2547">
        <v>0</v>
      </c>
      <c r="F29" s="2546">
        <f>SUM(FTE_1_Full_time!I30,FTE_1_Full_time!I35)</f>
        <v>0</v>
      </c>
      <c r="G29" s="2547">
        <f>ROUND(F29*H_Parameters!$B$9*H_Parameters!$B$11,0)</f>
        <v>0</v>
      </c>
      <c r="H29" s="2548">
        <f t="shared" si="0"/>
        <v>0</v>
      </c>
      <c r="I29" s="2545">
        <f t="shared" si="1"/>
        <v>0</v>
      </c>
      <c r="L29" s="2531" t="s">
        <v>27692</v>
      </c>
      <c r="M29" s="2531" t="s">
        <v>27747</v>
      </c>
      <c r="N29" s="2531" t="s">
        <v>27688</v>
      </c>
    </row>
    <row r="30" spans="1:17" ht="17.25" customHeight="1" x14ac:dyDescent="0.35">
      <c r="A30" s="2562"/>
      <c r="B30" s="2561"/>
      <c r="C30" s="2561" t="s">
        <v>29452</v>
      </c>
      <c r="D30" s="2546">
        <v>0</v>
      </c>
      <c r="E30" s="2547">
        <v>0</v>
      </c>
      <c r="F30" s="2546">
        <f>SUM(FTE_1_Full_time!I31,FTE_1_Full_time!I36)</f>
        <v>0</v>
      </c>
      <c r="G30" s="2547">
        <f>ROUND(F30*H_Parameters!$B$9*H_Parameters!$B$11,0)</f>
        <v>0</v>
      </c>
      <c r="H30" s="2548">
        <f t="shared" si="0"/>
        <v>0</v>
      </c>
      <c r="I30" s="2545">
        <f t="shared" si="1"/>
        <v>0</v>
      </c>
      <c r="L30" s="2531" t="s">
        <v>27692</v>
      </c>
      <c r="M30" s="2531" t="s">
        <v>27747</v>
      </c>
      <c r="N30" s="2531" t="s">
        <v>27689</v>
      </c>
    </row>
    <row r="31" spans="1:17" ht="17.25" customHeight="1" x14ac:dyDescent="0.35">
      <c r="A31" s="2562"/>
      <c r="B31" s="2576"/>
      <c r="C31" s="2576" t="s">
        <v>214</v>
      </c>
      <c r="D31" s="2596">
        <v>0</v>
      </c>
      <c r="E31" s="2595">
        <v>0</v>
      </c>
      <c r="F31" s="2596">
        <f>SUM(FTE_1_Full_time!I32,FTE_1_Full_time!I37)</f>
        <v>0</v>
      </c>
      <c r="G31" s="2595">
        <f>ROUND(F31*H_Parameters!$B$9*H_Parameters!$B$11,0)</f>
        <v>0</v>
      </c>
      <c r="H31" s="2594">
        <f t="shared" si="0"/>
        <v>0</v>
      </c>
      <c r="I31" s="2593">
        <f t="shared" si="1"/>
        <v>0</v>
      </c>
      <c r="L31" s="2531" t="s">
        <v>27692</v>
      </c>
      <c r="M31" s="2531" t="s">
        <v>27747</v>
      </c>
      <c r="N31" s="2531" t="s">
        <v>27690</v>
      </c>
    </row>
    <row r="32" spans="1:17" ht="17.25" customHeight="1" x14ac:dyDescent="0.35">
      <c r="A32" s="2562"/>
      <c r="B32" s="2572" t="s">
        <v>191</v>
      </c>
      <c r="C32" s="2561" t="s">
        <v>205</v>
      </c>
      <c r="D32" s="2592">
        <v>0</v>
      </c>
      <c r="E32" s="2598">
        <v>0</v>
      </c>
      <c r="F32" s="2592">
        <f>SUM(FTE_3_Part_time!I28,FTE_3_Part_time!I33)</f>
        <v>0</v>
      </c>
      <c r="G32" s="2551">
        <f>ROUND(F32*H_Parameters!$B$9*H_Parameters!$B$11,0)</f>
        <v>0</v>
      </c>
      <c r="H32" s="2591">
        <f t="shared" si="0"/>
        <v>0</v>
      </c>
      <c r="I32" s="2590">
        <f t="shared" si="1"/>
        <v>0</v>
      </c>
      <c r="L32" s="2531" t="s">
        <v>27692</v>
      </c>
      <c r="M32" s="2531" t="s">
        <v>27767</v>
      </c>
      <c r="N32" s="2531" t="s">
        <v>27686</v>
      </c>
    </row>
    <row r="33" spans="1:14" ht="17.25" customHeight="1" x14ac:dyDescent="0.35">
      <c r="A33" s="2562"/>
      <c r="B33" s="2561"/>
      <c r="C33" s="2561" t="s">
        <v>208</v>
      </c>
      <c r="D33" s="2550">
        <v>0</v>
      </c>
      <c r="E33" s="2551">
        <v>0</v>
      </c>
      <c r="F33" s="2550">
        <f>SUM(FTE_3_Part_time!I29,FTE_3_Part_time!I34)</f>
        <v>0</v>
      </c>
      <c r="G33" s="2551">
        <f>ROUND(F33*H_Parameters!$B$9*H_Parameters!$B$11,0)</f>
        <v>0</v>
      </c>
      <c r="H33" s="2552">
        <f t="shared" si="0"/>
        <v>0</v>
      </c>
      <c r="I33" s="2549">
        <f t="shared" si="1"/>
        <v>0</v>
      </c>
      <c r="L33" s="2531" t="s">
        <v>27692</v>
      </c>
      <c r="M33" s="2531" t="s">
        <v>27767</v>
      </c>
      <c r="N33" s="2531" t="s">
        <v>27687</v>
      </c>
    </row>
    <row r="34" spans="1:14" ht="17.25" customHeight="1" x14ac:dyDescent="0.35">
      <c r="A34" s="2562"/>
      <c r="B34" s="2561"/>
      <c r="C34" s="2561" t="s">
        <v>210</v>
      </c>
      <c r="D34" s="2546">
        <v>0</v>
      </c>
      <c r="E34" s="2547">
        <v>0</v>
      </c>
      <c r="F34" s="2546">
        <f>SUM(FTE_3_Part_time!I30,FTE_3_Part_time!I35)</f>
        <v>0</v>
      </c>
      <c r="G34" s="2547">
        <f>ROUND(F34*H_Parameters!$B$9*H_Parameters!$B$11,0)</f>
        <v>0</v>
      </c>
      <c r="H34" s="2548">
        <f t="shared" si="0"/>
        <v>0</v>
      </c>
      <c r="I34" s="2545">
        <f t="shared" si="1"/>
        <v>0</v>
      </c>
      <c r="L34" s="2531" t="s">
        <v>27692</v>
      </c>
      <c r="M34" s="2531" t="s">
        <v>27767</v>
      </c>
      <c r="N34" s="2531" t="s">
        <v>27688</v>
      </c>
    </row>
    <row r="35" spans="1:14" ht="17.25" customHeight="1" x14ac:dyDescent="0.35">
      <c r="A35" s="2562"/>
      <c r="B35" s="2561"/>
      <c r="C35" s="2561" t="s">
        <v>29452</v>
      </c>
      <c r="D35" s="2546">
        <v>0</v>
      </c>
      <c r="E35" s="2547">
        <v>0</v>
      </c>
      <c r="F35" s="2546">
        <f>SUM(FTE_3_Part_time!I31,FTE_3_Part_time!I36)</f>
        <v>0</v>
      </c>
      <c r="G35" s="2547">
        <f>ROUND(F35*H_Parameters!$B$9*H_Parameters!$B$11,0)</f>
        <v>0</v>
      </c>
      <c r="H35" s="2548">
        <f t="shared" si="0"/>
        <v>0</v>
      </c>
      <c r="I35" s="2545">
        <f t="shared" si="1"/>
        <v>0</v>
      </c>
      <c r="L35" s="2531" t="s">
        <v>27692</v>
      </c>
      <c r="M35" s="2531" t="s">
        <v>27767</v>
      </c>
      <c r="N35" s="2531" t="s">
        <v>27689</v>
      </c>
    </row>
    <row r="36" spans="1:14" ht="17.25" customHeight="1" x14ac:dyDescent="0.35">
      <c r="A36" s="2583"/>
      <c r="B36" s="2582"/>
      <c r="C36" s="2582" t="s">
        <v>214</v>
      </c>
      <c r="D36" s="2589">
        <v>0</v>
      </c>
      <c r="E36" s="2541">
        <v>0</v>
      </c>
      <c r="F36" s="2589">
        <f>SUM(FTE_3_Part_time!I32,FTE_3_Part_time!I37)</f>
        <v>0</v>
      </c>
      <c r="G36" s="2541">
        <f>ROUND(F36*H_Parameters!$B$9*H_Parameters!$B$11,0)</f>
        <v>0</v>
      </c>
      <c r="H36" s="2588">
        <f t="shared" si="0"/>
        <v>0</v>
      </c>
      <c r="I36" s="2539">
        <f t="shared" si="1"/>
        <v>0</v>
      </c>
      <c r="L36" s="2531" t="s">
        <v>27692</v>
      </c>
      <c r="M36" s="2531" t="s">
        <v>27767</v>
      </c>
      <c r="N36" s="2531" t="s">
        <v>27690</v>
      </c>
    </row>
    <row r="37" spans="1:14" ht="17.25" customHeight="1" x14ac:dyDescent="0.35">
      <c r="A37" s="2578" t="s">
        <v>251</v>
      </c>
      <c r="B37" s="2577" t="s">
        <v>189</v>
      </c>
      <c r="C37" s="2561" t="s">
        <v>205</v>
      </c>
      <c r="D37" s="2550">
        <v>0</v>
      </c>
      <c r="E37" s="2551">
        <v>0</v>
      </c>
      <c r="F37" s="2550">
        <f>SUM(FTE_1_Full_time!I38,FTE_1_Full_time!I43)</f>
        <v>0</v>
      </c>
      <c r="G37" s="2551">
        <f>ROUND(F37*H_Parameters!$B$10,0)</f>
        <v>0</v>
      </c>
      <c r="H37" s="2552">
        <f t="shared" si="0"/>
        <v>0</v>
      </c>
      <c r="I37" s="2549">
        <f t="shared" si="1"/>
        <v>0</v>
      </c>
      <c r="L37" s="2531" t="s">
        <v>27693</v>
      </c>
      <c r="M37" s="2531" t="s">
        <v>27747</v>
      </c>
      <c r="N37" s="2531" t="s">
        <v>27686</v>
      </c>
    </row>
    <row r="38" spans="1:14" ht="17.25" customHeight="1" x14ac:dyDescent="0.35">
      <c r="A38" s="2562"/>
      <c r="B38" s="2561"/>
      <c r="C38" s="2561" t="s">
        <v>208</v>
      </c>
      <c r="D38" s="2550">
        <v>0</v>
      </c>
      <c r="E38" s="2551">
        <v>0</v>
      </c>
      <c r="F38" s="2550">
        <f>SUM(FTE_1_Full_time!I39,FTE_1_Full_time!I44)</f>
        <v>0</v>
      </c>
      <c r="G38" s="2551">
        <f>ROUND(F38*H_Parameters!$B$10,0)</f>
        <v>0</v>
      </c>
      <c r="H38" s="2552">
        <f t="shared" si="0"/>
        <v>0</v>
      </c>
      <c r="I38" s="2549">
        <f t="shared" si="1"/>
        <v>0</v>
      </c>
      <c r="L38" s="2531" t="s">
        <v>27693</v>
      </c>
      <c r="M38" s="2531" t="s">
        <v>27747</v>
      </c>
      <c r="N38" s="2531" t="s">
        <v>27687</v>
      </c>
    </row>
    <row r="39" spans="1:14" ht="17.25" customHeight="1" x14ac:dyDescent="0.35">
      <c r="A39" s="2562"/>
      <c r="B39" s="2561"/>
      <c r="C39" s="2561" t="s">
        <v>210</v>
      </c>
      <c r="D39" s="2546">
        <v>0</v>
      </c>
      <c r="E39" s="2547">
        <v>0</v>
      </c>
      <c r="F39" s="2546">
        <f>SUM(FTE_1_Full_time!I40,FTE_1_Full_time!I45)</f>
        <v>0</v>
      </c>
      <c r="G39" s="2551">
        <f>ROUND(F39*H_Parameters!$B$10,0)</f>
        <v>0</v>
      </c>
      <c r="H39" s="2548">
        <f t="shared" si="0"/>
        <v>0</v>
      </c>
      <c r="I39" s="2545">
        <f t="shared" si="1"/>
        <v>0</v>
      </c>
      <c r="L39" s="2531" t="s">
        <v>27693</v>
      </c>
      <c r="M39" s="2531" t="s">
        <v>27747</v>
      </c>
      <c r="N39" s="2531" t="s">
        <v>27688</v>
      </c>
    </row>
    <row r="40" spans="1:14" ht="17.25" customHeight="1" x14ac:dyDescent="0.35">
      <c r="A40" s="2562"/>
      <c r="B40" s="2561"/>
      <c r="C40" s="2561" t="s">
        <v>29452</v>
      </c>
      <c r="D40" s="2546">
        <v>0</v>
      </c>
      <c r="E40" s="2547">
        <v>0</v>
      </c>
      <c r="F40" s="2546">
        <f>SUM(FTE_1_Full_time!I41,FTE_1_Full_time!I46)</f>
        <v>0</v>
      </c>
      <c r="G40" s="2551">
        <f>ROUND(F40*H_Parameters!$B$10,0)</f>
        <v>0</v>
      </c>
      <c r="H40" s="2548">
        <f t="shared" si="0"/>
        <v>0</v>
      </c>
      <c r="I40" s="2545">
        <f t="shared" si="1"/>
        <v>0</v>
      </c>
      <c r="L40" s="2531" t="s">
        <v>27693</v>
      </c>
      <c r="M40" s="2531" t="s">
        <v>27747</v>
      </c>
      <c r="N40" s="2531" t="s">
        <v>27689</v>
      </c>
    </row>
    <row r="41" spans="1:14" ht="17.25" customHeight="1" x14ac:dyDescent="0.35">
      <c r="A41" s="2562"/>
      <c r="B41" s="2576"/>
      <c r="C41" s="2576" t="s">
        <v>214</v>
      </c>
      <c r="D41" s="2596">
        <v>0</v>
      </c>
      <c r="E41" s="2595">
        <v>0</v>
      </c>
      <c r="F41" s="2596">
        <f>SUM(FTE_1_Full_time!I42,FTE_1_Full_time!I47)</f>
        <v>0</v>
      </c>
      <c r="G41" s="2595">
        <f>ROUND(F41*H_Parameters!$B$10,0)</f>
        <v>0</v>
      </c>
      <c r="H41" s="2594">
        <f t="shared" si="0"/>
        <v>0</v>
      </c>
      <c r="I41" s="2593">
        <f t="shared" si="1"/>
        <v>0</v>
      </c>
      <c r="L41" s="2531" t="s">
        <v>27693</v>
      </c>
      <c r="M41" s="2531" t="s">
        <v>27747</v>
      </c>
      <c r="N41" s="2531" t="s">
        <v>27690</v>
      </c>
    </row>
    <row r="42" spans="1:14" ht="17.25" customHeight="1" x14ac:dyDescent="0.35">
      <c r="A42" s="2562"/>
      <c r="B42" s="2572" t="s">
        <v>191</v>
      </c>
      <c r="C42" s="2572" t="s">
        <v>205</v>
      </c>
      <c r="D42" s="2592">
        <v>0</v>
      </c>
      <c r="E42" s="2598">
        <v>0</v>
      </c>
      <c r="F42" s="2592">
        <f>SUM(FTE_3_Part_time!I38,FTE_3_Part_time!I43)</f>
        <v>0</v>
      </c>
      <c r="G42" s="2551">
        <f>ROUND(F42*H_Parameters!$B$10,0)</f>
        <v>0</v>
      </c>
      <c r="H42" s="2591">
        <f t="shared" si="0"/>
        <v>0</v>
      </c>
      <c r="I42" s="2590">
        <f t="shared" si="1"/>
        <v>0</v>
      </c>
      <c r="L42" s="2531" t="s">
        <v>27693</v>
      </c>
      <c r="M42" s="2531" t="s">
        <v>27767</v>
      </c>
      <c r="N42" s="2531" t="s">
        <v>27686</v>
      </c>
    </row>
    <row r="43" spans="1:14" ht="17.25" customHeight="1" x14ac:dyDescent="0.35">
      <c r="A43" s="2562"/>
      <c r="B43" s="2561"/>
      <c r="C43" s="2561" t="s">
        <v>208</v>
      </c>
      <c r="D43" s="2550">
        <v>0</v>
      </c>
      <c r="E43" s="2551">
        <v>0</v>
      </c>
      <c r="F43" s="2550">
        <f>SUM(FTE_3_Part_time!I39,FTE_3_Part_time!I44)</f>
        <v>0</v>
      </c>
      <c r="G43" s="2551">
        <f>ROUND(F43*H_Parameters!$B$10,0)</f>
        <v>0</v>
      </c>
      <c r="H43" s="2552">
        <f t="shared" si="0"/>
        <v>0</v>
      </c>
      <c r="I43" s="2549">
        <f t="shared" si="1"/>
        <v>0</v>
      </c>
      <c r="L43" s="2531" t="s">
        <v>27693</v>
      </c>
      <c r="M43" s="2531" t="s">
        <v>27767</v>
      </c>
      <c r="N43" s="2531" t="s">
        <v>27687</v>
      </c>
    </row>
    <row r="44" spans="1:14" ht="17.25" customHeight="1" x14ac:dyDescent="0.35">
      <c r="A44" s="2562"/>
      <c r="B44" s="2561"/>
      <c r="C44" s="2561" t="s">
        <v>210</v>
      </c>
      <c r="D44" s="2546">
        <v>0</v>
      </c>
      <c r="E44" s="2547">
        <v>0</v>
      </c>
      <c r="F44" s="2546">
        <f>SUM(FTE_3_Part_time!I40,FTE_3_Part_time!I45)</f>
        <v>0</v>
      </c>
      <c r="G44" s="2551">
        <f>ROUND(F44*H_Parameters!$B$10,0)</f>
        <v>0</v>
      </c>
      <c r="H44" s="2548">
        <f t="shared" si="0"/>
        <v>0</v>
      </c>
      <c r="I44" s="2545">
        <f t="shared" si="1"/>
        <v>0</v>
      </c>
      <c r="L44" s="2531" t="s">
        <v>27693</v>
      </c>
      <c r="M44" s="2531" t="s">
        <v>27767</v>
      </c>
      <c r="N44" s="2531" t="s">
        <v>27688</v>
      </c>
    </row>
    <row r="45" spans="1:14" ht="17.25" customHeight="1" x14ac:dyDescent="0.35">
      <c r="A45" s="2562"/>
      <c r="B45" s="2561"/>
      <c r="C45" s="2561" t="s">
        <v>29452</v>
      </c>
      <c r="D45" s="2546">
        <v>0</v>
      </c>
      <c r="E45" s="2547">
        <v>0</v>
      </c>
      <c r="F45" s="2546">
        <f>SUM(FTE_3_Part_time!I41,FTE_3_Part_time!I46)</f>
        <v>0</v>
      </c>
      <c r="G45" s="2551">
        <f>ROUND(F45*H_Parameters!$B$10,0)</f>
        <v>0</v>
      </c>
      <c r="H45" s="2548">
        <f t="shared" si="0"/>
        <v>0</v>
      </c>
      <c r="I45" s="2545">
        <f t="shared" si="1"/>
        <v>0</v>
      </c>
      <c r="L45" s="2531" t="s">
        <v>27693</v>
      </c>
      <c r="M45" s="2531" t="s">
        <v>27767</v>
      </c>
      <c r="N45" s="2531" t="s">
        <v>27689</v>
      </c>
    </row>
    <row r="46" spans="1:14" ht="17.25" customHeight="1" x14ac:dyDescent="0.35">
      <c r="A46" s="2583"/>
      <c r="B46" s="2582"/>
      <c r="C46" s="2582" t="s">
        <v>214</v>
      </c>
      <c r="D46" s="2589">
        <v>0</v>
      </c>
      <c r="E46" s="2541">
        <v>0</v>
      </c>
      <c r="F46" s="2589">
        <f>SUM(FTE_3_Part_time!I42,FTE_3_Part_time!I47)</f>
        <v>0</v>
      </c>
      <c r="G46" s="2551">
        <f>ROUND(F46*H_Parameters!$B$10,0)</f>
        <v>0</v>
      </c>
      <c r="H46" s="2588">
        <f t="shared" si="0"/>
        <v>0</v>
      </c>
      <c r="I46" s="2539">
        <f t="shared" si="1"/>
        <v>0</v>
      </c>
      <c r="L46" s="2531" t="s">
        <v>27693</v>
      </c>
      <c r="M46" s="2531" t="s">
        <v>27767</v>
      </c>
      <c r="N46" s="2531" t="s">
        <v>27690</v>
      </c>
    </row>
    <row r="47" spans="1:14" ht="17.25" customHeight="1" x14ac:dyDescent="0.35">
      <c r="A47" s="2578" t="s">
        <v>264</v>
      </c>
      <c r="B47" s="2577" t="s">
        <v>189</v>
      </c>
      <c r="C47" s="2561" t="s">
        <v>205</v>
      </c>
      <c r="D47" s="3329"/>
      <c r="E47" s="2567"/>
      <c r="F47" s="2568"/>
      <c r="G47" s="2587"/>
      <c r="H47" s="2566"/>
      <c r="I47" s="2566"/>
      <c r="L47" s="2531" t="s">
        <v>264</v>
      </c>
      <c r="M47" s="2531" t="s">
        <v>27747</v>
      </c>
      <c r="N47" s="2531" t="s">
        <v>27686</v>
      </c>
    </row>
    <row r="48" spans="1:14" ht="17.25" customHeight="1" x14ac:dyDescent="0.35">
      <c r="A48" s="2562"/>
      <c r="B48" s="2561"/>
      <c r="C48" s="2561" t="s">
        <v>208</v>
      </c>
      <c r="D48" s="3329"/>
      <c r="E48" s="2567"/>
      <c r="F48" s="2568"/>
      <c r="G48" s="2567"/>
      <c r="H48" s="2566"/>
      <c r="I48" s="2566"/>
      <c r="L48" s="2531" t="s">
        <v>264</v>
      </c>
      <c r="M48" s="2531" t="s">
        <v>27747</v>
      </c>
      <c r="N48" s="2531" t="s">
        <v>27687</v>
      </c>
    </row>
    <row r="49" spans="1:14" ht="17.25" customHeight="1" x14ac:dyDescent="0.35">
      <c r="A49" s="2562"/>
      <c r="B49" s="2561"/>
      <c r="C49" s="2561" t="s">
        <v>210</v>
      </c>
      <c r="D49" s="3330">
        <v>0</v>
      </c>
      <c r="E49" s="2564">
        <v>0</v>
      </c>
      <c r="F49" s="2565"/>
      <c r="G49" s="2564">
        <v>0</v>
      </c>
      <c r="H49" s="2563">
        <v>0</v>
      </c>
      <c r="I49" s="2563">
        <v>0</v>
      </c>
      <c r="L49" s="2531" t="s">
        <v>264</v>
      </c>
      <c r="M49" s="2531" t="s">
        <v>27747</v>
      </c>
      <c r="N49" s="2531" t="s">
        <v>27688</v>
      </c>
    </row>
    <row r="50" spans="1:14" ht="17.25" customHeight="1" x14ac:dyDescent="0.35">
      <c r="A50" s="2562"/>
      <c r="B50" s="2561"/>
      <c r="C50" s="2561" t="s">
        <v>29452</v>
      </c>
      <c r="D50" s="3330"/>
      <c r="E50" s="2564"/>
      <c r="F50" s="2565"/>
      <c r="G50" s="2564"/>
      <c r="H50" s="2563"/>
      <c r="I50" s="2563"/>
      <c r="L50" s="2531" t="s">
        <v>264</v>
      </c>
      <c r="M50" s="2531" t="s">
        <v>27747</v>
      </c>
      <c r="N50" s="2531" t="s">
        <v>27689</v>
      </c>
    </row>
    <row r="51" spans="1:14" ht="17.25" customHeight="1" x14ac:dyDescent="0.35">
      <c r="A51" s="2562"/>
      <c r="B51" s="2576"/>
      <c r="C51" s="2576" t="s">
        <v>214</v>
      </c>
      <c r="D51" s="3331"/>
      <c r="E51" s="2574"/>
      <c r="F51" s="2575"/>
      <c r="G51" s="2574"/>
      <c r="H51" s="2573"/>
      <c r="I51" s="2573"/>
      <c r="L51" s="2531" t="s">
        <v>264</v>
      </c>
      <c r="M51" s="2531" t="s">
        <v>27747</v>
      </c>
      <c r="N51" s="2531" t="s">
        <v>27690</v>
      </c>
    </row>
    <row r="52" spans="1:14" ht="17.25" customHeight="1" x14ac:dyDescent="0.35">
      <c r="A52" s="2562"/>
      <c r="B52" s="2586" t="s">
        <v>190</v>
      </c>
      <c r="C52" s="2572" t="s">
        <v>205</v>
      </c>
      <c r="D52" s="3332"/>
      <c r="E52" s="2570"/>
      <c r="F52" s="2571"/>
      <c r="G52" s="2570"/>
      <c r="H52" s="2569"/>
      <c r="I52" s="2569"/>
      <c r="L52" s="2531" t="s">
        <v>264</v>
      </c>
      <c r="M52" s="2531" t="s">
        <v>27748</v>
      </c>
      <c r="N52" s="2531" t="s">
        <v>27686</v>
      </c>
    </row>
    <row r="53" spans="1:14" ht="17.25" customHeight="1" x14ac:dyDescent="0.35">
      <c r="A53" s="2562"/>
      <c r="B53" s="2585"/>
      <c r="C53" s="2561" t="s">
        <v>208</v>
      </c>
      <c r="D53" s="3329"/>
      <c r="E53" s="2567"/>
      <c r="F53" s="2568"/>
      <c r="G53" s="2567"/>
      <c r="H53" s="2566"/>
      <c r="I53" s="2566"/>
      <c r="L53" s="2531" t="s">
        <v>264</v>
      </c>
      <c r="M53" s="2531" t="s">
        <v>27748</v>
      </c>
      <c r="N53" s="2531" t="s">
        <v>27687</v>
      </c>
    </row>
    <row r="54" spans="1:14" ht="17.25" customHeight="1" x14ac:dyDescent="0.35">
      <c r="A54" s="2562"/>
      <c r="B54" s="2585"/>
      <c r="C54" s="2561" t="s">
        <v>210</v>
      </c>
      <c r="D54" s="3330"/>
      <c r="E54" s="2564"/>
      <c r="F54" s="2565"/>
      <c r="G54" s="2564"/>
      <c r="H54" s="2563"/>
      <c r="I54" s="2563"/>
      <c r="L54" s="2531" t="s">
        <v>264</v>
      </c>
      <c r="M54" s="2531" t="s">
        <v>27748</v>
      </c>
      <c r="N54" s="2531" t="s">
        <v>27688</v>
      </c>
    </row>
    <row r="55" spans="1:14" ht="17.25" customHeight="1" x14ac:dyDescent="0.35">
      <c r="A55" s="2562"/>
      <c r="B55" s="2584"/>
      <c r="C55" s="2561" t="s">
        <v>29452</v>
      </c>
      <c r="D55" s="3330"/>
      <c r="E55" s="2564"/>
      <c r="F55" s="2565"/>
      <c r="G55" s="2564"/>
      <c r="H55" s="2563"/>
      <c r="I55" s="2563"/>
      <c r="L55" s="2531" t="s">
        <v>264</v>
      </c>
      <c r="M55" s="2531" t="s">
        <v>27748</v>
      </c>
      <c r="N55" s="2531" t="s">
        <v>27689</v>
      </c>
    </row>
    <row r="56" spans="1:14" ht="17.25" customHeight="1" x14ac:dyDescent="0.35">
      <c r="A56" s="2562"/>
      <c r="B56" s="2576"/>
      <c r="C56" s="2576" t="s">
        <v>214</v>
      </c>
      <c r="D56" s="3331"/>
      <c r="E56" s="2574"/>
      <c r="F56" s="2575"/>
      <c r="G56" s="2574"/>
      <c r="H56" s="2573"/>
      <c r="I56" s="2573"/>
      <c r="L56" s="2531" t="s">
        <v>264</v>
      </c>
      <c r="M56" s="2531" t="s">
        <v>27748</v>
      </c>
      <c r="N56" s="2531" t="s">
        <v>27690</v>
      </c>
    </row>
    <row r="57" spans="1:14" ht="17.25" customHeight="1" x14ac:dyDescent="0.35">
      <c r="A57" s="2562"/>
      <c r="B57" s="2572" t="s">
        <v>191</v>
      </c>
      <c r="C57" s="2572" t="s">
        <v>205</v>
      </c>
      <c r="D57" s="3332"/>
      <c r="E57" s="2570"/>
      <c r="F57" s="2571"/>
      <c r="G57" s="2570"/>
      <c r="H57" s="2569"/>
      <c r="I57" s="2569"/>
      <c r="L57" s="2531" t="s">
        <v>264</v>
      </c>
      <c r="M57" s="2531" t="s">
        <v>27767</v>
      </c>
      <c r="N57" s="2531" t="s">
        <v>27686</v>
      </c>
    </row>
    <row r="58" spans="1:14" ht="17.25" customHeight="1" x14ac:dyDescent="0.35">
      <c r="A58" s="2562"/>
      <c r="B58" s="2561"/>
      <c r="C58" s="2561" t="s">
        <v>208</v>
      </c>
      <c r="D58" s="3329"/>
      <c r="E58" s="2567"/>
      <c r="F58" s="2568"/>
      <c r="G58" s="2567"/>
      <c r="H58" s="2566"/>
      <c r="I58" s="2566"/>
      <c r="L58" s="2531" t="s">
        <v>264</v>
      </c>
      <c r="M58" s="2531" t="s">
        <v>27767</v>
      </c>
      <c r="N58" s="2531" t="s">
        <v>27687</v>
      </c>
    </row>
    <row r="59" spans="1:14" ht="17.25" customHeight="1" x14ac:dyDescent="0.35">
      <c r="A59" s="2562"/>
      <c r="B59" s="2561"/>
      <c r="C59" s="2561" t="s">
        <v>210</v>
      </c>
      <c r="D59" s="3330"/>
      <c r="E59" s="2564"/>
      <c r="F59" s="2565"/>
      <c r="G59" s="2564"/>
      <c r="H59" s="2563"/>
      <c r="I59" s="2563"/>
      <c r="L59" s="2531" t="s">
        <v>264</v>
      </c>
      <c r="M59" s="2531" t="s">
        <v>27767</v>
      </c>
      <c r="N59" s="2531" t="s">
        <v>27688</v>
      </c>
    </row>
    <row r="60" spans="1:14" ht="17.25" customHeight="1" x14ac:dyDescent="0.35">
      <c r="A60" s="2562"/>
      <c r="B60" s="2561"/>
      <c r="C60" s="2561" t="s">
        <v>29452</v>
      </c>
      <c r="D60" s="3330"/>
      <c r="E60" s="2564"/>
      <c r="F60" s="2565"/>
      <c r="G60" s="2564"/>
      <c r="H60" s="2563"/>
      <c r="I60" s="2563"/>
      <c r="L60" s="2531" t="s">
        <v>264</v>
      </c>
      <c r="M60" s="2531" t="s">
        <v>27767</v>
      </c>
      <c r="N60" s="2531" t="s">
        <v>27689</v>
      </c>
    </row>
    <row r="61" spans="1:14" ht="17.25" customHeight="1" x14ac:dyDescent="0.35">
      <c r="A61" s="2583"/>
      <c r="B61" s="2582"/>
      <c r="C61" s="2582" t="s">
        <v>214</v>
      </c>
      <c r="D61" s="3333"/>
      <c r="E61" s="2580"/>
      <c r="F61" s="2581"/>
      <c r="G61" s="2580"/>
      <c r="H61" s="2579"/>
      <c r="I61" s="2579"/>
      <c r="L61" s="2531" t="s">
        <v>264</v>
      </c>
      <c r="M61" s="2531" t="s">
        <v>27767</v>
      </c>
      <c r="N61" s="2531" t="s">
        <v>27690</v>
      </c>
    </row>
    <row r="62" spans="1:14" ht="17.25" customHeight="1" x14ac:dyDescent="0.35">
      <c r="A62" s="2578" t="s">
        <v>277</v>
      </c>
      <c r="B62" s="2577" t="s">
        <v>189</v>
      </c>
      <c r="C62" s="2561" t="s">
        <v>205</v>
      </c>
      <c r="D62" s="3329">
        <v>0</v>
      </c>
      <c r="E62" s="2567">
        <v>0</v>
      </c>
      <c r="F62" s="2568"/>
      <c r="G62" s="2567">
        <v>0</v>
      </c>
      <c r="H62" s="2566">
        <v>0</v>
      </c>
      <c r="I62" s="2566">
        <v>0</v>
      </c>
      <c r="L62" s="2531" t="s">
        <v>277</v>
      </c>
      <c r="M62" s="2531" t="s">
        <v>27747</v>
      </c>
      <c r="N62" s="2531" t="s">
        <v>27686</v>
      </c>
    </row>
    <row r="63" spans="1:14" ht="17.25" customHeight="1" x14ac:dyDescent="0.35">
      <c r="A63" s="2562"/>
      <c r="B63" s="2561"/>
      <c r="C63" s="2561" t="s">
        <v>208</v>
      </c>
      <c r="D63" s="3329"/>
      <c r="E63" s="2567"/>
      <c r="F63" s="2568"/>
      <c r="G63" s="2567"/>
      <c r="H63" s="2566"/>
      <c r="I63" s="2566"/>
      <c r="L63" s="2531" t="s">
        <v>277</v>
      </c>
      <c r="M63" s="2531" t="s">
        <v>27747</v>
      </c>
      <c r="N63" s="2531" t="s">
        <v>27687</v>
      </c>
    </row>
    <row r="64" spans="1:14" ht="17.25" customHeight="1" x14ac:dyDescent="0.35">
      <c r="A64" s="2562"/>
      <c r="B64" s="2561"/>
      <c r="C64" s="2561" t="s">
        <v>210</v>
      </c>
      <c r="D64" s="3330">
        <v>0</v>
      </c>
      <c r="E64" s="2564">
        <v>0</v>
      </c>
      <c r="F64" s="2565"/>
      <c r="G64" s="2564">
        <v>0</v>
      </c>
      <c r="H64" s="2563">
        <v>0</v>
      </c>
      <c r="I64" s="2563">
        <v>0</v>
      </c>
      <c r="L64" s="2531" t="s">
        <v>277</v>
      </c>
      <c r="M64" s="2531" t="s">
        <v>27747</v>
      </c>
      <c r="N64" s="2531" t="s">
        <v>27688</v>
      </c>
    </row>
    <row r="65" spans="1:14" ht="17.25" customHeight="1" x14ac:dyDescent="0.35">
      <c r="A65" s="2562"/>
      <c r="B65" s="2561"/>
      <c r="C65" s="2561" t="s">
        <v>29452</v>
      </c>
      <c r="D65" s="3330"/>
      <c r="E65" s="2564"/>
      <c r="F65" s="2565"/>
      <c r="G65" s="2564"/>
      <c r="H65" s="2563"/>
      <c r="I65" s="2563"/>
      <c r="L65" s="2531" t="s">
        <v>277</v>
      </c>
      <c r="M65" s="2531" t="s">
        <v>27747</v>
      </c>
      <c r="N65" s="2531" t="s">
        <v>27689</v>
      </c>
    </row>
    <row r="66" spans="1:14" ht="17.25" customHeight="1" x14ac:dyDescent="0.35">
      <c r="A66" s="2562"/>
      <c r="B66" s="2576"/>
      <c r="C66" s="2576" t="s">
        <v>214</v>
      </c>
      <c r="D66" s="3331">
        <v>0</v>
      </c>
      <c r="E66" s="2574">
        <v>0</v>
      </c>
      <c r="F66" s="2575"/>
      <c r="G66" s="2574">
        <v>0</v>
      </c>
      <c r="H66" s="2573">
        <v>0</v>
      </c>
      <c r="I66" s="2573">
        <v>0</v>
      </c>
      <c r="L66" s="2531" t="s">
        <v>277</v>
      </c>
      <c r="M66" s="2531" t="s">
        <v>27747</v>
      </c>
      <c r="N66" s="2531" t="s">
        <v>27690</v>
      </c>
    </row>
    <row r="67" spans="1:14" ht="17.25" customHeight="1" x14ac:dyDescent="0.35">
      <c r="A67" s="2562"/>
      <c r="B67" s="2572" t="s">
        <v>191</v>
      </c>
      <c r="C67" s="2572" t="s">
        <v>205</v>
      </c>
      <c r="D67" s="3332">
        <v>0</v>
      </c>
      <c r="E67" s="2570">
        <v>0</v>
      </c>
      <c r="F67" s="2571"/>
      <c r="G67" s="2570">
        <v>0</v>
      </c>
      <c r="H67" s="2569">
        <v>0</v>
      </c>
      <c r="I67" s="2569">
        <v>0</v>
      </c>
      <c r="L67" s="2531" t="s">
        <v>277</v>
      </c>
      <c r="M67" s="2531" t="s">
        <v>27767</v>
      </c>
      <c r="N67" s="2531" t="s">
        <v>27686</v>
      </c>
    </row>
    <row r="68" spans="1:14" ht="17.25" customHeight="1" x14ac:dyDescent="0.35">
      <c r="A68" s="2562"/>
      <c r="B68" s="2561"/>
      <c r="C68" s="2561" t="s">
        <v>208</v>
      </c>
      <c r="D68" s="3329"/>
      <c r="E68" s="2567"/>
      <c r="F68" s="2568"/>
      <c r="G68" s="2567"/>
      <c r="H68" s="2566"/>
      <c r="I68" s="2566"/>
      <c r="L68" s="2531" t="s">
        <v>277</v>
      </c>
      <c r="M68" s="2531" t="s">
        <v>27767</v>
      </c>
      <c r="N68" s="2531" t="s">
        <v>27687</v>
      </c>
    </row>
    <row r="69" spans="1:14" ht="17.25" customHeight="1" x14ac:dyDescent="0.35">
      <c r="A69" s="2562"/>
      <c r="B69" s="2561"/>
      <c r="C69" s="2561" t="s">
        <v>210</v>
      </c>
      <c r="D69" s="3330">
        <v>0</v>
      </c>
      <c r="E69" s="2564">
        <v>0</v>
      </c>
      <c r="F69" s="2565"/>
      <c r="G69" s="2564">
        <v>0</v>
      </c>
      <c r="H69" s="2563">
        <v>0</v>
      </c>
      <c r="I69" s="2563">
        <v>0</v>
      </c>
      <c r="L69" s="2531" t="s">
        <v>277</v>
      </c>
      <c r="M69" s="2531" t="s">
        <v>27767</v>
      </c>
      <c r="N69" s="2531" t="s">
        <v>27688</v>
      </c>
    </row>
    <row r="70" spans="1:14" ht="17.25" customHeight="1" x14ac:dyDescent="0.35">
      <c r="A70" s="2562"/>
      <c r="B70" s="2561"/>
      <c r="C70" s="2561" t="s">
        <v>29452</v>
      </c>
      <c r="D70" s="3330"/>
      <c r="E70" s="2564"/>
      <c r="F70" s="2565"/>
      <c r="G70" s="2564"/>
      <c r="H70" s="2563"/>
      <c r="I70" s="2563"/>
      <c r="L70" s="2531" t="s">
        <v>277</v>
      </c>
      <c r="M70" s="2531" t="s">
        <v>27767</v>
      </c>
      <c r="N70" s="2531" t="s">
        <v>27689</v>
      </c>
    </row>
    <row r="71" spans="1:14" ht="17.25" customHeight="1" thickBot="1" x14ac:dyDescent="0.4">
      <c r="A71" s="2562"/>
      <c r="B71" s="2561"/>
      <c r="C71" s="2561" t="s">
        <v>214</v>
      </c>
      <c r="D71" s="3334">
        <v>0</v>
      </c>
      <c r="E71" s="3335">
        <v>0</v>
      </c>
      <c r="F71" s="2560"/>
      <c r="G71" s="2559">
        <v>0</v>
      </c>
      <c r="H71" s="2558">
        <v>0</v>
      </c>
      <c r="I71" s="2558">
        <v>0</v>
      </c>
      <c r="L71" s="2531" t="s">
        <v>277</v>
      </c>
      <c r="M71" s="2531" t="s">
        <v>27767</v>
      </c>
      <c r="N71" s="2531" t="s">
        <v>27690</v>
      </c>
    </row>
    <row r="72" spans="1:14" ht="17.25" customHeight="1" thickTop="1" x14ac:dyDescent="0.35">
      <c r="A72" s="2557" t="s">
        <v>29453</v>
      </c>
      <c r="B72" s="2556"/>
      <c r="C72" s="3326" t="s">
        <v>205</v>
      </c>
      <c r="D72" s="2554">
        <v>0</v>
      </c>
      <c r="E72" s="3336">
        <v>0</v>
      </c>
      <c r="F72" s="2554">
        <f>SUM(F7,F12,F17,F22,F27,F32,F37,F42,F47,F52,F57,F62,F67)</f>
        <v>0</v>
      </c>
      <c r="G72" s="2555">
        <f>SUM(G7,G12,G17,G22,G27, G32, G37,G42)</f>
        <v>0</v>
      </c>
      <c r="H72" s="2554">
        <f t="shared" ref="H72:H77" si="2">F72-D72</f>
        <v>0</v>
      </c>
      <c r="I72" s="2553">
        <f t="shared" ref="I72:I77" si="3">ROUND(G72-E72,0)</f>
        <v>0</v>
      </c>
      <c r="L72" s="2531" t="s">
        <v>29451</v>
      </c>
      <c r="M72" s="2531" t="s">
        <v>27937</v>
      </c>
      <c r="N72" s="2531" t="s">
        <v>27686</v>
      </c>
    </row>
    <row r="73" spans="1:14" ht="17.25" customHeight="1" x14ac:dyDescent="0.35">
      <c r="A73" s="2544"/>
      <c r="B73" s="2543"/>
      <c r="C73" s="2543" t="s">
        <v>208</v>
      </c>
      <c r="D73" s="2550">
        <v>0</v>
      </c>
      <c r="E73" s="2551">
        <v>0</v>
      </c>
      <c r="F73" s="2550">
        <f>SUM(F8,F13,F18,F23,F28,F33,F38,F43,F48,F53,F58,F63,F68)</f>
        <v>0</v>
      </c>
      <c r="G73" s="2551">
        <f>SUM(G8,G13,G18,G23,G28, G33, G38,G43)</f>
        <v>0</v>
      </c>
      <c r="H73" s="2550">
        <f t="shared" si="2"/>
        <v>0</v>
      </c>
      <c r="I73" s="2549">
        <f t="shared" si="3"/>
        <v>0</v>
      </c>
      <c r="L73" s="2531" t="s">
        <v>29451</v>
      </c>
      <c r="M73" s="2531" t="s">
        <v>27937</v>
      </c>
      <c r="N73" s="2531" t="s">
        <v>27687</v>
      </c>
    </row>
    <row r="74" spans="1:14" ht="17.25" customHeight="1" x14ac:dyDescent="0.35">
      <c r="A74" s="2544"/>
      <c r="B74" s="2543"/>
      <c r="C74" s="2543" t="s">
        <v>210</v>
      </c>
      <c r="D74" s="2546">
        <v>0</v>
      </c>
      <c r="E74" s="2547">
        <v>0</v>
      </c>
      <c r="F74" s="2546">
        <f>SUM(F9,F14,F19,F24,F29,F34,F39,F44,F49,F54,F59,F64,F69)</f>
        <v>0</v>
      </c>
      <c r="G74" s="2547">
        <f>SUM(G9,G14,G19,G24,G29,G34,G39,G44)</f>
        <v>0</v>
      </c>
      <c r="H74" s="2546">
        <f t="shared" si="2"/>
        <v>0</v>
      </c>
      <c r="I74" s="2545">
        <f t="shared" si="3"/>
        <v>0</v>
      </c>
      <c r="L74" s="2531" t="s">
        <v>29451</v>
      </c>
      <c r="M74" s="2531" t="s">
        <v>27937</v>
      </c>
      <c r="N74" s="2531" t="s">
        <v>27688</v>
      </c>
    </row>
    <row r="75" spans="1:14" ht="17.25" customHeight="1" x14ac:dyDescent="0.35">
      <c r="A75" s="2544"/>
      <c r="B75" s="2543"/>
      <c r="C75" s="2543" t="s">
        <v>29452</v>
      </c>
      <c r="D75" s="2546">
        <v>0</v>
      </c>
      <c r="E75" s="2547">
        <v>0</v>
      </c>
      <c r="F75" s="2546">
        <f>SUM(F10,F15,F20,F25,F30,F35,F40,F45,F50,F55,F60,F65,F70)</f>
        <v>0</v>
      </c>
      <c r="G75" s="2547">
        <f>SUM(G10,G15,G20,G25,G30,G35,G40,G45)</f>
        <v>0</v>
      </c>
      <c r="H75" s="2546">
        <f t="shared" si="2"/>
        <v>0</v>
      </c>
      <c r="I75" s="2545">
        <f t="shared" si="3"/>
        <v>0</v>
      </c>
      <c r="L75" s="2531" t="s">
        <v>29451</v>
      </c>
      <c r="M75" s="2531" t="s">
        <v>27937</v>
      </c>
      <c r="N75" s="2531" t="s">
        <v>27689</v>
      </c>
    </row>
    <row r="76" spans="1:14" ht="17.25" customHeight="1" x14ac:dyDescent="0.35">
      <c r="A76" s="2544"/>
      <c r="B76" s="2543"/>
      <c r="C76" s="2542" t="s">
        <v>214</v>
      </c>
      <c r="D76" s="2540">
        <v>0</v>
      </c>
      <c r="E76" s="2599">
        <v>0</v>
      </c>
      <c r="F76" s="2540">
        <f>SUM(F11,F16,F21,F26,F31,F36,F41,F46,F51,F56,F61,F66,F71)</f>
        <v>0</v>
      </c>
      <c r="G76" s="2541">
        <f>SUM(G11,G16,G21,G26,G31,G36,G41,G46)</f>
        <v>0</v>
      </c>
      <c r="H76" s="2540">
        <f t="shared" si="2"/>
        <v>0</v>
      </c>
      <c r="I76" s="2539">
        <f t="shared" si="3"/>
        <v>0</v>
      </c>
      <c r="L76" s="2531" t="s">
        <v>29451</v>
      </c>
      <c r="M76" s="2531" t="s">
        <v>27937</v>
      </c>
      <c r="N76" s="2531" t="s">
        <v>27690</v>
      </c>
    </row>
    <row r="77" spans="1:14" ht="17.25" customHeight="1" thickBot="1" x14ac:dyDescent="0.4">
      <c r="A77" s="2538"/>
      <c r="B77" s="2537"/>
      <c r="C77" s="2536" t="s">
        <v>27696</v>
      </c>
      <c r="D77" s="2535">
        <v>0</v>
      </c>
      <c r="E77" s="2534">
        <v>0</v>
      </c>
      <c r="F77" s="2535">
        <f>SUM(F72:F76)</f>
        <v>0</v>
      </c>
      <c r="G77" s="2534">
        <f>SUM(G72:G76)</f>
        <v>0</v>
      </c>
      <c r="H77" s="2533">
        <f t="shared" si="2"/>
        <v>0</v>
      </c>
      <c r="I77" s="2532">
        <f t="shared" si="3"/>
        <v>0</v>
      </c>
      <c r="L77" s="2531" t="s">
        <v>29451</v>
      </c>
      <c r="M77" s="2531" t="s">
        <v>27937</v>
      </c>
      <c r="N77" s="2531" t="s">
        <v>27937</v>
      </c>
    </row>
    <row r="78" spans="1:14" hidden="1" x14ac:dyDescent="0.35"/>
    <row r="79" spans="1:14" hidden="1" x14ac:dyDescent="0.35">
      <c r="D79" s="2531" t="s">
        <v>29725</v>
      </c>
      <c r="E79" s="2531" t="s">
        <v>29726</v>
      </c>
      <c r="F79" s="2530" t="s">
        <v>27714</v>
      </c>
      <c r="G79" s="2530" t="s">
        <v>29726</v>
      </c>
      <c r="H79" s="2529"/>
      <c r="I79" s="2529"/>
      <c r="J79" s="2528"/>
    </row>
  </sheetData>
  <sheetProtection algorithmName="SHA-512" hashValue="bb0IeL3B95/uCun2IFWhVREgAG/LZ8hiyz5IqCNYcAA7L3cg16p+c7bP8jXI3nbz4SyUholEunb0HSrhHEFizQ==" saltValue="pExfFQdrCtNq6nN/0Ml2Ew==" spinCount="100000" sheet="1" objects="1" scenarios="1"/>
  <mergeCells count="3">
    <mergeCell ref="D5:E5"/>
    <mergeCell ref="F5:G5"/>
    <mergeCell ref="H5:I5"/>
  </mergeCells>
  <conditionalFormatting sqref="D7:I77">
    <cfRule type="cellIs" dxfId="4" priority="1" operator="equal">
      <formula>0</formula>
    </cfRule>
  </conditionalFormatting>
  <hyperlinks>
    <hyperlink ref="A4" r:id="rId1" display="Please see Appendix 5 for additional information about these tables: Appendix 5" xr:uid="{0802EA5B-74A1-4BEC-9F25-297E962B37E4}"/>
  </hyperlinks>
  <pageMargins left="0.70866141732283472" right="0.70866141732283472" top="0.74803149606299213" bottom="0.74803149606299213" header="0.31496062992125984" footer="0.31496062992125984"/>
  <pageSetup paperSize="9" scale="55" orientation="landscape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5C651-FB5E-4913-8873-966D36E1CAF2}">
  <sheetPr codeName="Sheet51">
    <tabColor theme="9" tint="0.39997558519241921"/>
    <pageSetUpPr fitToPage="1"/>
  </sheetPr>
  <dimension ref="A1:S49"/>
  <sheetViews>
    <sheetView showGridLines="0" workbookViewId="0"/>
  </sheetViews>
  <sheetFormatPr defaultColWidth="9" defaultRowHeight="13.15" x14ac:dyDescent="0.35"/>
  <cols>
    <col min="1" max="1" width="30.59765625" style="2477" customWidth="1"/>
    <col min="2" max="2" width="14.73046875" style="2477" customWidth="1"/>
    <col min="3" max="4" width="19.73046875" style="2477" customWidth="1"/>
    <col min="5" max="5" width="14.86328125" style="2477" customWidth="1"/>
    <col min="6" max="6" width="14.86328125" style="2477" bestFit="1" customWidth="1"/>
    <col min="7" max="8" width="18.86328125" style="2477" customWidth="1"/>
    <col min="9" max="9" width="13" style="2477" customWidth="1"/>
    <col min="10" max="10" width="15.265625" style="2477" customWidth="1"/>
    <col min="11" max="11" width="14.59765625" style="2477" customWidth="1"/>
    <col min="12" max="12" width="14.86328125" style="2477" customWidth="1"/>
    <col min="13" max="13" width="14.59765625" style="2477" customWidth="1"/>
    <col min="14" max="14" width="14.59765625" style="2477" hidden="1" customWidth="1"/>
    <col min="15" max="15" width="9" style="2477" hidden="1" customWidth="1"/>
    <col min="16" max="17" width="11" style="2477" customWidth="1"/>
    <col min="18" max="18" width="9" style="2477" customWidth="1"/>
    <col min="19" max="19" width="9" style="2477" hidden="1" customWidth="1"/>
    <col min="20" max="20" width="9" style="2477" customWidth="1"/>
    <col min="21" max="16384" width="9" style="2477"/>
  </cols>
  <sheetData>
    <row r="1" spans="1:19" ht="25.5" customHeight="1" x14ac:dyDescent="0.4">
      <c r="A1" s="636" t="s">
        <v>29803</v>
      </c>
      <c r="B1" s="2708"/>
      <c r="C1" s="2525"/>
      <c r="D1" s="2525"/>
      <c r="E1" s="2525"/>
      <c r="F1" s="2525"/>
      <c r="G1" s="2525"/>
      <c r="S1" s="2616"/>
    </row>
    <row r="2" spans="1:19" ht="19.5" customHeight="1" x14ac:dyDescent="0.4">
      <c r="A2" s="637" t="str">
        <f>IF(PROVIDER="","Provider name",PROVIDER&amp;" ("&amp;UKPRN&amp;")")</f>
        <v>Provider name</v>
      </c>
      <c r="B2" s="2708"/>
      <c r="C2" s="2525"/>
      <c r="D2" s="2525"/>
      <c r="E2" s="2525"/>
      <c r="F2" s="2525"/>
      <c r="G2" s="2525"/>
    </row>
    <row r="3" spans="1:19" ht="22.5" customHeight="1" x14ac:dyDescent="0.45">
      <c r="A3" s="2270"/>
      <c r="B3" s="2708"/>
      <c r="C3" s="2525"/>
      <c r="D3" s="2525"/>
      <c r="E3" s="2525"/>
      <c r="F3" s="2525"/>
      <c r="G3" s="2525"/>
    </row>
    <row r="4" spans="1:19" ht="15.75" customHeight="1" x14ac:dyDescent="0.4">
      <c r="A4" s="2709" t="s">
        <v>29450</v>
      </c>
      <c r="B4" s="2708"/>
      <c r="C4" s="2525"/>
      <c r="D4" s="2525"/>
      <c r="E4" s="2525"/>
      <c r="F4" s="2525"/>
      <c r="G4" s="2525"/>
    </row>
    <row r="5" spans="1:19" ht="39" customHeight="1" thickBot="1" x14ac:dyDescent="0.45">
      <c r="A5" s="2707" t="s">
        <v>29462</v>
      </c>
      <c r="B5" s="2706"/>
      <c r="C5" s="2705"/>
      <c r="D5" s="2705"/>
      <c r="E5" s="2705"/>
      <c r="F5" s="2705"/>
      <c r="G5" s="2705"/>
      <c r="H5" s="2705"/>
      <c r="I5" s="2705"/>
      <c r="J5" s="2705"/>
      <c r="K5" s="2705"/>
      <c r="L5" s="2705"/>
      <c r="S5" s="2524"/>
    </row>
    <row r="6" spans="1:19" ht="27" customHeight="1" x14ac:dyDescent="0.4">
      <c r="B6" s="2617"/>
      <c r="C6" s="3520" t="str">
        <f>"Calculations modelled from 
FTEs for 2025-26 funding"</f>
        <v>Calculations modelled from 
FTEs for 2025-26 funding</v>
      </c>
      <c r="D6" s="3521"/>
      <c r="E6" s="3521"/>
      <c r="F6" s="3521"/>
      <c r="G6" s="3520" t="str">
        <f>"Calculations modelled from representation FTEs for 2025-26 funding"</f>
        <v>Calculations modelled from representation FTEs for 2025-26 funding</v>
      </c>
      <c r="H6" s="3521"/>
      <c r="I6" s="3521"/>
      <c r="J6" s="3522"/>
      <c r="K6" s="3523" t="s">
        <v>27901</v>
      </c>
      <c r="L6" s="3523"/>
      <c r="M6" s="2610"/>
      <c r="N6" s="2704"/>
    </row>
    <row r="7" spans="1:19" ht="60" customHeight="1" x14ac:dyDescent="0.35">
      <c r="A7" s="2703" t="s">
        <v>29461</v>
      </c>
      <c r="B7" s="2703" t="s">
        <v>57</v>
      </c>
      <c r="C7" s="2702" t="s">
        <v>29460</v>
      </c>
      <c r="D7" s="2701" t="s">
        <v>29459</v>
      </c>
      <c r="E7" s="2700" t="s">
        <v>29458</v>
      </c>
      <c r="F7" s="2699" t="s">
        <v>29457</v>
      </c>
      <c r="G7" s="2702" t="s">
        <v>29460</v>
      </c>
      <c r="H7" s="2701" t="s">
        <v>29459</v>
      </c>
      <c r="I7" s="2700" t="s">
        <v>29458</v>
      </c>
      <c r="J7" s="2699" t="s">
        <v>29457</v>
      </c>
      <c r="K7" s="2698" t="s">
        <v>29458</v>
      </c>
      <c r="L7" s="2605" t="s">
        <v>29457</v>
      </c>
      <c r="N7" s="2697" t="s">
        <v>27841</v>
      </c>
      <c r="O7" s="2697" t="s">
        <v>314</v>
      </c>
    </row>
    <row r="8" spans="1:19" ht="17.25" customHeight="1" x14ac:dyDescent="0.35">
      <c r="A8" s="2660" t="s">
        <v>27887</v>
      </c>
      <c r="B8" s="2660" t="s">
        <v>27826</v>
      </c>
      <c r="C8" s="3355">
        <v>0</v>
      </c>
      <c r="D8" s="2680">
        <v>0</v>
      </c>
      <c r="E8" s="2694"/>
      <c r="F8" s="2696"/>
      <c r="G8" s="2682">
        <f>SUM(FTE_6a_Health_full_time!I9,FTE_6a_Health_full_time!I11)</f>
        <v>0</v>
      </c>
      <c r="H8" s="2664">
        <f>SUM(FTE_6c_Health_part_time!L8,FTE_6c_Health_part_time!L10)</f>
        <v>0</v>
      </c>
      <c r="I8" s="2694"/>
      <c r="J8" s="2693"/>
      <c r="K8" s="2694"/>
      <c r="L8" s="2694"/>
      <c r="N8" s="2481" t="s">
        <v>27843</v>
      </c>
      <c r="O8" s="2481" t="s">
        <v>27826</v>
      </c>
      <c r="Q8" s="2679"/>
    </row>
    <row r="9" spans="1:19" ht="17.25" customHeight="1" x14ac:dyDescent="0.35">
      <c r="A9" s="2678"/>
      <c r="B9" s="2678" t="s">
        <v>210</v>
      </c>
      <c r="C9" s="2689"/>
      <c r="D9" s="2695"/>
      <c r="E9" s="2687"/>
      <c r="F9" s="2690"/>
      <c r="G9" s="2689"/>
      <c r="H9" s="2688"/>
      <c r="I9" s="2687"/>
      <c r="J9" s="2688"/>
      <c r="K9" s="2687"/>
      <c r="L9" s="2687"/>
      <c r="N9" s="2481" t="s">
        <v>27843</v>
      </c>
      <c r="O9" s="2481" t="s">
        <v>27688</v>
      </c>
      <c r="Q9" s="2679"/>
    </row>
    <row r="10" spans="1:19" ht="17.25" customHeight="1" x14ac:dyDescent="0.35">
      <c r="A10" s="2660" t="s">
        <v>27893</v>
      </c>
      <c r="B10" s="2660" t="s">
        <v>27826</v>
      </c>
      <c r="C10" s="2682">
        <v>0</v>
      </c>
      <c r="D10" s="2680">
        <v>0</v>
      </c>
      <c r="E10" s="2694"/>
      <c r="F10" s="2693"/>
      <c r="G10" s="2682">
        <f>SUM(FTE_6a_Health_full_time!I13,FTE_6a_Health_full_time!I15)</f>
        <v>0</v>
      </c>
      <c r="H10" s="2664">
        <f>SUM(FTE_6c_Health_part_time!L12,FTE_6c_Health_part_time!L14)</f>
        <v>0</v>
      </c>
      <c r="I10" s="2694"/>
      <c r="J10" s="2693"/>
      <c r="K10" s="2692"/>
      <c r="L10" s="2692"/>
      <c r="N10" s="2481" t="s">
        <v>27845</v>
      </c>
      <c r="O10" s="2481" t="s">
        <v>27826</v>
      </c>
      <c r="Q10" s="2679"/>
    </row>
    <row r="11" spans="1:19" ht="17.25" customHeight="1" x14ac:dyDescent="0.35">
      <c r="A11" s="2678"/>
      <c r="B11" s="2678" t="s">
        <v>210</v>
      </c>
      <c r="C11" s="3356"/>
      <c r="D11" s="2691"/>
      <c r="E11" s="2687"/>
      <c r="F11" s="2690"/>
      <c r="G11" s="2689"/>
      <c r="H11" s="2688"/>
      <c r="I11" s="2687"/>
      <c r="J11" s="2688"/>
      <c r="K11" s="2687"/>
      <c r="L11" s="2687"/>
      <c r="N11" s="2481" t="s">
        <v>27845</v>
      </c>
      <c r="O11" s="2481" t="s">
        <v>27688</v>
      </c>
      <c r="Q11" s="2679"/>
    </row>
    <row r="12" spans="1:19" ht="17.25" customHeight="1" x14ac:dyDescent="0.35">
      <c r="A12" s="2660" t="s">
        <v>27895</v>
      </c>
      <c r="B12" s="2660" t="s">
        <v>27826</v>
      </c>
      <c r="C12" s="3357">
        <v>0</v>
      </c>
      <c r="D12" s="2686">
        <v>0</v>
      </c>
      <c r="E12" s="2662">
        <v>0</v>
      </c>
      <c r="F12" s="2663">
        <v>0</v>
      </c>
      <c r="G12" s="2677">
        <f>SUM(FTE_6a_Health_full_time!I19,FTE_6a_Health_full_time!I21)</f>
        <v>0</v>
      </c>
      <c r="H12" s="2685">
        <f>SUM(FTE_6c_Health_part_time!L18,FTE_6c_Health_part_time!L20)</f>
        <v>0</v>
      </c>
      <c r="I12" s="2655">
        <f t="shared" ref="I12:I43" si="0">G12+H12</f>
        <v>0</v>
      </c>
      <c r="J12" s="2666">
        <f>I12*H_Parameters!B21</f>
        <v>0</v>
      </c>
      <c r="K12" s="2676">
        <f t="shared" ref="K12:K46" si="1">I12-E12</f>
        <v>0</v>
      </c>
      <c r="L12" s="2675">
        <f t="shared" ref="L12:L46" si="2">ROUND(J12-F12,0)</f>
        <v>0</v>
      </c>
      <c r="N12" s="2481" t="s">
        <v>27848</v>
      </c>
      <c r="O12" s="2481" t="s">
        <v>27826</v>
      </c>
      <c r="Q12" s="2679"/>
    </row>
    <row r="13" spans="1:19" ht="17.25" customHeight="1" x14ac:dyDescent="0.35">
      <c r="A13" s="2678"/>
      <c r="B13" s="2678" t="s">
        <v>210</v>
      </c>
      <c r="C13" s="2665">
        <v>0</v>
      </c>
      <c r="D13" s="2684">
        <v>0</v>
      </c>
      <c r="E13" s="2672">
        <v>0</v>
      </c>
      <c r="F13" s="2683">
        <v>0</v>
      </c>
      <c r="G13" s="2674">
        <f>SUM(FTE_6a_Health_full_time!I20,FTE_6a_Health_full_time!I22)</f>
        <v>0</v>
      </c>
      <c r="H13" s="2656">
        <f>SUM(FTE_6c_Health_part_time!L19,FTE_6c_Health_part_time!L21)</f>
        <v>0</v>
      </c>
      <c r="I13" s="2634">
        <f t="shared" si="0"/>
        <v>0</v>
      </c>
      <c r="J13" s="2654">
        <f>I13*H_Parameters!C21</f>
        <v>0</v>
      </c>
      <c r="K13" s="2670">
        <f t="shared" si="1"/>
        <v>0</v>
      </c>
      <c r="L13" s="2669">
        <f t="shared" si="2"/>
        <v>0</v>
      </c>
      <c r="N13" s="2481" t="s">
        <v>27848</v>
      </c>
      <c r="O13" s="2481" t="s">
        <v>27688</v>
      </c>
      <c r="Q13" s="2679"/>
    </row>
    <row r="14" spans="1:19" ht="17.25" customHeight="1" x14ac:dyDescent="0.35">
      <c r="A14" s="2660" t="s">
        <v>27896</v>
      </c>
      <c r="B14" s="2660" t="s">
        <v>27826</v>
      </c>
      <c r="C14" s="2677">
        <v>0</v>
      </c>
      <c r="D14" s="2680">
        <v>0</v>
      </c>
      <c r="E14" s="2662">
        <v>0</v>
      </c>
      <c r="F14" s="2663">
        <v>0</v>
      </c>
      <c r="G14" s="2682">
        <f>SUM(FTE_6a_Health_full_time!I23,FTE_6a_Health_full_time!I25)</f>
        <v>0</v>
      </c>
      <c r="H14" s="2667">
        <f>SUM(FTE_6c_Health_part_time!L22,FTE_6c_Health_part_time!L24)</f>
        <v>0</v>
      </c>
      <c r="I14" s="2655">
        <f t="shared" si="0"/>
        <v>0</v>
      </c>
      <c r="J14" s="2666">
        <f>I14*H_Parameters!B22</f>
        <v>0</v>
      </c>
      <c r="K14" s="2676">
        <f t="shared" si="1"/>
        <v>0</v>
      </c>
      <c r="L14" s="2675">
        <f t="shared" si="2"/>
        <v>0</v>
      </c>
      <c r="N14" s="2481" t="s">
        <v>27850</v>
      </c>
      <c r="O14" s="2481" t="s">
        <v>27826</v>
      </c>
      <c r="Q14" s="2679"/>
    </row>
    <row r="15" spans="1:19" ht="17.25" customHeight="1" x14ac:dyDescent="0.35">
      <c r="A15" s="2678"/>
      <c r="B15" s="2678" t="s">
        <v>210</v>
      </c>
      <c r="C15" s="2674">
        <v>0</v>
      </c>
      <c r="D15" s="2673">
        <v>0</v>
      </c>
      <c r="E15" s="2672">
        <v>0</v>
      </c>
      <c r="F15" s="2671">
        <v>0</v>
      </c>
      <c r="G15" s="2674">
        <f>SUM(FTE_6a_Health_full_time!I24,FTE_6a_Health_full_time!I26)</f>
        <v>0</v>
      </c>
      <c r="H15" s="2673">
        <f>SUM(FTE_6c_Health_part_time!L23,FTE_6c_Health_part_time!L25)</f>
        <v>0</v>
      </c>
      <c r="I15" s="2681">
        <f t="shared" si="0"/>
        <v>0</v>
      </c>
      <c r="J15" s="2671">
        <f>I15*H_Parameters!C22</f>
        <v>0</v>
      </c>
      <c r="K15" s="2670">
        <f t="shared" si="1"/>
        <v>0</v>
      </c>
      <c r="L15" s="2669">
        <f t="shared" si="2"/>
        <v>0</v>
      </c>
      <c r="N15" s="2481" t="s">
        <v>27850</v>
      </c>
      <c r="O15" s="2481" t="s">
        <v>27688</v>
      </c>
      <c r="Q15" s="2679"/>
    </row>
    <row r="16" spans="1:19" ht="17.25" customHeight="1" x14ac:dyDescent="0.35">
      <c r="A16" s="2660" t="s">
        <v>27897</v>
      </c>
      <c r="B16" s="2660" t="s">
        <v>27826</v>
      </c>
      <c r="C16" s="2682">
        <v>0</v>
      </c>
      <c r="D16" s="2680">
        <v>0</v>
      </c>
      <c r="E16" s="2662">
        <v>0</v>
      </c>
      <c r="F16" s="2663">
        <v>0</v>
      </c>
      <c r="G16" s="2677">
        <f>SUM(FTE_6a_Health_full_time!I27,FTE_6a_Health_full_time!I29)</f>
        <v>0</v>
      </c>
      <c r="H16" s="2664">
        <f>SUM(FTE_6c_Health_part_time!L26,FTE_6c_Health_part_time!L28)</f>
        <v>0</v>
      </c>
      <c r="I16" s="2662">
        <f t="shared" si="0"/>
        <v>0</v>
      </c>
      <c r="J16" s="2663">
        <f>I16*H_Parameters!B23</f>
        <v>0</v>
      </c>
      <c r="K16" s="2676">
        <f t="shared" si="1"/>
        <v>0</v>
      </c>
      <c r="L16" s="2675">
        <f t="shared" si="2"/>
        <v>0</v>
      </c>
      <c r="N16" s="2481" t="s">
        <v>27852</v>
      </c>
      <c r="O16" s="2481" t="s">
        <v>27826</v>
      </c>
      <c r="Q16" s="2679"/>
    </row>
    <row r="17" spans="1:17" ht="17.25" customHeight="1" x14ac:dyDescent="0.35">
      <c r="A17" s="2678"/>
      <c r="B17" s="2678" t="s">
        <v>210</v>
      </c>
      <c r="C17" s="2674">
        <v>0</v>
      </c>
      <c r="D17" s="2673">
        <v>0</v>
      </c>
      <c r="E17" s="2672">
        <v>0</v>
      </c>
      <c r="F17" s="2671">
        <v>0</v>
      </c>
      <c r="G17" s="2674">
        <f>SUM(FTE_6a_Health_full_time!I28,FTE_6a_Health_full_time!I30)</f>
        <v>0</v>
      </c>
      <c r="H17" s="2656">
        <f>SUM(FTE_6c_Health_part_time!L27,FTE_6c_Health_part_time!L29)</f>
        <v>0</v>
      </c>
      <c r="I17" s="2634">
        <f t="shared" si="0"/>
        <v>0</v>
      </c>
      <c r="J17" s="2654">
        <f>I17*H_Parameters!C23</f>
        <v>0</v>
      </c>
      <c r="K17" s="2670">
        <f t="shared" si="1"/>
        <v>0</v>
      </c>
      <c r="L17" s="2669">
        <f t="shared" si="2"/>
        <v>0</v>
      </c>
      <c r="N17" s="2481" t="s">
        <v>27852</v>
      </c>
      <c r="O17" s="2481" t="s">
        <v>27688</v>
      </c>
      <c r="Q17" s="2679"/>
    </row>
    <row r="18" spans="1:17" ht="17.25" customHeight="1" x14ac:dyDescent="0.35">
      <c r="A18" s="2660" t="s">
        <v>27898</v>
      </c>
      <c r="B18" s="2660" t="s">
        <v>27826</v>
      </c>
      <c r="C18" s="2682">
        <v>0</v>
      </c>
      <c r="D18" s="2680">
        <v>0</v>
      </c>
      <c r="E18" s="2662">
        <v>0</v>
      </c>
      <c r="F18" s="2663">
        <v>0</v>
      </c>
      <c r="G18" s="2682">
        <f>SUM(FTE_6a_Health_full_time!I31,FTE_6a_Health_full_time!I33)</f>
        <v>0</v>
      </c>
      <c r="H18" s="2667">
        <f>SUM(FTE_6c_Health_part_time!L30,FTE_6c_Health_part_time!L32)</f>
        <v>0</v>
      </c>
      <c r="I18" s="2655">
        <f t="shared" si="0"/>
        <v>0</v>
      </c>
      <c r="J18" s="2666">
        <f>I18*H_Parameters!B24</f>
        <v>0</v>
      </c>
      <c r="K18" s="2676">
        <f t="shared" si="1"/>
        <v>0</v>
      </c>
      <c r="L18" s="2675">
        <f t="shared" si="2"/>
        <v>0</v>
      </c>
      <c r="N18" s="2481" t="s">
        <v>27854</v>
      </c>
      <c r="O18" s="2481" t="s">
        <v>27826</v>
      </c>
      <c r="Q18" s="2679"/>
    </row>
    <row r="19" spans="1:17" ht="17.25" customHeight="1" x14ac:dyDescent="0.35">
      <c r="A19" s="2678"/>
      <c r="B19" s="2678" t="s">
        <v>210</v>
      </c>
      <c r="C19" s="2674">
        <v>0</v>
      </c>
      <c r="D19" s="2673">
        <v>0</v>
      </c>
      <c r="E19" s="2672">
        <v>0</v>
      </c>
      <c r="F19" s="2671">
        <v>0</v>
      </c>
      <c r="G19" s="2674">
        <f>SUM(FTE_6a_Health_full_time!I32,FTE_6a_Health_full_time!I34)</f>
        <v>0</v>
      </c>
      <c r="H19" s="2673">
        <f>SUM(FTE_6c_Health_part_time!L31,FTE_6c_Health_part_time!L33)</f>
        <v>0</v>
      </c>
      <c r="I19" s="2681">
        <f t="shared" si="0"/>
        <v>0</v>
      </c>
      <c r="J19" s="2671">
        <f>I19*H_Parameters!C24</f>
        <v>0</v>
      </c>
      <c r="K19" s="2670">
        <f t="shared" si="1"/>
        <v>0</v>
      </c>
      <c r="L19" s="2669">
        <f t="shared" si="2"/>
        <v>0</v>
      </c>
      <c r="N19" s="2481" t="s">
        <v>27854</v>
      </c>
      <c r="O19" s="2481" t="s">
        <v>27688</v>
      </c>
      <c r="Q19" s="2679"/>
    </row>
    <row r="20" spans="1:17" ht="17.25" customHeight="1" x14ac:dyDescent="0.35">
      <c r="A20" s="2660" t="s">
        <v>27899</v>
      </c>
      <c r="B20" s="2660" t="s">
        <v>27826</v>
      </c>
      <c r="C20" s="2682">
        <v>0</v>
      </c>
      <c r="D20" s="2680">
        <v>0</v>
      </c>
      <c r="E20" s="2662">
        <v>0</v>
      </c>
      <c r="F20" s="2663">
        <v>0</v>
      </c>
      <c r="G20" s="2677">
        <f>SUM(FTE_6a_Health_full_time!I35,FTE_6a_Health_full_time!I37)</f>
        <v>0</v>
      </c>
      <c r="H20" s="2667">
        <f>SUM(FTE_6c_Health_part_time!L34,FTE_6c_Health_part_time!L36)</f>
        <v>0</v>
      </c>
      <c r="I20" s="2655">
        <f t="shared" si="0"/>
        <v>0</v>
      </c>
      <c r="J20" s="2666">
        <f>I20*H_Parameters!B25</f>
        <v>0</v>
      </c>
      <c r="K20" s="2676">
        <f t="shared" si="1"/>
        <v>0</v>
      </c>
      <c r="L20" s="2675">
        <f t="shared" si="2"/>
        <v>0</v>
      </c>
      <c r="N20" s="2481" t="s">
        <v>27856</v>
      </c>
      <c r="O20" s="2481" t="s">
        <v>27826</v>
      </c>
      <c r="Q20" s="2679"/>
    </row>
    <row r="21" spans="1:17" ht="17.25" customHeight="1" x14ac:dyDescent="0.35">
      <c r="A21" s="2678"/>
      <c r="B21" s="2678" t="s">
        <v>210</v>
      </c>
      <c r="C21" s="2674">
        <v>0</v>
      </c>
      <c r="D21" s="2673">
        <v>0</v>
      </c>
      <c r="E21" s="2672">
        <v>0</v>
      </c>
      <c r="F21" s="2671">
        <v>0</v>
      </c>
      <c r="G21" s="2674">
        <f>SUM(FTE_6a_Health_full_time!I36,FTE_6a_Health_full_time!I38)</f>
        <v>0</v>
      </c>
      <c r="H21" s="2673">
        <f>SUM(FTE_6c_Health_part_time!L35,FTE_6c_Health_part_time!L37)</f>
        <v>0</v>
      </c>
      <c r="I21" s="2681">
        <f t="shared" si="0"/>
        <v>0</v>
      </c>
      <c r="J21" s="2671">
        <f>I21*H_Parameters!C25</f>
        <v>0</v>
      </c>
      <c r="K21" s="2670">
        <f t="shared" si="1"/>
        <v>0</v>
      </c>
      <c r="L21" s="2669">
        <f t="shared" si="2"/>
        <v>0</v>
      </c>
      <c r="N21" s="2481" t="s">
        <v>27856</v>
      </c>
      <c r="O21" s="2481" t="s">
        <v>27688</v>
      </c>
      <c r="Q21" s="2679"/>
    </row>
    <row r="22" spans="1:17" ht="17.25" customHeight="1" x14ac:dyDescent="0.35">
      <c r="A22" s="2660" t="s">
        <v>27900</v>
      </c>
      <c r="B22" s="2660" t="s">
        <v>27826</v>
      </c>
      <c r="C22" s="2682">
        <v>0</v>
      </c>
      <c r="D22" s="2680">
        <v>0</v>
      </c>
      <c r="E22" s="2662">
        <v>0</v>
      </c>
      <c r="F22" s="2663">
        <v>0</v>
      </c>
      <c r="G22" s="2677">
        <f>SUM(FTE_6a_Health_full_time!I39,FTE_6a_Health_full_time!I41)</f>
        <v>0</v>
      </c>
      <c r="H22" s="2664">
        <f>SUM(FTE_6c_Health_part_time!L38,FTE_6c_Health_part_time!L40)</f>
        <v>0</v>
      </c>
      <c r="I22" s="2662">
        <f t="shared" si="0"/>
        <v>0</v>
      </c>
      <c r="J22" s="2663">
        <f>I22*H_Parameters!B26</f>
        <v>0</v>
      </c>
      <c r="K22" s="2676">
        <f t="shared" si="1"/>
        <v>0</v>
      </c>
      <c r="L22" s="2675">
        <f t="shared" si="2"/>
        <v>0</v>
      </c>
      <c r="N22" s="2481" t="s">
        <v>27858</v>
      </c>
      <c r="O22" s="2481" t="s">
        <v>27826</v>
      </c>
      <c r="Q22" s="2679"/>
    </row>
    <row r="23" spans="1:17" ht="17.25" customHeight="1" x14ac:dyDescent="0.35">
      <c r="A23" s="2678"/>
      <c r="B23" s="2678" t="s">
        <v>210</v>
      </c>
      <c r="C23" s="2674">
        <v>0</v>
      </c>
      <c r="D23" s="2673">
        <v>0</v>
      </c>
      <c r="E23" s="2672">
        <v>0</v>
      </c>
      <c r="F23" s="2671">
        <v>0</v>
      </c>
      <c r="G23" s="2674">
        <f>SUM(FTE_6a_Health_full_time!I40,FTE_6a_Health_full_time!I42)</f>
        <v>0</v>
      </c>
      <c r="H23" s="2673">
        <f>SUM(FTE_6c_Health_part_time!L39,FTE_6c_Health_part_time!L41)</f>
        <v>0</v>
      </c>
      <c r="I23" s="2672">
        <f t="shared" si="0"/>
        <v>0</v>
      </c>
      <c r="J23" s="2671">
        <f>I23*H_Parameters!C26</f>
        <v>0</v>
      </c>
      <c r="K23" s="2670">
        <f t="shared" si="1"/>
        <v>0</v>
      </c>
      <c r="L23" s="2669">
        <f t="shared" si="2"/>
        <v>0</v>
      </c>
      <c r="N23" s="2481" t="s">
        <v>27858</v>
      </c>
      <c r="O23" s="2481" t="s">
        <v>27688</v>
      </c>
      <c r="Q23" s="2679"/>
    </row>
    <row r="24" spans="1:17" ht="17.25" customHeight="1" x14ac:dyDescent="0.35">
      <c r="A24" s="2668" t="s">
        <v>27902</v>
      </c>
      <c r="B24" s="2668" t="s">
        <v>27826</v>
      </c>
      <c r="C24" s="2677">
        <v>0</v>
      </c>
      <c r="D24" s="2667">
        <v>0</v>
      </c>
      <c r="E24" s="2655">
        <v>0</v>
      </c>
      <c r="F24" s="2666">
        <v>0</v>
      </c>
      <c r="G24" s="2677">
        <f>SUM(FTE_6a_Health_full_time!I43,FTE_6a_Health_full_time!I45)</f>
        <v>0</v>
      </c>
      <c r="H24" s="2664">
        <f>SUM(FTE_6c_Health_part_time!L42,FTE_6c_Health_part_time!L44)</f>
        <v>0</v>
      </c>
      <c r="I24" s="2662">
        <f t="shared" si="0"/>
        <v>0</v>
      </c>
      <c r="J24" s="2663">
        <f>I24*H_Parameters!B27</f>
        <v>0</v>
      </c>
      <c r="K24" s="2676">
        <f t="shared" si="1"/>
        <v>0</v>
      </c>
      <c r="L24" s="2675">
        <f t="shared" si="2"/>
        <v>0</v>
      </c>
      <c r="N24" s="2481" t="s">
        <v>27860</v>
      </c>
      <c r="O24" s="2481" t="s">
        <v>27826</v>
      </c>
      <c r="Q24" s="2679"/>
    </row>
    <row r="25" spans="1:17" ht="17.25" customHeight="1" x14ac:dyDescent="0.35">
      <c r="A25" s="2678"/>
      <c r="B25" s="2678" t="s">
        <v>210</v>
      </c>
      <c r="C25" s="2674">
        <v>0</v>
      </c>
      <c r="D25" s="2673">
        <v>0</v>
      </c>
      <c r="E25" s="2672">
        <v>0</v>
      </c>
      <c r="F25" s="2671">
        <v>0</v>
      </c>
      <c r="G25" s="2674">
        <f>SUM(FTE_6a_Health_full_time!I44,FTE_6a_Health_full_time!I46)</f>
        <v>0</v>
      </c>
      <c r="H25" s="2673">
        <f>SUM(FTE_6c_Health_part_time!L43,FTE_6c_Health_part_time!L45)</f>
        <v>0</v>
      </c>
      <c r="I25" s="2672">
        <f t="shared" si="0"/>
        <v>0</v>
      </c>
      <c r="J25" s="2671">
        <f>I25*H_Parameters!C27</f>
        <v>0</v>
      </c>
      <c r="K25" s="2670">
        <f t="shared" si="1"/>
        <v>0</v>
      </c>
      <c r="L25" s="2669">
        <f t="shared" si="2"/>
        <v>0</v>
      </c>
      <c r="N25" s="2481" t="s">
        <v>27860</v>
      </c>
      <c r="O25" s="2481" t="s">
        <v>27688</v>
      </c>
      <c r="Q25" s="2679"/>
    </row>
    <row r="26" spans="1:17" ht="17.25" customHeight="1" x14ac:dyDescent="0.35">
      <c r="A26" s="2668" t="s">
        <v>27903</v>
      </c>
      <c r="B26" s="2668" t="s">
        <v>27826</v>
      </c>
      <c r="C26" s="2677">
        <v>0</v>
      </c>
      <c r="D26" s="2667">
        <v>0</v>
      </c>
      <c r="E26" s="2655">
        <v>0</v>
      </c>
      <c r="F26" s="2666">
        <v>0</v>
      </c>
      <c r="G26" s="2677">
        <f>SUM(FTE_6a_Health_full_time!I47,FTE_6a_Health_full_time!I49)</f>
        <v>0</v>
      </c>
      <c r="H26" s="2664">
        <f>SUM(FTE_6c_Health_part_time!L46,FTE_6c_Health_part_time!L48)</f>
        <v>0</v>
      </c>
      <c r="I26" s="2662">
        <f t="shared" si="0"/>
        <v>0</v>
      </c>
      <c r="J26" s="2663">
        <f>I26*H_Parameters!B28</f>
        <v>0</v>
      </c>
      <c r="K26" s="2676">
        <f t="shared" si="1"/>
        <v>0</v>
      </c>
      <c r="L26" s="2675">
        <f t="shared" si="2"/>
        <v>0</v>
      </c>
      <c r="N26" s="2481" t="s">
        <v>27862</v>
      </c>
      <c r="O26" s="2481" t="s">
        <v>27826</v>
      </c>
      <c r="Q26" s="2679"/>
    </row>
    <row r="27" spans="1:17" ht="17.25" customHeight="1" x14ac:dyDescent="0.35">
      <c r="A27" s="2678"/>
      <c r="B27" s="2678" t="s">
        <v>210</v>
      </c>
      <c r="C27" s="2674">
        <v>0</v>
      </c>
      <c r="D27" s="2673">
        <v>0</v>
      </c>
      <c r="E27" s="2672">
        <v>0</v>
      </c>
      <c r="F27" s="2671">
        <v>0</v>
      </c>
      <c r="G27" s="2674">
        <f>SUM(FTE_6a_Health_full_time!I48,FTE_6a_Health_full_time!I50)</f>
        <v>0</v>
      </c>
      <c r="H27" s="2673">
        <f>SUM(FTE_6c_Health_part_time!L47,FTE_6c_Health_part_time!L49)</f>
        <v>0</v>
      </c>
      <c r="I27" s="2672">
        <f t="shared" si="0"/>
        <v>0</v>
      </c>
      <c r="J27" s="2671">
        <f>I27*H_Parameters!C28</f>
        <v>0</v>
      </c>
      <c r="K27" s="2670">
        <f t="shared" si="1"/>
        <v>0</v>
      </c>
      <c r="L27" s="2669">
        <f t="shared" si="2"/>
        <v>0</v>
      </c>
      <c r="N27" s="2481" t="s">
        <v>27862</v>
      </c>
      <c r="O27" s="2481" t="s">
        <v>27688</v>
      </c>
    </row>
    <row r="28" spans="1:17" ht="17.25" customHeight="1" x14ac:dyDescent="0.35">
      <c r="A28" s="2668" t="s">
        <v>27904</v>
      </c>
      <c r="B28" s="2668" t="s">
        <v>27826</v>
      </c>
      <c r="C28" s="2677">
        <v>0</v>
      </c>
      <c r="D28" s="2667">
        <v>0</v>
      </c>
      <c r="E28" s="2655">
        <v>0</v>
      </c>
      <c r="F28" s="2666">
        <v>0</v>
      </c>
      <c r="G28" s="2677">
        <f>SUM(FTE_6a_Health_full_time!I51,FTE_6a_Health_full_time!I53)</f>
        <v>0</v>
      </c>
      <c r="H28" s="2664">
        <f>SUM(FTE_6c_Health_part_time!L50,FTE_6c_Health_part_time!L52)</f>
        <v>0</v>
      </c>
      <c r="I28" s="2662">
        <f t="shared" si="0"/>
        <v>0</v>
      </c>
      <c r="J28" s="2663">
        <f>I28*H_Parameters!B29</f>
        <v>0</v>
      </c>
      <c r="K28" s="2676">
        <f t="shared" si="1"/>
        <v>0</v>
      </c>
      <c r="L28" s="2675">
        <f t="shared" si="2"/>
        <v>0</v>
      </c>
      <c r="N28" s="2481" t="s">
        <v>27864</v>
      </c>
      <c r="O28" s="2481" t="s">
        <v>27826</v>
      </c>
    </row>
    <row r="29" spans="1:17" ht="17.25" customHeight="1" x14ac:dyDescent="0.35">
      <c r="A29" s="2678"/>
      <c r="B29" s="2678" t="s">
        <v>210</v>
      </c>
      <c r="C29" s="2674">
        <v>0</v>
      </c>
      <c r="D29" s="2673">
        <v>0</v>
      </c>
      <c r="E29" s="2672">
        <v>0</v>
      </c>
      <c r="F29" s="2671">
        <v>0</v>
      </c>
      <c r="G29" s="2674">
        <f>SUM(FTE_6a_Health_full_time!I52,FTE_6a_Health_full_time!I54)</f>
        <v>0</v>
      </c>
      <c r="H29" s="2673">
        <f>SUM(FTE_6c_Health_part_time!L51,FTE_6c_Health_part_time!L53)</f>
        <v>0</v>
      </c>
      <c r="I29" s="2672">
        <f t="shared" si="0"/>
        <v>0</v>
      </c>
      <c r="J29" s="2671">
        <f>I29*H_Parameters!C29</f>
        <v>0</v>
      </c>
      <c r="K29" s="2670">
        <f t="shared" si="1"/>
        <v>0</v>
      </c>
      <c r="L29" s="2669">
        <f t="shared" si="2"/>
        <v>0</v>
      </c>
      <c r="N29" s="2481" t="s">
        <v>27864</v>
      </c>
      <c r="O29" s="2481" t="s">
        <v>27688</v>
      </c>
    </row>
    <row r="30" spans="1:17" ht="17.25" customHeight="1" x14ac:dyDescent="0.35">
      <c r="A30" s="2668" t="s">
        <v>27905</v>
      </c>
      <c r="B30" s="2668" t="s">
        <v>27826</v>
      </c>
      <c r="C30" s="2677">
        <v>0</v>
      </c>
      <c r="D30" s="2667">
        <v>0</v>
      </c>
      <c r="E30" s="2655">
        <v>0</v>
      </c>
      <c r="F30" s="2666">
        <v>0</v>
      </c>
      <c r="G30" s="2677">
        <f>SUM(FTE_6a_Health_full_time!I55,FTE_6a_Health_full_time!I57)</f>
        <v>0</v>
      </c>
      <c r="H30" s="2664">
        <f>SUM(FTE_6c_Health_part_time!L54,FTE_6c_Health_part_time!L56)</f>
        <v>0</v>
      </c>
      <c r="I30" s="2662">
        <f t="shared" si="0"/>
        <v>0</v>
      </c>
      <c r="J30" s="2663">
        <f>I30*H_Parameters!B30</f>
        <v>0</v>
      </c>
      <c r="K30" s="2676">
        <f t="shared" si="1"/>
        <v>0</v>
      </c>
      <c r="L30" s="2675">
        <f t="shared" si="2"/>
        <v>0</v>
      </c>
      <c r="N30" s="2481" t="s">
        <v>27866</v>
      </c>
      <c r="O30" s="2481" t="s">
        <v>27826</v>
      </c>
    </row>
    <row r="31" spans="1:17" ht="17.25" customHeight="1" x14ac:dyDescent="0.35">
      <c r="A31" s="2678"/>
      <c r="B31" s="2678" t="s">
        <v>210</v>
      </c>
      <c r="C31" s="2674">
        <v>0</v>
      </c>
      <c r="D31" s="2673">
        <v>0</v>
      </c>
      <c r="E31" s="2672">
        <v>0</v>
      </c>
      <c r="F31" s="2671">
        <v>0</v>
      </c>
      <c r="G31" s="2674">
        <f>SUM(FTE_6a_Health_full_time!I56,FTE_6a_Health_full_time!I58)</f>
        <v>0</v>
      </c>
      <c r="H31" s="2673">
        <f>SUM(FTE_6c_Health_part_time!L55,FTE_6c_Health_part_time!L57)</f>
        <v>0</v>
      </c>
      <c r="I31" s="2672">
        <f t="shared" si="0"/>
        <v>0</v>
      </c>
      <c r="J31" s="2671">
        <f>I31*H_Parameters!C30</f>
        <v>0</v>
      </c>
      <c r="K31" s="2670">
        <f t="shared" si="1"/>
        <v>0</v>
      </c>
      <c r="L31" s="2669">
        <f t="shared" si="2"/>
        <v>0</v>
      </c>
      <c r="N31" s="2481" t="s">
        <v>27866</v>
      </c>
      <c r="O31" s="2481" t="s">
        <v>27688</v>
      </c>
    </row>
    <row r="32" spans="1:17" ht="17.25" customHeight="1" x14ac:dyDescent="0.35">
      <c r="A32" s="2668" t="s">
        <v>27906</v>
      </c>
      <c r="B32" s="2668" t="s">
        <v>27826</v>
      </c>
      <c r="C32" s="2677">
        <v>0</v>
      </c>
      <c r="D32" s="2667">
        <v>0</v>
      </c>
      <c r="E32" s="2655">
        <v>0</v>
      </c>
      <c r="F32" s="2666">
        <v>0</v>
      </c>
      <c r="G32" s="2677">
        <f>SUM(FTE_6a_Health_full_time!I59,FTE_6a_Health_full_time!I61)</f>
        <v>0</v>
      </c>
      <c r="H32" s="2664">
        <f>SUM(FTE_6c_Health_part_time!L58,FTE_6c_Health_part_time!L60)</f>
        <v>0</v>
      </c>
      <c r="I32" s="2662">
        <f t="shared" si="0"/>
        <v>0</v>
      </c>
      <c r="J32" s="2663">
        <f>I32*H_Parameters!B31</f>
        <v>0</v>
      </c>
      <c r="K32" s="2676">
        <f t="shared" si="1"/>
        <v>0</v>
      </c>
      <c r="L32" s="2675">
        <f t="shared" si="2"/>
        <v>0</v>
      </c>
      <c r="N32" s="2481" t="s">
        <v>27868</v>
      </c>
      <c r="O32" s="2481" t="s">
        <v>27826</v>
      </c>
    </row>
    <row r="33" spans="1:15" ht="17.25" customHeight="1" x14ac:dyDescent="0.35">
      <c r="A33" s="2678"/>
      <c r="B33" s="2678" t="s">
        <v>210</v>
      </c>
      <c r="C33" s="2674">
        <v>0</v>
      </c>
      <c r="D33" s="2673">
        <v>0</v>
      </c>
      <c r="E33" s="2672">
        <v>0</v>
      </c>
      <c r="F33" s="2671">
        <v>0</v>
      </c>
      <c r="G33" s="2674">
        <f>SUM(FTE_6a_Health_full_time!I60,FTE_6a_Health_full_time!I62)</f>
        <v>0</v>
      </c>
      <c r="H33" s="2673">
        <f>SUM(FTE_6c_Health_part_time!L59,FTE_6c_Health_part_time!L61)</f>
        <v>0</v>
      </c>
      <c r="I33" s="2672">
        <f t="shared" si="0"/>
        <v>0</v>
      </c>
      <c r="J33" s="2671">
        <f>I33*H_Parameters!C31</f>
        <v>0</v>
      </c>
      <c r="K33" s="2670">
        <f t="shared" si="1"/>
        <v>0</v>
      </c>
      <c r="L33" s="2669">
        <f t="shared" si="2"/>
        <v>0</v>
      </c>
      <c r="N33" s="2481" t="s">
        <v>27868</v>
      </c>
      <c r="O33" s="2481" t="s">
        <v>27688</v>
      </c>
    </row>
    <row r="34" spans="1:15" ht="17.25" customHeight="1" x14ac:dyDescent="0.35">
      <c r="A34" s="2668" t="s">
        <v>27909</v>
      </c>
      <c r="B34" s="2668" t="s">
        <v>27826</v>
      </c>
      <c r="C34" s="2677">
        <v>0</v>
      </c>
      <c r="D34" s="2667">
        <v>0</v>
      </c>
      <c r="E34" s="2655">
        <v>0</v>
      </c>
      <c r="F34" s="2666">
        <v>0</v>
      </c>
      <c r="G34" s="2677">
        <f>SUM(FTE_6a_Health_full_time!I63,FTE_6a_Health_full_time!I65)</f>
        <v>0</v>
      </c>
      <c r="H34" s="2664">
        <f>SUM(FTE_6c_Health_part_time!L62,FTE_6c_Health_part_time!L64)</f>
        <v>0</v>
      </c>
      <c r="I34" s="2662">
        <f t="shared" si="0"/>
        <v>0</v>
      </c>
      <c r="J34" s="2663">
        <f>I34*H_Parameters!B32</f>
        <v>0</v>
      </c>
      <c r="K34" s="2676">
        <f t="shared" si="1"/>
        <v>0</v>
      </c>
      <c r="L34" s="2675">
        <f t="shared" si="2"/>
        <v>0</v>
      </c>
      <c r="N34" s="2481" t="s">
        <v>27870</v>
      </c>
      <c r="O34" s="2481" t="s">
        <v>27826</v>
      </c>
    </row>
    <row r="35" spans="1:15" ht="17.25" customHeight="1" x14ac:dyDescent="0.35">
      <c r="A35" s="2678"/>
      <c r="B35" s="2678" t="s">
        <v>210</v>
      </c>
      <c r="C35" s="2674">
        <v>0</v>
      </c>
      <c r="D35" s="2673">
        <v>0</v>
      </c>
      <c r="E35" s="2672">
        <v>0</v>
      </c>
      <c r="F35" s="2671">
        <v>0</v>
      </c>
      <c r="G35" s="2674">
        <f>SUM(FTE_6a_Health_full_time!I64,FTE_6a_Health_full_time!I66)</f>
        <v>0</v>
      </c>
      <c r="H35" s="2673">
        <f>SUM(FTE_6c_Health_part_time!L63,FTE_6c_Health_part_time!L65)</f>
        <v>0</v>
      </c>
      <c r="I35" s="2672">
        <f t="shared" si="0"/>
        <v>0</v>
      </c>
      <c r="J35" s="2671">
        <f>I35*H_Parameters!C32</f>
        <v>0</v>
      </c>
      <c r="K35" s="2670">
        <f t="shared" si="1"/>
        <v>0</v>
      </c>
      <c r="L35" s="2669">
        <f t="shared" si="2"/>
        <v>0</v>
      </c>
      <c r="N35" s="2481" t="s">
        <v>27870</v>
      </c>
      <c r="O35" s="2481" t="s">
        <v>27688</v>
      </c>
    </row>
    <row r="36" spans="1:15" ht="17.25" customHeight="1" x14ac:dyDescent="0.35">
      <c r="A36" s="2668" t="s">
        <v>27910</v>
      </c>
      <c r="B36" s="2668" t="s">
        <v>27826</v>
      </c>
      <c r="C36" s="2677">
        <v>0</v>
      </c>
      <c r="D36" s="2667">
        <v>0</v>
      </c>
      <c r="E36" s="2655">
        <v>0</v>
      </c>
      <c r="F36" s="2666">
        <v>0</v>
      </c>
      <c r="G36" s="2677">
        <f>SUM(FTE_6a_Health_full_time!I67,FTE_6a_Health_full_time!I69)</f>
        <v>0</v>
      </c>
      <c r="H36" s="2664">
        <f>SUM(FTE_6c_Health_part_time!L66,FTE_6c_Health_part_time!L68)</f>
        <v>0</v>
      </c>
      <c r="I36" s="2662">
        <f t="shared" si="0"/>
        <v>0</v>
      </c>
      <c r="J36" s="2663">
        <f>I36*H_Parameters!B33</f>
        <v>0</v>
      </c>
      <c r="K36" s="2676">
        <f t="shared" si="1"/>
        <v>0</v>
      </c>
      <c r="L36" s="2675">
        <f t="shared" si="2"/>
        <v>0</v>
      </c>
      <c r="N36" s="2481" t="s">
        <v>27872</v>
      </c>
      <c r="O36" s="2481" t="s">
        <v>27826</v>
      </c>
    </row>
    <row r="37" spans="1:15" ht="17.25" customHeight="1" x14ac:dyDescent="0.35">
      <c r="A37" s="2678"/>
      <c r="B37" s="2678" t="s">
        <v>210</v>
      </c>
      <c r="C37" s="2674">
        <v>0</v>
      </c>
      <c r="D37" s="2673">
        <v>0</v>
      </c>
      <c r="E37" s="2672">
        <v>0</v>
      </c>
      <c r="F37" s="2671">
        <v>0</v>
      </c>
      <c r="G37" s="2657">
        <f>SUM(FTE_6a_Health_full_time!I68,FTE_6a_Health_full_time!I70)</f>
        <v>0</v>
      </c>
      <c r="H37" s="2673">
        <f>SUM(FTE_6c_Health_part_time!L67,FTE_6c_Health_part_time!L69)</f>
        <v>0</v>
      </c>
      <c r="I37" s="2672">
        <f t="shared" si="0"/>
        <v>0</v>
      </c>
      <c r="J37" s="2671">
        <f>I37*H_Parameters!C33</f>
        <v>0</v>
      </c>
      <c r="K37" s="2670">
        <f t="shared" si="1"/>
        <v>0</v>
      </c>
      <c r="L37" s="2669">
        <f t="shared" si="2"/>
        <v>0</v>
      </c>
      <c r="N37" s="2481" t="s">
        <v>27872</v>
      </c>
      <c r="O37" s="2481" t="s">
        <v>27688</v>
      </c>
    </row>
    <row r="38" spans="1:15" ht="17.25" customHeight="1" x14ac:dyDescent="0.35">
      <c r="A38" s="2668" t="s">
        <v>27911</v>
      </c>
      <c r="B38" s="2668" t="s">
        <v>27826</v>
      </c>
      <c r="C38" s="2677">
        <v>0</v>
      </c>
      <c r="D38" s="2667">
        <v>0</v>
      </c>
      <c r="E38" s="2655">
        <v>0</v>
      </c>
      <c r="F38" s="2666">
        <v>0</v>
      </c>
      <c r="G38" s="2677">
        <f>SUM(FTE_6a_Health_full_time!I71,FTE_6a_Health_full_time!I73)</f>
        <v>0</v>
      </c>
      <c r="H38" s="2664">
        <f>SUM(FTE_6c_Health_part_time!L70,FTE_6c_Health_part_time!L72)</f>
        <v>0</v>
      </c>
      <c r="I38" s="2662">
        <f t="shared" si="0"/>
        <v>0</v>
      </c>
      <c r="J38" s="2663">
        <f>I38*H_Parameters!B34</f>
        <v>0</v>
      </c>
      <c r="K38" s="2676">
        <f t="shared" si="1"/>
        <v>0</v>
      </c>
      <c r="L38" s="2675">
        <f t="shared" si="2"/>
        <v>0</v>
      </c>
      <c r="N38" s="2481" t="s">
        <v>27874</v>
      </c>
      <c r="O38" s="2481" t="s">
        <v>27826</v>
      </c>
    </row>
    <row r="39" spans="1:15" ht="17.25" customHeight="1" x14ac:dyDescent="0.35">
      <c r="A39" s="2678"/>
      <c r="B39" s="2678" t="s">
        <v>210</v>
      </c>
      <c r="C39" s="2674">
        <v>0</v>
      </c>
      <c r="D39" s="2673">
        <v>0</v>
      </c>
      <c r="E39" s="2672">
        <v>0</v>
      </c>
      <c r="F39" s="2671">
        <v>0</v>
      </c>
      <c r="G39" s="2674">
        <f>SUM(FTE_6a_Health_full_time!I72,FTE_6a_Health_full_time!I74)</f>
        <v>0</v>
      </c>
      <c r="H39" s="2673">
        <f>SUM(FTE_6c_Health_part_time!L71,FTE_6c_Health_part_time!L73)</f>
        <v>0</v>
      </c>
      <c r="I39" s="2672">
        <f t="shared" si="0"/>
        <v>0</v>
      </c>
      <c r="J39" s="2671">
        <f>I39*H_Parameters!C34</f>
        <v>0</v>
      </c>
      <c r="K39" s="2670">
        <f t="shared" si="1"/>
        <v>0</v>
      </c>
      <c r="L39" s="2669">
        <f t="shared" si="2"/>
        <v>0</v>
      </c>
      <c r="N39" s="2481" t="s">
        <v>27874</v>
      </c>
      <c r="O39" s="2481" t="s">
        <v>27688</v>
      </c>
    </row>
    <row r="40" spans="1:15" ht="17.25" customHeight="1" x14ac:dyDescent="0.35">
      <c r="A40" s="2668" t="s">
        <v>27912</v>
      </c>
      <c r="B40" s="2668" t="s">
        <v>27826</v>
      </c>
      <c r="C40" s="2677">
        <v>0</v>
      </c>
      <c r="D40" s="2667">
        <v>0</v>
      </c>
      <c r="E40" s="2655">
        <v>0</v>
      </c>
      <c r="F40" s="2666">
        <v>0</v>
      </c>
      <c r="G40" s="2677">
        <f>SUM(FTE_6a_Health_full_time!I75,FTE_6a_Health_full_time!I77)</f>
        <v>0</v>
      </c>
      <c r="H40" s="2664">
        <f>SUM(FTE_6c_Health_part_time!L74,FTE_6c_Health_part_time!L76)</f>
        <v>0</v>
      </c>
      <c r="I40" s="2662">
        <f t="shared" si="0"/>
        <v>0</v>
      </c>
      <c r="J40" s="2663">
        <f>I40*H_Parameters!B35</f>
        <v>0</v>
      </c>
      <c r="K40" s="2676">
        <f t="shared" si="1"/>
        <v>0</v>
      </c>
      <c r="L40" s="2675">
        <f t="shared" si="2"/>
        <v>0</v>
      </c>
      <c r="N40" s="2481" t="s">
        <v>27876</v>
      </c>
      <c r="O40" s="2481" t="s">
        <v>27826</v>
      </c>
    </row>
    <row r="41" spans="1:15" ht="17.25" customHeight="1" x14ac:dyDescent="0.35">
      <c r="A41" s="2660"/>
      <c r="B41" s="2660" t="s">
        <v>210</v>
      </c>
      <c r="C41" s="2657">
        <v>0</v>
      </c>
      <c r="D41" s="2659">
        <v>0</v>
      </c>
      <c r="E41" s="2658">
        <v>0</v>
      </c>
      <c r="F41" s="2654">
        <v>0</v>
      </c>
      <c r="G41" s="2674">
        <f>SUM(FTE_6a_Health_full_time!I76,FTE_6a_Health_full_time!I78)</f>
        <v>0</v>
      </c>
      <c r="H41" s="2673">
        <f>SUM(FTE_6c_Health_part_time!L75,FTE_6c_Health_part_time!L77)</f>
        <v>0</v>
      </c>
      <c r="I41" s="2672">
        <f t="shared" si="0"/>
        <v>0</v>
      </c>
      <c r="J41" s="2671">
        <f>I41*H_Parameters!C35</f>
        <v>0</v>
      </c>
      <c r="K41" s="2670">
        <f t="shared" si="1"/>
        <v>0</v>
      </c>
      <c r="L41" s="2669">
        <f t="shared" si="2"/>
        <v>0</v>
      </c>
      <c r="N41" s="2481" t="s">
        <v>27876</v>
      </c>
      <c r="O41" s="2481" t="s">
        <v>27688</v>
      </c>
    </row>
    <row r="42" spans="1:15" ht="17.25" customHeight="1" x14ac:dyDescent="0.35">
      <c r="A42" s="2668" t="s">
        <v>27913</v>
      </c>
      <c r="B42" s="2668" t="s">
        <v>27826</v>
      </c>
      <c r="C42" s="2677">
        <v>0</v>
      </c>
      <c r="D42" s="2667">
        <v>0</v>
      </c>
      <c r="E42" s="2655">
        <v>0</v>
      </c>
      <c r="F42" s="2666">
        <v>0</v>
      </c>
      <c r="G42" s="2665">
        <f>SUM(FTE_6a_Health_full_time!I79,FTE_6a_Health_full_time!I81)</f>
        <v>0</v>
      </c>
      <c r="H42" s="2664">
        <f>SUM(FTE_6c_Health_part_time!L78,FTE_6c_Health_part_time!L80)</f>
        <v>0</v>
      </c>
      <c r="I42" s="2662">
        <f t="shared" si="0"/>
        <v>0</v>
      </c>
      <c r="J42" s="2663">
        <f>I42*H_Parameters!B36</f>
        <v>0</v>
      </c>
      <c r="K42" s="2662">
        <f t="shared" si="1"/>
        <v>0</v>
      </c>
      <c r="L42" s="2661">
        <f t="shared" si="2"/>
        <v>0</v>
      </c>
      <c r="N42" s="2481" t="s">
        <v>27878</v>
      </c>
      <c r="O42" s="2481" t="s">
        <v>27826</v>
      </c>
    </row>
    <row r="43" spans="1:15" ht="17.25" customHeight="1" thickBot="1" x14ac:dyDescent="0.4">
      <c r="A43" s="2660"/>
      <c r="B43" s="2660" t="s">
        <v>210</v>
      </c>
      <c r="C43" s="2657">
        <v>0</v>
      </c>
      <c r="D43" s="2659">
        <v>0</v>
      </c>
      <c r="E43" s="2658">
        <v>0</v>
      </c>
      <c r="F43" s="2654">
        <v>0</v>
      </c>
      <c r="G43" s="2657">
        <f>SUM(FTE_6a_Health_full_time!I80,FTE_6a_Health_full_time!I82)</f>
        <v>0</v>
      </c>
      <c r="H43" s="2656">
        <f>SUM(FTE_6c_Health_part_time!L79,FTE_6c_Health_part_time!L81)</f>
        <v>0</v>
      </c>
      <c r="I43" s="2655">
        <f t="shared" si="0"/>
        <v>0</v>
      </c>
      <c r="J43" s="2654">
        <f>I43*H_Parameters!C36</f>
        <v>0</v>
      </c>
      <c r="K43" s="2634">
        <f t="shared" si="1"/>
        <v>0</v>
      </c>
      <c r="L43" s="2633">
        <f t="shared" si="2"/>
        <v>0</v>
      </c>
      <c r="N43" s="2481" t="s">
        <v>27878</v>
      </c>
      <c r="O43" s="2481" t="s">
        <v>27688</v>
      </c>
    </row>
    <row r="44" spans="1:15" ht="17.25" customHeight="1" thickTop="1" x14ac:dyDescent="0.35">
      <c r="A44" s="2653" t="s">
        <v>27879</v>
      </c>
      <c r="B44" s="2652" t="s">
        <v>27826</v>
      </c>
      <c r="C44" s="3358">
        <v>0</v>
      </c>
      <c r="D44" s="2651">
        <v>0</v>
      </c>
      <c r="E44" s="2650">
        <v>0</v>
      </c>
      <c r="F44" s="2649">
        <v>0</v>
      </c>
      <c r="G44" s="2648">
        <f>SUM(G8,G10,G12,G14,G16,G18,G20,G22,G24,G26,G28,G30,G32,G34,G36,G38,G40,G42)</f>
        <v>0</v>
      </c>
      <c r="H44" s="2647">
        <f>SUM(H8,H10,H12,H14,H16,H18,H20,H22,H24,H26,H28,H30,H32,H34,H36,H38,H40,H42)</f>
        <v>0</v>
      </c>
      <c r="I44" s="2646">
        <f>SUM(I12,I14,I16,I18,I20,I22,I24,I26,I28,I30,I32,I34,I36,I38,I40,I42)</f>
        <v>0</v>
      </c>
      <c r="J44" s="2645">
        <f>SUM(J12,J14,J16,J18,J20,J22,J24,J26,J28,J30,J32,J34,J36,J38,J40,J42)</f>
        <v>0</v>
      </c>
      <c r="K44" s="2644">
        <f t="shared" si="1"/>
        <v>0</v>
      </c>
      <c r="L44" s="2643">
        <f t="shared" si="2"/>
        <v>0</v>
      </c>
      <c r="N44" s="2481" t="s">
        <v>27937</v>
      </c>
      <c r="O44" s="2481" t="s">
        <v>27826</v>
      </c>
    </row>
    <row r="45" spans="1:15" ht="17.25" customHeight="1" x14ac:dyDescent="0.35">
      <c r="A45" s="2642"/>
      <c r="B45" s="2544" t="s">
        <v>210</v>
      </c>
      <c r="C45" s="3359">
        <v>0</v>
      </c>
      <c r="D45" s="2641">
        <v>0</v>
      </c>
      <c r="E45" s="2640">
        <v>0</v>
      </c>
      <c r="F45" s="2639">
        <v>0</v>
      </c>
      <c r="G45" s="2638">
        <f>SUM(G13,G15,G17,G19,G21,G23,G25,G27,G29,G31,G33,G35,G37,G39,G41,G43)</f>
        <v>0</v>
      </c>
      <c r="H45" s="2637">
        <f>SUM(H13,H15,H17,H19,H21,H23,H25,H27,H29,H31,H33,H35,H37,H39,H41,H43)</f>
        <v>0</v>
      </c>
      <c r="I45" s="2636">
        <f>SUM(I13,I15,I17,I19,I21,I23,I25,I27,I29,I31,I33,I35,I37,I39,I41,I43)</f>
        <v>0</v>
      </c>
      <c r="J45" s="2635">
        <f>SUM(J13,J15,J17,J19,J21,J23,J25,J27,J29,J31,J33,J35,J37,J39,J41,J43)</f>
        <v>0</v>
      </c>
      <c r="K45" s="2634">
        <f t="shared" si="1"/>
        <v>0</v>
      </c>
      <c r="L45" s="2633">
        <f t="shared" si="2"/>
        <v>0</v>
      </c>
      <c r="N45" s="2481" t="s">
        <v>27937</v>
      </c>
      <c r="O45" s="2481" t="s">
        <v>27688</v>
      </c>
    </row>
    <row r="46" spans="1:15" ht="17.25" customHeight="1" thickBot="1" x14ac:dyDescent="0.4">
      <c r="A46" s="2632"/>
      <c r="B46" s="2631" t="s">
        <v>27696</v>
      </c>
      <c r="C46" s="3360">
        <v>0</v>
      </c>
      <c r="D46" s="2630">
        <v>0</v>
      </c>
      <c r="E46" s="2629">
        <v>0</v>
      </c>
      <c r="F46" s="2628">
        <v>0</v>
      </c>
      <c r="G46" s="2627">
        <f>SUM(G44:G45)</f>
        <v>0</v>
      </c>
      <c r="H46" s="2626">
        <f>SUM(H44:H45)</f>
        <v>0</v>
      </c>
      <c r="I46" s="2625">
        <f>SUM(I44:I45)</f>
        <v>0</v>
      </c>
      <c r="J46" s="2624">
        <f>ROUND(SUM(J44:J45), 0)</f>
        <v>0</v>
      </c>
      <c r="K46" s="2623">
        <f t="shared" si="1"/>
        <v>0</v>
      </c>
      <c r="L46" s="2622">
        <f t="shared" si="2"/>
        <v>0</v>
      </c>
      <c r="N46" s="2481" t="s">
        <v>27937</v>
      </c>
      <c r="O46" s="2481" t="s">
        <v>27937</v>
      </c>
    </row>
    <row r="47" spans="1:15" hidden="1" x14ac:dyDescent="0.35"/>
    <row r="48" spans="1:15" hidden="1" x14ac:dyDescent="0.35">
      <c r="A48" s="2512" t="s">
        <v>64</v>
      </c>
      <c r="B48" s="2621"/>
      <c r="C48" s="2481" t="s">
        <v>27747</v>
      </c>
      <c r="D48" s="2481" t="s">
        <v>27767</v>
      </c>
      <c r="E48" s="2481" t="s">
        <v>27937</v>
      </c>
      <c r="F48" s="2481" t="s">
        <v>27937</v>
      </c>
      <c r="G48" s="2620" t="s">
        <v>27747</v>
      </c>
      <c r="H48" s="2620" t="s">
        <v>27767</v>
      </c>
      <c r="I48" s="2620" t="s">
        <v>27937</v>
      </c>
      <c r="J48" s="2620" t="s">
        <v>27937</v>
      </c>
    </row>
    <row r="49" spans="3:10" hidden="1" x14ac:dyDescent="0.35">
      <c r="C49" s="2481" t="s">
        <v>29456</v>
      </c>
      <c r="D49" s="2481" t="s">
        <v>29456</v>
      </c>
      <c r="E49" s="2481" t="s">
        <v>29455</v>
      </c>
      <c r="F49" s="2481" t="s">
        <v>29727</v>
      </c>
      <c r="G49" s="2619" t="s">
        <v>29456</v>
      </c>
      <c r="H49" s="2619" t="s">
        <v>29456</v>
      </c>
      <c r="I49" s="2619" t="s">
        <v>29455</v>
      </c>
      <c r="J49" s="2619" t="s">
        <v>29727</v>
      </c>
    </row>
  </sheetData>
  <sheetProtection algorithmName="SHA-512" hashValue="oU6yP9TW5rQ953sTz24zEGbfdLeV/3JTGnT1fCy2WZ3A3vVwRzLpnt+mZoLizXl4lJ+/IyM1hFJO8+7yTMjaww==" saltValue="Vw5VnAt9ySpNOMfv/6Id5w==" spinCount="100000" sheet="1" objects="1" scenarios="1"/>
  <mergeCells count="3">
    <mergeCell ref="C6:F6"/>
    <mergeCell ref="G6:J6"/>
    <mergeCell ref="K6:L6"/>
  </mergeCells>
  <conditionalFormatting sqref="C8:L46">
    <cfRule type="cellIs" dxfId="3" priority="1" operator="equal">
      <formula>0</formula>
    </cfRule>
  </conditionalFormatting>
  <hyperlinks>
    <hyperlink ref="A4" r:id="rId1" display="Please see Appendix 5 for additional information about these tables: Appendix 5" xr:uid="{7099B257-6CB8-4F81-9DB1-F1CB793C50FF}"/>
  </hyperlinks>
  <pageMargins left="0.70866141732283472" right="0.70866141732283472" top="0.74803149606299213" bottom="0.74803149606299213" header="0.31496062992125984" footer="0.31496062992125984"/>
  <pageSetup paperSize="9" scale="53" orientation="landscape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1DE4A-6E83-4067-8763-6BA533652584}">
  <sheetPr codeName="Sheet52">
    <tabColor theme="9" tint="0.39997558519241921"/>
    <pageSetUpPr fitToPage="1"/>
  </sheetPr>
  <dimension ref="A1:S19"/>
  <sheetViews>
    <sheetView showGridLines="0" workbookViewId="0"/>
  </sheetViews>
  <sheetFormatPr defaultColWidth="9" defaultRowHeight="13.15" x14ac:dyDescent="0.35"/>
  <cols>
    <col min="1" max="1" width="53" style="2477" customWidth="1"/>
    <col min="2" max="15" width="14.59765625" style="2477" customWidth="1"/>
    <col min="16" max="16" width="9" style="2477" customWidth="1"/>
    <col min="17" max="17" width="14" style="2477" hidden="1" customWidth="1"/>
    <col min="18" max="18" width="13" style="2477" customWidth="1"/>
    <col min="19" max="19" width="9" style="2477" customWidth="1"/>
    <col min="20" max="16384" width="9" style="2477"/>
  </cols>
  <sheetData>
    <row r="1" spans="1:19" ht="25.5" customHeight="1" x14ac:dyDescent="0.4">
      <c r="A1" s="636" t="s">
        <v>29804</v>
      </c>
      <c r="B1" s="2525"/>
      <c r="C1" s="2525"/>
      <c r="D1" s="2525"/>
      <c r="E1" s="2525"/>
      <c r="G1" s="2613"/>
      <c r="H1" s="2613"/>
      <c r="I1" s="2613"/>
      <c r="J1" s="2613"/>
      <c r="K1" s="2613"/>
      <c r="L1" s="2613"/>
      <c r="M1" s="2613"/>
      <c r="N1" s="2613"/>
      <c r="O1" s="2613"/>
      <c r="Q1" s="2616"/>
    </row>
    <row r="2" spans="1:19" ht="19.5" customHeight="1" x14ac:dyDescent="0.4">
      <c r="A2" s="637" t="str">
        <f>IF(PROVIDER="","Provider name",PROVIDER&amp;" ("&amp;UKPRN&amp;")")</f>
        <v>Provider name</v>
      </c>
      <c r="B2" s="2525"/>
      <c r="C2" s="2525"/>
      <c r="D2" s="2525"/>
      <c r="E2" s="2525"/>
      <c r="G2" s="2613"/>
      <c r="H2" s="2613"/>
      <c r="I2" s="2613"/>
      <c r="J2" s="2613"/>
      <c r="K2" s="2613"/>
      <c r="L2" s="2613"/>
      <c r="M2" s="2613"/>
      <c r="N2" s="2613"/>
      <c r="O2" s="2613"/>
    </row>
    <row r="3" spans="1:19" s="2270" customFormat="1" ht="22.5" customHeight="1" x14ac:dyDescent="0.45"/>
    <row r="4" spans="1:19" ht="39" customHeight="1" thickBot="1" x14ac:dyDescent="0.45">
      <c r="A4" s="2523" t="s">
        <v>29450</v>
      </c>
      <c r="B4" s="2525"/>
      <c r="C4" s="2525"/>
      <c r="D4" s="2525"/>
      <c r="E4" s="2525"/>
      <c r="G4" s="2613"/>
      <c r="H4" s="2613"/>
      <c r="I4" s="2613"/>
      <c r="J4" s="2613"/>
      <c r="K4" s="2613"/>
      <c r="L4" s="2613"/>
      <c r="M4" s="2613"/>
      <c r="N4" s="2613"/>
      <c r="O4" s="2613"/>
    </row>
    <row r="5" spans="1:19" ht="32.25" customHeight="1" x14ac:dyDescent="0.4">
      <c r="A5" s="2748"/>
      <c r="B5" s="3523" t="str">
        <f>"Calculations modelled from FTEs for 2025-26 funding"</f>
        <v>Calculations modelled from FTEs for 2025-26 funding</v>
      </c>
      <c r="C5" s="3523"/>
      <c r="D5" s="3523"/>
      <c r="E5" s="3523"/>
      <c r="F5" s="3523"/>
      <c r="G5" s="3524"/>
      <c r="H5" s="3523" t="str">
        <f>"Calculations modelled from representation FTEs for 2025-26 funding"</f>
        <v>Calculations modelled from representation FTEs for 2025-26 funding</v>
      </c>
      <c r="I5" s="3523"/>
      <c r="J5" s="3523"/>
      <c r="K5" s="3523"/>
      <c r="L5" s="3523"/>
      <c r="M5" s="3524"/>
      <c r="N5" s="3523" t="s">
        <v>27901</v>
      </c>
      <c r="O5" s="3523"/>
      <c r="S5" s="2524"/>
    </row>
    <row r="6" spans="1:19" ht="82.5" customHeight="1" x14ac:dyDescent="0.35">
      <c r="A6" s="2747" t="s">
        <v>27742</v>
      </c>
      <c r="B6" s="2745" t="s">
        <v>29471</v>
      </c>
      <c r="C6" s="2744" t="s">
        <v>29470</v>
      </c>
      <c r="D6" s="2743" t="s">
        <v>29469</v>
      </c>
      <c r="E6" s="2742" t="s">
        <v>29468</v>
      </c>
      <c r="F6" s="2741" t="s">
        <v>29472</v>
      </c>
      <c r="G6" s="2746" t="s">
        <v>29466</v>
      </c>
      <c r="H6" s="2745" t="s">
        <v>29471</v>
      </c>
      <c r="I6" s="2744" t="s">
        <v>29470</v>
      </c>
      <c r="J6" s="2743" t="s">
        <v>29469</v>
      </c>
      <c r="K6" s="2742" t="s">
        <v>29468</v>
      </c>
      <c r="L6" s="2741" t="s">
        <v>29467</v>
      </c>
      <c r="M6" s="2740" t="s">
        <v>29466</v>
      </c>
      <c r="N6" s="2739" t="s">
        <v>29467</v>
      </c>
      <c r="O6" s="2739" t="s">
        <v>29466</v>
      </c>
      <c r="P6" s="2711"/>
      <c r="Q6" s="2738" t="s">
        <v>27743</v>
      </c>
    </row>
    <row r="7" spans="1:19" ht="18.75" customHeight="1" x14ac:dyDescent="0.35">
      <c r="A7" s="2737" t="s">
        <v>29465</v>
      </c>
      <c r="B7" s="2736">
        <v>0</v>
      </c>
      <c r="C7" s="2734">
        <v>0</v>
      </c>
      <c r="D7" s="2731">
        <v>0</v>
      </c>
      <c r="E7" s="2733">
        <v>0</v>
      </c>
      <c r="F7" s="2731">
        <v>0</v>
      </c>
      <c r="G7" s="2731">
        <v>0</v>
      </c>
      <c r="H7" s="2735">
        <f>B7</f>
        <v>0</v>
      </c>
      <c r="I7" s="2734">
        <f>C7</f>
        <v>0</v>
      </c>
      <c r="J7" s="2731">
        <f>D7</f>
        <v>0</v>
      </c>
      <c r="K7" s="2733">
        <f>E7</f>
        <v>0</v>
      </c>
      <c r="L7" s="2731">
        <f>SUM(H7:K7)</f>
        <v>0</v>
      </c>
      <c r="M7" s="2732">
        <f>L7*H_Parameters!$A$15</f>
        <v>0</v>
      </c>
      <c r="N7" s="2731">
        <f>L7-F7</f>
        <v>0</v>
      </c>
      <c r="O7" s="2731">
        <f>ROUND(M7-G7,0)</f>
        <v>0</v>
      </c>
      <c r="P7" s="2711"/>
      <c r="Q7" s="2486" t="s">
        <v>27744</v>
      </c>
    </row>
    <row r="8" spans="1:19" ht="18.75" customHeight="1" thickBot="1" x14ac:dyDescent="0.4">
      <c r="A8" s="2730" t="s">
        <v>29464</v>
      </c>
      <c r="B8" s="2729">
        <v>0</v>
      </c>
      <c r="C8" s="2727">
        <v>0</v>
      </c>
      <c r="D8" s="2726"/>
      <c r="E8" s="2725"/>
      <c r="F8" s="2723">
        <v>0</v>
      </c>
      <c r="G8" s="2723">
        <v>0</v>
      </c>
      <c r="H8" s="2728">
        <f>B8</f>
        <v>0</v>
      </c>
      <c r="I8" s="2727">
        <f>C8</f>
        <v>0</v>
      </c>
      <c r="J8" s="2726"/>
      <c r="K8" s="2725"/>
      <c r="L8" s="2723">
        <f>SUM(H8:I8)</f>
        <v>0</v>
      </c>
      <c r="M8" s="2724">
        <f>L8*H_Parameters!$A$15</f>
        <v>0</v>
      </c>
      <c r="N8" s="2723">
        <f>L8-F8</f>
        <v>0</v>
      </c>
      <c r="O8" s="2723">
        <f>ROUND(M8-G8,0)</f>
        <v>0</v>
      </c>
      <c r="P8" s="2711"/>
      <c r="Q8" s="2486" t="s">
        <v>27746</v>
      </c>
    </row>
    <row r="9" spans="1:19" ht="18.75" customHeight="1" thickTop="1" x14ac:dyDescent="0.35">
      <c r="A9" s="2722" t="s">
        <v>27696</v>
      </c>
      <c r="B9" s="2721">
        <f>SUM(B7:B8)</f>
        <v>0</v>
      </c>
      <c r="C9" s="2719">
        <f>SUM(C7:C8)</f>
        <v>0</v>
      </c>
      <c r="D9" s="2716">
        <f>SUM(D7)</f>
        <v>0</v>
      </c>
      <c r="E9" s="2718">
        <f>SUM(E7)</f>
        <v>0</v>
      </c>
      <c r="F9" s="2716">
        <f>SUM(F7:F8)</f>
        <v>0</v>
      </c>
      <c r="G9" s="2716">
        <f>SUM(G7:G8)</f>
        <v>0</v>
      </c>
      <c r="H9" s="2720">
        <f>SUM(H7:H8)</f>
        <v>0</v>
      </c>
      <c r="I9" s="2719">
        <f>SUM(I7:I8)</f>
        <v>0</v>
      </c>
      <c r="J9" s="2716">
        <f>SUM(J7)</f>
        <v>0</v>
      </c>
      <c r="K9" s="2718">
        <f>SUM(K7)</f>
        <v>0</v>
      </c>
      <c r="L9" s="2716">
        <f>SUM(L7:L8)</f>
        <v>0</v>
      </c>
      <c r="M9" s="2717">
        <f>ROUND(SUM(M7:M8),0)</f>
        <v>0</v>
      </c>
      <c r="N9" s="2716">
        <f>L9-F9</f>
        <v>0</v>
      </c>
      <c r="O9" s="2716">
        <f>ROUND(M9-G9,0)</f>
        <v>0</v>
      </c>
      <c r="P9" s="2711"/>
      <c r="Q9" s="2486" t="s">
        <v>27937</v>
      </c>
      <c r="R9" s="2710"/>
    </row>
    <row r="10" spans="1:19" ht="15" hidden="1" customHeight="1" x14ac:dyDescent="0.35">
      <c r="A10" s="2529"/>
      <c r="B10" s="2529"/>
      <c r="C10" s="2529"/>
      <c r="D10" s="2529"/>
      <c r="E10" s="2529"/>
      <c r="F10" s="2529"/>
      <c r="G10" s="2529"/>
      <c r="H10" s="2529"/>
      <c r="I10" s="2529"/>
      <c r="J10" s="2529"/>
      <c r="K10" s="2529"/>
      <c r="L10" s="2529"/>
      <c r="M10" s="2529"/>
      <c r="N10" s="2529"/>
      <c r="O10" s="2529"/>
      <c r="P10" s="2711"/>
      <c r="Q10" s="2529"/>
      <c r="R10" s="2710"/>
    </row>
    <row r="11" spans="1:19" hidden="1" x14ac:dyDescent="0.35">
      <c r="A11" s="2715" t="s">
        <v>64</v>
      </c>
      <c r="B11" s="2531" t="s">
        <v>27747</v>
      </c>
      <c r="C11" s="2531" t="s">
        <v>27747</v>
      </c>
      <c r="D11" s="2531" t="s">
        <v>27748</v>
      </c>
      <c r="E11" s="2531" t="s">
        <v>27748</v>
      </c>
      <c r="F11" s="2531" t="s">
        <v>27937</v>
      </c>
      <c r="G11" s="2531" t="s">
        <v>27937</v>
      </c>
      <c r="H11" s="2530" t="s">
        <v>27747</v>
      </c>
      <c r="I11" s="2530" t="s">
        <v>27747</v>
      </c>
      <c r="J11" s="2530" t="s">
        <v>27748</v>
      </c>
      <c r="K11" s="2530" t="s">
        <v>27748</v>
      </c>
      <c r="L11" s="2530" t="s">
        <v>27937</v>
      </c>
      <c r="M11" s="2530" t="s">
        <v>27937</v>
      </c>
    </row>
    <row r="12" spans="1:19" hidden="1" x14ac:dyDescent="0.35">
      <c r="B12" s="2714" t="s">
        <v>27714</v>
      </c>
      <c r="C12" s="2714" t="s">
        <v>27715</v>
      </c>
      <c r="D12" s="2714" t="s">
        <v>27714</v>
      </c>
      <c r="E12" s="2714" t="s">
        <v>27715</v>
      </c>
      <c r="F12" s="2714" t="s">
        <v>29463</v>
      </c>
      <c r="G12" s="2714" t="s">
        <v>29728</v>
      </c>
      <c r="H12" s="2713" t="s">
        <v>27714</v>
      </c>
      <c r="I12" s="2713" t="s">
        <v>27715</v>
      </c>
      <c r="J12" s="2713" t="s">
        <v>27714</v>
      </c>
      <c r="K12" s="2713" t="s">
        <v>27715</v>
      </c>
      <c r="L12" s="2713" t="s">
        <v>29463</v>
      </c>
      <c r="M12" s="2713" t="s">
        <v>29728</v>
      </c>
    </row>
    <row r="13" spans="1:19" x14ac:dyDescent="0.35">
      <c r="A13" s="2711"/>
      <c r="B13" s="2712"/>
      <c r="C13" s="2712"/>
      <c r="D13" s="2712"/>
      <c r="E13" s="2712"/>
      <c r="F13" s="2712"/>
      <c r="G13" s="2712"/>
      <c r="H13" s="2711"/>
      <c r="I13" s="2711"/>
      <c r="O13" s="2710"/>
    </row>
    <row r="14" spans="1:19" x14ac:dyDescent="0.35">
      <c r="O14" s="2710"/>
    </row>
    <row r="15" spans="1:19" ht="13.5" customHeight="1" x14ac:dyDescent="0.35">
      <c r="O15" s="2710"/>
    </row>
    <row r="16" spans="1:19" x14ac:dyDescent="0.35">
      <c r="O16" s="2710"/>
    </row>
    <row r="17" spans="15:15" x14ac:dyDescent="0.35">
      <c r="O17" s="2710"/>
    </row>
    <row r="18" spans="15:15" x14ac:dyDescent="0.35">
      <c r="O18" s="2710"/>
    </row>
    <row r="19" spans="15:15" x14ac:dyDescent="0.35">
      <c r="O19" s="2710"/>
    </row>
  </sheetData>
  <sheetProtection algorithmName="SHA-512" hashValue="FoOlgW8l1Lyj+Oapv4UWCrxHsk+qEu4ZC8hgwltwEkDNpHtEwCldX/szTShl0ZDZvZZxHOlxFaRTDp7SlyLuFw==" saltValue="ndfKGTcRXjQX2Icst8fq8w==" spinCount="100000" sheet="1" objects="1" scenarios="1"/>
  <mergeCells count="3">
    <mergeCell ref="B5:G5"/>
    <mergeCell ref="H5:M5"/>
    <mergeCell ref="N5:O5"/>
  </mergeCells>
  <conditionalFormatting sqref="B7:O9">
    <cfRule type="cellIs" dxfId="2" priority="1" operator="equal">
      <formula>0</formula>
    </cfRule>
  </conditionalFormatting>
  <hyperlinks>
    <hyperlink ref="A4" r:id="rId1" display="Please see Appendix 5 for additional information about these tables: Appendix 5" xr:uid="{08CF2989-28CB-4AD2-91C5-19A075174182}"/>
  </hyperlinks>
  <pageMargins left="0.70866141732283472" right="0.70866141732283472" top="0.74803149606299213" bottom="0.74803149606299213" header="0.31496062992125984" footer="0.31496062992125984"/>
  <pageSetup paperSize="9" scale="55" orientation="landscape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5E299-16EB-4025-8DE4-898CC9D950FC}">
  <sheetPr codeName="Sheet53">
    <tabColor theme="9" tint="0.39997558519241921"/>
    <pageSetUpPr fitToPage="1"/>
  </sheetPr>
  <dimension ref="A1:V145"/>
  <sheetViews>
    <sheetView showGridLines="0" workbookViewId="0"/>
  </sheetViews>
  <sheetFormatPr defaultColWidth="9" defaultRowHeight="13.15" x14ac:dyDescent="0.35"/>
  <cols>
    <col min="1" max="1" width="16.59765625" style="2527" customWidth="1"/>
    <col min="2" max="2" width="12.265625" style="2527" customWidth="1"/>
    <col min="3" max="3" width="20" style="2527" bestFit="1" customWidth="1"/>
    <col min="4" max="4" width="9.59765625" style="2527" customWidth="1"/>
    <col min="5" max="7" width="14" style="2477" customWidth="1"/>
    <col min="8" max="9" width="14.86328125" style="2477" customWidth="1"/>
    <col min="10" max="12" width="14" style="2477" customWidth="1"/>
    <col min="13" max="13" width="15" style="2477" customWidth="1"/>
    <col min="14" max="16" width="14" style="2477" customWidth="1"/>
    <col min="17" max="17" width="12.265625" style="2477" customWidth="1"/>
    <col min="18" max="18" width="15.265625" style="2477" hidden="1" customWidth="1"/>
    <col min="19" max="19" width="13.86328125" style="2477" hidden="1" customWidth="1"/>
    <col min="20" max="20" width="14" style="2477" hidden="1" customWidth="1"/>
    <col min="21" max="21" width="13.86328125" style="2477" hidden="1" customWidth="1"/>
    <col min="22" max="22" width="13.86328125" style="2477" customWidth="1"/>
    <col min="23" max="26" width="14" style="2477" customWidth="1"/>
    <col min="27" max="27" width="9" style="2477" customWidth="1"/>
    <col min="28" max="28" width="11" style="2477" customWidth="1"/>
    <col min="29" max="29" width="8" style="2477" customWidth="1"/>
    <col min="30" max="30" width="10" style="2477" customWidth="1"/>
    <col min="31" max="31" width="8.86328125" style="2477" customWidth="1"/>
    <col min="32" max="36" width="9" style="2477" customWidth="1"/>
    <col min="37" max="16384" width="9" style="2477"/>
  </cols>
  <sheetData>
    <row r="1" spans="1:22" ht="25.5" customHeight="1" x14ac:dyDescent="0.4">
      <c r="A1" s="1393" t="s">
        <v>29805</v>
      </c>
      <c r="B1" s="2618"/>
      <c r="C1" s="2618"/>
      <c r="D1" s="2618"/>
      <c r="E1" s="2617"/>
      <c r="F1" s="2617"/>
      <c r="G1" s="2617"/>
      <c r="H1" s="2617"/>
      <c r="I1" s="2617"/>
      <c r="J1" s="2613"/>
      <c r="K1" s="2613"/>
      <c r="L1" s="2613"/>
      <c r="R1" s="2616"/>
    </row>
    <row r="2" spans="1:22" ht="19.5" customHeight="1" x14ac:dyDescent="0.4">
      <c r="A2" s="2864" t="str">
        <f>IF(PROVIDER="","Provider name",PROVIDER&amp;" ("&amp;UKPRN&amp;")")</f>
        <v>Provider name</v>
      </c>
      <c r="B2" s="2525"/>
      <c r="C2" s="2525"/>
      <c r="D2" s="2525"/>
      <c r="E2" s="2525"/>
      <c r="F2" s="2525"/>
      <c r="G2" s="2525"/>
      <c r="H2" s="2525"/>
      <c r="I2" s="2525"/>
      <c r="J2" s="2613"/>
      <c r="K2" s="2613"/>
      <c r="L2" s="2613"/>
    </row>
    <row r="3" spans="1:22" ht="22.5" customHeight="1" x14ac:dyDescent="0.4">
      <c r="A3" s="2615"/>
      <c r="B3" s="2525"/>
      <c r="C3" s="2525"/>
      <c r="D3" s="2525"/>
      <c r="E3" s="2525"/>
      <c r="F3" s="2525"/>
      <c r="G3" s="2525"/>
      <c r="H3" s="2525"/>
      <c r="I3" s="2525"/>
      <c r="J3" s="2613"/>
      <c r="K3" s="2613"/>
      <c r="L3" s="2613"/>
    </row>
    <row r="4" spans="1:22" ht="29.25" customHeight="1" thickBot="1" x14ac:dyDescent="0.45">
      <c r="A4" s="2523" t="s">
        <v>29450</v>
      </c>
      <c r="B4" s="2525"/>
      <c r="C4" s="2525"/>
      <c r="D4" s="2525"/>
      <c r="E4" s="2525"/>
      <c r="F4" s="2525"/>
      <c r="G4" s="2525"/>
      <c r="H4" s="2525"/>
      <c r="I4" s="2525"/>
      <c r="J4" s="2613"/>
      <c r="K4" s="2613"/>
      <c r="L4" s="2613"/>
    </row>
    <row r="5" spans="1:22" ht="33.75" customHeight="1" x14ac:dyDescent="0.35">
      <c r="A5" s="2863"/>
      <c r="B5" s="2611"/>
      <c r="C5" s="2611"/>
      <c r="D5" s="2862"/>
      <c r="E5" s="3525" t="s">
        <v>29678</v>
      </c>
      <c r="F5" s="3523"/>
      <c r="G5" s="3523"/>
      <c r="H5" s="3524"/>
      <c r="I5" s="3526" t="str">
        <f>"Calculations modelled from 
representation FTEs for 2025-26 funding"</f>
        <v>Calculations modelled from 
representation FTEs for 2025-26 funding</v>
      </c>
      <c r="J5" s="3525"/>
      <c r="K5" s="3525"/>
      <c r="L5" s="3527"/>
      <c r="M5" s="3528" t="s">
        <v>27901</v>
      </c>
      <c r="N5" s="3528"/>
      <c r="O5" s="3528"/>
      <c r="P5" s="3528"/>
      <c r="Q5" s="2610"/>
      <c r="R5" s="2610"/>
      <c r="S5" s="2610"/>
      <c r="T5" s="2610"/>
      <c r="U5" s="2610"/>
    </row>
    <row r="6" spans="1:22" s="2603" customFormat="1" ht="73.5" customHeight="1" x14ac:dyDescent="0.35">
      <c r="A6" s="2608" t="s">
        <v>200</v>
      </c>
      <c r="B6" s="2608" t="s">
        <v>55</v>
      </c>
      <c r="C6" s="2608" t="s">
        <v>57</v>
      </c>
      <c r="D6" s="2608" t="s">
        <v>56</v>
      </c>
      <c r="E6" s="3354" t="str">
        <f>"Total FTEs for 2025-26 other targeted allocations"</f>
        <v>Total FTEs for 2025-26 other targeted allocations</v>
      </c>
      <c r="F6" s="2858" t="s">
        <v>29476</v>
      </c>
      <c r="G6" s="2858" t="s">
        <v>29475</v>
      </c>
      <c r="H6" s="2861" t="s">
        <v>29474</v>
      </c>
      <c r="I6" s="2607" t="s">
        <v>29679</v>
      </c>
      <c r="J6" s="2857" t="s">
        <v>29476</v>
      </c>
      <c r="K6" s="2858" t="s">
        <v>29475</v>
      </c>
      <c r="L6" s="2860" t="s">
        <v>29474</v>
      </c>
      <c r="M6" s="2859" t="str">
        <f>"Total FTEs for 2025-26 other targeted allocations"</f>
        <v>Total FTEs for 2025-26 other targeted allocations</v>
      </c>
      <c r="N6" s="2857" t="s">
        <v>29476</v>
      </c>
      <c r="O6" s="2858" t="s">
        <v>29475</v>
      </c>
      <c r="P6" s="2857" t="s">
        <v>29474</v>
      </c>
      <c r="R6" s="2512" t="s">
        <v>63</v>
      </c>
      <c r="S6" s="2512" t="s">
        <v>27941</v>
      </c>
      <c r="T6" s="2512" t="s">
        <v>314</v>
      </c>
      <c r="U6" s="2512" t="s">
        <v>65</v>
      </c>
    </row>
    <row r="7" spans="1:22" ht="17.25" customHeight="1" x14ac:dyDescent="0.4">
      <c r="A7" s="2577" t="s">
        <v>203</v>
      </c>
      <c r="B7" s="2577" t="s">
        <v>189</v>
      </c>
      <c r="C7" s="2577" t="s">
        <v>205</v>
      </c>
      <c r="D7" s="2561" t="s">
        <v>204</v>
      </c>
      <c r="E7" s="3328">
        <v>0</v>
      </c>
      <c r="F7" s="2791"/>
      <c r="G7" s="2794"/>
      <c r="H7" s="2793"/>
      <c r="I7" s="2550">
        <f>FTE_1_Full_time!I8</f>
        <v>0</v>
      </c>
      <c r="J7" s="2791"/>
      <c r="K7" s="2794"/>
      <c r="L7" s="2793"/>
      <c r="M7" s="2792">
        <f t="shared" ref="M7:M38" si="0">ROUND(I7-E7,0)</f>
        <v>0</v>
      </c>
      <c r="N7" s="2856"/>
      <c r="O7" s="2791"/>
      <c r="P7" s="2791"/>
      <c r="R7" s="2531" t="s">
        <v>203</v>
      </c>
      <c r="S7" s="2531" t="s">
        <v>27747</v>
      </c>
      <c r="T7" s="2531" t="s">
        <v>27686</v>
      </c>
      <c r="U7" s="2531" t="s">
        <v>27685</v>
      </c>
      <c r="V7" s="2524"/>
    </row>
    <row r="8" spans="1:22" ht="17.25" customHeight="1" x14ac:dyDescent="0.4">
      <c r="A8" s="2561"/>
      <c r="B8" s="2561"/>
      <c r="C8" s="2576"/>
      <c r="D8" s="2576" t="s">
        <v>218</v>
      </c>
      <c r="E8" s="2596">
        <v>0</v>
      </c>
      <c r="F8" s="2796"/>
      <c r="G8" s="2799"/>
      <c r="H8" s="2798"/>
      <c r="I8" s="2596">
        <f>FTE_1_Full_time!I13</f>
        <v>0</v>
      </c>
      <c r="J8" s="2796"/>
      <c r="K8" s="2799"/>
      <c r="L8" s="2798"/>
      <c r="M8" s="2797">
        <f t="shared" si="0"/>
        <v>0</v>
      </c>
      <c r="N8" s="2796"/>
      <c r="O8" s="2796"/>
      <c r="P8" s="2796"/>
      <c r="R8" s="2531" t="s">
        <v>203</v>
      </c>
      <c r="S8" s="2531" t="s">
        <v>27747</v>
      </c>
      <c r="T8" s="2531" t="s">
        <v>27686</v>
      </c>
      <c r="U8" s="2531" t="s">
        <v>27691</v>
      </c>
      <c r="V8" s="2524"/>
    </row>
    <row r="9" spans="1:22" ht="17.25" customHeight="1" x14ac:dyDescent="0.4">
      <c r="A9" s="2561"/>
      <c r="B9" s="2561"/>
      <c r="C9" s="2561" t="s">
        <v>208</v>
      </c>
      <c r="D9" s="2561" t="s">
        <v>204</v>
      </c>
      <c r="E9" s="2592">
        <v>0</v>
      </c>
      <c r="F9" s="2800"/>
      <c r="G9" s="2803"/>
      <c r="H9" s="2802"/>
      <c r="I9" s="2592">
        <f>FTE_1_Full_time!I9</f>
        <v>0</v>
      </c>
      <c r="J9" s="2800"/>
      <c r="K9" s="2803"/>
      <c r="L9" s="2802"/>
      <c r="M9" s="2851">
        <f t="shared" si="0"/>
        <v>0</v>
      </c>
      <c r="N9" s="2800"/>
      <c r="O9" s="2800"/>
      <c r="P9" s="2800"/>
      <c r="R9" s="2531" t="s">
        <v>203</v>
      </c>
      <c r="S9" s="2531" t="s">
        <v>27747</v>
      </c>
      <c r="T9" s="2531" t="s">
        <v>27687</v>
      </c>
      <c r="U9" s="2531" t="s">
        <v>27685</v>
      </c>
      <c r="V9" s="2524"/>
    </row>
    <row r="10" spans="1:22" ht="17.25" customHeight="1" x14ac:dyDescent="0.4">
      <c r="A10" s="2561"/>
      <c r="B10" s="2561"/>
      <c r="C10" s="2561"/>
      <c r="D10" s="2576" t="s">
        <v>218</v>
      </c>
      <c r="E10" s="2804">
        <v>0</v>
      </c>
      <c r="F10" s="2800"/>
      <c r="G10" s="2803"/>
      <c r="H10" s="2802"/>
      <c r="I10" s="2804">
        <f>FTE_1_Full_time!I14</f>
        <v>0</v>
      </c>
      <c r="J10" s="2800"/>
      <c r="K10" s="2803"/>
      <c r="L10" s="2802"/>
      <c r="M10" s="2797">
        <f t="shared" si="0"/>
        <v>0</v>
      </c>
      <c r="N10" s="2800"/>
      <c r="O10" s="2800"/>
      <c r="P10" s="2800"/>
      <c r="R10" s="2531" t="s">
        <v>203</v>
      </c>
      <c r="S10" s="2531" t="s">
        <v>27747</v>
      </c>
      <c r="T10" s="2531" t="s">
        <v>27687</v>
      </c>
      <c r="U10" s="2531" t="s">
        <v>27691</v>
      </c>
      <c r="V10" s="2524"/>
    </row>
    <row r="11" spans="1:22" ht="17.25" customHeight="1" x14ac:dyDescent="0.4">
      <c r="A11" s="2561"/>
      <c r="B11" s="2561"/>
      <c r="C11" s="2572" t="s">
        <v>210</v>
      </c>
      <c r="D11" s="2561" t="s">
        <v>204</v>
      </c>
      <c r="E11" s="2592">
        <v>0</v>
      </c>
      <c r="F11" s="2850">
        <v>0</v>
      </c>
      <c r="G11" s="2853">
        <v>0</v>
      </c>
      <c r="H11" s="2852">
        <v>0</v>
      </c>
      <c r="I11" s="2592">
        <f>FTE_1_Full_time!I10</f>
        <v>0</v>
      </c>
      <c r="J11" s="2850">
        <v>0</v>
      </c>
      <c r="K11" s="2853">
        <v>0</v>
      </c>
      <c r="L11" s="2852">
        <v>0</v>
      </c>
      <c r="M11" s="2851">
        <f t="shared" si="0"/>
        <v>0</v>
      </c>
      <c r="N11" s="2850"/>
      <c r="O11" s="2850"/>
      <c r="P11" s="2850"/>
      <c r="R11" s="2531" t="s">
        <v>203</v>
      </c>
      <c r="S11" s="2531" t="s">
        <v>27747</v>
      </c>
      <c r="T11" s="2531" t="s">
        <v>27688</v>
      </c>
      <c r="U11" s="2531" t="s">
        <v>27685</v>
      </c>
      <c r="V11" s="2524"/>
    </row>
    <row r="12" spans="1:22" ht="17.25" customHeight="1" x14ac:dyDescent="0.4">
      <c r="A12" s="2561"/>
      <c r="B12" s="2561"/>
      <c r="C12" s="2576"/>
      <c r="D12" s="2576" t="s">
        <v>218</v>
      </c>
      <c r="E12" s="2804">
        <v>0</v>
      </c>
      <c r="F12" s="2800">
        <v>0</v>
      </c>
      <c r="G12" s="2803">
        <v>0</v>
      </c>
      <c r="H12" s="2802">
        <v>0</v>
      </c>
      <c r="I12" s="2804">
        <f>FTE_1_Full_time!I15</f>
        <v>0</v>
      </c>
      <c r="J12" s="2800">
        <v>0</v>
      </c>
      <c r="K12" s="2803">
        <v>0</v>
      </c>
      <c r="L12" s="2802">
        <v>0</v>
      </c>
      <c r="M12" s="2797">
        <f t="shared" si="0"/>
        <v>0</v>
      </c>
      <c r="N12" s="2796"/>
      <c r="O12" s="2796"/>
      <c r="P12" s="2796"/>
      <c r="R12" s="2531" t="s">
        <v>203</v>
      </c>
      <c r="S12" s="2531" t="s">
        <v>27747</v>
      </c>
      <c r="T12" s="2531" t="s">
        <v>27688</v>
      </c>
      <c r="U12" s="2531" t="s">
        <v>27691</v>
      </c>
      <c r="V12" s="2524"/>
    </row>
    <row r="13" spans="1:22" ht="17.25" customHeight="1" x14ac:dyDescent="0.35">
      <c r="A13" s="2561"/>
      <c r="B13" s="2561"/>
      <c r="C13" s="2572" t="s">
        <v>212</v>
      </c>
      <c r="D13" s="2572" t="s">
        <v>204</v>
      </c>
      <c r="E13" s="2592">
        <v>0</v>
      </c>
      <c r="F13" s="2794">
        <v>0</v>
      </c>
      <c r="G13" s="2794"/>
      <c r="H13" s="2793"/>
      <c r="I13" s="2592">
        <f>FTE_1_Full_time!I11</f>
        <v>0</v>
      </c>
      <c r="J13" s="2794"/>
      <c r="K13" s="2794"/>
      <c r="L13" s="2793"/>
      <c r="M13" s="2792">
        <f t="shared" si="0"/>
        <v>0</v>
      </c>
      <c r="N13" s="2791"/>
      <c r="O13" s="2791"/>
      <c r="P13" s="2791"/>
      <c r="R13" s="2531" t="s">
        <v>203</v>
      </c>
      <c r="S13" s="2531" t="s">
        <v>27747</v>
      </c>
      <c r="T13" s="2531" t="s">
        <v>27689</v>
      </c>
      <c r="U13" s="2531" t="s">
        <v>27685</v>
      </c>
    </row>
    <row r="14" spans="1:22" ht="17.25" customHeight="1" x14ac:dyDescent="0.35">
      <c r="A14" s="2561"/>
      <c r="B14" s="2561"/>
      <c r="C14" s="2576"/>
      <c r="D14" s="2576" t="s">
        <v>218</v>
      </c>
      <c r="E14" s="2596">
        <v>0</v>
      </c>
      <c r="F14" s="2799">
        <v>0</v>
      </c>
      <c r="G14" s="2799"/>
      <c r="H14" s="2798"/>
      <c r="I14" s="2596">
        <f>FTE_1_Full_time!I16</f>
        <v>0</v>
      </c>
      <c r="J14" s="2799"/>
      <c r="K14" s="2799"/>
      <c r="L14" s="2798"/>
      <c r="M14" s="2801">
        <f t="shared" si="0"/>
        <v>0</v>
      </c>
      <c r="N14" s="2800"/>
      <c r="O14" s="2800"/>
      <c r="P14" s="2800"/>
      <c r="R14" s="2531" t="s">
        <v>203</v>
      </c>
      <c r="S14" s="2531" t="s">
        <v>27747</v>
      </c>
      <c r="T14" s="2531" t="s">
        <v>27689</v>
      </c>
      <c r="U14" s="2531" t="s">
        <v>27691</v>
      </c>
    </row>
    <row r="15" spans="1:22" ht="17.25" customHeight="1" x14ac:dyDescent="0.35">
      <c r="A15" s="2561"/>
      <c r="B15" s="2561"/>
      <c r="C15" s="2572" t="s">
        <v>214</v>
      </c>
      <c r="D15" s="2572" t="s">
        <v>204</v>
      </c>
      <c r="E15" s="2592">
        <v>0</v>
      </c>
      <c r="F15" s="2825">
        <v>0</v>
      </c>
      <c r="G15" s="2794"/>
      <c r="H15" s="2793"/>
      <c r="I15" s="2592">
        <f>FTE_1_Full_time!I12</f>
        <v>0</v>
      </c>
      <c r="J15" s="2825">
        <f>I15*H_Parameters!$B$40</f>
        <v>0</v>
      </c>
      <c r="K15" s="2794"/>
      <c r="L15" s="2793"/>
      <c r="M15" s="2838">
        <f t="shared" si="0"/>
        <v>0</v>
      </c>
      <c r="N15" s="2825">
        <f>ROUND(J15-F15,0)</f>
        <v>0</v>
      </c>
      <c r="O15" s="2795"/>
      <c r="P15" s="2795"/>
      <c r="R15" s="2531" t="s">
        <v>203</v>
      </c>
      <c r="S15" s="2531" t="s">
        <v>27747</v>
      </c>
      <c r="T15" s="2531" t="s">
        <v>27690</v>
      </c>
      <c r="U15" s="2531" t="s">
        <v>27685</v>
      </c>
    </row>
    <row r="16" spans="1:22" ht="17.25" customHeight="1" x14ac:dyDescent="0.35">
      <c r="A16" s="2561"/>
      <c r="B16" s="2812"/>
      <c r="C16" s="2812"/>
      <c r="D16" s="2812" t="s">
        <v>218</v>
      </c>
      <c r="E16" s="2811">
        <v>0</v>
      </c>
      <c r="F16" s="2837">
        <v>0</v>
      </c>
      <c r="G16" s="2810"/>
      <c r="H16" s="2809"/>
      <c r="I16" s="2811">
        <f>FTE_1_Full_time!I17</f>
        <v>0</v>
      </c>
      <c r="J16" s="2837">
        <f>I16*H_Parameters!$B$40</f>
        <v>0</v>
      </c>
      <c r="K16" s="2810"/>
      <c r="L16" s="2809"/>
      <c r="M16" s="2843">
        <f t="shared" si="0"/>
        <v>0</v>
      </c>
      <c r="N16" s="2837">
        <f>ROUND(J16-F16,0)</f>
        <v>0</v>
      </c>
      <c r="O16" s="2841"/>
      <c r="P16" s="2841"/>
      <c r="R16" s="2531" t="s">
        <v>203</v>
      </c>
      <c r="S16" s="2531" t="s">
        <v>27747</v>
      </c>
      <c r="T16" s="2531" t="s">
        <v>27690</v>
      </c>
      <c r="U16" s="2531" t="s">
        <v>27691</v>
      </c>
    </row>
    <row r="17" spans="1:21" ht="17.25" customHeight="1" x14ac:dyDescent="0.35">
      <c r="A17" s="2561"/>
      <c r="B17" s="2561" t="s">
        <v>191</v>
      </c>
      <c r="C17" s="2577" t="s">
        <v>205</v>
      </c>
      <c r="D17" s="2561" t="s">
        <v>204</v>
      </c>
      <c r="E17" s="2550">
        <v>0</v>
      </c>
      <c r="F17" s="2791"/>
      <c r="G17" s="2806"/>
      <c r="H17" s="2805"/>
      <c r="I17" s="2550">
        <f>FTE_3_Part_time!I8</f>
        <v>0</v>
      </c>
      <c r="J17" s="2791"/>
      <c r="K17" s="2806"/>
      <c r="L17" s="2805"/>
      <c r="M17" s="2792">
        <f t="shared" si="0"/>
        <v>0</v>
      </c>
      <c r="N17" s="2791"/>
      <c r="O17" s="2791"/>
      <c r="P17" s="2791"/>
      <c r="R17" s="2531" t="s">
        <v>203</v>
      </c>
      <c r="S17" s="2531" t="s">
        <v>27767</v>
      </c>
      <c r="T17" s="2531" t="s">
        <v>27686</v>
      </c>
      <c r="U17" s="2531" t="s">
        <v>27685</v>
      </c>
    </row>
    <row r="18" spans="1:21" ht="17.25" customHeight="1" x14ac:dyDescent="0.35">
      <c r="A18" s="2561"/>
      <c r="B18" s="2561"/>
      <c r="C18" s="2576"/>
      <c r="D18" s="2576" t="s">
        <v>218</v>
      </c>
      <c r="E18" s="2596">
        <v>0</v>
      </c>
      <c r="F18" s="2796"/>
      <c r="G18" s="2799"/>
      <c r="H18" s="2798"/>
      <c r="I18" s="2596">
        <f>FTE_3_Part_time!I13</f>
        <v>0</v>
      </c>
      <c r="J18" s="2796"/>
      <c r="K18" s="2799"/>
      <c r="L18" s="2798"/>
      <c r="M18" s="2855">
        <f t="shared" si="0"/>
        <v>0</v>
      </c>
      <c r="N18" s="2800"/>
      <c r="O18" s="2800"/>
      <c r="P18" s="2800"/>
      <c r="R18" s="2531" t="s">
        <v>203</v>
      </c>
      <c r="S18" s="2531" t="s">
        <v>27767</v>
      </c>
      <c r="T18" s="2531" t="s">
        <v>27686</v>
      </c>
      <c r="U18" s="2531" t="s">
        <v>27691</v>
      </c>
    </row>
    <row r="19" spans="1:21" ht="17.25" customHeight="1" x14ac:dyDescent="0.35">
      <c r="A19" s="2561"/>
      <c r="B19" s="2561"/>
      <c r="C19" s="2561" t="s">
        <v>208</v>
      </c>
      <c r="D19" s="2561" t="s">
        <v>204</v>
      </c>
      <c r="E19" s="2804">
        <v>0</v>
      </c>
      <c r="F19" s="2800"/>
      <c r="G19" s="2803"/>
      <c r="H19" s="2802"/>
      <c r="I19" s="2816">
        <f>FTE_3_Part_time!I9</f>
        <v>0</v>
      </c>
      <c r="J19" s="2800"/>
      <c r="K19" s="2803"/>
      <c r="L19" s="2802"/>
      <c r="M19" s="2854">
        <f t="shared" si="0"/>
        <v>0</v>
      </c>
      <c r="N19" s="2800"/>
      <c r="O19" s="2800"/>
      <c r="P19" s="2800"/>
      <c r="R19" s="2531" t="s">
        <v>203</v>
      </c>
      <c r="S19" s="2531" t="s">
        <v>27767</v>
      </c>
      <c r="T19" s="2531" t="s">
        <v>27687</v>
      </c>
      <c r="U19" s="2531" t="s">
        <v>27685</v>
      </c>
    </row>
    <row r="20" spans="1:21" ht="17.25" customHeight="1" x14ac:dyDescent="0.35">
      <c r="A20" s="2561"/>
      <c r="B20" s="2561"/>
      <c r="C20" s="2561"/>
      <c r="D20" s="2576" t="s">
        <v>218</v>
      </c>
      <c r="E20" s="2804">
        <v>0</v>
      </c>
      <c r="F20" s="2800"/>
      <c r="G20" s="2803"/>
      <c r="H20" s="2802"/>
      <c r="I20" s="2804">
        <f>FTE_3_Part_time!I14</f>
        <v>0</v>
      </c>
      <c r="J20" s="2800"/>
      <c r="K20" s="2803"/>
      <c r="L20" s="2802"/>
      <c r="M20" s="2801">
        <f t="shared" si="0"/>
        <v>0</v>
      </c>
      <c r="N20" s="2800"/>
      <c r="O20" s="2800"/>
      <c r="P20" s="2800"/>
      <c r="R20" s="2531" t="s">
        <v>203</v>
      </c>
      <c r="S20" s="2531" t="s">
        <v>27767</v>
      </c>
      <c r="T20" s="2531" t="s">
        <v>27687</v>
      </c>
      <c r="U20" s="2531" t="s">
        <v>27691</v>
      </c>
    </row>
    <row r="21" spans="1:21" ht="17.25" customHeight="1" x14ac:dyDescent="0.35">
      <c r="A21" s="2561"/>
      <c r="B21" s="2561"/>
      <c r="C21" s="2572" t="s">
        <v>210</v>
      </c>
      <c r="D21" s="2561" t="s">
        <v>204</v>
      </c>
      <c r="E21" s="2592">
        <v>0</v>
      </c>
      <c r="F21" s="2850"/>
      <c r="G21" s="2853"/>
      <c r="H21" s="2852"/>
      <c r="I21" s="2592">
        <f>FTE_3_Part_time!I10</f>
        <v>0</v>
      </c>
      <c r="J21" s="2850"/>
      <c r="K21" s="2853"/>
      <c r="L21" s="2852"/>
      <c r="M21" s="2851">
        <f t="shared" si="0"/>
        <v>0</v>
      </c>
      <c r="N21" s="2850"/>
      <c r="O21" s="2850"/>
      <c r="P21" s="2850"/>
      <c r="R21" s="2531" t="s">
        <v>203</v>
      </c>
      <c r="S21" s="2531" t="s">
        <v>27767</v>
      </c>
      <c r="T21" s="2531" t="s">
        <v>27688</v>
      </c>
      <c r="U21" s="2531" t="s">
        <v>27685</v>
      </c>
    </row>
    <row r="22" spans="1:21" ht="17.25" customHeight="1" x14ac:dyDescent="0.35">
      <c r="A22" s="2561"/>
      <c r="B22" s="2561"/>
      <c r="C22" s="2576"/>
      <c r="D22" s="2576" t="s">
        <v>218</v>
      </c>
      <c r="E22" s="2804">
        <v>0</v>
      </c>
      <c r="F22" s="2800"/>
      <c r="G22" s="2803"/>
      <c r="H22" s="2802"/>
      <c r="I22" s="2804">
        <f>FTE_3_Part_time!I15</f>
        <v>0</v>
      </c>
      <c r="J22" s="2800"/>
      <c r="K22" s="2803"/>
      <c r="L22" s="2802"/>
      <c r="M22" s="2797">
        <f t="shared" si="0"/>
        <v>0</v>
      </c>
      <c r="N22" s="2800"/>
      <c r="O22" s="2800"/>
      <c r="P22" s="2800"/>
      <c r="R22" s="2531" t="s">
        <v>203</v>
      </c>
      <c r="S22" s="2531" t="s">
        <v>27767</v>
      </c>
      <c r="T22" s="2531" t="s">
        <v>27688</v>
      </c>
      <c r="U22" s="2531" t="s">
        <v>27691</v>
      </c>
    </row>
    <row r="23" spans="1:21" ht="17.25" customHeight="1" x14ac:dyDescent="0.35">
      <c r="A23" s="2561"/>
      <c r="B23" s="2561"/>
      <c r="C23" s="2572" t="s">
        <v>212</v>
      </c>
      <c r="D23" s="2572" t="s">
        <v>204</v>
      </c>
      <c r="E23" s="2592">
        <v>0</v>
      </c>
      <c r="F23" s="2794"/>
      <c r="G23" s="2794"/>
      <c r="H23" s="2793"/>
      <c r="I23" s="2592">
        <f>FTE_3_Part_time!I11</f>
        <v>0</v>
      </c>
      <c r="J23" s="2794"/>
      <c r="K23" s="2794"/>
      <c r="L23" s="2793"/>
      <c r="M23" s="2851">
        <f t="shared" si="0"/>
        <v>0</v>
      </c>
      <c r="N23" s="2850"/>
      <c r="O23" s="2850"/>
      <c r="P23" s="2850"/>
      <c r="R23" s="2531" t="s">
        <v>203</v>
      </c>
      <c r="S23" s="2531" t="s">
        <v>27767</v>
      </c>
      <c r="T23" s="2531" t="s">
        <v>27689</v>
      </c>
      <c r="U23" s="2531" t="s">
        <v>27685</v>
      </c>
    </row>
    <row r="24" spans="1:21" ht="17.25" customHeight="1" x14ac:dyDescent="0.35">
      <c r="A24" s="2561"/>
      <c r="B24" s="2561"/>
      <c r="C24" s="2576"/>
      <c r="D24" s="2576" t="s">
        <v>218</v>
      </c>
      <c r="E24" s="2596">
        <v>0</v>
      </c>
      <c r="F24" s="2799"/>
      <c r="G24" s="2799"/>
      <c r="H24" s="2798"/>
      <c r="I24" s="2596">
        <f>FTE_3_Part_time!I16</f>
        <v>0</v>
      </c>
      <c r="J24" s="2799"/>
      <c r="K24" s="2799"/>
      <c r="L24" s="2798"/>
      <c r="M24" s="2797">
        <f t="shared" si="0"/>
        <v>0</v>
      </c>
      <c r="N24" s="2769"/>
      <c r="O24" s="2769"/>
      <c r="P24" s="2769"/>
      <c r="R24" s="2531" t="s">
        <v>203</v>
      </c>
      <c r="S24" s="2531" t="s">
        <v>27767</v>
      </c>
      <c r="T24" s="2531" t="s">
        <v>27689</v>
      </c>
      <c r="U24" s="2531" t="s">
        <v>27691</v>
      </c>
    </row>
    <row r="25" spans="1:21" ht="17.25" customHeight="1" x14ac:dyDescent="0.35">
      <c r="A25" s="2561"/>
      <c r="B25" s="2561"/>
      <c r="C25" s="2572" t="s">
        <v>214</v>
      </c>
      <c r="D25" s="2572" t="s">
        <v>204</v>
      </c>
      <c r="E25" s="2592">
        <v>0</v>
      </c>
      <c r="F25" s="2825">
        <v>0</v>
      </c>
      <c r="G25" s="2794"/>
      <c r="H25" s="2793"/>
      <c r="I25" s="2592">
        <f>FTE_3_Part_time!I12</f>
        <v>0</v>
      </c>
      <c r="J25" s="2825">
        <f>I25*H_Parameters!$B$40</f>
        <v>0</v>
      </c>
      <c r="K25" s="2794"/>
      <c r="L25" s="2793"/>
      <c r="M25" s="2792">
        <f t="shared" si="0"/>
        <v>0</v>
      </c>
      <c r="N25" s="2824">
        <f>ROUND(J25-F25,0)</f>
        <v>0</v>
      </c>
      <c r="O25" s="2791"/>
      <c r="P25" s="2791"/>
      <c r="R25" s="2531" t="s">
        <v>203</v>
      </c>
      <c r="S25" s="2531" t="s">
        <v>27767</v>
      </c>
      <c r="T25" s="2531" t="s">
        <v>27690</v>
      </c>
      <c r="U25" s="2531" t="s">
        <v>27685</v>
      </c>
    </row>
    <row r="26" spans="1:21" ht="17.25" customHeight="1" x14ac:dyDescent="0.35">
      <c r="A26" s="2582"/>
      <c r="B26" s="2582"/>
      <c r="C26" s="2812"/>
      <c r="D26" s="2582" t="s">
        <v>218</v>
      </c>
      <c r="E26" s="2589">
        <v>0</v>
      </c>
      <c r="F26" s="2813">
        <v>0</v>
      </c>
      <c r="G26" s="2799"/>
      <c r="H26" s="2788"/>
      <c r="I26" s="2589">
        <f>FTE_3_Part_time!I17</f>
        <v>0</v>
      </c>
      <c r="J26" s="2813">
        <f>I26*H_Parameters!$B$40</f>
        <v>0</v>
      </c>
      <c r="K26" s="2799"/>
      <c r="L26" s="2788"/>
      <c r="M26" s="2801">
        <f t="shared" si="0"/>
        <v>0</v>
      </c>
      <c r="N26" s="2836">
        <f>ROUND(J26-F26,0)</f>
        <v>0</v>
      </c>
      <c r="O26" s="2800"/>
      <c r="P26" s="2800"/>
      <c r="R26" s="2531" t="s">
        <v>203</v>
      </c>
      <c r="S26" s="2531" t="s">
        <v>27767</v>
      </c>
      <c r="T26" s="2531" t="s">
        <v>27690</v>
      </c>
      <c r="U26" s="2531" t="s">
        <v>27691</v>
      </c>
    </row>
    <row r="27" spans="1:21" ht="17.25" customHeight="1" x14ac:dyDescent="0.35">
      <c r="A27" s="2577" t="s">
        <v>225</v>
      </c>
      <c r="B27" s="2577" t="s">
        <v>189</v>
      </c>
      <c r="C27" s="2577" t="s">
        <v>205</v>
      </c>
      <c r="D27" s="2561" t="s">
        <v>204</v>
      </c>
      <c r="E27" s="2550">
        <v>0</v>
      </c>
      <c r="F27" s="2819"/>
      <c r="G27" s="2818"/>
      <c r="H27" s="2817"/>
      <c r="I27" s="2550">
        <f>FTE_1_Full_time!I18</f>
        <v>0</v>
      </c>
      <c r="J27" s="2819"/>
      <c r="K27" s="2818"/>
      <c r="L27" s="2817"/>
      <c r="M27" s="2839">
        <f t="shared" si="0"/>
        <v>0</v>
      </c>
      <c r="N27" s="2819"/>
      <c r="O27" s="2819"/>
      <c r="P27" s="2819"/>
      <c r="R27" s="2531" t="s">
        <v>225</v>
      </c>
      <c r="S27" s="2531" t="s">
        <v>27747</v>
      </c>
      <c r="T27" s="2531" t="s">
        <v>27686</v>
      </c>
      <c r="U27" s="2531" t="s">
        <v>27685</v>
      </c>
    </row>
    <row r="28" spans="1:21" ht="17.25" customHeight="1" x14ac:dyDescent="0.35">
      <c r="A28" s="2561"/>
      <c r="B28" s="2561"/>
      <c r="C28" s="2576"/>
      <c r="D28" s="2576" t="s">
        <v>218</v>
      </c>
      <c r="E28" s="2596">
        <v>0</v>
      </c>
      <c r="F28" s="2796"/>
      <c r="G28" s="2799"/>
      <c r="H28" s="2814">
        <v>0</v>
      </c>
      <c r="I28" s="2596">
        <f>FTE_1_Full_time!I23</f>
        <v>0</v>
      </c>
      <c r="J28" s="2796"/>
      <c r="K28" s="2799"/>
      <c r="L28" s="2814">
        <f>I28*H_Parameters!B49</f>
        <v>0</v>
      </c>
      <c r="M28" s="2770">
        <f t="shared" si="0"/>
        <v>0</v>
      </c>
      <c r="N28" s="2769"/>
      <c r="O28" s="2769"/>
      <c r="P28" s="2780">
        <f>ROUND(L28-H28,0)</f>
        <v>0</v>
      </c>
      <c r="R28" s="2531" t="s">
        <v>225</v>
      </c>
      <c r="S28" s="2531" t="s">
        <v>27747</v>
      </c>
      <c r="T28" s="2531" t="s">
        <v>27686</v>
      </c>
      <c r="U28" s="2531" t="s">
        <v>27691</v>
      </c>
    </row>
    <row r="29" spans="1:21" ht="17.25" customHeight="1" x14ac:dyDescent="0.35">
      <c r="A29" s="2561"/>
      <c r="B29" s="2561"/>
      <c r="C29" s="2561" t="s">
        <v>208</v>
      </c>
      <c r="D29" s="2561" t="s">
        <v>204</v>
      </c>
      <c r="E29" s="2804">
        <v>0</v>
      </c>
      <c r="F29" s="2800"/>
      <c r="G29" s="2803"/>
      <c r="H29" s="2846"/>
      <c r="I29" s="2592">
        <f>FTE_1_Full_time!I19</f>
        <v>0</v>
      </c>
      <c r="J29" s="2800"/>
      <c r="K29" s="2803"/>
      <c r="L29" s="2846"/>
      <c r="M29" s="2801">
        <f t="shared" si="0"/>
        <v>0</v>
      </c>
      <c r="N29" s="2800"/>
      <c r="O29" s="2800"/>
      <c r="P29" s="2845"/>
      <c r="R29" s="2531" t="s">
        <v>225</v>
      </c>
      <c r="S29" s="2531" t="s">
        <v>27747</v>
      </c>
      <c r="T29" s="2531" t="s">
        <v>27687</v>
      </c>
      <c r="U29" s="2531" t="s">
        <v>27685</v>
      </c>
    </row>
    <row r="30" spans="1:21" ht="17.25" customHeight="1" x14ac:dyDescent="0.35">
      <c r="A30" s="2561"/>
      <c r="B30" s="2561"/>
      <c r="C30" s="2561"/>
      <c r="D30" s="2576" t="s">
        <v>218</v>
      </c>
      <c r="E30" s="2596">
        <v>0</v>
      </c>
      <c r="F30" s="2796"/>
      <c r="G30" s="2799"/>
      <c r="H30" s="2815">
        <v>0</v>
      </c>
      <c r="I30" s="2849">
        <f>FTE_1_Full_time!I24</f>
        <v>0</v>
      </c>
      <c r="J30" s="2796"/>
      <c r="K30" s="2803"/>
      <c r="L30" s="2814">
        <f>I30*H_Parameters!B49</f>
        <v>0</v>
      </c>
      <c r="M30" s="2801">
        <f t="shared" si="0"/>
        <v>0</v>
      </c>
      <c r="N30" s="2800"/>
      <c r="O30" s="2800"/>
      <c r="P30" s="2780">
        <f>ROUND(L30-H30,0)</f>
        <v>0</v>
      </c>
      <c r="R30" s="2531" t="s">
        <v>225</v>
      </c>
      <c r="S30" s="2531" t="s">
        <v>27747</v>
      </c>
      <c r="T30" s="2531" t="s">
        <v>27687</v>
      </c>
      <c r="U30" s="2531" t="s">
        <v>27691</v>
      </c>
    </row>
    <row r="31" spans="1:21" ht="17.25" customHeight="1" x14ac:dyDescent="0.35">
      <c r="A31" s="2561"/>
      <c r="B31" s="2561"/>
      <c r="C31" s="2572" t="s">
        <v>210</v>
      </c>
      <c r="D31" s="2561" t="s">
        <v>204</v>
      </c>
      <c r="E31" s="2592">
        <v>0</v>
      </c>
      <c r="F31" s="2791"/>
      <c r="G31" s="2794"/>
      <c r="H31" s="2793"/>
      <c r="I31" s="2592">
        <f>FTE_1_Full_time!I20</f>
        <v>0</v>
      </c>
      <c r="J31" s="2791"/>
      <c r="K31" s="2794"/>
      <c r="L31" s="2793"/>
      <c r="M31" s="2792">
        <f t="shared" si="0"/>
        <v>0</v>
      </c>
      <c r="N31" s="2791"/>
      <c r="O31" s="2791"/>
      <c r="P31" s="2791"/>
      <c r="R31" s="2531" t="s">
        <v>225</v>
      </c>
      <c r="S31" s="2531" t="s">
        <v>27747</v>
      </c>
      <c r="T31" s="2531" t="s">
        <v>27688</v>
      </c>
      <c r="U31" s="2531" t="s">
        <v>27685</v>
      </c>
    </row>
    <row r="32" spans="1:21" ht="17.25" customHeight="1" x14ac:dyDescent="0.35">
      <c r="A32" s="2561"/>
      <c r="B32" s="2561"/>
      <c r="C32" s="2576"/>
      <c r="D32" s="2576" t="s">
        <v>218</v>
      </c>
      <c r="E32" s="2596">
        <v>0</v>
      </c>
      <c r="F32" s="2796"/>
      <c r="G32" s="2813">
        <v>0</v>
      </c>
      <c r="H32" s="2798"/>
      <c r="I32" s="2596">
        <f>FTE_1_Full_time!I25</f>
        <v>0</v>
      </c>
      <c r="J32" s="2796"/>
      <c r="K32" s="2813">
        <f>I32*H_Parameters!$B$44</f>
        <v>0</v>
      </c>
      <c r="L32" s="2798"/>
      <c r="M32" s="2801">
        <f t="shared" si="0"/>
        <v>0</v>
      </c>
      <c r="N32" s="2800"/>
      <c r="O32" s="2836">
        <f>ROUND(K32-G32,0)</f>
        <v>0</v>
      </c>
      <c r="P32" s="2800"/>
      <c r="R32" s="2531" t="s">
        <v>225</v>
      </c>
      <c r="S32" s="2531" t="s">
        <v>27747</v>
      </c>
      <c r="T32" s="2531" t="s">
        <v>27688</v>
      </c>
      <c r="U32" s="2531" t="s">
        <v>27691</v>
      </c>
    </row>
    <row r="33" spans="1:21" ht="17.25" customHeight="1" x14ac:dyDescent="0.35">
      <c r="A33" s="2561"/>
      <c r="B33" s="2561"/>
      <c r="C33" s="2572" t="s">
        <v>212</v>
      </c>
      <c r="D33" s="2572" t="s">
        <v>204</v>
      </c>
      <c r="E33" s="2592">
        <v>0</v>
      </c>
      <c r="F33" s="2794"/>
      <c r="G33" s="2791"/>
      <c r="H33" s="2793"/>
      <c r="I33" s="2592">
        <f>FTE_1_Full_time!I21</f>
        <v>0</v>
      </c>
      <c r="J33" s="2794"/>
      <c r="K33" s="2791"/>
      <c r="L33" s="2793"/>
      <c r="M33" s="2838">
        <f t="shared" si="0"/>
        <v>0</v>
      </c>
      <c r="N33" s="2795"/>
      <c r="O33" s="2795"/>
      <c r="P33" s="2795"/>
      <c r="R33" s="2531" t="s">
        <v>225</v>
      </c>
      <c r="S33" s="2531" t="s">
        <v>27747</v>
      </c>
      <c r="T33" s="2531" t="s">
        <v>27689</v>
      </c>
      <c r="U33" s="2531" t="s">
        <v>27685</v>
      </c>
    </row>
    <row r="34" spans="1:21" ht="17.25" customHeight="1" x14ac:dyDescent="0.35">
      <c r="A34" s="2561"/>
      <c r="B34" s="2561"/>
      <c r="C34" s="2576"/>
      <c r="D34" s="2576" t="s">
        <v>218</v>
      </c>
      <c r="E34" s="2596">
        <v>0</v>
      </c>
      <c r="F34" s="2799"/>
      <c r="G34" s="2813">
        <v>0</v>
      </c>
      <c r="H34" s="2798"/>
      <c r="I34" s="2596">
        <f>FTE_1_Full_time!I26</f>
        <v>0</v>
      </c>
      <c r="J34" s="2799"/>
      <c r="K34" s="2813">
        <f>I34*H_Parameters!$B$44</f>
        <v>0</v>
      </c>
      <c r="L34" s="2798"/>
      <c r="M34" s="2770">
        <f t="shared" si="0"/>
        <v>0</v>
      </c>
      <c r="N34" s="2769"/>
      <c r="O34" s="2780">
        <f>ROUND(K34-G34,0)</f>
        <v>0</v>
      </c>
      <c r="P34" s="2769"/>
      <c r="R34" s="2531" t="s">
        <v>225</v>
      </c>
      <c r="S34" s="2531" t="s">
        <v>27747</v>
      </c>
      <c r="T34" s="2531" t="s">
        <v>27689</v>
      </c>
      <c r="U34" s="2531" t="s">
        <v>27691</v>
      </c>
    </row>
    <row r="35" spans="1:21" ht="17.25" customHeight="1" x14ac:dyDescent="0.35">
      <c r="A35" s="2561"/>
      <c r="B35" s="2561"/>
      <c r="C35" s="2572" t="s">
        <v>214</v>
      </c>
      <c r="D35" s="2572" t="s">
        <v>204</v>
      </c>
      <c r="E35" s="2592">
        <v>0</v>
      </c>
      <c r="F35" s="2825">
        <v>0</v>
      </c>
      <c r="G35" s="2794"/>
      <c r="H35" s="2793"/>
      <c r="I35" s="2592">
        <f>FTE_1_Full_time!I22</f>
        <v>0</v>
      </c>
      <c r="J35" s="2825">
        <f>I35*H_Parameters!$B$40</f>
        <v>0</v>
      </c>
      <c r="K35" s="2794"/>
      <c r="L35" s="2793"/>
      <c r="M35" s="2792">
        <f t="shared" si="0"/>
        <v>0</v>
      </c>
      <c r="N35" s="2824">
        <f>ROUND(J35-F35,0)</f>
        <v>0</v>
      </c>
      <c r="O35" s="2791"/>
      <c r="P35" s="2791"/>
      <c r="R35" s="2531" t="s">
        <v>225</v>
      </c>
      <c r="S35" s="2531" t="s">
        <v>27747</v>
      </c>
      <c r="T35" s="2531" t="s">
        <v>27690</v>
      </c>
      <c r="U35" s="2531" t="s">
        <v>27685</v>
      </c>
    </row>
    <row r="36" spans="1:21" ht="17.25" customHeight="1" x14ac:dyDescent="0.35">
      <c r="A36" s="2561"/>
      <c r="B36" s="2812"/>
      <c r="C36" s="2812"/>
      <c r="D36" s="2812" t="s">
        <v>218</v>
      </c>
      <c r="E36" s="2811">
        <v>0</v>
      </c>
      <c r="F36" s="2837">
        <v>0</v>
      </c>
      <c r="G36" s="2837">
        <v>0</v>
      </c>
      <c r="H36" s="2809"/>
      <c r="I36" s="2811">
        <f>FTE_1_Full_time!I27</f>
        <v>0</v>
      </c>
      <c r="J36" s="2837">
        <f>I36*H_Parameters!$B$40</f>
        <v>0</v>
      </c>
      <c r="K36" s="2837">
        <f>I36*H_Parameters!$B$44</f>
        <v>0</v>
      </c>
      <c r="L36" s="2809"/>
      <c r="M36" s="2801">
        <f t="shared" si="0"/>
        <v>0</v>
      </c>
      <c r="N36" s="2836">
        <f>ROUND(J36-F36,0)</f>
        <v>0</v>
      </c>
      <c r="O36" s="2836">
        <f>ROUND(K36-G36,0)</f>
        <v>0</v>
      </c>
      <c r="P36" s="2800"/>
      <c r="R36" s="2531" t="s">
        <v>225</v>
      </c>
      <c r="S36" s="2531" t="s">
        <v>27747</v>
      </c>
      <c r="T36" s="2531" t="s">
        <v>27690</v>
      </c>
      <c r="U36" s="2531" t="s">
        <v>27691</v>
      </c>
    </row>
    <row r="37" spans="1:21" ht="17.25" customHeight="1" x14ac:dyDescent="0.35">
      <c r="A37" s="2561"/>
      <c r="B37" s="2561" t="s">
        <v>191</v>
      </c>
      <c r="C37" s="2577" t="s">
        <v>205</v>
      </c>
      <c r="D37" s="2561" t="s">
        <v>204</v>
      </c>
      <c r="E37" s="2550">
        <v>0</v>
      </c>
      <c r="F37" s="2791"/>
      <c r="G37" s="2806"/>
      <c r="H37" s="2805"/>
      <c r="I37" s="2550">
        <f>FTE_3_Part_time!I18</f>
        <v>0</v>
      </c>
      <c r="J37" s="2791"/>
      <c r="K37" s="2806"/>
      <c r="L37" s="2805"/>
      <c r="M37" s="2848">
        <f t="shared" si="0"/>
        <v>0</v>
      </c>
      <c r="N37" s="2847"/>
      <c r="O37" s="2847"/>
      <c r="P37" s="2847"/>
      <c r="R37" s="2531" t="s">
        <v>225</v>
      </c>
      <c r="S37" s="2531" t="s">
        <v>27767</v>
      </c>
      <c r="T37" s="2531" t="s">
        <v>27686</v>
      </c>
      <c r="U37" s="2531" t="s">
        <v>27685</v>
      </c>
    </row>
    <row r="38" spans="1:21" ht="17.25" customHeight="1" x14ac:dyDescent="0.35">
      <c r="A38" s="2561"/>
      <c r="B38" s="2561"/>
      <c r="C38" s="2576"/>
      <c r="D38" s="2576" t="s">
        <v>218</v>
      </c>
      <c r="E38" s="2596">
        <v>0</v>
      </c>
      <c r="F38" s="2796"/>
      <c r="G38" s="2799"/>
      <c r="H38" s="2798"/>
      <c r="I38" s="2596">
        <f>FTE_3_Part_time!I23</f>
        <v>0</v>
      </c>
      <c r="J38" s="2796"/>
      <c r="K38" s="2799"/>
      <c r="L38" s="2798"/>
      <c r="M38" s="2770">
        <f t="shared" si="0"/>
        <v>0</v>
      </c>
      <c r="N38" s="2769"/>
      <c r="O38" s="2769"/>
      <c r="P38" s="2769"/>
      <c r="R38" s="2531" t="s">
        <v>225</v>
      </c>
      <c r="S38" s="2531" t="s">
        <v>27767</v>
      </c>
      <c r="T38" s="2531" t="s">
        <v>27686</v>
      </c>
      <c r="U38" s="2531" t="s">
        <v>27691</v>
      </c>
    </row>
    <row r="39" spans="1:21" ht="17.25" customHeight="1" x14ac:dyDescent="0.35">
      <c r="A39" s="2561"/>
      <c r="B39" s="2561"/>
      <c r="C39" s="2561" t="s">
        <v>208</v>
      </c>
      <c r="D39" s="2561" t="s">
        <v>204</v>
      </c>
      <c r="E39" s="2804">
        <v>0</v>
      </c>
      <c r="F39" s="2800"/>
      <c r="G39" s="2803"/>
      <c r="H39" s="2802"/>
      <c r="I39" s="2804">
        <f>FTE_3_Part_time!I19</f>
        <v>0</v>
      </c>
      <c r="J39" s="2800"/>
      <c r="K39" s="2803"/>
      <c r="L39" s="2802"/>
      <c r="M39" s="2801">
        <f t="shared" ref="M39:M70" si="1">ROUND(I39-E39,0)</f>
        <v>0</v>
      </c>
      <c r="N39" s="2800"/>
      <c r="O39" s="2800"/>
      <c r="P39" s="2800"/>
      <c r="R39" s="2531" t="s">
        <v>225</v>
      </c>
      <c r="S39" s="2531" t="s">
        <v>27767</v>
      </c>
      <c r="T39" s="2531" t="s">
        <v>27687</v>
      </c>
      <c r="U39" s="2531" t="s">
        <v>27685</v>
      </c>
    </row>
    <row r="40" spans="1:21" ht="17.25" customHeight="1" x14ac:dyDescent="0.35">
      <c r="A40" s="2561"/>
      <c r="B40" s="2561"/>
      <c r="C40" s="2561"/>
      <c r="D40" s="2576" t="s">
        <v>218</v>
      </c>
      <c r="E40" s="2804">
        <v>0</v>
      </c>
      <c r="F40" s="2800"/>
      <c r="G40" s="2803"/>
      <c r="H40" s="2802"/>
      <c r="I40" s="2596">
        <f>FTE_3_Part_time!I24</f>
        <v>0</v>
      </c>
      <c r="J40" s="2800"/>
      <c r="K40" s="2803"/>
      <c r="L40" s="2802"/>
      <c r="M40" s="2801">
        <f t="shared" si="1"/>
        <v>0</v>
      </c>
      <c r="N40" s="2800"/>
      <c r="O40" s="2800"/>
      <c r="P40" s="2800"/>
      <c r="R40" s="2531" t="s">
        <v>225</v>
      </c>
      <c r="S40" s="2531" t="s">
        <v>27767</v>
      </c>
      <c r="T40" s="2531" t="s">
        <v>27687</v>
      </c>
      <c r="U40" s="2531" t="s">
        <v>27691</v>
      </c>
    </row>
    <row r="41" spans="1:21" ht="17.25" customHeight="1" x14ac:dyDescent="0.35">
      <c r="A41" s="2561"/>
      <c r="B41" s="2561"/>
      <c r="C41" s="2572" t="s">
        <v>210</v>
      </c>
      <c r="D41" s="2561" t="s">
        <v>204</v>
      </c>
      <c r="E41" s="2592">
        <v>0</v>
      </c>
      <c r="F41" s="2795"/>
      <c r="G41" s="2794"/>
      <c r="H41" s="2793"/>
      <c r="I41" s="2592">
        <f>FTE_3_Part_time!I20</f>
        <v>0</v>
      </c>
      <c r="J41" s="2795"/>
      <c r="K41" s="2794"/>
      <c r="L41" s="2793"/>
      <c r="M41" s="2792">
        <f t="shared" si="1"/>
        <v>0</v>
      </c>
      <c r="N41" s="2791"/>
      <c r="O41" s="2791"/>
      <c r="P41" s="2791"/>
      <c r="R41" s="2531" t="s">
        <v>225</v>
      </c>
      <c r="S41" s="2531" t="s">
        <v>27767</v>
      </c>
      <c r="T41" s="2531" t="s">
        <v>27688</v>
      </c>
      <c r="U41" s="2531" t="s">
        <v>27685</v>
      </c>
    </row>
    <row r="42" spans="1:21" ht="17.25" customHeight="1" x14ac:dyDescent="0.35">
      <c r="A42" s="2561"/>
      <c r="B42" s="2561"/>
      <c r="C42" s="2576"/>
      <c r="D42" s="2576" t="s">
        <v>218</v>
      </c>
      <c r="E42" s="2596">
        <v>0</v>
      </c>
      <c r="F42" s="2796"/>
      <c r="G42" s="2813">
        <v>0</v>
      </c>
      <c r="H42" s="2798"/>
      <c r="I42" s="2596">
        <f>FTE_3_Part_time!I25</f>
        <v>0</v>
      </c>
      <c r="J42" s="2796"/>
      <c r="K42" s="2813">
        <f>I42*H_Parameters!$B$44</f>
        <v>0</v>
      </c>
      <c r="L42" s="2798"/>
      <c r="M42" s="2801">
        <f t="shared" si="1"/>
        <v>0</v>
      </c>
      <c r="N42" s="2800"/>
      <c r="O42" s="2836">
        <f>ROUND(K42-G42,0)</f>
        <v>0</v>
      </c>
      <c r="P42" s="2800"/>
      <c r="R42" s="2531" t="s">
        <v>225</v>
      </c>
      <c r="S42" s="2531" t="s">
        <v>27767</v>
      </c>
      <c r="T42" s="2531" t="s">
        <v>27688</v>
      </c>
      <c r="U42" s="2531" t="s">
        <v>27691</v>
      </c>
    </row>
    <row r="43" spans="1:21" ht="17.25" customHeight="1" x14ac:dyDescent="0.35">
      <c r="A43" s="2561"/>
      <c r="B43" s="2561"/>
      <c r="C43" s="2572" t="s">
        <v>212</v>
      </c>
      <c r="D43" s="2572" t="s">
        <v>204</v>
      </c>
      <c r="E43" s="2592">
        <v>0</v>
      </c>
      <c r="F43" s="2794"/>
      <c r="G43" s="2791"/>
      <c r="H43" s="2793"/>
      <c r="I43" s="2592">
        <f>FTE_3_Part_time!I21</f>
        <v>0</v>
      </c>
      <c r="J43" s="2794"/>
      <c r="K43" s="2791"/>
      <c r="L43" s="2793"/>
      <c r="M43" s="2838">
        <f t="shared" si="1"/>
        <v>0</v>
      </c>
      <c r="N43" s="2795"/>
      <c r="O43" s="2795"/>
      <c r="P43" s="2795"/>
      <c r="R43" s="2531" t="s">
        <v>225</v>
      </c>
      <c r="S43" s="2531" t="s">
        <v>27767</v>
      </c>
      <c r="T43" s="2531" t="s">
        <v>27689</v>
      </c>
      <c r="U43" s="2531" t="s">
        <v>27685</v>
      </c>
    </row>
    <row r="44" spans="1:21" ht="17.25" customHeight="1" x14ac:dyDescent="0.35">
      <c r="A44" s="2561"/>
      <c r="B44" s="2561"/>
      <c r="C44" s="2576"/>
      <c r="D44" s="2576" t="s">
        <v>218</v>
      </c>
      <c r="E44" s="2596">
        <v>0</v>
      </c>
      <c r="F44" s="2799"/>
      <c r="G44" s="2813">
        <v>0</v>
      </c>
      <c r="H44" s="2798"/>
      <c r="I44" s="2596">
        <f>FTE_3_Part_time!I26</f>
        <v>0</v>
      </c>
      <c r="J44" s="2799"/>
      <c r="K44" s="2813">
        <f>I44*H_Parameters!$B$44</f>
        <v>0</v>
      </c>
      <c r="L44" s="2798"/>
      <c r="M44" s="2770">
        <f t="shared" si="1"/>
        <v>0</v>
      </c>
      <c r="N44" s="2769"/>
      <c r="O44" s="2780">
        <f>ROUND(K44-G44,0)</f>
        <v>0</v>
      </c>
      <c r="P44" s="2769"/>
      <c r="R44" s="2531" t="s">
        <v>225</v>
      </c>
      <c r="S44" s="2531" t="s">
        <v>27767</v>
      </c>
      <c r="T44" s="2531" t="s">
        <v>27689</v>
      </c>
      <c r="U44" s="2531" t="s">
        <v>27691</v>
      </c>
    </row>
    <row r="45" spans="1:21" ht="17.25" customHeight="1" x14ac:dyDescent="0.35">
      <c r="A45" s="2561"/>
      <c r="B45" s="2561"/>
      <c r="C45" s="2572" t="s">
        <v>214</v>
      </c>
      <c r="D45" s="2572" t="s">
        <v>204</v>
      </c>
      <c r="E45" s="2592">
        <v>0</v>
      </c>
      <c r="F45" s="2825">
        <v>0</v>
      </c>
      <c r="G45" s="2794"/>
      <c r="H45" s="2793"/>
      <c r="I45" s="2592">
        <f>FTE_3_Part_time!I22</f>
        <v>0</v>
      </c>
      <c r="J45" s="2825">
        <f>I45*H_Parameters!$B$40</f>
        <v>0</v>
      </c>
      <c r="K45" s="2794"/>
      <c r="L45" s="2793"/>
      <c r="M45" s="2792">
        <f t="shared" si="1"/>
        <v>0</v>
      </c>
      <c r="N45" s="2824">
        <f>ROUND(J45-F45,0)</f>
        <v>0</v>
      </c>
      <c r="O45" s="2791"/>
      <c r="P45" s="2791"/>
      <c r="R45" s="2531" t="s">
        <v>225</v>
      </c>
      <c r="S45" s="2531" t="s">
        <v>27767</v>
      </c>
      <c r="T45" s="2531" t="s">
        <v>27690</v>
      </c>
      <c r="U45" s="2531" t="s">
        <v>27685</v>
      </c>
    </row>
    <row r="46" spans="1:21" ht="17.25" customHeight="1" x14ac:dyDescent="0.35">
      <c r="A46" s="2582"/>
      <c r="B46" s="2582"/>
      <c r="C46" s="2812"/>
      <c r="D46" s="2582" t="s">
        <v>218</v>
      </c>
      <c r="E46" s="2589">
        <v>0</v>
      </c>
      <c r="F46" s="2823">
        <v>0</v>
      </c>
      <c r="G46" s="2823">
        <v>0</v>
      </c>
      <c r="H46" s="2788"/>
      <c r="I46" s="2589">
        <f>FTE_3_Part_time!I27</f>
        <v>0</v>
      </c>
      <c r="J46" s="2823">
        <f>I46*H_Parameters!$B$40</f>
        <v>0</v>
      </c>
      <c r="K46" s="2823">
        <f>I46*H_Parameters!$B$44</f>
        <v>0</v>
      </c>
      <c r="L46" s="2788"/>
      <c r="M46" s="2801">
        <f t="shared" si="1"/>
        <v>0</v>
      </c>
      <c r="N46" s="2836">
        <f>ROUND(J46-F46,0)</f>
        <v>0</v>
      </c>
      <c r="O46" s="2836">
        <f>ROUND(K46-G46,0)</f>
        <v>0</v>
      </c>
      <c r="P46" s="2800"/>
      <c r="R46" s="2531" t="s">
        <v>225</v>
      </c>
      <c r="S46" s="2531" t="s">
        <v>27767</v>
      </c>
      <c r="T46" s="2531" t="s">
        <v>27690</v>
      </c>
      <c r="U46" s="2531" t="s">
        <v>27691</v>
      </c>
    </row>
    <row r="47" spans="1:21" ht="17.25" customHeight="1" x14ac:dyDescent="0.35">
      <c r="A47" s="2844" t="s">
        <v>238</v>
      </c>
      <c r="B47" s="2561" t="s">
        <v>189</v>
      </c>
      <c r="C47" s="2577" t="s">
        <v>205</v>
      </c>
      <c r="D47" s="2561" t="s">
        <v>204</v>
      </c>
      <c r="E47" s="2550">
        <v>0</v>
      </c>
      <c r="F47" s="2819"/>
      <c r="G47" s="2818"/>
      <c r="H47" s="2817"/>
      <c r="I47" s="2550">
        <f>FTE_1_Full_time!I28</f>
        <v>0</v>
      </c>
      <c r="J47" s="2819"/>
      <c r="K47" s="2818"/>
      <c r="L47" s="2817"/>
      <c r="M47" s="2839">
        <f t="shared" si="1"/>
        <v>0</v>
      </c>
      <c r="N47" s="2819"/>
      <c r="O47" s="2819"/>
      <c r="P47" s="2819"/>
      <c r="R47" s="2531" t="s">
        <v>27692</v>
      </c>
      <c r="S47" s="2531" t="s">
        <v>27747</v>
      </c>
      <c r="T47" s="2531" t="s">
        <v>27686</v>
      </c>
      <c r="U47" s="2531" t="s">
        <v>27685</v>
      </c>
    </row>
    <row r="48" spans="1:21" ht="17.25" customHeight="1" x14ac:dyDescent="0.35">
      <c r="A48" s="2561"/>
      <c r="B48" s="2561"/>
      <c r="C48" s="2576"/>
      <c r="D48" s="2576" t="s">
        <v>218</v>
      </c>
      <c r="E48" s="2596">
        <v>0</v>
      </c>
      <c r="F48" s="2796"/>
      <c r="G48" s="2799"/>
      <c r="H48" s="2814">
        <v>0</v>
      </c>
      <c r="I48" s="2596">
        <f>FTE_1_Full_time!I33</f>
        <v>0</v>
      </c>
      <c r="J48" s="2796"/>
      <c r="K48" s="2799"/>
      <c r="L48" s="2814">
        <f>I48*H_Parameters!B50</f>
        <v>0</v>
      </c>
      <c r="M48" s="2801">
        <f t="shared" si="1"/>
        <v>0</v>
      </c>
      <c r="N48" s="2800"/>
      <c r="O48" s="2800"/>
      <c r="P48" s="2836">
        <f>ROUND(L48-H48,0)</f>
        <v>0</v>
      </c>
      <c r="R48" s="2531" t="s">
        <v>27692</v>
      </c>
      <c r="S48" s="2531" t="s">
        <v>27747</v>
      </c>
      <c r="T48" s="2531" t="s">
        <v>27686</v>
      </c>
      <c r="U48" s="2531" t="s">
        <v>27691</v>
      </c>
    </row>
    <row r="49" spans="1:21" ht="17.25" customHeight="1" x14ac:dyDescent="0.35">
      <c r="A49" s="2561"/>
      <c r="B49" s="2561"/>
      <c r="C49" s="2561" t="s">
        <v>208</v>
      </c>
      <c r="D49" s="2561" t="s">
        <v>204</v>
      </c>
      <c r="E49" s="2592">
        <v>0</v>
      </c>
      <c r="F49" s="2800"/>
      <c r="G49" s="2803"/>
      <c r="H49" s="2846"/>
      <c r="I49" s="2592">
        <f>FTE_1_Full_time!I29</f>
        <v>0</v>
      </c>
      <c r="J49" s="2800"/>
      <c r="K49" s="2803"/>
      <c r="L49" s="2846"/>
      <c r="M49" s="2838">
        <f t="shared" si="1"/>
        <v>0</v>
      </c>
      <c r="N49" s="2800"/>
      <c r="O49" s="2800"/>
      <c r="P49" s="2845"/>
      <c r="R49" s="2531" t="s">
        <v>27692</v>
      </c>
      <c r="S49" s="2531" t="s">
        <v>27747</v>
      </c>
      <c r="T49" s="2531" t="s">
        <v>27687</v>
      </c>
      <c r="U49" s="2531" t="s">
        <v>27685</v>
      </c>
    </row>
    <row r="50" spans="1:21" ht="17.25" customHeight="1" x14ac:dyDescent="0.35">
      <c r="A50" s="2561"/>
      <c r="B50" s="2561"/>
      <c r="C50" s="2561"/>
      <c r="D50" s="2576" t="s">
        <v>218</v>
      </c>
      <c r="E50" s="2804">
        <v>0</v>
      </c>
      <c r="F50" s="2796"/>
      <c r="G50" s="2803"/>
      <c r="H50" s="2815">
        <v>0</v>
      </c>
      <c r="I50" s="2596">
        <f>FTE_1_Full_time!I34</f>
        <v>0</v>
      </c>
      <c r="J50" s="2796"/>
      <c r="K50" s="2803"/>
      <c r="L50" s="2814">
        <f>I50*H_Parameters!B50</f>
        <v>0</v>
      </c>
      <c r="M50" s="2801">
        <f t="shared" si="1"/>
        <v>0</v>
      </c>
      <c r="N50" s="2800"/>
      <c r="O50" s="2800"/>
      <c r="P50" s="2836">
        <f>ROUND(L50-H50,0)</f>
        <v>0</v>
      </c>
      <c r="R50" s="2531" t="s">
        <v>27692</v>
      </c>
      <c r="S50" s="2531" t="s">
        <v>27747</v>
      </c>
      <c r="T50" s="2531" t="s">
        <v>27687</v>
      </c>
      <c r="U50" s="2531" t="s">
        <v>27691</v>
      </c>
    </row>
    <row r="51" spans="1:21" ht="17.25" customHeight="1" x14ac:dyDescent="0.35">
      <c r="A51" s="2561"/>
      <c r="B51" s="2561"/>
      <c r="C51" s="2572" t="s">
        <v>210</v>
      </c>
      <c r="D51" s="2561" t="s">
        <v>204</v>
      </c>
      <c r="E51" s="2592">
        <v>0</v>
      </c>
      <c r="F51" s="2791"/>
      <c r="G51" s="2794"/>
      <c r="H51" s="2793"/>
      <c r="I51" s="2592">
        <f>FTE_1_Full_time!I30</f>
        <v>0</v>
      </c>
      <c r="J51" s="2791"/>
      <c r="K51" s="2794"/>
      <c r="L51" s="2793"/>
      <c r="M51" s="2838">
        <f t="shared" si="1"/>
        <v>0</v>
      </c>
      <c r="N51" s="2795"/>
      <c r="O51" s="2795"/>
      <c r="P51" s="2795"/>
      <c r="R51" s="2531" t="s">
        <v>27692</v>
      </c>
      <c r="S51" s="2531" t="s">
        <v>27747</v>
      </c>
      <c r="T51" s="2531" t="s">
        <v>27688</v>
      </c>
      <c r="U51" s="2531" t="s">
        <v>27685</v>
      </c>
    </row>
    <row r="52" spans="1:21" ht="17.25" customHeight="1" x14ac:dyDescent="0.35">
      <c r="A52" s="2561"/>
      <c r="B52" s="2561"/>
      <c r="C52" s="2576"/>
      <c r="D52" s="2576" t="s">
        <v>218</v>
      </c>
      <c r="E52" s="2596">
        <v>0</v>
      </c>
      <c r="F52" s="2796"/>
      <c r="G52" s="2813">
        <v>0</v>
      </c>
      <c r="H52" s="2798"/>
      <c r="I52" s="2596">
        <f>FTE_1_Full_time!I35</f>
        <v>0</v>
      </c>
      <c r="J52" s="2796"/>
      <c r="K52" s="2813">
        <f>I52*H_Parameters!$B$45</f>
        <v>0</v>
      </c>
      <c r="L52" s="2798"/>
      <c r="M52" s="2770">
        <f t="shared" si="1"/>
        <v>0</v>
      </c>
      <c r="N52" s="2769"/>
      <c r="O52" s="2780">
        <f>ROUND(K52-G52,0)</f>
        <v>0</v>
      </c>
      <c r="P52" s="2769"/>
      <c r="R52" s="2531" t="s">
        <v>27692</v>
      </c>
      <c r="S52" s="2531" t="s">
        <v>27747</v>
      </c>
      <c r="T52" s="2531" t="s">
        <v>27688</v>
      </c>
      <c r="U52" s="2531" t="s">
        <v>27691</v>
      </c>
    </row>
    <row r="53" spans="1:21" ht="17.25" customHeight="1" x14ac:dyDescent="0.35">
      <c r="A53" s="2561"/>
      <c r="B53" s="2561"/>
      <c r="C53" s="2572" t="s">
        <v>212</v>
      </c>
      <c r="D53" s="2572" t="s">
        <v>204</v>
      </c>
      <c r="E53" s="2592">
        <v>0</v>
      </c>
      <c r="F53" s="2794"/>
      <c r="G53" s="2791"/>
      <c r="H53" s="2793"/>
      <c r="I53" s="2592">
        <f>FTE_1_Full_time!I31</f>
        <v>0</v>
      </c>
      <c r="J53" s="2794"/>
      <c r="K53" s="2791"/>
      <c r="L53" s="2793"/>
      <c r="M53" s="2792">
        <f t="shared" si="1"/>
        <v>0</v>
      </c>
      <c r="N53" s="2791"/>
      <c r="O53" s="2791"/>
      <c r="P53" s="2791"/>
      <c r="R53" s="2531" t="s">
        <v>27692</v>
      </c>
      <c r="S53" s="2531" t="s">
        <v>27747</v>
      </c>
      <c r="T53" s="2531" t="s">
        <v>27689</v>
      </c>
      <c r="U53" s="2531" t="s">
        <v>27685</v>
      </c>
    </row>
    <row r="54" spans="1:21" ht="17.25" customHeight="1" x14ac:dyDescent="0.35">
      <c r="A54" s="2561"/>
      <c r="B54" s="2561"/>
      <c r="C54" s="2576"/>
      <c r="D54" s="2576" t="s">
        <v>218</v>
      </c>
      <c r="E54" s="2596">
        <v>0</v>
      </c>
      <c r="F54" s="2799"/>
      <c r="G54" s="2813">
        <v>0</v>
      </c>
      <c r="H54" s="2798"/>
      <c r="I54" s="2596">
        <f>FTE_1_Full_time!I36</f>
        <v>0</v>
      </c>
      <c r="J54" s="2799"/>
      <c r="K54" s="2813">
        <f>I54*H_Parameters!$B$45</f>
        <v>0</v>
      </c>
      <c r="L54" s="2798"/>
      <c r="M54" s="2801">
        <f t="shared" si="1"/>
        <v>0</v>
      </c>
      <c r="N54" s="2800"/>
      <c r="O54" s="2836">
        <f>ROUND(K54-G54,0)</f>
        <v>0</v>
      </c>
      <c r="P54" s="2800"/>
      <c r="R54" s="2531" t="s">
        <v>27692</v>
      </c>
      <c r="S54" s="2531" t="s">
        <v>27747</v>
      </c>
      <c r="T54" s="2531" t="s">
        <v>27689</v>
      </c>
      <c r="U54" s="2531" t="s">
        <v>27691</v>
      </c>
    </row>
    <row r="55" spans="1:21" ht="17.25" customHeight="1" x14ac:dyDescent="0.35">
      <c r="A55" s="2561"/>
      <c r="B55" s="2561"/>
      <c r="C55" s="2572" t="s">
        <v>214</v>
      </c>
      <c r="D55" s="2572" t="s">
        <v>204</v>
      </c>
      <c r="E55" s="2592">
        <v>0</v>
      </c>
      <c r="F55" s="2825">
        <v>0</v>
      </c>
      <c r="G55" s="2794"/>
      <c r="H55" s="2793"/>
      <c r="I55" s="2592">
        <f>FTE_1_Full_time!I32</f>
        <v>0</v>
      </c>
      <c r="J55" s="2825">
        <f>I55*H_Parameters!$B$40</f>
        <v>0</v>
      </c>
      <c r="K55" s="2794"/>
      <c r="L55" s="2793"/>
      <c r="M55" s="2838">
        <f t="shared" si="1"/>
        <v>0</v>
      </c>
      <c r="N55" s="2825">
        <f>ROUND(J55-F55,0)</f>
        <v>0</v>
      </c>
      <c r="O55" s="2795"/>
      <c r="P55" s="2795"/>
      <c r="R55" s="2531" t="s">
        <v>27692</v>
      </c>
      <c r="S55" s="2531" t="s">
        <v>27747</v>
      </c>
      <c r="T55" s="2531" t="s">
        <v>27690</v>
      </c>
      <c r="U55" s="2531" t="s">
        <v>27685</v>
      </c>
    </row>
    <row r="56" spans="1:21" ht="17.25" customHeight="1" x14ac:dyDescent="0.35">
      <c r="A56" s="2561"/>
      <c r="B56" s="2812"/>
      <c r="C56" s="2812"/>
      <c r="D56" s="2812" t="s">
        <v>218</v>
      </c>
      <c r="E56" s="2811">
        <v>0</v>
      </c>
      <c r="F56" s="2837">
        <v>0</v>
      </c>
      <c r="G56" s="2837">
        <v>0</v>
      </c>
      <c r="H56" s="2809"/>
      <c r="I56" s="2811">
        <f>FTE_1_Full_time!I37</f>
        <v>0</v>
      </c>
      <c r="J56" s="2837">
        <f>I56*H_Parameters!$B$40</f>
        <v>0</v>
      </c>
      <c r="K56" s="2837">
        <f>I56*H_Parameters!$B$45</f>
        <v>0</v>
      </c>
      <c r="L56" s="2809"/>
      <c r="M56" s="2843">
        <f t="shared" si="1"/>
        <v>0</v>
      </c>
      <c r="N56" s="2842">
        <f>ROUND(J56-F56,0)</f>
        <v>0</v>
      </c>
      <c r="O56" s="2842">
        <f>ROUND(K56-G56,0)</f>
        <v>0</v>
      </c>
      <c r="P56" s="2841"/>
      <c r="R56" s="2531" t="s">
        <v>27692</v>
      </c>
      <c r="S56" s="2531" t="s">
        <v>27747</v>
      </c>
      <c r="T56" s="2531" t="s">
        <v>27690</v>
      </c>
      <c r="U56" s="2531" t="s">
        <v>27691</v>
      </c>
    </row>
    <row r="57" spans="1:21" ht="17.25" customHeight="1" x14ac:dyDescent="0.35">
      <c r="A57" s="2561"/>
      <c r="B57" s="2561" t="s">
        <v>191</v>
      </c>
      <c r="C57" s="2577" t="s">
        <v>205</v>
      </c>
      <c r="D57" s="2561" t="s">
        <v>204</v>
      </c>
      <c r="E57" s="2550">
        <v>0</v>
      </c>
      <c r="F57" s="2791"/>
      <c r="G57" s="2806"/>
      <c r="H57" s="2805"/>
      <c r="I57" s="2550">
        <f>FTE_3_Part_time!I28</f>
        <v>0</v>
      </c>
      <c r="J57" s="2791"/>
      <c r="K57" s="2806"/>
      <c r="L57" s="2805"/>
      <c r="M57" s="2792">
        <f t="shared" si="1"/>
        <v>0</v>
      </c>
      <c r="N57" s="2791"/>
      <c r="O57" s="2791"/>
      <c r="P57" s="2791"/>
      <c r="R57" s="2531" t="s">
        <v>27692</v>
      </c>
      <c r="S57" s="2531" t="s">
        <v>27767</v>
      </c>
      <c r="T57" s="2531" t="s">
        <v>27686</v>
      </c>
      <c r="U57" s="2531" t="s">
        <v>27685</v>
      </c>
    </row>
    <row r="58" spans="1:21" ht="17.25" customHeight="1" x14ac:dyDescent="0.35">
      <c r="A58" s="2561"/>
      <c r="B58" s="2561"/>
      <c r="C58" s="2576"/>
      <c r="D58" s="2576" t="s">
        <v>218</v>
      </c>
      <c r="E58" s="2596">
        <v>0</v>
      </c>
      <c r="F58" s="2796"/>
      <c r="G58" s="2799"/>
      <c r="H58" s="2798"/>
      <c r="I58" s="2596">
        <f>FTE_3_Part_time!I33</f>
        <v>0</v>
      </c>
      <c r="J58" s="2796"/>
      <c r="K58" s="2799"/>
      <c r="L58" s="2798"/>
      <c r="M58" s="2801">
        <f t="shared" si="1"/>
        <v>0</v>
      </c>
      <c r="N58" s="2800"/>
      <c r="O58" s="2800"/>
      <c r="P58" s="2800"/>
      <c r="R58" s="2531" t="s">
        <v>27692</v>
      </c>
      <c r="S58" s="2531" t="s">
        <v>27767</v>
      </c>
      <c r="T58" s="2531" t="s">
        <v>27686</v>
      </c>
      <c r="U58" s="2531" t="s">
        <v>27691</v>
      </c>
    </row>
    <row r="59" spans="1:21" ht="17.25" customHeight="1" x14ac:dyDescent="0.35">
      <c r="A59" s="2561"/>
      <c r="B59" s="2561"/>
      <c r="C59" s="2561" t="s">
        <v>208</v>
      </c>
      <c r="D59" s="2561" t="s">
        <v>204</v>
      </c>
      <c r="E59" s="2592">
        <v>0</v>
      </c>
      <c r="F59" s="2795"/>
      <c r="G59" s="2794"/>
      <c r="H59" s="2793"/>
      <c r="I59" s="2592">
        <f>FTE_3_Part_time!I29</f>
        <v>0</v>
      </c>
      <c r="J59" s="2800"/>
      <c r="K59" s="2803"/>
      <c r="L59" s="2802"/>
      <c r="M59" s="2838">
        <f t="shared" si="1"/>
        <v>0</v>
      </c>
      <c r="N59" s="2800"/>
      <c r="O59" s="2800"/>
      <c r="P59" s="2800"/>
      <c r="R59" s="2531" t="s">
        <v>27692</v>
      </c>
      <c r="S59" s="2531" t="s">
        <v>27767</v>
      </c>
      <c r="T59" s="2531" t="s">
        <v>27687</v>
      </c>
      <c r="U59" s="2531" t="s">
        <v>27685</v>
      </c>
    </row>
    <row r="60" spans="1:21" ht="17.25" customHeight="1" x14ac:dyDescent="0.35">
      <c r="A60" s="2561"/>
      <c r="B60" s="2561"/>
      <c r="C60" s="2561"/>
      <c r="D60" s="2576" t="s">
        <v>218</v>
      </c>
      <c r="E60" s="2804">
        <v>0</v>
      </c>
      <c r="F60" s="2800"/>
      <c r="G60" s="2803"/>
      <c r="H60" s="2802"/>
      <c r="I60" s="2804">
        <f>FTE_3_Part_time!I34</f>
        <v>0</v>
      </c>
      <c r="J60" s="2800"/>
      <c r="K60" s="2803"/>
      <c r="L60" s="2802"/>
      <c r="M60" s="2801">
        <f t="shared" si="1"/>
        <v>0</v>
      </c>
      <c r="N60" s="2800"/>
      <c r="O60" s="2800"/>
      <c r="P60" s="2800"/>
      <c r="R60" s="2531" t="s">
        <v>27692</v>
      </c>
      <c r="S60" s="2531" t="s">
        <v>27767</v>
      </c>
      <c r="T60" s="2531" t="s">
        <v>27687</v>
      </c>
      <c r="U60" s="2531" t="s">
        <v>27691</v>
      </c>
    </row>
    <row r="61" spans="1:21" ht="17.25" customHeight="1" x14ac:dyDescent="0.35">
      <c r="A61" s="2561"/>
      <c r="B61" s="2561"/>
      <c r="C61" s="2572" t="s">
        <v>210</v>
      </c>
      <c r="D61" s="2561" t="s">
        <v>204</v>
      </c>
      <c r="E61" s="2592">
        <v>0</v>
      </c>
      <c r="F61" s="2795"/>
      <c r="G61" s="2794"/>
      <c r="H61" s="2793"/>
      <c r="I61" s="2592">
        <f>FTE_3_Part_time!I30</f>
        <v>0</v>
      </c>
      <c r="J61" s="2795"/>
      <c r="K61" s="2794"/>
      <c r="L61" s="2793"/>
      <c r="M61" s="2838">
        <f t="shared" si="1"/>
        <v>0</v>
      </c>
      <c r="N61" s="2795"/>
      <c r="O61" s="2795"/>
      <c r="P61" s="2795"/>
      <c r="R61" s="2531" t="s">
        <v>27692</v>
      </c>
      <c r="S61" s="2531" t="s">
        <v>27767</v>
      </c>
      <c r="T61" s="2531" t="s">
        <v>27688</v>
      </c>
      <c r="U61" s="2531" t="s">
        <v>27685</v>
      </c>
    </row>
    <row r="62" spans="1:21" ht="17.25" customHeight="1" x14ac:dyDescent="0.35">
      <c r="A62" s="2561"/>
      <c r="B62" s="2561"/>
      <c r="C62" s="2576"/>
      <c r="D62" s="2576" t="s">
        <v>218</v>
      </c>
      <c r="E62" s="2596">
        <v>0</v>
      </c>
      <c r="F62" s="2796"/>
      <c r="G62" s="2813">
        <v>0</v>
      </c>
      <c r="H62" s="2798"/>
      <c r="I62" s="2596">
        <f>FTE_3_Part_time!I35</f>
        <v>0</v>
      </c>
      <c r="J62" s="2796"/>
      <c r="K62" s="2813">
        <f>I62*H_Parameters!$B$45</f>
        <v>0</v>
      </c>
      <c r="L62" s="2798"/>
      <c r="M62" s="2801">
        <f t="shared" si="1"/>
        <v>0</v>
      </c>
      <c r="N62" s="2800"/>
      <c r="O62" s="2836">
        <f>ROUND(K62-G62,0)</f>
        <v>0</v>
      </c>
      <c r="P62" s="2800"/>
      <c r="R62" s="2531" t="s">
        <v>27692</v>
      </c>
      <c r="S62" s="2531" t="s">
        <v>27767</v>
      </c>
      <c r="T62" s="2531" t="s">
        <v>27688</v>
      </c>
      <c r="U62" s="2531" t="s">
        <v>27691</v>
      </c>
    </row>
    <row r="63" spans="1:21" ht="17.25" customHeight="1" x14ac:dyDescent="0.35">
      <c r="A63" s="2561"/>
      <c r="B63" s="2561"/>
      <c r="C63" s="2572" t="s">
        <v>212</v>
      </c>
      <c r="D63" s="2572" t="s">
        <v>204</v>
      </c>
      <c r="E63" s="2592">
        <v>0</v>
      </c>
      <c r="F63" s="2794"/>
      <c r="G63" s="2791"/>
      <c r="H63" s="2793"/>
      <c r="I63" s="2592">
        <f>FTE_3_Part_time!I31</f>
        <v>0</v>
      </c>
      <c r="J63" s="2794"/>
      <c r="K63" s="2791"/>
      <c r="L63" s="2793"/>
      <c r="M63" s="2838">
        <f t="shared" si="1"/>
        <v>0</v>
      </c>
      <c r="N63" s="2795"/>
      <c r="O63" s="2795"/>
      <c r="P63" s="2795"/>
      <c r="R63" s="2531" t="s">
        <v>27692</v>
      </c>
      <c r="S63" s="2531" t="s">
        <v>27767</v>
      </c>
      <c r="T63" s="2531" t="s">
        <v>27689</v>
      </c>
      <c r="U63" s="2531" t="s">
        <v>27685</v>
      </c>
    </row>
    <row r="64" spans="1:21" ht="17.25" customHeight="1" x14ac:dyDescent="0.35">
      <c r="A64" s="2561"/>
      <c r="B64" s="2561"/>
      <c r="C64" s="2576"/>
      <c r="D64" s="2576" t="s">
        <v>218</v>
      </c>
      <c r="E64" s="2596">
        <v>0</v>
      </c>
      <c r="F64" s="2799"/>
      <c r="G64" s="2813">
        <v>0</v>
      </c>
      <c r="H64" s="2798"/>
      <c r="I64" s="2596">
        <f>FTE_3_Part_time!I36</f>
        <v>0</v>
      </c>
      <c r="J64" s="2799"/>
      <c r="K64" s="2813">
        <f>I64*H_Parameters!$B$45</f>
        <v>0</v>
      </c>
      <c r="L64" s="2798"/>
      <c r="M64" s="2801">
        <f t="shared" si="1"/>
        <v>0</v>
      </c>
      <c r="N64" s="2800"/>
      <c r="O64" s="2836">
        <f>ROUND(K64-G64,0)</f>
        <v>0</v>
      </c>
      <c r="P64" s="2800"/>
      <c r="R64" s="2531" t="s">
        <v>27692</v>
      </c>
      <c r="S64" s="2531" t="s">
        <v>27767</v>
      </c>
      <c r="T64" s="2531" t="s">
        <v>27689</v>
      </c>
      <c r="U64" s="2531" t="s">
        <v>27691</v>
      </c>
    </row>
    <row r="65" spans="1:21" ht="17.25" customHeight="1" x14ac:dyDescent="0.35">
      <c r="A65" s="2561"/>
      <c r="B65" s="2561"/>
      <c r="C65" s="2572" t="s">
        <v>214</v>
      </c>
      <c r="D65" s="2572" t="s">
        <v>204</v>
      </c>
      <c r="E65" s="2592">
        <v>0</v>
      </c>
      <c r="F65" s="2825">
        <v>0</v>
      </c>
      <c r="G65" s="2794"/>
      <c r="H65" s="2793"/>
      <c r="I65" s="2592">
        <f>FTE_3_Part_time!I32</f>
        <v>0</v>
      </c>
      <c r="J65" s="2825">
        <f>I65*H_Parameters!$B$40</f>
        <v>0</v>
      </c>
      <c r="K65" s="2794"/>
      <c r="L65" s="2793"/>
      <c r="M65" s="2838">
        <f t="shared" si="1"/>
        <v>0</v>
      </c>
      <c r="N65" s="2825">
        <f>ROUND(J65-F65,0)</f>
        <v>0</v>
      </c>
      <c r="O65" s="2795"/>
      <c r="P65" s="2795"/>
      <c r="R65" s="2531" t="s">
        <v>27692</v>
      </c>
      <c r="S65" s="2531" t="s">
        <v>27767</v>
      </c>
      <c r="T65" s="2531" t="s">
        <v>27690</v>
      </c>
      <c r="U65" s="2531" t="s">
        <v>27685</v>
      </c>
    </row>
    <row r="66" spans="1:21" ht="17.25" customHeight="1" x14ac:dyDescent="0.35">
      <c r="A66" s="2582"/>
      <c r="B66" s="2582"/>
      <c r="C66" s="2812"/>
      <c r="D66" s="2582" t="s">
        <v>218</v>
      </c>
      <c r="E66" s="2589">
        <v>0</v>
      </c>
      <c r="F66" s="2821">
        <v>0</v>
      </c>
      <c r="G66" s="2821">
        <v>0</v>
      </c>
      <c r="H66" s="2840"/>
      <c r="I66" s="2589">
        <f>FTE_3_Part_time!I37</f>
        <v>0</v>
      </c>
      <c r="J66" s="2821">
        <f>I66*H_Parameters!$B$40</f>
        <v>0</v>
      </c>
      <c r="K66" s="2821">
        <f>I66*H_Parameters!$B$45</f>
        <v>0</v>
      </c>
      <c r="L66" s="2840"/>
      <c r="M66" s="2801">
        <f t="shared" si="1"/>
        <v>0</v>
      </c>
      <c r="N66" s="2836">
        <f>ROUND(J66-F66,0)</f>
        <v>0</v>
      </c>
      <c r="O66" s="2836">
        <f>ROUND(K66-G66,0)</f>
        <v>0</v>
      </c>
      <c r="P66" s="2800"/>
      <c r="R66" s="2531" t="s">
        <v>27692</v>
      </c>
      <c r="S66" s="2531" t="s">
        <v>27767</v>
      </c>
      <c r="T66" s="2531" t="s">
        <v>27690</v>
      </c>
      <c r="U66" s="2531" t="s">
        <v>27691</v>
      </c>
    </row>
    <row r="67" spans="1:21" ht="17.25" customHeight="1" x14ac:dyDescent="0.35">
      <c r="A67" s="2844" t="s">
        <v>251</v>
      </c>
      <c r="B67" s="2561" t="s">
        <v>189</v>
      </c>
      <c r="C67" s="2577" t="s">
        <v>205</v>
      </c>
      <c r="D67" s="2561" t="s">
        <v>204</v>
      </c>
      <c r="E67" s="2550">
        <v>0</v>
      </c>
      <c r="F67" s="2819"/>
      <c r="G67" s="2818"/>
      <c r="H67" s="2817"/>
      <c r="I67" s="2550">
        <f>FTE_1_Full_time!I38</f>
        <v>0</v>
      </c>
      <c r="J67" s="2819"/>
      <c r="K67" s="2818"/>
      <c r="L67" s="2817"/>
      <c r="M67" s="2839">
        <f t="shared" si="1"/>
        <v>0</v>
      </c>
      <c r="N67" s="2819"/>
      <c r="O67" s="2819"/>
      <c r="P67" s="2819"/>
      <c r="R67" s="2531" t="s">
        <v>27693</v>
      </c>
      <c r="S67" s="2531" t="s">
        <v>27747</v>
      </c>
      <c r="T67" s="2531" t="s">
        <v>27686</v>
      </c>
      <c r="U67" s="2531" t="s">
        <v>27685</v>
      </c>
    </row>
    <row r="68" spans="1:21" ht="17.25" customHeight="1" x14ac:dyDescent="0.35">
      <c r="A68" s="2561"/>
      <c r="B68" s="2561"/>
      <c r="C68" s="2576"/>
      <c r="D68" s="2576" t="s">
        <v>218</v>
      </c>
      <c r="E68" s="2596">
        <v>0</v>
      </c>
      <c r="F68" s="2796"/>
      <c r="G68" s="2799"/>
      <c r="H68" s="2814">
        <v>0</v>
      </c>
      <c r="I68" s="2596">
        <f>FTE_1_Full_time!I43</f>
        <v>0</v>
      </c>
      <c r="J68" s="2796"/>
      <c r="K68" s="2799"/>
      <c r="L68" s="2814">
        <f>I68*H_Parameters!B50</f>
        <v>0</v>
      </c>
      <c r="M68" s="2801">
        <f t="shared" si="1"/>
        <v>0</v>
      </c>
      <c r="N68" s="2800"/>
      <c r="O68" s="2800"/>
      <c r="P68" s="2836">
        <f>ROUND(L68-H68,0)</f>
        <v>0</v>
      </c>
      <c r="R68" s="2531" t="s">
        <v>27693</v>
      </c>
      <c r="S68" s="2531" t="s">
        <v>27747</v>
      </c>
      <c r="T68" s="2531" t="s">
        <v>27686</v>
      </c>
      <c r="U68" s="2531" t="s">
        <v>27691</v>
      </c>
    </row>
    <row r="69" spans="1:21" ht="17.25" customHeight="1" x14ac:dyDescent="0.35">
      <c r="A69" s="2561"/>
      <c r="B69" s="2561"/>
      <c r="C69" s="2561" t="s">
        <v>208</v>
      </c>
      <c r="D69" s="2561" t="s">
        <v>204</v>
      </c>
      <c r="E69" s="2592">
        <v>0</v>
      </c>
      <c r="F69" s="2791"/>
      <c r="G69" s="2794"/>
      <c r="H69" s="2793"/>
      <c r="I69" s="2592">
        <f>FTE_1_Full_time!I39</f>
        <v>0</v>
      </c>
      <c r="J69" s="2791"/>
      <c r="K69" s="2794"/>
      <c r="L69" s="2793"/>
      <c r="M69" s="2838">
        <f t="shared" si="1"/>
        <v>0</v>
      </c>
      <c r="N69" s="2795"/>
      <c r="O69" s="2795"/>
      <c r="P69" s="2795"/>
      <c r="R69" s="2531" t="s">
        <v>27693</v>
      </c>
      <c r="S69" s="2531" t="s">
        <v>27747</v>
      </c>
      <c r="T69" s="2531" t="s">
        <v>27687</v>
      </c>
      <c r="U69" s="2531" t="s">
        <v>27685</v>
      </c>
    </row>
    <row r="70" spans="1:21" ht="17.25" customHeight="1" x14ac:dyDescent="0.35">
      <c r="A70" s="2561"/>
      <c r="B70" s="2561"/>
      <c r="C70" s="2561"/>
      <c r="D70" s="2576" t="s">
        <v>218</v>
      </c>
      <c r="E70" s="2804">
        <v>0</v>
      </c>
      <c r="F70" s="2796"/>
      <c r="G70" s="2803"/>
      <c r="H70" s="2815">
        <v>0</v>
      </c>
      <c r="I70" s="2804">
        <f>FTE_1_Full_time!I44</f>
        <v>0</v>
      </c>
      <c r="J70" s="2796"/>
      <c r="K70" s="2803"/>
      <c r="L70" s="2814">
        <f>I70*H_Parameters!B50</f>
        <v>0</v>
      </c>
      <c r="M70" s="2801">
        <f t="shared" si="1"/>
        <v>0</v>
      </c>
      <c r="N70" s="2800"/>
      <c r="O70" s="2800"/>
      <c r="P70" s="2836">
        <f>ROUND(L70-H70,0)</f>
        <v>0</v>
      </c>
      <c r="R70" s="2531" t="s">
        <v>27693</v>
      </c>
      <c r="S70" s="2531" t="s">
        <v>27747</v>
      </c>
      <c r="T70" s="2531" t="s">
        <v>27687</v>
      </c>
      <c r="U70" s="2531" t="s">
        <v>27691</v>
      </c>
    </row>
    <row r="71" spans="1:21" ht="17.25" customHeight="1" x14ac:dyDescent="0.35">
      <c r="A71" s="2561"/>
      <c r="B71" s="2561"/>
      <c r="C71" s="2572" t="s">
        <v>210</v>
      </c>
      <c r="D71" s="2561" t="s">
        <v>204</v>
      </c>
      <c r="E71" s="2592">
        <v>0</v>
      </c>
      <c r="F71" s="2791"/>
      <c r="G71" s="2794"/>
      <c r="H71" s="2793"/>
      <c r="I71" s="2592">
        <f>FTE_1_Full_time!I40</f>
        <v>0</v>
      </c>
      <c r="J71" s="2791"/>
      <c r="K71" s="2794"/>
      <c r="L71" s="2793"/>
      <c r="M71" s="2838">
        <f t="shared" ref="M71:M102" si="2">ROUND(I71-E71,0)</f>
        <v>0</v>
      </c>
      <c r="N71" s="2795"/>
      <c r="O71" s="2795"/>
      <c r="P71" s="2795"/>
      <c r="R71" s="2531" t="s">
        <v>27693</v>
      </c>
      <c r="S71" s="2531" t="s">
        <v>27747</v>
      </c>
      <c r="T71" s="2531" t="s">
        <v>27688</v>
      </c>
      <c r="U71" s="2531" t="s">
        <v>27685</v>
      </c>
    </row>
    <row r="72" spans="1:21" ht="17.25" customHeight="1" x14ac:dyDescent="0.35">
      <c r="A72" s="2561"/>
      <c r="B72" s="2561"/>
      <c r="C72" s="2576"/>
      <c r="D72" s="2576" t="s">
        <v>218</v>
      </c>
      <c r="E72" s="2596">
        <v>0</v>
      </c>
      <c r="F72" s="2796"/>
      <c r="G72" s="3349"/>
      <c r="H72" s="2798"/>
      <c r="I72" s="2596">
        <f>FTE_1_Full_time!I45</f>
        <v>0</v>
      </c>
      <c r="J72" s="2796"/>
      <c r="K72" s="3349"/>
      <c r="L72" s="2798"/>
      <c r="M72" s="2770">
        <f t="shared" si="2"/>
        <v>0</v>
      </c>
      <c r="N72" s="2769"/>
      <c r="O72" s="3346"/>
      <c r="P72" s="2769"/>
      <c r="R72" s="2531" t="s">
        <v>27693</v>
      </c>
      <c r="S72" s="2531" t="s">
        <v>27747</v>
      </c>
      <c r="T72" s="2531" t="s">
        <v>27688</v>
      </c>
      <c r="U72" s="2531" t="s">
        <v>27691</v>
      </c>
    </row>
    <row r="73" spans="1:21" ht="17.25" customHeight="1" x14ac:dyDescent="0.35">
      <c r="A73" s="2561"/>
      <c r="B73" s="2561"/>
      <c r="C73" s="2572" t="s">
        <v>212</v>
      </c>
      <c r="D73" s="2572" t="s">
        <v>204</v>
      </c>
      <c r="E73" s="2592">
        <v>0</v>
      </c>
      <c r="F73" s="2794"/>
      <c r="G73" s="2791"/>
      <c r="H73" s="2793"/>
      <c r="I73" s="2592">
        <f>FTE_1_Full_time!I41</f>
        <v>0</v>
      </c>
      <c r="J73" s="2794"/>
      <c r="K73" s="2791"/>
      <c r="L73" s="2793"/>
      <c r="M73" s="2792">
        <f t="shared" si="2"/>
        <v>0</v>
      </c>
      <c r="N73" s="2791"/>
      <c r="O73" s="2791"/>
      <c r="P73" s="2791"/>
      <c r="R73" s="2531" t="s">
        <v>27693</v>
      </c>
      <c r="S73" s="2531" t="s">
        <v>27747</v>
      </c>
      <c r="T73" s="2531" t="s">
        <v>27689</v>
      </c>
      <c r="U73" s="2531" t="s">
        <v>27685</v>
      </c>
    </row>
    <row r="74" spans="1:21" ht="17.25" customHeight="1" x14ac:dyDescent="0.35">
      <c r="A74" s="2561"/>
      <c r="B74" s="2561"/>
      <c r="C74" s="2576"/>
      <c r="D74" s="2576" t="s">
        <v>218</v>
      </c>
      <c r="E74" s="2596">
        <v>0</v>
      </c>
      <c r="F74" s="2799"/>
      <c r="G74" s="3349"/>
      <c r="H74" s="2798"/>
      <c r="I74" s="2596">
        <f>FTE_1_Full_time!I46</f>
        <v>0</v>
      </c>
      <c r="J74" s="2799"/>
      <c r="K74" s="3349"/>
      <c r="L74" s="2798"/>
      <c r="M74" s="2801">
        <f t="shared" si="2"/>
        <v>0</v>
      </c>
      <c r="N74" s="2800"/>
      <c r="O74" s="2845"/>
      <c r="P74" s="2800"/>
      <c r="R74" s="2531" t="s">
        <v>27693</v>
      </c>
      <c r="S74" s="2531" t="s">
        <v>27747</v>
      </c>
      <c r="T74" s="2531" t="s">
        <v>27689</v>
      </c>
      <c r="U74" s="2531" t="s">
        <v>27691</v>
      </c>
    </row>
    <row r="75" spans="1:21" ht="17.25" customHeight="1" x14ac:dyDescent="0.35">
      <c r="A75" s="2561"/>
      <c r="B75" s="2561"/>
      <c r="C75" s="2572" t="s">
        <v>214</v>
      </c>
      <c r="D75" s="2572" t="s">
        <v>204</v>
      </c>
      <c r="E75" s="2592">
        <v>0</v>
      </c>
      <c r="F75" s="3348"/>
      <c r="G75" s="2794"/>
      <c r="H75" s="2793"/>
      <c r="I75" s="2592">
        <f>FTE_1_Full_time!I42</f>
        <v>0</v>
      </c>
      <c r="J75" s="3348"/>
      <c r="K75" s="2794"/>
      <c r="L75" s="2793"/>
      <c r="M75" s="2838">
        <f t="shared" si="2"/>
        <v>0</v>
      </c>
      <c r="N75" s="3348"/>
      <c r="O75" s="2795"/>
      <c r="P75" s="2795"/>
      <c r="R75" s="2531" t="s">
        <v>27693</v>
      </c>
      <c r="S75" s="2531" t="s">
        <v>27747</v>
      </c>
      <c r="T75" s="2531" t="s">
        <v>27690</v>
      </c>
      <c r="U75" s="2531" t="s">
        <v>27685</v>
      </c>
    </row>
    <row r="76" spans="1:21" ht="17.25" customHeight="1" x14ac:dyDescent="0.35">
      <c r="A76" s="2561"/>
      <c r="B76" s="2812"/>
      <c r="C76" s="2812"/>
      <c r="D76" s="2812" t="s">
        <v>218</v>
      </c>
      <c r="E76" s="2811">
        <v>0</v>
      </c>
      <c r="F76" s="3350"/>
      <c r="G76" s="3350"/>
      <c r="H76" s="2809"/>
      <c r="I76" s="2811">
        <f>FTE_1_Full_time!I47</f>
        <v>0</v>
      </c>
      <c r="J76" s="3350"/>
      <c r="K76" s="3350"/>
      <c r="L76" s="2809"/>
      <c r="M76" s="2843">
        <f t="shared" si="2"/>
        <v>0</v>
      </c>
      <c r="N76" s="3347"/>
      <c r="O76" s="3347"/>
      <c r="P76" s="2841"/>
      <c r="R76" s="2531" t="s">
        <v>27693</v>
      </c>
      <c r="S76" s="2531" t="s">
        <v>27747</v>
      </c>
      <c r="T76" s="2531" t="s">
        <v>27690</v>
      </c>
      <c r="U76" s="2531" t="s">
        <v>27691</v>
      </c>
    </row>
    <row r="77" spans="1:21" ht="17.25" customHeight="1" x14ac:dyDescent="0.35">
      <c r="A77" s="2561"/>
      <c r="B77" s="2561" t="s">
        <v>191</v>
      </c>
      <c r="C77" s="2577" t="s">
        <v>205</v>
      </c>
      <c r="D77" s="2561" t="s">
        <v>204</v>
      </c>
      <c r="E77" s="2550">
        <v>0</v>
      </c>
      <c r="F77" s="2791"/>
      <c r="G77" s="2806"/>
      <c r="H77" s="2805"/>
      <c r="I77" s="2550">
        <f>FTE_3_Part_time!I38</f>
        <v>0</v>
      </c>
      <c r="J77" s="2791"/>
      <c r="K77" s="2806"/>
      <c r="L77" s="2805"/>
      <c r="M77" s="2792">
        <f t="shared" si="2"/>
        <v>0</v>
      </c>
      <c r="N77" s="2791"/>
      <c r="O77" s="2791"/>
      <c r="P77" s="2791"/>
      <c r="R77" s="2531" t="s">
        <v>27693</v>
      </c>
      <c r="S77" s="2531" t="s">
        <v>27767</v>
      </c>
      <c r="T77" s="2531" t="s">
        <v>27686</v>
      </c>
      <c r="U77" s="2531" t="s">
        <v>27685</v>
      </c>
    </row>
    <row r="78" spans="1:21" ht="17.25" customHeight="1" x14ac:dyDescent="0.35">
      <c r="A78" s="2561"/>
      <c r="B78" s="2561"/>
      <c r="C78" s="2576"/>
      <c r="D78" s="2576" t="s">
        <v>218</v>
      </c>
      <c r="E78" s="2596">
        <v>0</v>
      </c>
      <c r="F78" s="2796"/>
      <c r="G78" s="2799"/>
      <c r="H78" s="2798"/>
      <c r="I78" s="2596">
        <f>FTE_3_Part_time!I43</f>
        <v>0</v>
      </c>
      <c r="J78" s="2796"/>
      <c r="K78" s="2799"/>
      <c r="L78" s="2798"/>
      <c r="M78" s="2801">
        <f t="shared" si="2"/>
        <v>0</v>
      </c>
      <c r="N78" s="2800"/>
      <c r="O78" s="2800"/>
      <c r="P78" s="2800"/>
      <c r="R78" s="2531" t="s">
        <v>27693</v>
      </c>
      <c r="S78" s="2531" t="s">
        <v>27767</v>
      </c>
      <c r="T78" s="2531" t="s">
        <v>27686</v>
      </c>
      <c r="U78" s="2531" t="s">
        <v>27691</v>
      </c>
    </row>
    <row r="79" spans="1:21" ht="17.25" customHeight="1" x14ac:dyDescent="0.35">
      <c r="A79" s="2561"/>
      <c r="B79" s="2561"/>
      <c r="C79" s="2561" t="s">
        <v>208</v>
      </c>
      <c r="D79" s="2561" t="s">
        <v>204</v>
      </c>
      <c r="E79" s="2592">
        <v>0</v>
      </c>
      <c r="F79" s="2795"/>
      <c r="G79" s="2794"/>
      <c r="H79" s="2793"/>
      <c r="I79" s="2592">
        <f>FTE_3_Part_time!I39</f>
        <v>0</v>
      </c>
      <c r="J79" s="2795"/>
      <c r="K79" s="2794"/>
      <c r="L79" s="2793"/>
      <c r="M79" s="2838">
        <f t="shared" si="2"/>
        <v>0</v>
      </c>
      <c r="N79" s="2795"/>
      <c r="O79" s="2795"/>
      <c r="P79" s="2795"/>
      <c r="R79" s="2531" t="s">
        <v>27693</v>
      </c>
      <c r="S79" s="2531" t="s">
        <v>27767</v>
      </c>
      <c r="T79" s="2531" t="s">
        <v>27687</v>
      </c>
      <c r="U79" s="2531" t="s">
        <v>27685</v>
      </c>
    </row>
    <row r="80" spans="1:21" ht="17.25" customHeight="1" x14ac:dyDescent="0.35">
      <c r="A80" s="2561"/>
      <c r="B80" s="2561"/>
      <c r="C80" s="2561"/>
      <c r="D80" s="2576" t="s">
        <v>218</v>
      </c>
      <c r="E80" s="2804">
        <v>0</v>
      </c>
      <c r="F80" s="2800"/>
      <c r="G80" s="2803"/>
      <c r="H80" s="2802"/>
      <c r="I80" s="2804">
        <f>FTE_3_Part_time!I44</f>
        <v>0</v>
      </c>
      <c r="J80" s="2800"/>
      <c r="K80" s="2803"/>
      <c r="L80" s="2802"/>
      <c r="M80" s="2801">
        <f t="shared" si="2"/>
        <v>0</v>
      </c>
      <c r="N80" s="2800"/>
      <c r="O80" s="2800"/>
      <c r="P80" s="2800"/>
      <c r="R80" s="2531" t="s">
        <v>27693</v>
      </c>
      <c r="S80" s="2531" t="s">
        <v>27767</v>
      </c>
      <c r="T80" s="2531" t="s">
        <v>27687</v>
      </c>
      <c r="U80" s="2531" t="s">
        <v>27691</v>
      </c>
    </row>
    <row r="81" spans="1:21" ht="17.25" customHeight="1" x14ac:dyDescent="0.35">
      <c r="A81" s="2561"/>
      <c r="B81" s="2561"/>
      <c r="C81" s="2572" t="s">
        <v>210</v>
      </c>
      <c r="D81" s="2561" t="s">
        <v>204</v>
      </c>
      <c r="E81" s="2592">
        <v>0</v>
      </c>
      <c r="F81" s="2795"/>
      <c r="G81" s="2794"/>
      <c r="H81" s="2793"/>
      <c r="I81" s="2592">
        <f>FTE_3_Part_time!I40</f>
        <v>0</v>
      </c>
      <c r="J81" s="2795"/>
      <c r="K81" s="2794"/>
      <c r="L81" s="2793"/>
      <c r="M81" s="2838">
        <f t="shared" si="2"/>
        <v>0</v>
      </c>
      <c r="N81" s="2795"/>
      <c r="O81" s="2795"/>
      <c r="P81" s="2795"/>
      <c r="R81" s="2531" t="s">
        <v>27693</v>
      </c>
      <c r="S81" s="2531" t="s">
        <v>27767</v>
      </c>
      <c r="T81" s="2531" t="s">
        <v>27688</v>
      </c>
      <c r="U81" s="2531" t="s">
        <v>27685</v>
      </c>
    </row>
    <row r="82" spans="1:21" ht="17.25" customHeight="1" x14ac:dyDescent="0.35">
      <c r="A82" s="2561"/>
      <c r="B82" s="2561"/>
      <c r="C82" s="2576"/>
      <c r="D82" s="2576" t="s">
        <v>218</v>
      </c>
      <c r="E82" s="2596">
        <v>0</v>
      </c>
      <c r="F82" s="2796"/>
      <c r="G82" s="3349"/>
      <c r="H82" s="2798"/>
      <c r="I82" s="2596">
        <f>FTE_3_Part_time!I45</f>
        <v>0</v>
      </c>
      <c r="J82" s="2796"/>
      <c r="K82" s="3349"/>
      <c r="L82" s="2798"/>
      <c r="M82" s="2801">
        <f t="shared" si="2"/>
        <v>0</v>
      </c>
      <c r="N82" s="2800"/>
      <c r="O82" s="2845"/>
      <c r="P82" s="2800"/>
      <c r="R82" s="2531" t="s">
        <v>27693</v>
      </c>
      <c r="S82" s="2531" t="s">
        <v>27767</v>
      </c>
      <c r="T82" s="2531" t="s">
        <v>27688</v>
      </c>
      <c r="U82" s="2531" t="s">
        <v>27691</v>
      </c>
    </row>
    <row r="83" spans="1:21" ht="17.25" customHeight="1" x14ac:dyDescent="0.35">
      <c r="A83" s="2561"/>
      <c r="B83" s="2561"/>
      <c r="C83" s="2572" t="s">
        <v>212</v>
      </c>
      <c r="D83" s="2572" t="s">
        <v>204</v>
      </c>
      <c r="E83" s="2592">
        <v>0</v>
      </c>
      <c r="F83" s="2794"/>
      <c r="G83" s="2791"/>
      <c r="H83" s="2793"/>
      <c r="I83" s="2592">
        <f>FTE_3_Part_time!I41</f>
        <v>0</v>
      </c>
      <c r="J83" s="2794"/>
      <c r="K83" s="2791"/>
      <c r="L83" s="2793"/>
      <c r="M83" s="2838">
        <f t="shared" si="2"/>
        <v>0</v>
      </c>
      <c r="N83" s="2795"/>
      <c r="O83" s="2795"/>
      <c r="P83" s="2795"/>
      <c r="R83" s="2531" t="s">
        <v>27693</v>
      </c>
      <c r="S83" s="2531" t="s">
        <v>27767</v>
      </c>
      <c r="T83" s="2531" t="s">
        <v>27689</v>
      </c>
      <c r="U83" s="2531" t="s">
        <v>27685</v>
      </c>
    </row>
    <row r="84" spans="1:21" ht="17.25" customHeight="1" x14ac:dyDescent="0.35">
      <c r="A84" s="2561"/>
      <c r="B84" s="2561"/>
      <c r="C84" s="2576"/>
      <c r="D84" s="2576" t="s">
        <v>218</v>
      </c>
      <c r="E84" s="2596">
        <v>0</v>
      </c>
      <c r="F84" s="2799"/>
      <c r="G84" s="3349"/>
      <c r="H84" s="2798"/>
      <c r="I84" s="2596">
        <f>FTE_3_Part_time!I46</f>
        <v>0</v>
      </c>
      <c r="J84" s="2799"/>
      <c r="K84" s="3349"/>
      <c r="L84" s="2798"/>
      <c r="M84" s="2801">
        <f t="shared" si="2"/>
        <v>0</v>
      </c>
      <c r="N84" s="2800"/>
      <c r="O84" s="2845"/>
      <c r="P84" s="2800"/>
      <c r="R84" s="2531" t="s">
        <v>27693</v>
      </c>
      <c r="S84" s="2531" t="s">
        <v>27767</v>
      </c>
      <c r="T84" s="2531" t="s">
        <v>27689</v>
      </c>
      <c r="U84" s="2531" t="s">
        <v>27691</v>
      </c>
    </row>
    <row r="85" spans="1:21" ht="17.25" customHeight="1" x14ac:dyDescent="0.35">
      <c r="A85" s="2561"/>
      <c r="B85" s="2561"/>
      <c r="C85" s="2572" t="s">
        <v>214</v>
      </c>
      <c r="D85" s="2572" t="s">
        <v>204</v>
      </c>
      <c r="E85" s="2592">
        <v>0</v>
      </c>
      <c r="F85" s="3348"/>
      <c r="G85" s="2794"/>
      <c r="H85" s="2793"/>
      <c r="I85" s="2592">
        <f>FTE_3_Part_time!I42</f>
        <v>0</v>
      </c>
      <c r="J85" s="3348"/>
      <c r="K85" s="2794"/>
      <c r="L85" s="2793"/>
      <c r="M85" s="2838">
        <f t="shared" si="2"/>
        <v>0</v>
      </c>
      <c r="N85" s="3348"/>
      <c r="O85" s="2795"/>
      <c r="P85" s="2795"/>
      <c r="R85" s="2531" t="s">
        <v>27693</v>
      </c>
      <c r="S85" s="2531" t="s">
        <v>27767</v>
      </c>
      <c r="T85" s="2531" t="s">
        <v>27690</v>
      </c>
      <c r="U85" s="2531" t="s">
        <v>27685</v>
      </c>
    </row>
    <row r="86" spans="1:21" ht="17.25" customHeight="1" x14ac:dyDescent="0.35">
      <c r="A86" s="2582"/>
      <c r="B86" s="2582"/>
      <c r="C86" s="2812"/>
      <c r="D86" s="2582" t="s">
        <v>218</v>
      </c>
      <c r="E86" s="2589">
        <v>0</v>
      </c>
      <c r="F86" s="3351"/>
      <c r="G86" s="3351"/>
      <c r="H86" s="2840"/>
      <c r="I86" s="2589">
        <f>FTE_3_Part_time!I47</f>
        <v>0</v>
      </c>
      <c r="J86" s="3351"/>
      <c r="K86" s="3351"/>
      <c r="L86" s="2840"/>
      <c r="M86" s="2801">
        <f t="shared" si="2"/>
        <v>0</v>
      </c>
      <c r="N86" s="2845"/>
      <c r="O86" s="2845"/>
      <c r="P86" s="2800"/>
      <c r="R86" s="2531" t="s">
        <v>27693</v>
      </c>
      <c r="S86" s="2531" t="s">
        <v>27767</v>
      </c>
      <c r="T86" s="2531" t="s">
        <v>27690</v>
      </c>
      <c r="U86" s="2531" t="s">
        <v>27691</v>
      </c>
    </row>
    <row r="87" spans="1:21" ht="17.25" customHeight="1" x14ac:dyDescent="0.35">
      <c r="A87" s="2577" t="s">
        <v>264</v>
      </c>
      <c r="B87" s="2561" t="s">
        <v>189</v>
      </c>
      <c r="C87" s="2577" t="s">
        <v>205</v>
      </c>
      <c r="D87" s="2561" t="s">
        <v>204</v>
      </c>
      <c r="E87" s="2550">
        <v>0</v>
      </c>
      <c r="F87" s="2819"/>
      <c r="G87" s="2818"/>
      <c r="H87" s="2817"/>
      <c r="I87" s="2550">
        <f>FTE_1_Full_time!I48</f>
        <v>0</v>
      </c>
      <c r="J87" s="2819"/>
      <c r="K87" s="2818"/>
      <c r="L87" s="2817"/>
      <c r="M87" s="2839">
        <f t="shared" si="2"/>
        <v>0</v>
      </c>
      <c r="N87" s="2819"/>
      <c r="O87" s="2819"/>
      <c r="P87" s="2819"/>
      <c r="R87" s="2531" t="s">
        <v>264</v>
      </c>
      <c r="S87" s="2531" t="s">
        <v>27747</v>
      </c>
      <c r="T87" s="2531" t="s">
        <v>27686</v>
      </c>
      <c r="U87" s="2531" t="s">
        <v>27685</v>
      </c>
    </row>
    <row r="88" spans="1:21" ht="17.25" customHeight="1" x14ac:dyDescent="0.35">
      <c r="A88" s="2561"/>
      <c r="B88" s="2561"/>
      <c r="C88" s="2576"/>
      <c r="D88" s="2576" t="s">
        <v>218</v>
      </c>
      <c r="E88" s="2804">
        <v>0</v>
      </c>
      <c r="F88" s="2800"/>
      <c r="G88" s="2803"/>
      <c r="H88" s="2815">
        <v>0</v>
      </c>
      <c r="I88" s="2804">
        <f>FTE_1_Full_time!I53</f>
        <v>0</v>
      </c>
      <c r="J88" s="2800"/>
      <c r="K88" s="2803"/>
      <c r="L88" s="2814">
        <f>I88*H_Parameters!B50</f>
        <v>0</v>
      </c>
      <c r="M88" s="2801">
        <f t="shared" si="2"/>
        <v>0</v>
      </c>
      <c r="N88" s="2800"/>
      <c r="O88" s="2800"/>
      <c r="P88" s="2836">
        <f>ROUND(L88-H88,0)</f>
        <v>0</v>
      </c>
      <c r="R88" s="2531" t="s">
        <v>264</v>
      </c>
      <c r="S88" s="2531" t="s">
        <v>27747</v>
      </c>
      <c r="T88" s="2531" t="s">
        <v>27686</v>
      </c>
      <c r="U88" s="2531" t="s">
        <v>27691</v>
      </c>
    </row>
    <row r="89" spans="1:21" ht="17.25" customHeight="1" x14ac:dyDescent="0.35">
      <c r="A89" s="2561"/>
      <c r="B89" s="2561"/>
      <c r="C89" s="2561" t="s">
        <v>208</v>
      </c>
      <c r="D89" s="2561" t="s">
        <v>204</v>
      </c>
      <c r="E89" s="2592">
        <v>0</v>
      </c>
      <c r="F89" s="2795"/>
      <c r="G89" s="2794"/>
      <c r="H89" s="2793"/>
      <c r="I89" s="2592">
        <f>FTE_1_Full_time!I49</f>
        <v>0</v>
      </c>
      <c r="J89" s="2795"/>
      <c r="K89" s="2794"/>
      <c r="L89" s="2793"/>
      <c r="M89" s="2838">
        <f t="shared" si="2"/>
        <v>0</v>
      </c>
      <c r="N89" s="2795"/>
      <c r="O89" s="2795"/>
      <c r="P89" s="2795"/>
      <c r="R89" s="2531" t="s">
        <v>264</v>
      </c>
      <c r="S89" s="2531" t="s">
        <v>27747</v>
      </c>
      <c r="T89" s="2531" t="s">
        <v>27687</v>
      </c>
      <c r="U89" s="2531" t="s">
        <v>27685</v>
      </c>
    </row>
    <row r="90" spans="1:21" ht="17.25" customHeight="1" x14ac:dyDescent="0.35">
      <c r="A90" s="2561"/>
      <c r="B90" s="2561"/>
      <c r="C90" s="2561"/>
      <c r="D90" s="2576" t="s">
        <v>218</v>
      </c>
      <c r="E90" s="2804">
        <v>0</v>
      </c>
      <c r="F90" s="2800"/>
      <c r="G90" s="2803"/>
      <c r="H90" s="2815">
        <v>0</v>
      </c>
      <c r="I90" s="2804">
        <f>FTE_1_Full_time!I54</f>
        <v>0</v>
      </c>
      <c r="J90" s="2800"/>
      <c r="K90" s="2803"/>
      <c r="L90" s="2814">
        <f>I90*H_Parameters!B50</f>
        <v>0</v>
      </c>
      <c r="M90" s="2801">
        <f t="shared" si="2"/>
        <v>0</v>
      </c>
      <c r="N90" s="2800"/>
      <c r="O90" s="2800"/>
      <c r="P90" s="2836">
        <f>ROUND(L90-H90,0)</f>
        <v>0</v>
      </c>
      <c r="R90" s="2531" t="s">
        <v>264</v>
      </c>
      <c r="S90" s="2531" t="s">
        <v>27747</v>
      </c>
      <c r="T90" s="2531" t="s">
        <v>27687</v>
      </c>
      <c r="U90" s="2531" t="s">
        <v>27691</v>
      </c>
    </row>
    <row r="91" spans="1:21" ht="17.25" customHeight="1" x14ac:dyDescent="0.35">
      <c r="A91" s="2561"/>
      <c r="B91" s="2561"/>
      <c r="C91" s="2572" t="s">
        <v>210</v>
      </c>
      <c r="D91" s="2561" t="s">
        <v>204</v>
      </c>
      <c r="E91" s="2592">
        <v>0</v>
      </c>
      <c r="F91" s="2795"/>
      <c r="G91" s="2794"/>
      <c r="H91" s="2793"/>
      <c r="I91" s="2592">
        <f>FTE_1_Full_time!I50</f>
        <v>0</v>
      </c>
      <c r="J91" s="2795"/>
      <c r="K91" s="2794"/>
      <c r="L91" s="2793"/>
      <c r="M91" s="2838">
        <f t="shared" si="2"/>
        <v>0</v>
      </c>
      <c r="N91" s="2795"/>
      <c r="O91" s="2795"/>
      <c r="P91" s="2795"/>
      <c r="R91" s="2531" t="s">
        <v>264</v>
      </c>
      <c r="S91" s="2531" t="s">
        <v>27747</v>
      </c>
      <c r="T91" s="2531" t="s">
        <v>27688</v>
      </c>
      <c r="U91" s="2531" t="s">
        <v>27685</v>
      </c>
    </row>
    <row r="92" spans="1:21" ht="17.25" customHeight="1" x14ac:dyDescent="0.35">
      <c r="A92" s="2561"/>
      <c r="B92" s="2561"/>
      <c r="C92" s="2576"/>
      <c r="D92" s="2576" t="s">
        <v>218</v>
      </c>
      <c r="E92" s="2596">
        <v>0</v>
      </c>
      <c r="F92" s="2796"/>
      <c r="G92" s="3349"/>
      <c r="H92" s="2798"/>
      <c r="I92" s="2596">
        <f>FTE_1_Full_time!I55</f>
        <v>0</v>
      </c>
      <c r="J92" s="2796"/>
      <c r="K92" s="3349"/>
      <c r="L92" s="2798"/>
      <c r="M92" s="2801">
        <f t="shared" si="2"/>
        <v>0</v>
      </c>
      <c r="N92" s="2800"/>
      <c r="O92" s="2845"/>
      <c r="P92" s="2800"/>
      <c r="R92" s="2531" t="s">
        <v>264</v>
      </c>
      <c r="S92" s="2531" t="s">
        <v>27747</v>
      </c>
      <c r="T92" s="2531" t="s">
        <v>27688</v>
      </c>
      <c r="U92" s="2531" t="s">
        <v>27691</v>
      </c>
    </row>
    <row r="93" spans="1:21" ht="17.25" customHeight="1" x14ac:dyDescent="0.35">
      <c r="A93" s="2561"/>
      <c r="B93" s="2561"/>
      <c r="C93" s="2572" t="s">
        <v>212</v>
      </c>
      <c r="D93" s="2572" t="s">
        <v>204</v>
      </c>
      <c r="E93" s="2592">
        <v>0</v>
      </c>
      <c r="F93" s="2794"/>
      <c r="G93" s="2791"/>
      <c r="H93" s="2793"/>
      <c r="I93" s="2592">
        <f>FTE_1_Full_time!I51</f>
        <v>0</v>
      </c>
      <c r="J93" s="2794"/>
      <c r="K93" s="2791"/>
      <c r="L93" s="2793"/>
      <c r="M93" s="2838">
        <f t="shared" si="2"/>
        <v>0</v>
      </c>
      <c r="N93" s="2795"/>
      <c r="O93" s="2795"/>
      <c r="P93" s="2795"/>
      <c r="R93" s="2531" t="s">
        <v>264</v>
      </c>
      <c r="S93" s="2531" t="s">
        <v>27747</v>
      </c>
      <c r="T93" s="2531" t="s">
        <v>27689</v>
      </c>
      <c r="U93" s="2531" t="s">
        <v>27685</v>
      </c>
    </row>
    <row r="94" spans="1:21" ht="17.25" customHeight="1" x14ac:dyDescent="0.35">
      <c r="A94" s="2561"/>
      <c r="B94" s="2561"/>
      <c r="C94" s="2576"/>
      <c r="D94" s="2576" t="s">
        <v>218</v>
      </c>
      <c r="E94" s="2596">
        <v>0</v>
      </c>
      <c r="F94" s="2799"/>
      <c r="G94" s="3349"/>
      <c r="H94" s="2798"/>
      <c r="I94" s="2596">
        <f>FTE_1_Full_time!I56</f>
        <v>0</v>
      </c>
      <c r="J94" s="2799"/>
      <c r="K94" s="3349"/>
      <c r="L94" s="2798"/>
      <c r="M94" s="2801">
        <f t="shared" si="2"/>
        <v>0</v>
      </c>
      <c r="N94" s="2800"/>
      <c r="O94" s="2845"/>
      <c r="P94" s="2800"/>
      <c r="R94" s="2531" t="s">
        <v>264</v>
      </c>
      <c r="S94" s="2531" t="s">
        <v>27747</v>
      </c>
      <c r="T94" s="2531" t="s">
        <v>27689</v>
      </c>
      <c r="U94" s="2531" t="s">
        <v>27691</v>
      </c>
    </row>
    <row r="95" spans="1:21" ht="17.25" customHeight="1" x14ac:dyDescent="0.35">
      <c r="A95" s="2561"/>
      <c r="B95" s="2561"/>
      <c r="C95" s="2572" t="s">
        <v>214</v>
      </c>
      <c r="D95" s="2572" t="s">
        <v>204</v>
      </c>
      <c r="E95" s="2592">
        <v>0</v>
      </c>
      <c r="F95" s="3348"/>
      <c r="G95" s="2794"/>
      <c r="H95" s="2793"/>
      <c r="I95" s="2592">
        <f>FTE_1_Full_time!I52</f>
        <v>0</v>
      </c>
      <c r="J95" s="3348"/>
      <c r="K95" s="2794"/>
      <c r="L95" s="2793"/>
      <c r="M95" s="2838">
        <f t="shared" si="2"/>
        <v>0</v>
      </c>
      <c r="N95" s="3348"/>
      <c r="O95" s="2795"/>
      <c r="P95" s="2795"/>
      <c r="R95" s="2531" t="s">
        <v>264</v>
      </c>
      <c r="S95" s="2531" t="s">
        <v>27747</v>
      </c>
      <c r="T95" s="2531" t="s">
        <v>27690</v>
      </c>
      <c r="U95" s="2531" t="s">
        <v>27685</v>
      </c>
    </row>
    <row r="96" spans="1:21" ht="17.25" customHeight="1" x14ac:dyDescent="0.35">
      <c r="A96" s="2561"/>
      <c r="B96" s="2812"/>
      <c r="C96" s="2812"/>
      <c r="D96" s="2812" t="s">
        <v>218</v>
      </c>
      <c r="E96" s="2811">
        <v>0</v>
      </c>
      <c r="F96" s="3350"/>
      <c r="G96" s="3350"/>
      <c r="H96" s="2809"/>
      <c r="I96" s="2811">
        <f>FTE_1_Full_time!I57</f>
        <v>0</v>
      </c>
      <c r="J96" s="3350"/>
      <c r="K96" s="3350"/>
      <c r="L96" s="2809"/>
      <c r="M96" s="2801">
        <f t="shared" si="2"/>
        <v>0</v>
      </c>
      <c r="N96" s="2845"/>
      <c r="O96" s="2845"/>
      <c r="P96" s="2800"/>
      <c r="R96" s="2531" t="s">
        <v>264</v>
      </c>
      <c r="S96" s="2531" t="s">
        <v>27747</v>
      </c>
      <c r="T96" s="2531" t="s">
        <v>27690</v>
      </c>
      <c r="U96" s="2531" t="s">
        <v>27691</v>
      </c>
    </row>
    <row r="97" spans="1:21" ht="17.25" customHeight="1" x14ac:dyDescent="0.35">
      <c r="A97" s="2561"/>
      <c r="B97" s="3529" t="s">
        <v>190</v>
      </c>
      <c r="C97" s="2577" t="s">
        <v>205</v>
      </c>
      <c r="D97" s="2576" t="s">
        <v>204</v>
      </c>
      <c r="E97" s="2772">
        <v>0</v>
      </c>
      <c r="F97" s="2769"/>
      <c r="G97" s="2833"/>
      <c r="H97" s="2832"/>
      <c r="I97" s="2772">
        <f>FTE_2_Sandwich!H8</f>
        <v>0</v>
      </c>
      <c r="J97" s="2769"/>
      <c r="K97" s="2833"/>
      <c r="L97" s="2832"/>
      <c r="M97" s="2835">
        <f t="shared" si="2"/>
        <v>0</v>
      </c>
      <c r="N97" s="2834"/>
      <c r="O97" s="2834"/>
      <c r="P97" s="2834"/>
      <c r="R97" s="2531" t="s">
        <v>264</v>
      </c>
      <c r="S97" s="2531" t="s">
        <v>27748</v>
      </c>
      <c r="T97" s="2531" t="s">
        <v>27686</v>
      </c>
      <c r="U97" s="2531" t="s">
        <v>27685</v>
      </c>
    </row>
    <row r="98" spans="1:21" ht="17.25" customHeight="1" x14ac:dyDescent="0.35">
      <c r="A98" s="2561"/>
      <c r="B98" s="3529"/>
      <c r="C98" s="2831" t="s">
        <v>29473</v>
      </c>
      <c r="D98" s="2576" t="s">
        <v>204</v>
      </c>
      <c r="E98" s="2772">
        <v>0</v>
      </c>
      <c r="F98" s="2769"/>
      <c r="G98" s="2833"/>
      <c r="H98" s="2832"/>
      <c r="I98" s="2772">
        <f>FTE_2_Sandwich!H9</f>
        <v>0</v>
      </c>
      <c r="J98" s="2769"/>
      <c r="K98" s="2833"/>
      <c r="L98" s="2832"/>
      <c r="M98" s="2770">
        <f t="shared" si="2"/>
        <v>0</v>
      </c>
      <c r="N98" s="2769"/>
      <c r="O98" s="2769"/>
      <c r="P98" s="2769"/>
      <c r="R98" s="2531" t="s">
        <v>264</v>
      </c>
      <c r="S98" s="2531" t="s">
        <v>27748</v>
      </c>
      <c r="T98" s="2531" t="s">
        <v>27687</v>
      </c>
      <c r="U98" s="2531" t="s">
        <v>27685</v>
      </c>
    </row>
    <row r="99" spans="1:21" ht="17.25" customHeight="1" x14ac:dyDescent="0.35">
      <c r="A99" s="2561"/>
      <c r="B99" s="3529"/>
      <c r="C99" s="2831" t="s">
        <v>210</v>
      </c>
      <c r="D99" s="2576" t="s">
        <v>204</v>
      </c>
      <c r="E99" s="2772">
        <v>0</v>
      </c>
      <c r="F99" s="2769"/>
      <c r="G99" s="2830"/>
      <c r="H99" s="2829"/>
      <c r="I99" s="2767">
        <f>FTE_2_Sandwich!H10</f>
        <v>0</v>
      </c>
      <c r="J99" s="2769"/>
      <c r="K99" s="2830"/>
      <c r="L99" s="2829"/>
      <c r="M99" s="2765">
        <f t="shared" si="2"/>
        <v>0</v>
      </c>
      <c r="N99" s="2763"/>
      <c r="O99" s="2763"/>
      <c r="P99" s="2763"/>
      <c r="R99" s="2531" t="s">
        <v>264</v>
      </c>
      <c r="S99" s="2531" t="s">
        <v>27748</v>
      </c>
      <c r="T99" s="2531" t="s">
        <v>27688</v>
      </c>
      <c r="U99" s="2531" t="s">
        <v>27685</v>
      </c>
    </row>
    <row r="100" spans="1:21" ht="17.25" customHeight="1" x14ac:dyDescent="0.35">
      <c r="A100" s="2561"/>
      <c r="B100" s="2561"/>
      <c r="C100" s="2831" t="s">
        <v>212</v>
      </c>
      <c r="D100" s="2576" t="s">
        <v>204</v>
      </c>
      <c r="E100" s="2772">
        <v>0</v>
      </c>
      <c r="F100" s="2830"/>
      <c r="G100" s="2830"/>
      <c r="H100" s="2829"/>
      <c r="I100" s="2767">
        <f>FTE_2_Sandwich!H11</f>
        <v>0</v>
      </c>
      <c r="J100" s="2830"/>
      <c r="K100" s="2830"/>
      <c r="L100" s="2829"/>
      <c r="M100" s="2765">
        <f t="shared" si="2"/>
        <v>0</v>
      </c>
      <c r="N100" s="2763"/>
      <c r="O100" s="2763"/>
      <c r="P100" s="2763"/>
      <c r="R100" s="2531" t="s">
        <v>264</v>
      </c>
      <c r="S100" s="2531" t="s">
        <v>27748</v>
      </c>
      <c r="T100" s="2531" t="s">
        <v>27689</v>
      </c>
      <c r="U100" s="2531" t="s">
        <v>27685</v>
      </c>
    </row>
    <row r="101" spans="1:21" ht="17.25" customHeight="1" x14ac:dyDescent="0.35">
      <c r="A101" s="2561"/>
      <c r="B101" s="2812"/>
      <c r="C101" s="2828" t="s">
        <v>214</v>
      </c>
      <c r="D101" s="2828" t="s">
        <v>204</v>
      </c>
      <c r="E101" s="2778">
        <v>0</v>
      </c>
      <c r="F101" s="2774"/>
      <c r="G101" s="2827"/>
      <c r="H101" s="2826"/>
      <c r="I101" s="2778">
        <f>FTE_2_Sandwich!H12</f>
        <v>0</v>
      </c>
      <c r="J101" s="2774"/>
      <c r="K101" s="2827"/>
      <c r="L101" s="2826"/>
      <c r="M101" s="2776">
        <f t="shared" si="2"/>
        <v>0</v>
      </c>
      <c r="N101" s="2774"/>
      <c r="O101" s="2774"/>
      <c r="P101" s="2774"/>
      <c r="R101" s="2531" t="s">
        <v>264</v>
      </c>
      <c r="S101" s="2531" t="s">
        <v>27748</v>
      </c>
      <c r="T101" s="2531" t="s">
        <v>27690</v>
      </c>
      <c r="U101" s="2531" t="s">
        <v>27685</v>
      </c>
    </row>
    <row r="102" spans="1:21" ht="17.25" customHeight="1" x14ac:dyDescent="0.35">
      <c r="A102" s="2561"/>
      <c r="B102" s="2561" t="s">
        <v>191</v>
      </c>
      <c r="C102" s="2577" t="s">
        <v>205</v>
      </c>
      <c r="D102" s="2561" t="s">
        <v>204</v>
      </c>
      <c r="E102" s="2550">
        <v>0</v>
      </c>
      <c r="F102" s="2791"/>
      <c r="G102" s="2806"/>
      <c r="H102" s="2805"/>
      <c r="I102" s="2550">
        <f>FTE_3_Part_time!I48</f>
        <v>0</v>
      </c>
      <c r="J102" s="2791"/>
      <c r="K102" s="2806"/>
      <c r="L102" s="2805"/>
      <c r="M102" s="2792">
        <f t="shared" si="2"/>
        <v>0</v>
      </c>
      <c r="N102" s="2791"/>
      <c r="O102" s="2791"/>
      <c r="P102" s="2791"/>
      <c r="R102" s="2531" t="s">
        <v>264</v>
      </c>
      <c r="S102" s="2531" t="s">
        <v>27767</v>
      </c>
      <c r="T102" s="2531" t="s">
        <v>27686</v>
      </c>
      <c r="U102" s="2531" t="s">
        <v>27685</v>
      </c>
    </row>
    <row r="103" spans="1:21" ht="17.25" customHeight="1" x14ac:dyDescent="0.35">
      <c r="A103" s="2561"/>
      <c r="B103" s="2561"/>
      <c r="C103" s="2576"/>
      <c r="D103" s="2576" t="s">
        <v>218</v>
      </c>
      <c r="E103" s="2596">
        <v>0</v>
      </c>
      <c r="F103" s="2796"/>
      <c r="G103" s="2799"/>
      <c r="H103" s="2798"/>
      <c r="I103" s="2596">
        <f>FTE_3_Part_time!I53</f>
        <v>0</v>
      </c>
      <c r="J103" s="2796"/>
      <c r="K103" s="2799"/>
      <c r="L103" s="2798"/>
      <c r="M103" s="2797">
        <f t="shared" ref="M103:M134" si="3">ROUND(I103-E103,0)</f>
        <v>0</v>
      </c>
      <c r="N103" s="2796"/>
      <c r="O103" s="2796"/>
      <c r="P103" s="2796"/>
      <c r="R103" s="2531" t="s">
        <v>264</v>
      </c>
      <c r="S103" s="2531" t="s">
        <v>27767</v>
      </c>
      <c r="T103" s="2531" t="s">
        <v>27686</v>
      </c>
      <c r="U103" s="2531" t="s">
        <v>27691</v>
      </c>
    </row>
    <row r="104" spans="1:21" ht="17.25" customHeight="1" x14ac:dyDescent="0.35">
      <c r="A104" s="2561"/>
      <c r="B104" s="2561"/>
      <c r="C104" s="2561" t="s">
        <v>208</v>
      </c>
      <c r="D104" s="2561" t="s">
        <v>204</v>
      </c>
      <c r="E104" s="2804">
        <v>0</v>
      </c>
      <c r="F104" s="2800"/>
      <c r="G104" s="2803"/>
      <c r="H104" s="2802"/>
      <c r="I104" s="2804">
        <f>FTE_3_Part_time!I49</f>
        <v>0</v>
      </c>
      <c r="J104" s="2800"/>
      <c r="K104" s="2803"/>
      <c r="L104" s="2802"/>
      <c r="M104" s="2801">
        <f t="shared" si="3"/>
        <v>0</v>
      </c>
      <c r="N104" s="2800"/>
      <c r="O104" s="2800"/>
      <c r="P104" s="2800"/>
      <c r="R104" s="2531" t="s">
        <v>264</v>
      </c>
      <c r="S104" s="2531" t="s">
        <v>27767</v>
      </c>
      <c r="T104" s="2531" t="s">
        <v>27687</v>
      </c>
      <c r="U104" s="2531" t="s">
        <v>27685</v>
      </c>
    </row>
    <row r="105" spans="1:21" ht="17.25" customHeight="1" x14ac:dyDescent="0.35">
      <c r="A105" s="2561"/>
      <c r="B105" s="2561"/>
      <c r="C105" s="2561"/>
      <c r="D105" s="2576" t="s">
        <v>218</v>
      </c>
      <c r="E105" s="2596">
        <v>0</v>
      </c>
      <c r="F105" s="2796"/>
      <c r="G105" s="2799"/>
      <c r="H105" s="2798"/>
      <c r="I105" s="2596">
        <f>FTE_3_Part_time!I54</f>
        <v>0</v>
      </c>
      <c r="J105" s="2796"/>
      <c r="K105" s="2799"/>
      <c r="L105" s="2798"/>
      <c r="M105" s="2797">
        <f t="shared" si="3"/>
        <v>0</v>
      </c>
      <c r="N105" s="2796"/>
      <c r="O105" s="2796"/>
      <c r="P105" s="2796"/>
      <c r="R105" s="2531" t="s">
        <v>264</v>
      </c>
      <c r="S105" s="2531" t="s">
        <v>27767</v>
      </c>
      <c r="T105" s="2531" t="s">
        <v>27687</v>
      </c>
      <c r="U105" s="2531" t="s">
        <v>27691</v>
      </c>
    </row>
    <row r="106" spans="1:21" ht="17.25" customHeight="1" x14ac:dyDescent="0.35">
      <c r="A106" s="2561"/>
      <c r="B106" s="2561"/>
      <c r="C106" s="2572" t="s">
        <v>210</v>
      </c>
      <c r="D106" s="2561" t="s">
        <v>204</v>
      </c>
      <c r="E106" s="2592">
        <v>0</v>
      </c>
      <c r="F106" s="2795"/>
      <c r="G106" s="2794"/>
      <c r="H106" s="2793"/>
      <c r="I106" s="2592">
        <f>FTE_3_Part_time!I50</f>
        <v>0</v>
      </c>
      <c r="J106" s="2795"/>
      <c r="K106" s="2794"/>
      <c r="L106" s="2793"/>
      <c r="M106" s="2792">
        <f t="shared" si="3"/>
        <v>0</v>
      </c>
      <c r="N106" s="2791"/>
      <c r="O106" s="2791"/>
      <c r="P106" s="2791"/>
      <c r="R106" s="2531" t="s">
        <v>264</v>
      </c>
      <c r="S106" s="2531" t="s">
        <v>27767</v>
      </c>
      <c r="T106" s="2531" t="s">
        <v>27688</v>
      </c>
      <c r="U106" s="2531" t="s">
        <v>27685</v>
      </c>
    </row>
    <row r="107" spans="1:21" ht="17.25" customHeight="1" x14ac:dyDescent="0.35">
      <c r="A107" s="2561"/>
      <c r="B107" s="2561"/>
      <c r="C107" s="2576"/>
      <c r="D107" s="2576" t="s">
        <v>218</v>
      </c>
      <c r="E107" s="2596">
        <v>0</v>
      </c>
      <c r="F107" s="2796"/>
      <c r="G107" s="3349"/>
      <c r="H107" s="2798"/>
      <c r="I107" s="2596">
        <f>FTE_3_Part_time!I55</f>
        <v>0</v>
      </c>
      <c r="J107" s="2796"/>
      <c r="K107" s="3349"/>
      <c r="L107" s="2798"/>
      <c r="M107" s="2797">
        <f t="shared" si="3"/>
        <v>0</v>
      </c>
      <c r="N107" s="2796"/>
      <c r="O107" s="3349"/>
      <c r="P107" s="2796"/>
      <c r="R107" s="2531" t="s">
        <v>264</v>
      </c>
      <c r="S107" s="2531" t="s">
        <v>27767</v>
      </c>
      <c r="T107" s="2531" t="s">
        <v>27688</v>
      </c>
      <c r="U107" s="2531" t="s">
        <v>27691</v>
      </c>
    </row>
    <row r="108" spans="1:21" ht="17.25" customHeight="1" x14ac:dyDescent="0.35">
      <c r="A108" s="2561"/>
      <c r="B108" s="2561"/>
      <c r="C108" s="2572" t="s">
        <v>212</v>
      </c>
      <c r="D108" s="2572" t="s">
        <v>204</v>
      </c>
      <c r="E108" s="2592">
        <v>0</v>
      </c>
      <c r="F108" s="2794"/>
      <c r="G108" s="2795"/>
      <c r="H108" s="2793"/>
      <c r="I108" s="2592">
        <f>FTE_3_Part_time!I51</f>
        <v>0</v>
      </c>
      <c r="J108" s="2794"/>
      <c r="K108" s="2795"/>
      <c r="L108" s="2793"/>
      <c r="M108" s="2792">
        <f t="shared" si="3"/>
        <v>0</v>
      </c>
      <c r="N108" s="2791"/>
      <c r="O108" s="2791"/>
      <c r="P108" s="2791"/>
      <c r="R108" s="2531" t="s">
        <v>264</v>
      </c>
      <c r="S108" s="2531" t="s">
        <v>27767</v>
      </c>
      <c r="T108" s="2531" t="s">
        <v>27689</v>
      </c>
      <c r="U108" s="2531" t="s">
        <v>27685</v>
      </c>
    </row>
    <row r="109" spans="1:21" ht="17.25" customHeight="1" x14ac:dyDescent="0.35">
      <c r="A109" s="2561"/>
      <c r="B109" s="2561"/>
      <c r="C109" s="2576"/>
      <c r="D109" s="2576" t="s">
        <v>218</v>
      </c>
      <c r="E109" s="2596">
        <v>0</v>
      </c>
      <c r="F109" s="2799"/>
      <c r="G109" s="3352"/>
      <c r="H109" s="2788"/>
      <c r="I109" s="2596">
        <f>FTE_3_Part_time!I56</f>
        <v>0</v>
      </c>
      <c r="J109" s="2799"/>
      <c r="K109" s="3352"/>
      <c r="L109" s="2788"/>
      <c r="M109" s="2797">
        <f t="shared" si="3"/>
        <v>0</v>
      </c>
      <c r="N109" s="2796"/>
      <c r="O109" s="3349"/>
      <c r="P109" s="2796"/>
      <c r="R109" s="2531" t="s">
        <v>264</v>
      </c>
      <c r="S109" s="2531" t="s">
        <v>27767</v>
      </c>
      <c r="T109" s="2531" t="s">
        <v>27689</v>
      </c>
      <c r="U109" s="2531" t="s">
        <v>27691</v>
      </c>
    </row>
    <row r="110" spans="1:21" ht="17.25" customHeight="1" x14ac:dyDescent="0.35">
      <c r="A110" s="2561"/>
      <c r="B110" s="2561"/>
      <c r="C110" s="2572" t="s">
        <v>214</v>
      </c>
      <c r="D110" s="2572" t="s">
        <v>204</v>
      </c>
      <c r="E110" s="2592">
        <v>0</v>
      </c>
      <c r="F110" s="3348"/>
      <c r="G110" s="2794"/>
      <c r="H110" s="2793"/>
      <c r="I110" s="2592">
        <f>FTE_3_Part_time!I52</f>
        <v>0</v>
      </c>
      <c r="J110" s="3348"/>
      <c r="K110" s="2794"/>
      <c r="L110" s="2793"/>
      <c r="M110" s="2792">
        <f t="shared" si="3"/>
        <v>0</v>
      </c>
      <c r="N110" s="3353"/>
      <c r="O110" s="2791"/>
      <c r="P110" s="2791"/>
      <c r="R110" s="2531" t="s">
        <v>264</v>
      </c>
      <c r="S110" s="2531" t="s">
        <v>27767</v>
      </c>
      <c r="T110" s="2531" t="s">
        <v>27690</v>
      </c>
      <c r="U110" s="2531" t="s">
        <v>27685</v>
      </c>
    </row>
    <row r="111" spans="1:21" ht="17.25" customHeight="1" x14ac:dyDescent="0.35">
      <c r="A111" s="2582"/>
      <c r="B111" s="2582"/>
      <c r="C111" s="2812"/>
      <c r="D111" s="2582" t="s">
        <v>218</v>
      </c>
      <c r="E111" s="2589">
        <v>0</v>
      </c>
      <c r="F111" s="3352"/>
      <c r="G111" s="3352"/>
      <c r="H111" s="2798"/>
      <c r="I111" s="2589">
        <f>FTE_3_Part_time!I57</f>
        <v>0</v>
      </c>
      <c r="J111" s="3352"/>
      <c r="K111" s="3352"/>
      <c r="L111" s="2798"/>
      <c r="M111" s="2822">
        <f t="shared" si="3"/>
        <v>0</v>
      </c>
      <c r="N111" s="3351"/>
      <c r="O111" s="3351"/>
      <c r="P111" s="2820"/>
      <c r="R111" s="2531" t="s">
        <v>264</v>
      </c>
      <c r="S111" s="2531" t="s">
        <v>27767</v>
      </c>
      <c r="T111" s="2531" t="s">
        <v>27690</v>
      </c>
      <c r="U111" s="2531" t="s">
        <v>27691</v>
      </c>
    </row>
    <row r="112" spans="1:21" ht="17.25" customHeight="1" x14ac:dyDescent="0.35">
      <c r="A112" s="2577" t="s">
        <v>277</v>
      </c>
      <c r="B112" s="2561" t="s">
        <v>189</v>
      </c>
      <c r="C112" s="2577" t="s">
        <v>205</v>
      </c>
      <c r="D112" s="2561" t="s">
        <v>204</v>
      </c>
      <c r="E112" s="2550">
        <v>0</v>
      </c>
      <c r="F112" s="2819"/>
      <c r="G112" s="2818"/>
      <c r="H112" s="2817"/>
      <c r="I112" s="2550">
        <f>FTE_1_Full_time!I58</f>
        <v>0</v>
      </c>
      <c r="J112" s="2819"/>
      <c r="K112" s="2818"/>
      <c r="L112" s="2817"/>
      <c r="M112" s="2792">
        <f t="shared" si="3"/>
        <v>0</v>
      </c>
      <c r="N112" s="2791"/>
      <c r="O112" s="2791"/>
      <c r="P112" s="2791"/>
      <c r="R112" s="2531" t="s">
        <v>277</v>
      </c>
      <c r="S112" s="2531" t="s">
        <v>27747</v>
      </c>
      <c r="T112" s="2531" t="s">
        <v>27686</v>
      </c>
      <c r="U112" s="2531" t="s">
        <v>27685</v>
      </c>
    </row>
    <row r="113" spans="1:21" ht="17.25" customHeight="1" x14ac:dyDescent="0.35">
      <c r="A113" s="2561"/>
      <c r="B113" s="2561"/>
      <c r="C113" s="2576"/>
      <c r="D113" s="2576" t="s">
        <v>218</v>
      </c>
      <c r="E113" s="2596">
        <v>0</v>
      </c>
      <c r="F113" s="2790"/>
      <c r="G113" s="2799"/>
      <c r="H113" s="2814">
        <v>0</v>
      </c>
      <c r="I113" s="2596">
        <f>FTE_1_Full_time!I63</f>
        <v>0</v>
      </c>
      <c r="J113" s="2790"/>
      <c r="K113" s="2799"/>
      <c r="L113" s="2814">
        <f>I113*H_Parameters!$B$51</f>
        <v>0</v>
      </c>
      <c r="M113" s="2797">
        <f t="shared" si="3"/>
        <v>0</v>
      </c>
      <c r="N113" s="2796"/>
      <c r="O113" s="2796"/>
      <c r="P113" s="2813">
        <f>ROUND(L113-H113,0)</f>
        <v>0</v>
      </c>
      <c r="R113" s="2531" t="s">
        <v>277</v>
      </c>
      <c r="S113" s="2531" t="s">
        <v>27747</v>
      </c>
      <c r="T113" s="2531" t="s">
        <v>27686</v>
      </c>
      <c r="U113" s="2531" t="s">
        <v>27691</v>
      </c>
    </row>
    <row r="114" spans="1:21" ht="17.25" customHeight="1" x14ac:dyDescent="0.35">
      <c r="A114" s="2561"/>
      <c r="B114" s="2561"/>
      <c r="C114" s="2561" t="s">
        <v>208</v>
      </c>
      <c r="D114" s="2561" t="s">
        <v>204</v>
      </c>
      <c r="E114" s="2592">
        <v>0</v>
      </c>
      <c r="F114" s="2795"/>
      <c r="G114" s="2794"/>
      <c r="H114" s="2793"/>
      <c r="I114" s="2816">
        <f>FTE_1_Full_time!I59</f>
        <v>0</v>
      </c>
      <c r="J114" s="2795"/>
      <c r="K114" s="2794"/>
      <c r="L114" s="2793"/>
      <c r="M114" s="2792">
        <f t="shared" si="3"/>
        <v>0</v>
      </c>
      <c r="N114" s="2791"/>
      <c r="O114" s="2791"/>
      <c r="P114" s="2791"/>
      <c r="R114" s="2531" t="s">
        <v>277</v>
      </c>
      <c r="S114" s="2531" t="s">
        <v>27747</v>
      </c>
      <c r="T114" s="2531" t="s">
        <v>27687</v>
      </c>
      <c r="U114" s="2531" t="s">
        <v>27685</v>
      </c>
    </row>
    <row r="115" spans="1:21" ht="17.25" customHeight="1" x14ac:dyDescent="0.35">
      <c r="A115" s="2561"/>
      <c r="B115" s="2561"/>
      <c r="C115" s="2561"/>
      <c r="D115" s="2576" t="s">
        <v>218</v>
      </c>
      <c r="E115" s="2804">
        <v>0</v>
      </c>
      <c r="F115" s="2800"/>
      <c r="G115" s="2803"/>
      <c r="H115" s="2815">
        <v>0</v>
      </c>
      <c r="I115" s="2804">
        <f>FTE_1_Full_time!I64</f>
        <v>0</v>
      </c>
      <c r="J115" s="2800"/>
      <c r="K115" s="2803"/>
      <c r="L115" s="2814">
        <f>I115*H_Parameters!$B$51</f>
        <v>0</v>
      </c>
      <c r="M115" s="2797">
        <f t="shared" si="3"/>
        <v>0</v>
      </c>
      <c r="N115" s="2800"/>
      <c r="O115" s="2800"/>
      <c r="P115" s="2813">
        <f>ROUND(L115-H115,0)</f>
        <v>0</v>
      </c>
      <c r="R115" s="2531" t="s">
        <v>277</v>
      </c>
      <c r="S115" s="2531" t="s">
        <v>27747</v>
      </c>
      <c r="T115" s="2531" t="s">
        <v>27687</v>
      </c>
      <c r="U115" s="2531" t="s">
        <v>27691</v>
      </c>
    </row>
    <row r="116" spans="1:21" ht="17.25" customHeight="1" x14ac:dyDescent="0.35">
      <c r="A116" s="2561"/>
      <c r="B116" s="2561"/>
      <c r="C116" s="2572" t="s">
        <v>210</v>
      </c>
      <c r="D116" s="2561" t="s">
        <v>204</v>
      </c>
      <c r="E116" s="2592">
        <v>0</v>
      </c>
      <c r="F116" s="2795"/>
      <c r="G116" s="2794"/>
      <c r="H116" s="2793"/>
      <c r="I116" s="2592">
        <f>FTE_1_Full_time!I60</f>
        <v>0</v>
      </c>
      <c r="J116" s="2795"/>
      <c r="K116" s="2794"/>
      <c r="L116" s="2793"/>
      <c r="M116" s="2792">
        <f t="shared" si="3"/>
        <v>0</v>
      </c>
      <c r="N116" s="2791"/>
      <c r="O116" s="2791"/>
      <c r="P116" s="2791"/>
      <c r="R116" s="2531" t="s">
        <v>277</v>
      </c>
      <c r="S116" s="2531" t="s">
        <v>27747</v>
      </c>
      <c r="T116" s="2531" t="s">
        <v>27688</v>
      </c>
      <c r="U116" s="2531" t="s">
        <v>27685</v>
      </c>
    </row>
    <row r="117" spans="1:21" ht="17.25" customHeight="1" x14ac:dyDescent="0.35">
      <c r="A117" s="2561"/>
      <c r="B117" s="2561"/>
      <c r="C117" s="2576"/>
      <c r="D117" s="2576" t="s">
        <v>218</v>
      </c>
      <c r="E117" s="2596">
        <v>0</v>
      </c>
      <c r="F117" s="2796"/>
      <c r="G117" s="2799"/>
      <c r="H117" s="2798"/>
      <c r="I117" s="2596">
        <f>FTE_1_Full_time!I65</f>
        <v>0</v>
      </c>
      <c r="J117" s="2796"/>
      <c r="K117" s="2799"/>
      <c r="L117" s="2798"/>
      <c r="M117" s="2797">
        <f t="shared" si="3"/>
        <v>0</v>
      </c>
      <c r="N117" s="2796"/>
      <c r="O117" s="2796"/>
      <c r="P117" s="2796"/>
      <c r="R117" s="2531" t="s">
        <v>277</v>
      </c>
      <c r="S117" s="2531" t="s">
        <v>27747</v>
      </c>
      <c r="T117" s="2531" t="s">
        <v>27688</v>
      </c>
      <c r="U117" s="2531" t="s">
        <v>27691</v>
      </c>
    </row>
    <row r="118" spans="1:21" ht="17.25" customHeight="1" x14ac:dyDescent="0.35">
      <c r="A118" s="2561"/>
      <c r="B118" s="2561"/>
      <c r="C118" s="2572" t="s">
        <v>212</v>
      </c>
      <c r="D118" s="2572" t="s">
        <v>204</v>
      </c>
      <c r="E118" s="2592">
        <v>0</v>
      </c>
      <c r="F118" s="2795"/>
      <c r="G118" s="2794"/>
      <c r="H118" s="2793"/>
      <c r="I118" s="2592">
        <f>FTE_1_Full_time!I61</f>
        <v>0</v>
      </c>
      <c r="J118" s="2795"/>
      <c r="K118" s="2794"/>
      <c r="L118" s="2793"/>
      <c r="M118" s="2792">
        <f t="shared" si="3"/>
        <v>0</v>
      </c>
      <c r="N118" s="2791"/>
      <c r="O118" s="2791"/>
      <c r="P118" s="2791"/>
      <c r="R118" s="2531" t="s">
        <v>277</v>
      </c>
      <c r="S118" s="2531" t="s">
        <v>27747</v>
      </c>
      <c r="T118" s="2531" t="s">
        <v>27689</v>
      </c>
      <c r="U118" s="2531" t="s">
        <v>27685</v>
      </c>
    </row>
    <row r="119" spans="1:21" ht="17.25" customHeight="1" x14ac:dyDescent="0.35">
      <c r="A119" s="2561"/>
      <c r="B119" s="2561"/>
      <c r="C119" s="2576"/>
      <c r="D119" s="2576" t="s">
        <v>218</v>
      </c>
      <c r="E119" s="2596">
        <v>0</v>
      </c>
      <c r="F119" s="2796"/>
      <c r="G119" s="2799"/>
      <c r="H119" s="2798"/>
      <c r="I119" s="2596">
        <f>FTE_1_Full_time!I66</f>
        <v>0</v>
      </c>
      <c r="J119" s="2796"/>
      <c r="K119" s="2799"/>
      <c r="L119" s="2798"/>
      <c r="M119" s="2797">
        <f t="shared" si="3"/>
        <v>0</v>
      </c>
      <c r="N119" s="2796"/>
      <c r="O119" s="2796"/>
      <c r="P119" s="2796"/>
      <c r="R119" s="2531" t="s">
        <v>277</v>
      </c>
      <c r="S119" s="2531" t="s">
        <v>27747</v>
      </c>
      <c r="T119" s="2531" t="s">
        <v>27689</v>
      </c>
      <c r="U119" s="2531" t="s">
        <v>27691</v>
      </c>
    </row>
    <row r="120" spans="1:21" ht="17.25" customHeight="1" x14ac:dyDescent="0.35">
      <c r="A120" s="2561"/>
      <c r="B120" s="2561"/>
      <c r="C120" s="2572" t="s">
        <v>214</v>
      </c>
      <c r="D120" s="2572" t="s">
        <v>204</v>
      </c>
      <c r="E120" s="2592">
        <v>0</v>
      </c>
      <c r="F120" s="2795"/>
      <c r="G120" s="2794"/>
      <c r="H120" s="2793"/>
      <c r="I120" s="2592">
        <f>FTE_1_Full_time!I62</f>
        <v>0</v>
      </c>
      <c r="J120" s="2795"/>
      <c r="K120" s="2794"/>
      <c r="L120" s="2793"/>
      <c r="M120" s="2792">
        <f t="shared" si="3"/>
        <v>0</v>
      </c>
      <c r="N120" s="2791"/>
      <c r="O120" s="2791"/>
      <c r="P120" s="2791"/>
      <c r="R120" s="2531" t="s">
        <v>277</v>
      </c>
      <c r="S120" s="2531" t="s">
        <v>27747</v>
      </c>
      <c r="T120" s="2531" t="s">
        <v>27690</v>
      </c>
      <c r="U120" s="2531" t="s">
        <v>27685</v>
      </c>
    </row>
    <row r="121" spans="1:21" ht="17.25" customHeight="1" x14ac:dyDescent="0.35">
      <c r="A121" s="2561"/>
      <c r="B121" s="2812"/>
      <c r="C121" s="2812"/>
      <c r="D121" s="2812" t="s">
        <v>218</v>
      </c>
      <c r="E121" s="2811">
        <v>0</v>
      </c>
      <c r="F121" s="2807"/>
      <c r="G121" s="2810"/>
      <c r="H121" s="2809"/>
      <c r="I121" s="2811">
        <f>FTE_1_Full_time!I67</f>
        <v>0</v>
      </c>
      <c r="J121" s="2807"/>
      <c r="K121" s="2810"/>
      <c r="L121" s="2809"/>
      <c r="M121" s="2808">
        <f t="shared" si="3"/>
        <v>0</v>
      </c>
      <c r="N121" s="2807"/>
      <c r="O121" s="2807"/>
      <c r="P121" s="2807"/>
      <c r="R121" s="2531" t="s">
        <v>277</v>
      </c>
      <c r="S121" s="2531" t="s">
        <v>27747</v>
      </c>
      <c r="T121" s="2531" t="s">
        <v>27690</v>
      </c>
      <c r="U121" s="2531" t="s">
        <v>27691</v>
      </c>
    </row>
    <row r="122" spans="1:21" ht="17.25" customHeight="1" x14ac:dyDescent="0.35">
      <c r="A122" s="2561"/>
      <c r="B122" s="2561" t="s">
        <v>191</v>
      </c>
      <c r="C122" s="2577" t="s">
        <v>205</v>
      </c>
      <c r="D122" s="2561" t="s">
        <v>204</v>
      </c>
      <c r="E122" s="2550">
        <v>0</v>
      </c>
      <c r="F122" s="2791"/>
      <c r="G122" s="2806"/>
      <c r="H122" s="2805"/>
      <c r="I122" s="2550">
        <f>FTE_3_Part_time!I58</f>
        <v>0</v>
      </c>
      <c r="J122" s="2791"/>
      <c r="K122" s="2806"/>
      <c r="L122" s="2805"/>
      <c r="M122" s="2792">
        <f t="shared" si="3"/>
        <v>0</v>
      </c>
      <c r="N122" s="2791"/>
      <c r="O122" s="2791"/>
      <c r="P122" s="2791"/>
      <c r="R122" s="2531" t="s">
        <v>277</v>
      </c>
      <c r="S122" s="2531" t="s">
        <v>27767</v>
      </c>
      <c r="T122" s="2531" t="s">
        <v>27686</v>
      </c>
      <c r="U122" s="2531" t="s">
        <v>27685</v>
      </c>
    </row>
    <row r="123" spans="1:21" ht="17.25" customHeight="1" x14ac:dyDescent="0.35">
      <c r="A123" s="2561"/>
      <c r="B123" s="2561"/>
      <c r="C123" s="2576"/>
      <c r="D123" s="2576" t="s">
        <v>218</v>
      </c>
      <c r="E123" s="2596">
        <v>0</v>
      </c>
      <c r="F123" s="2796"/>
      <c r="G123" s="2799"/>
      <c r="H123" s="2798"/>
      <c r="I123" s="2596">
        <f>FTE_3_Part_time!I63</f>
        <v>0</v>
      </c>
      <c r="J123" s="2796"/>
      <c r="K123" s="2799"/>
      <c r="L123" s="2798"/>
      <c r="M123" s="2797">
        <f t="shared" si="3"/>
        <v>0</v>
      </c>
      <c r="N123" s="2796"/>
      <c r="O123" s="2796"/>
      <c r="P123" s="2796"/>
      <c r="R123" s="2531" t="s">
        <v>277</v>
      </c>
      <c r="S123" s="2531" t="s">
        <v>27767</v>
      </c>
      <c r="T123" s="2531" t="s">
        <v>27686</v>
      </c>
      <c r="U123" s="2531" t="s">
        <v>27691</v>
      </c>
    </row>
    <row r="124" spans="1:21" ht="17.25" customHeight="1" x14ac:dyDescent="0.35">
      <c r="A124" s="2561"/>
      <c r="B124" s="2561"/>
      <c r="C124" s="2561" t="s">
        <v>208</v>
      </c>
      <c r="D124" s="2561" t="s">
        <v>204</v>
      </c>
      <c r="E124" s="2804">
        <v>0</v>
      </c>
      <c r="F124" s="2800"/>
      <c r="G124" s="2803"/>
      <c r="H124" s="2802"/>
      <c r="I124" s="2804">
        <f>FTE_3_Part_time!I59</f>
        <v>0</v>
      </c>
      <c r="J124" s="2800"/>
      <c r="K124" s="2803"/>
      <c r="L124" s="2802"/>
      <c r="M124" s="2801">
        <f t="shared" si="3"/>
        <v>0</v>
      </c>
      <c r="N124" s="2800"/>
      <c r="O124" s="2800"/>
      <c r="P124" s="2800"/>
      <c r="R124" s="2531" t="s">
        <v>277</v>
      </c>
      <c r="S124" s="2531" t="s">
        <v>27767</v>
      </c>
      <c r="T124" s="2531" t="s">
        <v>27687</v>
      </c>
      <c r="U124" s="2531" t="s">
        <v>27685</v>
      </c>
    </row>
    <row r="125" spans="1:21" ht="17.25" customHeight="1" x14ac:dyDescent="0.35">
      <c r="A125" s="2561"/>
      <c r="B125" s="2561"/>
      <c r="C125" s="2561"/>
      <c r="D125" s="2576" t="s">
        <v>218</v>
      </c>
      <c r="E125" s="2596">
        <v>0</v>
      </c>
      <c r="F125" s="2796"/>
      <c r="G125" s="2799"/>
      <c r="H125" s="2798"/>
      <c r="I125" s="2596">
        <f>FTE_3_Part_time!I64</f>
        <v>0</v>
      </c>
      <c r="J125" s="2796"/>
      <c r="K125" s="2799"/>
      <c r="L125" s="2798"/>
      <c r="M125" s="2797">
        <f t="shared" si="3"/>
        <v>0</v>
      </c>
      <c r="N125" s="2796"/>
      <c r="O125" s="2796"/>
      <c r="P125" s="2796"/>
      <c r="R125" s="2531" t="s">
        <v>277</v>
      </c>
      <c r="S125" s="2531" t="s">
        <v>27767</v>
      </c>
      <c r="T125" s="2531" t="s">
        <v>27687</v>
      </c>
      <c r="U125" s="2531" t="s">
        <v>27691</v>
      </c>
    </row>
    <row r="126" spans="1:21" ht="17.25" customHeight="1" x14ac:dyDescent="0.35">
      <c r="A126" s="2561"/>
      <c r="B126" s="2561"/>
      <c r="C126" s="2572" t="s">
        <v>210</v>
      </c>
      <c r="D126" s="2561" t="s">
        <v>204</v>
      </c>
      <c r="E126" s="2592">
        <v>0</v>
      </c>
      <c r="F126" s="2791"/>
      <c r="G126" s="2794"/>
      <c r="H126" s="2793"/>
      <c r="I126" s="2592">
        <f>FTE_3_Part_time!I60</f>
        <v>0</v>
      </c>
      <c r="J126" s="2791"/>
      <c r="K126" s="2794"/>
      <c r="L126" s="2793"/>
      <c r="M126" s="2792">
        <f t="shared" si="3"/>
        <v>0</v>
      </c>
      <c r="N126" s="2791"/>
      <c r="O126" s="2791"/>
      <c r="P126" s="2791"/>
      <c r="R126" s="2531" t="s">
        <v>277</v>
      </c>
      <c r="S126" s="2531" t="s">
        <v>27767</v>
      </c>
      <c r="T126" s="2531" t="s">
        <v>27688</v>
      </c>
      <c r="U126" s="2531" t="s">
        <v>27685</v>
      </c>
    </row>
    <row r="127" spans="1:21" ht="17.25" customHeight="1" x14ac:dyDescent="0.35">
      <c r="A127" s="2561"/>
      <c r="B127" s="2561"/>
      <c r="C127" s="2576"/>
      <c r="D127" s="2576" t="s">
        <v>218</v>
      </c>
      <c r="E127" s="2596">
        <v>0</v>
      </c>
      <c r="F127" s="2796"/>
      <c r="G127" s="2799"/>
      <c r="H127" s="2798"/>
      <c r="I127" s="2596">
        <f>FTE_3_Part_time!I65</f>
        <v>0</v>
      </c>
      <c r="J127" s="2796"/>
      <c r="K127" s="2799"/>
      <c r="L127" s="2798"/>
      <c r="M127" s="2797">
        <f t="shared" si="3"/>
        <v>0</v>
      </c>
      <c r="N127" s="2796"/>
      <c r="O127" s="2796"/>
      <c r="P127" s="2796"/>
      <c r="R127" s="2531" t="s">
        <v>277</v>
      </c>
      <c r="S127" s="2531" t="s">
        <v>27767</v>
      </c>
      <c r="T127" s="2531" t="s">
        <v>27688</v>
      </c>
      <c r="U127" s="2531" t="s">
        <v>27691</v>
      </c>
    </row>
    <row r="128" spans="1:21" ht="17.25" customHeight="1" x14ac:dyDescent="0.35">
      <c r="A128" s="2561"/>
      <c r="B128" s="2561"/>
      <c r="C128" s="2572" t="s">
        <v>212</v>
      </c>
      <c r="D128" s="2572" t="s">
        <v>204</v>
      </c>
      <c r="E128" s="2592">
        <v>0</v>
      </c>
      <c r="F128" s="2791"/>
      <c r="G128" s="2794"/>
      <c r="H128" s="2793"/>
      <c r="I128" s="2592">
        <f>FTE_3_Part_time!I61</f>
        <v>0</v>
      </c>
      <c r="J128" s="2791"/>
      <c r="K128" s="2794"/>
      <c r="L128" s="2793"/>
      <c r="M128" s="2792">
        <f t="shared" si="3"/>
        <v>0</v>
      </c>
      <c r="N128" s="2791"/>
      <c r="O128" s="2791"/>
      <c r="P128" s="2791"/>
      <c r="R128" s="2531" t="s">
        <v>277</v>
      </c>
      <c r="S128" s="2531" t="s">
        <v>27767</v>
      </c>
      <c r="T128" s="2531" t="s">
        <v>27689</v>
      </c>
      <c r="U128" s="2531" t="s">
        <v>27685</v>
      </c>
    </row>
    <row r="129" spans="1:21" ht="17.25" customHeight="1" x14ac:dyDescent="0.35">
      <c r="A129" s="2561"/>
      <c r="B129" s="2561"/>
      <c r="C129" s="2576"/>
      <c r="D129" s="2576" t="s">
        <v>218</v>
      </c>
      <c r="E129" s="2596">
        <v>0</v>
      </c>
      <c r="F129" s="2796"/>
      <c r="G129" s="2799"/>
      <c r="H129" s="2798"/>
      <c r="I129" s="2596">
        <f>FTE_3_Part_time!I66</f>
        <v>0</v>
      </c>
      <c r="J129" s="2796"/>
      <c r="K129" s="2799"/>
      <c r="L129" s="2798"/>
      <c r="M129" s="2797">
        <f t="shared" si="3"/>
        <v>0</v>
      </c>
      <c r="N129" s="2796"/>
      <c r="O129" s="2796"/>
      <c r="P129" s="2796"/>
      <c r="R129" s="2531" t="s">
        <v>277</v>
      </c>
      <c r="S129" s="2531" t="s">
        <v>27767</v>
      </c>
      <c r="T129" s="2531" t="s">
        <v>27689</v>
      </c>
      <c r="U129" s="2531" t="s">
        <v>27691</v>
      </c>
    </row>
    <row r="130" spans="1:21" ht="17.25" customHeight="1" x14ac:dyDescent="0.35">
      <c r="A130" s="2561"/>
      <c r="B130" s="2561"/>
      <c r="C130" s="2572" t="s">
        <v>214</v>
      </c>
      <c r="D130" s="2572" t="s">
        <v>204</v>
      </c>
      <c r="E130" s="2592">
        <v>0</v>
      </c>
      <c r="F130" s="2795"/>
      <c r="G130" s="2794"/>
      <c r="H130" s="2793"/>
      <c r="I130" s="2592">
        <f>FTE_3_Part_time!I62</f>
        <v>0</v>
      </c>
      <c r="J130" s="2795"/>
      <c r="K130" s="2794"/>
      <c r="L130" s="2793"/>
      <c r="M130" s="2792">
        <f t="shared" si="3"/>
        <v>0</v>
      </c>
      <c r="N130" s="2791"/>
      <c r="O130" s="2791"/>
      <c r="P130" s="2791"/>
      <c r="R130" s="2531" t="s">
        <v>277</v>
      </c>
      <c r="S130" s="2531" t="s">
        <v>27767</v>
      </c>
      <c r="T130" s="2531" t="s">
        <v>27690</v>
      </c>
      <c r="U130" s="2531" t="s">
        <v>27685</v>
      </c>
    </row>
    <row r="131" spans="1:21" ht="17.25" customHeight="1" thickBot="1" x14ac:dyDescent="0.4">
      <c r="A131" s="2561"/>
      <c r="B131" s="2561"/>
      <c r="C131" s="2812"/>
      <c r="D131" s="2561" t="s">
        <v>218</v>
      </c>
      <c r="E131" s="2540">
        <v>0</v>
      </c>
      <c r="F131" s="2790"/>
      <c r="G131" s="2789"/>
      <c r="H131" s="2788"/>
      <c r="I131" s="2589">
        <f>FTE_3_Part_time!I67</f>
        <v>0</v>
      </c>
      <c r="J131" s="2790"/>
      <c r="K131" s="2789"/>
      <c r="L131" s="2788"/>
      <c r="M131" s="2787">
        <f t="shared" si="3"/>
        <v>0</v>
      </c>
      <c r="N131" s="2786"/>
      <c r="O131" s="2786"/>
      <c r="P131" s="2786"/>
      <c r="R131" s="2531" t="s">
        <v>277</v>
      </c>
      <c r="S131" s="2531" t="s">
        <v>27767</v>
      </c>
      <c r="T131" s="2531" t="s">
        <v>27690</v>
      </c>
      <c r="U131" s="2531" t="s">
        <v>27691</v>
      </c>
    </row>
    <row r="132" spans="1:21" ht="17.25" customHeight="1" thickTop="1" x14ac:dyDescent="0.35">
      <c r="A132" s="2556" t="s">
        <v>27694</v>
      </c>
      <c r="B132" s="3530" t="s">
        <v>207</v>
      </c>
      <c r="C132" s="2785" t="s">
        <v>205</v>
      </c>
      <c r="D132" s="2785"/>
      <c r="E132" s="2784">
        <v>0</v>
      </c>
      <c r="F132" s="2783"/>
      <c r="G132" s="2783"/>
      <c r="H132" s="2782">
        <v>0</v>
      </c>
      <c r="I132" s="2784">
        <f>SUM(I7:I8,I27:I28,I47:I48,I67:I68,I87:I88,I97,I112:I113)</f>
        <v>0</v>
      </c>
      <c r="J132" s="2783"/>
      <c r="K132" s="2783"/>
      <c r="L132" s="2782">
        <f>SUM(L28,L48,L68,L88,L113)</f>
        <v>0</v>
      </c>
      <c r="M132" s="2770">
        <f t="shared" si="3"/>
        <v>0</v>
      </c>
      <c r="N132" s="2769"/>
      <c r="O132" s="2769"/>
      <c r="P132" s="2780">
        <f>ROUND(L132-H132,0)</f>
        <v>0</v>
      </c>
      <c r="R132" s="2531" t="s">
        <v>29451</v>
      </c>
      <c r="S132" s="2531" t="s">
        <v>27747</v>
      </c>
      <c r="T132" s="2531" t="s">
        <v>27686</v>
      </c>
      <c r="U132" s="2531" t="s">
        <v>29451</v>
      </c>
    </row>
    <row r="133" spans="1:21" ht="17.25" customHeight="1" x14ac:dyDescent="0.35">
      <c r="A133" s="2543"/>
      <c r="B133" s="3531"/>
      <c r="C133" s="2773" t="s">
        <v>208</v>
      </c>
      <c r="D133" s="2773"/>
      <c r="E133" s="2772">
        <v>0</v>
      </c>
      <c r="F133" s="2769"/>
      <c r="G133" s="2769"/>
      <c r="H133" s="2781">
        <v>0</v>
      </c>
      <c r="I133" s="2772">
        <f>SUM(I9:I10,I29:I30,I49:I50,I69:I70,I89:I90,I98,I114:I115)</f>
        <v>0</v>
      </c>
      <c r="J133" s="2769"/>
      <c r="K133" s="2769"/>
      <c r="L133" s="2781">
        <f>SUM(L30,L50,L70,L90,L115)</f>
        <v>0</v>
      </c>
      <c r="M133" s="2770">
        <f t="shared" si="3"/>
        <v>0</v>
      </c>
      <c r="N133" s="2769"/>
      <c r="O133" s="2769"/>
      <c r="P133" s="2780">
        <f>ROUND(L133-H133,0)</f>
        <v>0</v>
      </c>
      <c r="R133" s="2531" t="s">
        <v>29451</v>
      </c>
      <c r="S133" s="2531" t="s">
        <v>27747</v>
      </c>
      <c r="T133" s="2531" t="s">
        <v>27687</v>
      </c>
      <c r="U133" s="2531" t="s">
        <v>29451</v>
      </c>
    </row>
    <row r="134" spans="1:21" ht="17.25" customHeight="1" x14ac:dyDescent="0.35">
      <c r="A134" s="2543"/>
      <c r="B134" s="3531"/>
      <c r="C134" s="2768" t="s">
        <v>210</v>
      </c>
      <c r="D134" s="2768"/>
      <c r="E134" s="2767">
        <v>0</v>
      </c>
      <c r="F134" s="2763"/>
      <c r="G134" s="2764">
        <v>0</v>
      </c>
      <c r="H134" s="2766"/>
      <c r="I134" s="2767">
        <f>SUM(I11:I12,I31:I32,I51:I52,I71:I72,I91:I92,I99,I116:I117)</f>
        <v>0</v>
      </c>
      <c r="J134" s="2763"/>
      <c r="K134" s="2764">
        <f>SUM(K32,K52,K72,K92)</f>
        <v>0</v>
      </c>
      <c r="L134" s="2766"/>
      <c r="M134" s="2765">
        <f t="shared" si="3"/>
        <v>0</v>
      </c>
      <c r="N134" s="2763"/>
      <c r="O134" s="2764">
        <f>ROUND(K134-G134,0)</f>
        <v>0</v>
      </c>
      <c r="P134" s="2763"/>
      <c r="R134" s="2531" t="s">
        <v>29451</v>
      </c>
      <c r="S134" s="2531" t="s">
        <v>27747</v>
      </c>
      <c r="T134" s="2531" t="s">
        <v>27688</v>
      </c>
      <c r="U134" s="2531" t="s">
        <v>29451</v>
      </c>
    </row>
    <row r="135" spans="1:21" ht="17.25" customHeight="1" x14ac:dyDescent="0.35">
      <c r="A135" s="2543"/>
      <c r="B135" s="3531"/>
      <c r="C135" s="2768" t="s">
        <v>212</v>
      </c>
      <c r="D135" s="2768"/>
      <c r="E135" s="2767">
        <v>0</v>
      </c>
      <c r="F135" s="2763"/>
      <c r="G135" s="2764">
        <v>0</v>
      </c>
      <c r="H135" s="2766"/>
      <c r="I135" s="2767">
        <f>SUM(I13:I14,I33:I34,I53:I54,I73:I74,I93:I94,I100,I118:I119)</f>
        <v>0</v>
      </c>
      <c r="J135" s="2763"/>
      <c r="K135" s="2764">
        <f>SUM(K34,K54,K74,K94)</f>
        <v>0</v>
      </c>
      <c r="L135" s="2766"/>
      <c r="M135" s="2765">
        <f t="shared" ref="M135:M142" si="4">ROUND(I135-E135,0)</f>
        <v>0</v>
      </c>
      <c r="N135" s="2763"/>
      <c r="O135" s="2764">
        <f>ROUND(K135-G135,0)</f>
        <v>0</v>
      </c>
      <c r="P135" s="2763"/>
      <c r="R135" s="2531" t="s">
        <v>29451</v>
      </c>
      <c r="S135" s="2531" t="s">
        <v>27747</v>
      </c>
      <c r="T135" s="2531" t="s">
        <v>27689</v>
      </c>
      <c r="U135" s="2531" t="s">
        <v>29451</v>
      </c>
    </row>
    <row r="136" spans="1:21" ht="17.25" customHeight="1" x14ac:dyDescent="0.35">
      <c r="A136" s="2543"/>
      <c r="B136" s="3532"/>
      <c r="C136" s="2779" t="s">
        <v>214</v>
      </c>
      <c r="D136" s="2779"/>
      <c r="E136" s="2778">
        <v>0</v>
      </c>
      <c r="F136" s="2775">
        <v>0</v>
      </c>
      <c r="G136" s="2775">
        <v>0</v>
      </c>
      <c r="H136" s="2777"/>
      <c r="I136" s="2778">
        <f>SUM(I15:I16,I35:I36,I55:I56,I75:I76,I95:I96,I101,I120:I121)</f>
        <v>0</v>
      </c>
      <c r="J136" s="2775">
        <f>SUM(J15:J16,J35:J36,J55:J56,J75:J76,J95:J96,J101)</f>
        <v>0</v>
      </c>
      <c r="K136" s="2775">
        <f>SUM(K36,K56,K76,K96)</f>
        <v>0</v>
      </c>
      <c r="L136" s="2777"/>
      <c r="M136" s="2776">
        <f t="shared" si="4"/>
        <v>0</v>
      </c>
      <c r="N136" s="2775">
        <f>ROUND(J136-F136,0)</f>
        <v>0</v>
      </c>
      <c r="O136" s="2775">
        <f>ROUND(K136-G136,0)</f>
        <v>0</v>
      </c>
      <c r="P136" s="2774"/>
      <c r="R136" s="2531" t="s">
        <v>29451</v>
      </c>
      <c r="S136" s="2531" t="s">
        <v>27747</v>
      </c>
      <c r="T136" s="2531" t="s">
        <v>27690</v>
      </c>
      <c r="U136" s="2531" t="s">
        <v>29451</v>
      </c>
    </row>
    <row r="137" spans="1:21" ht="17.25" customHeight="1" x14ac:dyDescent="0.35">
      <c r="A137" s="2543"/>
      <c r="B137" s="2543" t="s">
        <v>191</v>
      </c>
      <c r="C137" s="2773" t="s">
        <v>205</v>
      </c>
      <c r="D137" s="2773"/>
      <c r="E137" s="2772">
        <v>0</v>
      </c>
      <c r="F137" s="2769"/>
      <c r="G137" s="2769"/>
      <c r="H137" s="2771"/>
      <c r="I137" s="2772">
        <f>SUM(I17:I18,I37:I38,I57:I58,I77:I78,I102:I103,I122:I123)</f>
        <v>0</v>
      </c>
      <c r="J137" s="2769"/>
      <c r="K137" s="2769"/>
      <c r="L137" s="2771"/>
      <c r="M137" s="2770">
        <f t="shared" si="4"/>
        <v>0</v>
      </c>
      <c r="N137" s="2769"/>
      <c r="O137" s="2769"/>
      <c r="P137" s="2769"/>
      <c r="R137" s="2531" t="s">
        <v>29451</v>
      </c>
      <c r="S137" s="2531" t="s">
        <v>27767</v>
      </c>
      <c r="T137" s="2531" t="s">
        <v>27686</v>
      </c>
      <c r="U137" s="2531" t="s">
        <v>29451</v>
      </c>
    </row>
    <row r="138" spans="1:21" ht="17.25" customHeight="1" x14ac:dyDescent="0.35">
      <c r="A138" s="2543"/>
      <c r="B138" s="2543"/>
      <c r="C138" s="2773" t="s">
        <v>208</v>
      </c>
      <c r="D138" s="2773"/>
      <c r="E138" s="2772">
        <v>0</v>
      </c>
      <c r="F138" s="2769"/>
      <c r="G138" s="2769"/>
      <c r="H138" s="2771"/>
      <c r="I138" s="2772">
        <f>SUM(I19:I20,I39:I40,I59:I60,I79:I80,I104:I105,I124:I125)</f>
        <v>0</v>
      </c>
      <c r="J138" s="2769"/>
      <c r="K138" s="2769"/>
      <c r="L138" s="2771"/>
      <c r="M138" s="2770">
        <f t="shared" si="4"/>
        <v>0</v>
      </c>
      <c r="N138" s="2769"/>
      <c r="O138" s="2769"/>
      <c r="P138" s="2769"/>
      <c r="R138" s="2531" t="s">
        <v>29451</v>
      </c>
      <c r="S138" s="2531" t="s">
        <v>27767</v>
      </c>
      <c r="T138" s="2531" t="s">
        <v>27687</v>
      </c>
      <c r="U138" s="2531" t="s">
        <v>29451</v>
      </c>
    </row>
    <row r="139" spans="1:21" ht="17.25" customHeight="1" x14ac:dyDescent="0.35">
      <c r="A139" s="2543"/>
      <c r="B139" s="2543"/>
      <c r="C139" s="2768" t="s">
        <v>210</v>
      </c>
      <c r="D139" s="2768"/>
      <c r="E139" s="2767">
        <v>0</v>
      </c>
      <c r="F139" s="2763"/>
      <c r="G139" s="2764">
        <v>0</v>
      </c>
      <c r="H139" s="2766"/>
      <c r="I139" s="2767">
        <f>SUM(I21:I22,I41:I42,I61:I62,I81:I82,I106:I107,I126:I127)</f>
        <v>0</v>
      </c>
      <c r="J139" s="2763"/>
      <c r="K139" s="2764">
        <f>SUM(K42,K62,K82,K107)</f>
        <v>0</v>
      </c>
      <c r="L139" s="2766"/>
      <c r="M139" s="2765">
        <f t="shared" si="4"/>
        <v>0</v>
      </c>
      <c r="N139" s="2763"/>
      <c r="O139" s="2764">
        <f>ROUND(K139-G139,0)</f>
        <v>0</v>
      </c>
      <c r="P139" s="2763"/>
      <c r="R139" s="2531" t="s">
        <v>29451</v>
      </c>
      <c r="S139" s="2531" t="s">
        <v>27767</v>
      </c>
      <c r="T139" s="2531" t="s">
        <v>27688</v>
      </c>
      <c r="U139" s="2531" t="s">
        <v>29451</v>
      </c>
    </row>
    <row r="140" spans="1:21" ht="17.25" customHeight="1" x14ac:dyDescent="0.35">
      <c r="A140" s="2543"/>
      <c r="B140" s="2543"/>
      <c r="C140" s="2768" t="s">
        <v>212</v>
      </c>
      <c r="D140" s="2768"/>
      <c r="E140" s="2767">
        <v>0</v>
      </c>
      <c r="F140" s="2763"/>
      <c r="G140" s="2764">
        <v>0</v>
      </c>
      <c r="H140" s="2766"/>
      <c r="I140" s="2767">
        <f>SUM(I23:I24,I43:I44,I63:I64,I83:I84,I108:I109,I128:I129)</f>
        <v>0</v>
      </c>
      <c r="J140" s="2763"/>
      <c r="K140" s="2764">
        <f>SUM(K44,K64,K84,K109)</f>
        <v>0</v>
      </c>
      <c r="L140" s="2766"/>
      <c r="M140" s="2765">
        <f t="shared" si="4"/>
        <v>0</v>
      </c>
      <c r="N140" s="2763"/>
      <c r="O140" s="2764">
        <f>ROUND(K140-G140,0)</f>
        <v>0</v>
      </c>
      <c r="P140" s="2763"/>
      <c r="R140" s="2531" t="s">
        <v>29451</v>
      </c>
      <c r="S140" s="2531" t="s">
        <v>27767</v>
      </c>
      <c r="T140" s="2531" t="s">
        <v>27689</v>
      </c>
      <c r="U140" s="2531" t="s">
        <v>29451</v>
      </c>
    </row>
    <row r="141" spans="1:21" ht="17.25" customHeight="1" x14ac:dyDescent="0.35">
      <c r="A141" s="2543"/>
      <c r="B141" s="2542"/>
      <c r="C141" s="2762" t="s">
        <v>214</v>
      </c>
      <c r="D141" s="2762"/>
      <c r="E141" s="2761">
        <v>0</v>
      </c>
      <c r="F141" s="2758">
        <v>0</v>
      </c>
      <c r="G141" s="2758">
        <v>0</v>
      </c>
      <c r="H141" s="2760"/>
      <c r="I141" s="2761">
        <f>SUM(I25:I26,I45:I46,I65:I66,I85:I86,I110:I111,I130:I131)</f>
        <v>0</v>
      </c>
      <c r="J141" s="2758">
        <f>SUM(J25:J26,J45:J46,J65:J66,J85:J86,J110:J111)</f>
        <v>0</v>
      </c>
      <c r="K141" s="2758">
        <f>SUM(K46,K66,K86,K111)</f>
        <v>0</v>
      </c>
      <c r="L141" s="2760"/>
      <c r="M141" s="2759">
        <f t="shared" si="4"/>
        <v>0</v>
      </c>
      <c r="N141" s="2758">
        <f>ROUND(J141-F141,0)</f>
        <v>0</v>
      </c>
      <c r="O141" s="2758">
        <f>ROUND(K141-G141,0)</f>
        <v>0</v>
      </c>
      <c r="P141" s="2757"/>
      <c r="R141" s="2531" t="s">
        <v>29451</v>
      </c>
      <c r="S141" s="2531" t="s">
        <v>27767</v>
      </c>
      <c r="T141" s="2531" t="s">
        <v>27690</v>
      </c>
      <c r="U141" s="2531" t="s">
        <v>29451</v>
      </c>
    </row>
    <row r="142" spans="1:21" ht="17.25" customHeight="1" thickBot="1" x14ac:dyDescent="0.4">
      <c r="A142" s="2537"/>
      <c r="B142" s="2537"/>
      <c r="C142" s="2536" t="s">
        <v>27696</v>
      </c>
      <c r="D142" s="2756"/>
      <c r="E142" s="2535">
        <v>0</v>
      </c>
      <c r="F142" s="2753">
        <v>0</v>
      </c>
      <c r="G142" s="2753">
        <v>0</v>
      </c>
      <c r="H142" s="2755">
        <v>0</v>
      </c>
      <c r="I142" s="2535">
        <f>SUM(I132:I141)</f>
        <v>0</v>
      </c>
      <c r="J142" s="2753">
        <f>ROUND(SUM(J136,J141),0)</f>
        <v>0</v>
      </c>
      <c r="K142" s="2753">
        <f>ROUND(SUM(K134:K136,K139:K141),0)</f>
        <v>0</v>
      </c>
      <c r="L142" s="2755">
        <f>ROUND(SUM(L132,L133),0)</f>
        <v>0</v>
      </c>
      <c r="M142" s="2754">
        <f t="shared" si="4"/>
        <v>0</v>
      </c>
      <c r="N142" s="2753">
        <f>ROUND(J142-F142,0)</f>
        <v>0</v>
      </c>
      <c r="O142" s="2753">
        <f>ROUND(K142-G142,0)</f>
        <v>0</v>
      </c>
      <c r="P142" s="2753">
        <f>ROUND(L142-H142,0)</f>
        <v>0</v>
      </c>
      <c r="R142" s="2531" t="s">
        <v>29451</v>
      </c>
      <c r="S142" s="2531" t="s">
        <v>27937</v>
      </c>
      <c r="T142" s="2531" t="s">
        <v>27937</v>
      </c>
      <c r="U142" s="2531" t="s">
        <v>29451</v>
      </c>
    </row>
    <row r="143" spans="1:21" hidden="1" x14ac:dyDescent="0.35">
      <c r="E143" s="2752"/>
    </row>
    <row r="144" spans="1:21" hidden="1" x14ac:dyDescent="0.35">
      <c r="E144" s="2751" t="s">
        <v>29729</v>
      </c>
      <c r="F144" s="2751" t="s">
        <v>29730</v>
      </c>
      <c r="G144" s="2751" t="s">
        <v>29731</v>
      </c>
      <c r="H144" s="2751" t="s">
        <v>29732</v>
      </c>
      <c r="I144" s="2750" t="s">
        <v>27714</v>
      </c>
      <c r="J144" s="2750" t="s">
        <v>29730</v>
      </c>
      <c r="K144" s="2750" t="s">
        <v>29731</v>
      </c>
      <c r="L144" s="2750" t="s">
        <v>29732</v>
      </c>
    </row>
    <row r="145" spans="5:16" x14ac:dyDescent="0.35">
      <c r="E145" s="2749"/>
      <c r="F145" s="2749"/>
      <c r="G145" s="2749"/>
      <c r="H145" s="2749"/>
      <c r="I145" s="2749"/>
      <c r="J145" s="2749"/>
      <c r="K145" s="2749"/>
      <c r="L145" s="2749"/>
      <c r="M145" s="2749"/>
      <c r="N145" s="2749"/>
      <c r="O145" s="2749"/>
      <c r="P145" s="2749"/>
    </row>
  </sheetData>
  <sheetProtection algorithmName="SHA-512" hashValue="XxuxVAhVaWYDi1oOdX8AHinrLTA4UpoAT35Lkj2qJWAFpVyKH4xSPSIQp390lTU1XECFi4C77iifDmeVU0NpOw==" saltValue="R4CL2Y4E0wuv/KNtINPDcg==" spinCount="100000" sheet="1" objects="1" scenarios="1"/>
  <mergeCells count="5">
    <mergeCell ref="E5:H5"/>
    <mergeCell ref="I5:L5"/>
    <mergeCell ref="M5:P5"/>
    <mergeCell ref="B97:B99"/>
    <mergeCell ref="B132:B136"/>
  </mergeCells>
  <conditionalFormatting sqref="E7:P142">
    <cfRule type="cellIs" dxfId="1" priority="1" operator="equal">
      <formula>0</formula>
    </cfRule>
  </conditionalFormatting>
  <hyperlinks>
    <hyperlink ref="A4" r:id="rId1" display="Please see Appendix 5 for additional information about these tables: Appendix 5" xr:uid="{DEF0155F-44DA-463B-AECF-2E2801F12F04}"/>
  </hyperlinks>
  <pageMargins left="0.70866141732283472" right="0.70866141732283472" top="0.74803149606299213" bottom="0.74803149606299213" header="0.31496062992125984" footer="0.31496062992125984"/>
  <pageSetup paperSize="9" scale="35" orientation="landscape" r:id="rId2"/>
  <rowBreaks count="1" manualBreakCount="1">
    <brk id="86" max="2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8CEF-7844-4EED-A168-5261206AF9E7}">
  <sheetPr codeName="Sheet54">
    <tabColor theme="9" tint="0.39997558519241921"/>
    <pageSetUpPr fitToPage="1"/>
  </sheetPr>
  <dimension ref="A1:AF116"/>
  <sheetViews>
    <sheetView showGridLines="0" workbookViewId="0"/>
  </sheetViews>
  <sheetFormatPr defaultColWidth="9" defaultRowHeight="13.15" x14ac:dyDescent="0.35"/>
  <cols>
    <col min="1" max="1" width="45.265625" style="2865" customWidth="1"/>
    <col min="2" max="2" width="34.73046875" style="2865" customWidth="1"/>
    <col min="3" max="3" width="26" style="2865" customWidth="1"/>
    <col min="4" max="4" width="22.86328125" style="2865" customWidth="1"/>
    <col min="5" max="5" width="43.265625" style="2868" customWidth="1"/>
    <col min="6" max="6" width="21.86328125" style="2868" customWidth="1"/>
    <col min="7" max="7" width="25.86328125" style="2867" hidden="1" customWidth="1"/>
    <col min="8" max="9" width="12" style="2866" customWidth="1"/>
    <col min="10" max="10" width="13.86328125" style="2865" customWidth="1"/>
    <col min="11" max="11" width="13.59765625" style="2865" customWidth="1"/>
    <col min="12" max="12" width="9" style="2865" customWidth="1"/>
    <col min="13" max="13" width="9" style="2865"/>
    <col min="14" max="14" width="11.86328125" style="2865" bestFit="1" customWidth="1"/>
    <col min="15" max="16384" width="9" style="2865"/>
  </cols>
  <sheetData>
    <row r="1" spans="1:10" ht="25.5" customHeight="1" x14ac:dyDescent="0.4">
      <c r="A1" s="636" t="s">
        <v>29806</v>
      </c>
      <c r="B1" s="2946"/>
      <c r="C1" s="2946"/>
      <c r="D1" s="2946"/>
      <c r="E1" s="2946"/>
      <c r="F1" s="2946"/>
      <c r="G1" s="2945"/>
    </row>
    <row r="2" spans="1:10" ht="19.5" customHeight="1" x14ac:dyDescent="0.35">
      <c r="A2" s="2864" t="str">
        <f>IF(PROVIDER="","Provider name",PROVIDER&amp;" ("&amp;UKPRN&amp;")")</f>
        <v>Provider name</v>
      </c>
      <c r="E2" s="2477"/>
      <c r="F2" s="2477"/>
    </row>
    <row r="3" spans="1:10" s="2942" customFormat="1" ht="16.5" customHeight="1" x14ac:dyDescent="0.35">
      <c r="A3" s="2709" t="s">
        <v>29450</v>
      </c>
      <c r="E3" s="2562"/>
      <c r="F3" s="2562"/>
      <c r="G3" s="2944"/>
      <c r="H3" s="2943"/>
      <c r="I3" s="2943"/>
    </row>
    <row r="4" spans="1:10" ht="16.5" customHeight="1" x14ac:dyDescent="0.35">
      <c r="A4" s="2941" t="s">
        <v>29600</v>
      </c>
      <c r="E4" s="2477"/>
      <c r="F4" s="2477"/>
    </row>
    <row r="5" spans="1:10" ht="16.5" customHeight="1" x14ac:dyDescent="0.35">
      <c r="A5" s="2940" t="str">
        <f>"[note 1] 2025-26 FTEs taken from 'E_Other_high_cost_TAs' tab of this workbook."</f>
        <v>[note 1] 2025-26 FTEs taken from 'E_Other_high_cost_TAs' tab of this workbook.</v>
      </c>
      <c r="E5" s="2477"/>
      <c r="F5" s="2477"/>
    </row>
    <row r="6" spans="1:10" ht="25.5" customHeight="1" x14ac:dyDescent="0.35">
      <c r="A6" s="2939" t="str">
        <f>"[note 2] Headcount as reported in HESES"&amp;YEAR&amp;" Table 5."</f>
        <v>[note 2] Headcount as reported in HESES24 Table 5.</v>
      </c>
      <c r="E6" s="2477"/>
      <c r="F6" s="2477"/>
    </row>
    <row r="7" spans="1:10" ht="22.15" customHeight="1" x14ac:dyDescent="0.35">
      <c r="A7" s="637" t="s">
        <v>29599</v>
      </c>
      <c r="B7" s="2921"/>
      <c r="C7" s="2921"/>
      <c r="D7" s="2921"/>
      <c r="E7" s="2920"/>
      <c r="F7" s="2529"/>
    </row>
    <row r="8" spans="1:10" ht="75.75" customHeight="1" x14ac:dyDescent="0.35">
      <c r="A8" s="2914" t="s">
        <v>29570</v>
      </c>
      <c r="B8" s="2913" t="str">
        <f>"Full-time and sandwich year out UG headcount 
(from 2021-22 individualised data):
all quintiles"</f>
        <v>Full-time and sandwich year out UG headcount 
(from 2021-22 individualised data):
all quintiles</v>
      </c>
      <c r="C8" s="2927" t="s">
        <v>29569</v>
      </c>
      <c r="D8" s="2529"/>
      <c r="E8" s="2865"/>
      <c r="F8" s="2529"/>
      <c r="G8" s="2938" t="s">
        <v>29447</v>
      </c>
    </row>
    <row r="9" spans="1:10" ht="16.5" customHeight="1" x14ac:dyDescent="0.4">
      <c r="A9" s="2924" t="s">
        <v>29568</v>
      </c>
      <c r="B9" s="2901">
        <v>0</v>
      </c>
      <c r="C9" s="2922" t="s">
        <v>29486</v>
      </c>
      <c r="D9" s="2529"/>
      <c r="E9" s="2865"/>
      <c r="F9" s="2529"/>
      <c r="G9" s="2880" t="s">
        <v>29598</v>
      </c>
      <c r="H9" s="2937"/>
      <c r="I9" s="2865"/>
    </row>
    <row r="10" spans="1:10" ht="16.5" customHeight="1" x14ac:dyDescent="0.35">
      <c r="A10" s="2924" t="s">
        <v>29565</v>
      </c>
      <c r="B10" s="2923">
        <v>0</v>
      </c>
      <c r="C10" s="2922" t="s">
        <v>29483</v>
      </c>
      <c r="D10" s="2529"/>
      <c r="E10" s="2865"/>
      <c r="F10" s="2529"/>
      <c r="G10" s="2880" t="s">
        <v>29597</v>
      </c>
      <c r="H10" s="2865"/>
      <c r="I10" s="2865"/>
      <c r="J10" s="2936"/>
    </row>
    <row r="11" spans="1:10" ht="16.5" customHeight="1" x14ac:dyDescent="0.35">
      <c r="A11" s="2919" t="s">
        <v>29562</v>
      </c>
      <c r="B11" s="2901">
        <v>0</v>
      </c>
      <c r="C11" s="2918" t="s">
        <v>29480</v>
      </c>
      <c r="D11" s="2529"/>
      <c r="E11" s="2865"/>
      <c r="F11" s="2529"/>
      <c r="G11" s="2880" t="s">
        <v>29596</v>
      </c>
      <c r="H11" s="2865"/>
      <c r="I11" s="2865"/>
      <c r="J11" s="2936"/>
    </row>
    <row r="12" spans="1:10" ht="16.5" customHeight="1" x14ac:dyDescent="0.35">
      <c r="A12" s="2924" t="s">
        <v>29559</v>
      </c>
      <c r="B12" s="2891">
        <v>0</v>
      </c>
      <c r="C12" s="2922" t="s">
        <v>29507</v>
      </c>
      <c r="D12" s="2529"/>
      <c r="E12" s="2865"/>
      <c r="F12" s="2529"/>
      <c r="G12" s="2880" t="s">
        <v>29595</v>
      </c>
      <c r="I12" s="2865"/>
      <c r="J12" s="2936"/>
    </row>
    <row r="13" spans="1:10" ht="16.5" customHeight="1" x14ac:dyDescent="0.35">
      <c r="A13" s="2912" t="s">
        <v>29556</v>
      </c>
      <c r="B13" s="2901">
        <v>0</v>
      </c>
      <c r="C13" s="2925" t="s">
        <v>29594</v>
      </c>
      <c r="D13" s="2529"/>
      <c r="E13" s="2865"/>
      <c r="F13" s="2529"/>
      <c r="G13" s="2880" t="s">
        <v>29593</v>
      </c>
      <c r="I13" s="2865"/>
      <c r="J13" s="2936"/>
    </row>
    <row r="14" spans="1:10" ht="16.5" customHeight="1" x14ac:dyDescent="0.35">
      <c r="A14" s="2924" t="s">
        <v>29553</v>
      </c>
      <c r="B14" s="2923">
        <v>0</v>
      </c>
      <c r="C14" s="2922" t="s">
        <v>29502</v>
      </c>
      <c r="D14" s="2529"/>
      <c r="E14" s="2865"/>
      <c r="F14" s="2529"/>
      <c r="G14" s="2880" t="s">
        <v>29592</v>
      </c>
      <c r="H14" s="2865"/>
      <c r="I14" s="2865"/>
      <c r="J14" s="2936"/>
    </row>
    <row r="15" spans="1:10" ht="16.5" customHeight="1" x14ac:dyDescent="0.35">
      <c r="A15" s="2919" t="s">
        <v>29550</v>
      </c>
      <c r="B15" s="2901">
        <v>0</v>
      </c>
      <c r="C15" s="2918" t="s">
        <v>29591</v>
      </c>
      <c r="D15" s="2529"/>
      <c r="E15" s="2865"/>
      <c r="F15" s="2529"/>
      <c r="G15" s="2880" t="s">
        <v>29590</v>
      </c>
      <c r="H15" s="2865"/>
      <c r="I15" s="2865"/>
      <c r="J15" s="2936"/>
    </row>
    <row r="16" spans="1:10" ht="16.5" customHeight="1" x14ac:dyDescent="0.35">
      <c r="A16" s="2911" t="s">
        <v>29547</v>
      </c>
      <c r="B16" s="2891">
        <v>0</v>
      </c>
      <c r="C16" s="2917" t="s">
        <v>29496</v>
      </c>
      <c r="D16" s="2529"/>
      <c r="E16" s="2865"/>
      <c r="F16" s="2529"/>
      <c r="G16" s="2880" t="s">
        <v>29589</v>
      </c>
      <c r="H16" s="2865"/>
      <c r="I16" s="2865"/>
      <c r="J16" s="2936"/>
    </row>
    <row r="17" spans="1:10" ht="15" customHeight="1" x14ac:dyDescent="0.35">
      <c r="A17" s="1505"/>
      <c r="B17" s="2928"/>
      <c r="C17" s="2921"/>
      <c r="D17" s="2921"/>
      <c r="E17" s="2920"/>
      <c r="F17" s="2529"/>
      <c r="H17" s="2865"/>
      <c r="I17" s="2865"/>
      <c r="J17" s="2936"/>
    </row>
    <row r="18" spans="1:10" ht="22.15" customHeight="1" x14ac:dyDescent="0.35">
      <c r="A18" s="637" t="s">
        <v>29588</v>
      </c>
      <c r="B18" s="2928"/>
      <c r="C18" s="2921"/>
      <c r="D18" s="2921"/>
      <c r="E18" s="2920"/>
      <c r="F18" s="2529"/>
      <c r="G18" s="2870"/>
      <c r="H18" s="2865"/>
      <c r="I18" s="2865"/>
      <c r="J18" s="2936"/>
    </row>
    <row r="19" spans="1:10" ht="45" customHeight="1" x14ac:dyDescent="0.35">
      <c r="A19" s="2935" t="s">
        <v>29489</v>
      </c>
      <c r="B19" s="2897" t="s">
        <v>29678</v>
      </c>
      <c r="C19" s="2897" t="str">
        <f>"Calculations modelled from representation FTEs for 2025-26 funding"</f>
        <v>Calculations modelled from representation FTEs for 2025-26 funding</v>
      </c>
      <c r="D19" s="2896" t="s">
        <v>27901</v>
      </c>
      <c r="E19" s="2934" t="s">
        <v>29488</v>
      </c>
      <c r="F19" s="2529"/>
      <c r="H19" s="2865"/>
      <c r="I19" s="2865"/>
    </row>
    <row r="20" spans="1:10" ht="32.25" customHeight="1" x14ac:dyDescent="0.35">
      <c r="A20" s="2887" t="s">
        <v>29587</v>
      </c>
      <c r="B20" s="2933">
        <v>0</v>
      </c>
      <c r="C20" s="2933">
        <f>B20</f>
        <v>0</v>
      </c>
      <c r="D20" s="2932"/>
      <c r="E20" s="2884" t="s">
        <v>29586</v>
      </c>
      <c r="F20" s="2529"/>
      <c r="G20" s="2880" t="s">
        <v>29585</v>
      </c>
      <c r="H20" s="2865"/>
      <c r="I20" s="2865"/>
    </row>
    <row r="21" spans="1:10" ht="16.5" customHeight="1" x14ac:dyDescent="0.35">
      <c r="A21" s="2931" t="s">
        <v>29508</v>
      </c>
      <c r="B21" s="2901">
        <v>0</v>
      </c>
      <c r="C21" s="2901">
        <f>B21</f>
        <v>0</v>
      </c>
      <c r="D21" s="2900"/>
      <c r="E21" s="2884" t="s">
        <v>29540</v>
      </c>
      <c r="F21" s="2529"/>
      <c r="G21" s="2880" t="s">
        <v>29584</v>
      </c>
      <c r="I21" s="2865"/>
    </row>
    <row r="22" spans="1:10" ht="32.25" customHeight="1" x14ac:dyDescent="0.35">
      <c r="A22" s="2892" t="s">
        <v>29583</v>
      </c>
      <c r="B22" s="2903">
        <v>0</v>
      </c>
      <c r="C22" s="2903">
        <f>B22</f>
        <v>0</v>
      </c>
      <c r="D22" s="2916"/>
      <c r="E22" s="2915" t="s">
        <v>29423</v>
      </c>
      <c r="F22" s="2529"/>
      <c r="G22" s="2930" t="s">
        <v>29582</v>
      </c>
      <c r="H22" s="2865"/>
      <c r="I22" s="2865"/>
    </row>
    <row r="23" spans="1:10" ht="32.25" customHeight="1" x14ac:dyDescent="0.35">
      <c r="A23" s="2908" t="s">
        <v>29581</v>
      </c>
      <c r="B23" s="2907">
        <v>0</v>
      </c>
      <c r="C23" s="2907">
        <f>B23</f>
        <v>0</v>
      </c>
      <c r="D23" s="2906"/>
      <c r="E23" s="2889" t="s">
        <v>29580</v>
      </c>
      <c r="F23" s="2529"/>
      <c r="G23" s="2930" t="s">
        <v>29579</v>
      </c>
      <c r="H23" s="2865"/>
      <c r="I23" s="2865"/>
    </row>
    <row r="24" spans="1:10" ht="32.25" customHeight="1" x14ac:dyDescent="0.35">
      <c r="A24" s="2894" t="str">
        <f>"Total FTEs for 2025-26: Full-time and sandwich year out UG [note 1]"</f>
        <v>Total FTEs for 2025-26: Full-time and sandwich year out UG [note 1]</v>
      </c>
      <c r="B24" s="2886">
        <v>0</v>
      </c>
      <c r="C24" s="2886">
        <f>SUM(E_Other_high_cost_TAs!I132,E_Other_high_cost_TAs!I133)</f>
        <v>0</v>
      </c>
      <c r="D24" s="2886">
        <f>C24-B24</f>
        <v>0</v>
      </c>
      <c r="E24" s="2929" t="s">
        <v>29532</v>
      </c>
      <c r="F24" s="2529"/>
      <c r="G24" s="2880" t="s">
        <v>29531</v>
      </c>
      <c r="H24" s="2865"/>
      <c r="I24" s="2865"/>
    </row>
    <row r="25" spans="1:10" ht="16.5" customHeight="1" x14ac:dyDescent="0.35">
      <c r="A25" s="2892" t="s">
        <v>29500</v>
      </c>
      <c r="B25" s="2903">
        <v>0</v>
      </c>
      <c r="C25" s="2903">
        <f>C23*C24</f>
        <v>0</v>
      </c>
      <c r="D25" s="2903">
        <f>C25-B25</f>
        <v>0</v>
      </c>
      <c r="E25" s="2889" t="s">
        <v>29578</v>
      </c>
      <c r="F25" s="2529"/>
      <c r="G25" s="2880" t="s">
        <v>29577</v>
      </c>
      <c r="H25" s="2865"/>
      <c r="I25" s="2865"/>
    </row>
    <row r="26" spans="1:10" ht="16.5" customHeight="1" thickBot="1" x14ac:dyDescent="0.4">
      <c r="A26" s="2887" t="s">
        <v>29497</v>
      </c>
      <c r="B26" s="2886">
        <v>0</v>
      </c>
      <c r="C26" s="2886">
        <f>B26</f>
        <v>0</v>
      </c>
      <c r="D26" s="2885"/>
      <c r="E26" s="2884" t="s">
        <v>29576</v>
      </c>
      <c r="F26" s="2529"/>
      <c r="G26" s="2880" t="s">
        <v>29575</v>
      </c>
      <c r="H26" s="2865"/>
      <c r="I26" s="2865"/>
    </row>
    <row r="27" spans="1:10" ht="32.25" customHeight="1" x14ac:dyDescent="0.35">
      <c r="A27" s="2883" t="s">
        <v>29574</v>
      </c>
      <c r="B27" s="2882">
        <v>0</v>
      </c>
      <c r="C27" s="2882">
        <f>ROUND(C25*C26,0)</f>
        <v>0</v>
      </c>
      <c r="D27" s="2882">
        <f>ROUND(C27-B27,0)</f>
        <v>0</v>
      </c>
      <c r="E27" s="2881" t="s">
        <v>29573</v>
      </c>
      <c r="F27" s="2529"/>
      <c r="G27" s="2880" t="s">
        <v>29572</v>
      </c>
      <c r="I27" s="2865"/>
    </row>
    <row r="28" spans="1:10" ht="15" customHeight="1" x14ac:dyDescent="0.35">
      <c r="A28" s="1505"/>
      <c r="B28" s="2928"/>
      <c r="C28" s="2921"/>
      <c r="D28" s="2921"/>
      <c r="E28" s="2920"/>
      <c r="F28" s="2529"/>
      <c r="G28" s="2529"/>
      <c r="H28" s="2865"/>
      <c r="I28" s="2865"/>
    </row>
    <row r="29" spans="1:10" ht="22.15" customHeight="1" x14ac:dyDescent="0.35">
      <c r="A29" s="637" t="s">
        <v>29571</v>
      </c>
      <c r="B29" s="2928"/>
      <c r="C29" s="2921"/>
      <c r="D29" s="2921"/>
      <c r="E29" s="2920"/>
      <c r="F29" s="2529"/>
      <c r="G29" s="2870"/>
      <c r="H29" s="2865"/>
      <c r="I29" s="2865"/>
    </row>
    <row r="30" spans="1:10" ht="81" customHeight="1" x14ac:dyDescent="0.35">
      <c r="A30" s="2914" t="s">
        <v>29570</v>
      </c>
      <c r="B30" s="2913" t="str">
        <f>"Full-time and sandwich year out UG headcount 
(from 2021-22 individualised data):
quintiles 1 and 2"</f>
        <v>Full-time and sandwich year out UG headcount 
(from 2021-22 individualised data):
quintiles 1 and 2</v>
      </c>
      <c r="C30" s="2927" t="s">
        <v>29569</v>
      </c>
      <c r="D30" s="2921"/>
      <c r="E30" s="2920"/>
      <c r="F30" s="2529"/>
      <c r="G30" s="2926"/>
      <c r="H30" s="2865"/>
      <c r="I30" s="2865"/>
    </row>
    <row r="31" spans="1:10" ht="16.5" customHeight="1" x14ac:dyDescent="0.35">
      <c r="A31" s="2924" t="s">
        <v>29568</v>
      </c>
      <c r="B31" s="2901">
        <v>0</v>
      </c>
      <c r="C31" s="2922" t="s">
        <v>29567</v>
      </c>
      <c r="D31" s="2921"/>
      <c r="E31" s="2920"/>
      <c r="F31" s="2529"/>
      <c r="G31" s="2880" t="s">
        <v>29566</v>
      </c>
      <c r="H31" s="2865"/>
      <c r="I31" s="2865"/>
    </row>
    <row r="32" spans="1:10" ht="16.5" customHeight="1" x14ac:dyDescent="0.35">
      <c r="A32" s="2924" t="s">
        <v>29565</v>
      </c>
      <c r="B32" s="2923">
        <v>0</v>
      </c>
      <c r="C32" s="2922" t="s">
        <v>29564</v>
      </c>
      <c r="D32" s="2921"/>
      <c r="E32" s="2920"/>
      <c r="F32" s="2529"/>
      <c r="G32" s="2880" t="s">
        <v>29563</v>
      </c>
      <c r="H32" s="2865"/>
      <c r="I32" s="2865"/>
    </row>
    <row r="33" spans="1:9" ht="16.5" customHeight="1" x14ac:dyDescent="0.35">
      <c r="A33" s="2919" t="s">
        <v>29562</v>
      </c>
      <c r="B33" s="2901">
        <v>0</v>
      </c>
      <c r="C33" s="2918" t="s">
        <v>29561</v>
      </c>
      <c r="D33" s="2921"/>
      <c r="E33" s="2920"/>
      <c r="F33" s="2529"/>
      <c r="G33" s="2880" t="s">
        <v>29560</v>
      </c>
      <c r="H33" s="2865"/>
      <c r="I33" s="2865"/>
    </row>
    <row r="34" spans="1:9" ht="16.5" customHeight="1" x14ac:dyDescent="0.35">
      <c r="A34" s="2924" t="s">
        <v>29559</v>
      </c>
      <c r="B34" s="2891">
        <v>0</v>
      </c>
      <c r="C34" s="2922" t="s">
        <v>29558</v>
      </c>
      <c r="D34" s="2921"/>
      <c r="E34" s="2920"/>
      <c r="F34" s="2529"/>
      <c r="G34" s="2880" t="s">
        <v>29557</v>
      </c>
      <c r="H34" s="2865"/>
      <c r="I34" s="2865"/>
    </row>
    <row r="35" spans="1:9" ht="16.5" customHeight="1" x14ac:dyDescent="0.35">
      <c r="A35" s="2912" t="s">
        <v>29556</v>
      </c>
      <c r="B35" s="2901">
        <v>0</v>
      </c>
      <c r="C35" s="2925" t="s">
        <v>29555</v>
      </c>
      <c r="D35" s="2921"/>
      <c r="E35" s="2920"/>
      <c r="F35" s="2529"/>
      <c r="G35" s="2880" t="s">
        <v>29554</v>
      </c>
      <c r="H35" s="2865"/>
      <c r="I35" s="2865"/>
    </row>
    <row r="36" spans="1:9" ht="16.5" customHeight="1" x14ac:dyDescent="0.35">
      <c r="A36" s="2924" t="s">
        <v>29553</v>
      </c>
      <c r="B36" s="2923">
        <v>0</v>
      </c>
      <c r="C36" s="2922" t="s">
        <v>29552</v>
      </c>
      <c r="D36" s="2921"/>
      <c r="E36" s="2920"/>
      <c r="F36" s="2529"/>
      <c r="G36" s="2880" t="s">
        <v>29551</v>
      </c>
      <c r="H36" s="2865"/>
      <c r="I36" s="2865"/>
    </row>
    <row r="37" spans="1:9" ht="16.5" customHeight="1" x14ac:dyDescent="0.35">
      <c r="A37" s="2919" t="s">
        <v>29550</v>
      </c>
      <c r="B37" s="2901">
        <v>0</v>
      </c>
      <c r="C37" s="2918" t="s">
        <v>29549</v>
      </c>
      <c r="D37" s="2529"/>
      <c r="E37" s="2529"/>
      <c r="F37" s="2529"/>
      <c r="G37" s="2880" t="s">
        <v>29548</v>
      </c>
      <c r="H37" s="2865"/>
      <c r="I37" s="2865"/>
    </row>
    <row r="38" spans="1:9" ht="16.5" customHeight="1" x14ac:dyDescent="0.35">
      <c r="A38" s="2911" t="s">
        <v>29547</v>
      </c>
      <c r="B38" s="2891">
        <v>0</v>
      </c>
      <c r="C38" s="2917" t="s">
        <v>29546</v>
      </c>
      <c r="D38" s="2529"/>
      <c r="E38" s="2529"/>
      <c r="F38" s="2529"/>
      <c r="G38" s="2880" t="s">
        <v>29545</v>
      </c>
      <c r="H38" s="2865"/>
      <c r="I38" s="2865"/>
    </row>
    <row r="39" spans="1:9" ht="15" customHeight="1" x14ac:dyDescent="0.35">
      <c r="A39" s="2529"/>
      <c r="B39" s="2529"/>
      <c r="C39" s="2529"/>
      <c r="D39" s="2529"/>
      <c r="E39" s="2529"/>
      <c r="F39" s="2529"/>
      <c r="H39" s="2865"/>
      <c r="I39" s="2865"/>
    </row>
    <row r="40" spans="1:9" ht="22.15" customHeight="1" x14ac:dyDescent="0.35">
      <c r="A40" s="637" t="s">
        <v>29544</v>
      </c>
      <c r="B40" s="2529"/>
      <c r="C40" s="2529"/>
      <c r="D40" s="2529"/>
      <c r="E40" s="2529"/>
      <c r="F40" s="2529"/>
      <c r="H40" s="2865"/>
      <c r="I40" s="2865"/>
    </row>
    <row r="41" spans="1:9" ht="45" customHeight="1" x14ac:dyDescent="0.35">
      <c r="A41" s="2898" t="s">
        <v>29489</v>
      </c>
      <c r="B41" s="2897" t="s">
        <v>29678</v>
      </c>
      <c r="C41" s="2897" t="str">
        <f>"Calculations modelled from representation FTEs for 2025-26 funding"</f>
        <v>Calculations modelled from representation FTEs for 2025-26 funding</v>
      </c>
      <c r="D41" s="2896" t="s">
        <v>27901</v>
      </c>
      <c r="E41" s="2895" t="s">
        <v>29488</v>
      </c>
      <c r="F41" s="2529"/>
      <c r="H41" s="2865"/>
      <c r="I41" s="2865"/>
    </row>
    <row r="42" spans="1:9" ht="32.25" customHeight="1" x14ac:dyDescent="0.35">
      <c r="A42" s="2887" t="s">
        <v>29543</v>
      </c>
      <c r="B42" s="2893">
        <v>0</v>
      </c>
      <c r="C42" s="2893">
        <f>B42</f>
        <v>0</v>
      </c>
      <c r="D42" s="2910"/>
      <c r="E42" s="2884" t="s">
        <v>29542</v>
      </c>
      <c r="F42" s="2529"/>
      <c r="G42" s="2880" t="s">
        <v>29541</v>
      </c>
      <c r="H42" s="2865"/>
      <c r="I42" s="2865"/>
    </row>
    <row r="43" spans="1:9" ht="16.5" customHeight="1" x14ac:dyDescent="0.35">
      <c r="A43" s="2909" t="s">
        <v>29508</v>
      </c>
      <c r="B43" s="2891">
        <v>0</v>
      </c>
      <c r="C43" s="2891">
        <f>B43</f>
        <v>0</v>
      </c>
      <c r="D43" s="2890"/>
      <c r="E43" s="2889" t="s">
        <v>29540</v>
      </c>
      <c r="F43" s="2529"/>
      <c r="G43" s="2880" t="s">
        <v>29539</v>
      </c>
      <c r="H43" s="2865"/>
      <c r="I43" s="2865"/>
    </row>
    <row r="44" spans="1:9" ht="32.25" customHeight="1" x14ac:dyDescent="0.35">
      <c r="A44" s="2894" t="s">
        <v>29538</v>
      </c>
      <c r="B44" s="2886">
        <v>0</v>
      </c>
      <c r="C44" s="2886">
        <f>B44</f>
        <v>0</v>
      </c>
      <c r="D44" s="2885"/>
      <c r="E44" s="2884" t="s">
        <v>29537</v>
      </c>
      <c r="F44" s="2529"/>
      <c r="G44" s="2880" t="s">
        <v>29536</v>
      </c>
      <c r="H44" s="2865"/>
      <c r="I44" s="2865"/>
    </row>
    <row r="45" spans="1:9" ht="16.5" customHeight="1" x14ac:dyDescent="0.35">
      <c r="A45" s="2892" t="s">
        <v>29535</v>
      </c>
      <c r="B45" s="2903">
        <v>0</v>
      </c>
      <c r="C45" s="2903">
        <f>B45</f>
        <v>0</v>
      </c>
      <c r="D45" s="2916"/>
      <c r="E45" s="2915" t="s">
        <v>29534</v>
      </c>
      <c r="F45" s="2529"/>
      <c r="G45" s="2880" t="s">
        <v>29533</v>
      </c>
      <c r="H45" s="2865"/>
      <c r="I45" s="2865"/>
    </row>
    <row r="46" spans="1:9" ht="32.25" customHeight="1" x14ac:dyDescent="0.35">
      <c r="A46" s="2894" t="str">
        <f>"Total FTEs for 2025-26: Full-time and sandwich year out UG [note 1]"</f>
        <v>Total FTEs for 2025-26: Full-time and sandwich year out UG [note 1]</v>
      </c>
      <c r="B46" s="2886">
        <v>0</v>
      </c>
      <c r="C46" s="2886">
        <f>SUM(E_Other_high_cost_TAs!I132,E_Other_high_cost_TAs!I133)</f>
        <v>0</v>
      </c>
      <c r="D46" s="2886">
        <f>C46-B46</f>
        <v>0</v>
      </c>
      <c r="E46" s="2884" t="s">
        <v>29532</v>
      </c>
      <c r="F46" s="2529"/>
      <c r="G46" s="2880" t="s">
        <v>29531</v>
      </c>
      <c r="H46" s="2865"/>
      <c r="I46" s="2865"/>
    </row>
    <row r="47" spans="1:9" ht="16.5" customHeight="1" x14ac:dyDescent="0.35">
      <c r="A47" s="2892" t="s">
        <v>29500</v>
      </c>
      <c r="B47" s="2903">
        <v>0</v>
      </c>
      <c r="C47" s="2903">
        <f>C44*C45*C46</f>
        <v>0</v>
      </c>
      <c r="D47" s="2903">
        <f>C47-B47</f>
        <v>0</v>
      </c>
      <c r="E47" s="2889" t="s">
        <v>29530</v>
      </c>
      <c r="F47" s="2529"/>
      <c r="G47" s="2880" t="s">
        <v>29529</v>
      </c>
      <c r="H47" s="2865"/>
      <c r="I47" s="2865"/>
    </row>
    <row r="48" spans="1:9" ht="16.5" customHeight="1" thickBot="1" x14ac:dyDescent="0.4">
      <c r="A48" s="2887" t="s">
        <v>29497</v>
      </c>
      <c r="B48" s="2886">
        <v>0</v>
      </c>
      <c r="C48" s="2886">
        <f>B48</f>
        <v>0</v>
      </c>
      <c r="D48" s="2885"/>
      <c r="E48" s="2884" t="s">
        <v>29528</v>
      </c>
      <c r="F48" s="2529"/>
      <c r="G48" s="2880" t="s">
        <v>29527</v>
      </c>
      <c r="H48" s="2865"/>
      <c r="I48" s="2865"/>
    </row>
    <row r="49" spans="1:9" ht="32.25" customHeight="1" x14ac:dyDescent="0.35">
      <c r="A49" s="2883" t="s">
        <v>29526</v>
      </c>
      <c r="B49" s="2899">
        <v>0</v>
      </c>
      <c r="C49" s="2899">
        <f>ROUND(C47*C48,0)</f>
        <v>0</v>
      </c>
      <c r="D49" s="2899">
        <f>ROUND(C49-B49,0)</f>
        <v>0</v>
      </c>
      <c r="E49" s="2881" t="s">
        <v>29525</v>
      </c>
      <c r="F49" s="2529"/>
      <c r="G49" s="2880" t="s">
        <v>29524</v>
      </c>
      <c r="H49" s="2865"/>
      <c r="I49" s="2865"/>
    </row>
    <row r="50" spans="1:9" ht="15" customHeight="1" x14ac:dyDescent="0.35">
      <c r="A50" s="2529"/>
      <c r="B50" s="2529"/>
      <c r="C50" s="2529"/>
      <c r="D50" s="2529"/>
      <c r="E50" s="2529"/>
      <c r="F50" s="2529"/>
      <c r="G50" s="2529"/>
      <c r="H50" s="2865"/>
      <c r="I50" s="2865"/>
    </row>
    <row r="51" spans="1:9" ht="22.15" customHeight="1" x14ac:dyDescent="0.35">
      <c r="A51" s="637" t="s">
        <v>29523</v>
      </c>
      <c r="B51" s="2529"/>
      <c r="C51" s="2529"/>
      <c r="D51" s="2529"/>
      <c r="E51" s="2529"/>
      <c r="F51" s="2529"/>
      <c r="G51" s="2529"/>
      <c r="H51" s="2865"/>
      <c r="I51" s="2865"/>
    </row>
    <row r="52" spans="1:9" ht="45" customHeight="1" x14ac:dyDescent="0.35">
      <c r="A52" s="2898" t="s">
        <v>29489</v>
      </c>
      <c r="B52" s="2897" t="s">
        <v>29678</v>
      </c>
      <c r="C52" s="2897" t="str">
        <f>"Calculations modelled from representation FTEs for 2025-26 funding"</f>
        <v>Calculations modelled from representation FTEs for 2025-26 funding</v>
      </c>
      <c r="D52" s="2896" t="s">
        <v>27901</v>
      </c>
      <c r="E52" s="2895" t="s">
        <v>29488</v>
      </c>
      <c r="F52" s="2529"/>
      <c r="I52" s="2865"/>
    </row>
    <row r="53" spans="1:9" ht="16.5" customHeight="1" x14ac:dyDescent="0.35">
      <c r="A53" s="2908" t="str">
        <f>"Total FTEs for 2025-26: Part-time UG [note 1]"</f>
        <v>Total FTEs for 2025-26: Part-time UG [note 1]</v>
      </c>
      <c r="B53" s="2907">
        <v>0</v>
      </c>
      <c r="C53" s="2907">
        <f>SUM(E_Other_high_cost_TAs!I137,E_Other_high_cost_TAs!I138)</f>
        <v>0</v>
      </c>
      <c r="D53" s="2907">
        <f>C53-B53</f>
        <v>0</v>
      </c>
      <c r="E53" s="2889" t="s">
        <v>29486</v>
      </c>
      <c r="F53" s="2529"/>
      <c r="G53" s="2880" t="s">
        <v>29522</v>
      </c>
    </row>
    <row r="54" spans="1:9" ht="16.5" customHeight="1" thickBot="1" x14ac:dyDescent="0.4">
      <c r="A54" s="2887" t="s">
        <v>29497</v>
      </c>
      <c r="B54" s="2886">
        <v>0</v>
      </c>
      <c r="C54" s="2886">
        <f>B54</f>
        <v>0</v>
      </c>
      <c r="D54" s="2885"/>
      <c r="E54" s="2884" t="s">
        <v>29483</v>
      </c>
      <c r="F54" s="2529"/>
      <c r="G54" s="2880" t="s">
        <v>29521</v>
      </c>
    </row>
    <row r="55" spans="1:9" ht="32.25" customHeight="1" x14ac:dyDescent="0.35">
      <c r="A55" s="2883" t="s">
        <v>29520</v>
      </c>
      <c r="B55" s="2882">
        <v>0</v>
      </c>
      <c r="C55" s="2882">
        <f>ROUND(C53*C54,0)</f>
        <v>0</v>
      </c>
      <c r="D55" s="2882">
        <f>ROUND(C55-B55,0)</f>
        <v>0</v>
      </c>
      <c r="E55" s="2881" t="s">
        <v>29519</v>
      </c>
      <c r="F55" s="2529"/>
      <c r="G55" s="2880" t="s">
        <v>29416</v>
      </c>
    </row>
    <row r="56" spans="1:9" ht="15" customHeight="1" x14ac:dyDescent="0.35">
      <c r="A56" s="2529"/>
      <c r="B56" s="2529"/>
      <c r="C56" s="2529"/>
      <c r="D56" s="2529"/>
      <c r="E56" s="2529"/>
      <c r="F56" s="2529"/>
      <c r="G56" s="2529"/>
    </row>
    <row r="57" spans="1:9" ht="22.15" customHeight="1" x14ac:dyDescent="0.35">
      <c r="A57" s="637" t="s">
        <v>29518</v>
      </c>
      <c r="B57" s="2529"/>
      <c r="C57" s="2529"/>
      <c r="D57" s="2529"/>
      <c r="E57" s="2529"/>
      <c r="F57" s="2529"/>
      <c r="G57" s="2529"/>
    </row>
    <row r="58" spans="1:9" ht="42.75" customHeight="1" x14ac:dyDescent="0.35">
      <c r="A58" s="2914" t="s">
        <v>29517</v>
      </c>
      <c r="B58" s="2913" t="str">
        <f>"DSA-eligible headcount
(from 20"&amp;YEAR-2&amp;"-"&amp;YEAR-1&amp;" individualised data)"</f>
        <v>DSA-eligible headcount
(from 2022-23 individualised data)</v>
      </c>
      <c r="C58" s="2529"/>
      <c r="D58" s="2529"/>
      <c r="E58" s="2529"/>
      <c r="F58" s="2529"/>
      <c r="I58" s="2865"/>
    </row>
    <row r="59" spans="1:9" ht="16.5" customHeight="1" x14ac:dyDescent="0.35">
      <c r="A59" s="2912" t="s">
        <v>29516</v>
      </c>
      <c r="B59" s="2893">
        <v>0</v>
      </c>
      <c r="C59" s="2529"/>
      <c r="D59" s="2529"/>
      <c r="E59" s="2529"/>
      <c r="F59" s="2529"/>
      <c r="G59" s="2880" t="s">
        <v>29515</v>
      </c>
      <c r="I59" s="2865"/>
    </row>
    <row r="60" spans="1:9" ht="16.5" customHeight="1" x14ac:dyDescent="0.35">
      <c r="A60" s="2911" t="s">
        <v>29514</v>
      </c>
      <c r="B60" s="2891">
        <v>0</v>
      </c>
      <c r="C60" s="2529"/>
      <c r="D60" s="2529"/>
      <c r="E60" s="2529"/>
      <c r="F60" s="2529"/>
      <c r="G60" s="2880" t="s">
        <v>29513</v>
      </c>
      <c r="I60" s="2865"/>
    </row>
    <row r="61" spans="1:9" ht="15" customHeight="1" x14ac:dyDescent="0.35">
      <c r="A61" s="2529"/>
      <c r="B61" s="2529"/>
      <c r="C61" s="2529"/>
      <c r="D61" s="2529"/>
      <c r="E61" s="2529"/>
      <c r="F61" s="2529"/>
      <c r="I61" s="2865"/>
    </row>
    <row r="62" spans="1:9" ht="22.15" customHeight="1" x14ac:dyDescent="0.35">
      <c r="A62" s="637" t="s">
        <v>29512</v>
      </c>
      <c r="B62" s="2529"/>
      <c r="C62" s="2529"/>
      <c r="D62" s="2529"/>
      <c r="E62" s="2529"/>
      <c r="F62" s="2529"/>
      <c r="H62" s="2865"/>
      <c r="I62" s="2865"/>
    </row>
    <row r="63" spans="1:9" ht="45" customHeight="1" x14ac:dyDescent="0.35">
      <c r="A63" s="2898" t="s">
        <v>29489</v>
      </c>
      <c r="B63" s="2897" t="s">
        <v>29678</v>
      </c>
      <c r="C63" s="2897" t="str">
        <f>"Calculations modelled from representation FTEs for 2025-26 funding"</f>
        <v>Calculations modelled from representation FTEs for 2025-26 funding</v>
      </c>
      <c r="D63" s="2896" t="s">
        <v>27901</v>
      </c>
      <c r="E63" s="2895" t="s">
        <v>29488</v>
      </c>
      <c r="F63" s="2529"/>
      <c r="G63" s="2870"/>
      <c r="H63" s="2865"/>
      <c r="I63" s="2865"/>
    </row>
    <row r="64" spans="1:9" ht="16.5" customHeight="1" x14ac:dyDescent="0.35">
      <c r="A64" s="2887" t="s">
        <v>29511</v>
      </c>
      <c r="B64" s="2893">
        <v>0</v>
      </c>
      <c r="C64" s="2893">
        <f>B64</f>
        <v>0</v>
      </c>
      <c r="D64" s="2910"/>
      <c r="E64" s="2884" t="s">
        <v>29510</v>
      </c>
      <c r="F64" s="2529"/>
      <c r="G64" s="2880" t="s">
        <v>29509</v>
      </c>
      <c r="H64" s="2865"/>
      <c r="I64" s="2865"/>
    </row>
    <row r="65" spans="1:14" ht="16.5" customHeight="1" x14ac:dyDescent="0.35">
      <c r="A65" s="2909" t="s">
        <v>29508</v>
      </c>
      <c r="B65" s="2891">
        <v>0</v>
      </c>
      <c r="C65" s="2891">
        <f>B65</f>
        <v>0</v>
      </c>
      <c r="D65" s="2890"/>
      <c r="E65" s="2889" t="s">
        <v>29507</v>
      </c>
      <c r="F65" s="2529"/>
      <c r="G65" s="2880" t="s">
        <v>29506</v>
      </c>
      <c r="J65" s="2866"/>
    </row>
    <row r="66" spans="1:14" ht="16.5" customHeight="1" x14ac:dyDescent="0.35">
      <c r="A66" s="2908" t="s">
        <v>29505</v>
      </c>
      <c r="B66" s="2907">
        <v>0</v>
      </c>
      <c r="C66" s="2907">
        <f>B66</f>
        <v>0</v>
      </c>
      <c r="D66" s="2906"/>
      <c r="E66" s="2889" t="s">
        <v>29504</v>
      </c>
      <c r="F66" s="2529"/>
      <c r="G66" s="2880" t="s">
        <v>29503</v>
      </c>
      <c r="J66" s="2866"/>
    </row>
    <row r="67" spans="1:14" ht="16.5" customHeight="1" x14ac:dyDescent="0.35">
      <c r="A67" s="2887" t="str">
        <f>"Total FTEs for 2025-26 [note 1]"</f>
        <v>Total FTEs for 2025-26 [note 1]</v>
      </c>
      <c r="B67" s="2886">
        <v>0</v>
      </c>
      <c r="C67" s="2886">
        <f>E_Other_high_cost_TAs!I142</f>
        <v>0</v>
      </c>
      <c r="D67" s="2886">
        <f>C67-B67</f>
        <v>0</v>
      </c>
      <c r="E67" s="2905" t="s">
        <v>29502</v>
      </c>
      <c r="F67" s="2529"/>
      <c r="G67" s="2880" t="s">
        <v>29501</v>
      </c>
      <c r="J67" s="2866"/>
      <c r="K67" s="2866"/>
    </row>
    <row r="68" spans="1:14" ht="16.5" customHeight="1" x14ac:dyDescent="0.35">
      <c r="A68" s="2904" t="s">
        <v>29500</v>
      </c>
      <c r="B68" s="2903">
        <v>0</v>
      </c>
      <c r="C68" s="2903">
        <f>C66*C67</f>
        <v>0</v>
      </c>
      <c r="D68" s="2903">
        <f>C68-B68</f>
        <v>0</v>
      </c>
      <c r="E68" s="2889" t="s">
        <v>29499</v>
      </c>
      <c r="F68" s="2529"/>
      <c r="G68" s="2880" t="s">
        <v>29498</v>
      </c>
      <c r="H68" s="2865"/>
      <c r="I68" s="2865"/>
      <c r="J68" s="2866"/>
      <c r="K68" s="2866"/>
    </row>
    <row r="69" spans="1:14" ht="16.5" customHeight="1" x14ac:dyDescent="0.35">
      <c r="A69" s="2887" t="s">
        <v>29497</v>
      </c>
      <c r="B69" s="2886">
        <v>0</v>
      </c>
      <c r="C69" s="2886">
        <f>B69</f>
        <v>0</v>
      </c>
      <c r="D69" s="2885"/>
      <c r="E69" s="2884" t="s">
        <v>29496</v>
      </c>
      <c r="F69" s="2529"/>
      <c r="G69" s="2880" t="s">
        <v>29495</v>
      </c>
      <c r="H69" s="2865"/>
      <c r="I69" s="2865"/>
      <c r="J69" s="2866"/>
      <c r="K69" s="2866"/>
    </row>
    <row r="70" spans="1:14" ht="16.5" customHeight="1" thickBot="1" x14ac:dyDescent="0.4">
      <c r="A70" s="2902" t="s">
        <v>29494</v>
      </c>
      <c r="B70" s="2901">
        <v>1000</v>
      </c>
      <c r="C70" s="2901">
        <v>1000</v>
      </c>
      <c r="D70" s="2900"/>
      <c r="E70" s="2884" t="s">
        <v>29493</v>
      </c>
      <c r="F70" s="2529"/>
      <c r="G70" s="2870"/>
      <c r="H70" s="2865"/>
      <c r="I70" s="2865"/>
      <c r="J70" s="2866"/>
      <c r="K70" s="2866"/>
    </row>
    <row r="71" spans="1:14" ht="16.5" customHeight="1" x14ac:dyDescent="0.35">
      <c r="A71" s="2883" t="s">
        <v>29492</v>
      </c>
      <c r="B71" s="2899">
        <v>0</v>
      </c>
      <c r="C71" s="2899">
        <f>ROUND(MAX(C68*C69,C70),0)</f>
        <v>1000</v>
      </c>
      <c r="D71" s="2899">
        <f>ROUND(C71-B71,0)</f>
        <v>1000</v>
      </c>
      <c r="E71" s="2881" t="s">
        <v>29491</v>
      </c>
      <c r="F71" s="2529"/>
      <c r="G71" s="2880" t="s">
        <v>29414</v>
      </c>
      <c r="H71" s="2865"/>
      <c r="I71" s="2865"/>
      <c r="J71" s="2866"/>
      <c r="K71" s="2866"/>
    </row>
    <row r="72" spans="1:14" ht="15" customHeight="1" x14ac:dyDescent="0.35">
      <c r="A72" s="2529"/>
      <c r="B72" s="2529"/>
      <c r="C72" s="2529"/>
      <c r="D72" s="2529"/>
      <c r="E72" s="2529"/>
      <c r="F72" s="2529"/>
      <c r="H72" s="2865"/>
      <c r="I72" s="2865"/>
      <c r="J72" s="2866"/>
    </row>
    <row r="73" spans="1:14" ht="22.15" customHeight="1" x14ac:dyDescent="0.35">
      <c r="A73" s="637" t="s">
        <v>29490</v>
      </c>
      <c r="B73" s="2529"/>
      <c r="C73" s="2529"/>
      <c r="D73" s="2529"/>
      <c r="E73" s="2529"/>
      <c r="F73" s="2529"/>
      <c r="H73" s="2865"/>
      <c r="I73" s="2865"/>
      <c r="J73" s="2866"/>
    </row>
    <row r="74" spans="1:14" ht="45" customHeight="1" x14ac:dyDescent="0.35">
      <c r="A74" s="2898" t="s">
        <v>29489</v>
      </c>
      <c r="B74" s="2897" t="s">
        <v>29678</v>
      </c>
      <c r="C74" s="2897" t="str">
        <f>"Calculations modelled from representation FTEs for 2025-26 funding"</f>
        <v>Calculations modelled from representation FTEs for 2025-26 funding</v>
      </c>
      <c r="D74" s="2896" t="s">
        <v>27901</v>
      </c>
      <c r="E74" s="2895" t="s">
        <v>29488</v>
      </c>
      <c r="F74" s="2529"/>
      <c r="H74" s="2865"/>
      <c r="I74" s="2865"/>
      <c r="J74" s="2866"/>
      <c r="K74" s="2866"/>
      <c r="N74" s="2888"/>
    </row>
    <row r="75" spans="1:14" ht="32.25" customHeight="1" x14ac:dyDescent="0.35">
      <c r="A75" s="2894" t="s">
        <v>29487</v>
      </c>
      <c r="B75" s="2893">
        <v>0</v>
      </c>
      <c r="C75" s="2893">
        <f>B75</f>
        <v>0</v>
      </c>
      <c r="D75" s="2893">
        <f>C75-B75</f>
        <v>0</v>
      </c>
      <c r="E75" s="2884" t="s">
        <v>29486</v>
      </c>
      <c r="F75" s="2529"/>
      <c r="G75" s="2880" t="s">
        <v>29485</v>
      </c>
      <c r="H75" s="2865"/>
      <c r="I75" s="2865"/>
      <c r="J75" s="2866"/>
      <c r="K75" s="2866"/>
      <c r="N75" s="2888"/>
    </row>
    <row r="76" spans="1:14" ht="16.5" customHeight="1" x14ac:dyDescent="0.35">
      <c r="A76" s="2892" t="s">
        <v>29484</v>
      </c>
      <c r="B76" s="2891">
        <v>0</v>
      </c>
      <c r="C76" s="2891">
        <f>B76</f>
        <v>0</v>
      </c>
      <c r="D76" s="2890"/>
      <c r="E76" s="2889" t="s">
        <v>29483</v>
      </c>
      <c r="F76" s="2529"/>
      <c r="G76" s="2880" t="s">
        <v>29482</v>
      </c>
      <c r="H76" s="2870"/>
      <c r="I76" s="2865"/>
      <c r="J76" s="2866"/>
      <c r="K76" s="2866"/>
      <c r="N76" s="2888"/>
    </row>
    <row r="77" spans="1:14" ht="16.5" customHeight="1" thickBot="1" x14ac:dyDescent="0.4">
      <c r="A77" s="2887" t="s">
        <v>29481</v>
      </c>
      <c r="B77" s="2886">
        <v>0</v>
      </c>
      <c r="C77" s="2886">
        <f>B77</f>
        <v>0</v>
      </c>
      <c r="D77" s="2885"/>
      <c r="E77" s="2884" t="s">
        <v>29480</v>
      </c>
      <c r="F77" s="2529"/>
      <c r="G77" s="2880" t="s">
        <v>29479</v>
      </c>
      <c r="H77" s="2865"/>
      <c r="I77" s="2865"/>
    </row>
    <row r="78" spans="1:14" ht="32.25" customHeight="1" x14ac:dyDescent="0.35">
      <c r="A78" s="2883" t="s">
        <v>29478</v>
      </c>
      <c r="B78" s="2882">
        <v>0</v>
      </c>
      <c r="C78" s="2882">
        <f>ROUND((C75+C76)*C77,0)</f>
        <v>0</v>
      </c>
      <c r="D78" s="2882">
        <f>ROUND(C78-B78,0)</f>
        <v>0</v>
      </c>
      <c r="E78" s="2881" t="s">
        <v>29477</v>
      </c>
      <c r="F78" s="2529"/>
      <c r="G78" s="2880" t="s">
        <v>29733</v>
      </c>
    </row>
    <row r="79" spans="1:14" ht="15" customHeight="1" x14ac:dyDescent="0.35">
      <c r="A79" s="2529"/>
      <c r="B79" s="2529"/>
      <c r="C79" s="2529"/>
      <c r="D79" s="2529"/>
      <c r="E79" s="2529"/>
      <c r="F79" s="2529"/>
      <c r="G79" s="2529"/>
      <c r="H79" s="2865"/>
      <c r="I79" s="2865"/>
    </row>
    <row r="80" spans="1:14" ht="15" customHeight="1" x14ac:dyDescent="0.35">
      <c r="A80" s="2529"/>
      <c r="B80" s="2529"/>
      <c r="C80" s="2529"/>
      <c r="D80" s="2529"/>
      <c r="E80" s="2529"/>
      <c r="F80" s="2529"/>
      <c r="G80" s="2529"/>
      <c r="I80" s="2865"/>
      <c r="K80" s="2477"/>
    </row>
    <row r="81" spans="1:11" ht="15" hidden="1" customHeight="1" x14ac:dyDescent="0.35">
      <c r="A81" s="2529"/>
      <c r="B81" s="2879" t="s">
        <v>29407</v>
      </c>
      <c r="C81" s="2878" t="s">
        <v>29407</v>
      </c>
      <c r="D81" s="2529"/>
      <c r="E81" s="2529"/>
      <c r="F81" s="2529"/>
      <c r="G81" s="2874"/>
      <c r="I81" s="2865"/>
      <c r="K81" s="2477"/>
    </row>
    <row r="82" spans="1:11" ht="15" customHeight="1" x14ac:dyDescent="0.35">
      <c r="A82" s="2529"/>
      <c r="B82" s="2529"/>
      <c r="C82" s="2529"/>
      <c r="D82" s="2529"/>
      <c r="E82" s="2529"/>
      <c r="F82" s="2529"/>
      <c r="G82" s="2874"/>
      <c r="I82" s="2865"/>
      <c r="K82" s="2477"/>
    </row>
    <row r="83" spans="1:11" ht="15" customHeight="1" x14ac:dyDescent="0.35">
      <c r="A83" s="2529"/>
      <c r="B83" s="2529"/>
      <c r="C83" s="2529"/>
      <c r="D83" s="2529"/>
      <c r="E83" s="2529"/>
      <c r="F83" s="2529"/>
      <c r="I83" s="2865"/>
      <c r="K83" s="2477"/>
    </row>
    <row r="84" spans="1:11" ht="43.5" customHeight="1" x14ac:dyDescent="0.35">
      <c r="A84" s="2529"/>
      <c r="B84" s="2529"/>
      <c r="C84" s="2529"/>
      <c r="D84" s="2529"/>
      <c r="E84" s="2529"/>
      <c r="F84" s="2529"/>
      <c r="J84" s="2866"/>
    </row>
    <row r="85" spans="1:11" ht="15" customHeight="1" x14ac:dyDescent="0.35">
      <c r="A85" s="2529"/>
      <c r="B85" s="2529"/>
      <c r="C85" s="2529"/>
      <c r="D85" s="2529"/>
      <c r="E85" s="2529"/>
      <c r="F85" s="2529"/>
      <c r="I85" s="2865"/>
      <c r="K85" s="2477"/>
    </row>
    <row r="86" spans="1:11" ht="15" customHeight="1" x14ac:dyDescent="0.35">
      <c r="A86" s="2529"/>
      <c r="B86" s="2529"/>
      <c r="C86" s="2529"/>
      <c r="D86" s="2529"/>
      <c r="E86" s="2529"/>
      <c r="F86" s="2529"/>
      <c r="I86" s="2865"/>
      <c r="K86" s="2477"/>
    </row>
    <row r="87" spans="1:11" ht="15" customHeight="1" x14ac:dyDescent="0.35">
      <c r="A87" s="2529"/>
      <c r="B87" s="2529"/>
      <c r="C87" s="2529"/>
      <c r="D87" s="2529"/>
      <c r="E87" s="2529"/>
      <c r="F87" s="2529"/>
      <c r="G87" s="2529"/>
      <c r="I87" s="2865"/>
      <c r="K87" s="2477"/>
    </row>
    <row r="88" spans="1:11" ht="15" customHeight="1" x14ac:dyDescent="0.35">
      <c r="A88" s="2529"/>
      <c r="B88" s="2529"/>
      <c r="C88" s="2529"/>
      <c r="D88" s="2529"/>
      <c r="E88" s="2529"/>
      <c r="F88" s="2529"/>
      <c r="G88" s="2529"/>
      <c r="I88" s="2865"/>
      <c r="K88" s="2477"/>
    </row>
    <row r="89" spans="1:11" ht="15" customHeight="1" x14ac:dyDescent="0.35">
      <c r="A89" s="2529"/>
      <c r="B89" s="2529"/>
      <c r="C89" s="2529"/>
      <c r="D89" s="2529"/>
      <c r="E89" s="2529"/>
      <c r="F89" s="2529"/>
      <c r="G89" s="2529"/>
      <c r="I89" s="2865"/>
      <c r="K89" s="2477"/>
    </row>
    <row r="90" spans="1:11" ht="15" customHeight="1" x14ac:dyDescent="0.35">
      <c r="A90" s="2529"/>
      <c r="B90" s="2529"/>
      <c r="C90" s="2529"/>
      <c r="D90" s="2529"/>
      <c r="E90" s="2529"/>
      <c r="F90" s="2529"/>
      <c r="G90" s="2874"/>
      <c r="I90" s="2865"/>
      <c r="K90" s="2477"/>
    </row>
    <row r="91" spans="1:11" ht="15" customHeight="1" x14ac:dyDescent="0.35">
      <c r="A91" s="2529"/>
      <c r="B91" s="2529"/>
      <c r="C91" s="2529"/>
      <c r="D91" s="2529"/>
      <c r="E91" s="2529"/>
      <c r="F91" s="2529"/>
      <c r="G91" s="2874"/>
      <c r="I91" s="2865"/>
      <c r="K91" s="2477"/>
    </row>
    <row r="92" spans="1:11" ht="15" customHeight="1" x14ac:dyDescent="0.35">
      <c r="A92" s="2529"/>
      <c r="B92" s="2529"/>
      <c r="C92" s="2529"/>
      <c r="D92" s="2529"/>
      <c r="E92" s="2529"/>
      <c r="F92" s="2529"/>
      <c r="G92" s="2870"/>
      <c r="H92" s="2877"/>
      <c r="I92" s="2865"/>
      <c r="J92" s="2871"/>
    </row>
    <row r="93" spans="1:11" ht="43.5" customHeight="1" x14ac:dyDescent="0.35">
      <c r="A93" s="2529"/>
      <c r="B93" s="2529"/>
      <c r="C93" s="2529"/>
      <c r="D93" s="2529"/>
      <c r="E93" s="2529"/>
      <c r="F93" s="2529"/>
      <c r="G93" s="2870"/>
      <c r="J93" s="2866"/>
    </row>
    <row r="94" spans="1:11" ht="15" customHeight="1" x14ac:dyDescent="0.35">
      <c r="A94" s="2529"/>
      <c r="B94" s="2529"/>
      <c r="C94" s="2529"/>
      <c r="D94" s="2529"/>
      <c r="E94" s="2529"/>
      <c r="F94" s="2529"/>
      <c r="H94" s="2877"/>
      <c r="I94" s="2865"/>
      <c r="J94" s="2871"/>
    </row>
    <row r="95" spans="1:11" ht="15" customHeight="1" x14ac:dyDescent="0.35">
      <c r="A95" s="2529"/>
      <c r="B95" s="2529"/>
      <c r="C95" s="2529"/>
      <c r="D95" s="2529"/>
      <c r="E95" s="2529"/>
      <c r="F95" s="2529"/>
      <c r="H95" s="2877"/>
      <c r="I95" s="2865"/>
      <c r="J95" s="2871"/>
    </row>
    <row r="96" spans="1:11" ht="15" customHeight="1" x14ac:dyDescent="0.35">
      <c r="A96" s="2529"/>
      <c r="B96" s="2529"/>
      <c r="E96" s="2529"/>
      <c r="F96" s="2529"/>
      <c r="H96" s="2877"/>
      <c r="I96" s="2865"/>
      <c r="J96" s="2871"/>
    </row>
    <row r="97" spans="1:32" ht="15" customHeight="1" x14ac:dyDescent="0.35">
      <c r="A97" s="2529"/>
      <c r="B97" s="2529"/>
      <c r="C97" s="2529"/>
      <c r="D97" s="2529"/>
      <c r="E97" s="2529"/>
      <c r="F97" s="2529"/>
      <c r="H97" s="2877"/>
      <c r="I97" s="2865"/>
      <c r="J97" s="2871"/>
    </row>
    <row r="98" spans="1:32" ht="15" customHeight="1" x14ac:dyDescent="0.35">
      <c r="A98" s="2529"/>
      <c r="B98" s="2529"/>
      <c r="C98" s="2529"/>
      <c r="D98" s="2529"/>
      <c r="E98" s="2529"/>
      <c r="F98" s="2529"/>
      <c r="G98" s="2870"/>
      <c r="H98" s="2877"/>
      <c r="I98" s="2865"/>
      <c r="J98" s="2871"/>
    </row>
    <row r="99" spans="1:32" ht="15" customHeight="1" x14ac:dyDescent="0.35">
      <c r="A99" s="2529"/>
      <c r="B99" s="2529"/>
      <c r="C99" s="2529"/>
      <c r="D99" s="2529"/>
      <c r="E99" s="2529"/>
      <c r="F99" s="2529"/>
      <c r="G99" s="2870"/>
      <c r="H99" s="2877"/>
      <c r="I99" s="2865"/>
      <c r="J99" s="2871"/>
    </row>
    <row r="100" spans="1:32" ht="15" customHeight="1" x14ac:dyDescent="0.35">
      <c r="A100" s="2529"/>
      <c r="B100" s="2529"/>
      <c r="C100" s="2529"/>
      <c r="D100" s="2529"/>
      <c r="E100" s="2529"/>
      <c r="F100" s="2529"/>
      <c r="G100" s="2870"/>
      <c r="H100" s="2877"/>
      <c r="I100" s="2865"/>
      <c r="J100" s="2871"/>
    </row>
    <row r="101" spans="1:32" ht="15" customHeight="1" x14ac:dyDescent="0.35">
      <c r="A101" s="2876"/>
      <c r="B101" s="2876"/>
      <c r="C101" s="2876"/>
      <c r="D101" s="2876"/>
      <c r="E101" s="2875"/>
      <c r="F101" s="2875"/>
      <c r="G101" s="2870"/>
      <c r="H101" s="2877"/>
      <c r="I101" s="2865"/>
      <c r="J101" s="2871"/>
    </row>
    <row r="102" spans="1:32" ht="15" customHeight="1" x14ac:dyDescent="0.35">
      <c r="A102" s="2876"/>
      <c r="B102" s="2876"/>
      <c r="C102" s="2876"/>
      <c r="D102" s="2876"/>
      <c r="E102" s="2875"/>
      <c r="F102" s="2875"/>
      <c r="G102" s="2874"/>
      <c r="I102" s="2865"/>
      <c r="K102" s="2477"/>
    </row>
    <row r="103" spans="1:32" ht="15" customHeight="1" x14ac:dyDescent="0.4">
      <c r="A103" s="2873"/>
      <c r="B103" s="2873"/>
      <c r="C103" s="2873"/>
      <c r="D103" s="2873"/>
      <c r="G103" s="2870"/>
      <c r="H103" s="2865"/>
      <c r="I103" s="2865"/>
    </row>
    <row r="104" spans="1:32" ht="15" customHeight="1" x14ac:dyDescent="0.4">
      <c r="A104" s="2477"/>
      <c r="B104" s="2477"/>
      <c r="C104" s="2477"/>
      <c r="D104" s="2477"/>
      <c r="E104" s="2872"/>
      <c r="F104" s="2871"/>
      <c r="G104" s="2870"/>
      <c r="H104" s="2865"/>
      <c r="I104" s="2865"/>
    </row>
    <row r="105" spans="1:32" ht="15" customHeight="1" x14ac:dyDescent="0.4">
      <c r="A105" s="2866"/>
      <c r="B105" s="2866"/>
      <c r="C105" s="2866"/>
      <c r="D105" s="2866"/>
      <c r="E105" s="2872"/>
      <c r="F105" s="2871"/>
      <c r="G105" s="2870"/>
      <c r="H105" s="2865"/>
      <c r="I105" s="2865"/>
    </row>
    <row r="106" spans="1:32" s="2477" customFormat="1" x14ac:dyDescent="0.35">
      <c r="A106" s="2865"/>
      <c r="B106" s="2865"/>
      <c r="C106" s="2865"/>
      <c r="D106" s="2865"/>
      <c r="G106" s="2869"/>
      <c r="H106" s="2478"/>
      <c r="I106" s="2478"/>
      <c r="J106" s="2478"/>
    </row>
    <row r="107" spans="1:32" x14ac:dyDescent="0.35">
      <c r="G107" s="2528"/>
      <c r="AE107" s="2477"/>
      <c r="AF107" s="2477"/>
    </row>
    <row r="108" spans="1:32" x14ac:dyDescent="0.35">
      <c r="A108" s="2866"/>
      <c r="B108" s="2866"/>
      <c r="C108" s="2866"/>
      <c r="D108" s="2866"/>
      <c r="L108" s="2866"/>
      <c r="AC108" s="2866"/>
    </row>
    <row r="109" spans="1:32" x14ac:dyDescent="0.35">
      <c r="G109" s="2528"/>
      <c r="U109" s="2866"/>
    </row>
    <row r="111" spans="1:32" x14ac:dyDescent="0.35">
      <c r="L111" s="2866"/>
      <c r="T111" s="2866"/>
    </row>
    <row r="112" spans="1:32" x14ac:dyDescent="0.35">
      <c r="A112" s="2866"/>
      <c r="B112" s="2866"/>
      <c r="C112" s="2866"/>
      <c r="D112" s="2866"/>
    </row>
    <row r="113" spans="1:20" x14ac:dyDescent="0.35">
      <c r="A113" s="2866"/>
      <c r="B113" s="2866"/>
      <c r="C113" s="2866"/>
      <c r="D113" s="2866"/>
      <c r="L113" s="2866"/>
      <c r="T113" s="2866"/>
    </row>
    <row r="114" spans="1:20" x14ac:dyDescent="0.35">
      <c r="T114" s="2866"/>
    </row>
    <row r="115" spans="1:20" x14ac:dyDescent="0.35">
      <c r="A115" s="2866"/>
      <c r="B115" s="2866"/>
      <c r="C115" s="2866"/>
      <c r="D115" s="2866"/>
    </row>
    <row r="116" spans="1:20" x14ac:dyDescent="0.35">
      <c r="T116" s="2866"/>
    </row>
  </sheetData>
  <sheetProtection algorithmName="SHA-512" hashValue="vbUoLH9MJ/S7SsRqBXZFa8UPyOdxCJW+X6TyjGT8HVwnu7Cr4rYQOafv3ol4Rm8tm+6p+2ytVTIQ5pUTmF+elQ==" saltValue="dwU0N/LCnRFRvDrvfdJmOQ==" spinCount="100000" sheet="1" objects="1" scenarios="1"/>
  <conditionalFormatting sqref="B9:D78">
    <cfRule type="cellIs" dxfId="0" priority="1" operator="equal">
      <formula>0</formula>
    </cfRule>
  </conditionalFormatting>
  <hyperlinks>
    <hyperlink ref="A3" r:id="rId1" display="Please see Appendix 5 for additional information about these tables: Appendix 5" xr:uid="{7C92891B-1A93-4E6D-A729-C3A4BE0E8108}"/>
  </hyperlinks>
  <pageMargins left="0.70866141732283472" right="0.70866141732283472" top="0.74803149606299213" bottom="0.74803149606299213" header="0.31496062992125984" footer="0.31496062992125984"/>
  <pageSetup paperSize="9" scale="72" fitToHeight="0" orientation="portrait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B53F7-A515-4CEE-8A78-7E9DE48B5DFC}">
  <sheetPr codeName="Sheet58">
    <tabColor theme="9" tint="0.39997558519241921"/>
    <pageSetUpPr fitToPage="1"/>
  </sheetPr>
  <dimension ref="A1:M55"/>
  <sheetViews>
    <sheetView showGridLines="0" workbookViewId="0"/>
  </sheetViews>
  <sheetFormatPr defaultColWidth="9" defaultRowHeight="15" customHeight="1" x14ac:dyDescent="0.35"/>
  <cols>
    <col min="1" max="1" width="27.73046875" style="2711" customWidth="1"/>
    <col min="2" max="2" width="18.86328125" style="2711" customWidth="1"/>
    <col min="3" max="3" width="16.86328125" style="2711" customWidth="1"/>
    <col min="4" max="4" width="14" style="2711" customWidth="1"/>
    <col min="5" max="5" width="11.59765625" style="2711" customWidth="1"/>
    <col min="6" max="6" width="11" style="2711" bestFit="1" customWidth="1"/>
    <col min="7" max="7" width="11" style="2711" customWidth="1"/>
    <col min="8" max="8" width="13.59765625" style="2711" customWidth="1"/>
    <col min="9" max="10" width="12" style="2711" customWidth="1"/>
    <col min="11" max="11" width="11.86328125" style="2711" customWidth="1"/>
    <col min="12" max="16" width="9" style="2711"/>
    <col min="17" max="17" width="14.86328125" style="2711" bestFit="1" customWidth="1"/>
    <col min="18" max="16384" width="9" style="2711"/>
  </cols>
  <sheetData>
    <row r="1" spans="1:13" ht="25.5" customHeight="1" x14ac:dyDescent="0.35">
      <c r="A1" s="636" t="s">
        <v>29807</v>
      </c>
      <c r="B1" s="636"/>
      <c r="C1" s="636"/>
      <c r="D1" s="636"/>
      <c r="E1" s="636"/>
      <c r="F1" s="2965"/>
      <c r="G1" s="2965"/>
      <c r="I1" s="2965"/>
      <c r="J1" s="2965"/>
    </row>
    <row r="2" spans="1:13" ht="19.5" customHeight="1" x14ac:dyDescent="0.35">
      <c r="A2" s="2864" t="str">
        <f>IF(PROVIDER="","Provider name",PROVIDER&amp;" ("&amp;UKPRN&amp;")")</f>
        <v>Provider name</v>
      </c>
      <c r="B2" s="636"/>
      <c r="C2" s="636"/>
      <c r="D2" s="636"/>
      <c r="E2" s="636"/>
      <c r="F2" s="2965"/>
      <c r="G2" s="2965"/>
      <c r="I2" s="2965"/>
      <c r="J2" s="2965"/>
    </row>
    <row r="3" spans="1:13" ht="23.25" customHeight="1" x14ac:dyDescent="0.35">
      <c r="A3" s="2981" t="s">
        <v>29777</v>
      </c>
    </row>
    <row r="4" spans="1:13" ht="27" customHeight="1" x14ac:dyDescent="0.5">
      <c r="A4" s="2958" t="s">
        <v>29771</v>
      </c>
      <c r="B4" s="2980"/>
      <c r="C4" s="2972"/>
      <c r="D4" s="2948"/>
      <c r="E4" s="2948"/>
      <c r="F4" s="2948"/>
    </row>
    <row r="5" spans="1:13" ht="22.5" customHeight="1" x14ac:dyDescent="0.35">
      <c r="A5" s="2941" t="s">
        <v>29606</v>
      </c>
      <c r="B5" s="2979"/>
      <c r="C5" s="2948"/>
      <c r="D5" s="2948"/>
      <c r="E5" s="2948"/>
      <c r="F5" s="2948"/>
    </row>
    <row r="6" spans="1:13" ht="18" customHeight="1" x14ac:dyDescent="0.35">
      <c r="A6" s="2956" t="s">
        <v>200</v>
      </c>
      <c r="B6" s="2955" t="s">
        <v>29602</v>
      </c>
      <c r="C6" s="2948"/>
      <c r="D6" s="2948"/>
      <c r="E6" s="2948"/>
      <c r="F6" s="2948"/>
    </row>
    <row r="7" spans="1:13" ht="16.5" customHeight="1" x14ac:dyDescent="0.35">
      <c r="A7" s="2978" t="s">
        <v>203</v>
      </c>
      <c r="B7" s="2953">
        <v>10000</v>
      </c>
      <c r="C7" s="2948"/>
      <c r="D7" s="2948"/>
      <c r="E7" s="2948"/>
      <c r="F7" s="2948"/>
    </row>
    <row r="8" spans="1:13" ht="16.5" customHeight="1" x14ac:dyDescent="0.35">
      <c r="A8" s="2977" t="s">
        <v>225</v>
      </c>
      <c r="B8" s="2951">
        <v>1500</v>
      </c>
      <c r="C8" s="2948"/>
      <c r="D8" s="2948"/>
      <c r="E8" s="2948"/>
      <c r="F8" s="2948"/>
    </row>
    <row r="9" spans="1:13" ht="16.5" customHeight="1" x14ac:dyDescent="0.35">
      <c r="A9" s="2977" t="s">
        <v>238</v>
      </c>
      <c r="B9" s="2951">
        <v>250</v>
      </c>
      <c r="C9" s="2948"/>
      <c r="D9" s="2948"/>
      <c r="E9" s="2948"/>
      <c r="F9" s="2948"/>
    </row>
    <row r="10" spans="1:13" ht="16.5" customHeight="1" x14ac:dyDescent="0.35">
      <c r="A10" s="2976" t="s">
        <v>251</v>
      </c>
      <c r="B10" s="3337">
        <v>130.53888000000001</v>
      </c>
      <c r="C10" s="2948"/>
      <c r="D10" s="2948"/>
      <c r="E10" s="2948"/>
      <c r="F10" s="2948"/>
    </row>
    <row r="11" spans="1:13" ht="16.5" customHeight="1" x14ac:dyDescent="0.4">
      <c r="A11" s="2975" t="s">
        <v>29605</v>
      </c>
      <c r="B11" s="3338">
        <v>1.1579999999999999</v>
      </c>
      <c r="C11" s="2948"/>
      <c r="D11" s="2948"/>
      <c r="E11" s="2948"/>
      <c r="F11" s="2948"/>
      <c r="M11" s="2964"/>
    </row>
    <row r="12" spans="1:13" ht="15" customHeight="1" x14ac:dyDescent="0.4">
      <c r="A12" s="2948"/>
      <c r="B12" s="2973"/>
      <c r="C12" s="2972"/>
      <c r="D12" s="2948"/>
      <c r="E12" s="2948"/>
      <c r="F12" s="2948"/>
      <c r="M12" s="2964"/>
    </row>
    <row r="13" spans="1:13" ht="21" customHeight="1" x14ac:dyDescent="0.5">
      <c r="A13" s="2958" t="s">
        <v>29772</v>
      </c>
      <c r="B13" s="2962"/>
      <c r="C13" s="2962"/>
      <c r="D13" s="2962"/>
      <c r="E13" s="2948"/>
      <c r="F13" s="2948"/>
      <c r="M13" s="2964"/>
    </row>
    <row r="14" spans="1:13" ht="18" customHeight="1" x14ac:dyDescent="0.4">
      <c r="A14" s="2955" t="s">
        <v>29602</v>
      </c>
      <c r="B14" s="2948"/>
      <c r="C14" s="2972"/>
      <c r="D14" s="2948"/>
      <c r="E14" s="2948"/>
      <c r="F14" s="2948"/>
      <c r="M14" s="2964"/>
    </row>
    <row r="15" spans="1:13" ht="16.5" customHeight="1" x14ac:dyDescent="0.4">
      <c r="A15" s="2974">
        <v>2315</v>
      </c>
      <c r="B15" s="2948"/>
      <c r="C15" s="2972"/>
      <c r="D15" s="2948"/>
      <c r="E15" s="2948"/>
      <c r="F15" s="2948"/>
      <c r="M15" s="2964"/>
    </row>
    <row r="16" spans="1:13" ht="15" customHeight="1" x14ac:dyDescent="0.4">
      <c r="A16" s="2948"/>
      <c r="B16" s="2973"/>
      <c r="C16" s="2972"/>
      <c r="D16" s="2948"/>
      <c r="E16" s="2948"/>
      <c r="F16" s="2948"/>
      <c r="J16" s="2965"/>
      <c r="M16" s="2964"/>
    </row>
    <row r="17" spans="1:13" ht="21" customHeight="1" x14ac:dyDescent="0.5">
      <c r="A17" s="2958" t="s">
        <v>29773</v>
      </c>
      <c r="B17" s="2962"/>
      <c r="C17" s="2962"/>
      <c r="D17" s="2962"/>
      <c r="E17" s="2948"/>
      <c r="F17" s="2948"/>
      <c r="M17" s="2964"/>
    </row>
    <row r="18" spans="1:13" ht="33.75" customHeight="1" x14ac:dyDescent="0.4">
      <c r="A18" s="2971" t="s">
        <v>29461</v>
      </c>
      <c r="B18" s="2970" t="s">
        <v>29604</v>
      </c>
      <c r="C18" s="2970" t="s">
        <v>29603</v>
      </c>
      <c r="D18" s="2529"/>
      <c r="E18" s="2969"/>
      <c r="F18" s="2948"/>
      <c r="M18" s="2964"/>
    </row>
    <row r="19" spans="1:13" ht="16.5" customHeight="1" x14ac:dyDescent="0.4">
      <c r="A19" s="2967" t="s">
        <v>27887</v>
      </c>
      <c r="B19" s="3339">
        <v>0</v>
      </c>
      <c r="C19" s="3339">
        <v>0</v>
      </c>
      <c r="D19" s="2529"/>
      <c r="E19" s="2968"/>
      <c r="F19" s="2948"/>
      <c r="M19" s="2964"/>
    </row>
    <row r="20" spans="1:13" ht="16.5" customHeight="1" x14ac:dyDescent="0.4">
      <c r="A20" s="2967" t="s">
        <v>27893</v>
      </c>
      <c r="B20" s="3339">
        <v>0</v>
      </c>
      <c r="C20" s="3339">
        <v>0</v>
      </c>
      <c r="D20" s="2529"/>
      <c r="E20" s="2966"/>
      <c r="F20" s="2948"/>
      <c r="J20" s="2965"/>
      <c r="M20" s="2964"/>
    </row>
    <row r="21" spans="1:13" ht="16.5" customHeight="1" x14ac:dyDescent="0.4">
      <c r="A21" s="2967" t="s">
        <v>27895</v>
      </c>
      <c r="B21" s="3339">
        <v>84.56</v>
      </c>
      <c r="C21" s="3339">
        <v>829.13</v>
      </c>
      <c r="D21" s="2529"/>
      <c r="E21" s="2966"/>
      <c r="F21" s="2948"/>
      <c r="M21" s="2964"/>
    </row>
    <row r="22" spans="1:13" ht="16.5" customHeight="1" x14ac:dyDescent="0.4">
      <c r="A22" s="2967" t="s">
        <v>27896</v>
      </c>
      <c r="B22" s="3339">
        <v>84.56</v>
      </c>
      <c r="C22" s="3339">
        <v>829.13</v>
      </c>
      <c r="D22" s="2529"/>
      <c r="E22" s="2966"/>
      <c r="F22" s="2948"/>
      <c r="M22" s="2964"/>
    </row>
    <row r="23" spans="1:13" ht="16.5" customHeight="1" x14ac:dyDescent="0.4">
      <c r="A23" s="2967" t="s">
        <v>27897</v>
      </c>
      <c r="B23" s="3339">
        <v>226.83</v>
      </c>
      <c r="C23" s="3339">
        <v>971.4</v>
      </c>
      <c r="D23" s="2529"/>
      <c r="E23" s="2966"/>
      <c r="F23" s="2948"/>
      <c r="M23" s="2964"/>
    </row>
    <row r="24" spans="1:13" ht="16.5" customHeight="1" x14ac:dyDescent="0.4">
      <c r="A24" s="2967" t="s">
        <v>27898</v>
      </c>
      <c r="B24" s="3339">
        <v>439.57</v>
      </c>
      <c r="C24" s="3339">
        <v>1184.1400000000001</v>
      </c>
      <c r="D24" s="2529"/>
      <c r="E24" s="2966"/>
      <c r="F24" s="2948"/>
      <c r="M24" s="2964"/>
    </row>
    <row r="25" spans="1:13" ht="16.5" customHeight="1" x14ac:dyDescent="0.4">
      <c r="A25" s="2967" t="s">
        <v>27899</v>
      </c>
      <c r="B25" s="3339">
        <v>439.57</v>
      </c>
      <c r="C25" s="3339">
        <v>1184.1400000000001</v>
      </c>
      <c r="D25" s="2529"/>
      <c r="E25" s="2966"/>
      <c r="F25" s="2948"/>
      <c r="M25" s="2964"/>
    </row>
    <row r="26" spans="1:13" ht="16.5" customHeight="1" x14ac:dyDescent="0.4">
      <c r="A26" s="2967" t="s">
        <v>27900</v>
      </c>
      <c r="B26" s="3339">
        <v>226.83</v>
      </c>
      <c r="C26" s="3339">
        <v>971.4</v>
      </c>
      <c r="D26" s="2529"/>
      <c r="E26" s="2966"/>
      <c r="F26" s="2948"/>
      <c r="M26" s="2964"/>
    </row>
    <row r="27" spans="1:13" ht="16.5" customHeight="1" x14ac:dyDescent="0.4">
      <c r="A27" s="2967" t="s">
        <v>27902</v>
      </c>
      <c r="B27" s="3339">
        <v>226.83</v>
      </c>
      <c r="C27" s="3339">
        <v>971.4</v>
      </c>
      <c r="D27" s="2529"/>
      <c r="E27" s="2966"/>
      <c r="F27" s="2948"/>
      <c r="M27" s="2964"/>
    </row>
    <row r="28" spans="1:13" ht="16.5" customHeight="1" x14ac:dyDescent="0.4">
      <c r="A28" s="2967" t="s">
        <v>27903</v>
      </c>
      <c r="B28" s="3339">
        <v>84.56</v>
      </c>
      <c r="C28" s="3339">
        <v>829.13</v>
      </c>
      <c r="D28" s="2529"/>
      <c r="E28" s="2966"/>
      <c r="F28" s="2948"/>
      <c r="M28" s="2964"/>
    </row>
    <row r="29" spans="1:13" ht="16.5" customHeight="1" x14ac:dyDescent="0.4">
      <c r="A29" s="2967" t="s">
        <v>27904</v>
      </c>
      <c r="B29" s="3339">
        <v>84.56</v>
      </c>
      <c r="C29" s="3339">
        <v>829.13</v>
      </c>
      <c r="D29" s="2529"/>
      <c r="E29" s="2966"/>
      <c r="F29" s="2948"/>
      <c r="M29" s="2964"/>
    </row>
    <row r="30" spans="1:13" ht="16.5" customHeight="1" x14ac:dyDescent="0.4">
      <c r="A30" s="2941" t="s">
        <v>27905</v>
      </c>
      <c r="B30" s="3339">
        <v>3807.4</v>
      </c>
      <c r="C30" s="3339">
        <v>4551.97</v>
      </c>
      <c r="D30" s="2529"/>
      <c r="E30" s="2966"/>
      <c r="F30" s="2948"/>
      <c r="M30" s="2964"/>
    </row>
    <row r="31" spans="1:13" ht="16.5" customHeight="1" x14ac:dyDescent="0.4">
      <c r="A31" s="2941" t="s">
        <v>27906</v>
      </c>
      <c r="B31" s="3339">
        <v>3807.4</v>
      </c>
      <c r="C31" s="3339">
        <v>4551.97</v>
      </c>
      <c r="D31" s="2529"/>
      <c r="E31" s="2966"/>
      <c r="F31" s="2948"/>
      <c r="M31" s="2964"/>
    </row>
    <row r="32" spans="1:13" ht="16.5" customHeight="1" x14ac:dyDescent="0.4">
      <c r="A32" s="2941" t="s">
        <v>27909</v>
      </c>
      <c r="B32" s="3339">
        <v>84.56</v>
      </c>
      <c r="C32" s="3339">
        <v>829.13</v>
      </c>
      <c r="D32" s="2529"/>
      <c r="E32" s="2966"/>
      <c r="F32" s="2948"/>
      <c r="M32" s="2964"/>
    </row>
    <row r="33" spans="1:13" ht="16.5" customHeight="1" x14ac:dyDescent="0.4">
      <c r="A33" s="2941" t="s">
        <v>27910</v>
      </c>
      <c r="B33" s="3339">
        <v>1360.96</v>
      </c>
      <c r="C33" s="3339">
        <v>2105.5300000000002</v>
      </c>
      <c r="D33" s="2529"/>
      <c r="E33" s="2966"/>
      <c r="F33" s="2948"/>
      <c r="M33" s="2964"/>
    </row>
    <row r="34" spans="1:13" ht="16.5" customHeight="1" x14ac:dyDescent="0.4">
      <c r="A34" s="2967" t="s">
        <v>27911</v>
      </c>
      <c r="B34" s="3339">
        <v>1360.96</v>
      </c>
      <c r="C34" s="3339">
        <v>2105.5300000000002</v>
      </c>
      <c r="D34" s="2529"/>
      <c r="E34" s="2966"/>
      <c r="F34" s="2948"/>
      <c r="J34" s="2965"/>
      <c r="M34" s="2964"/>
    </row>
    <row r="35" spans="1:13" ht="16.5" customHeight="1" x14ac:dyDescent="0.4">
      <c r="A35" s="2967" t="s">
        <v>27912</v>
      </c>
      <c r="B35" s="3339">
        <v>1360.96</v>
      </c>
      <c r="C35" s="3339">
        <v>2105.5300000000002</v>
      </c>
      <c r="D35" s="2529"/>
      <c r="E35" s="2966"/>
      <c r="F35" s="2948"/>
      <c r="J35" s="2965"/>
      <c r="M35" s="2964"/>
    </row>
    <row r="36" spans="1:13" ht="16.5" customHeight="1" x14ac:dyDescent="0.4">
      <c r="A36" s="2967" t="s">
        <v>27913</v>
      </c>
      <c r="B36" s="3339">
        <v>297.3</v>
      </c>
      <c r="C36" s="3339">
        <v>1041.8599999999999</v>
      </c>
      <c r="D36" s="2529"/>
      <c r="E36" s="2966"/>
      <c r="F36" s="2948"/>
      <c r="M36" s="2964"/>
    </row>
    <row r="37" spans="1:13" ht="15" customHeight="1" x14ac:dyDescent="0.4">
      <c r="A37" s="2529"/>
      <c r="B37" s="2529"/>
      <c r="C37" s="2529"/>
      <c r="D37" s="2529"/>
      <c r="E37" s="2966"/>
      <c r="F37" s="2948"/>
      <c r="M37" s="2964"/>
    </row>
    <row r="38" spans="1:13" ht="15" customHeight="1" x14ac:dyDescent="0.5">
      <c r="A38" s="2958" t="s">
        <v>29774</v>
      </c>
      <c r="B38" s="2957"/>
      <c r="C38" s="2957"/>
      <c r="D38" s="2949"/>
      <c r="E38" s="2949"/>
      <c r="F38" s="2949"/>
      <c r="J38" s="2965"/>
      <c r="M38" s="2964"/>
    </row>
    <row r="39" spans="1:13" ht="18" customHeight="1" x14ac:dyDescent="0.4">
      <c r="A39" s="2956" t="s">
        <v>200</v>
      </c>
      <c r="B39" s="2955" t="s">
        <v>29602</v>
      </c>
      <c r="C39" s="2948"/>
      <c r="D39" s="2949"/>
      <c r="E39" s="2949"/>
      <c r="F39" s="2949"/>
      <c r="G39" s="2947"/>
      <c r="H39" s="2947"/>
      <c r="I39" s="2947"/>
      <c r="J39" s="2947"/>
    </row>
    <row r="40" spans="1:13" ht="16.5" customHeight="1" x14ac:dyDescent="0.4">
      <c r="A40" s="3340" t="s">
        <v>29768</v>
      </c>
      <c r="B40" s="3341">
        <v>1213.25</v>
      </c>
      <c r="C40" s="2948"/>
      <c r="D40" s="2949"/>
      <c r="E40" s="2949"/>
      <c r="F40" s="2949"/>
      <c r="G40" s="2947"/>
      <c r="H40" s="2947"/>
      <c r="I40" s="2947"/>
    </row>
    <row r="41" spans="1:13" ht="15" customHeight="1" x14ac:dyDescent="0.4">
      <c r="A41" s="2948"/>
      <c r="B41" s="2963"/>
      <c r="C41" s="2950"/>
      <c r="D41" s="2949"/>
      <c r="E41" s="2949"/>
      <c r="F41" s="2949"/>
      <c r="G41" s="2947"/>
      <c r="H41" s="2947"/>
    </row>
    <row r="42" spans="1:13" ht="15" customHeight="1" x14ac:dyDescent="0.5">
      <c r="A42" s="2958" t="s">
        <v>29775</v>
      </c>
      <c r="B42" s="2962"/>
      <c r="C42" s="2962"/>
      <c r="D42" s="2949"/>
      <c r="E42" s="2949"/>
      <c r="F42" s="2949"/>
      <c r="G42" s="2947"/>
      <c r="H42" s="2947"/>
      <c r="I42" s="2947"/>
      <c r="J42" s="2961"/>
    </row>
    <row r="43" spans="1:13" ht="18" customHeight="1" x14ac:dyDescent="0.4">
      <c r="A43" s="2956" t="s">
        <v>200</v>
      </c>
      <c r="B43" s="2955" t="s">
        <v>29602</v>
      </c>
      <c r="C43" s="2950"/>
      <c r="D43" s="2949"/>
      <c r="E43" s="2949"/>
      <c r="F43" s="2949"/>
      <c r="G43" s="2947"/>
      <c r="H43" s="2947"/>
      <c r="I43" s="2947"/>
      <c r="J43" s="2947"/>
    </row>
    <row r="44" spans="1:13" ht="16.5" customHeight="1" x14ac:dyDescent="0.4">
      <c r="A44" s="2954" t="s">
        <v>225</v>
      </c>
      <c r="B44" s="3342">
        <v>1117.73</v>
      </c>
      <c r="C44" s="2950"/>
      <c r="D44" s="2949"/>
      <c r="E44" s="2949"/>
      <c r="F44" s="2949"/>
      <c r="G44" s="2947"/>
      <c r="H44" s="2947"/>
      <c r="I44" s="2947"/>
      <c r="J44" s="2947"/>
    </row>
    <row r="45" spans="1:13" ht="16.5" customHeight="1" x14ac:dyDescent="0.4">
      <c r="A45" s="2952" t="s">
        <v>238</v>
      </c>
      <c r="B45" s="3343">
        <v>854.74</v>
      </c>
      <c r="C45" s="2950"/>
      <c r="D45" s="2949"/>
      <c r="E45" s="2949"/>
      <c r="F45" s="2949"/>
      <c r="G45" s="2947"/>
      <c r="H45" s="2947"/>
      <c r="I45" s="2947"/>
      <c r="J45" s="2947"/>
    </row>
    <row r="46" spans="1:13" ht="15" customHeight="1" x14ac:dyDescent="0.4">
      <c r="A46" s="2960"/>
      <c r="B46" s="2959"/>
      <c r="C46" s="2950"/>
      <c r="D46" s="2949"/>
      <c r="E46" s="2949"/>
      <c r="F46" s="2949"/>
      <c r="G46" s="2947"/>
      <c r="H46" s="2947"/>
      <c r="I46" s="2947"/>
      <c r="J46" s="2947"/>
    </row>
    <row r="47" spans="1:13" ht="15" customHeight="1" x14ac:dyDescent="0.5">
      <c r="A47" s="2958" t="s">
        <v>29776</v>
      </c>
      <c r="B47" s="2957"/>
      <c r="C47" s="2957"/>
      <c r="D47" s="2957"/>
      <c r="E47" s="2949"/>
      <c r="F47" s="2949"/>
      <c r="G47" s="2947"/>
      <c r="H47" s="2947"/>
      <c r="I47" s="2947"/>
      <c r="J47" s="2947"/>
    </row>
    <row r="48" spans="1:13" ht="18" customHeight="1" x14ac:dyDescent="0.4">
      <c r="A48" s="2956" t="s">
        <v>200</v>
      </c>
      <c r="B48" s="2955" t="s">
        <v>29602</v>
      </c>
      <c r="C48" s="2950"/>
      <c r="D48" s="2949"/>
      <c r="E48" s="2949"/>
      <c r="F48" s="2949"/>
      <c r="G48" s="2947"/>
      <c r="H48" s="2947"/>
      <c r="I48" s="2947"/>
      <c r="J48" s="2947"/>
    </row>
    <row r="49" spans="1:10" ht="16.5" customHeight="1" x14ac:dyDescent="0.4">
      <c r="A49" s="2954" t="s">
        <v>225</v>
      </c>
      <c r="B49" s="2953">
        <v>1149.77</v>
      </c>
      <c r="C49" s="2950"/>
      <c r="D49" s="2949"/>
      <c r="E49" s="2949"/>
      <c r="F49" s="2949"/>
      <c r="G49" s="2947"/>
      <c r="H49" s="2947"/>
      <c r="I49" s="2947"/>
      <c r="J49" s="2947"/>
    </row>
    <row r="50" spans="1:10" ht="16.5" customHeight="1" x14ac:dyDescent="0.4">
      <c r="A50" s="2952" t="s">
        <v>29601</v>
      </c>
      <c r="B50" s="2951">
        <v>879.24</v>
      </c>
      <c r="C50" s="2950"/>
      <c r="D50" s="2949"/>
      <c r="E50" s="2949"/>
      <c r="F50" s="2949"/>
      <c r="G50" s="2947"/>
      <c r="H50" s="2947"/>
      <c r="I50" s="2947"/>
      <c r="J50" s="2947"/>
    </row>
    <row r="51" spans="1:10" ht="15" customHeight="1" x14ac:dyDescent="0.4">
      <c r="A51" s="2952" t="s">
        <v>277</v>
      </c>
      <c r="B51" s="3343">
        <v>676.34</v>
      </c>
      <c r="C51" s="2529"/>
      <c r="D51" s="2529"/>
      <c r="E51" s="2529"/>
      <c r="F51" s="2947"/>
      <c r="G51" s="2947"/>
      <c r="H51" s="2947"/>
      <c r="I51" s="2947"/>
      <c r="J51" s="2947"/>
    </row>
    <row r="52" spans="1:10" ht="15" customHeight="1" x14ac:dyDescent="0.35">
      <c r="A52" s="2529"/>
      <c r="B52" s="2529"/>
      <c r="C52" s="2529"/>
      <c r="D52" s="2529"/>
      <c r="E52" s="2529"/>
    </row>
    <row r="53" spans="1:10" ht="15" customHeight="1" x14ac:dyDescent="0.35">
      <c r="A53" s="637" t="s">
        <v>29769</v>
      </c>
      <c r="B53" s="2529"/>
      <c r="C53" s="2529"/>
      <c r="D53" s="2529"/>
      <c r="E53" s="2529"/>
    </row>
    <row r="54" spans="1:10" ht="15" customHeight="1" x14ac:dyDescent="0.35">
      <c r="A54" s="3344" t="s">
        <v>29602</v>
      </c>
      <c r="B54" s="2529"/>
    </row>
    <row r="55" spans="1:10" ht="15" customHeight="1" x14ac:dyDescent="0.35">
      <c r="A55" s="3345" t="s">
        <v>29770</v>
      </c>
    </row>
  </sheetData>
  <sheetProtection algorithmName="SHA-512" hashValue="jokLBm1y0mjFV9kuI5GBZpAGSUQL8buTnwMLA0UevcUuDoLdbMR7Wd1YSL3BeuAcWJY4JhpL5wcSEVEyb43qMA==" saltValue="NZqPThHAV77TcneXk+ICKw==" spinCount="100000" sheet="1" objects="1" scenarios="1"/>
  <hyperlinks>
    <hyperlink ref="A4" location="'B High-cost'!A1" display="High-cost subject funding" xr:uid="{1A2F8F1E-7298-4EF0-90AE-B86ADAF74F6E}"/>
    <hyperlink ref="A13" location="'D Erasmus+'!A1" display="Erasmus+ and overseas study programmes" xr:uid="{10AEB869-CC2F-4B1C-B63C-348BE8191F93}"/>
    <hyperlink ref="A17" location="'E Health supplement'!A1" display="Nursing and allied health supplement" xr:uid="{8DA4BD85-A96E-419E-B425-20FB5E16E089}"/>
    <hyperlink ref="A38" location="PGTS_TA" display="Postgraduate taught supplement" xr:uid="{D34B36CA-014A-4382-BF22-4D1DAE5637C5}"/>
    <hyperlink ref="A42" location="INT_TA" display="Intensive postgraduate provision" xr:uid="{F4AFD2D5-2123-47F3-9BFA-2348829600F9}"/>
    <hyperlink ref="A47" location="ACCL_TA" display="Accelerated full-time undergraduate provision" xr:uid="{C08948CF-3C58-40FD-A2C3-541E679C3474}"/>
    <hyperlink ref="A4:B4" location="B_High_cost!A1" display="High-cost subject funding" xr:uid="{2C14B636-2B64-460D-A828-F863FE45C7A8}"/>
    <hyperlink ref="A13:C13" location="ERAS_TA" display="Erasmus+ and overseas study programmes" xr:uid="{1EF60674-D7C0-40D0-A983-6482BC2E6BD2}"/>
    <hyperlink ref="A17:D17" location="C_NMAH_supplement!A1" display="Nursing, midwifery and allied health supplement" xr:uid="{DF733CB7-2CC1-4441-9E72-81342095FEAF}"/>
    <hyperlink ref="A13:D13" location="D_Overseas!A1" display="Overseas study programmes" xr:uid="{8B108BF7-83DD-49DB-AFE5-8DA4118419DB}"/>
    <hyperlink ref="A38:C38" location="E_Other_high_cost_TAs!A1" display="Postgraduate taught supplement" xr:uid="{A8B4869D-0663-4B5E-92C2-49ABF6C22C3A}"/>
    <hyperlink ref="A42:C42" location="E_Other_high_cost_TAs!A1" display="Intensive postgraduate provision" xr:uid="{E3A6A8CC-92B9-4039-900B-C4069DA4BE28}"/>
    <hyperlink ref="A47:D47" location="E_Other_high_cost_TAs!A1" display="Accelerated full-time undergraduate provision" xr:uid="{BA90CA27-1478-42AA-A3F5-A30E5FC02597}"/>
    <hyperlink ref="A53" location="G_Level_4_and_5_provision!A1" display="Table H7: Level 4 and 5 provision parameters" xr:uid="{428D67C4-441D-45D6-B865-D29ACDDFB418}"/>
  </hyperlinks>
  <pageMargins left="0.70866141732283472" right="0.70866141732283472" top="0.74803149606299213" bottom="0.74803149606299213" header="0.31496062992125984" footer="0.31496062992125984"/>
  <pageSetup paperSize="9" scale="82" orientation="portrait" r:id="rId1"/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2392-F9A5-442A-A8DF-A9E446ADDA28}">
  <sheetPr codeName="Sheet57">
    <pageSetUpPr fitToPage="1"/>
  </sheetPr>
  <dimension ref="A1:B36"/>
  <sheetViews>
    <sheetView showGridLines="0" workbookViewId="0"/>
  </sheetViews>
  <sheetFormatPr defaultColWidth="9" defaultRowHeight="12.75" x14ac:dyDescent="0.35"/>
  <cols>
    <col min="1" max="1" width="110.73046875" style="658" customWidth="1"/>
    <col min="2" max="16384" width="9" style="658"/>
  </cols>
  <sheetData>
    <row r="1" spans="1:2" s="659" customFormat="1" ht="25.15" x14ac:dyDescent="0.35">
      <c r="A1" s="1392" t="s">
        <v>29783</v>
      </c>
    </row>
    <row r="2" spans="1:2" s="637" customFormat="1" ht="25.5" customHeight="1" x14ac:dyDescent="0.35">
      <c r="A2" s="1391" t="str">
        <f>IF(PROVIDER="","Provider name",PROVIDER&amp;" ("&amp;UKPRN&amp;")")</f>
        <v>Provider name</v>
      </c>
    </row>
    <row r="3" spans="1:2" s="1315" customFormat="1" ht="14.25" customHeight="1" x14ac:dyDescent="0.35">
      <c r="A3" s="1314" t="s">
        <v>45</v>
      </c>
    </row>
    <row r="4" spans="1:2" ht="14.45" customHeight="1" x14ac:dyDescent="0.35">
      <c r="A4" s="661" t="s">
        <v>46</v>
      </c>
    </row>
    <row r="5" spans="1:2" ht="14.45" customHeight="1" x14ac:dyDescent="0.35">
      <c r="A5" s="661" t="s">
        <v>29192</v>
      </c>
    </row>
    <row r="6" spans="1:2" ht="14.45" customHeight="1" x14ac:dyDescent="0.35">
      <c r="A6" s="1575" t="s">
        <v>27966</v>
      </c>
    </row>
    <row r="7" spans="1:2" ht="14.25" customHeight="1" x14ac:dyDescent="0.35">
      <c r="A7" s="1575" t="s">
        <v>27985</v>
      </c>
    </row>
    <row r="8" spans="1:2" ht="20.45" customHeight="1" x14ac:dyDescent="0.35">
      <c r="A8" s="1254"/>
    </row>
    <row r="9" spans="1:2" s="660" customFormat="1" ht="31.9" customHeight="1" x14ac:dyDescent="0.35">
      <c r="A9" s="1255" t="s">
        <v>47</v>
      </c>
      <c r="B9" s="662"/>
    </row>
    <row r="10" spans="1:2" s="664" customFormat="1" ht="21.95" customHeight="1" x14ac:dyDescent="0.35">
      <c r="A10" s="1253" t="str">
        <f>"Courses table: Countable years of engagement between 1 August 20"&amp;YEAR&amp;" and census date at course level"</f>
        <v>Courses table: Countable years of engagement between 1 August 2024 and census date at course level</v>
      </c>
      <c r="B10" s="662"/>
    </row>
    <row r="11" spans="1:2" s="664" customFormat="1" ht="21.95" customHeight="1" x14ac:dyDescent="0.35">
      <c r="A11" s="1253" t="s">
        <v>28255</v>
      </c>
      <c r="B11" s="662"/>
    </row>
    <row r="12" spans="1:2" s="664" customFormat="1" ht="21.95" customHeight="1" x14ac:dyDescent="0.35">
      <c r="A12" s="1253" t="s">
        <v>28256</v>
      </c>
      <c r="B12" s="662"/>
    </row>
    <row r="13" spans="1:2" s="664" customFormat="1" ht="21.95" customHeight="1" x14ac:dyDescent="0.35">
      <c r="A13" s="1253" t="s">
        <v>28339</v>
      </c>
      <c r="B13" s="662"/>
    </row>
    <row r="14" spans="1:2" s="664" customFormat="1" ht="21.95" customHeight="1" x14ac:dyDescent="0.35">
      <c r="A14" s="1253" t="s">
        <v>28257</v>
      </c>
      <c r="B14" s="662"/>
    </row>
    <row r="15" spans="1:2" s="664" customFormat="1" ht="21.95" customHeight="1" x14ac:dyDescent="0.35">
      <c r="A15" s="1253" t="s">
        <v>48</v>
      </c>
      <c r="B15" s="662"/>
    </row>
    <row r="16" spans="1:2" s="664" customFormat="1" ht="21.95" customHeight="1" x14ac:dyDescent="0.35">
      <c r="A16" s="1253" t="s">
        <v>28258</v>
      </c>
      <c r="B16" s="662"/>
    </row>
    <row r="17" spans="1:2" s="664" customFormat="1" ht="21.95" customHeight="1" x14ac:dyDescent="0.35">
      <c r="A17" s="1253" t="s">
        <v>28341</v>
      </c>
      <c r="B17" s="662"/>
    </row>
    <row r="18" spans="1:2" s="660" customFormat="1" ht="31.9" customHeight="1" x14ac:dyDescent="0.35">
      <c r="A18" s="657" t="s">
        <v>49</v>
      </c>
      <c r="B18" s="663"/>
    </row>
    <row r="19" spans="1:2" s="664" customFormat="1" ht="21.95" customHeight="1" x14ac:dyDescent="0.35">
      <c r="A19" s="1253" t="s">
        <v>50</v>
      </c>
      <c r="B19" s="663"/>
    </row>
    <row r="20" spans="1:2" s="664" customFormat="1" ht="21.95" customHeight="1" x14ac:dyDescent="0.35">
      <c r="A20" s="1253" t="s">
        <v>28333</v>
      </c>
      <c r="B20" s="663"/>
    </row>
    <row r="21" spans="1:2" s="664" customFormat="1" ht="21.95" customHeight="1" x14ac:dyDescent="0.35">
      <c r="A21" s="2984" t="s">
        <v>28334</v>
      </c>
      <c r="B21" s="663"/>
    </row>
    <row r="22" spans="1:2" s="664" customFormat="1" ht="21.75" customHeight="1" x14ac:dyDescent="0.35">
      <c r="A22" s="2985" t="s">
        <v>28335</v>
      </c>
      <c r="B22" s="663"/>
    </row>
    <row r="23" spans="1:2" s="660" customFormat="1" ht="31.5" customHeight="1" x14ac:dyDescent="0.35">
      <c r="A23" s="657" t="s">
        <v>29702</v>
      </c>
      <c r="B23" s="2987"/>
    </row>
    <row r="24" spans="1:2" ht="21.75" customHeight="1" x14ac:dyDescent="0.35">
      <c r="A24" s="2986" t="s">
        <v>29680</v>
      </c>
      <c r="B24" s="2987"/>
    </row>
    <row r="25" spans="1:2" ht="21.75" customHeight="1" x14ac:dyDescent="0.35">
      <c r="A25" s="2986" t="s">
        <v>29673</v>
      </c>
      <c r="B25" s="2987"/>
    </row>
    <row r="26" spans="1:2" ht="21.75" customHeight="1" x14ac:dyDescent="0.35">
      <c r="A26" s="2986" t="s">
        <v>29674</v>
      </c>
      <c r="B26" s="2987"/>
    </row>
    <row r="27" spans="1:2" ht="21.75" customHeight="1" x14ac:dyDescent="0.35">
      <c r="A27" s="2986" t="s">
        <v>29675</v>
      </c>
      <c r="B27" s="2987"/>
    </row>
    <row r="28" spans="1:2" ht="21.75" customHeight="1" x14ac:dyDescent="0.35">
      <c r="A28" s="2986" t="s">
        <v>29681</v>
      </c>
      <c r="B28" s="2987"/>
    </row>
    <row r="29" spans="1:2" ht="31.5" customHeight="1" x14ac:dyDescent="0.35">
      <c r="A29" s="657" t="s">
        <v>29613</v>
      </c>
      <c r="B29" s="2983"/>
    </row>
    <row r="30" spans="1:2" ht="21.75" customHeight="1" x14ac:dyDescent="0.35">
      <c r="A30" s="2986" t="s">
        <v>29607</v>
      </c>
      <c r="B30" s="2983"/>
    </row>
    <row r="31" spans="1:2" ht="21.75" customHeight="1" x14ac:dyDescent="0.35">
      <c r="A31" s="2986" t="s">
        <v>29608</v>
      </c>
      <c r="B31" s="2983"/>
    </row>
    <row r="32" spans="1:2" ht="21.75" customHeight="1" x14ac:dyDescent="0.35">
      <c r="A32" s="2986" t="s">
        <v>29609</v>
      </c>
      <c r="B32" s="2983"/>
    </row>
    <row r="33" spans="1:2" ht="21.75" customHeight="1" x14ac:dyDescent="0.35">
      <c r="A33" s="2986" t="s">
        <v>29610</v>
      </c>
      <c r="B33" s="2983"/>
    </row>
    <row r="34" spans="1:2" ht="21.75" customHeight="1" x14ac:dyDescent="0.35">
      <c r="A34" s="2986" t="s">
        <v>29611</v>
      </c>
      <c r="B34" s="2983"/>
    </row>
    <row r="35" spans="1:2" ht="21.75" customHeight="1" x14ac:dyDescent="0.35">
      <c r="A35" s="2986" t="s">
        <v>29612</v>
      </c>
      <c r="B35" s="2983"/>
    </row>
    <row r="36" spans="1:2" ht="21.75" customHeight="1" x14ac:dyDescent="0.35">
      <c r="A36" s="2986" t="s">
        <v>29778</v>
      </c>
      <c r="B36" s="2983"/>
    </row>
  </sheetData>
  <sheetProtection algorithmName="SHA-512" hashValue="SPUtitOyOBI5FA+Znsmwx03ZDNGfCRWRtCht+nVY/zwg0nO4vToG4QrLrUUvpEbM6KXChleDvGhPp7Pc5O9iGA==" saltValue="wvNl3d4f/9rIlw18GJf/kQ==" spinCount="100000" sheet="1" objects="1" scenarios="1"/>
  <hyperlinks>
    <hyperlink ref="A10" location="Courses!A1" display="Courses table: Countable years of instance between 1 August 2022 and census date at course level" xr:uid="{D3DE8775-D99B-4E51-A3E2-1554A396DA47}"/>
    <hyperlink ref="A11" location="'1_Full_time'!A1" display="Table 1: Full-time counts of years of instance" xr:uid="{217B93F6-5EF7-4318-9616-721AEC61281E}"/>
    <hyperlink ref="A12" location="'2_Sandwich'!A1" display="Table 2: Sandwich year out counts of years of instance" xr:uid="{8C59B8C0-0306-4CC3-9756-CD516373938D}"/>
    <hyperlink ref="A13" location="'3_Part_time'!A1" display="Table 3: Part-time counts of years of instance and FTE" xr:uid="{377516A8-599B-4B2C-9B91-293E4F09D4BD}"/>
    <hyperlink ref="A14" location="'4_Year_abroad'!A1" display="Table 4: Home-fee undegraduate years of instance abroad" xr:uid="{09EC3205-A7DF-47E6-89FA-60BFD49A7354}"/>
    <hyperlink ref="A15" location="'5_Planning'!A1" display="Table 5: Further student analysis for planning purposes" xr:uid="{26B11E83-BDAD-4530-8CCC-B637A0086C8B}"/>
    <hyperlink ref="A16" location="'6a_Health_full_time'!A1" display="Table 6a: Full-time counts of years of instance for home fee students on pre-registration health courses" xr:uid="{FEAF8DFD-6DA4-49EF-B927-68F329000399}"/>
    <hyperlink ref="A17" location="'6c_Health_part_time'!A1" display="Table 6c: Part-time counts of years of instance and FTE for home fee students on pre-registration health courses" xr:uid="{66DF531F-4DED-4408-AB1F-4201BEF33CB0}"/>
    <hyperlink ref="A19" location="Comparison_1!A1" display="Comparison 1" xr:uid="{5C00F44E-259F-41E8-AD88-CBACFC557680}"/>
    <hyperlink ref="A20" location="Comparison_2!A1" display="Comparison 2" xr:uid="{4BBDF4C5-7FE7-4F73-B801-695C866AA811}"/>
    <hyperlink ref="A21" location="Comparison_3!A1" display="Comparison 3" xr:uid="{2610209C-4441-4087-A269-E0B8B3499ABA}"/>
    <hyperlink ref="A22" location="Other_comparisons!A1" display="Other comparisons" xr:uid="{AC1039E9-2602-40AF-A099-42A1E9FEDFF4}"/>
    <hyperlink ref="A24" location="'1_Full_time'!A1" display="Table 1: Calculation of estimated completed full-time years" xr:uid="{020A83A2-0A0C-4F1F-9166-64E4E5A4BC98}"/>
    <hyperlink ref="A25" location="'2_Sandwich'!A1" display="Table 2: Sandwich year out counts of years of engagement" xr:uid="{5929AD7A-4727-4AE5-8809-9196D1AE0244}"/>
    <hyperlink ref="A26" location="'3_Part_time'!A1" display="Table 3: Part-time counts of years of engagement" xr:uid="{8DD33CAF-11BD-4177-AE4A-ED0044EE4EE4}"/>
    <hyperlink ref="A27" location="'6a_Health_full_time'!A1" display="Table 6a: Full-time counts of years of engagement for home fee students on pre-registration health courses" xr:uid="{F82482C2-FE9E-486A-B3D1-A065439B7243}"/>
    <hyperlink ref="A28" location="'6c_Health_part_time'!A1" display="Table 6c: Part-time counts of years of engagement for home fee students on pre-registration health courses" xr:uid="{4D3A2BC2-ADEA-4C77-B1AF-57E2506A56A1}"/>
    <hyperlink ref="A30" location="A_Summary!A1" display="Table A: Summary of Allocation" xr:uid="{8116E4AC-CEB2-4F29-A507-3E46B031432A}"/>
    <hyperlink ref="A31" location="B_High_cost!A1" display="Table B: High-cost subject funding" xr:uid="{0FC34791-2ED2-4A36-A204-B91CE94AB3D8}"/>
    <hyperlink ref="A32" location="C_NMAH_supplement!A1" display="Table C: Nursing, midwifery and allied health supplement" xr:uid="{CC963C25-B620-4F61-A8A0-E1AD369313B7}"/>
    <hyperlink ref="A33" location="D_Overseas!A1" display="Table D: Overseas study programmes" xr:uid="{4234AF3B-EFCB-4061-BCF2-6D34F972A37F}"/>
    <hyperlink ref="A34" location="E_Other_high_cost_TAs!A1" display="Table E: Other high-cost targeted allocations" xr:uid="{5AC86E32-0AD8-4E9D-80CD-484704A72973}"/>
    <hyperlink ref="A35:A36" location="'6c_Health_part_time'!A1" display="Table 6c: Part-time counts of years of engagement for home fee students on pre-registration health courses" xr:uid="{72A036C3-A63C-4296-A124-DD0489EAD330}"/>
    <hyperlink ref="A35" location="F_Student_access_and_success!A1" display="Table F: Student access and success" xr:uid="{DE47177C-CD46-4148-A095-96CE2B712B12}"/>
    <hyperlink ref="A36" location="H_Parameters!A1" display="Table H: 2024-25 Parameters used in the indicative funding models" xr:uid="{D6F6B36F-F4EC-41F3-8303-021D119E4695}"/>
  </hyperlinks>
  <pageMargins left="0.70866141732283472" right="0.70866141732283472" top="0.74803149606299213" bottom="0.74803149606299213" header="0.31496062992125984" footer="0.31496062992125984"/>
  <pageSetup paperSize="8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92D050"/>
    <pageSetUpPr fitToPage="1"/>
  </sheetPr>
  <dimension ref="A1:AY215"/>
  <sheetViews>
    <sheetView showGridLines="0" workbookViewId="0"/>
  </sheetViews>
  <sheetFormatPr defaultColWidth="9" defaultRowHeight="13.5" x14ac:dyDescent="0.35"/>
  <cols>
    <col min="1" max="1" width="8.1328125" style="346" customWidth="1"/>
    <col min="2" max="2" width="12" style="346" customWidth="1"/>
    <col min="3" max="3" width="11" style="346" hidden="1" customWidth="1"/>
    <col min="4" max="4" width="73.86328125" style="346" customWidth="1"/>
    <col min="5" max="5" width="8" style="346" customWidth="1"/>
    <col min="6" max="6" width="10.1328125" style="346" customWidth="1"/>
    <col min="7" max="7" width="8" style="346" customWidth="1"/>
    <col min="8" max="8" width="10.1328125" style="346" customWidth="1"/>
    <col min="9" max="9" width="7.86328125" style="346" customWidth="1"/>
    <col min="10" max="10" width="10" style="346" customWidth="1"/>
    <col min="11" max="11" width="18.73046875" style="346" customWidth="1"/>
    <col min="12" max="12" width="9" style="631" customWidth="1"/>
    <col min="13" max="27" width="9.59765625" style="346" customWidth="1"/>
    <col min="28" max="28" width="38.3984375" style="670" customWidth="1"/>
    <col min="29" max="29" width="5" style="346" customWidth="1"/>
    <col min="30" max="30" width="22.265625" style="346" hidden="1" customWidth="1"/>
    <col min="31" max="31" width="10" style="346" hidden="1" customWidth="1"/>
    <col min="32" max="32" width="5.59765625" style="346" customWidth="1"/>
    <col min="33" max="34" width="9" style="346" customWidth="1"/>
    <col min="35" max="16384" width="9" style="346"/>
  </cols>
  <sheetData>
    <row r="1" spans="1:51" s="136" customFormat="1" ht="25.15" x14ac:dyDescent="0.4">
      <c r="A1" s="636" t="s">
        <v>29784</v>
      </c>
      <c r="J1" s="135"/>
      <c r="L1" s="1516"/>
      <c r="AB1" s="196"/>
      <c r="AD1" s="291"/>
      <c r="AE1" s="347"/>
      <c r="AY1" s="166">
        <v>1</v>
      </c>
    </row>
    <row r="2" spans="1:51" s="136" customFormat="1" ht="25.5" customHeight="1" x14ac:dyDescent="0.4">
      <c r="A2" s="1385" t="str">
        <f>IF(PROVIDER="","Provider name",PROVIDER&amp;" ("&amp;UKPRN&amp;")")</f>
        <v>Provider name</v>
      </c>
      <c r="J2" s="135"/>
      <c r="L2" s="1516"/>
      <c r="AB2" s="196"/>
      <c r="AD2" s="291"/>
      <c r="AE2" s="347"/>
      <c r="AY2" s="166"/>
    </row>
    <row r="3" spans="1:51" s="1475" customFormat="1" ht="14.25" customHeight="1" x14ac:dyDescent="0.35">
      <c r="A3" s="1275" t="s">
        <v>290</v>
      </c>
      <c r="J3" s="1498"/>
      <c r="L3" s="1569"/>
      <c r="AB3" s="1478"/>
      <c r="AD3" s="1499"/>
      <c r="AE3" s="1476"/>
      <c r="AY3" s="1500"/>
    </row>
    <row r="4" spans="1:51" s="1275" customFormat="1" ht="16.5" customHeight="1" x14ac:dyDescent="0.35">
      <c r="A4" s="1501" t="s">
        <v>291</v>
      </c>
      <c r="C4" s="1502"/>
      <c r="D4" s="1502"/>
      <c r="E4" s="1502"/>
      <c r="F4" s="1502"/>
      <c r="L4" s="1274"/>
      <c r="AB4" s="1477"/>
    </row>
    <row r="5" spans="1:51" ht="27" customHeight="1" x14ac:dyDescent="0.35">
      <c r="A5" s="3391" t="str">
        <f>'Courses Valid'!F3</f>
        <v>Validation: OK</v>
      </c>
      <c r="B5" s="3391"/>
      <c r="C5" s="3391"/>
      <c r="D5" s="3391"/>
      <c r="E5" s="3391" t="str">
        <f>'Courses Valid'!N3</f>
        <v>Validation: OK</v>
      </c>
      <c r="F5" s="3391"/>
      <c r="G5" s="3391"/>
      <c r="H5" s="3391"/>
      <c r="I5" s="3391"/>
      <c r="J5" s="3391"/>
      <c r="K5" s="3390" t="str">
        <f>'Courses Valid'!T3</f>
        <v>Validation: OK</v>
      </c>
      <c r="L5" s="3390"/>
      <c r="M5" s="3390" t="str">
        <f>'Courses Valid'!W3</f>
        <v>Validation: OK</v>
      </c>
      <c r="N5" s="3390"/>
      <c r="O5" s="3390"/>
      <c r="P5" s="3390"/>
      <c r="Q5" s="3390"/>
      <c r="R5" s="3390" t="str">
        <f>'Courses Valid'!AB3</f>
        <v>Validation: OK</v>
      </c>
      <c r="S5" s="3390"/>
      <c r="T5" s="3390"/>
      <c r="U5" s="3390"/>
      <c r="V5" s="3390"/>
      <c r="W5" s="3390" t="str">
        <f>'Courses Valid'!AG3</f>
        <v>Validation: OK</v>
      </c>
      <c r="X5" s="3390"/>
      <c r="Y5" s="3390"/>
      <c r="Z5" s="3390"/>
      <c r="AA5" s="3390"/>
      <c r="AB5" s="671" t="str">
        <f>'Courses Valid'!AJ3</f>
        <v>Validation: OK</v>
      </c>
      <c r="AF5" s="74"/>
    </row>
    <row r="6" spans="1:51" ht="27" customHeight="1" thickBot="1" x14ac:dyDescent="0.4">
      <c r="A6" s="3392" t="str">
        <f>'Courses Valid'!F4</f>
        <v>Credibility: OK</v>
      </c>
      <c r="B6" s="3392"/>
      <c r="C6" s="3392"/>
      <c r="D6" s="3392"/>
      <c r="E6" s="3391" t="str">
        <f>'Courses Valid'!N4</f>
        <v>Credibility: OK</v>
      </c>
      <c r="F6" s="3391"/>
      <c r="G6" s="3391"/>
      <c r="H6" s="3391"/>
      <c r="I6" s="3391"/>
      <c r="J6" s="3391"/>
      <c r="K6" s="3390" t="str">
        <f>'Courses Valid'!T4</f>
        <v>Credibility: OK</v>
      </c>
      <c r="L6" s="3390"/>
      <c r="M6" s="3391" t="str">
        <f>'Courses Valid'!W4</f>
        <v>Credibility: OK</v>
      </c>
      <c r="N6" s="3391"/>
      <c r="O6" s="3391"/>
      <c r="P6" s="3391"/>
      <c r="Q6" s="3391"/>
      <c r="R6" s="3391" t="str">
        <f>'Courses Valid'!AB4</f>
        <v>Credibility: OK</v>
      </c>
      <c r="S6" s="3391"/>
      <c r="T6" s="3391"/>
      <c r="U6" s="3391"/>
      <c r="V6" s="3391"/>
      <c r="W6" s="3391" t="str">
        <f>'Courses Valid'!AG4</f>
        <v>Credibility: OK</v>
      </c>
      <c r="X6" s="3391"/>
      <c r="Y6" s="3391"/>
      <c r="Z6" s="3391"/>
      <c r="AA6" s="3391"/>
      <c r="AB6" s="671" t="str">
        <f>'Courses Valid'!AJ4</f>
        <v>Credibility: OK</v>
      </c>
    </row>
    <row r="7" spans="1:51" ht="13.9" x14ac:dyDescent="0.4">
      <c r="A7" s="672"/>
      <c r="B7" s="673"/>
      <c r="C7" s="673"/>
      <c r="D7" s="672"/>
      <c r="E7" s="674"/>
      <c r="F7" s="672"/>
      <c r="G7" s="674"/>
      <c r="H7" s="672"/>
      <c r="I7" s="674"/>
      <c r="J7" s="672"/>
      <c r="K7" s="674"/>
      <c r="L7" s="1570"/>
      <c r="M7" s="675" t="s">
        <v>189</v>
      </c>
      <c r="N7" s="676"/>
      <c r="O7" s="677"/>
      <c r="P7" s="677"/>
      <c r="Q7" s="677"/>
      <c r="R7" s="675" t="s">
        <v>190</v>
      </c>
      <c r="S7" s="676"/>
      <c r="T7" s="677"/>
      <c r="U7" s="677"/>
      <c r="V7" s="677"/>
      <c r="W7" s="675" t="s">
        <v>191</v>
      </c>
      <c r="X7" s="676"/>
      <c r="Y7" s="677"/>
      <c r="Z7" s="677"/>
      <c r="AA7" s="677"/>
      <c r="AB7" s="3375" t="s">
        <v>292</v>
      </c>
      <c r="AC7" s="74"/>
      <c r="AD7" s="74"/>
      <c r="AE7" s="74"/>
    </row>
    <row r="8" spans="1:51" s="679" customFormat="1" ht="34.5" customHeight="1" x14ac:dyDescent="0.35">
      <c r="A8" s="678"/>
      <c r="D8" s="678"/>
      <c r="E8" s="1582"/>
      <c r="F8" s="678"/>
      <c r="G8" s="1582"/>
      <c r="H8" s="678"/>
      <c r="I8" s="1582"/>
      <c r="J8" s="678"/>
      <c r="K8" s="1582"/>
      <c r="L8" s="1571"/>
      <c r="M8" s="3376" t="str">
        <f>"Years countable between 1 August 20"&amp;YEAR&amp;" and census date inclusive"</f>
        <v>Years countable between 1 August 2024 and census date inclusive</v>
      </c>
      <c r="N8" s="3386"/>
      <c r="O8" s="3386"/>
      <c r="P8" s="3386"/>
      <c r="Q8" s="3387"/>
      <c r="R8" s="3376" t="str">
        <f>"Years countable between 1 August 20"&amp;YEAR&amp;" and census date inclusive"</f>
        <v>Years countable between 1 August 2024 and census date inclusive</v>
      </c>
      <c r="S8" s="3386"/>
      <c r="T8" s="3386"/>
      <c r="U8" s="3386"/>
      <c r="V8" s="3387"/>
      <c r="W8" s="3376" t="str">
        <f>"Years countable between 1 August 20"&amp;YEAR&amp;" and census date inclusive"</f>
        <v>Years countable between 1 August 2024 and census date inclusive</v>
      </c>
      <c r="X8" s="3386"/>
      <c r="Y8" s="3386"/>
      <c r="Z8" s="3386"/>
      <c r="AA8" s="3387"/>
      <c r="AB8" s="3376"/>
      <c r="AC8" s="680"/>
      <c r="AD8" s="680"/>
      <c r="AE8" s="680"/>
    </row>
    <row r="9" spans="1:51" ht="12.75" customHeight="1" x14ac:dyDescent="0.35">
      <c r="A9" s="681"/>
      <c r="B9" s="682"/>
      <c r="C9" s="683"/>
      <c r="D9" s="684"/>
      <c r="E9" s="1583"/>
      <c r="F9" s="684"/>
      <c r="G9" s="1583"/>
      <c r="H9" s="684"/>
      <c r="I9" s="1583"/>
      <c r="J9" s="684"/>
      <c r="K9" s="1583"/>
      <c r="L9" s="1572"/>
      <c r="M9" s="685" t="s">
        <v>293</v>
      </c>
      <c r="N9" s="686"/>
      <c r="O9" s="686"/>
      <c r="P9" s="686"/>
      <c r="Q9" s="1741"/>
      <c r="R9" s="685" t="s">
        <v>293</v>
      </c>
      <c r="S9" s="686"/>
      <c r="T9" s="686"/>
      <c r="U9" s="686"/>
      <c r="V9" s="1741"/>
      <c r="W9" s="685" t="s">
        <v>293</v>
      </c>
      <c r="X9" s="686"/>
      <c r="Y9" s="686"/>
      <c r="Z9" s="686"/>
      <c r="AA9" s="1741"/>
      <c r="AB9" s="1583"/>
      <c r="AC9" s="74"/>
      <c r="AD9" s="74"/>
      <c r="AE9" s="74"/>
    </row>
    <row r="10" spans="1:51" x14ac:dyDescent="0.35">
      <c r="A10" s="3388" t="s">
        <v>294</v>
      </c>
      <c r="B10" s="3383" t="s">
        <v>295</v>
      </c>
      <c r="C10" s="3381" t="s">
        <v>296</v>
      </c>
      <c r="D10" s="684"/>
      <c r="E10" s="3377" t="s">
        <v>197</v>
      </c>
      <c r="F10" s="3379" t="s">
        <v>297</v>
      </c>
      <c r="G10" s="3377" t="s">
        <v>198</v>
      </c>
      <c r="H10" s="3379" t="s">
        <v>298</v>
      </c>
      <c r="I10" s="3377" t="s">
        <v>199</v>
      </c>
      <c r="J10" s="3379" t="s">
        <v>299</v>
      </c>
      <c r="K10" s="1583"/>
      <c r="L10" s="1572"/>
      <c r="M10" s="1584" t="s">
        <v>300</v>
      </c>
      <c r="N10" s="687"/>
      <c r="O10" s="688" t="s">
        <v>301</v>
      </c>
      <c r="P10" s="689"/>
      <c r="Q10" s="3385" t="s">
        <v>302</v>
      </c>
      <c r="R10" s="1584" t="s">
        <v>300</v>
      </c>
      <c r="S10" s="687"/>
      <c r="T10" s="688" t="s">
        <v>301</v>
      </c>
      <c r="U10" s="689"/>
      <c r="V10" s="3385" t="s">
        <v>302</v>
      </c>
      <c r="W10" s="1584" t="s">
        <v>300</v>
      </c>
      <c r="X10" s="687"/>
      <c r="Y10" s="688" t="s">
        <v>301</v>
      </c>
      <c r="Z10" s="689"/>
      <c r="AA10" s="3385" t="s">
        <v>302</v>
      </c>
      <c r="AB10" s="1585"/>
      <c r="AC10" s="690"/>
      <c r="AD10" s="690"/>
      <c r="AE10" s="690"/>
    </row>
    <row r="11" spans="1:51" ht="40.5" customHeight="1" x14ac:dyDescent="0.35">
      <c r="A11" s="3388"/>
      <c r="B11" s="3383"/>
      <c r="C11" s="3381"/>
      <c r="D11" s="684"/>
      <c r="E11" s="3377"/>
      <c r="F11" s="3379"/>
      <c r="G11" s="3377"/>
      <c r="H11" s="3379"/>
      <c r="I11" s="3377"/>
      <c r="J11" s="3379"/>
      <c r="K11" s="1583"/>
      <c r="L11" s="1572"/>
      <c r="M11" s="1585" t="s">
        <v>195</v>
      </c>
      <c r="N11" s="691" t="s">
        <v>303</v>
      </c>
      <c r="O11" s="692" t="s">
        <v>195</v>
      </c>
      <c r="P11" s="691" t="s">
        <v>303</v>
      </c>
      <c r="Q11" s="3385"/>
      <c r="R11" s="1585" t="s">
        <v>195</v>
      </c>
      <c r="S11" s="691" t="s">
        <v>196</v>
      </c>
      <c r="T11" s="692" t="s">
        <v>195</v>
      </c>
      <c r="U11" s="691" t="s">
        <v>196</v>
      </c>
      <c r="V11" s="3385"/>
      <c r="W11" s="1585" t="s">
        <v>195</v>
      </c>
      <c r="X11" s="691" t="s">
        <v>196</v>
      </c>
      <c r="Y11" s="692" t="s">
        <v>195</v>
      </c>
      <c r="Z11" s="691" t="s">
        <v>196</v>
      </c>
      <c r="AA11" s="3385"/>
      <c r="AB11" s="1585"/>
      <c r="AC11" s="690"/>
      <c r="AD11" s="690"/>
      <c r="AE11" s="690"/>
    </row>
    <row r="12" spans="1:51" ht="13.5" customHeight="1" x14ac:dyDescent="0.35">
      <c r="A12" s="3389"/>
      <c r="B12" s="3384"/>
      <c r="C12" s="3382"/>
      <c r="D12" s="693" t="s">
        <v>304</v>
      </c>
      <c r="E12" s="3378"/>
      <c r="F12" s="3380"/>
      <c r="G12" s="3378"/>
      <c r="H12" s="3380"/>
      <c r="I12" s="3378"/>
      <c r="J12" s="3380"/>
      <c r="K12" s="694" t="s">
        <v>57</v>
      </c>
      <c r="L12" s="1526" t="s">
        <v>56</v>
      </c>
      <c r="M12" s="695" t="s">
        <v>201</v>
      </c>
      <c r="N12" s="696" t="s">
        <v>202</v>
      </c>
      <c r="O12" s="697" t="s">
        <v>201</v>
      </c>
      <c r="P12" s="696" t="s">
        <v>202</v>
      </c>
      <c r="Q12" s="698"/>
      <c r="R12" s="695" t="s">
        <v>201</v>
      </c>
      <c r="S12" s="696" t="s">
        <v>202</v>
      </c>
      <c r="T12" s="697" t="s">
        <v>201</v>
      </c>
      <c r="U12" s="696" t="s">
        <v>202</v>
      </c>
      <c r="V12" s="698"/>
      <c r="W12" s="695" t="s">
        <v>201</v>
      </c>
      <c r="X12" s="696" t="s">
        <v>202</v>
      </c>
      <c r="Y12" s="697" t="s">
        <v>201</v>
      </c>
      <c r="Z12" s="696" t="s">
        <v>202</v>
      </c>
      <c r="AA12" s="698"/>
      <c r="AB12" s="695"/>
      <c r="AC12" s="690"/>
      <c r="AD12" s="690"/>
      <c r="AE12" s="690"/>
    </row>
    <row r="13" spans="1:51" ht="13.5" hidden="1" customHeight="1" x14ac:dyDescent="0.35">
      <c r="A13" s="699"/>
      <c r="B13" s="700" t="s">
        <v>305</v>
      </c>
      <c r="C13" s="701" t="s">
        <v>306</v>
      </c>
      <c r="D13" s="702" t="s">
        <v>307</v>
      </c>
      <c r="E13" s="1586" t="s">
        <v>308</v>
      </c>
      <c r="F13" s="703" t="s">
        <v>309</v>
      </c>
      <c r="G13" s="1586" t="s">
        <v>310</v>
      </c>
      <c r="H13" s="703" t="s">
        <v>311</v>
      </c>
      <c r="I13" s="1586" t="s">
        <v>312</v>
      </c>
      <c r="J13" s="703" t="s">
        <v>313</v>
      </c>
      <c r="K13" s="702" t="s">
        <v>314</v>
      </c>
      <c r="L13" s="704" t="s">
        <v>315</v>
      </c>
      <c r="M13" s="1587" t="s">
        <v>316</v>
      </c>
      <c r="N13" s="705" t="s">
        <v>317</v>
      </c>
      <c r="O13" s="705" t="s">
        <v>318</v>
      </c>
      <c r="P13" s="705" t="s">
        <v>319</v>
      </c>
      <c r="Q13" s="705" t="s">
        <v>320</v>
      </c>
      <c r="R13" s="1587" t="s">
        <v>321</v>
      </c>
      <c r="S13" s="705" t="s">
        <v>322</v>
      </c>
      <c r="T13" s="705" t="s">
        <v>323</v>
      </c>
      <c r="U13" s="705" t="s">
        <v>324</v>
      </c>
      <c r="V13" s="705" t="s">
        <v>325</v>
      </c>
      <c r="W13" s="1587" t="s">
        <v>326</v>
      </c>
      <c r="X13" s="705" t="s">
        <v>327</v>
      </c>
      <c r="Y13" s="705" t="s">
        <v>328</v>
      </c>
      <c r="Z13" s="705" t="s">
        <v>329</v>
      </c>
      <c r="AA13" s="705" t="s">
        <v>330</v>
      </c>
      <c r="AB13" s="1587" t="s">
        <v>331</v>
      </c>
      <c r="AC13" s="690"/>
      <c r="AD13" s="690" t="s">
        <v>332</v>
      </c>
      <c r="AE13" s="706" t="s">
        <v>333</v>
      </c>
    </row>
    <row r="14" spans="1:51" ht="13.5" customHeight="1" x14ac:dyDescent="0.35">
      <c r="A14" s="707">
        <v>1</v>
      </c>
      <c r="B14" s="708"/>
      <c r="C14" s="709" t="str">
        <f>IF(B14&lt;&gt;"",IF(LEFT(B14,3)="OFS",B14,IF(LEN(B14)=8,"H"&amp;B14,"H00"&amp;B14)),"")</f>
        <v/>
      </c>
      <c r="D14" s="2250" t="str">
        <f>IF($C14&lt;&gt;"",IF(ISNA(VLOOKUP($C14,CourseInfo,2,FALSE))=FALSE,VLOOKUP($C14,CourseInfo,2,FALSE),"Please enter a valid learning aim reference"),"")</f>
        <v/>
      </c>
      <c r="E14" s="74" t="str">
        <f t="shared" ref="E14:E45" si="0">IF($C14&lt;&gt;"",IF(ISNA(VLOOKUP($C14,CourseInfo,3,FALSE))=TRUE,"",VLOOKUP($C14,CourseInfo,3,FALSE)),"")</f>
        <v/>
      </c>
      <c r="F14" s="710" t="str">
        <f t="shared" ref="F14:F77" si="1">IF(AND($B14&lt;&gt;"",$E14&lt;&gt;"",$G14="",$I14=""),1,"")</f>
        <v/>
      </c>
      <c r="G14" s="1588" t="str">
        <f t="shared" ref="G14:G45" si="2">IF($C14&lt;&gt;"",IF(ISNA(VLOOKUP($C14,CourseInfo,2,FALSE)=FALSE),"",IF(VLOOKUP($C14,CourseInfo,4,FALSE)="","",VLOOKUP($C14,CourseInfo,4,FALSE))),"")</f>
        <v/>
      </c>
      <c r="H14" s="711"/>
      <c r="I14" s="1588" t="str">
        <f t="shared" ref="I14:I45" si="3">IF($C14&lt;&gt;"",IF(ISNA(VLOOKUP($C14,CourseInfo,2,FALSE)=FALSE),"",IF(VLOOKUP($C14,CourseInfo,5,FALSE)="","",VLOOKUP($C14,CourseInfo,5,FALSE))),"")</f>
        <v/>
      </c>
      <c r="J14" s="711"/>
      <c r="K14" s="712" t="str">
        <f t="shared" ref="K14:K45" si="4">IF($C14&lt;&gt;"",IF(ISNA(VLOOKUP($C14,CourseInfo,6,FALSE))=TRUE,"",VLOOKUP($C14,CourseInfo,6,FALSE)),"")</f>
        <v/>
      </c>
      <c r="L14" s="1573" t="str">
        <f t="shared" ref="L14:L78" si="5">IF($E14&lt;&gt;"","Standard","")</f>
        <v/>
      </c>
      <c r="M14" s="1589">
        <v>0</v>
      </c>
      <c r="N14" s="713">
        <v>0</v>
      </c>
      <c r="O14" s="714">
        <v>0</v>
      </c>
      <c r="P14" s="712">
        <v>0</v>
      </c>
      <c r="Q14" s="715">
        <v>0</v>
      </c>
      <c r="R14" s="1589">
        <v>0</v>
      </c>
      <c r="S14" s="713">
        <v>0</v>
      </c>
      <c r="T14" s="714">
        <v>0</v>
      </c>
      <c r="U14" s="712">
        <v>0</v>
      </c>
      <c r="V14" s="715">
        <v>0</v>
      </c>
      <c r="W14" s="1589">
        <v>0</v>
      </c>
      <c r="X14" s="713">
        <v>0</v>
      </c>
      <c r="Y14" s="714">
        <v>0</v>
      </c>
      <c r="Z14" s="712">
        <v>0</v>
      </c>
      <c r="AA14" s="713">
        <v>0</v>
      </c>
      <c r="AB14" s="1590"/>
      <c r="AC14" s="716"/>
      <c r="AD14" s="74">
        <f>IF(ISERROR(VLOOKUP(B14,CourseList!$A$4:$A$29,1,FALSE)),0,1)</f>
        <v>0</v>
      </c>
      <c r="AE14" s="717">
        <v>1</v>
      </c>
      <c r="AF14" s="718"/>
      <c r="AG14" s="657" t="s">
        <v>334</v>
      </c>
    </row>
    <row r="15" spans="1:51" ht="13.5" customHeight="1" x14ac:dyDescent="0.35">
      <c r="A15" s="719" t="str">
        <f>IF('Courses Valid'!BU21=1,'Courses Valid'!BT21,IF(AND('Courses Valid'!BU21=0,'Courses Valid'!BV21=1),'Courses Valid'!BT21,IF(B14&lt;&gt;"",'Courses Valid'!BT21,"")))</f>
        <v/>
      </c>
      <c r="B15" s="708"/>
      <c r="C15" s="720" t="str">
        <f t="shared" ref="C15:C77" si="6">IF(B15&lt;&gt;"",IF(LEFT(B15,3)="OFS",B15,IF(LEN(B15)=8,"H"&amp;B15,"H00"&amp;B15)),"")</f>
        <v/>
      </c>
      <c r="D15" s="308" t="str">
        <f>IF($C15&lt;&gt;"",IF(ISNA(VLOOKUP($C15,CourseInfo,2,FALSE))=FALSE,VLOOKUP($C15,CourseInfo,2,FALSE),"Please enter a valid learning aim reference"),"")</f>
        <v/>
      </c>
      <c r="E15" s="74" t="str">
        <f t="shared" si="0"/>
        <v/>
      </c>
      <c r="F15" s="710" t="str">
        <f t="shared" si="1"/>
        <v/>
      </c>
      <c r="G15" s="308" t="str">
        <f t="shared" si="2"/>
        <v/>
      </c>
      <c r="H15" s="710"/>
      <c r="I15" s="308" t="str">
        <f t="shared" si="3"/>
        <v/>
      </c>
      <c r="J15" s="710"/>
      <c r="K15" s="712" t="str">
        <f t="shared" si="4"/>
        <v/>
      </c>
      <c r="L15" s="1573" t="str">
        <f t="shared" si="5"/>
        <v/>
      </c>
      <c r="M15" s="712">
        <v>0</v>
      </c>
      <c r="N15" s="712">
        <v>0</v>
      </c>
      <c r="O15" s="712">
        <v>0</v>
      </c>
      <c r="P15" s="712">
        <v>0</v>
      </c>
      <c r="Q15" s="712">
        <v>0</v>
      </c>
      <c r="R15" s="712">
        <v>0</v>
      </c>
      <c r="S15" s="712">
        <v>0</v>
      </c>
      <c r="T15" s="712">
        <v>0</v>
      </c>
      <c r="U15" s="712">
        <v>0</v>
      </c>
      <c r="V15" s="712">
        <v>0</v>
      </c>
      <c r="W15" s="712">
        <v>0</v>
      </c>
      <c r="X15" s="712">
        <v>0</v>
      </c>
      <c r="Y15" s="712">
        <v>0</v>
      </c>
      <c r="Z15" s="712">
        <v>0</v>
      </c>
      <c r="AA15" s="712">
        <v>0</v>
      </c>
      <c r="AB15" s="721"/>
      <c r="AC15" s="716"/>
      <c r="AD15" s="74">
        <f>IF(ISERROR(VLOOKUP(B15,CourseList!$A$4:$A$29,1,FALSE)),0,1)</f>
        <v>0</v>
      </c>
      <c r="AE15" s="717">
        <v>2</v>
      </c>
      <c r="AF15" s="718"/>
      <c r="AG15" s="346" t="s">
        <v>80</v>
      </c>
    </row>
    <row r="16" spans="1:51" x14ac:dyDescent="0.35">
      <c r="A16" s="719" t="str">
        <f>IF('Courses Valid'!BU22=1,'Courses Valid'!BT22,IF(AND('Courses Valid'!BU22=0,'Courses Valid'!BV22=1),'Courses Valid'!BT22,IF(B15&lt;&gt;"",'Courses Valid'!BT22,"")))</f>
        <v/>
      </c>
      <c r="B16" s="708"/>
      <c r="C16" s="720" t="str">
        <f t="shared" si="6"/>
        <v/>
      </c>
      <c r="D16" s="308" t="str">
        <f t="shared" ref="D16:D45" si="7">IF($C16&lt;&gt;"",IF(ISNA(VLOOKUP($C16,CourseInfo,2,FALSE))=FALSE,VLOOKUP($C16,CourseInfo,2,FALSE),"Please enter a valid learning aim reference"),"")</f>
        <v/>
      </c>
      <c r="E16" s="74" t="str">
        <f t="shared" si="0"/>
        <v/>
      </c>
      <c r="F16" s="710" t="str">
        <f t="shared" si="1"/>
        <v/>
      </c>
      <c r="G16" s="308" t="str">
        <f t="shared" si="2"/>
        <v/>
      </c>
      <c r="H16" s="710"/>
      <c r="I16" s="308" t="str">
        <f t="shared" si="3"/>
        <v/>
      </c>
      <c r="J16" s="710"/>
      <c r="K16" s="712" t="str">
        <f t="shared" si="4"/>
        <v/>
      </c>
      <c r="L16" s="1573" t="str">
        <f t="shared" si="5"/>
        <v/>
      </c>
      <c r="M16" s="722">
        <v>0</v>
      </c>
      <c r="N16" s="722">
        <v>0</v>
      </c>
      <c r="O16" s="722">
        <v>0</v>
      </c>
      <c r="P16" s="722">
        <v>0</v>
      </c>
      <c r="Q16" s="722">
        <v>0</v>
      </c>
      <c r="R16" s="722">
        <v>0</v>
      </c>
      <c r="S16" s="722">
        <v>0</v>
      </c>
      <c r="T16" s="722">
        <v>0</v>
      </c>
      <c r="U16" s="722">
        <v>0</v>
      </c>
      <c r="V16" s="722">
        <v>0</v>
      </c>
      <c r="W16" s="722">
        <v>0</v>
      </c>
      <c r="X16" s="722">
        <v>0</v>
      </c>
      <c r="Y16" s="722">
        <v>0</v>
      </c>
      <c r="Z16" s="722">
        <v>0</v>
      </c>
      <c r="AA16" s="722">
        <v>0</v>
      </c>
      <c r="AB16" s="721"/>
      <c r="AC16" s="716"/>
      <c r="AD16" s="74">
        <f>IF(ISERROR(VLOOKUP(B16,CourseList!$A$4:$A$29,1,FALSE)),0,1)</f>
        <v>0</v>
      </c>
      <c r="AE16" s="717">
        <v>3</v>
      </c>
      <c r="AF16" s="718"/>
      <c r="AG16" s="723" t="str">
        <f>IF('Courses Valid'!G18&lt;&gt;"",'Courses Valid'!G18&amp;"If the learning aim reference is not invalid, please contact heses@officeforstudents.org.uk; ","")&amp;'Courses Valid'!H18</f>
        <v/>
      </c>
    </row>
    <row r="17" spans="1:37" x14ac:dyDescent="0.35">
      <c r="A17" s="719" t="str">
        <f>IF('Courses Valid'!BU23=1,'Courses Valid'!BT23,IF(AND('Courses Valid'!BU23=0,'Courses Valid'!BV23=1),'Courses Valid'!BT23,IF(B16&lt;&gt;"",'Courses Valid'!BT23,"")))</f>
        <v/>
      </c>
      <c r="B17" s="708"/>
      <c r="C17" s="720" t="str">
        <f t="shared" si="6"/>
        <v/>
      </c>
      <c r="D17" s="308" t="str">
        <f t="shared" si="7"/>
        <v/>
      </c>
      <c r="E17" s="74" t="str">
        <f t="shared" si="0"/>
        <v/>
      </c>
      <c r="F17" s="710" t="str">
        <f t="shared" si="1"/>
        <v/>
      </c>
      <c r="G17" s="308" t="str">
        <f t="shared" si="2"/>
        <v/>
      </c>
      <c r="H17" s="710"/>
      <c r="I17" s="308" t="str">
        <f t="shared" si="3"/>
        <v/>
      </c>
      <c r="J17" s="710"/>
      <c r="K17" s="712" t="str">
        <f t="shared" si="4"/>
        <v/>
      </c>
      <c r="L17" s="1573" t="str">
        <f t="shared" si="5"/>
        <v/>
      </c>
      <c r="M17" s="722">
        <v>0</v>
      </c>
      <c r="N17" s="722">
        <v>0</v>
      </c>
      <c r="O17" s="722">
        <v>0</v>
      </c>
      <c r="P17" s="722">
        <v>0</v>
      </c>
      <c r="Q17" s="722">
        <v>0</v>
      </c>
      <c r="R17" s="722">
        <v>0</v>
      </c>
      <c r="S17" s="722">
        <v>0</v>
      </c>
      <c r="T17" s="722">
        <v>0</v>
      </c>
      <c r="U17" s="722">
        <v>0</v>
      </c>
      <c r="V17" s="722">
        <v>0</v>
      </c>
      <c r="W17" s="722">
        <v>0</v>
      </c>
      <c r="X17" s="722">
        <v>0</v>
      </c>
      <c r="Y17" s="722">
        <v>0</v>
      </c>
      <c r="Z17" s="722">
        <v>0</v>
      </c>
      <c r="AA17" s="722">
        <v>0</v>
      </c>
      <c r="AB17" s="721"/>
      <c r="AC17" s="716"/>
      <c r="AD17" s="74">
        <f>IF(ISERROR(VLOOKUP(B17,CourseList!$A$4:$A$29,1,FALSE)),0,1)</f>
        <v>0</v>
      </c>
      <c r="AE17" s="717">
        <v>4</v>
      </c>
      <c r="AF17" s="718"/>
      <c r="AG17" s="346" t="s">
        <v>335</v>
      </c>
    </row>
    <row r="18" spans="1:37" x14ac:dyDescent="0.35">
      <c r="A18" s="719" t="str">
        <f>IF('Courses Valid'!BU24=1,'Courses Valid'!BT24,IF(AND('Courses Valid'!BU24=0,'Courses Valid'!BV24=1),'Courses Valid'!BT24,IF(B17&lt;&gt;"",'Courses Valid'!BT24,"")))</f>
        <v/>
      </c>
      <c r="B18" s="708"/>
      <c r="C18" s="720" t="str">
        <f t="shared" si="6"/>
        <v/>
      </c>
      <c r="D18" s="308" t="str">
        <f t="shared" si="7"/>
        <v/>
      </c>
      <c r="E18" s="74" t="str">
        <f t="shared" si="0"/>
        <v/>
      </c>
      <c r="F18" s="710" t="str">
        <f t="shared" si="1"/>
        <v/>
      </c>
      <c r="G18" s="308" t="str">
        <f t="shared" si="2"/>
        <v/>
      </c>
      <c r="H18" s="710"/>
      <c r="I18" s="308" t="str">
        <f t="shared" si="3"/>
        <v/>
      </c>
      <c r="J18" s="710"/>
      <c r="K18" s="712" t="str">
        <f t="shared" si="4"/>
        <v/>
      </c>
      <c r="L18" s="1573" t="str">
        <f t="shared" si="5"/>
        <v/>
      </c>
      <c r="M18" s="722">
        <v>0</v>
      </c>
      <c r="N18" s="722">
        <v>0</v>
      </c>
      <c r="O18" s="722">
        <v>0</v>
      </c>
      <c r="P18" s="722">
        <v>0</v>
      </c>
      <c r="Q18" s="722">
        <v>0</v>
      </c>
      <c r="R18" s="722">
        <v>0</v>
      </c>
      <c r="S18" s="722">
        <v>0</v>
      </c>
      <c r="T18" s="722">
        <v>0</v>
      </c>
      <c r="U18" s="722">
        <v>0</v>
      </c>
      <c r="V18" s="722">
        <v>0</v>
      </c>
      <c r="W18" s="722">
        <v>0</v>
      </c>
      <c r="X18" s="722">
        <v>0</v>
      </c>
      <c r="Y18" s="722">
        <v>0</v>
      </c>
      <c r="Z18" s="722">
        <v>0</v>
      </c>
      <c r="AA18" s="722">
        <v>0</v>
      </c>
      <c r="AB18" s="721"/>
      <c r="AC18" s="716"/>
      <c r="AD18" s="74">
        <f>IF(ISERROR(VLOOKUP(B18,CourseList!$A$4:$A$29,1,FALSE)),0,1)</f>
        <v>0</v>
      </c>
      <c r="AE18" s="717">
        <v>5</v>
      </c>
      <c r="AF18" s="718"/>
      <c r="AG18" s="723" t="str">
        <f>'Courses Valid'!L18</f>
        <v/>
      </c>
    </row>
    <row r="19" spans="1:37" x14ac:dyDescent="0.35">
      <c r="A19" s="719" t="str">
        <f>IF('Courses Valid'!BU25=1,'Courses Valid'!BT25,IF(AND('Courses Valid'!BU25=0,'Courses Valid'!BV25=1),'Courses Valid'!BT25,IF(B18&lt;&gt;"",'Courses Valid'!BT25,"")))</f>
        <v/>
      </c>
      <c r="B19" s="708"/>
      <c r="C19" s="720" t="str">
        <f t="shared" si="6"/>
        <v/>
      </c>
      <c r="D19" s="308" t="str">
        <f t="shared" si="7"/>
        <v/>
      </c>
      <c r="E19" s="74" t="str">
        <f t="shared" si="0"/>
        <v/>
      </c>
      <c r="F19" s="710" t="str">
        <f t="shared" si="1"/>
        <v/>
      </c>
      <c r="G19" s="308" t="str">
        <f t="shared" si="2"/>
        <v/>
      </c>
      <c r="H19" s="710"/>
      <c r="I19" s="308" t="str">
        <f t="shared" si="3"/>
        <v/>
      </c>
      <c r="J19" s="710"/>
      <c r="K19" s="712" t="str">
        <f t="shared" si="4"/>
        <v/>
      </c>
      <c r="L19" s="1573" t="str">
        <f t="shared" si="5"/>
        <v/>
      </c>
      <c r="M19" s="722">
        <v>0</v>
      </c>
      <c r="N19" s="722">
        <v>0</v>
      </c>
      <c r="O19" s="722">
        <v>0</v>
      </c>
      <c r="P19" s="722">
        <v>0</v>
      </c>
      <c r="Q19" s="722">
        <v>0</v>
      </c>
      <c r="R19" s="722">
        <v>0</v>
      </c>
      <c r="S19" s="722">
        <v>0</v>
      </c>
      <c r="T19" s="722">
        <v>0</v>
      </c>
      <c r="U19" s="722">
        <v>0</v>
      </c>
      <c r="V19" s="722">
        <v>0</v>
      </c>
      <c r="W19" s="722">
        <v>0</v>
      </c>
      <c r="X19" s="722">
        <v>0</v>
      </c>
      <c r="Y19" s="722">
        <v>0</v>
      </c>
      <c r="Z19" s="722">
        <v>0</v>
      </c>
      <c r="AA19" s="722">
        <v>0</v>
      </c>
      <c r="AB19" s="721"/>
      <c r="AC19" s="716"/>
      <c r="AD19" s="74">
        <f>IF(ISERROR(VLOOKUP(B19,CourseList!$A$4:$A$29,1,FALSE)),0,1)</f>
        <v>0</v>
      </c>
      <c r="AE19" s="717">
        <v>6</v>
      </c>
      <c r="AF19" s="718"/>
      <c r="AG19" s="346" t="s">
        <v>27982</v>
      </c>
    </row>
    <row r="20" spans="1:37" x14ac:dyDescent="0.35">
      <c r="A20" s="719" t="str">
        <f>IF('Courses Valid'!BU26=1,'Courses Valid'!BT26,IF(AND('Courses Valid'!BU26=0,'Courses Valid'!BV26=1),'Courses Valid'!BT26,IF(B19&lt;&gt;"",'Courses Valid'!BT26,"")))</f>
        <v/>
      </c>
      <c r="B20" s="708"/>
      <c r="C20" s="720" t="str">
        <f t="shared" si="6"/>
        <v/>
      </c>
      <c r="D20" s="308" t="str">
        <f t="shared" si="7"/>
        <v/>
      </c>
      <c r="E20" s="74" t="str">
        <f t="shared" si="0"/>
        <v/>
      </c>
      <c r="F20" s="710" t="str">
        <f t="shared" si="1"/>
        <v/>
      </c>
      <c r="G20" s="308" t="str">
        <f t="shared" si="2"/>
        <v/>
      </c>
      <c r="H20" s="710"/>
      <c r="I20" s="308" t="str">
        <f t="shared" si="3"/>
        <v/>
      </c>
      <c r="J20" s="710"/>
      <c r="K20" s="712" t="str">
        <f t="shared" si="4"/>
        <v/>
      </c>
      <c r="L20" s="1573" t="str">
        <f t="shared" si="5"/>
        <v/>
      </c>
      <c r="M20" s="722">
        <v>0</v>
      </c>
      <c r="N20" s="722">
        <v>0</v>
      </c>
      <c r="O20" s="722">
        <v>0</v>
      </c>
      <c r="P20" s="722">
        <v>0</v>
      </c>
      <c r="Q20" s="722">
        <v>0</v>
      </c>
      <c r="R20" s="722">
        <v>0</v>
      </c>
      <c r="S20" s="722">
        <v>0</v>
      </c>
      <c r="T20" s="722">
        <v>0</v>
      </c>
      <c r="U20" s="722">
        <v>0</v>
      </c>
      <c r="V20" s="722">
        <v>0</v>
      </c>
      <c r="W20" s="722">
        <v>0</v>
      </c>
      <c r="X20" s="722">
        <v>0</v>
      </c>
      <c r="Y20" s="722">
        <v>0</v>
      </c>
      <c r="Z20" s="722">
        <v>0</v>
      </c>
      <c r="AA20" s="722">
        <v>0</v>
      </c>
      <c r="AB20" s="721"/>
      <c r="AC20" s="716"/>
      <c r="AD20" s="74">
        <f>IF(ISERROR(VLOOKUP(B20,CourseList!$A$4:$A$29,1,FALSE)),0,1)</f>
        <v>0</v>
      </c>
      <c r="AE20" s="717">
        <v>7</v>
      </c>
      <c r="AF20" s="718"/>
      <c r="AG20" s="723" t="str">
        <f>'Courses Valid'!O16</f>
        <v/>
      </c>
    </row>
    <row r="21" spans="1:37" x14ac:dyDescent="0.35">
      <c r="A21" s="719" t="str">
        <f>IF('Courses Valid'!BU27=1,'Courses Valid'!BT27,IF(AND('Courses Valid'!BU27=0,'Courses Valid'!BV27=1),'Courses Valid'!BT27,IF(B20&lt;&gt;"",'Courses Valid'!BT27,"")))</f>
        <v/>
      </c>
      <c r="B21" s="708"/>
      <c r="C21" s="720" t="str">
        <f t="shared" si="6"/>
        <v/>
      </c>
      <c r="D21" s="308" t="str">
        <f t="shared" si="7"/>
        <v/>
      </c>
      <c r="E21" s="74" t="str">
        <f t="shared" si="0"/>
        <v/>
      </c>
      <c r="F21" s="710" t="str">
        <f t="shared" si="1"/>
        <v/>
      </c>
      <c r="G21" s="308" t="str">
        <f t="shared" si="2"/>
        <v/>
      </c>
      <c r="H21" s="710"/>
      <c r="I21" s="308" t="str">
        <f t="shared" si="3"/>
        <v/>
      </c>
      <c r="J21" s="710"/>
      <c r="K21" s="712" t="str">
        <f t="shared" si="4"/>
        <v/>
      </c>
      <c r="L21" s="1573" t="str">
        <f t="shared" si="5"/>
        <v/>
      </c>
      <c r="M21" s="722">
        <v>0</v>
      </c>
      <c r="N21" s="722">
        <v>0</v>
      </c>
      <c r="O21" s="722">
        <v>0</v>
      </c>
      <c r="P21" s="722">
        <v>0</v>
      </c>
      <c r="Q21" s="722">
        <v>0</v>
      </c>
      <c r="R21" s="722">
        <v>0</v>
      </c>
      <c r="S21" s="722">
        <v>0</v>
      </c>
      <c r="T21" s="722">
        <v>0</v>
      </c>
      <c r="U21" s="722">
        <v>0</v>
      </c>
      <c r="V21" s="722">
        <v>0</v>
      </c>
      <c r="W21" s="722">
        <v>0</v>
      </c>
      <c r="X21" s="722">
        <v>0</v>
      </c>
      <c r="Y21" s="722">
        <v>0</v>
      </c>
      <c r="Z21" s="722">
        <v>0</v>
      </c>
      <c r="AA21" s="722">
        <v>0</v>
      </c>
      <c r="AB21" s="721"/>
      <c r="AC21" s="716"/>
      <c r="AD21" s="74">
        <f>IF(ISERROR(VLOOKUP(B21,CourseList!$A$4:$A$29,1,FALSE)),0,1)</f>
        <v>0</v>
      </c>
      <c r="AE21" s="717">
        <v>8</v>
      </c>
      <c r="AF21" s="718"/>
      <c r="AG21" s="346" t="s">
        <v>88</v>
      </c>
    </row>
    <row r="22" spans="1:37" x14ac:dyDescent="0.35">
      <c r="A22" s="719" t="str">
        <f>IF('Courses Valid'!BU28=1,'Courses Valid'!BT28,IF(AND('Courses Valid'!BU28=0,'Courses Valid'!BV28=1),'Courses Valid'!BT28,IF(B21&lt;&gt;"",'Courses Valid'!BT28,"")))</f>
        <v/>
      </c>
      <c r="B22" s="708"/>
      <c r="C22" s="720" t="str">
        <f t="shared" si="6"/>
        <v/>
      </c>
      <c r="D22" s="308" t="str">
        <f t="shared" si="7"/>
        <v/>
      </c>
      <c r="E22" s="74" t="str">
        <f t="shared" si="0"/>
        <v/>
      </c>
      <c r="F22" s="710" t="str">
        <f t="shared" si="1"/>
        <v/>
      </c>
      <c r="G22" s="308" t="str">
        <f t="shared" si="2"/>
        <v/>
      </c>
      <c r="H22" s="710"/>
      <c r="I22" s="308" t="str">
        <f t="shared" si="3"/>
        <v/>
      </c>
      <c r="J22" s="710"/>
      <c r="K22" s="712" t="str">
        <f t="shared" si="4"/>
        <v/>
      </c>
      <c r="L22" s="1573" t="str">
        <f t="shared" si="5"/>
        <v/>
      </c>
      <c r="M22" s="722">
        <v>0</v>
      </c>
      <c r="N22" s="722">
        <v>0</v>
      </c>
      <c r="O22" s="722">
        <v>0</v>
      </c>
      <c r="P22" s="722">
        <v>0</v>
      </c>
      <c r="Q22" s="722">
        <v>0</v>
      </c>
      <c r="R22" s="722">
        <v>0</v>
      </c>
      <c r="S22" s="722">
        <v>0</v>
      </c>
      <c r="T22" s="722">
        <v>0</v>
      </c>
      <c r="U22" s="722">
        <v>0</v>
      </c>
      <c r="V22" s="722">
        <v>0</v>
      </c>
      <c r="W22" s="722">
        <v>0</v>
      </c>
      <c r="X22" s="722">
        <v>0</v>
      </c>
      <c r="Y22" s="722">
        <v>0</v>
      </c>
      <c r="Z22" s="722">
        <v>0</v>
      </c>
      <c r="AA22" s="722">
        <v>0</v>
      </c>
      <c r="AB22" s="721"/>
      <c r="AC22" s="716"/>
      <c r="AD22" s="74">
        <f>IF(ISERROR(VLOOKUP(B22,CourseList!$A$4:$A$29,1,FALSE)),0,1)</f>
        <v>0</v>
      </c>
      <c r="AE22" s="717">
        <v>9</v>
      </c>
      <c r="AF22" s="718"/>
      <c r="AG22" s="723" t="str">
        <f>'Courses Valid'!U16</f>
        <v/>
      </c>
    </row>
    <row r="23" spans="1:37" x14ac:dyDescent="0.35">
      <c r="A23" s="719" t="str">
        <f>IF('Courses Valid'!BU29=1,'Courses Valid'!BT29,IF(AND('Courses Valid'!BU29=0,'Courses Valid'!BV29=1),'Courses Valid'!BT29,IF(B22&lt;&gt;"",'Courses Valid'!BT29,"")))</f>
        <v/>
      </c>
      <c r="B23" s="708"/>
      <c r="C23" s="720" t="str">
        <f t="shared" si="6"/>
        <v/>
      </c>
      <c r="D23" s="308" t="str">
        <f t="shared" si="7"/>
        <v/>
      </c>
      <c r="E23" s="74" t="str">
        <f t="shared" si="0"/>
        <v/>
      </c>
      <c r="F23" s="710" t="str">
        <f t="shared" si="1"/>
        <v/>
      </c>
      <c r="G23" s="308" t="str">
        <f t="shared" si="2"/>
        <v/>
      </c>
      <c r="H23" s="710"/>
      <c r="I23" s="308" t="str">
        <f t="shared" si="3"/>
        <v/>
      </c>
      <c r="J23" s="710"/>
      <c r="K23" s="712" t="str">
        <f t="shared" si="4"/>
        <v/>
      </c>
      <c r="L23" s="1573" t="str">
        <f t="shared" si="5"/>
        <v/>
      </c>
      <c r="M23" s="722">
        <v>0</v>
      </c>
      <c r="N23" s="722">
        <v>0</v>
      </c>
      <c r="O23" s="722">
        <v>0</v>
      </c>
      <c r="P23" s="722">
        <v>0</v>
      </c>
      <c r="Q23" s="722">
        <v>0</v>
      </c>
      <c r="R23" s="722">
        <v>0</v>
      </c>
      <c r="S23" s="722">
        <v>0</v>
      </c>
      <c r="T23" s="722">
        <v>0</v>
      </c>
      <c r="U23" s="722">
        <v>0</v>
      </c>
      <c r="V23" s="722">
        <v>0</v>
      </c>
      <c r="W23" s="722">
        <v>0</v>
      </c>
      <c r="X23" s="722">
        <v>0</v>
      </c>
      <c r="Y23" s="722">
        <v>0</v>
      </c>
      <c r="Z23" s="722">
        <v>0</v>
      </c>
      <c r="AA23" s="722">
        <v>0</v>
      </c>
      <c r="AB23" s="721"/>
      <c r="AC23" s="716"/>
      <c r="AD23" s="74">
        <f>IF(ISERROR(VLOOKUP(B23,CourseList!$A$4:$A$29,1,FALSE)),0,1)</f>
        <v>0</v>
      </c>
      <c r="AE23" s="717">
        <v>10</v>
      </c>
      <c r="AF23" s="718"/>
      <c r="AG23" s="346" t="s">
        <v>92</v>
      </c>
    </row>
    <row r="24" spans="1:37" x14ac:dyDescent="0.35">
      <c r="A24" s="719" t="str">
        <f>IF('Courses Valid'!BU30=1,'Courses Valid'!BT30,IF(AND('Courses Valid'!BU30=0,'Courses Valid'!BV30=1),'Courses Valid'!BT30,IF(B23&lt;&gt;"",'Courses Valid'!BT30,"")))</f>
        <v/>
      </c>
      <c r="B24" s="708"/>
      <c r="C24" s="720" t="str">
        <f t="shared" si="6"/>
        <v/>
      </c>
      <c r="D24" s="308" t="str">
        <f t="shared" si="7"/>
        <v/>
      </c>
      <c r="E24" s="74" t="str">
        <f t="shared" si="0"/>
        <v/>
      </c>
      <c r="F24" s="710" t="str">
        <f t="shared" si="1"/>
        <v/>
      </c>
      <c r="G24" s="308" t="str">
        <f t="shared" si="2"/>
        <v/>
      </c>
      <c r="H24" s="710"/>
      <c r="I24" s="308" t="str">
        <f t="shared" si="3"/>
        <v/>
      </c>
      <c r="J24" s="710"/>
      <c r="K24" s="712" t="str">
        <f t="shared" si="4"/>
        <v/>
      </c>
      <c r="L24" s="1573" t="str">
        <f t="shared" si="5"/>
        <v/>
      </c>
      <c r="M24" s="722">
        <v>0</v>
      </c>
      <c r="N24" s="722">
        <v>0</v>
      </c>
      <c r="O24" s="722">
        <v>0</v>
      </c>
      <c r="P24" s="722">
        <v>0</v>
      </c>
      <c r="Q24" s="722">
        <v>0</v>
      </c>
      <c r="R24" s="722">
        <v>0</v>
      </c>
      <c r="S24" s="722">
        <v>0</v>
      </c>
      <c r="T24" s="722">
        <v>0</v>
      </c>
      <c r="U24" s="722">
        <v>0</v>
      </c>
      <c r="V24" s="722">
        <v>0</v>
      </c>
      <c r="W24" s="722">
        <v>0</v>
      </c>
      <c r="X24" s="722">
        <v>0</v>
      </c>
      <c r="Y24" s="722">
        <v>0</v>
      </c>
      <c r="Z24" s="722">
        <v>0</v>
      </c>
      <c r="AA24" s="722">
        <v>0</v>
      </c>
      <c r="AB24" s="721"/>
      <c r="AC24" s="716"/>
      <c r="AD24" s="74">
        <f>IF(ISERROR(VLOOKUP(B24,CourseList!$A$4:$A$29,1,FALSE)),0,1)</f>
        <v>0</v>
      </c>
      <c r="AE24" s="717">
        <v>11</v>
      </c>
      <c r="AF24" s="718"/>
      <c r="AG24" s="723" t="str">
        <f>'Courses Valid'!AB16</f>
        <v/>
      </c>
    </row>
    <row r="25" spans="1:37" x14ac:dyDescent="0.35">
      <c r="A25" s="719" t="str">
        <f>IF('Courses Valid'!BU31=1,'Courses Valid'!BT31,IF(AND('Courses Valid'!BU31=0,'Courses Valid'!BV31=1),'Courses Valid'!BT31,IF(B24&lt;&gt;"",'Courses Valid'!BT31,"")))</f>
        <v/>
      </c>
      <c r="B25" s="708"/>
      <c r="C25" s="720" t="str">
        <f t="shared" si="6"/>
        <v/>
      </c>
      <c r="D25" s="308" t="str">
        <f t="shared" si="7"/>
        <v/>
      </c>
      <c r="E25" s="74" t="str">
        <f t="shared" si="0"/>
        <v/>
      </c>
      <c r="F25" s="710" t="str">
        <f t="shared" si="1"/>
        <v/>
      </c>
      <c r="G25" s="308" t="str">
        <f t="shared" si="2"/>
        <v/>
      </c>
      <c r="H25" s="710"/>
      <c r="I25" s="308" t="str">
        <f t="shared" si="3"/>
        <v/>
      </c>
      <c r="J25" s="710"/>
      <c r="K25" s="712" t="str">
        <f t="shared" si="4"/>
        <v/>
      </c>
      <c r="L25" s="1573" t="str">
        <f t="shared" si="5"/>
        <v/>
      </c>
      <c r="M25" s="722">
        <v>0</v>
      </c>
      <c r="N25" s="722">
        <v>0</v>
      </c>
      <c r="O25" s="722">
        <v>0</v>
      </c>
      <c r="P25" s="722">
        <v>0</v>
      </c>
      <c r="Q25" s="722">
        <v>0</v>
      </c>
      <c r="R25" s="722">
        <v>0</v>
      </c>
      <c r="S25" s="722">
        <v>0</v>
      </c>
      <c r="T25" s="722">
        <v>0</v>
      </c>
      <c r="U25" s="722">
        <v>0</v>
      </c>
      <c r="V25" s="722">
        <v>0</v>
      </c>
      <c r="W25" s="722">
        <v>0</v>
      </c>
      <c r="X25" s="722">
        <v>0</v>
      </c>
      <c r="Y25" s="722">
        <v>0</v>
      </c>
      <c r="Z25" s="722">
        <v>0</v>
      </c>
      <c r="AA25" s="722">
        <v>0</v>
      </c>
      <c r="AB25" s="721"/>
      <c r="AC25" s="716"/>
      <c r="AD25" s="74">
        <f>IF(ISERROR(VLOOKUP(B25,CourseList!$A$4:$A$29,1,FALSE)),0,1)</f>
        <v>0</v>
      </c>
      <c r="AE25" s="717">
        <v>12</v>
      </c>
      <c r="AF25" s="718"/>
      <c r="AG25" s="346" t="s">
        <v>336</v>
      </c>
    </row>
    <row r="26" spans="1:37" x14ac:dyDescent="0.35">
      <c r="A26" s="719" t="str">
        <f>IF('Courses Valid'!BU32=1,'Courses Valid'!BT32,IF(AND('Courses Valid'!BU32=0,'Courses Valid'!BV32=1),'Courses Valid'!BT32,IF(B25&lt;&gt;"",'Courses Valid'!BT32,"")))</f>
        <v/>
      </c>
      <c r="B26" s="708"/>
      <c r="C26" s="720" t="str">
        <f t="shared" si="6"/>
        <v/>
      </c>
      <c r="D26" s="308" t="str">
        <f t="shared" si="7"/>
        <v/>
      </c>
      <c r="E26" s="74" t="str">
        <f t="shared" si="0"/>
        <v/>
      </c>
      <c r="F26" s="710" t="str">
        <f t="shared" si="1"/>
        <v/>
      </c>
      <c r="G26" s="308" t="str">
        <f t="shared" si="2"/>
        <v/>
      </c>
      <c r="H26" s="710"/>
      <c r="I26" s="308" t="str">
        <f t="shared" si="3"/>
        <v/>
      </c>
      <c r="J26" s="710"/>
      <c r="K26" s="712" t="str">
        <f t="shared" si="4"/>
        <v/>
      </c>
      <c r="L26" s="1573" t="str">
        <f t="shared" si="5"/>
        <v/>
      </c>
      <c r="M26" s="722">
        <v>0</v>
      </c>
      <c r="N26" s="722">
        <v>0</v>
      </c>
      <c r="O26" s="722">
        <v>0</v>
      </c>
      <c r="P26" s="722">
        <v>0</v>
      </c>
      <c r="Q26" s="722">
        <v>0</v>
      </c>
      <c r="R26" s="722">
        <v>0</v>
      </c>
      <c r="S26" s="722">
        <v>0</v>
      </c>
      <c r="T26" s="722">
        <v>0</v>
      </c>
      <c r="U26" s="722">
        <v>0</v>
      </c>
      <c r="V26" s="722">
        <v>0</v>
      </c>
      <c r="W26" s="722">
        <v>0</v>
      </c>
      <c r="X26" s="722">
        <v>0</v>
      </c>
      <c r="Y26" s="722">
        <v>0</v>
      </c>
      <c r="Z26" s="722">
        <v>0</v>
      </c>
      <c r="AA26" s="722">
        <v>0</v>
      </c>
      <c r="AB26" s="721"/>
      <c r="AC26" s="716"/>
      <c r="AD26" s="74">
        <f>IF(ISERROR(VLOOKUP(B26,CourseList!$A$4:$A$29,1,FALSE)),0,1)</f>
        <v>0</v>
      </c>
      <c r="AE26" s="717">
        <v>13</v>
      </c>
      <c r="AF26" s="718"/>
      <c r="AG26" s="723" t="str">
        <f>'Courses Valid'!AG18</f>
        <v/>
      </c>
    </row>
    <row r="27" spans="1:37" x14ac:dyDescent="0.35">
      <c r="A27" s="719" t="str">
        <f>IF('Courses Valid'!BU33=1,'Courses Valid'!BT33,IF(AND('Courses Valid'!BU33=0,'Courses Valid'!BV33=1),'Courses Valid'!BT33,IF(B26&lt;&gt;"",'Courses Valid'!BT33,"")))</f>
        <v/>
      </c>
      <c r="B27" s="708"/>
      <c r="C27" s="720" t="str">
        <f t="shared" si="6"/>
        <v/>
      </c>
      <c r="D27" s="308" t="str">
        <f t="shared" si="7"/>
        <v/>
      </c>
      <c r="E27" s="74" t="str">
        <f t="shared" si="0"/>
        <v/>
      </c>
      <c r="F27" s="710" t="str">
        <f t="shared" si="1"/>
        <v/>
      </c>
      <c r="G27" s="308" t="str">
        <f t="shared" si="2"/>
        <v/>
      </c>
      <c r="H27" s="710"/>
      <c r="I27" s="308" t="str">
        <f t="shared" si="3"/>
        <v/>
      </c>
      <c r="J27" s="710"/>
      <c r="K27" s="712" t="str">
        <f t="shared" si="4"/>
        <v/>
      </c>
      <c r="L27" s="1573" t="str">
        <f t="shared" si="5"/>
        <v/>
      </c>
      <c r="M27" s="722">
        <v>0</v>
      </c>
      <c r="N27" s="722">
        <v>0</v>
      </c>
      <c r="O27" s="722">
        <v>0</v>
      </c>
      <c r="P27" s="722">
        <v>0</v>
      </c>
      <c r="Q27" s="722">
        <v>0</v>
      </c>
      <c r="R27" s="722">
        <v>0</v>
      </c>
      <c r="S27" s="722">
        <v>0</v>
      </c>
      <c r="T27" s="722">
        <v>0</v>
      </c>
      <c r="U27" s="722">
        <v>0</v>
      </c>
      <c r="V27" s="722">
        <v>0</v>
      </c>
      <c r="W27" s="722">
        <v>0</v>
      </c>
      <c r="X27" s="722">
        <v>0</v>
      </c>
      <c r="Y27" s="722">
        <v>0</v>
      </c>
      <c r="Z27" s="722">
        <v>0</v>
      </c>
      <c r="AA27" s="722">
        <v>0</v>
      </c>
      <c r="AB27" s="721"/>
      <c r="AC27" s="716"/>
      <c r="AD27" s="74">
        <f>IF(ISERROR(VLOOKUP(B27,CourseList!$A$4:$A$29,1,FALSE)),0,1)</f>
        <v>0</v>
      </c>
      <c r="AE27" s="717">
        <v>14</v>
      </c>
      <c r="AF27" s="718"/>
      <c r="AG27" s="346" t="s">
        <v>100</v>
      </c>
      <c r="AK27" s="724"/>
    </row>
    <row r="28" spans="1:37" x14ac:dyDescent="0.35">
      <c r="A28" s="719" t="str">
        <f>IF('Courses Valid'!BU34=1,'Courses Valid'!BT34,IF(AND('Courses Valid'!BU34=0,'Courses Valid'!BV34=1),'Courses Valid'!BT34,IF(B27&lt;&gt;"",'Courses Valid'!BT34,"")))</f>
        <v/>
      </c>
      <c r="B28" s="708"/>
      <c r="C28" s="720" t="str">
        <f t="shared" si="6"/>
        <v/>
      </c>
      <c r="D28" s="308" t="str">
        <f t="shared" si="7"/>
        <v/>
      </c>
      <c r="E28" s="74" t="str">
        <f t="shared" si="0"/>
        <v/>
      </c>
      <c r="F28" s="710" t="str">
        <f t="shared" si="1"/>
        <v/>
      </c>
      <c r="G28" s="308" t="str">
        <f t="shared" si="2"/>
        <v/>
      </c>
      <c r="H28" s="710"/>
      <c r="I28" s="308" t="str">
        <f t="shared" si="3"/>
        <v/>
      </c>
      <c r="J28" s="710"/>
      <c r="K28" s="712" t="str">
        <f t="shared" si="4"/>
        <v/>
      </c>
      <c r="L28" s="1573" t="str">
        <f t="shared" si="5"/>
        <v/>
      </c>
      <c r="M28" s="722">
        <v>0</v>
      </c>
      <c r="N28" s="722">
        <v>0</v>
      </c>
      <c r="O28" s="722">
        <v>0</v>
      </c>
      <c r="P28" s="722">
        <v>0</v>
      </c>
      <c r="Q28" s="722">
        <v>0</v>
      </c>
      <c r="R28" s="722">
        <v>0</v>
      </c>
      <c r="S28" s="722">
        <v>0</v>
      </c>
      <c r="T28" s="722">
        <v>0</v>
      </c>
      <c r="U28" s="722">
        <v>0</v>
      </c>
      <c r="V28" s="722">
        <v>0</v>
      </c>
      <c r="W28" s="722">
        <v>0</v>
      </c>
      <c r="X28" s="722">
        <v>0</v>
      </c>
      <c r="Y28" s="722">
        <v>0</v>
      </c>
      <c r="Z28" s="722">
        <v>0</v>
      </c>
      <c r="AA28" s="722">
        <v>0</v>
      </c>
      <c r="AB28" s="721"/>
      <c r="AC28" s="716"/>
      <c r="AD28" s="74">
        <f>IF(ISERROR(VLOOKUP(B28,CourseList!$A$4:$A$29,1,FALSE)),0,1)</f>
        <v>0</v>
      </c>
      <c r="AE28" s="717">
        <v>15</v>
      </c>
      <c r="AF28" s="718"/>
      <c r="AG28" s="723" t="str">
        <f>'Courses Valid'!AH18</f>
        <v/>
      </c>
      <c r="AK28" s="724"/>
    </row>
    <row r="29" spans="1:37" x14ac:dyDescent="0.35">
      <c r="A29" s="719" t="str">
        <f>IF('Courses Valid'!BU35=1,'Courses Valid'!BT35,IF(AND('Courses Valid'!BU35=0,'Courses Valid'!BV35=1),'Courses Valid'!BT35,IF(B28&lt;&gt;"",'Courses Valid'!BT35,"")))</f>
        <v/>
      </c>
      <c r="B29" s="708"/>
      <c r="C29" s="720" t="str">
        <f t="shared" si="6"/>
        <v/>
      </c>
      <c r="D29" s="308" t="str">
        <f t="shared" si="7"/>
        <v/>
      </c>
      <c r="E29" s="74" t="str">
        <f t="shared" si="0"/>
        <v/>
      </c>
      <c r="F29" s="710" t="str">
        <f t="shared" si="1"/>
        <v/>
      </c>
      <c r="G29" s="308" t="str">
        <f t="shared" si="2"/>
        <v/>
      </c>
      <c r="H29" s="710"/>
      <c r="I29" s="308" t="str">
        <f t="shared" si="3"/>
        <v/>
      </c>
      <c r="J29" s="710"/>
      <c r="K29" s="712" t="str">
        <f t="shared" si="4"/>
        <v/>
      </c>
      <c r="L29" s="1573" t="str">
        <f t="shared" si="5"/>
        <v/>
      </c>
      <c r="M29" s="722">
        <v>0</v>
      </c>
      <c r="N29" s="722">
        <v>0</v>
      </c>
      <c r="O29" s="722">
        <v>0</v>
      </c>
      <c r="P29" s="722">
        <v>0</v>
      </c>
      <c r="Q29" s="722">
        <v>0</v>
      </c>
      <c r="R29" s="722">
        <v>0</v>
      </c>
      <c r="S29" s="722">
        <v>0</v>
      </c>
      <c r="T29" s="722">
        <v>0</v>
      </c>
      <c r="U29" s="722">
        <v>0</v>
      </c>
      <c r="V29" s="722">
        <v>0</v>
      </c>
      <c r="W29" s="722">
        <v>0</v>
      </c>
      <c r="X29" s="722">
        <v>0</v>
      </c>
      <c r="Y29" s="722">
        <v>0</v>
      </c>
      <c r="Z29" s="722">
        <v>0</v>
      </c>
      <c r="AA29" s="722">
        <v>0</v>
      </c>
      <c r="AB29" s="721"/>
      <c r="AC29" s="716"/>
      <c r="AD29" s="74">
        <f>IF(ISERROR(VLOOKUP(B29,CourseList!$A$4:$A$29,1,FALSE)),0,1)</f>
        <v>0</v>
      </c>
      <c r="AE29" s="717">
        <v>16</v>
      </c>
      <c r="AF29" s="718"/>
      <c r="AG29" s="346" t="s">
        <v>108</v>
      </c>
      <c r="AK29" s="724"/>
    </row>
    <row r="30" spans="1:37" x14ac:dyDescent="0.35">
      <c r="A30" s="719" t="str">
        <f>IF('Courses Valid'!BU36=1,'Courses Valid'!BT36,IF(AND('Courses Valid'!BU36=0,'Courses Valid'!BV36=1),'Courses Valid'!BT36,IF(B29&lt;&gt;"",'Courses Valid'!BT36,"")))</f>
        <v/>
      </c>
      <c r="B30" s="708"/>
      <c r="C30" s="720" t="str">
        <f t="shared" si="6"/>
        <v/>
      </c>
      <c r="D30" s="308" t="str">
        <f t="shared" si="7"/>
        <v/>
      </c>
      <c r="E30" s="74" t="str">
        <f t="shared" si="0"/>
        <v/>
      </c>
      <c r="F30" s="710" t="str">
        <f t="shared" si="1"/>
        <v/>
      </c>
      <c r="G30" s="308" t="str">
        <f t="shared" si="2"/>
        <v/>
      </c>
      <c r="H30" s="710"/>
      <c r="I30" s="308" t="str">
        <f t="shared" si="3"/>
        <v/>
      </c>
      <c r="J30" s="710"/>
      <c r="K30" s="712" t="str">
        <f t="shared" si="4"/>
        <v/>
      </c>
      <c r="L30" s="1573" t="str">
        <f t="shared" si="5"/>
        <v/>
      </c>
      <c r="M30" s="712">
        <v>0</v>
      </c>
      <c r="N30" s="712">
        <v>0</v>
      </c>
      <c r="O30" s="712">
        <v>0</v>
      </c>
      <c r="P30" s="712">
        <v>0</v>
      </c>
      <c r="Q30" s="712">
        <v>0</v>
      </c>
      <c r="R30" s="712">
        <v>0</v>
      </c>
      <c r="S30" s="712">
        <v>0</v>
      </c>
      <c r="T30" s="712">
        <v>0</v>
      </c>
      <c r="U30" s="712">
        <v>0</v>
      </c>
      <c r="V30" s="712">
        <v>0</v>
      </c>
      <c r="W30" s="712">
        <v>0</v>
      </c>
      <c r="X30" s="712">
        <v>0</v>
      </c>
      <c r="Y30" s="712">
        <v>0</v>
      </c>
      <c r="Z30" s="712">
        <v>0</v>
      </c>
      <c r="AA30" s="712">
        <v>0</v>
      </c>
      <c r="AB30" s="721"/>
      <c r="AC30" s="716"/>
      <c r="AD30" s="74">
        <f>IF(ISERROR(VLOOKUP(B30,CourseList!$A$4:$A$29,1,FALSE)),0,1)</f>
        <v>0</v>
      </c>
      <c r="AE30" s="717">
        <v>17</v>
      </c>
      <c r="AF30" s="718"/>
      <c r="AG30" s="723" t="str">
        <f>'Courses Valid'!AL16</f>
        <v/>
      </c>
      <c r="AK30" s="724"/>
    </row>
    <row r="31" spans="1:37" x14ac:dyDescent="0.35">
      <c r="A31" s="719" t="str">
        <f>IF('Courses Valid'!BU37=1,'Courses Valid'!BT37,IF(AND('Courses Valid'!BU37=0,'Courses Valid'!BV37=1),'Courses Valid'!BT37,IF(B30&lt;&gt;"",'Courses Valid'!BT37,"")))</f>
        <v/>
      </c>
      <c r="B31" s="708"/>
      <c r="C31" s="720" t="str">
        <f t="shared" si="6"/>
        <v/>
      </c>
      <c r="D31" s="308" t="str">
        <f t="shared" si="7"/>
        <v/>
      </c>
      <c r="E31" s="74" t="str">
        <f t="shared" si="0"/>
        <v/>
      </c>
      <c r="F31" s="710" t="str">
        <f t="shared" si="1"/>
        <v/>
      </c>
      <c r="G31" s="308" t="str">
        <f t="shared" si="2"/>
        <v/>
      </c>
      <c r="H31" s="710"/>
      <c r="I31" s="308" t="str">
        <f t="shared" si="3"/>
        <v/>
      </c>
      <c r="J31" s="710"/>
      <c r="K31" s="712" t="str">
        <f t="shared" si="4"/>
        <v/>
      </c>
      <c r="L31" s="1573" t="str">
        <f t="shared" si="5"/>
        <v/>
      </c>
      <c r="M31" s="712">
        <v>0</v>
      </c>
      <c r="N31" s="712">
        <v>0</v>
      </c>
      <c r="O31" s="712">
        <v>0</v>
      </c>
      <c r="P31" s="712">
        <v>0</v>
      </c>
      <c r="Q31" s="712">
        <v>0</v>
      </c>
      <c r="R31" s="712">
        <v>0</v>
      </c>
      <c r="S31" s="712">
        <v>0</v>
      </c>
      <c r="T31" s="712">
        <v>0</v>
      </c>
      <c r="U31" s="712">
        <v>0</v>
      </c>
      <c r="V31" s="712">
        <v>0</v>
      </c>
      <c r="W31" s="712">
        <v>0</v>
      </c>
      <c r="X31" s="712">
        <v>0</v>
      </c>
      <c r="Y31" s="712">
        <v>0</v>
      </c>
      <c r="Z31" s="712">
        <v>0</v>
      </c>
      <c r="AA31" s="712">
        <v>0</v>
      </c>
      <c r="AB31" s="721"/>
      <c r="AC31" s="716"/>
      <c r="AD31" s="74">
        <f>IF(ISERROR(VLOOKUP(B31,CourseList!$A$4:$A$29,1,FALSE)),0,1)</f>
        <v>0</v>
      </c>
      <c r="AE31" s="717">
        <v>18</v>
      </c>
      <c r="AF31" s="718"/>
      <c r="AG31" s="346" t="s">
        <v>112</v>
      </c>
      <c r="AK31" s="724"/>
    </row>
    <row r="32" spans="1:37" x14ac:dyDescent="0.35">
      <c r="A32" s="719" t="str">
        <f>IF('Courses Valid'!BU38=1,'Courses Valid'!BT38,IF(AND('Courses Valid'!BU38=0,'Courses Valid'!BV38=1),'Courses Valid'!BT38,IF(B31&lt;&gt;"",'Courses Valid'!BT38,"")))</f>
        <v/>
      </c>
      <c r="B32" s="708"/>
      <c r="C32" s="720" t="str">
        <f t="shared" si="6"/>
        <v/>
      </c>
      <c r="D32" s="308" t="str">
        <f t="shared" si="7"/>
        <v/>
      </c>
      <c r="E32" s="74" t="str">
        <f t="shared" si="0"/>
        <v/>
      </c>
      <c r="F32" s="710" t="str">
        <f t="shared" si="1"/>
        <v/>
      </c>
      <c r="G32" s="308" t="str">
        <f t="shared" si="2"/>
        <v/>
      </c>
      <c r="H32" s="710"/>
      <c r="I32" s="308" t="str">
        <f t="shared" si="3"/>
        <v/>
      </c>
      <c r="J32" s="710"/>
      <c r="K32" s="712" t="str">
        <f t="shared" si="4"/>
        <v/>
      </c>
      <c r="L32" s="1573" t="str">
        <f t="shared" si="5"/>
        <v/>
      </c>
      <c r="M32" s="712">
        <v>0</v>
      </c>
      <c r="N32" s="712">
        <v>0</v>
      </c>
      <c r="O32" s="712">
        <v>0</v>
      </c>
      <c r="P32" s="712">
        <v>0</v>
      </c>
      <c r="Q32" s="712">
        <v>0</v>
      </c>
      <c r="R32" s="712">
        <v>0</v>
      </c>
      <c r="S32" s="712">
        <v>0</v>
      </c>
      <c r="T32" s="712">
        <v>0</v>
      </c>
      <c r="U32" s="712">
        <v>0</v>
      </c>
      <c r="V32" s="712">
        <v>0</v>
      </c>
      <c r="W32" s="712">
        <v>0</v>
      </c>
      <c r="X32" s="712">
        <v>0</v>
      </c>
      <c r="Y32" s="712">
        <v>0</v>
      </c>
      <c r="Z32" s="712">
        <v>0</v>
      </c>
      <c r="AA32" s="712">
        <v>0</v>
      </c>
      <c r="AB32" s="721"/>
      <c r="AC32" s="716"/>
      <c r="AD32" s="74">
        <f>IF(ISERROR(VLOOKUP(B32,CourseList!$A$4:$A$29,1,FALSE)),0,1)</f>
        <v>0</v>
      </c>
      <c r="AE32" s="717">
        <v>19</v>
      </c>
      <c r="AF32" s="718"/>
      <c r="AG32" s="723" t="str">
        <f>'Courses Valid'!BD16</f>
        <v/>
      </c>
      <c r="AK32" s="724"/>
    </row>
    <row r="33" spans="1:37" x14ac:dyDescent="0.35">
      <c r="A33" s="719" t="str">
        <f>IF('Courses Valid'!BU39=1,'Courses Valid'!BT39,IF(AND('Courses Valid'!BU39=0,'Courses Valid'!BV39=1),'Courses Valid'!BT39,IF(B32&lt;&gt;"",'Courses Valid'!BT39,"")))</f>
        <v/>
      </c>
      <c r="B33" s="708"/>
      <c r="C33" s="720" t="str">
        <f t="shared" si="6"/>
        <v/>
      </c>
      <c r="D33" s="308" t="str">
        <f t="shared" si="7"/>
        <v/>
      </c>
      <c r="E33" s="74" t="str">
        <f t="shared" si="0"/>
        <v/>
      </c>
      <c r="F33" s="710" t="str">
        <f t="shared" si="1"/>
        <v/>
      </c>
      <c r="G33" s="308" t="str">
        <f t="shared" si="2"/>
        <v/>
      </c>
      <c r="H33" s="710"/>
      <c r="I33" s="308" t="str">
        <f t="shared" si="3"/>
        <v/>
      </c>
      <c r="J33" s="710"/>
      <c r="K33" s="712" t="str">
        <f t="shared" si="4"/>
        <v/>
      </c>
      <c r="L33" s="1573" t="str">
        <f t="shared" si="5"/>
        <v/>
      </c>
      <c r="M33" s="712">
        <v>0</v>
      </c>
      <c r="N33" s="712">
        <v>0</v>
      </c>
      <c r="O33" s="712">
        <v>0</v>
      </c>
      <c r="P33" s="712">
        <v>0</v>
      </c>
      <c r="Q33" s="712">
        <v>0</v>
      </c>
      <c r="R33" s="712">
        <v>0</v>
      </c>
      <c r="S33" s="712">
        <v>0</v>
      </c>
      <c r="T33" s="712">
        <v>0</v>
      </c>
      <c r="U33" s="712">
        <v>0</v>
      </c>
      <c r="V33" s="712">
        <v>0</v>
      </c>
      <c r="W33" s="712">
        <v>0</v>
      </c>
      <c r="X33" s="712">
        <v>0</v>
      </c>
      <c r="Y33" s="712">
        <v>0</v>
      </c>
      <c r="Z33" s="712">
        <v>0</v>
      </c>
      <c r="AA33" s="712">
        <v>0</v>
      </c>
      <c r="AB33" s="721"/>
      <c r="AC33" s="716"/>
      <c r="AD33" s="74">
        <f>IF(ISERROR(VLOOKUP(B33,CourseList!$A$4:$A$29,1,FALSE)),0,1)</f>
        <v>0</v>
      </c>
      <c r="AE33" s="717">
        <v>20</v>
      </c>
      <c r="AF33" s="718"/>
      <c r="AG33" s="346" t="s">
        <v>116</v>
      </c>
      <c r="AK33" s="724"/>
    </row>
    <row r="34" spans="1:37" x14ac:dyDescent="0.35">
      <c r="A34" s="719" t="str">
        <f>IF('Courses Valid'!BU40=1,'Courses Valid'!BT40,IF(AND('Courses Valid'!BU40=0,'Courses Valid'!BV40=1),'Courses Valid'!BT40,IF(B33&lt;&gt;"",'Courses Valid'!BT40,"")))</f>
        <v/>
      </c>
      <c r="B34" s="708"/>
      <c r="C34" s="720" t="str">
        <f t="shared" si="6"/>
        <v/>
      </c>
      <c r="D34" s="308" t="str">
        <f t="shared" si="7"/>
        <v/>
      </c>
      <c r="E34" s="74" t="str">
        <f t="shared" si="0"/>
        <v/>
      </c>
      <c r="F34" s="710" t="str">
        <f t="shared" si="1"/>
        <v/>
      </c>
      <c r="G34" s="308" t="str">
        <f t="shared" si="2"/>
        <v/>
      </c>
      <c r="H34" s="710"/>
      <c r="I34" s="308" t="str">
        <f t="shared" si="3"/>
        <v/>
      </c>
      <c r="J34" s="710"/>
      <c r="K34" s="712" t="str">
        <f t="shared" si="4"/>
        <v/>
      </c>
      <c r="L34" s="1573" t="str">
        <f t="shared" si="5"/>
        <v/>
      </c>
      <c r="M34" s="712">
        <v>0</v>
      </c>
      <c r="N34" s="712">
        <v>0</v>
      </c>
      <c r="O34" s="712">
        <v>0</v>
      </c>
      <c r="P34" s="712">
        <v>0</v>
      </c>
      <c r="Q34" s="712">
        <v>0</v>
      </c>
      <c r="R34" s="712">
        <v>0</v>
      </c>
      <c r="S34" s="712">
        <v>0</v>
      </c>
      <c r="T34" s="712">
        <v>0</v>
      </c>
      <c r="U34" s="712">
        <v>0</v>
      </c>
      <c r="V34" s="712">
        <v>0</v>
      </c>
      <c r="W34" s="712">
        <v>0</v>
      </c>
      <c r="X34" s="712">
        <v>0</v>
      </c>
      <c r="Y34" s="712">
        <v>0</v>
      </c>
      <c r="Z34" s="712">
        <v>0</v>
      </c>
      <c r="AA34" s="712">
        <v>0</v>
      </c>
      <c r="AB34" s="721"/>
      <c r="AC34" s="716"/>
      <c r="AD34" s="74">
        <f>IF(ISERROR(VLOOKUP(B34,CourseList!$A$4:$A$29,1,FALSE)),0,1)</f>
        <v>0</v>
      </c>
      <c r="AE34" s="717">
        <v>21</v>
      </c>
      <c r="AF34" s="718"/>
      <c r="AG34" s="725" t="str">
        <f>'Courses Valid'!BW18</f>
        <v/>
      </c>
      <c r="AK34" s="724"/>
    </row>
    <row r="35" spans="1:37" x14ac:dyDescent="0.35">
      <c r="A35" s="719" t="str">
        <f>IF('Courses Valid'!BU41=1,'Courses Valid'!BT41,IF(AND('Courses Valid'!BU41=0,'Courses Valid'!BV41=1),'Courses Valid'!BT41,IF(B34&lt;&gt;"",'Courses Valid'!BT41,"")))</f>
        <v/>
      </c>
      <c r="B35" s="708"/>
      <c r="C35" s="720" t="str">
        <f t="shared" si="6"/>
        <v/>
      </c>
      <c r="D35" s="308" t="str">
        <f t="shared" si="7"/>
        <v/>
      </c>
      <c r="E35" s="74" t="str">
        <f t="shared" si="0"/>
        <v/>
      </c>
      <c r="F35" s="710" t="str">
        <f t="shared" si="1"/>
        <v/>
      </c>
      <c r="G35" s="308" t="str">
        <f t="shared" si="2"/>
        <v/>
      </c>
      <c r="H35" s="710"/>
      <c r="I35" s="308" t="str">
        <f t="shared" si="3"/>
        <v/>
      </c>
      <c r="J35" s="710"/>
      <c r="K35" s="712" t="str">
        <f t="shared" si="4"/>
        <v/>
      </c>
      <c r="L35" s="1573" t="str">
        <f t="shared" si="5"/>
        <v/>
      </c>
      <c r="M35" s="712">
        <v>0</v>
      </c>
      <c r="N35" s="712">
        <v>0</v>
      </c>
      <c r="O35" s="712">
        <v>0</v>
      </c>
      <c r="P35" s="712">
        <v>0</v>
      </c>
      <c r="Q35" s="712">
        <v>0</v>
      </c>
      <c r="R35" s="712">
        <v>0</v>
      </c>
      <c r="S35" s="712">
        <v>0</v>
      </c>
      <c r="T35" s="712">
        <v>0</v>
      </c>
      <c r="U35" s="712">
        <v>0</v>
      </c>
      <c r="V35" s="712">
        <v>0</v>
      </c>
      <c r="W35" s="712">
        <v>0</v>
      </c>
      <c r="X35" s="712">
        <v>0</v>
      </c>
      <c r="Y35" s="712">
        <v>0</v>
      </c>
      <c r="Z35" s="712">
        <v>0</v>
      </c>
      <c r="AA35" s="712">
        <v>0</v>
      </c>
      <c r="AB35" s="721"/>
      <c r="AC35" s="716"/>
      <c r="AD35" s="74">
        <f>IF(ISERROR(VLOOKUP(B35,CourseList!$A$4:$A$29,1,FALSE)),0,1)</f>
        <v>0</v>
      </c>
      <c r="AE35" s="717">
        <v>22</v>
      </c>
      <c r="AF35" s="718"/>
      <c r="AG35" s="346" t="s">
        <v>27983</v>
      </c>
    </row>
    <row r="36" spans="1:37" x14ac:dyDescent="0.35">
      <c r="A36" s="719" t="str">
        <f>IF('Courses Valid'!BU42=1,'Courses Valid'!BT42,IF(AND('Courses Valid'!BU42=0,'Courses Valid'!BV42=1),'Courses Valid'!BT42,IF(B35&lt;&gt;"",'Courses Valid'!BT42,"")))</f>
        <v/>
      </c>
      <c r="B36" s="708"/>
      <c r="C36" s="720" t="str">
        <f t="shared" si="6"/>
        <v/>
      </c>
      <c r="D36" s="308" t="str">
        <f t="shared" si="7"/>
        <v/>
      </c>
      <c r="E36" s="74" t="str">
        <f t="shared" si="0"/>
        <v/>
      </c>
      <c r="F36" s="710" t="str">
        <f t="shared" si="1"/>
        <v/>
      </c>
      <c r="G36" s="308" t="str">
        <f t="shared" si="2"/>
        <v/>
      </c>
      <c r="H36" s="710"/>
      <c r="I36" s="308" t="str">
        <f t="shared" si="3"/>
        <v/>
      </c>
      <c r="J36" s="710"/>
      <c r="K36" s="712" t="str">
        <f t="shared" si="4"/>
        <v/>
      </c>
      <c r="L36" s="1573" t="str">
        <f t="shared" si="5"/>
        <v/>
      </c>
      <c r="M36" s="712">
        <v>0</v>
      </c>
      <c r="N36" s="712">
        <v>0</v>
      </c>
      <c r="O36" s="712">
        <v>0</v>
      </c>
      <c r="P36" s="712">
        <v>0</v>
      </c>
      <c r="Q36" s="712">
        <v>0</v>
      </c>
      <c r="R36" s="712">
        <v>0</v>
      </c>
      <c r="S36" s="712">
        <v>0</v>
      </c>
      <c r="T36" s="712">
        <v>0</v>
      </c>
      <c r="U36" s="712">
        <v>0</v>
      </c>
      <c r="V36" s="712">
        <v>0</v>
      </c>
      <c r="W36" s="712">
        <v>0</v>
      </c>
      <c r="X36" s="712">
        <v>0</v>
      </c>
      <c r="Y36" s="712">
        <v>0</v>
      </c>
      <c r="Z36" s="712">
        <v>0</v>
      </c>
      <c r="AA36" s="712">
        <v>0</v>
      </c>
      <c r="AB36" s="721"/>
      <c r="AC36" s="716"/>
      <c r="AD36" s="74">
        <f>IF(ISERROR(VLOOKUP(B36,CourseList!$A$4:$A$29,1,FALSE)),0,1)</f>
        <v>0</v>
      </c>
      <c r="AE36" s="717">
        <v>23</v>
      </c>
      <c r="AF36" s="718"/>
      <c r="AG36" s="725" t="str">
        <f>'Courses Valid'!BZ18</f>
        <v/>
      </c>
    </row>
    <row r="37" spans="1:37" x14ac:dyDescent="0.35">
      <c r="A37" s="719" t="str">
        <f>IF('Courses Valid'!BU43=1,'Courses Valid'!BT43,IF(AND('Courses Valid'!BU43=0,'Courses Valid'!BV43=1),'Courses Valid'!BT43,IF(B36&lt;&gt;"",'Courses Valid'!BT43,"")))</f>
        <v/>
      </c>
      <c r="B37" s="708"/>
      <c r="C37" s="720" t="str">
        <f t="shared" si="6"/>
        <v/>
      </c>
      <c r="D37" s="308" t="str">
        <f t="shared" si="7"/>
        <v/>
      </c>
      <c r="E37" s="74" t="str">
        <f t="shared" si="0"/>
        <v/>
      </c>
      <c r="F37" s="710" t="str">
        <f t="shared" si="1"/>
        <v/>
      </c>
      <c r="G37" s="308" t="str">
        <f t="shared" si="2"/>
        <v/>
      </c>
      <c r="H37" s="710"/>
      <c r="I37" s="308" t="str">
        <f t="shared" si="3"/>
        <v/>
      </c>
      <c r="J37" s="710"/>
      <c r="K37" s="712" t="str">
        <f t="shared" si="4"/>
        <v/>
      </c>
      <c r="L37" s="1573" t="str">
        <f t="shared" si="5"/>
        <v/>
      </c>
      <c r="M37" s="712">
        <v>0</v>
      </c>
      <c r="N37" s="712">
        <v>0</v>
      </c>
      <c r="O37" s="712">
        <v>0</v>
      </c>
      <c r="P37" s="712">
        <v>0</v>
      </c>
      <c r="Q37" s="712">
        <v>0</v>
      </c>
      <c r="R37" s="712">
        <v>0</v>
      </c>
      <c r="S37" s="712">
        <v>0</v>
      </c>
      <c r="T37" s="712">
        <v>0</v>
      </c>
      <c r="U37" s="712">
        <v>0</v>
      </c>
      <c r="V37" s="712">
        <v>0</v>
      </c>
      <c r="W37" s="712">
        <v>0</v>
      </c>
      <c r="X37" s="712">
        <v>0</v>
      </c>
      <c r="Y37" s="712">
        <v>0</v>
      </c>
      <c r="Z37" s="712">
        <v>0</v>
      </c>
      <c r="AA37" s="712">
        <v>0</v>
      </c>
      <c r="AB37" s="721"/>
      <c r="AC37" s="716"/>
      <c r="AD37" s="74">
        <f>IF(ISERROR(VLOOKUP(B37,CourseList!$A$4:$A$29,1,FALSE)),0,1)</f>
        <v>0</v>
      </c>
      <c r="AE37" s="717">
        <v>24</v>
      </c>
      <c r="AF37" s="718"/>
      <c r="AG37" s="346" t="s">
        <v>124</v>
      </c>
    </row>
    <row r="38" spans="1:37" x14ac:dyDescent="0.35">
      <c r="A38" s="719" t="str">
        <f>IF('Courses Valid'!BU44=1,'Courses Valid'!BT44,IF(AND('Courses Valid'!BU44=0,'Courses Valid'!BV44=1),'Courses Valid'!BT44,IF(B37&lt;&gt;"",'Courses Valid'!BT44,"")))</f>
        <v/>
      </c>
      <c r="B38" s="708"/>
      <c r="C38" s="720" t="str">
        <f t="shared" si="6"/>
        <v/>
      </c>
      <c r="D38" s="308" t="str">
        <f t="shared" si="7"/>
        <v/>
      </c>
      <c r="E38" s="74" t="str">
        <f t="shared" si="0"/>
        <v/>
      </c>
      <c r="F38" s="710" t="str">
        <f t="shared" si="1"/>
        <v/>
      </c>
      <c r="G38" s="308" t="str">
        <f t="shared" si="2"/>
        <v/>
      </c>
      <c r="H38" s="710"/>
      <c r="I38" s="308" t="str">
        <f t="shared" si="3"/>
        <v/>
      </c>
      <c r="J38" s="710"/>
      <c r="K38" s="712" t="str">
        <f t="shared" si="4"/>
        <v/>
      </c>
      <c r="L38" s="1573" t="str">
        <f t="shared" si="5"/>
        <v/>
      </c>
      <c r="M38" s="712">
        <v>0</v>
      </c>
      <c r="N38" s="712">
        <v>0</v>
      </c>
      <c r="O38" s="712">
        <v>0</v>
      </c>
      <c r="P38" s="712">
        <v>0</v>
      </c>
      <c r="Q38" s="712">
        <v>0</v>
      </c>
      <c r="R38" s="712">
        <v>0</v>
      </c>
      <c r="S38" s="712">
        <v>0</v>
      </c>
      <c r="T38" s="712">
        <v>0</v>
      </c>
      <c r="U38" s="712">
        <v>0</v>
      </c>
      <c r="V38" s="712">
        <v>0</v>
      </c>
      <c r="W38" s="712">
        <v>0</v>
      </c>
      <c r="X38" s="712">
        <v>0</v>
      </c>
      <c r="Y38" s="712">
        <v>0</v>
      </c>
      <c r="Z38" s="712">
        <v>0</v>
      </c>
      <c r="AA38" s="712">
        <v>0</v>
      </c>
      <c r="AB38" s="721"/>
      <c r="AC38" s="716"/>
      <c r="AD38" s="74">
        <f>IF(ISERROR(VLOOKUP(B38,CourseList!$A$4:$A$29,1,FALSE)),0,1)</f>
        <v>0</v>
      </c>
      <c r="AE38" s="717">
        <v>25</v>
      </c>
      <c r="AF38" s="718"/>
      <c r="AG38" s="725" t="str">
        <f>'Courses Valid'!CC18</f>
        <v/>
      </c>
    </row>
    <row r="39" spans="1:37" x14ac:dyDescent="0.35">
      <c r="A39" s="719" t="str">
        <f>IF('Courses Valid'!BU45=1,'Courses Valid'!BT45,IF(AND('Courses Valid'!BU45=0,'Courses Valid'!BV45=1),'Courses Valid'!BT45,IF(B38&lt;&gt;"",'Courses Valid'!BT45,"")))</f>
        <v/>
      </c>
      <c r="B39" s="708"/>
      <c r="C39" s="720" t="str">
        <f t="shared" si="6"/>
        <v/>
      </c>
      <c r="D39" s="308" t="str">
        <f t="shared" si="7"/>
        <v/>
      </c>
      <c r="E39" s="74" t="str">
        <f t="shared" si="0"/>
        <v/>
      </c>
      <c r="F39" s="710" t="str">
        <f t="shared" si="1"/>
        <v/>
      </c>
      <c r="G39" s="308" t="str">
        <f t="shared" si="2"/>
        <v/>
      </c>
      <c r="H39" s="710"/>
      <c r="I39" s="308" t="str">
        <f t="shared" si="3"/>
        <v/>
      </c>
      <c r="J39" s="710"/>
      <c r="K39" s="712" t="str">
        <f t="shared" si="4"/>
        <v/>
      </c>
      <c r="L39" s="1573" t="str">
        <f t="shared" si="5"/>
        <v/>
      </c>
      <c r="M39" s="712">
        <v>0</v>
      </c>
      <c r="N39" s="712">
        <v>0</v>
      </c>
      <c r="O39" s="712">
        <v>0</v>
      </c>
      <c r="P39" s="712">
        <v>0</v>
      </c>
      <c r="Q39" s="712">
        <v>0</v>
      </c>
      <c r="R39" s="712">
        <v>0</v>
      </c>
      <c r="S39" s="712">
        <v>0</v>
      </c>
      <c r="T39" s="712">
        <v>0</v>
      </c>
      <c r="U39" s="712">
        <v>0</v>
      </c>
      <c r="V39" s="712">
        <v>0</v>
      </c>
      <c r="W39" s="712">
        <v>0</v>
      </c>
      <c r="X39" s="712">
        <v>0</v>
      </c>
      <c r="Y39" s="712">
        <v>0</v>
      </c>
      <c r="Z39" s="712">
        <v>0</v>
      </c>
      <c r="AA39" s="712">
        <v>0</v>
      </c>
      <c r="AB39" s="721"/>
      <c r="AC39" s="716"/>
      <c r="AD39" s="74">
        <f>IF(ISERROR(VLOOKUP(B39,CourseList!$A$4:$A$29,1,FALSE)),0,1)</f>
        <v>0</v>
      </c>
      <c r="AE39" s="717">
        <v>26</v>
      </c>
      <c r="AF39" s="718"/>
    </row>
    <row r="40" spans="1:37" ht="15" x14ac:dyDescent="0.35">
      <c r="A40" s="719" t="str">
        <f>IF('Courses Valid'!BU46=1,'Courses Valid'!BT46,IF(AND('Courses Valid'!BU46=0,'Courses Valid'!BV46=1),'Courses Valid'!BT46,IF(B39&lt;&gt;"",'Courses Valid'!BT46,"")))</f>
        <v/>
      </c>
      <c r="B40" s="708"/>
      <c r="C40" s="720" t="str">
        <f t="shared" si="6"/>
        <v/>
      </c>
      <c r="D40" s="308" t="str">
        <f t="shared" si="7"/>
        <v/>
      </c>
      <c r="E40" s="74" t="str">
        <f t="shared" si="0"/>
        <v/>
      </c>
      <c r="F40" s="710" t="str">
        <f t="shared" si="1"/>
        <v/>
      </c>
      <c r="G40" s="308" t="str">
        <f t="shared" si="2"/>
        <v/>
      </c>
      <c r="H40" s="710"/>
      <c r="I40" s="308" t="str">
        <f t="shared" si="3"/>
        <v/>
      </c>
      <c r="J40" s="710"/>
      <c r="K40" s="712" t="str">
        <f t="shared" si="4"/>
        <v/>
      </c>
      <c r="L40" s="1573" t="str">
        <f t="shared" si="5"/>
        <v/>
      </c>
      <c r="M40" s="712">
        <v>0</v>
      </c>
      <c r="N40" s="712">
        <v>0</v>
      </c>
      <c r="O40" s="712">
        <v>0</v>
      </c>
      <c r="P40" s="712">
        <v>0</v>
      </c>
      <c r="Q40" s="712">
        <v>0</v>
      </c>
      <c r="R40" s="712">
        <v>0</v>
      </c>
      <c r="S40" s="712">
        <v>0</v>
      </c>
      <c r="T40" s="712">
        <v>0</v>
      </c>
      <c r="U40" s="712">
        <v>0</v>
      </c>
      <c r="V40" s="712">
        <v>0</v>
      </c>
      <c r="W40" s="712">
        <v>0</v>
      </c>
      <c r="X40" s="712">
        <v>0</v>
      </c>
      <c r="Y40" s="712">
        <v>0</v>
      </c>
      <c r="Z40" s="712">
        <v>0</v>
      </c>
      <c r="AA40" s="712">
        <v>0</v>
      </c>
      <c r="AB40" s="721"/>
      <c r="AC40" s="716"/>
      <c r="AD40" s="74">
        <f>IF(ISERROR(VLOOKUP(B40,CourseList!$A$4:$A$29,1,FALSE)),0,1)</f>
        <v>0</v>
      </c>
      <c r="AE40" s="717">
        <v>27</v>
      </c>
      <c r="AF40" s="718"/>
      <c r="AG40" s="657" t="s">
        <v>337</v>
      </c>
    </row>
    <row r="41" spans="1:37" x14ac:dyDescent="0.35">
      <c r="A41" s="719" t="str">
        <f>IF('Courses Valid'!BU47=1,'Courses Valid'!BT47,IF(AND('Courses Valid'!BU47=0,'Courses Valid'!BV47=1),'Courses Valid'!BT47,IF(B40&lt;&gt;"",'Courses Valid'!BT47,"")))</f>
        <v/>
      </c>
      <c r="B41" s="708"/>
      <c r="C41" s="720" t="str">
        <f t="shared" si="6"/>
        <v/>
      </c>
      <c r="D41" s="308" t="str">
        <f t="shared" si="7"/>
        <v/>
      </c>
      <c r="E41" s="74" t="str">
        <f t="shared" si="0"/>
        <v/>
      </c>
      <c r="F41" s="710" t="str">
        <f t="shared" si="1"/>
        <v/>
      </c>
      <c r="G41" s="308" t="str">
        <f t="shared" si="2"/>
        <v/>
      </c>
      <c r="H41" s="710"/>
      <c r="I41" s="308" t="str">
        <f t="shared" si="3"/>
        <v/>
      </c>
      <c r="J41" s="710"/>
      <c r="K41" s="712" t="str">
        <f t="shared" si="4"/>
        <v/>
      </c>
      <c r="L41" s="1573" t="str">
        <f t="shared" si="5"/>
        <v/>
      </c>
      <c r="M41" s="712">
        <v>0</v>
      </c>
      <c r="N41" s="712">
        <v>0</v>
      </c>
      <c r="O41" s="712">
        <v>0</v>
      </c>
      <c r="P41" s="712">
        <v>0</v>
      </c>
      <c r="Q41" s="712">
        <v>0</v>
      </c>
      <c r="R41" s="712">
        <v>0</v>
      </c>
      <c r="S41" s="712">
        <v>0</v>
      </c>
      <c r="T41" s="712">
        <v>0</v>
      </c>
      <c r="U41" s="712">
        <v>0</v>
      </c>
      <c r="V41" s="712">
        <v>0</v>
      </c>
      <c r="W41" s="712">
        <v>0</v>
      </c>
      <c r="X41" s="712">
        <v>0</v>
      </c>
      <c r="Y41" s="712">
        <v>0</v>
      </c>
      <c r="Z41" s="712">
        <v>0</v>
      </c>
      <c r="AA41" s="712">
        <v>0</v>
      </c>
      <c r="AB41" s="721"/>
      <c r="AC41" s="716"/>
      <c r="AD41" s="74">
        <f>IF(ISERROR(VLOOKUP(B41,CourseList!$A$4:$A$29,1,FALSE)),0,1)</f>
        <v>0</v>
      </c>
      <c r="AE41" s="717">
        <v>28</v>
      </c>
      <c r="AF41" s="718"/>
      <c r="AG41" s="346" t="s">
        <v>338</v>
      </c>
    </row>
    <row r="42" spans="1:37" x14ac:dyDescent="0.35">
      <c r="A42" s="719" t="str">
        <f>IF('Courses Valid'!BU48=1,'Courses Valid'!BT48,IF(AND('Courses Valid'!BU48=0,'Courses Valid'!BV48=1),'Courses Valid'!BT48,IF(B41&lt;&gt;"",'Courses Valid'!BT48,"")))</f>
        <v/>
      </c>
      <c r="B42" s="708"/>
      <c r="C42" s="720" t="str">
        <f t="shared" si="6"/>
        <v/>
      </c>
      <c r="D42" s="308" t="str">
        <f t="shared" si="7"/>
        <v/>
      </c>
      <c r="E42" s="74" t="str">
        <f t="shared" si="0"/>
        <v/>
      </c>
      <c r="F42" s="710" t="str">
        <f t="shared" si="1"/>
        <v/>
      </c>
      <c r="G42" s="308" t="str">
        <f t="shared" si="2"/>
        <v/>
      </c>
      <c r="H42" s="710"/>
      <c r="I42" s="308" t="str">
        <f t="shared" si="3"/>
        <v/>
      </c>
      <c r="J42" s="710"/>
      <c r="K42" s="712" t="str">
        <f t="shared" si="4"/>
        <v/>
      </c>
      <c r="L42" s="1573" t="str">
        <f t="shared" si="5"/>
        <v/>
      </c>
      <c r="M42" s="712">
        <v>0</v>
      </c>
      <c r="N42" s="712">
        <v>0</v>
      </c>
      <c r="O42" s="712">
        <v>0</v>
      </c>
      <c r="P42" s="712">
        <v>0</v>
      </c>
      <c r="Q42" s="712">
        <v>0</v>
      </c>
      <c r="R42" s="712">
        <v>0</v>
      </c>
      <c r="S42" s="712">
        <v>0</v>
      </c>
      <c r="T42" s="712">
        <v>0</v>
      </c>
      <c r="U42" s="712">
        <v>0</v>
      </c>
      <c r="V42" s="712">
        <v>0</v>
      </c>
      <c r="W42" s="712">
        <v>0</v>
      </c>
      <c r="X42" s="712">
        <v>0</v>
      </c>
      <c r="Y42" s="712">
        <v>0</v>
      </c>
      <c r="Z42" s="712">
        <v>0</v>
      </c>
      <c r="AA42" s="712">
        <v>0</v>
      </c>
      <c r="AB42" s="721"/>
      <c r="AC42" s="716"/>
      <c r="AD42" s="74">
        <f>IF(ISERROR(VLOOKUP(B42,CourseList!$A$4:$A$29,1,FALSE)),0,1)</f>
        <v>0</v>
      </c>
      <c r="AE42" s="717">
        <v>29</v>
      </c>
      <c r="AF42" s="718"/>
      <c r="AG42" s="726" t="str">
        <f>'Courses Valid'!CG16</f>
        <v/>
      </c>
    </row>
    <row r="43" spans="1:37" x14ac:dyDescent="0.35">
      <c r="A43" s="719" t="str">
        <f>IF('Courses Valid'!BU49=1,'Courses Valid'!BT49,IF(AND('Courses Valid'!BU49=0,'Courses Valid'!BV49=1),'Courses Valid'!BT49,IF(B42&lt;&gt;"",'Courses Valid'!BT49,"")))</f>
        <v/>
      </c>
      <c r="B43" s="708"/>
      <c r="C43" s="720" t="str">
        <f t="shared" si="6"/>
        <v/>
      </c>
      <c r="D43" s="308" t="str">
        <f t="shared" si="7"/>
        <v/>
      </c>
      <c r="E43" s="74" t="str">
        <f t="shared" si="0"/>
        <v/>
      </c>
      <c r="F43" s="710" t="str">
        <f t="shared" si="1"/>
        <v/>
      </c>
      <c r="G43" s="308" t="str">
        <f t="shared" si="2"/>
        <v/>
      </c>
      <c r="H43" s="710"/>
      <c r="I43" s="308" t="str">
        <f t="shared" si="3"/>
        <v/>
      </c>
      <c r="J43" s="710"/>
      <c r="K43" s="712" t="str">
        <f t="shared" si="4"/>
        <v/>
      </c>
      <c r="L43" s="1573" t="str">
        <f t="shared" si="5"/>
        <v/>
      </c>
      <c r="M43" s="712">
        <v>0</v>
      </c>
      <c r="N43" s="712">
        <v>0</v>
      </c>
      <c r="O43" s="712">
        <v>0</v>
      </c>
      <c r="P43" s="712">
        <v>0</v>
      </c>
      <c r="Q43" s="712">
        <v>0</v>
      </c>
      <c r="R43" s="712">
        <v>0</v>
      </c>
      <c r="S43" s="712">
        <v>0</v>
      </c>
      <c r="T43" s="712">
        <v>0</v>
      </c>
      <c r="U43" s="712">
        <v>0</v>
      </c>
      <c r="V43" s="712">
        <v>0</v>
      </c>
      <c r="W43" s="712">
        <v>0</v>
      </c>
      <c r="X43" s="712">
        <v>0</v>
      </c>
      <c r="Y43" s="712">
        <v>0</v>
      </c>
      <c r="Z43" s="712">
        <v>0</v>
      </c>
      <c r="AA43" s="712">
        <v>0</v>
      </c>
      <c r="AB43" s="721"/>
      <c r="AC43" s="716"/>
      <c r="AD43" s="74">
        <f>IF(ISERROR(VLOOKUP(B43,CourseList!$A$4:$A$29,1,FALSE)),0,1)</f>
        <v>0</v>
      </c>
      <c r="AE43" s="717">
        <v>30</v>
      </c>
      <c r="AF43" s="718"/>
      <c r="AG43" s="346" t="s">
        <v>27981</v>
      </c>
    </row>
    <row r="44" spans="1:37" x14ac:dyDescent="0.35">
      <c r="A44" s="719" t="str">
        <f>IF('Courses Valid'!BU50=1,'Courses Valid'!BT50,IF(AND('Courses Valid'!BU50=0,'Courses Valid'!BV50=1),'Courses Valid'!BT50,IF(B43&lt;&gt;"",'Courses Valid'!BT50,"")))</f>
        <v/>
      </c>
      <c r="B44" s="708"/>
      <c r="C44" s="720" t="str">
        <f t="shared" si="6"/>
        <v/>
      </c>
      <c r="D44" s="308" t="str">
        <f t="shared" si="7"/>
        <v/>
      </c>
      <c r="E44" s="74" t="str">
        <f t="shared" si="0"/>
        <v/>
      </c>
      <c r="F44" s="710" t="str">
        <f t="shared" si="1"/>
        <v/>
      </c>
      <c r="G44" s="308" t="str">
        <f t="shared" si="2"/>
        <v/>
      </c>
      <c r="H44" s="710"/>
      <c r="I44" s="308" t="str">
        <f t="shared" si="3"/>
        <v/>
      </c>
      <c r="J44" s="710"/>
      <c r="K44" s="712" t="str">
        <f t="shared" si="4"/>
        <v/>
      </c>
      <c r="L44" s="1573" t="str">
        <f t="shared" si="5"/>
        <v/>
      </c>
      <c r="M44" s="712">
        <v>0</v>
      </c>
      <c r="N44" s="712">
        <v>0</v>
      </c>
      <c r="O44" s="712">
        <v>0</v>
      </c>
      <c r="P44" s="712">
        <v>0</v>
      </c>
      <c r="Q44" s="712">
        <v>0</v>
      </c>
      <c r="R44" s="712">
        <v>0</v>
      </c>
      <c r="S44" s="712">
        <v>0</v>
      </c>
      <c r="T44" s="712">
        <v>0</v>
      </c>
      <c r="U44" s="712">
        <v>0</v>
      </c>
      <c r="V44" s="712">
        <v>0</v>
      </c>
      <c r="W44" s="712">
        <v>0</v>
      </c>
      <c r="X44" s="712">
        <v>0</v>
      </c>
      <c r="Y44" s="712">
        <v>0</v>
      </c>
      <c r="Z44" s="712">
        <v>0</v>
      </c>
      <c r="AA44" s="712">
        <v>0</v>
      </c>
      <c r="AB44" s="721"/>
      <c r="AC44" s="716"/>
      <c r="AD44" s="74">
        <f>IF(ISERROR(VLOOKUP(B44,CourseList!$A$4:$A$29,1,FALSE)),0,1)</f>
        <v>0</v>
      </c>
      <c r="AE44" s="717">
        <v>31</v>
      </c>
      <c r="AF44" s="718"/>
      <c r="AG44" s="726" t="str">
        <f>'Courses Valid'!CM18</f>
        <v/>
      </c>
    </row>
    <row r="45" spans="1:37" x14ac:dyDescent="0.35">
      <c r="A45" s="719" t="str">
        <f>IF('Courses Valid'!BU51=1,'Courses Valid'!BT51,IF(AND('Courses Valid'!BU51=0,'Courses Valid'!BV51=1),'Courses Valid'!BT51,IF(B44&lt;&gt;"",'Courses Valid'!BT51,"")))</f>
        <v/>
      </c>
      <c r="B45" s="708"/>
      <c r="C45" s="720" t="str">
        <f t="shared" si="6"/>
        <v/>
      </c>
      <c r="D45" s="308" t="str">
        <f t="shared" si="7"/>
        <v/>
      </c>
      <c r="E45" s="74" t="str">
        <f t="shared" si="0"/>
        <v/>
      </c>
      <c r="F45" s="710" t="str">
        <f t="shared" si="1"/>
        <v/>
      </c>
      <c r="G45" s="308" t="str">
        <f t="shared" si="2"/>
        <v/>
      </c>
      <c r="H45" s="710"/>
      <c r="I45" s="308" t="str">
        <f t="shared" si="3"/>
        <v/>
      </c>
      <c r="J45" s="710"/>
      <c r="K45" s="712" t="str">
        <f t="shared" si="4"/>
        <v/>
      </c>
      <c r="L45" s="1573" t="str">
        <f t="shared" si="5"/>
        <v/>
      </c>
      <c r="M45" s="712">
        <v>0</v>
      </c>
      <c r="N45" s="712">
        <v>0</v>
      </c>
      <c r="O45" s="712">
        <v>0</v>
      </c>
      <c r="P45" s="712">
        <v>0</v>
      </c>
      <c r="Q45" s="712">
        <v>0</v>
      </c>
      <c r="R45" s="712">
        <v>0</v>
      </c>
      <c r="S45" s="712">
        <v>0</v>
      </c>
      <c r="T45" s="712">
        <v>0</v>
      </c>
      <c r="U45" s="712">
        <v>0</v>
      </c>
      <c r="V45" s="712">
        <v>0</v>
      </c>
      <c r="W45" s="712">
        <v>0</v>
      </c>
      <c r="X45" s="712">
        <v>0</v>
      </c>
      <c r="Y45" s="712">
        <v>0</v>
      </c>
      <c r="Z45" s="712">
        <v>0</v>
      </c>
      <c r="AA45" s="712">
        <v>0</v>
      </c>
      <c r="AB45" s="721"/>
      <c r="AC45" s="716"/>
      <c r="AD45" s="74">
        <f>IF(ISERROR(VLOOKUP(B45,CourseList!$A$4:$A$29,1,FALSE)),0,1)</f>
        <v>0</v>
      </c>
      <c r="AE45" s="717">
        <v>32</v>
      </c>
      <c r="AF45" s="718"/>
    </row>
    <row r="46" spans="1:37" x14ac:dyDescent="0.35">
      <c r="A46" s="719" t="str">
        <f>IF('Courses Valid'!BU52=1,'Courses Valid'!BT52,IF(AND('Courses Valid'!BU52=0,'Courses Valid'!BV52=1),'Courses Valid'!BT52,IF(B45&lt;&gt;"",'Courses Valid'!BT52,"")))</f>
        <v/>
      </c>
      <c r="B46" s="708"/>
      <c r="C46" s="720" t="str">
        <f t="shared" si="6"/>
        <v/>
      </c>
      <c r="D46" s="308" t="str">
        <f t="shared" ref="D46:D77" si="8">IF($C46&lt;&gt;"",IF(ISNA(VLOOKUP($C46,CourseInfo,2,FALSE))=FALSE,VLOOKUP($C46,CourseInfo,2,FALSE),"Please enter a valid learning aim reference"),"")</f>
        <v/>
      </c>
      <c r="E46" s="74" t="str">
        <f t="shared" ref="E46:E77" si="9">IF($C46&lt;&gt;"",IF(ISNA(VLOOKUP($C46,CourseInfo,3,FALSE))=TRUE,"",VLOOKUP($C46,CourseInfo,3,FALSE)),"")</f>
        <v/>
      </c>
      <c r="F46" s="710" t="str">
        <f t="shared" si="1"/>
        <v/>
      </c>
      <c r="G46" s="308" t="str">
        <f t="shared" ref="G46:G77" si="10">IF($C46&lt;&gt;"",IF(ISNA(VLOOKUP($C46,CourseInfo,2,FALSE)=FALSE),"",IF(VLOOKUP($C46,CourseInfo,4,FALSE)="","",VLOOKUP($C46,CourseInfo,4,FALSE))),"")</f>
        <v/>
      </c>
      <c r="H46" s="710"/>
      <c r="I46" s="308" t="str">
        <f t="shared" ref="I46:I77" si="11">IF($C46&lt;&gt;"",IF(ISNA(VLOOKUP($C46,CourseInfo,2,FALSE)=FALSE),"",IF(VLOOKUP($C46,CourseInfo,5,FALSE)="","",VLOOKUP($C46,CourseInfo,5,FALSE))),"")</f>
        <v/>
      </c>
      <c r="J46" s="710"/>
      <c r="K46" s="712" t="str">
        <f t="shared" ref="K46:K77" si="12">IF($C46&lt;&gt;"",IF(ISNA(VLOOKUP($C46,CourseInfo,6,FALSE))=TRUE,"",VLOOKUP($C46,CourseInfo,6,FALSE)),"")</f>
        <v/>
      </c>
      <c r="L46" s="1573" t="str">
        <f t="shared" si="5"/>
        <v/>
      </c>
      <c r="M46" s="712">
        <v>0</v>
      </c>
      <c r="N46" s="712">
        <v>0</v>
      </c>
      <c r="O46" s="712">
        <v>0</v>
      </c>
      <c r="P46" s="712">
        <v>0</v>
      </c>
      <c r="Q46" s="712">
        <v>0</v>
      </c>
      <c r="R46" s="712">
        <v>0</v>
      </c>
      <c r="S46" s="712">
        <v>0</v>
      </c>
      <c r="T46" s="712">
        <v>0</v>
      </c>
      <c r="U46" s="712">
        <v>0</v>
      </c>
      <c r="V46" s="712">
        <v>0</v>
      </c>
      <c r="W46" s="712">
        <v>0</v>
      </c>
      <c r="X46" s="712">
        <v>0</v>
      </c>
      <c r="Y46" s="712">
        <v>0</v>
      </c>
      <c r="Z46" s="712">
        <v>0</v>
      </c>
      <c r="AA46" s="712">
        <v>0</v>
      </c>
      <c r="AB46" s="721"/>
      <c r="AC46" s="716"/>
      <c r="AD46" s="74">
        <f>IF(ISERROR(VLOOKUP(B46,CourseList!$A$4:$A$29,1,FALSE)),0,1)</f>
        <v>0</v>
      </c>
      <c r="AE46" s="717">
        <v>33</v>
      </c>
      <c r="AF46" s="718"/>
    </row>
    <row r="47" spans="1:37" x14ac:dyDescent="0.35">
      <c r="A47" s="719" t="str">
        <f>IF('Courses Valid'!BU53=1,'Courses Valid'!BT53,IF(AND('Courses Valid'!BU53=0,'Courses Valid'!BV53=1),'Courses Valid'!BT53,IF(B46&lt;&gt;"",'Courses Valid'!BT53,"")))</f>
        <v/>
      </c>
      <c r="B47" s="708"/>
      <c r="C47" s="720" t="str">
        <f t="shared" si="6"/>
        <v/>
      </c>
      <c r="D47" s="308" t="str">
        <f t="shared" si="8"/>
        <v/>
      </c>
      <c r="E47" s="74" t="str">
        <f t="shared" si="9"/>
        <v/>
      </c>
      <c r="F47" s="710" t="str">
        <f t="shared" si="1"/>
        <v/>
      </c>
      <c r="G47" s="308" t="str">
        <f t="shared" si="10"/>
        <v/>
      </c>
      <c r="H47" s="710"/>
      <c r="I47" s="308" t="str">
        <f t="shared" si="11"/>
        <v/>
      </c>
      <c r="J47" s="710"/>
      <c r="K47" s="712" t="str">
        <f t="shared" si="12"/>
        <v/>
      </c>
      <c r="L47" s="1573" t="str">
        <f t="shared" si="5"/>
        <v/>
      </c>
      <c r="M47" s="712">
        <v>0</v>
      </c>
      <c r="N47" s="712">
        <v>0</v>
      </c>
      <c r="O47" s="712">
        <v>0</v>
      </c>
      <c r="P47" s="712">
        <v>0</v>
      </c>
      <c r="Q47" s="712">
        <v>0</v>
      </c>
      <c r="R47" s="712">
        <v>0</v>
      </c>
      <c r="S47" s="712">
        <v>0</v>
      </c>
      <c r="T47" s="712">
        <v>0</v>
      </c>
      <c r="U47" s="712">
        <v>0</v>
      </c>
      <c r="V47" s="712">
        <v>0</v>
      </c>
      <c r="W47" s="712">
        <v>0</v>
      </c>
      <c r="X47" s="712">
        <v>0</v>
      </c>
      <c r="Y47" s="712">
        <v>0</v>
      </c>
      <c r="Z47" s="712">
        <v>0</v>
      </c>
      <c r="AA47" s="712">
        <v>0</v>
      </c>
      <c r="AB47" s="721"/>
      <c r="AC47" s="716"/>
      <c r="AD47" s="74">
        <f>IF(ISERROR(VLOOKUP(B47,CourseList!$A$4:$A$29,1,FALSE)),0,1)</f>
        <v>0</v>
      </c>
      <c r="AE47" s="717">
        <v>34</v>
      </c>
      <c r="AF47" s="718"/>
    </row>
    <row r="48" spans="1:37" x14ac:dyDescent="0.35">
      <c r="A48" s="719" t="str">
        <f>IF('Courses Valid'!BU54=1,'Courses Valid'!BT54,IF(AND('Courses Valid'!BU54=0,'Courses Valid'!BV54=1),'Courses Valid'!BT54,IF(B47&lt;&gt;"",'Courses Valid'!BT54,"")))</f>
        <v/>
      </c>
      <c r="B48" s="708"/>
      <c r="C48" s="720" t="str">
        <f t="shared" si="6"/>
        <v/>
      </c>
      <c r="D48" s="308" t="str">
        <f t="shared" si="8"/>
        <v/>
      </c>
      <c r="E48" s="74" t="str">
        <f t="shared" si="9"/>
        <v/>
      </c>
      <c r="F48" s="710" t="str">
        <f t="shared" si="1"/>
        <v/>
      </c>
      <c r="G48" s="308" t="str">
        <f t="shared" si="10"/>
        <v/>
      </c>
      <c r="H48" s="710"/>
      <c r="I48" s="308" t="str">
        <f t="shared" si="11"/>
        <v/>
      </c>
      <c r="J48" s="710"/>
      <c r="K48" s="712" t="str">
        <f t="shared" si="12"/>
        <v/>
      </c>
      <c r="L48" s="1573" t="str">
        <f t="shared" si="5"/>
        <v/>
      </c>
      <c r="M48" s="712">
        <v>0</v>
      </c>
      <c r="N48" s="712">
        <v>0</v>
      </c>
      <c r="O48" s="712">
        <v>0</v>
      </c>
      <c r="P48" s="712">
        <v>0</v>
      </c>
      <c r="Q48" s="712">
        <v>0</v>
      </c>
      <c r="R48" s="712">
        <v>0</v>
      </c>
      <c r="S48" s="712">
        <v>0</v>
      </c>
      <c r="T48" s="712">
        <v>0</v>
      </c>
      <c r="U48" s="712">
        <v>0</v>
      </c>
      <c r="V48" s="712">
        <v>0</v>
      </c>
      <c r="W48" s="712">
        <v>0</v>
      </c>
      <c r="X48" s="712">
        <v>0</v>
      </c>
      <c r="Y48" s="712">
        <v>0</v>
      </c>
      <c r="Z48" s="712">
        <v>0</v>
      </c>
      <c r="AA48" s="712">
        <v>0</v>
      </c>
      <c r="AB48" s="721"/>
      <c r="AC48" s="716"/>
      <c r="AD48" s="74">
        <f>IF(ISERROR(VLOOKUP(B48,CourseList!$A$4:$A$29,1,FALSE)),0,1)</f>
        <v>0</v>
      </c>
      <c r="AE48" s="717">
        <v>35</v>
      </c>
      <c r="AF48" s="718"/>
    </row>
    <row r="49" spans="1:32" x14ac:dyDescent="0.35">
      <c r="A49" s="719" t="str">
        <f>IF('Courses Valid'!BU55=1,'Courses Valid'!BT55,IF(AND('Courses Valid'!BU55=0,'Courses Valid'!BV55=1),'Courses Valid'!BT55,IF(B48&lt;&gt;"",'Courses Valid'!BT55,"")))</f>
        <v/>
      </c>
      <c r="B49" s="708"/>
      <c r="C49" s="720" t="str">
        <f t="shared" si="6"/>
        <v/>
      </c>
      <c r="D49" s="308" t="str">
        <f t="shared" si="8"/>
        <v/>
      </c>
      <c r="E49" s="74" t="str">
        <f t="shared" si="9"/>
        <v/>
      </c>
      <c r="F49" s="710" t="str">
        <f t="shared" si="1"/>
        <v/>
      </c>
      <c r="G49" s="308" t="str">
        <f t="shared" si="10"/>
        <v/>
      </c>
      <c r="H49" s="710"/>
      <c r="I49" s="308" t="str">
        <f t="shared" si="11"/>
        <v/>
      </c>
      <c r="J49" s="710"/>
      <c r="K49" s="712" t="str">
        <f t="shared" si="12"/>
        <v/>
      </c>
      <c r="L49" s="1573" t="str">
        <f t="shared" si="5"/>
        <v/>
      </c>
      <c r="M49" s="712">
        <v>0</v>
      </c>
      <c r="N49" s="712">
        <v>0</v>
      </c>
      <c r="O49" s="712">
        <v>0</v>
      </c>
      <c r="P49" s="712">
        <v>0</v>
      </c>
      <c r="Q49" s="712">
        <v>0</v>
      </c>
      <c r="R49" s="712">
        <v>0</v>
      </c>
      <c r="S49" s="712">
        <v>0</v>
      </c>
      <c r="T49" s="712">
        <v>0</v>
      </c>
      <c r="U49" s="712">
        <v>0</v>
      </c>
      <c r="V49" s="712">
        <v>0</v>
      </c>
      <c r="W49" s="712">
        <v>0</v>
      </c>
      <c r="X49" s="712">
        <v>0</v>
      </c>
      <c r="Y49" s="712">
        <v>0</v>
      </c>
      <c r="Z49" s="712">
        <v>0</v>
      </c>
      <c r="AA49" s="712">
        <v>0</v>
      </c>
      <c r="AB49" s="721"/>
      <c r="AC49" s="716"/>
      <c r="AD49" s="74">
        <f>IF(ISERROR(VLOOKUP(B49,CourseList!$A$4:$A$29,1,FALSE)),0,1)</f>
        <v>0</v>
      </c>
      <c r="AE49" s="717">
        <v>36</v>
      </c>
      <c r="AF49" s="718"/>
    </row>
    <row r="50" spans="1:32" x14ac:dyDescent="0.35">
      <c r="A50" s="719" t="str">
        <f>IF('Courses Valid'!BU56=1,'Courses Valid'!BT56,IF(AND('Courses Valid'!BU56=0,'Courses Valid'!BV56=1),'Courses Valid'!BT56,IF(B49&lt;&gt;"",'Courses Valid'!BT56,"")))</f>
        <v/>
      </c>
      <c r="B50" s="708"/>
      <c r="C50" s="720" t="str">
        <f t="shared" si="6"/>
        <v/>
      </c>
      <c r="D50" s="308" t="str">
        <f t="shared" si="8"/>
        <v/>
      </c>
      <c r="E50" s="74" t="str">
        <f t="shared" si="9"/>
        <v/>
      </c>
      <c r="F50" s="710" t="str">
        <f t="shared" si="1"/>
        <v/>
      </c>
      <c r="G50" s="308" t="str">
        <f t="shared" si="10"/>
        <v/>
      </c>
      <c r="H50" s="710"/>
      <c r="I50" s="308" t="str">
        <f t="shared" si="11"/>
        <v/>
      </c>
      <c r="J50" s="710"/>
      <c r="K50" s="712" t="str">
        <f t="shared" si="12"/>
        <v/>
      </c>
      <c r="L50" s="1573" t="str">
        <f t="shared" si="5"/>
        <v/>
      </c>
      <c r="M50" s="712">
        <v>0</v>
      </c>
      <c r="N50" s="712">
        <v>0</v>
      </c>
      <c r="O50" s="712">
        <v>0</v>
      </c>
      <c r="P50" s="712">
        <v>0</v>
      </c>
      <c r="Q50" s="712">
        <v>0</v>
      </c>
      <c r="R50" s="712">
        <v>0</v>
      </c>
      <c r="S50" s="712">
        <v>0</v>
      </c>
      <c r="T50" s="712">
        <v>0</v>
      </c>
      <c r="U50" s="712">
        <v>0</v>
      </c>
      <c r="V50" s="712">
        <v>0</v>
      </c>
      <c r="W50" s="712">
        <v>0</v>
      </c>
      <c r="X50" s="712">
        <v>0</v>
      </c>
      <c r="Y50" s="712">
        <v>0</v>
      </c>
      <c r="Z50" s="712">
        <v>0</v>
      </c>
      <c r="AA50" s="712">
        <v>0</v>
      </c>
      <c r="AB50" s="721"/>
      <c r="AC50" s="716"/>
      <c r="AD50" s="74">
        <f>IF(ISERROR(VLOOKUP(B50,CourseList!$A$4:$A$29,1,FALSE)),0,1)</f>
        <v>0</v>
      </c>
      <c r="AE50" s="717">
        <v>37</v>
      </c>
      <c r="AF50" s="718"/>
    </row>
    <row r="51" spans="1:32" x14ac:dyDescent="0.35">
      <c r="A51" s="719" t="str">
        <f>IF('Courses Valid'!BU57=1,'Courses Valid'!BT57,IF(AND('Courses Valid'!BU57=0,'Courses Valid'!BV57=1),'Courses Valid'!BT57,IF(B50&lt;&gt;"",'Courses Valid'!BT57,"")))</f>
        <v/>
      </c>
      <c r="B51" s="708"/>
      <c r="C51" s="720" t="str">
        <f t="shared" si="6"/>
        <v/>
      </c>
      <c r="D51" s="308" t="str">
        <f t="shared" si="8"/>
        <v/>
      </c>
      <c r="E51" s="74" t="str">
        <f t="shared" si="9"/>
        <v/>
      </c>
      <c r="F51" s="710" t="str">
        <f t="shared" si="1"/>
        <v/>
      </c>
      <c r="G51" s="308" t="str">
        <f t="shared" si="10"/>
        <v/>
      </c>
      <c r="H51" s="710"/>
      <c r="I51" s="308" t="str">
        <f t="shared" si="11"/>
        <v/>
      </c>
      <c r="J51" s="710"/>
      <c r="K51" s="712" t="str">
        <f t="shared" si="12"/>
        <v/>
      </c>
      <c r="L51" s="1573" t="str">
        <f t="shared" si="5"/>
        <v/>
      </c>
      <c r="M51" s="712">
        <v>0</v>
      </c>
      <c r="N51" s="712">
        <v>0</v>
      </c>
      <c r="O51" s="712">
        <v>0</v>
      </c>
      <c r="P51" s="712">
        <v>0</v>
      </c>
      <c r="Q51" s="712">
        <v>0</v>
      </c>
      <c r="R51" s="712">
        <v>0</v>
      </c>
      <c r="S51" s="712">
        <v>0</v>
      </c>
      <c r="T51" s="712">
        <v>0</v>
      </c>
      <c r="U51" s="712">
        <v>0</v>
      </c>
      <c r="V51" s="712">
        <v>0</v>
      </c>
      <c r="W51" s="712">
        <v>0</v>
      </c>
      <c r="X51" s="712">
        <v>0</v>
      </c>
      <c r="Y51" s="712">
        <v>0</v>
      </c>
      <c r="Z51" s="712">
        <v>0</v>
      </c>
      <c r="AA51" s="712">
        <v>0</v>
      </c>
      <c r="AB51" s="721"/>
      <c r="AC51" s="716"/>
      <c r="AD51" s="74">
        <f>IF(ISERROR(VLOOKUP(B51,CourseList!$A$4:$A$29,1,FALSE)),0,1)</f>
        <v>0</v>
      </c>
      <c r="AE51" s="717">
        <v>38</v>
      </c>
      <c r="AF51" s="718"/>
    </row>
    <row r="52" spans="1:32" x14ac:dyDescent="0.35">
      <c r="A52" s="719" t="str">
        <f>IF('Courses Valid'!BU58=1,'Courses Valid'!BT58,IF(AND('Courses Valid'!BU58=0,'Courses Valid'!BV58=1),'Courses Valid'!BT58,IF(B51&lt;&gt;"",'Courses Valid'!BT58,"")))</f>
        <v/>
      </c>
      <c r="B52" s="708"/>
      <c r="C52" s="720" t="str">
        <f t="shared" si="6"/>
        <v/>
      </c>
      <c r="D52" s="308" t="str">
        <f t="shared" si="8"/>
        <v/>
      </c>
      <c r="E52" s="74" t="str">
        <f t="shared" si="9"/>
        <v/>
      </c>
      <c r="F52" s="710" t="str">
        <f t="shared" si="1"/>
        <v/>
      </c>
      <c r="G52" s="308" t="str">
        <f t="shared" si="10"/>
        <v/>
      </c>
      <c r="H52" s="710"/>
      <c r="I52" s="308" t="str">
        <f t="shared" si="11"/>
        <v/>
      </c>
      <c r="J52" s="710"/>
      <c r="K52" s="712" t="str">
        <f t="shared" si="12"/>
        <v/>
      </c>
      <c r="L52" s="1573" t="str">
        <f t="shared" si="5"/>
        <v/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2">
        <v>0</v>
      </c>
      <c r="Y52" s="712">
        <v>0</v>
      </c>
      <c r="Z52" s="712">
        <v>0</v>
      </c>
      <c r="AA52" s="712">
        <v>0</v>
      </c>
      <c r="AB52" s="721"/>
      <c r="AC52" s="716"/>
      <c r="AD52" s="74">
        <f>IF(ISERROR(VLOOKUP(B52,CourseList!$A$4:$A$29,1,FALSE)),0,1)</f>
        <v>0</v>
      </c>
      <c r="AE52" s="717">
        <v>39</v>
      </c>
      <c r="AF52" s="718"/>
    </row>
    <row r="53" spans="1:32" x14ac:dyDescent="0.35">
      <c r="A53" s="719" t="str">
        <f>IF('Courses Valid'!BU59=1,'Courses Valid'!BT59,IF(AND('Courses Valid'!BU59=0,'Courses Valid'!BV59=1),'Courses Valid'!BT59,IF(B52&lt;&gt;"",'Courses Valid'!BT59,"")))</f>
        <v/>
      </c>
      <c r="B53" s="708"/>
      <c r="C53" s="720" t="str">
        <f t="shared" si="6"/>
        <v/>
      </c>
      <c r="D53" s="308" t="str">
        <f t="shared" si="8"/>
        <v/>
      </c>
      <c r="E53" s="74" t="str">
        <f t="shared" si="9"/>
        <v/>
      </c>
      <c r="F53" s="710" t="str">
        <f t="shared" si="1"/>
        <v/>
      </c>
      <c r="G53" s="308" t="str">
        <f t="shared" si="10"/>
        <v/>
      </c>
      <c r="H53" s="710"/>
      <c r="I53" s="308" t="str">
        <f t="shared" si="11"/>
        <v/>
      </c>
      <c r="J53" s="710"/>
      <c r="K53" s="712" t="str">
        <f t="shared" si="12"/>
        <v/>
      </c>
      <c r="L53" s="1573" t="str">
        <f t="shared" si="5"/>
        <v/>
      </c>
      <c r="M53" s="712">
        <v>0</v>
      </c>
      <c r="N53" s="712">
        <v>0</v>
      </c>
      <c r="O53" s="712">
        <v>0</v>
      </c>
      <c r="P53" s="712">
        <v>0</v>
      </c>
      <c r="Q53" s="712">
        <v>0</v>
      </c>
      <c r="R53" s="712">
        <v>0</v>
      </c>
      <c r="S53" s="712">
        <v>0</v>
      </c>
      <c r="T53" s="712">
        <v>0</v>
      </c>
      <c r="U53" s="712">
        <v>0</v>
      </c>
      <c r="V53" s="712">
        <v>0</v>
      </c>
      <c r="W53" s="712">
        <v>0</v>
      </c>
      <c r="X53" s="712">
        <v>0</v>
      </c>
      <c r="Y53" s="712">
        <v>0</v>
      </c>
      <c r="Z53" s="712">
        <v>0</v>
      </c>
      <c r="AA53" s="712">
        <v>0</v>
      </c>
      <c r="AB53" s="721"/>
      <c r="AC53" s="716"/>
      <c r="AD53" s="74">
        <f>IF(ISERROR(VLOOKUP(B53,CourseList!$A$4:$A$29,1,FALSE)),0,1)</f>
        <v>0</v>
      </c>
      <c r="AE53" s="717">
        <v>40</v>
      </c>
      <c r="AF53" s="718"/>
    </row>
    <row r="54" spans="1:32" x14ac:dyDescent="0.35">
      <c r="A54" s="719" t="str">
        <f>IF('Courses Valid'!BU60=1,'Courses Valid'!BT60,IF(AND('Courses Valid'!BU60=0,'Courses Valid'!BV60=1),'Courses Valid'!BT60,IF(B53&lt;&gt;"",'Courses Valid'!BT60,"")))</f>
        <v/>
      </c>
      <c r="B54" s="708"/>
      <c r="C54" s="720" t="str">
        <f t="shared" si="6"/>
        <v/>
      </c>
      <c r="D54" s="308" t="str">
        <f t="shared" si="8"/>
        <v/>
      </c>
      <c r="E54" s="74" t="str">
        <f t="shared" si="9"/>
        <v/>
      </c>
      <c r="F54" s="710" t="str">
        <f t="shared" si="1"/>
        <v/>
      </c>
      <c r="G54" s="308" t="str">
        <f t="shared" si="10"/>
        <v/>
      </c>
      <c r="H54" s="710"/>
      <c r="I54" s="308" t="str">
        <f t="shared" si="11"/>
        <v/>
      </c>
      <c r="J54" s="710"/>
      <c r="K54" s="712" t="str">
        <f t="shared" si="12"/>
        <v/>
      </c>
      <c r="L54" s="1573" t="str">
        <f t="shared" si="5"/>
        <v/>
      </c>
      <c r="M54" s="712">
        <v>0</v>
      </c>
      <c r="N54" s="712">
        <v>0</v>
      </c>
      <c r="O54" s="712">
        <v>0</v>
      </c>
      <c r="P54" s="712">
        <v>0</v>
      </c>
      <c r="Q54" s="712">
        <v>0</v>
      </c>
      <c r="R54" s="712">
        <v>0</v>
      </c>
      <c r="S54" s="712">
        <v>0</v>
      </c>
      <c r="T54" s="712">
        <v>0</v>
      </c>
      <c r="U54" s="712">
        <v>0</v>
      </c>
      <c r="V54" s="712">
        <v>0</v>
      </c>
      <c r="W54" s="712">
        <v>0</v>
      </c>
      <c r="X54" s="712">
        <v>0</v>
      </c>
      <c r="Y54" s="712">
        <v>0</v>
      </c>
      <c r="Z54" s="712">
        <v>0</v>
      </c>
      <c r="AA54" s="712">
        <v>0</v>
      </c>
      <c r="AB54" s="721"/>
      <c r="AC54" s="716"/>
      <c r="AD54" s="74">
        <f>IF(ISERROR(VLOOKUP(B54,CourseList!$A$4:$A$29,1,FALSE)),0,1)</f>
        <v>0</v>
      </c>
      <c r="AE54" s="717">
        <v>41</v>
      </c>
      <c r="AF54" s="718"/>
    </row>
    <row r="55" spans="1:32" x14ac:dyDescent="0.35">
      <c r="A55" s="719" t="str">
        <f>IF('Courses Valid'!BU61=1,'Courses Valid'!BT61,IF(AND('Courses Valid'!BU61=0,'Courses Valid'!BV61=1),'Courses Valid'!BT61,IF(B54&lt;&gt;"",'Courses Valid'!BT61,"")))</f>
        <v/>
      </c>
      <c r="B55" s="708"/>
      <c r="C55" s="720" t="str">
        <f t="shared" si="6"/>
        <v/>
      </c>
      <c r="D55" s="308" t="str">
        <f t="shared" si="8"/>
        <v/>
      </c>
      <c r="E55" s="74" t="str">
        <f t="shared" si="9"/>
        <v/>
      </c>
      <c r="F55" s="710" t="str">
        <f t="shared" si="1"/>
        <v/>
      </c>
      <c r="G55" s="308" t="str">
        <f t="shared" si="10"/>
        <v/>
      </c>
      <c r="H55" s="710"/>
      <c r="I55" s="308" t="str">
        <f t="shared" si="11"/>
        <v/>
      </c>
      <c r="J55" s="710"/>
      <c r="K55" s="712" t="str">
        <f t="shared" si="12"/>
        <v/>
      </c>
      <c r="L55" s="1573" t="str">
        <f t="shared" si="5"/>
        <v/>
      </c>
      <c r="M55" s="712">
        <v>0</v>
      </c>
      <c r="N55" s="712">
        <v>0</v>
      </c>
      <c r="O55" s="712">
        <v>0</v>
      </c>
      <c r="P55" s="712">
        <v>0</v>
      </c>
      <c r="Q55" s="712">
        <v>0</v>
      </c>
      <c r="R55" s="712">
        <v>0</v>
      </c>
      <c r="S55" s="712">
        <v>0</v>
      </c>
      <c r="T55" s="712">
        <v>0</v>
      </c>
      <c r="U55" s="712">
        <v>0</v>
      </c>
      <c r="V55" s="712">
        <v>0</v>
      </c>
      <c r="W55" s="712">
        <v>0</v>
      </c>
      <c r="X55" s="712">
        <v>0</v>
      </c>
      <c r="Y55" s="712">
        <v>0</v>
      </c>
      <c r="Z55" s="712">
        <v>0</v>
      </c>
      <c r="AA55" s="712">
        <v>0</v>
      </c>
      <c r="AB55" s="721"/>
      <c r="AC55" s="716"/>
      <c r="AD55" s="74">
        <f>IF(ISERROR(VLOOKUP(B55,CourseList!$A$4:$A$29,1,FALSE)),0,1)</f>
        <v>0</v>
      </c>
      <c r="AE55" s="717">
        <v>42</v>
      </c>
      <c r="AF55" s="718"/>
    </row>
    <row r="56" spans="1:32" x14ac:dyDescent="0.35">
      <c r="A56" s="719" t="str">
        <f>IF('Courses Valid'!BU62=1,'Courses Valid'!BT62,IF(AND('Courses Valid'!BU62=0,'Courses Valid'!BV62=1),'Courses Valid'!BT62,IF(B55&lt;&gt;"",'Courses Valid'!BT62,"")))</f>
        <v/>
      </c>
      <c r="B56" s="708"/>
      <c r="C56" s="720" t="str">
        <f t="shared" si="6"/>
        <v/>
      </c>
      <c r="D56" s="308" t="str">
        <f t="shared" si="8"/>
        <v/>
      </c>
      <c r="E56" s="74" t="str">
        <f t="shared" si="9"/>
        <v/>
      </c>
      <c r="F56" s="710" t="str">
        <f t="shared" si="1"/>
        <v/>
      </c>
      <c r="G56" s="308" t="str">
        <f t="shared" si="10"/>
        <v/>
      </c>
      <c r="H56" s="710"/>
      <c r="I56" s="308" t="str">
        <f t="shared" si="11"/>
        <v/>
      </c>
      <c r="J56" s="710"/>
      <c r="K56" s="712" t="str">
        <f t="shared" si="12"/>
        <v/>
      </c>
      <c r="L56" s="1573" t="str">
        <f t="shared" si="5"/>
        <v/>
      </c>
      <c r="M56" s="712">
        <v>0</v>
      </c>
      <c r="N56" s="712">
        <v>0</v>
      </c>
      <c r="O56" s="712">
        <v>0</v>
      </c>
      <c r="P56" s="712">
        <v>0</v>
      </c>
      <c r="Q56" s="712">
        <v>0</v>
      </c>
      <c r="R56" s="712">
        <v>0</v>
      </c>
      <c r="S56" s="712">
        <v>0</v>
      </c>
      <c r="T56" s="712">
        <v>0</v>
      </c>
      <c r="U56" s="712">
        <v>0</v>
      </c>
      <c r="V56" s="712">
        <v>0</v>
      </c>
      <c r="W56" s="712">
        <v>0</v>
      </c>
      <c r="X56" s="712">
        <v>0</v>
      </c>
      <c r="Y56" s="712">
        <v>0</v>
      </c>
      <c r="Z56" s="712">
        <v>0</v>
      </c>
      <c r="AA56" s="712">
        <v>0</v>
      </c>
      <c r="AB56" s="721"/>
      <c r="AC56" s="716"/>
      <c r="AD56" s="74">
        <f>IF(ISERROR(VLOOKUP(B56,CourseList!$A$4:$A$29,1,FALSE)),0,1)</f>
        <v>0</v>
      </c>
      <c r="AE56" s="717">
        <v>43</v>
      </c>
      <c r="AF56" s="718"/>
    </row>
    <row r="57" spans="1:32" x14ac:dyDescent="0.35">
      <c r="A57" s="719" t="str">
        <f>IF('Courses Valid'!BU63=1,'Courses Valid'!BT63,IF(AND('Courses Valid'!BU63=0,'Courses Valid'!BV63=1),'Courses Valid'!BT63,IF(B56&lt;&gt;"",'Courses Valid'!BT63,"")))</f>
        <v/>
      </c>
      <c r="B57" s="708"/>
      <c r="C57" s="720" t="str">
        <f t="shared" si="6"/>
        <v/>
      </c>
      <c r="D57" s="308" t="str">
        <f t="shared" si="8"/>
        <v/>
      </c>
      <c r="E57" s="74" t="str">
        <f t="shared" si="9"/>
        <v/>
      </c>
      <c r="F57" s="710" t="str">
        <f t="shared" si="1"/>
        <v/>
      </c>
      <c r="G57" s="308" t="str">
        <f t="shared" si="10"/>
        <v/>
      </c>
      <c r="H57" s="710"/>
      <c r="I57" s="308" t="str">
        <f t="shared" si="11"/>
        <v/>
      </c>
      <c r="J57" s="710"/>
      <c r="K57" s="712" t="str">
        <f t="shared" si="12"/>
        <v/>
      </c>
      <c r="L57" s="1573" t="str">
        <f t="shared" si="5"/>
        <v/>
      </c>
      <c r="M57" s="712">
        <v>0</v>
      </c>
      <c r="N57" s="712">
        <v>0</v>
      </c>
      <c r="O57" s="712">
        <v>0</v>
      </c>
      <c r="P57" s="712">
        <v>0</v>
      </c>
      <c r="Q57" s="712">
        <v>0</v>
      </c>
      <c r="R57" s="712">
        <v>0</v>
      </c>
      <c r="S57" s="712">
        <v>0</v>
      </c>
      <c r="T57" s="712">
        <v>0</v>
      </c>
      <c r="U57" s="712">
        <v>0</v>
      </c>
      <c r="V57" s="712">
        <v>0</v>
      </c>
      <c r="W57" s="712">
        <v>0</v>
      </c>
      <c r="X57" s="712">
        <v>0</v>
      </c>
      <c r="Y57" s="712">
        <v>0</v>
      </c>
      <c r="Z57" s="712">
        <v>0</v>
      </c>
      <c r="AA57" s="712">
        <v>0</v>
      </c>
      <c r="AB57" s="721"/>
      <c r="AC57" s="716"/>
      <c r="AD57" s="74">
        <f>IF(ISERROR(VLOOKUP(B57,CourseList!$A$4:$A$29,1,FALSE)),0,1)</f>
        <v>0</v>
      </c>
      <c r="AE57" s="717">
        <v>44</v>
      </c>
      <c r="AF57" s="718"/>
    </row>
    <row r="58" spans="1:32" x14ac:dyDescent="0.35">
      <c r="A58" s="719" t="str">
        <f>IF('Courses Valid'!BU64=1,'Courses Valid'!BT64,IF(AND('Courses Valid'!BU64=0,'Courses Valid'!BV64=1),'Courses Valid'!BT64,IF(B57&lt;&gt;"",'Courses Valid'!BT64,"")))</f>
        <v/>
      </c>
      <c r="B58" s="708"/>
      <c r="C58" s="720" t="str">
        <f t="shared" si="6"/>
        <v/>
      </c>
      <c r="D58" s="308" t="str">
        <f t="shared" si="8"/>
        <v/>
      </c>
      <c r="E58" s="74" t="str">
        <f t="shared" si="9"/>
        <v/>
      </c>
      <c r="F58" s="710" t="str">
        <f t="shared" si="1"/>
        <v/>
      </c>
      <c r="G58" s="308" t="str">
        <f t="shared" si="10"/>
        <v/>
      </c>
      <c r="H58" s="710"/>
      <c r="I58" s="308" t="str">
        <f t="shared" si="11"/>
        <v/>
      </c>
      <c r="J58" s="710"/>
      <c r="K58" s="712" t="str">
        <f t="shared" si="12"/>
        <v/>
      </c>
      <c r="L58" s="1573" t="str">
        <f t="shared" si="5"/>
        <v/>
      </c>
      <c r="M58" s="712">
        <v>0</v>
      </c>
      <c r="N58" s="712">
        <v>0</v>
      </c>
      <c r="O58" s="712">
        <v>0</v>
      </c>
      <c r="P58" s="712">
        <v>0</v>
      </c>
      <c r="Q58" s="712">
        <v>0</v>
      </c>
      <c r="R58" s="712">
        <v>0</v>
      </c>
      <c r="S58" s="712">
        <v>0</v>
      </c>
      <c r="T58" s="712">
        <v>0</v>
      </c>
      <c r="U58" s="712">
        <v>0</v>
      </c>
      <c r="V58" s="712">
        <v>0</v>
      </c>
      <c r="W58" s="712">
        <v>0</v>
      </c>
      <c r="X58" s="712">
        <v>0</v>
      </c>
      <c r="Y58" s="712">
        <v>0</v>
      </c>
      <c r="Z58" s="712">
        <v>0</v>
      </c>
      <c r="AA58" s="712">
        <v>0</v>
      </c>
      <c r="AB58" s="721"/>
      <c r="AC58" s="716"/>
      <c r="AD58" s="74">
        <f>IF(ISERROR(VLOOKUP(B58,CourseList!$A$4:$A$29,1,FALSE)),0,1)</f>
        <v>0</v>
      </c>
      <c r="AE58" s="717">
        <v>45</v>
      </c>
      <c r="AF58" s="718"/>
    </row>
    <row r="59" spans="1:32" x14ac:dyDescent="0.35">
      <c r="A59" s="719" t="str">
        <f>IF('Courses Valid'!BU65=1,'Courses Valid'!BT65,IF(AND('Courses Valid'!BU65=0,'Courses Valid'!BV65=1),'Courses Valid'!BT65,IF(B58&lt;&gt;"",'Courses Valid'!BT65,"")))</f>
        <v/>
      </c>
      <c r="B59" s="708"/>
      <c r="C59" s="720" t="str">
        <f t="shared" si="6"/>
        <v/>
      </c>
      <c r="D59" s="308" t="str">
        <f t="shared" si="8"/>
        <v/>
      </c>
      <c r="E59" s="74" t="str">
        <f t="shared" si="9"/>
        <v/>
      </c>
      <c r="F59" s="710" t="str">
        <f t="shared" si="1"/>
        <v/>
      </c>
      <c r="G59" s="308" t="str">
        <f t="shared" si="10"/>
        <v/>
      </c>
      <c r="H59" s="710"/>
      <c r="I59" s="308" t="str">
        <f t="shared" si="11"/>
        <v/>
      </c>
      <c r="J59" s="710"/>
      <c r="K59" s="712" t="str">
        <f t="shared" si="12"/>
        <v/>
      </c>
      <c r="L59" s="1573" t="str">
        <f t="shared" si="5"/>
        <v/>
      </c>
      <c r="M59" s="712">
        <v>0</v>
      </c>
      <c r="N59" s="712">
        <v>0</v>
      </c>
      <c r="O59" s="712">
        <v>0</v>
      </c>
      <c r="P59" s="712">
        <v>0</v>
      </c>
      <c r="Q59" s="712">
        <v>0</v>
      </c>
      <c r="R59" s="712">
        <v>0</v>
      </c>
      <c r="S59" s="712">
        <v>0</v>
      </c>
      <c r="T59" s="712">
        <v>0</v>
      </c>
      <c r="U59" s="712">
        <v>0</v>
      </c>
      <c r="V59" s="712">
        <v>0</v>
      </c>
      <c r="W59" s="712">
        <v>0</v>
      </c>
      <c r="X59" s="712">
        <v>0</v>
      </c>
      <c r="Y59" s="712">
        <v>0</v>
      </c>
      <c r="Z59" s="712">
        <v>0</v>
      </c>
      <c r="AA59" s="712">
        <v>0</v>
      </c>
      <c r="AB59" s="721"/>
      <c r="AC59" s="716"/>
      <c r="AD59" s="74">
        <f>IF(ISERROR(VLOOKUP(B59,CourseList!$A$4:$A$29,1,FALSE)),0,1)</f>
        <v>0</v>
      </c>
      <c r="AE59" s="717">
        <v>46</v>
      </c>
      <c r="AF59" s="718"/>
    </row>
    <row r="60" spans="1:32" x14ac:dyDescent="0.35">
      <c r="A60" s="719" t="str">
        <f>IF('Courses Valid'!BU66=1,'Courses Valid'!BT66,IF(AND('Courses Valid'!BU66=0,'Courses Valid'!BV66=1),'Courses Valid'!BT66,IF(B59&lt;&gt;"",'Courses Valid'!BT66,"")))</f>
        <v/>
      </c>
      <c r="B60" s="708"/>
      <c r="C60" s="720" t="str">
        <f t="shared" si="6"/>
        <v/>
      </c>
      <c r="D60" s="308" t="str">
        <f t="shared" si="8"/>
        <v/>
      </c>
      <c r="E60" s="74" t="str">
        <f t="shared" si="9"/>
        <v/>
      </c>
      <c r="F60" s="710" t="str">
        <f t="shared" si="1"/>
        <v/>
      </c>
      <c r="G60" s="308" t="str">
        <f t="shared" si="10"/>
        <v/>
      </c>
      <c r="H60" s="710"/>
      <c r="I60" s="308" t="str">
        <f t="shared" si="11"/>
        <v/>
      </c>
      <c r="J60" s="710"/>
      <c r="K60" s="712" t="str">
        <f t="shared" si="12"/>
        <v/>
      </c>
      <c r="L60" s="1573" t="str">
        <f t="shared" si="5"/>
        <v/>
      </c>
      <c r="M60" s="712">
        <v>0</v>
      </c>
      <c r="N60" s="712">
        <v>0</v>
      </c>
      <c r="O60" s="712">
        <v>0</v>
      </c>
      <c r="P60" s="712">
        <v>0</v>
      </c>
      <c r="Q60" s="712">
        <v>0</v>
      </c>
      <c r="R60" s="712">
        <v>0</v>
      </c>
      <c r="S60" s="712">
        <v>0</v>
      </c>
      <c r="T60" s="712">
        <v>0</v>
      </c>
      <c r="U60" s="712">
        <v>0</v>
      </c>
      <c r="V60" s="712">
        <v>0</v>
      </c>
      <c r="W60" s="712">
        <v>0</v>
      </c>
      <c r="X60" s="712">
        <v>0</v>
      </c>
      <c r="Y60" s="712">
        <v>0</v>
      </c>
      <c r="Z60" s="712">
        <v>0</v>
      </c>
      <c r="AA60" s="712">
        <v>0</v>
      </c>
      <c r="AB60" s="721"/>
      <c r="AC60" s="716"/>
      <c r="AD60" s="74">
        <f>IF(ISERROR(VLOOKUP(B60,CourseList!$A$4:$A$29,1,FALSE)),0,1)</f>
        <v>0</v>
      </c>
      <c r="AE60" s="717">
        <v>47</v>
      </c>
      <c r="AF60" s="718"/>
    </row>
    <row r="61" spans="1:32" x14ac:dyDescent="0.35">
      <c r="A61" s="719" t="str">
        <f>IF('Courses Valid'!BU67=1,'Courses Valid'!BT67,IF(AND('Courses Valid'!BU67=0,'Courses Valid'!BV67=1),'Courses Valid'!BT67,IF(B60&lt;&gt;"",'Courses Valid'!BT67,"")))</f>
        <v/>
      </c>
      <c r="B61" s="708"/>
      <c r="C61" s="720" t="str">
        <f t="shared" si="6"/>
        <v/>
      </c>
      <c r="D61" s="308" t="str">
        <f t="shared" si="8"/>
        <v/>
      </c>
      <c r="E61" s="74" t="str">
        <f t="shared" si="9"/>
        <v/>
      </c>
      <c r="F61" s="710" t="str">
        <f t="shared" si="1"/>
        <v/>
      </c>
      <c r="G61" s="308" t="str">
        <f t="shared" si="10"/>
        <v/>
      </c>
      <c r="H61" s="710"/>
      <c r="I61" s="308" t="str">
        <f t="shared" si="11"/>
        <v/>
      </c>
      <c r="J61" s="710"/>
      <c r="K61" s="712" t="str">
        <f t="shared" si="12"/>
        <v/>
      </c>
      <c r="L61" s="1573" t="str">
        <f t="shared" si="5"/>
        <v/>
      </c>
      <c r="M61" s="712">
        <v>0</v>
      </c>
      <c r="N61" s="712">
        <v>0</v>
      </c>
      <c r="O61" s="712">
        <v>0</v>
      </c>
      <c r="P61" s="712">
        <v>0</v>
      </c>
      <c r="Q61" s="712">
        <v>0</v>
      </c>
      <c r="R61" s="712">
        <v>0</v>
      </c>
      <c r="S61" s="712">
        <v>0</v>
      </c>
      <c r="T61" s="712">
        <v>0</v>
      </c>
      <c r="U61" s="712">
        <v>0</v>
      </c>
      <c r="V61" s="712">
        <v>0</v>
      </c>
      <c r="W61" s="712">
        <v>0</v>
      </c>
      <c r="X61" s="712">
        <v>0</v>
      </c>
      <c r="Y61" s="712">
        <v>0</v>
      </c>
      <c r="Z61" s="712">
        <v>0</v>
      </c>
      <c r="AA61" s="712">
        <v>0</v>
      </c>
      <c r="AB61" s="721"/>
      <c r="AC61" s="716"/>
      <c r="AD61" s="74">
        <f>IF(ISERROR(VLOOKUP(B61,CourseList!$A$4:$A$29,1,FALSE)),0,1)</f>
        <v>0</v>
      </c>
      <c r="AE61" s="717">
        <v>48</v>
      </c>
      <c r="AF61" s="718"/>
    </row>
    <row r="62" spans="1:32" x14ac:dyDescent="0.35">
      <c r="A62" s="719" t="str">
        <f>IF('Courses Valid'!BU68=1,'Courses Valid'!BT68,IF(AND('Courses Valid'!BU68=0,'Courses Valid'!BV68=1),'Courses Valid'!BT68,IF(B61&lt;&gt;"",'Courses Valid'!BT68,"")))</f>
        <v/>
      </c>
      <c r="B62" s="708"/>
      <c r="C62" s="720" t="str">
        <f t="shared" si="6"/>
        <v/>
      </c>
      <c r="D62" s="308" t="str">
        <f t="shared" si="8"/>
        <v/>
      </c>
      <c r="E62" s="74" t="str">
        <f t="shared" si="9"/>
        <v/>
      </c>
      <c r="F62" s="710" t="str">
        <f t="shared" si="1"/>
        <v/>
      </c>
      <c r="G62" s="308" t="str">
        <f t="shared" si="10"/>
        <v/>
      </c>
      <c r="H62" s="710"/>
      <c r="I62" s="308" t="str">
        <f t="shared" si="11"/>
        <v/>
      </c>
      <c r="J62" s="710"/>
      <c r="K62" s="712" t="str">
        <f t="shared" si="12"/>
        <v/>
      </c>
      <c r="L62" s="1573" t="str">
        <f t="shared" si="5"/>
        <v/>
      </c>
      <c r="M62" s="712">
        <v>0</v>
      </c>
      <c r="N62" s="712">
        <v>0</v>
      </c>
      <c r="O62" s="712">
        <v>0</v>
      </c>
      <c r="P62" s="712">
        <v>0</v>
      </c>
      <c r="Q62" s="712">
        <v>0</v>
      </c>
      <c r="R62" s="712">
        <v>0</v>
      </c>
      <c r="S62" s="712">
        <v>0</v>
      </c>
      <c r="T62" s="712">
        <v>0</v>
      </c>
      <c r="U62" s="712">
        <v>0</v>
      </c>
      <c r="V62" s="712">
        <v>0</v>
      </c>
      <c r="W62" s="712">
        <v>0</v>
      </c>
      <c r="X62" s="712">
        <v>0</v>
      </c>
      <c r="Y62" s="712">
        <v>0</v>
      </c>
      <c r="Z62" s="712">
        <v>0</v>
      </c>
      <c r="AA62" s="712">
        <v>0</v>
      </c>
      <c r="AB62" s="721"/>
      <c r="AC62" s="716"/>
      <c r="AD62" s="74">
        <f>IF(ISERROR(VLOOKUP(B62,CourseList!$A$4:$A$29,1,FALSE)),0,1)</f>
        <v>0</v>
      </c>
      <c r="AE62" s="717">
        <v>49</v>
      </c>
      <c r="AF62" s="718"/>
    </row>
    <row r="63" spans="1:32" x14ac:dyDescent="0.35">
      <c r="A63" s="719" t="str">
        <f>IF('Courses Valid'!BU69=1,'Courses Valid'!BT69,IF(AND('Courses Valid'!BU69=0,'Courses Valid'!BV69=1),'Courses Valid'!BT69,IF(B62&lt;&gt;"",'Courses Valid'!BT69,"")))</f>
        <v/>
      </c>
      <c r="B63" s="708"/>
      <c r="C63" s="720" t="str">
        <f t="shared" si="6"/>
        <v/>
      </c>
      <c r="D63" s="308" t="str">
        <f t="shared" si="8"/>
        <v/>
      </c>
      <c r="E63" s="74" t="str">
        <f t="shared" si="9"/>
        <v/>
      </c>
      <c r="F63" s="710" t="str">
        <f t="shared" si="1"/>
        <v/>
      </c>
      <c r="G63" s="308" t="str">
        <f t="shared" si="10"/>
        <v/>
      </c>
      <c r="H63" s="710"/>
      <c r="I63" s="308" t="str">
        <f t="shared" si="11"/>
        <v/>
      </c>
      <c r="J63" s="710"/>
      <c r="K63" s="712" t="str">
        <f t="shared" si="12"/>
        <v/>
      </c>
      <c r="L63" s="1573" t="str">
        <f t="shared" si="5"/>
        <v/>
      </c>
      <c r="M63" s="712">
        <v>0</v>
      </c>
      <c r="N63" s="712">
        <v>0</v>
      </c>
      <c r="O63" s="712">
        <v>0</v>
      </c>
      <c r="P63" s="712">
        <v>0</v>
      </c>
      <c r="Q63" s="712">
        <v>0</v>
      </c>
      <c r="R63" s="712">
        <v>0</v>
      </c>
      <c r="S63" s="712">
        <v>0</v>
      </c>
      <c r="T63" s="712">
        <v>0</v>
      </c>
      <c r="U63" s="712">
        <v>0</v>
      </c>
      <c r="V63" s="712">
        <v>0</v>
      </c>
      <c r="W63" s="712">
        <v>0</v>
      </c>
      <c r="X63" s="712">
        <v>0</v>
      </c>
      <c r="Y63" s="712">
        <v>0</v>
      </c>
      <c r="Z63" s="712">
        <v>0</v>
      </c>
      <c r="AA63" s="712">
        <v>0</v>
      </c>
      <c r="AB63" s="721"/>
      <c r="AC63" s="716"/>
      <c r="AD63" s="74">
        <f>IF(ISERROR(VLOOKUP(B63,CourseList!$A$4:$A$29,1,FALSE)),0,1)</f>
        <v>0</v>
      </c>
      <c r="AE63" s="717">
        <v>50</v>
      </c>
      <c r="AF63" s="718"/>
    </row>
    <row r="64" spans="1:32" x14ac:dyDescent="0.35">
      <c r="A64" s="719" t="str">
        <f>IF('Courses Valid'!BU70=1,'Courses Valid'!BT70,IF(AND('Courses Valid'!BU70=0,'Courses Valid'!BV70=1),'Courses Valid'!BT70,IF(B63&lt;&gt;"",'Courses Valid'!BT70,"")))</f>
        <v/>
      </c>
      <c r="B64" s="708"/>
      <c r="C64" s="720" t="str">
        <f t="shared" si="6"/>
        <v/>
      </c>
      <c r="D64" s="308" t="str">
        <f t="shared" si="8"/>
        <v/>
      </c>
      <c r="E64" s="74" t="str">
        <f t="shared" si="9"/>
        <v/>
      </c>
      <c r="F64" s="710" t="str">
        <f t="shared" si="1"/>
        <v/>
      </c>
      <c r="G64" s="308" t="str">
        <f t="shared" si="10"/>
        <v/>
      </c>
      <c r="H64" s="710"/>
      <c r="I64" s="308" t="str">
        <f t="shared" si="11"/>
        <v/>
      </c>
      <c r="J64" s="710"/>
      <c r="K64" s="712" t="str">
        <f t="shared" si="12"/>
        <v/>
      </c>
      <c r="L64" s="1573" t="str">
        <f t="shared" si="5"/>
        <v/>
      </c>
      <c r="M64" s="712">
        <v>0</v>
      </c>
      <c r="N64" s="712">
        <v>0</v>
      </c>
      <c r="O64" s="712">
        <v>0</v>
      </c>
      <c r="P64" s="712">
        <v>0</v>
      </c>
      <c r="Q64" s="712">
        <v>0</v>
      </c>
      <c r="R64" s="712">
        <v>0</v>
      </c>
      <c r="S64" s="712">
        <v>0</v>
      </c>
      <c r="T64" s="712">
        <v>0</v>
      </c>
      <c r="U64" s="712">
        <v>0</v>
      </c>
      <c r="V64" s="712">
        <v>0</v>
      </c>
      <c r="W64" s="712">
        <v>0</v>
      </c>
      <c r="X64" s="712">
        <v>0</v>
      </c>
      <c r="Y64" s="712">
        <v>0</v>
      </c>
      <c r="Z64" s="712">
        <v>0</v>
      </c>
      <c r="AA64" s="712">
        <v>0</v>
      </c>
      <c r="AB64" s="721"/>
      <c r="AC64" s="716"/>
      <c r="AD64" s="74">
        <f>IF(ISERROR(VLOOKUP(B64,CourseList!$A$4:$A$29,1,FALSE)),0,1)</f>
        <v>0</v>
      </c>
      <c r="AE64" s="717">
        <v>51</v>
      </c>
      <c r="AF64" s="718"/>
    </row>
    <row r="65" spans="1:32" x14ac:dyDescent="0.35">
      <c r="A65" s="719" t="str">
        <f>IF('Courses Valid'!BU71=1,'Courses Valid'!BT71,IF(AND('Courses Valid'!BU71=0,'Courses Valid'!BV71=1),'Courses Valid'!BT71,IF(B64&lt;&gt;"",'Courses Valid'!BT71,"")))</f>
        <v/>
      </c>
      <c r="B65" s="708"/>
      <c r="C65" s="720" t="str">
        <f t="shared" si="6"/>
        <v/>
      </c>
      <c r="D65" s="308" t="str">
        <f t="shared" si="8"/>
        <v/>
      </c>
      <c r="E65" s="74" t="str">
        <f t="shared" si="9"/>
        <v/>
      </c>
      <c r="F65" s="710" t="str">
        <f t="shared" si="1"/>
        <v/>
      </c>
      <c r="G65" s="308" t="str">
        <f t="shared" si="10"/>
        <v/>
      </c>
      <c r="H65" s="710"/>
      <c r="I65" s="308" t="str">
        <f t="shared" si="11"/>
        <v/>
      </c>
      <c r="J65" s="710"/>
      <c r="K65" s="712" t="str">
        <f t="shared" si="12"/>
        <v/>
      </c>
      <c r="L65" s="1573" t="str">
        <f t="shared" si="5"/>
        <v/>
      </c>
      <c r="M65" s="712">
        <v>0</v>
      </c>
      <c r="N65" s="712">
        <v>0</v>
      </c>
      <c r="O65" s="712">
        <v>0</v>
      </c>
      <c r="P65" s="712">
        <v>0</v>
      </c>
      <c r="Q65" s="712">
        <v>0</v>
      </c>
      <c r="R65" s="712">
        <v>0</v>
      </c>
      <c r="S65" s="712">
        <v>0</v>
      </c>
      <c r="T65" s="712">
        <v>0</v>
      </c>
      <c r="U65" s="712">
        <v>0</v>
      </c>
      <c r="V65" s="712">
        <v>0</v>
      </c>
      <c r="W65" s="712">
        <v>0</v>
      </c>
      <c r="X65" s="712">
        <v>0</v>
      </c>
      <c r="Y65" s="712">
        <v>0</v>
      </c>
      <c r="Z65" s="712">
        <v>0</v>
      </c>
      <c r="AA65" s="712">
        <v>0</v>
      </c>
      <c r="AB65" s="721"/>
      <c r="AC65" s="716"/>
      <c r="AD65" s="74">
        <f>IF(ISERROR(VLOOKUP(B65,CourseList!$A$4:$A$29,1,FALSE)),0,1)</f>
        <v>0</v>
      </c>
      <c r="AE65" s="717">
        <v>52</v>
      </c>
      <c r="AF65" s="718"/>
    </row>
    <row r="66" spans="1:32" x14ac:dyDescent="0.35">
      <c r="A66" s="719" t="str">
        <f>IF('Courses Valid'!BU72=1,'Courses Valid'!BT72,IF(AND('Courses Valid'!BU72=0,'Courses Valid'!BV72=1),'Courses Valid'!BT72,IF(B65&lt;&gt;"",'Courses Valid'!BT72,"")))</f>
        <v/>
      </c>
      <c r="B66" s="708"/>
      <c r="C66" s="720" t="str">
        <f t="shared" si="6"/>
        <v/>
      </c>
      <c r="D66" s="308" t="str">
        <f t="shared" si="8"/>
        <v/>
      </c>
      <c r="E66" s="74" t="str">
        <f t="shared" si="9"/>
        <v/>
      </c>
      <c r="F66" s="710" t="str">
        <f t="shared" si="1"/>
        <v/>
      </c>
      <c r="G66" s="308" t="str">
        <f t="shared" si="10"/>
        <v/>
      </c>
      <c r="H66" s="710"/>
      <c r="I66" s="308" t="str">
        <f t="shared" si="11"/>
        <v/>
      </c>
      <c r="J66" s="710"/>
      <c r="K66" s="712" t="str">
        <f t="shared" si="12"/>
        <v/>
      </c>
      <c r="L66" s="1573" t="str">
        <f t="shared" si="5"/>
        <v/>
      </c>
      <c r="M66" s="712">
        <v>0</v>
      </c>
      <c r="N66" s="712">
        <v>0</v>
      </c>
      <c r="O66" s="712">
        <v>0</v>
      </c>
      <c r="P66" s="712">
        <v>0</v>
      </c>
      <c r="Q66" s="712">
        <v>0</v>
      </c>
      <c r="R66" s="712">
        <v>0</v>
      </c>
      <c r="S66" s="712">
        <v>0</v>
      </c>
      <c r="T66" s="712">
        <v>0</v>
      </c>
      <c r="U66" s="712">
        <v>0</v>
      </c>
      <c r="V66" s="712">
        <v>0</v>
      </c>
      <c r="W66" s="712">
        <v>0</v>
      </c>
      <c r="X66" s="712">
        <v>0</v>
      </c>
      <c r="Y66" s="712">
        <v>0</v>
      </c>
      <c r="Z66" s="712">
        <v>0</v>
      </c>
      <c r="AA66" s="712">
        <v>0</v>
      </c>
      <c r="AB66" s="721"/>
      <c r="AC66" s="716"/>
      <c r="AD66" s="74">
        <f>IF(ISERROR(VLOOKUP(B66,CourseList!$A$4:$A$29,1,FALSE)),0,1)</f>
        <v>0</v>
      </c>
      <c r="AE66" s="717">
        <v>53</v>
      </c>
      <c r="AF66" s="718"/>
    </row>
    <row r="67" spans="1:32" x14ac:dyDescent="0.35">
      <c r="A67" s="719" t="str">
        <f>IF('Courses Valid'!BU73=1,'Courses Valid'!BT73,IF(AND('Courses Valid'!BU73=0,'Courses Valid'!BV73=1),'Courses Valid'!BT73,IF(B66&lt;&gt;"",'Courses Valid'!BT73,"")))</f>
        <v/>
      </c>
      <c r="B67" s="708"/>
      <c r="C67" s="720" t="str">
        <f t="shared" si="6"/>
        <v/>
      </c>
      <c r="D67" s="308" t="str">
        <f t="shared" si="8"/>
        <v/>
      </c>
      <c r="E67" s="74" t="str">
        <f t="shared" si="9"/>
        <v/>
      </c>
      <c r="F67" s="710" t="str">
        <f t="shared" si="1"/>
        <v/>
      </c>
      <c r="G67" s="308" t="str">
        <f t="shared" si="10"/>
        <v/>
      </c>
      <c r="H67" s="710"/>
      <c r="I67" s="308" t="str">
        <f t="shared" si="11"/>
        <v/>
      </c>
      <c r="J67" s="710"/>
      <c r="K67" s="712" t="str">
        <f t="shared" si="12"/>
        <v/>
      </c>
      <c r="L67" s="1573" t="str">
        <f t="shared" si="5"/>
        <v/>
      </c>
      <c r="M67" s="712">
        <v>0</v>
      </c>
      <c r="N67" s="712">
        <v>0</v>
      </c>
      <c r="O67" s="712">
        <v>0</v>
      </c>
      <c r="P67" s="712">
        <v>0</v>
      </c>
      <c r="Q67" s="712">
        <v>0</v>
      </c>
      <c r="R67" s="712">
        <v>0</v>
      </c>
      <c r="S67" s="712">
        <v>0</v>
      </c>
      <c r="T67" s="712">
        <v>0</v>
      </c>
      <c r="U67" s="712">
        <v>0</v>
      </c>
      <c r="V67" s="712">
        <v>0</v>
      </c>
      <c r="W67" s="712">
        <v>0</v>
      </c>
      <c r="X67" s="712">
        <v>0</v>
      </c>
      <c r="Y67" s="712">
        <v>0</v>
      </c>
      <c r="Z67" s="712">
        <v>0</v>
      </c>
      <c r="AA67" s="712">
        <v>0</v>
      </c>
      <c r="AB67" s="721"/>
      <c r="AC67" s="716"/>
      <c r="AD67" s="74">
        <f>IF(ISERROR(VLOOKUP(B67,CourseList!$A$4:$A$29,1,FALSE)),0,1)</f>
        <v>0</v>
      </c>
      <c r="AE67" s="717">
        <v>54</v>
      </c>
      <c r="AF67" s="718"/>
    </row>
    <row r="68" spans="1:32" x14ac:dyDescent="0.35">
      <c r="A68" s="719" t="str">
        <f>IF('Courses Valid'!BU74=1,'Courses Valid'!BT74,IF(AND('Courses Valid'!BU74=0,'Courses Valid'!BV74=1),'Courses Valid'!BT74,IF(B67&lt;&gt;"",'Courses Valid'!BT74,"")))</f>
        <v/>
      </c>
      <c r="B68" s="708"/>
      <c r="C68" s="720" t="str">
        <f t="shared" si="6"/>
        <v/>
      </c>
      <c r="D68" s="308" t="str">
        <f t="shared" si="8"/>
        <v/>
      </c>
      <c r="E68" s="74" t="str">
        <f t="shared" si="9"/>
        <v/>
      </c>
      <c r="F68" s="710" t="str">
        <f t="shared" si="1"/>
        <v/>
      </c>
      <c r="G68" s="308" t="str">
        <f t="shared" si="10"/>
        <v/>
      </c>
      <c r="H68" s="710"/>
      <c r="I68" s="308" t="str">
        <f t="shared" si="11"/>
        <v/>
      </c>
      <c r="J68" s="710"/>
      <c r="K68" s="712" t="str">
        <f t="shared" si="12"/>
        <v/>
      </c>
      <c r="L68" s="1573" t="str">
        <f t="shared" si="5"/>
        <v/>
      </c>
      <c r="M68" s="712">
        <v>0</v>
      </c>
      <c r="N68" s="712">
        <v>0</v>
      </c>
      <c r="O68" s="712">
        <v>0</v>
      </c>
      <c r="P68" s="712">
        <v>0</v>
      </c>
      <c r="Q68" s="712">
        <v>0</v>
      </c>
      <c r="R68" s="712">
        <v>0</v>
      </c>
      <c r="S68" s="712">
        <v>0</v>
      </c>
      <c r="T68" s="712">
        <v>0</v>
      </c>
      <c r="U68" s="712">
        <v>0</v>
      </c>
      <c r="V68" s="712">
        <v>0</v>
      </c>
      <c r="W68" s="712">
        <v>0</v>
      </c>
      <c r="X68" s="712">
        <v>0</v>
      </c>
      <c r="Y68" s="712">
        <v>0</v>
      </c>
      <c r="Z68" s="712">
        <v>0</v>
      </c>
      <c r="AA68" s="712">
        <v>0</v>
      </c>
      <c r="AB68" s="721"/>
      <c r="AC68" s="716"/>
      <c r="AD68" s="74">
        <f>IF(ISERROR(VLOOKUP(B68,CourseList!$A$4:$A$29,1,FALSE)),0,1)</f>
        <v>0</v>
      </c>
      <c r="AE68" s="717">
        <v>55</v>
      </c>
      <c r="AF68" s="718"/>
    </row>
    <row r="69" spans="1:32" x14ac:dyDescent="0.35">
      <c r="A69" s="719" t="str">
        <f>IF('Courses Valid'!BU75=1,'Courses Valid'!BT75,IF(AND('Courses Valid'!BU75=0,'Courses Valid'!BV75=1),'Courses Valid'!BT75,IF(B68&lt;&gt;"",'Courses Valid'!BT75,"")))</f>
        <v/>
      </c>
      <c r="B69" s="708"/>
      <c r="C69" s="720" t="str">
        <f t="shared" si="6"/>
        <v/>
      </c>
      <c r="D69" s="308" t="str">
        <f t="shared" si="8"/>
        <v/>
      </c>
      <c r="E69" s="74" t="str">
        <f t="shared" si="9"/>
        <v/>
      </c>
      <c r="F69" s="710" t="str">
        <f t="shared" si="1"/>
        <v/>
      </c>
      <c r="G69" s="308" t="str">
        <f t="shared" si="10"/>
        <v/>
      </c>
      <c r="H69" s="710"/>
      <c r="I69" s="308" t="str">
        <f t="shared" si="11"/>
        <v/>
      </c>
      <c r="J69" s="710"/>
      <c r="K69" s="712" t="str">
        <f t="shared" si="12"/>
        <v/>
      </c>
      <c r="L69" s="1573" t="str">
        <f t="shared" si="5"/>
        <v/>
      </c>
      <c r="M69" s="712">
        <v>0</v>
      </c>
      <c r="N69" s="712">
        <v>0</v>
      </c>
      <c r="O69" s="712">
        <v>0</v>
      </c>
      <c r="P69" s="712">
        <v>0</v>
      </c>
      <c r="Q69" s="712">
        <v>0</v>
      </c>
      <c r="R69" s="712">
        <v>0</v>
      </c>
      <c r="S69" s="712">
        <v>0</v>
      </c>
      <c r="T69" s="712">
        <v>0</v>
      </c>
      <c r="U69" s="712">
        <v>0</v>
      </c>
      <c r="V69" s="712">
        <v>0</v>
      </c>
      <c r="W69" s="712">
        <v>0</v>
      </c>
      <c r="X69" s="712">
        <v>0</v>
      </c>
      <c r="Y69" s="712">
        <v>0</v>
      </c>
      <c r="Z69" s="712">
        <v>0</v>
      </c>
      <c r="AA69" s="712">
        <v>0</v>
      </c>
      <c r="AB69" s="721"/>
      <c r="AC69" s="716"/>
      <c r="AD69" s="74">
        <f>IF(ISERROR(VLOOKUP(B69,CourseList!$A$4:$A$29,1,FALSE)),0,1)</f>
        <v>0</v>
      </c>
      <c r="AE69" s="717">
        <v>56</v>
      </c>
      <c r="AF69" s="718"/>
    </row>
    <row r="70" spans="1:32" x14ac:dyDescent="0.35">
      <c r="A70" s="719" t="str">
        <f>IF('Courses Valid'!BU76=1,'Courses Valid'!BT76,IF(AND('Courses Valid'!BU76=0,'Courses Valid'!BV76=1),'Courses Valid'!BT76,IF(B69&lt;&gt;"",'Courses Valid'!BT76,"")))</f>
        <v/>
      </c>
      <c r="B70" s="708"/>
      <c r="C70" s="720" t="str">
        <f t="shared" si="6"/>
        <v/>
      </c>
      <c r="D70" s="308" t="str">
        <f t="shared" si="8"/>
        <v/>
      </c>
      <c r="E70" s="74" t="str">
        <f t="shared" si="9"/>
        <v/>
      </c>
      <c r="F70" s="710" t="str">
        <f t="shared" si="1"/>
        <v/>
      </c>
      <c r="G70" s="308" t="str">
        <f t="shared" si="10"/>
        <v/>
      </c>
      <c r="H70" s="710"/>
      <c r="I70" s="308" t="str">
        <f t="shared" si="11"/>
        <v/>
      </c>
      <c r="J70" s="710"/>
      <c r="K70" s="712" t="str">
        <f t="shared" si="12"/>
        <v/>
      </c>
      <c r="L70" s="1573" t="str">
        <f t="shared" si="5"/>
        <v/>
      </c>
      <c r="M70" s="712">
        <v>0</v>
      </c>
      <c r="N70" s="712">
        <v>0</v>
      </c>
      <c r="O70" s="712">
        <v>0</v>
      </c>
      <c r="P70" s="712">
        <v>0</v>
      </c>
      <c r="Q70" s="712">
        <v>0</v>
      </c>
      <c r="R70" s="712">
        <v>0</v>
      </c>
      <c r="S70" s="712">
        <v>0</v>
      </c>
      <c r="T70" s="712">
        <v>0</v>
      </c>
      <c r="U70" s="712">
        <v>0</v>
      </c>
      <c r="V70" s="712">
        <v>0</v>
      </c>
      <c r="W70" s="712">
        <v>0</v>
      </c>
      <c r="X70" s="712">
        <v>0</v>
      </c>
      <c r="Y70" s="712">
        <v>0</v>
      </c>
      <c r="Z70" s="712">
        <v>0</v>
      </c>
      <c r="AA70" s="712">
        <v>0</v>
      </c>
      <c r="AB70" s="721"/>
      <c r="AC70" s="716"/>
      <c r="AD70" s="74">
        <f>IF(ISERROR(VLOOKUP(B70,CourseList!$A$4:$A$29,1,FALSE)),0,1)</f>
        <v>0</v>
      </c>
      <c r="AE70" s="717">
        <v>57</v>
      </c>
      <c r="AF70" s="718"/>
    </row>
    <row r="71" spans="1:32" x14ac:dyDescent="0.35">
      <c r="A71" s="719" t="str">
        <f>IF('Courses Valid'!BU77=1,'Courses Valid'!BT77,IF(AND('Courses Valid'!BU77=0,'Courses Valid'!BV77=1),'Courses Valid'!BT77,IF(B70&lt;&gt;"",'Courses Valid'!BT77,"")))</f>
        <v/>
      </c>
      <c r="B71" s="708"/>
      <c r="C71" s="720" t="str">
        <f t="shared" si="6"/>
        <v/>
      </c>
      <c r="D71" s="308" t="str">
        <f t="shared" si="8"/>
        <v/>
      </c>
      <c r="E71" s="74" t="str">
        <f t="shared" si="9"/>
        <v/>
      </c>
      <c r="F71" s="710" t="str">
        <f t="shared" si="1"/>
        <v/>
      </c>
      <c r="G71" s="308" t="str">
        <f t="shared" si="10"/>
        <v/>
      </c>
      <c r="H71" s="710"/>
      <c r="I71" s="308" t="str">
        <f t="shared" si="11"/>
        <v/>
      </c>
      <c r="J71" s="710"/>
      <c r="K71" s="712" t="str">
        <f t="shared" si="12"/>
        <v/>
      </c>
      <c r="L71" s="1573" t="str">
        <f t="shared" si="5"/>
        <v/>
      </c>
      <c r="M71" s="712">
        <v>0</v>
      </c>
      <c r="N71" s="712">
        <v>0</v>
      </c>
      <c r="O71" s="712">
        <v>0</v>
      </c>
      <c r="P71" s="712">
        <v>0</v>
      </c>
      <c r="Q71" s="712">
        <v>0</v>
      </c>
      <c r="R71" s="712">
        <v>0</v>
      </c>
      <c r="S71" s="712">
        <v>0</v>
      </c>
      <c r="T71" s="712">
        <v>0</v>
      </c>
      <c r="U71" s="712">
        <v>0</v>
      </c>
      <c r="V71" s="712">
        <v>0</v>
      </c>
      <c r="W71" s="712">
        <v>0</v>
      </c>
      <c r="X71" s="712">
        <v>0</v>
      </c>
      <c r="Y71" s="712">
        <v>0</v>
      </c>
      <c r="Z71" s="712">
        <v>0</v>
      </c>
      <c r="AA71" s="712">
        <v>0</v>
      </c>
      <c r="AB71" s="721"/>
      <c r="AC71" s="716"/>
      <c r="AD71" s="74">
        <f>IF(ISERROR(VLOOKUP(B71,CourseList!$A$4:$A$29,1,FALSE)),0,1)</f>
        <v>0</v>
      </c>
      <c r="AE71" s="717">
        <v>58</v>
      </c>
      <c r="AF71" s="718"/>
    </row>
    <row r="72" spans="1:32" x14ac:dyDescent="0.35">
      <c r="A72" s="719" t="str">
        <f>IF('Courses Valid'!BU78=1,'Courses Valid'!BT78,IF(AND('Courses Valid'!BU78=0,'Courses Valid'!BV78=1),'Courses Valid'!BT78,IF(B71&lt;&gt;"",'Courses Valid'!BT78,"")))</f>
        <v/>
      </c>
      <c r="B72" s="708"/>
      <c r="C72" s="720" t="str">
        <f t="shared" si="6"/>
        <v/>
      </c>
      <c r="D72" s="308" t="str">
        <f t="shared" si="8"/>
        <v/>
      </c>
      <c r="E72" s="74" t="str">
        <f t="shared" si="9"/>
        <v/>
      </c>
      <c r="F72" s="710" t="str">
        <f t="shared" si="1"/>
        <v/>
      </c>
      <c r="G72" s="308" t="str">
        <f t="shared" si="10"/>
        <v/>
      </c>
      <c r="H72" s="710"/>
      <c r="I72" s="308" t="str">
        <f t="shared" si="11"/>
        <v/>
      </c>
      <c r="J72" s="710"/>
      <c r="K72" s="712" t="str">
        <f t="shared" si="12"/>
        <v/>
      </c>
      <c r="L72" s="1573" t="str">
        <f t="shared" si="5"/>
        <v/>
      </c>
      <c r="M72" s="712">
        <v>0</v>
      </c>
      <c r="N72" s="712">
        <v>0</v>
      </c>
      <c r="O72" s="712">
        <v>0</v>
      </c>
      <c r="P72" s="712">
        <v>0</v>
      </c>
      <c r="Q72" s="712">
        <v>0</v>
      </c>
      <c r="R72" s="712">
        <v>0</v>
      </c>
      <c r="S72" s="712">
        <v>0</v>
      </c>
      <c r="T72" s="712">
        <v>0</v>
      </c>
      <c r="U72" s="712">
        <v>0</v>
      </c>
      <c r="V72" s="712">
        <v>0</v>
      </c>
      <c r="W72" s="712">
        <v>0</v>
      </c>
      <c r="X72" s="712">
        <v>0</v>
      </c>
      <c r="Y72" s="712">
        <v>0</v>
      </c>
      <c r="Z72" s="712">
        <v>0</v>
      </c>
      <c r="AA72" s="712">
        <v>0</v>
      </c>
      <c r="AB72" s="721"/>
      <c r="AC72" s="716"/>
      <c r="AD72" s="74">
        <f>IF(ISERROR(VLOOKUP(B72,CourseList!$A$4:$A$29,1,FALSE)),0,1)</f>
        <v>0</v>
      </c>
      <c r="AE72" s="717">
        <v>59</v>
      </c>
      <c r="AF72" s="718"/>
    </row>
    <row r="73" spans="1:32" x14ac:dyDescent="0.35">
      <c r="A73" s="719" t="str">
        <f>IF('Courses Valid'!BU79=1,'Courses Valid'!BT79,IF(AND('Courses Valid'!BU79=0,'Courses Valid'!BV79=1),'Courses Valid'!BT79,IF(B72&lt;&gt;"",'Courses Valid'!BT79,"")))</f>
        <v/>
      </c>
      <c r="B73" s="708"/>
      <c r="C73" s="720" t="str">
        <f t="shared" si="6"/>
        <v/>
      </c>
      <c r="D73" s="308" t="str">
        <f t="shared" si="8"/>
        <v/>
      </c>
      <c r="E73" s="74" t="str">
        <f t="shared" si="9"/>
        <v/>
      </c>
      <c r="F73" s="710" t="str">
        <f t="shared" si="1"/>
        <v/>
      </c>
      <c r="G73" s="308" t="str">
        <f t="shared" si="10"/>
        <v/>
      </c>
      <c r="H73" s="710"/>
      <c r="I73" s="308" t="str">
        <f t="shared" si="11"/>
        <v/>
      </c>
      <c r="J73" s="710"/>
      <c r="K73" s="712" t="str">
        <f t="shared" si="12"/>
        <v/>
      </c>
      <c r="L73" s="1573" t="str">
        <f t="shared" si="5"/>
        <v/>
      </c>
      <c r="M73" s="712">
        <v>0</v>
      </c>
      <c r="N73" s="712">
        <v>0</v>
      </c>
      <c r="O73" s="712">
        <v>0</v>
      </c>
      <c r="P73" s="712">
        <v>0</v>
      </c>
      <c r="Q73" s="712">
        <v>0</v>
      </c>
      <c r="R73" s="712">
        <v>0</v>
      </c>
      <c r="S73" s="712">
        <v>0</v>
      </c>
      <c r="T73" s="712">
        <v>0</v>
      </c>
      <c r="U73" s="712">
        <v>0</v>
      </c>
      <c r="V73" s="712">
        <v>0</v>
      </c>
      <c r="W73" s="712">
        <v>0</v>
      </c>
      <c r="X73" s="712">
        <v>0</v>
      </c>
      <c r="Y73" s="712">
        <v>0</v>
      </c>
      <c r="Z73" s="712">
        <v>0</v>
      </c>
      <c r="AA73" s="712">
        <v>0</v>
      </c>
      <c r="AB73" s="721"/>
      <c r="AC73" s="716"/>
      <c r="AD73" s="74">
        <f>IF(ISERROR(VLOOKUP(B73,CourseList!$A$4:$A$29,1,FALSE)),0,1)</f>
        <v>0</v>
      </c>
      <c r="AE73" s="717">
        <v>60</v>
      </c>
      <c r="AF73" s="718"/>
    </row>
    <row r="74" spans="1:32" x14ac:dyDescent="0.35">
      <c r="A74" s="719" t="str">
        <f>IF('Courses Valid'!BU80=1,'Courses Valid'!BT80,IF(AND('Courses Valid'!BU80=0,'Courses Valid'!BV80=1),'Courses Valid'!BT80,IF(B73&lt;&gt;"",'Courses Valid'!BT80,"")))</f>
        <v/>
      </c>
      <c r="B74" s="708"/>
      <c r="C74" s="720" t="str">
        <f t="shared" si="6"/>
        <v/>
      </c>
      <c r="D74" s="308" t="str">
        <f t="shared" si="8"/>
        <v/>
      </c>
      <c r="E74" s="74" t="str">
        <f t="shared" si="9"/>
        <v/>
      </c>
      <c r="F74" s="710" t="str">
        <f t="shared" si="1"/>
        <v/>
      </c>
      <c r="G74" s="308" t="str">
        <f t="shared" si="10"/>
        <v/>
      </c>
      <c r="H74" s="710"/>
      <c r="I74" s="308" t="str">
        <f t="shared" si="11"/>
        <v/>
      </c>
      <c r="J74" s="710"/>
      <c r="K74" s="712" t="str">
        <f t="shared" si="12"/>
        <v/>
      </c>
      <c r="L74" s="1573" t="str">
        <f t="shared" si="5"/>
        <v/>
      </c>
      <c r="M74" s="712">
        <v>0</v>
      </c>
      <c r="N74" s="712">
        <v>0</v>
      </c>
      <c r="O74" s="712">
        <v>0</v>
      </c>
      <c r="P74" s="712">
        <v>0</v>
      </c>
      <c r="Q74" s="712">
        <v>0</v>
      </c>
      <c r="R74" s="712">
        <v>0</v>
      </c>
      <c r="S74" s="712">
        <v>0</v>
      </c>
      <c r="T74" s="712">
        <v>0</v>
      </c>
      <c r="U74" s="712">
        <v>0</v>
      </c>
      <c r="V74" s="712">
        <v>0</v>
      </c>
      <c r="W74" s="712">
        <v>0</v>
      </c>
      <c r="X74" s="712">
        <v>0</v>
      </c>
      <c r="Y74" s="712">
        <v>0</v>
      </c>
      <c r="Z74" s="712">
        <v>0</v>
      </c>
      <c r="AA74" s="712">
        <v>0</v>
      </c>
      <c r="AB74" s="721"/>
      <c r="AC74" s="716"/>
      <c r="AD74" s="74">
        <f>IF(ISERROR(VLOOKUP(B74,CourseList!$A$4:$A$29,1,FALSE)),0,1)</f>
        <v>0</v>
      </c>
      <c r="AE74" s="717">
        <v>61</v>
      </c>
      <c r="AF74" s="718"/>
    </row>
    <row r="75" spans="1:32" x14ac:dyDescent="0.35">
      <c r="A75" s="719" t="str">
        <f>IF('Courses Valid'!BU81=1,'Courses Valid'!BT81,IF(AND('Courses Valid'!BU81=0,'Courses Valid'!BV81=1),'Courses Valid'!BT81,IF(B74&lt;&gt;"",'Courses Valid'!BT81,"")))</f>
        <v/>
      </c>
      <c r="B75" s="708"/>
      <c r="C75" s="720" t="str">
        <f t="shared" si="6"/>
        <v/>
      </c>
      <c r="D75" s="308" t="str">
        <f t="shared" si="8"/>
        <v/>
      </c>
      <c r="E75" s="74" t="str">
        <f t="shared" si="9"/>
        <v/>
      </c>
      <c r="F75" s="710" t="str">
        <f t="shared" si="1"/>
        <v/>
      </c>
      <c r="G75" s="308" t="str">
        <f t="shared" si="10"/>
        <v/>
      </c>
      <c r="H75" s="710"/>
      <c r="I75" s="308" t="str">
        <f t="shared" si="11"/>
        <v/>
      </c>
      <c r="J75" s="710"/>
      <c r="K75" s="712" t="str">
        <f t="shared" si="12"/>
        <v/>
      </c>
      <c r="L75" s="1573" t="str">
        <f t="shared" si="5"/>
        <v/>
      </c>
      <c r="M75" s="712">
        <v>0</v>
      </c>
      <c r="N75" s="712">
        <v>0</v>
      </c>
      <c r="O75" s="712">
        <v>0</v>
      </c>
      <c r="P75" s="712">
        <v>0</v>
      </c>
      <c r="Q75" s="712">
        <v>0</v>
      </c>
      <c r="R75" s="712">
        <v>0</v>
      </c>
      <c r="S75" s="712">
        <v>0</v>
      </c>
      <c r="T75" s="712">
        <v>0</v>
      </c>
      <c r="U75" s="712">
        <v>0</v>
      </c>
      <c r="V75" s="712">
        <v>0</v>
      </c>
      <c r="W75" s="712">
        <v>0</v>
      </c>
      <c r="X75" s="712">
        <v>0</v>
      </c>
      <c r="Y75" s="712">
        <v>0</v>
      </c>
      <c r="Z75" s="712">
        <v>0</v>
      </c>
      <c r="AA75" s="712">
        <v>0</v>
      </c>
      <c r="AB75" s="721"/>
      <c r="AC75" s="716"/>
      <c r="AD75" s="74">
        <f>IF(ISERROR(VLOOKUP(B75,CourseList!$A$4:$A$29,1,FALSE)),0,1)</f>
        <v>0</v>
      </c>
      <c r="AE75" s="717">
        <v>62</v>
      </c>
      <c r="AF75" s="718"/>
    </row>
    <row r="76" spans="1:32" x14ac:dyDescent="0.35">
      <c r="A76" s="719" t="str">
        <f>IF('Courses Valid'!BU82=1,'Courses Valid'!BT82,IF(AND('Courses Valid'!BU82=0,'Courses Valid'!BV82=1),'Courses Valid'!BT82,IF(B75&lt;&gt;"",'Courses Valid'!BT82,"")))</f>
        <v/>
      </c>
      <c r="B76" s="708"/>
      <c r="C76" s="720" t="str">
        <f t="shared" si="6"/>
        <v/>
      </c>
      <c r="D76" s="308" t="str">
        <f t="shared" si="8"/>
        <v/>
      </c>
      <c r="E76" s="74" t="str">
        <f t="shared" si="9"/>
        <v/>
      </c>
      <c r="F76" s="710" t="str">
        <f t="shared" si="1"/>
        <v/>
      </c>
      <c r="G76" s="308" t="str">
        <f t="shared" si="10"/>
        <v/>
      </c>
      <c r="H76" s="710"/>
      <c r="I76" s="308" t="str">
        <f t="shared" si="11"/>
        <v/>
      </c>
      <c r="J76" s="710"/>
      <c r="K76" s="712" t="str">
        <f t="shared" si="12"/>
        <v/>
      </c>
      <c r="L76" s="1573" t="str">
        <f t="shared" si="5"/>
        <v/>
      </c>
      <c r="M76" s="712">
        <v>0</v>
      </c>
      <c r="N76" s="712">
        <v>0</v>
      </c>
      <c r="O76" s="712">
        <v>0</v>
      </c>
      <c r="P76" s="712">
        <v>0</v>
      </c>
      <c r="Q76" s="712">
        <v>0</v>
      </c>
      <c r="R76" s="712">
        <v>0</v>
      </c>
      <c r="S76" s="712">
        <v>0</v>
      </c>
      <c r="T76" s="712">
        <v>0</v>
      </c>
      <c r="U76" s="712">
        <v>0</v>
      </c>
      <c r="V76" s="712">
        <v>0</v>
      </c>
      <c r="W76" s="712">
        <v>0</v>
      </c>
      <c r="X76" s="712">
        <v>0</v>
      </c>
      <c r="Y76" s="712">
        <v>0</v>
      </c>
      <c r="Z76" s="712">
        <v>0</v>
      </c>
      <c r="AA76" s="712">
        <v>0</v>
      </c>
      <c r="AB76" s="721"/>
      <c r="AC76" s="716"/>
      <c r="AD76" s="74">
        <f>IF(ISERROR(VLOOKUP(B76,CourseList!$A$4:$A$29,1,FALSE)),0,1)</f>
        <v>0</v>
      </c>
      <c r="AE76" s="717">
        <v>63</v>
      </c>
      <c r="AF76" s="718"/>
    </row>
    <row r="77" spans="1:32" x14ac:dyDescent="0.35">
      <c r="A77" s="719" t="str">
        <f>IF('Courses Valid'!BU83=1,'Courses Valid'!BT83,IF(AND('Courses Valid'!BU83=0,'Courses Valid'!BV83=1),'Courses Valid'!BT83,IF(B76&lt;&gt;"",'Courses Valid'!BT83,"")))</f>
        <v/>
      </c>
      <c r="B77" s="708"/>
      <c r="C77" s="720" t="str">
        <f t="shared" si="6"/>
        <v/>
      </c>
      <c r="D77" s="308" t="str">
        <f t="shared" si="8"/>
        <v/>
      </c>
      <c r="E77" s="74" t="str">
        <f t="shared" si="9"/>
        <v/>
      </c>
      <c r="F77" s="710" t="str">
        <f t="shared" si="1"/>
        <v/>
      </c>
      <c r="G77" s="308" t="str">
        <f t="shared" si="10"/>
        <v/>
      </c>
      <c r="H77" s="710"/>
      <c r="I77" s="308" t="str">
        <f t="shared" si="11"/>
        <v/>
      </c>
      <c r="J77" s="710"/>
      <c r="K77" s="712" t="str">
        <f t="shared" si="12"/>
        <v/>
      </c>
      <c r="L77" s="1573" t="str">
        <f t="shared" si="5"/>
        <v/>
      </c>
      <c r="M77" s="712">
        <v>0</v>
      </c>
      <c r="N77" s="712">
        <v>0</v>
      </c>
      <c r="O77" s="712">
        <v>0</v>
      </c>
      <c r="P77" s="712">
        <v>0</v>
      </c>
      <c r="Q77" s="712">
        <v>0</v>
      </c>
      <c r="R77" s="712">
        <v>0</v>
      </c>
      <c r="S77" s="712">
        <v>0</v>
      </c>
      <c r="T77" s="712">
        <v>0</v>
      </c>
      <c r="U77" s="712">
        <v>0</v>
      </c>
      <c r="V77" s="712">
        <v>0</v>
      </c>
      <c r="W77" s="712">
        <v>0</v>
      </c>
      <c r="X77" s="712">
        <v>0</v>
      </c>
      <c r="Y77" s="712">
        <v>0</v>
      </c>
      <c r="Z77" s="712">
        <v>0</v>
      </c>
      <c r="AA77" s="712">
        <v>0</v>
      </c>
      <c r="AB77" s="721"/>
      <c r="AC77" s="716"/>
      <c r="AD77" s="74">
        <f>IF(ISERROR(VLOOKUP(B77,CourseList!$A$4:$A$29,1,FALSE)),0,1)</f>
        <v>0</v>
      </c>
      <c r="AE77" s="717">
        <v>64</v>
      </c>
      <c r="AF77" s="718"/>
    </row>
    <row r="78" spans="1:32" x14ac:dyDescent="0.35">
      <c r="A78" s="719" t="str">
        <f>IF('Courses Valid'!BU84=1,'Courses Valid'!BT84,IF(AND('Courses Valid'!BU84=0,'Courses Valid'!BV84=1),'Courses Valid'!BT84,IF(B77&lt;&gt;"",'Courses Valid'!BT84,"")))</f>
        <v/>
      </c>
      <c r="B78" s="708"/>
      <c r="C78" s="720" t="str">
        <f t="shared" ref="C78:C141" si="13">IF(B78&lt;&gt;"",IF(LEFT(B78,3)="OFS",B78,IF(LEN(B78)=8,"H"&amp;B78,"H00"&amp;B78)),"")</f>
        <v/>
      </c>
      <c r="D78" s="308" t="str">
        <f t="shared" ref="D78:D109" si="14">IF($C78&lt;&gt;"",IF(ISNA(VLOOKUP($C78,CourseInfo,2,FALSE))=FALSE,VLOOKUP($C78,CourseInfo,2,FALSE),"Please enter a valid learning aim reference"),"")</f>
        <v/>
      </c>
      <c r="E78" s="74" t="str">
        <f t="shared" ref="E78:E109" si="15">IF($C78&lt;&gt;"",IF(ISNA(VLOOKUP($C78,CourseInfo,3,FALSE))=TRUE,"",VLOOKUP($C78,CourseInfo,3,FALSE)),"")</f>
        <v/>
      </c>
      <c r="F78" s="710" t="str">
        <f>IF(AND($B78&lt;&gt;"",$E78&lt;&gt;"",$G78="",$I78=""),1,"")</f>
        <v/>
      </c>
      <c r="G78" s="308" t="str">
        <f t="shared" ref="G78:G109" si="16">IF($C78&lt;&gt;"",IF(ISNA(VLOOKUP($C78,CourseInfo,2,FALSE)=FALSE),"",IF(VLOOKUP($C78,CourseInfo,4,FALSE)="","",VLOOKUP($C78,CourseInfo,4,FALSE))),"")</f>
        <v/>
      </c>
      <c r="H78" s="710"/>
      <c r="I78" s="308" t="str">
        <f t="shared" ref="I78:I109" si="17">IF($C78&lt;&gt;"",IF(ISNA(VLOOKUP($C78,CourseInfo,2,FALSE)=FALSE),"",IF(VLOOKUP($C78,CourseInfo,5,FALSE)="","",VLOOKUP($C78,CourseInfo,5,FALSE))),"")</f>
        <v/>
      </c>
      <c r="J78" s="710"/>
      <c r="K78" s="712" t="str">
        <f t="shared" ref="K78:K109" si="18">IF($C78&lt;&gt;"",IF(ISNA(VLOOKUP($C78,CourseInfo,6,FALSE))=TRUE,"",VLOOKUP($C78,CourseInfo,6,FALSE)),"")</f>
        <v/>
      </c>
      <c r="L78" s="1573" t="str">
        <f t="shared" si="5"/>
        <v/>
      </c>
      <c r="M78" s="712">
        <v>0</v>
      </c>
      <c r="N78" s="712">
        <v>0</v>
      </c>
      <c r="O78" s="712">
        <v>0</v>
      </c>
      <c r="P78" s="712">
        <v>0</v>
      </c>
      <c r="Q78" s="712">
        <v>0</v>
      </c>
      <c r="R78" s="712">
        <v>0</v>
      </c>
      <c r="S78" s="712">
        <v>0</v>
      </c>
      <c r="T78" s="712">
        <v>0</v>
      </c>
      <c r="U78" s="712">
        <v>0</v>
      </c>
      <c r="V78" s="712">
        <v>0</v>
      </c>
      <c r="W78" s="712">
        <v>0</v>
      </c>
      <c r="X78" s="712">
        <v>0</v>
      </c>
      <c r="Y78" s="712">
        <v>0</v>
      </c>
      <c r="Z78" s="712">
        <v>0</v>
      </c>
      <c r="AA78" s="712">
        <v>0</v>
      </c>
      <c r="AB78" s="721"/>
      <c r="AC78" s="716"/>
      <c r="AD78" s="74">
        <f>IF(ISERROR(VLOOKUP(B78,CourseList!$A$4:$A$29,1,FALSE)),0,1)</f>
        <v>0</v>
      </c>
      <c r="AE78" s="717">
        <v>65</v>
      </c>
      <c r="AF78" s="718"/>
    </row>
    <row r="79" spans="1:32" x14ac:dyDescent="0.35">
      <c r="A79" s="719" t="str">
        <f>IF('Courses Valid'!BU85=1,'Courses Valid'!BT85,IF(AND('Courses Valid'!BU85=0,'Courses Valid'!BV85=1),'Courses Valid'!BT85,IF(B78&lt;&gt;"",'Courses Valid'!BT85,"")))</f>
        <v/>
      </c>
      <c r="B79" s="708"/>
      <c r="C79" s="720" t="str">
        <f t="shared" si="13"/>
        <v/>
      </c>
      <c r="D79" s="308" t="str">
        <f t="shared" si="14"/>
        <v/>
      </c>
      <c r="E79" s="74" t="str">
        <f t="shared" si="15"/>
        <v/>
      </c>
      <c r="F79" s="710" t="str">
        <f>IF(AND($B79&lt;&gt;"",$E79&lt;&gt;"",$G79="",$I79=""),1,"")</f>
        <v/>
      </c>
      <c r="G79" s="308" t="str">
        <f t="shared" si="16"/>
        <v/>
      </c>
      <c r="H79" s="710"/>
      <c r="I79" s="308" t="str">
        <f t="shared" si="17"/>
        <v/>
      </c>
      <c r="J79" s="710"/>
      <c r="K79" s="712" t="str">
        <f t="shared" si="18"/>
        <v/>
      </c>
      <c r="L79" s="1573" t="str">
        <f t="shared" ref="L79:L142" si="19">IF($E79&lt;&gt;"","Standard","")</f>
        <v/>
      </c>
      <c r="M79" s="712">
        <v>0</v>
      </c>
      <c r="N79" s="712">
        <v>0</v>
      </c>
      <c r="O79" s="712">
        <v>0</v>
      </c>
      <c r="P79" s="712">
        <v>0</v>
      </c>
      <c r="Q79" s="712">
        <v>0</v>
      </c>
      <c r="R79" s="712">
        <v>0</v>
      </c>
      <c r="S79" s="712">
        <v>0</v>
      </c>
      <c r="T79" s="712">
        <v>0</v>
      </c>
      <c r="U79" s="712">
        <v>0</v>
      </c>
      <c r="V79" s="712">
        <v>0</v>
      </c>
      <c r="W79" s="712">
        <v>0</v>
      </c>
      <c r="X79" s="712">
        <v>0</v>
      </c>
      <c r="Y79" s="712">
        <v>0</v>
      </c>
      <c r="Z79" s="712">
        <v>0</v>
      </c>
      <c r="AA79" s="712">
        <v>0</v>
      </c>
      <c r="AB79" s="721"/>
      <c r="AC79" s="716"/>
      <c r="AD79" s="74">
        <f>IF(ISERROR(VLOOKUP(B79,CourseList!$A$4:$A$29,1,FALSE)),0,1)</f>
        <v>0</v>
      </c>
      <c r="AE79" s="717">
        <v>66</v>
      </c>
      <c r="AF79" s="718"/>
    </row>
    <row r="80" spans="1:32" x14ac:dyDescent="0.35">
      <c r="A80" s="719" t="str">
        <f>IF('Courses Valid'!BU86=1,'Courses Valid'!BT86,IF(AND('Courses Valid'!BU86=0,'Courses Valid'!BV86=1),'Courses Valid'!BT86,IF(B79&lt;&gt;"",'Courses Valid'!BT86,"")))</f>
        <v/>
      </c>
      <c r="B80" s="708"/>
      <c r="C80" s="720" t="str">
        <f t="shared" si="13"/>
        <v/>
      </c>
      <c r="D80" s="308" t="str">
        <f t="shared" si="14"/>
        <v/>
      </c>
      <c r="E80" s="74" t="str">
        <f t="shared" si="15"/>
        <v/>
      </c>
      <c r="F80" s="710" t="str">
        <f t="shared" ref="F80:F141" si="20">IF(AND($B80&lt;&gt;"",$E80&lt;&gt;"",$G80="",$I80=""),1,"")</f>
        <v/>
      </c>
      <c r="G80" s="308" t="str">
        <f t="shared" si="16"/>
        <v/>
      </c>
      <c r="H80" s="710"/>
      <c r="I80" s="308" t="str">
        <f t="shared" si="17"/>
        <v/>
      </c>
      <c r="J80" s="710"/>
      <c r="K80" s="712" t="str">
        <f t="shared" si="18"/>
        <v/>
      </c>
      <c r="L80" s="1573" t="str">
        <f t="shared" si="19"/>
        <v/>
      </c>
      <c r="M80" s="712">
        <v>0</v>
      </c>
      <c r="N80" s="712">
        <v>0</v>
      </c>
      <c r="O80" s="712">
        <v>0</v>
      </c>
      <c r="P80" s="712">
        <v>0</v>
      </c>
      <c r="Q80" s="712">
        <v>0</v>
      </c>
      <c r="R80" s="712">
        <v>0</v>
      </c>
      <c r="S80" s="712">
        <v>0</v>
      </c>
      <c r="T80" s="712">
        <v>0</v>
      </c>
      <c r="U80" s="712">
        <v>0</v>
      </c>
      <c r="V80" s="712">
        <v>0</v>
      </c>
      <c r="W80" s="712">
        <v>0</v>
      </c>
      <c r="X80" s="712">
        <v>0</v>
      </c>
      <c r="Y80" s="712">
        <v>0</v>
      </c>
      <c r="Z80" s="712">
        <v>0</v>
      </c>
      <c r="AA80" s="712">
        <v>0</v>
      </c>
      <c r="AB80" s="721"/>
      <c r="AC80" s="716"/>
      <c r="AD80" s="74">
        <f>IF(ISERROR(VLOOKUP(B80,CourseList!$A$4:$A$29,1,FALSE)),0,1)</f>
        <v>0</v>
      </c>
      <c r="AE80" s="717">
        <v>67</v>
      </c>
      <c r="AF80" s="718"/>
    </row>
    <row r="81" spans="1:32" x14ac:dyDescent="0.35">
      <c r="A81" s="719" t="str">
        <f>IF('Courses Valid'!BU87=1,'Courses Valid'!BT87,IF(AND('Courses Valid'!BU87=0,'Courses Valid'!BV87=1),'Courses Valid'!BT87,IF(B80&lt;&gt;"",'Courses Valid'!BT87,"")))</f>
        <v/>
      </c>
      <c r="B81" s="708"/>
      <c r="C81" s="720" t="str">
        <f t="shared" si="13"/>
        <v/>
      </c>
      <c r="D81" s="308" t="str">
        <f t="shared" si="14"/>
        <v/>
      </c>
      <c r="E81" s="74" t="str">
        <f t="shared" si="15"/>
        <v/>
      </c>
      <c r="F81" s="710" t="str">
        <f t="shared" si="20"/>
        <v/>
      </c>
      <c r="G81" s="308" t="str">
        <f t="shared" si="16"/>
        <v/>
      </c>
      <c r="H81" s="710"/>
      <c r="I81" s="308" t="str">
        <f t="shared" si="17"/>
        <v/>
      </c>
      <c r="J81" s="710"/>
      <c r="K81" s="712" t="str">
        <f t="shared" si="18"/>
        <v/>
      </c>
      <c r="L81" s="1573" t="str">
        <f t="shared" si="19"/>
        <v/>
      </c>
      <c r="M81" s="712">
        <v>0</v>
      </c>
      <c r="N81" s="712">
        <v>0</v>
      </c>
      <c r="O81" s="712">
        <v>0</v>
      </c>
      <c r="P81" s="712">
        <v>0</v>
      </c>
      <c r="Q81" s="712">
        <v>0</v>
      </c>
      <c r="R81" s="712">
        <v>0</v>
      </c>
      <c r="S81" s="712">
        <v>0</v>
      </c>
      <c r="T81" s="712">
        <v>0</v>
      </c>
      <c r="U81" s="712">
        <v>0</v>
      </c>
      <c r="V81" s="712">
        <v>0</v>
      </c>
      <c r="W81" s="712">
        <v>0</v>
      </c>
      <c r="X81" s="712">
        <v>0</v>
      </c>
      <c r="Y81" s="712">
        <v>0</v>
      </c>
      <c r="Z81" s="712">
        <v>0</v>
      </c>
      <c r="AA81" s="712">
        <v>0</v>
      </c>
      <c r="AB81" s="721"/>
      <c r="AC81" s="716"/>
      <c r="AD81" s="74">
        <f>IF(ISERROR(VLOOKUP(B81,CourseList!$A$4:$A$29,1,FALSE)),0,1)</f>
        <v>0</v>
      </c>
      <c r="AE81" s="717">
        <v>68</v>
      </c>
      <c r="AF81" s="718"/>
    </row>
    <row r="82" spans="1:32" x14ac:dyDescent="0.35">
      <c r="A82" s="719" t="str">
        <f>IF('Courses Valid'!BU88=1,'Courses Valid'!BT88,IF(AND('Courses Valid'!BU88=0,'Courses Valid'!BV88=1),'Courses Valid'!BT88,IF(B81&lt;&gt;"",'Courses Valid'!BT88,"")))</f>
        <v/>
      </c>
      <c r="B82" s="708"/>
      <c r="C82" s="720" t="str">
        <f t="shared" si="13"/>
        <v/>
      </c>
      <c r="D82" s="308" t="str">
        <f t="shared" si="14"/>
        <v/>
      </c>
      <c r="E82" s="74" t="str">
        <f t="shared" si="15"/>
        <v/>
      </c>
      <c r="F82" s="710" t="str">
        <f t="shared" si="20"/>
        <v/>
      </c>
      <c r="G82" s="308" t="str">
        <f t="shared" si="16"/>
        <v/>
      </c>
      <c r="H82" s="710"/>
      <c r="I82" s="308" t="str">
        <f t="shared" si="17"/>
        <v/>
      </c>
      <c r="J82" s="710"/>
      <c r="K82" s="712" t="str">
        <f t="shared" si="18"/>
        <v/>
      </c>
      <c r="L82" s="1573" t="str">
        <f t="shared" si="19"/>
        <v/>
      </c>
      <c r="M82" s="712">
        <v>0</v>
      </c>
      <c r="N82" s="712">
        <v>0</v>
      </c>
      <c r="O82" s="712">
        <v>0</v>
      </c>
      <c r="P82" s="712">
        <v>0</v>
      </c>
      <c r="Q82" s="712">
        <v>0</v>
      </c>
      <c r="R82" s="712">
        <v>0</v>
      </c>
      <c r="S82" s="712">
        <v>0</v>
      </c>
      <c r="T82" s="712">
        <v>0</v>
      </c>
      <c r="U82" s="712">
        <v>0</v>
      </c>
      <c r="V82" s="712">
        <v>0</v>
      </c>
      <c r="W82" s="712">
        <v>0</v>
      </c>
      <c r="X82" s="712">
        <v>0</v>
      </c>
      <c r="Y82" s="712">
        <v>0</v>
      </c>
      <c r="Z82" s="712">
        <v>0</v>
      </c>
      <c r="AA82" s="712">
        <v>0</v>
      </c>
      <c r="AB82" s="721"/>
      <c r="AC82" s="716"/>
      <c r="AD82" s="74">
        <f>IF(ISERROR(VLOOKUP(B82,CourseList!$A$4:$A$29,1,FALSE)),0,1)</f>
        <v>0</v>
      </c>
      <c r="AE82" s="717">
        <v>69</v>
      </c>
      <c r="AF82" s="718"/>
    </row>
    <row r="83" spans="1:32" x14ac:dyDescent="0.35">
      <c r="A83" s="719" t="str">
        <f>IF('Courses Valid'!BU89=1,'Courses Valid'!BT89,IF(AND('Courses Valid'!BU89=0,'Courses Valid'!BV89=1),'Courses Valid'!BT89,IF(B82&lt;&gt;"",'Courses Valid'!BT89,"")))</f>
        <v/>
      </c>
      <c r="B83" s="708"/>
      <c r="C83" s="720" t="str">
        <f t="shared" si="13"/>
        <v/>
      </c>
      <c r="D83" s="308" t="str">
        <f t="shared" si="14"/>
        <v/>
      </c>
      <c r="E83" s="74" t="str">
        <f t="shared" si="15"/>
        <v/>
      </c>
      <c r="F83" s="710" t="str">
        <f t="shared" si="20"/>
        <v/>
      </c>
      <c r="G83" s="308" t="str">
        <f t="shared" si="16"/>
        <v/>
      </c>
      <c r="H83" s="710"/>
      <c r="I83" s="308" t="str">
        <f t="shared" si="17"/>
        <v/>
      </c>
      <c r="J83" s="710"/>
      <c r="K83" s="712" t="str">
        <f t="shared" si="18"/>
        <v/>
      </c>
      <c r="L83" s="1573" t="str">
        <f t="shared" si="19"/>
        <v/>
      </c>
      <c r="M83" s="712">
        <v>0</v>
      </c>
      <c r="N83" s="712">
        <v>0</v>
      </c>
      <c r="O83" s="712">
        <v>0</v>
      </c>
      <c r="P83" s="712">
        <v>0</v>
      </c>
      <c r="Q83" s="712">
        <v>0</v>
      </c>
      <c r="R83" s="712">
        <v>0</v>
      </c>
      <c r="S83" s="712">
        <v>0</v>
      </c>
      <c r="T83" s="712">
        <v>0</v>
      </c>
      <c r="U83" s="712">
        <v>0</v>
      </c>
      <c r="V83" s="712">
        <v>0</v>
      </c>
      <c r="W83" s="712">
        <v>0</v>
      </c>
      <c r="X83" s="712">
        <v>0</v>
      </c>
      <c r="Y83" s="712">
        <v>0</v>
      </c>
      <c r="Z83" s="712">
        <v>0</v>
      </c>
      <c r="AA83" s="712">
        <v>0</v>
      </c>
      <c r="AB83" s="721"/>
      <c r="AC83" s="716"/>
      <c r="AD83" s="74">
        <f>IF(ISERROR(VLOOKUP(B83,CourseList!$A$4:$A$29,1,FALSE)),0,1)</f>
        <v>0</v>
      </c>
      <c r="AE83" s="717">
        <v>70</v>
      </c>
      <c r="AF83" s="718"/>
    </row>
    <row r="84" spans="1:32" x14ac:dyDescent="0.35">
      <c r="A84" s="719" t="str">
        <f>IF('Courses Valid'!BU90=1,'Courses Valid'!BT90,IF(AND('Courses Valid'!BU90=0,'Courses Valid'!BV90=1),'Courses Valid'!BT90,IF(B83&lt;&gt;"",'Courses Valid'!BT90,"")))</f>
        <v/>
      </c>
      <c r="B84" s="708"/>
      <c r="C84" s="720" t="str">
        <f t="shared" si="13"/>
        <v/>
      </c>
      <c r="D84" s="308" t="str">
        <f t="shared" si="14"/>
        <v/>
      </c>
      <c r="E84" s="74" t="str">
        <f t="shared" si="15"/>
        <v/>
      </c>
      <c r="F84" s="710" t="str">
        <f t="shared" si="20"/>
        <v/>
      </c>
      <c r="G84" s="308" t="str">
        <f t="shared" si="16"/>
        <v/>
      </c>
      <c r="H84" s="710"/>
      <c r="I84" s="308" t="str">
        <f t="shared" si="17"/>
        <v/>
      </c>
      <c r="J84" s="710"/>
      <c r="K84" s="712" t="str">
        <f t="shared" si="18"/>
        <v/>
      </c>
      <c r="L84" s="1573" t="str">
        <f t="shared" si="19"/>
        <v/>
      </c>
      <c r="M84" s="712">
        <v>0</v>
      </c>
      <c r="N84" s="712">
        <v>0</v>
      </c>
      <c r="O84" s="712">
        <v>0</v>
      </c>
      <c r="P84" s="712">
        <v>0</v>
      </c>
      <c r="Q84" s="712">
        <v>0</v>
      </c>
      <c r="R84" s="712">
        <v>0</v>
      </c>
      <c r="S84" s="712">
        <v>0</v>
      </c>
      <c r="T84" s="712">
        <v>0</v>
      </c>
      <c r="U84" s="712">
        <v>0</v>
      </c>
      <c r="V84" s="712">
        <v>0</v>
      </c>
      <c r="W84" s="712">
        <v>0</v>
      </c>
      <c r="X84" s="712">
        <v>0</v>
      </c>
      <c r="Y84" s="712">
        <v>0</v>
      </c>
      <c r="Z84" s="712">
        <v>0</v>
      </c>
      <c r="AA84" s="712">
        <v>0</v>
      </c>
      <c r="AB84" s="721"/>
      <c r="AC84" s="716"/>
      <c r="AD84" s="74">
        <f>IF(ISERROR(VLOOKUP(B84,CourseList!$A$4:$A$29,1,FALSE)),0,1)</f>
        <v>0</v>
      </c>
      <c r="AE84" s="717">
        <v>71</v>
      </c>
      <c r="AF84" s="718"/>
    </row>
    <row r="85" spans="1:32" x14ac:dyDescent="0.35">
      <c r="A85" s="719" t="str">
        <f>IF('Courses Valid'!BU91=1,'Courses Valid'!BT91,IF(AND('Courses Valid'!BU91=0,'Courses Valid'!BV91=1),'Courses Valid'!BT91,IF(B84&lt;&gt;"",'Courses Valid'!BT91,"")))</f>
        <v/>
      </c>
      <c r="B85" s="708"/>
      <c r="C85" s="720" t="str">
        <f t="shared" si="13"/>
        <v/>
      </c>
      <c r="D85" s="308" t="str">
        <f t="shared" si="14"/>
        <v/>
      </c>
      <c r="E85" s="74" t="str">
        <f t="shared" si="15"/>
        <v/>
      </c>
      <c r="F85" s="710" t="str">
        <f t="shared" si="20"/>
        <v/>
      </c>
      <c r="G85" s="308" t="str">
        <f t="shared" si="16"/>
        <v/>
      </c>
      <c r="H85" s="710"/>
      <c r="I85" s="308" t="str">
        <f t="shared" si="17"/>
        <v/>
      </c>
      <c r="J85" s="710"/>
      <c r="K85" s="712" t="str">
        <f t="shared" si="18"/>
        <v/>
      </c>
      <c r="L85" s="1573" t="str">
        <f t="shared" si="19"/>
        <v/>
      </c>
      <c r="M85" s="712">
        <v>0</v>
      </c>
      <c r="N85" s="712">
        <v>0</v>
      </c>
      <c r="O85" s="712">
        <v>0</v>
      </c>
      <c r="P85" s="712">
        <v>0</v>
      </c>
      <c r="Q85" s="712">
        <v>0</v>
      </c>
      <c r="R85" s="712">
        <v>0</v>
      </c>
      <c r="S85" s="712">
        <v>0</v>
      </c>
      <c r="T85" s="712">
        <v>0</v>
      </c>
      <c r="U85" s="712">
        <v>0</v>
      </c>
      <c r="V85" s="712">
        <v>0</v>
      </c>
      <c r="W85" s="712">
        <v>0</v>
      </c>
      <c r="X85" s="712">
        <v>0</v>
      </c>
      <c r="Y85" s="712">
        <v>0</v>
      </c>
      <c r="Z85" s="712">
        <v>0</v>
      </c>
      <c r="AA85" s="712">
        <v>0</v>
      </c>
      <c r="AB85" s="721"/>
      <c r="AC85" s="716"/>
      <c r="AD85" s="74">
        <f>IF(ISERROR(VLOOKUP(B85,CourseList!$A$4:$A$29,1,FALSE)),0,1)</f>
        <v>0</v>
      </c>
      <c r="AE85" s="717">
        <v>72</v>
      </c>
      <c r="AF85" s="718"/>
    </row>
    <row r="86" spans="1:32" x14ac:dyDescent="0.35">
      <c r="A86" s="719" t="str">
        <f>IF('Courses Valid'!BU92=1,'Courses Valid'!BT92,IF(AND('Courses Valid'!BU92=0,'Courses Valid'!BV92=1),'Courses Valid'!BT92,IF(B85&lt;&gt;"",'Courses Valid'!BT92,"")))</f>
        <v/>
      </c>
      <c r="B86" s="708"/>
      <c r="C86" s="720" t="str">
        <f t="shared" si="13"/>
        <v/>
      </c>
      <c r="D86" s="308" t="str">
        <f t="shared" si="14"/>
        <v/>
      </c>
      <c r="E86" s="74" t="str">
        <f t="shared" si="15"/>
        <v/>
      </c>
      <c r="F86" s="710" t="str">
        <f t="shared" si="20"/>
        <v/>
      </c>
      <c r="G86" s="308" t="str">
        <f t="shared" si="16"/>
        <v/>
      </c>
      <c r="H86" s="710"/>
      <c r="I86" s="308" t="str">
        <f t="shared" si="17"/>
        <v/>
      </c>
      <c r="J86" s="710"/>
      <c r="K86" s="712" t="str">
        <f t="shared" si="18"/>
        <v/>
      </c>
      <c r="L86" s="1573" t="str">
        <f t="shared" si="19"/>
        <v/>
      </c>
      <c r="M86" s="712">
        <v>0</v>
      </c>
      <c r="N86" s="712">
        <v>0</v>
      </c>
      <c r="O86" s="712">
        <v>0</v>
      </c>
      <c r="P86" s="712">
        <v>0</v>
      </c>
      <c r="Q86" s="712">
        <v>0</v>
      </c>
      <c r="R86" s="712">
        <v>0</v>
      </c>
      <c r="S86" s="712">
        <v>0</v>
      </c>
      <c r="T86" s="712">
        <v>0</v>
      </c>
      <c r="U86" s="712">
        <v>0</v>
      </c>
      <c r="V86" s="712">
        <v>0</v>
      </c>
      <c r="W86" s="712">
        <v>0</v>
      </c>
      <c r="X86" s="712">
        <v>0</v>
      </c>
      <c r="Y86" s="712">
        <v>0</v>
      </c>
      <c r="Z86" s="712">
        <v>0</v>
      </c>
      <c r="AA86" s="712">
        <v>0</v>
      </c>
      <c r="AB86" s="721"/>
      <c r="AC86" s="716"/>
      <c r="AD86" s="74">
        <f>IF(ISERROR(VLOOKUP(B86,CourseList!$A$4:$A$29,1,FALSE)),0,1)</f>
        <v>0</v>
      </c>
      <c r="AE86" s="717">
        <v>73</v>
      </c>
      <c r="AF86" s="718"/>
    </row>
    <row r="87" spans="1:32" x14ac:dyDescent="0.35">
      <c r="A87" s="719" t="str">
        <f>IF('Courses Valid'!BU93=1,'Courses Valid'!BT93,IF(AND('Courses Valid'!BU93=0,'Courses Valid'!BV93=1),'Courses Valid'!BT93,IF(B86&lt;&gt;"",'Courses Valid'!BT93,"")))</f>
        <v/>
      </c>
      <c r="B87" s="708"/>
      <c r="C87" s="720" t="str">
        <f t="shared" si="13"/>
        <v/>
      </c>
      <c r="D87" s="308" t="str">
        <f t="shared" si="14"/>
        <v/>
      </c>
      <c r="E87" s="74" t="str">
        <f t="shared" si="15"/>
        <v/>
      </c>
      <c r="F87" s="710" t="str">
        <f t="shared" si="20"/>
        <v/>
      </c>
      <c r="G87" s="308" t="str">
        <f t="shared" si="16"/>
        <v/>
      </c>
      <c r="H87" s="710"/>
      <c r="I87" s="308" t="str">
        <f t="shared" si="17"/>
        <v/>
      </c>
      <c r="J87" s="710"/>
      <c r="K87" s="712" t="str">
        <f t="shared" si="18"/>
        <v/>
      </c>
      <c r="L87" s="1573" t="str">
        <f t="shared" si="19"/>
        <v/>
      </c>
      <c r="M87" s="712">
        <v>0</v>
      </c>
      <c r="N87" s="712">
        <v>0</v>
      </c>
      <c r="O87" s="712">
        <v>0</v>
      </c>
      <c r="P87" s="712">
        <v>0</v>
      </c>
      <c r="Q87" s="712">
        <v>0</v>
      </c>
      <c r="R87" s="712">
        <v>0</v>
      </c>
      <c r="S87" s="712">
        <v>0</v>
      </c>
      <c r="T87" s="712">
        <v>0</v>
      </c>
      <c r="U87" s="712">
        <v>0</v>
      </c>
      <c r="V87" s="712">
        <v>0</v>
      </c>
      <c r="W87" s="712">
        <v>0</v>
      </c>
      <c r="X87" s="712">
        <v>0</v>
      </c>
      <c r="Y87" s="712">
        <v>0</v>
      </c>
      <c r="Z87" s="712">
        <v>0</v>
      </c>
      <c r="AA87" s="712">
        <v>0</v>
      </c>
      <c r="AB87" s="721"/>
      <c r="AC87" s="716"/>
      <c r="AD87" s="74">
        <f>IF(ISERROR(VLOOKUP(B87,CourseList!$A$4:$A$29,1,FALSE)),0,1)</f>
        <v>0</v>
      </c>
      <c r="AE87" s="717">
        <v>74</v>
      </c>
      <c r="AF87" s="718"/>
    </row>
    <row r="88" spans="1:32" x14ac:dyDescent="0.35">
      <c r="A88" s="719" t="str">
        <f>IF('Courses Valid'!BU94=1,'Courses Valid'!BT94,IF(AND('Courses Valid'!BU94=0,'Courses Valid'!BV94=1),'Courses Valid'!BT94,IF(B87&lt;&gt;"",'Courses Valid'!BT94,"")))</f>
        <v/>
      </c>
      <c r="B88" s="708"/>
      <c r="C88" s="720" t="str">
        <f t="shared" si="13"/>
        <v/>
      </c>
      <c r="D88" s="308" t="str">
        <f t="shared" si="14"/>
        <v/>
      </c>
      <c r="E88" s="74" t="str">
        <f t="shared" si="15"/>
        <v/>
      </c>
      <c r="F88" s="710" t="str">
        <f t="shared" si="20"/>
        <v/>
      </c>
      <c r="G88" s="308" t="str">
        <f t="shared" si="16"/>
        <v/>
      </c>
      <c r="H88" s="710"/>
      <c r="I88" s="308" t="str">
        <f t="shared" si="17"/>
        <v/>
      </c>
      <c r="J88" s="710"/>
      <c r="K88" s="712" t="str">
        <f t="shared" si="18"/>
        <v/>
      </c>
      <c r="L88" s="1573" t="str">
        <f t="shared" si="19"/>
        <v/>
      </c>
      <c r="M88" s="712">
        <v>0</v>
      </c>
      <c r="N88" s="712">
        <v>0</v>
      </c>
      <c r="O88" s="712">
        <v>0</v>
      </c>
      <c r="P88" s="712">
        <v>0</v>
      </c>
      <c r="Q88" s="712">
        <v>0</v>
      </c>
      <c r="R88" s="712">
        <v>0</v>
      </c>
      <c r="S88" s="712">
        <v>0</v>
      </c>
      <c r="T88" s="712">
        <v>0</v>
      </c>
      <c r="U88" s="712">
        <v>0</v>
      </c>
      <c r="V88" s="712">
        <v>0</v>
      </c>
      <c r="W88" s="712">
        <v>0</v>
      </c>
      <c r="X88" s="712">
        <v>0</v>
      </c>
      <c r="Y88" s="712">
        <v>0</v>
      </c>
      <c r="Z88" s="712">
        <v>0</v>
      </c>
      <c r="AA88" s="712">
        <v>0</v>
      </c>
      <c r="AB88" s="721"/>
      <c r="AC88" s="716"/>
      <c r="AD88" s="74">
        <f>IF(ISERROR(VLOOKUP(B88,CourseList!$A$4:$A$29,1,FALSE)),0,1)</f>
        <v>0</v>
      </c>
      <c r="AE88" s="717">
        <v>75</v>
      </c>
      <c r="AF88" s="718"/>
    </row>
    <row r="89" spans="1:32" x14ac:dyDescent="0.35">
      <c r="A89" s="719" t="str">
        <f>IF('Courses Valid'!BU95=1,'Courses Valid'!BT95,IF(AND('Courses Valid'!BU95=0,'Courses Valid'!BV95=1),'Courses Valid'!BT95,IF(B88&lt;&gt;"",'Courses Valid'!BT95,"")))</f>
        <v/>
      </c>
      <c r="B89" s="708"/>
      <c r="C89" s="720" t="str">
        <f t="shared" si="13"/>
        <v/>
      </c>
      <c r="D89" s="308" t="str">
        <f t="shared" si="14"/>
        <v/>
      </c>
      <c r="E89" s="74" t="str">
        <f t="shared" si="15"/>
        <v/>
      </c>
      <c r="F89" s="710" t="str">
        <f t="shared" si="20"/>
        <v/>
      </c>
      <c r="G89" s="308" t="str">
        <f t="shared" si="16"/>
        <v/>
      </c>
      <c r="H89" s="710"/>
      <c r="I89" s="308" t="str">
        <f t="shared" si="17"/>
        <v/>
      </c>
      <c r="J89" s="710"/>
      <c r="K89" s="712" t="str">
        <f t="shared" si="18"/>
        <v/>
      </c>
      <c r="L89" s="1573" t="str">
        <f t="shared" si="19"/>
        <v/>
      </c>
      <c r="M89" s="712">
        <v>0</v>
      </c>
      <c r="N89" s="712">
        <v>0</v>
      </c>
      <c r="O89" s="712">
        <v>0</v>
      </c>
      <c r="P89" s="712">
        <v>0</v>
      </c>
      <c r="Q89" s="712">
        <v>0</v>
      </c>
      <c r="R89" s="712">
        <v>0</v>
      </c>
      <c r="S89" s="712">
        <v>0</v>
      </c>
      <c r="T89" s="712">
        <v>0</v>
      </c>
      <c r="U89" s="712">
        <v>0</v>
      </c>
      <c r="V89" s="712">
        <v>0</v>
      </c>
      <c r="W89" s="712">
        <v>0</v>
      </c>
      <c r="X89" s="712">
        <v>0</v>
      </c>
      <c r="Y89" s="712">
        <v>0</v>
      </c>
      <c r="Z89" s="712">
        <v>0</v>
      </c>
      <c r="AA89" s="712">
        <v>0</v>
      </c>
      <c r="AB89" s="721"/>
      <c r="AC89" s="716"/>
      <c r="AD89" s="74">
        <f>IF(ISERROR(VLOOKUP(B89,CourseList!$A$4:$A$29,1,FALSE)),0,1)</f>
        <v>0</v>
      </c>
      <c r="AE89" s="717">
        <v>76</v>
      </c>
      <c r="AF89" s="718"/>
    </row>
    <row r="90" spans="1:32" x14ac:dyDescent="0.35">
      <c r="A90" s="719" t="str">
        <f>IF('Courses Valid'!BU96=1,'Courses Valid'!BT96,IF(AND('Courses Valid'!BU96=0,'Courses Valid'!BV96=1),'Courses Valid'!BT96,IF(B89&lt;&gt;"",'Courses Valid'!BT96,"")))</f>
        <v/>
      </c>
      <c r="B90" s="708"/>
      <c r="C90" s="720" t="str">
        <f t="shared" si="13"/>
        <v/>
      </c>
      <c r="D90" s="308" t="str">
        <f t="shared" si="14"/>
        <v/>
      </c>
      <c r="E90" s="74" t="str">
        <f t="shared" si="15"/>
        <v/>
      </c>
      <c r="F90" s="710" t="str">
        <f t="shared" si="20"/>
        <v/>
      </c>
      <c r="G90" s="308" t="str">
        <f t="shared" si="16"/>
        <v/>
      </c>
      <c r="H90" s="710"/>
      <c r="I90" s="308" t="str">
        <f t="shared" si="17"/>
        <v/>
      </c>
      <c r="J90" s="710"/>
      <c r="K90" s="712" t="str">
        <f t="shared" si="18"/>
        <v/>
      </c>
      <c r="L90" s="1573" t="str">
        <f t="shared" si="19"/>
        <v/>
      </c>
      <c r="M90" s="712">
        <v>0</v>
      </c>
      <c r="N90" s="712">
        <v>0</v>
      </c>
      <c r="O90" s="712">
        <v>0</v>
      </c>
      <c r="P90" s="712">
        <v>0</v>
      </c>
      <c r="Q90" s="712">
        <v>0</v>
      </c>
      <c r="R90" s="712">
        <v>0</v>
      </c>
      <c r="S90" s="712">
        <v>0</v>
      </c>
      <c r="T90" s="712">
        <v>0</v>
      </c>
      <c r="U90" s="712">
        <v>0</v>
      </c>
      <c r="V90" s="712">
        <v>0</v>
      </c>
      <c r="W90" s="712">
        <v>0</v>
      </c>
      <c r="X90" s="712">
        <v>0</v>
      </c>
      <c r="Y90" s="712">
        <v>0</v>
      </c>
      <c r="Z90" s="712">
        <v>0</v>
      </c>
      <c r="AA90" s="712">
        <v>0</v>
      </c>
      <c r="AB90" s="721"/>
      <c r="AC90" s="716"/>
      <c r="AD90" s="74">
        <f>IF(ISERROR(VLOOKUP(B90,CourseList!$A$4:$A$29,1,FALSE)),0,1)</f>
        <v>0</v>
      </c>
      <c r="AE90" s="717">
        <v>77</v>
      </c>
      <c r="AF90" s="718"/>
    </row>
    <row r="91" spans="1:32" x14ac:dyDescent="0.35">
      <c r="A91" s="719" t="str">
        <f>IF('Courses Valid'!BU97=1,'Courses Valid'!BT97,IF(AND('Courses Valid'!BU97=0,'Courses Valid'!BV97=1),'Courses Valid'!BT97,IF(B90&lt;&gt;"",'Courses Valid'!BT97,"")))</f>
        <v/>
      </c>
      <c r="B91" s="708"/>
      <c r="C91" s="720" t="str">
        <f t="shared" si="13"/>
        <v/>
      </c>
      <c r="D91" s="308" t="str">
        <f t="shared" si="14"/>
        <v/>
      </c>
      <c r="E91" s="74" t="str">
        <f t="shared" si="15"/>
        <v/>
      </c>
      <c r="F91" s="710" t="str">
        <f t="shared" si="20"/>
        <v/>
      </c>
      <c r="G91" s="308" t="str">
        <f t="shared" si="16"/>
        <v/>
      </c>
      <c r="H91" s="710"/>
      <c r="I91" s="308" t="str">
        <f t="shared" si="17"/>
        <v/>
      </c>
      <c r="J91" s="710"/>
      <c r="K91" s="712" t="str">
        <f t="shared" si="18"/>
        <v/>
      </c>
      <c r="L91" s="1573" t="str">
        <f t="shared" si="19"/>
        <v/>
      </c>
      <c r="M91" s="712">
        <v>0</v>
      </c>
      <c r="N91" s="712">
        <v>0</v>
      </c>
      <c r="O91" s="712">
        <v>0</v>
      </c>
      <c r="P91" s="712">
        <v>0</v>
      </c>
      <c r="Q91" s="712">
        <v>0</v>
      </c>
      <c r="R91" s="712">
        <v>0</v>
      </c>
      <c r="S91" s="712">
        <v>0</v>
      </c>
      <c r="T91" s="712">
        <v>0</v>
      </c>
      <c r="U91" s="712">
        <v>0</v>
      </c>
      <c r="V91" s="712">
        <v>0</v>
      </c>
      <c r="W91" s="712">
        <v>0</v>
      </c>
      <c r="X91" s="712">
        <v>0</v>
      </c>
      <c r="Y91" s="712">
        <v>0</v>
      </c>
      <c r="Z91" s="712">
        <v>0</v>
      </c>
      <c r="AA91" s="712">
        <v>0</v>
      </c>
      <c r="AB91" s="721"/>
      <c r="AC91" s="716"/>
      <c r="AD91" s="74">
        <f>IF(ISERROR(VLOOKUP(B91,CourseList!$A$4:$A$29,1,FALSE)),0,1)</f>
        <v>0</v>
      </c>
      <c r="AE91" s="717">
        <v>78</v>
      </c>
      <c r="AF91" s="718"/>
    </row>
    <row r="92" spans="1:32" x14ac:dyDescent="0.35">
      <c r="A92" s="719" t="str">
        <f>IF('Courses Valid'!BU98=1,'Courses Valid'!BT98,IF(AND('Courses Valid'!BU98=0,'Courses Valid'!BV98=1),'Courses Valid'!BT98,IF(B91&lt;&gt;"",'Courses Valid'!BT98,"")))</f>
        <v/>
      </c>
      <c r="B92" s="708"/>
      <c r="C92" s="720" t="str">
        <f t="shared" si="13"/>
        <v/>
      </c>
      <c r="D92" s="308" t="str">
        <f t="shared" si="14"/>
        <v/>
      </c>
      <c r="E92" s="74" t="str">
        <f t="shared" si="15"/>
        <v/>
      </c>
      <c r="F92" s="710" t="str">
        <f t="shared" si="20"/>
        <v/>
      </c>
      <c r="G92" s="308" t="str">
        <f t="shared" si="16"/>
        <v/>
      </c>
      <c r="H92" s="710"/>
      <c r="I92" s="308" t="str">
        <f t="shared" si="17"/>
        <v/>
      </c>
      <c r="J92" s="710"/>
      <c r="K92" s="712" t="str">
        <f t="shared" si="18"/>
        <v/>
      </c>
      <c r="L92" s="1573" t="str">
        <f t="shared" si="19"/>
        <v/>
      </c>
      <c r="M92" s="712">
        <v>0</v>
      </c>
      <c r="N92" s="712">
        <v>0</v>
      </c>
      <c r="O92" s="712">
        <v>0</v>
      </c>
      <c r="P92" s="712">
        <v>0</v>
      </c>
      <c r="Q92" s="712">
        <v>0</v>
      </c>
      <c r="R92" s="712">
        <v>0</v>
      </c>
      <c r="S92" s="712">
        <v>0</v>
      </c>
      <c r="T92" s="712">
        <v>0</v>
      </c>
      <c r="U92" s="712">
        <v>0</v>
      </c>
      <c r="V92" s="712">
        <v>0</v>
      </c>
      <c r="W92" s="712">
        <v>0</v>
      </c>
      <c r="X92" s="712">
        <v>0</v>
      </c>
      <c r="Y92" s="712">
        <v>0</v>
      </c>
      <c r="Z92" s="712">
        <v>0</v>
      </c>
      <c r="AA92" s="712">
        <v>0</v>
      </c>
      <c r="AB92" s="721"/>
      <c r="AC92" s="716"/>
      <c r="AD92" s="74">
        <f>IF(ISERROR(VLOOKUP(B92,CourseList!$A$4:$A$29,1,FALSE)),0,1)</f>
        <v>0</v>
      </c>
      <c r="AE92" s="717">
        <v>79</v>
      </c>
      <c r="AF92" s="718"/>
    </row>
    <row r="93" spans="1:32" x14ac:dyDescent="0.35">
      <c r="A93" s="719" t="str">
        <f>IF('Courses Valid'!BU99=1,'Courses Valid'!BT99,IF(AND('Courses Valid'!BU99=0,'Courses Valid'!BV99=1),'Courses Valid'!BT99,IF(B92&lt;&gt;"",'Courses Valid'!BT99,"")))</f>
        <v/>
      </c>
      <c r="B93" s="708"/>
      <c r="C93" s="720" t="str">
        <f t="shared" si="13"/>
        <v/>
      </c>
      <c r="D93" s="308" t="str">
        <f t="shared" si="14"/>
        <v/>
      </c>
      <c r="E93" s="74" t="str">
        <f t="shared" si="15"/>
        <v/>
      </c>
      <c r="F93" s="710" t="str">
        <f t="shared" si="20"/>
        <v/>
      </c>
      <c r="G93" s="308" t="str">
        <f t="shared" si="16"/>
        <v/>
      </c>
      <c r="H93" s="710"/>
      <c r="I93" s="308" t="str">
        <f t="shared" si="17"/>
        <v/>
      </c>
      <c r="J93" s="710"/>
      <c r="K93" s="712" t="str">
        <f t="shared" si="18"/>
        <v/>
      </c>
      <c r="L93" s="1573" t="str">
        <f t="shared" si="19"/>
        <v/>
      </c>
      <c r="M93" s="712">
        <v>0</v>
      </c>
      <c r="N93" s="712">
        <v>0</v>
      </c>
      <c r="O93" s="712">
        <v>0</v>
      </c>
      <c r="P93" s="712">
        <v>0</v>
      </c>
      <c r="Q93" s="712">
        <v>0</v>
      </c>
      <c r="R93" s="712">
        <v>0</v>
      </c>
      <c r="S93" s="712">
        <v>0</v>
      </c>
      <c r="T93" s="712">
        <v>0</v>
      </c>
      <c r="U93" s="712">
        <v>0</v>
      </c>
      <c r="V93" s="712">
        <v>0</v>
      </c>
      <c r="W93" s="712">
        <v>0</v>
      </c>
      <c r="X93" s="712">
        <v>0</v>
      </c>
      <c r="Y93" s="712">
        <v>0</v>
      </c>
      <c r="Z93" s="712">
        <v>0</v>
      </c>
      <c r="AA93" s="712">
        <v>0</v>
      </c>
      <c r="AB93" s="721"/>
      <c r="AC93" s="716"/>
      <c r="AD93" s="74">
        <f>IF(ISERROR(VLOOKUP(B93,CourseList!$A$4:$A$29,1,FALSE)),0,1)</f>
        <v>0</v>
      </c>
      <c r="AE93" s="717">
        <v>80</v>
      </c>
      <c r="AF93" s="718"/>
    </row>
    <row r="94" spans="1:32" x14ac:dyDescent="0.35">
      <c r="A94" s="719" t="str">
        <f>IF('Courses Valid'!BU100=1,'Courses Valid'!BT100,IF(AND('Courses Valid'!BU100=0,'Courses Valid'!BV100=1),'Courses Valid'!BT100,IF(B93&lt;&gt;"",'Courses Valid'!BT100,"")))</f>
        <v/>
      </c>
      <c r="B94" s="708"/>
      <c r="C94" s="720" t="str">
        <f t="shared" si="13"/>
        <v/>
      </c>
      <c r="D94" s="308" t="str">
        <f t="shared" si="14"/>
        <v/>
      </c>
      <c r="E94" s="74" t="str">
        <f t="shared" si="15"/>
        <v/>
      </c>
      <c r="F94" s="710" t="str">
        <f t="shared" si="20"/>
        <v/>
      </c>
      <c r="G94" s="308" t="str">
        <f t="shared" si="16"/>
        <v/>
      </c>
      <c r="H94" s="710"/>
      <c r="I94" s="308" t="str">
        <f t="shared" si="17"/>
        <v/>
      </c>
      <c r="J94" s="710"/>
      <c r="K94" s="712" t="str">
        <f t="shared" si="18"/>
        <v/>
      </c>
      <c r="L94" s="1573" t="str">
        <f t="shared" si="19"/>
        <v/>
      </c>
      <c r="M94" s="712">
        <v>0</v>
      </c>
      <c r="N94" s="712">
        <v>0</v>
      </c>
      <c r="O94" s="712">
        <v>0</v>
      </c>
      <c r="P94" s="712">
        <v>0</v>
      </c>
      <c r="Q94" s="712">
        <v>0</v>
      </c>
      <c r="R94" s="712">
        <v>0</v>
      </c>
      <c r="S94" s="712">
        <v>0</v>
      </c>
      <c r="T94" s="712">
        <v>0</v>
      </c>
      <c r="U94" s="712">
        <v>0</v>
      </c>
      <c r="V94" s="712">
        <v>0</v>
      </c>
      <c r="W94" s="712">
        <v>0</v>
      </c>
      <c r="X94" s="712">
        <v>0</v>
      </c>
      <c r="Y94" s="712">
        <v>0</v>
      </c>
      <c r="Z94" s="712">
        <v>0</v>
      </c>
      <c r="AA94" s="712">
        <v>0</v>
      </c>
      <c r="AB94" s="721"/>
      <c r="AC94" s="716"/>
      <c r="AD94" s="74">
        <f>IF(ISERROR(VLOOKUP(B94,CourseList!$A$4:$A$29,1,FALSE)),0,1)</f>
        <v>0</v>
      </c>
      <c r="AE94" s="717">
        <v>81</v>
      </c>
      <c r="AF94" s="718"/>
    </row>
    <row r="95" spans="1:32" x14ac:dyDescent="0.35">
      <c r="A95" s="719" t="str">
        <f>IF('Courses Valid'!BU101=1,'Courses Valid'!BT101,IF(AND('Courses Valid'!BU101=0,'Courses Valid'!BV101=1),'Courses Valid'!BT101,IF(B94&lt;&gt;"",'Courses Valid'!BT101,"")))</f>
        <v/>
      </c>
      <c r="B95" s="708"/>
      <c r="C95" s="720" t="str">
        <f t="shared" si="13"/>
        <v/>
      </c>
      <c r="D95" s="308" t="str">
        <f t="shared" si="14"/>
        <v/>
      </c>
      <c r="E95" s="74" t="str">
        <f t="shared" si="15"/>
        <v/>
      </c>
      <c r="F95" s="710" t="str">
        <f t="shared" si="20"/>
        <v/>
      </c>
      <c r="G95" s="308" t="str">
        <f t="shared" si="16"/>
        <v/>
      </c>
      <c r="H95" s="710"/>
      <c r="I95" s="308" t="str">
        <f t="shared" si="17"/>
        <v/>
      </c>
      <c r="J95" s="710"/>
      <c r="K95" s="712" t="str">
        <f t="shared" si="18"/>
        <v/>
      </c>
      <c r="L95" s="1573" t="str">
        <f t="shared" si="19"/>
        <v/>
      </c>
      <c r="M95" s="712">
        <v>0</v>
      </c>
      <c r="N95" s="712">
        <v>0</v>
      </c>
      <c r="O95" s="712">
        <v>0</v>
      </c>
      <c r="P95" s="712">
        <v>0</v>
      </c>
      <c r="Q95" s="712">
        <v>0</v>
      </c>
      <c r="R95" s="712">
        <v>0</v>
      </c>
      <c r="S95" s="712">
        <v>0</v>
      </c>
      <c r="T95" s="712">
        <v>0</v>
      </c>
      <c r="U95" s="712">
        <v>0</v>
      </c>
      <c r="V95" s="712">
        <v>0</v>
      </c>
      <c r="W95" s="712">
        <v>0</v>
      </c>
      <c r="X95" s="712">
        <v>0</v>
      </c>
      <c r="Y95" s="712">
        <v>0</v>
      </c>
      <c r="Z95" s="712">
        <v>0</v>
      </c>
      <c r="AA95" s="712">
        <v>0</v>
      </c>
      <c r="AB95" s="721"/>
      <c r="AC95" s="716"/>
      <c r="AD95" s="74">
        <f>IF(ISERROR(VLOOKUP(B95,CourseList!$A$4:$A$29,1,FALSE)),0,1)</f>
        <v>0</v>
      </c>
      <c r="AE95" s="717">
        <v>82</v>
      </c>
      <c r="AF95" s="718"/>
    </row>
    <row r="96" spans="1:32" x14ac:dyDescent="0.35">
      <c r="A96" s="719" t="str">
        <f>IF('Courses Valid'!BU102=1,'Courses Valid'!BT102,IF(AND('Courses Valid'!BU102=0,'Courses Valid'!BV102=1),'Courses Valid'!BT102,IF(B95&lt;&gt;"",'Courses Valid'!BT102,"")))</f>
        <v/>
      </c>
      <c r="B96" s="708"/>
      <c r="C96" s="720" t="str">
        <f t="shared" si="13"/>
        <v/>
      </c>
      <c r="D96" s="308" t="str">
        <f t="shared" si="14"/>
        <v/>
      </c>
      <c r="E96" s="74" t="str">
        <f t="shared" si="15"/>
        <v/>
      </c>
      <c r="F96" s="710" t="str">
        <f t="shared" si="20"/>
        <v/>
      </c>
      <c r="G96" s="308" t="str">
        <f t="shared" si="16"/>
        <v/>
      </c>
      <c r="H96" s="710"/>
      <c r="I96" s="308" t="str">
        <f t="shared" si="17"/>
        <v/>
      </c>
      <c r="J96" s="710"/>
      <c r="K96" s="712" t="str">
        <f t="shared" si="18"/>
        <v/>
      </c>
      <c r="L96" s="1573" t="str">
        <f t="shared" si="19"/>
        <v/>
      </c>
      <c r="M96" s="712">
        <v>0</v>
      </c>
      <c r="N96" s="712">
        <v>0</v>
      </c>
      <c r="O96" s="712">
        <v>0</v>
      </c>
      <c r="P96" s="712">
        <v>0</v>
      </c>
      <c r="Q96" s="712">
        <v>0</v>
      </c>
      <c r="R96" s="712">
        <v>0</v>
      </c>
      <c r="S96" s="712">
        <v>0</v>
      </c>
      <c r="T96" s="712">
        <v>0</v>
      </c>
      <c r="U96" s="712">
        <v>0</v>
      </c>
      <c r="V96" s="712">
        <v>0</v>
      </c>
      <c r="W96" s="712">
        <v>0</v>
      </c>
      <c r="X96" s="712">
        <v>0</v>
      </c>
      <c r="Y96" s="712">
        <v>0</v>
      </c>
      <c r="Z96" s="712">
        <v>0</v>
      </c>
      <c r="AA96" s="712">
        <v>0</v>
      </c>
      <c r="AB96" s="721"/>
      <c r="AC96" s="716"/>
      <c r="AD96" s="74">
        <f>IF(ISERROR(VLOOKUP(B96,CourseList!$A$4:$A$29,1,FALSE)),0,1)</f>
        <v>0</v>
      </c>
      <c r="AE96" s="717">
        <v>83</v>
      </c>
      <c r="AF96" s="718"/>
    </row>
    <row r="97" spans="1:32" x14ac:dyDescent="0.35">
      <c r="A97" s="719" t="str">
        <f>IF('Courses Valid'!BU103=1,'Courses Valid'!BT103,IF(AND('Courses Valid'!BU103=0,'Courses Valid'!BV103=1),'Courses Valid'!BT103,IF(B96&lt;&gt;"",'Courses Valid'!BT103,"")))</f>
        <v/>
      </c>
      <c r="B97" s="708"/>
      <c r="C97" s="720" t="str">
        <f t="shared" si="13"/>
        <v/>
      </c>
      <c r="D97" s="308" t="str">
        <f t="shared" si="14"/>
        <v/>
      </c>
      <c r="E97" s="74" t="str">
        <f t="shared" si="15"/>
        <v/>
      </c>
      <c r="F97" s="710" t="str">
        <f t="shared" si="20"/>
        <v/>
      </c>
      <c r="G97" s="308" t="str">
        <f t="shared" si="16"/>
        <v/>
      </c>
      <c r="H97" s="710"/>
      <c r="I97" s="308" t="str">
        <f t="shared" si="17"/>
        <v/>
      </c>
      <c r="J97" s="710"/>
      <c r="K97" s="712" t="str">
        <f t="shared" si="18"/>
        <v/>
      </c>
      <c r="L97" s="1573" t="str">
        <f t="shared" si="19"/>
        <v/>
      </c>
      <c r="M97" s="712">
        <v>0</v>
      </c>
      <c r="N97" s="712">
        <v>0</v>
      </c>
      <c r="O97" s="712">
        <v>0</v>
      </c>
      <c r="P97" s="712">
        <v>0</v>
      </c>
      <c r="Q97" s="712">
        <v>0</v>
      </c>
      <c r="R97" s="712">
        <v>0</v>
      </c>
      <c r="S97" s="712">
        <v>0</v>
      </c>
      <c r="T97" s="712">
        <v>0</v>
      </c>
      <c r="U97" s="712">
        <v>0</v>
      </c>
      <c r="V97" s="712">
        <v>0</v>
      </c>
      <c r="W97" s="712">
        <v>0</v>
      </c>
      <c r="X97" s="712">
        <v>0</v>
      </c>
      <c r="Y97" s="712">
        <v>0</v>
      </c>
      <c r="Z97" s="712">
        <v>0</v>
      </c>
      <c r="AA97" s="712">
        <v>0</v>
      </c>
      <c r="AB97" s="721"/>
      <c r="AC97" s="716"/>
      <c r="AD97" s="74">
        <f>IF(ISERROR(VLOOKUP(B97,CourseList!$A$4:$A$29,1,FALSE)),0,1)</f>
        <v>0</v>
      </c>
      <c r="AE97" s="717">
        <v>84</v>
      </c>
      <c r="AF97" s="718"/>
    </row>
    <row r="98" spans="1:32" x14ac:dyDescent="0.35">
      <c r="A98" s="719" t="str">
        <f>IF('Courses Valid'!BU104=1,'Courses Valid'!BT104,IF(AND('Courses Valid'!BU104=0,'Courses Valid'!BV104=1),'Courses Valid'!BT104,IF(B97&lt;&gt;"",'Courses Valid'!BT104,"")))</f>
        <v/>
      </c>
      <c r="B98" s="708"/>
      <c r="C98" s="720" t="str">
        <f t="shared" si="13"/>
        <v/>
      </c>
      <c r="D98" s="308" t="str">
        <f t="shared" si="14"/>
        <v/>
      </c>
      <c r="E98" s="74" t="str">
        <f t="shared" si="15"/>
        <v/>
      </c>
      <c r="F98" s="710" t="str">
        <f t="shared" si="20"/>
        <v/>
      </c>
      <c r="G98" s="308" t="str">
        <f t="shared" si="16"/>
        <v/>
      </c>
      <c r="H98" s="710"/>
      <c r="I98" s="308" t="str">
        <f t="shared" si="17"/>
        <v/>
      </c>
      <c r="J98" s="710"/>
      <c r="K98" s="712" t="str">
        <f t="shared" si="18"/>
        <v/>
      </c>
      <c r="L98" s="1573" t="str">
        <f t="shared" si="19"/>
        <v/>
      </c>
      <c r="M98" s="712">
        <v>0</v>
      </c>
      <c r="N98" s="712">
        <v>0</v>
      </c>
      <c r="O98" s="712">
        <v>0</v>
      </c>
      <c r="P98" s="712">
        <v>0</v>
      </c>
      <c r="Q98" s="712">
        <v>0</v>
      </c>
      <c r="R98" s="712">
        <v>0</v>
      </c>
      <c r="S98" s="712">
        <v>0</v>
      </c>
      <c r="T98" s="712">
        <v>0</v>
      </c>
      <c r="U98" s="712">
        <v>0</v>
      </c>
      <c r="V98" s="712">
        <v>0</v>
      </c>
      <c r="W98" s="712">
        <v>0</v>
      </c>
      <c r="X98" s="712">
        <v>0</v>
      </c>
      <c r="Y98" s="712">
        <v>0</v>
      </c>
      <c r="Z98" s="712">
        <v>0</v>
      </c>
      <c r="AA98" s="712">
        <v>0</v>
      </c>
      <c r="AB98" s="721"/>
      <c r="AC98" s="716"/>
      <c r="AD98" s="74">
        <f>IF(ISERROR(VLOOKUP(B98,CourseList!$A$4:$A$29,1,FALSE)),0,1)</f>
        <v>0</v>
      </c>
      <c r="AE98" s="717">
        <v>85</v>
      </c>
      <c r="AF98" s="718"/>
    </row>
    <row r="99" spans="1:32" x14ac:dyDescent="0.35">
      <c r="A99" s="719" t="str">
        <f>IF('Courses Valid'!BU105=1,'Courses Valid'!BT105,IF(AND('Courses Valid'!BU105=0,'Courses Valid'!BV105=1),'Courses Valid'!BT105,IF(B98&lt;&gt;"",'Courses Valid'!BT105,"")))</f>
        <v/>
      </c>
      <c r="B99" s="708"/>
      <c r="C99" s="720" t="str">
        <f t="shared" si="13"/>
        <v/>
      </c>
      <c r="D99" s="308" t="str">
        <f t="shared" si="14"/>
        <v/>
      </c>
      <c r="E99" s="74" t="str">
        <f t="shared" si="15"/>
        <v/>
      </c>
      <c r="F99" s="710" t="str">
        <f t="shared" si="20"/>
        <v/>
      </c>
      <c r="G99" s="308" t="str">
        <f t="shared" si="16"/>
        <v/>
      </c>
      <c r="H99" s="710"/>
      <c r="I99" s="308" t="str">
        <f t="shared" si="17"/>
        <v/>
      </c>
      <c r="J99" s="710"/>
      <c r="K99" s="712" t="str">
        <f t="shared" si="18"/>
        <v/>
      </c>
      <c r="L99" s="1573" t="str">
        <f t="shared" si="19"/>
        <v/>
      </c>
      <c r="M99" s="712">
        <v>0</v>
      </c>
      <c r="N99" s="712">
        <v>0</v>
      </c>
      <c r="O99" s="712">
        <v>0</v>
      </c>
      <c r="P99" s="712">
        <v>0</v>
      </c>
      <c r="Q99" s="712">
        <v>0</v>
      </c>
      <c r="R99" s="712">
        <v>0</v>
      </c>
      <c r="S99" s="712">
        <v>0</v>
      </c>
      <c r="T99" s="712">
        <v>0</v>
      </c>
      <c r="U99" s="712">
        <v>0</v>
      </c>
      <c r="V99" s="712">
        <v>0</v>
      </c>
      <c r="W99" s="712">
        <v>0</v>
      </c>
      <c r="X99" s="712">
        <v>0</v>
      </c>
      <c r="Y99" s="712">
        <v>0</v>
      </c>
      <c r="Z99" s="712">
        <v>0</v>
      </c>
      <c r="AA99" s="712">
        <v>0</v>
      </c>
      <c r="AB99" s="721"/>
      <c r="AC99" s="716"/>
      <c r="AD99" s="74">
        <f>IF(ISERROR(VLOOKUP(B99,CourseList!$A$4:$A$29,1,FALSE)),0,1)</f>
        <v>0</v>
      </c>
      <c r="AE99" s="717">
        <v>86</v>
      </c>
      <c r="AF99" s="718"/>
    </row>
    <row r="100" spans="1:32" x14ac:dyDescent="0.35">
      <c r="A100" s="719" t="str">
        <f>IF('Courses Valid'!BU106=1,'Courses Valid'!BT106,IF(AND('Courses Valid'!BU106=0,'Courses Valid'!BV106=1),'Courses Valid'!BT106,IF(B99&lt;&gt;"",'Courses Valid'!BT106,"")))</f>
        <v/>
      </c>
      <c r="B100" s="708"/>
      <c r="C100" s="720" t="str">
        <f t="shared" si="13"/>
        <v/>
      </c>
      <c r="D100" s="308" t="str">
        <f t="shared" si="14"/>
        <v/>
      </c>
      <c r="E100" s="74" t="str">
        <f t="shared" si="15"/>
        <v/>
      </c>
      <c r="F100" s="710" t="str">
        <f t="shared" si="20"/>
        <v/>
      </c>
      <c r="G100" s="308" t="str">
        <f t="shared" si="16"/>
        <v/>
      </c>
      <c r="H100" s="710"/>
      <c r="I100" s="308" t="str">
        <f t="shared" si="17"/>
        <v/>
      </c>
      <c r="J100" s="710"/>
      <c r="K100" s="712" t="str">
        <f t="shared" si="18"/>
        <v/>
      </c>
      <c r="L100" s="1573" t="str">
        <f t="shared" si="19"/>
        <v/>
      </c>
      <c r="M100" s="712">
        <v>0</v>
      </c>
      <c r="N100" s="712">
        <v>0</v>
      </c>
      <c r="O100" s="712">
        <v>0</v>
      </c>
      <c r="P100" s="712">
        <v>0</v>
      </c>
      <c r="Q100" s="712">
        <v>0</v>
      </c>
      <c r="R100" s="712">
        <v>0</v>
      </c>
      <c r="S100" s="712">
        <v>0</v>
      </c>
      <c r="T100" s="712">
        <v>0</v>
      </c>
      <c r="U100" s="712">
        <v>0</v>
      </c>
      <c r="V100" s="712">
        <v>0</v>
      </c>
      <c r="W100" s="712">
        <v>0</v>
      </c>
      <c r="X100" s="712">
        <v>0</v>
      </c>
      <c r="Y100" s="712">
        <v>0</v>
      </c>
      <c r="Z100" s="712">
        <v>0</v>
      </c>
      <c r="AA100" s="712">
        <v>0</v>
      </c>
      <c r="AB100" s="721"/>
      <c r="AC100" s="716"/>
      <c r="AD100" s="74">
        <f>IF(ISERROR(VLOOKUP(B100,CourseList!$A$4:$A$29,1,FALSE)),0,1)</f>
        <v>0</v>
      </c>
      <c r="AE100" s="717">
        <v>87</v>
      </c>
      <c r="AF100" s="718"/>
    </row>
    <row r="101" spans="1:32" x14ac:dyDescent="0.35">
      <c r="A101" s="719" t="str">
        <f>IF('Courses Valid'!BU107=1,'Courses Valid'!BT107,IF(AND('Courses Valid'!BU107=0,'Courses Valid'!BV107=1),'Courses Valid'!BT107,IF(B100&lt;&gt;"",'Courses Valid'!BT107,"")))</f>
        <v/>
      </c>
      <c r="B101" s="708"/>
      <c r="C101" s="720" t="str">
        <f t="shared" si="13"/>
        <v/>
      </c>
      <c r="D101" s="308" t="str">
        <f t="shared" si="14"/>
        <v/>
      </c>
      <c r="E101" s="74" t="str">
        <f t="shared" si="15"/>
        <v/>
      </c>
      <c r="F101" s="710" t="str">
        <f t="shared" si="20"/>
        <v/>
      </c>
      <c r="G101" s="308" t="str">
        <f t="shared" si="16"/>
        <v/>
      </c>
      <c r="H101" s="710"/>
      <c r="I101" s="308" t="str">
        <f t="shared" si="17"/>
        <v/>
      </c>
      <c r="J101" s="710"/>
      <c r="K101" s="712" t="str">
        <f t="shared" si="18"/>
        <v/>
      </c>
      <c r="L101" s="1573" t="str">
        <f t="shared" si="19"/>
        <v/>
      </c>
      <c r="M101" s="712">
        <v>0</v>
      </c>
      <c r="N101" s="712">
        <v>0</v>
      </c>
      <c r="O101" s="712">
        <v>0</v>
      </c>
      <c r="P101" s="712">
        <v>0</v>
      </c>
      <c r="Q101" s="712">
        <v>0</v>
      </c>
      <c r="R101" s="712">
        <v>0</v>
      </c>
      <c r="S101" s="712">
        <v>0</v>
      </c>
      <c r="T101" s="712">
        <v>0</v>
      </c>
      <c r="U101" s="712">
        <v>0</v>
      </c>
      <c r="V101" s="712">
        <v>0</v>
      </c>
      <c r="W101" s="712">
        <v>0</v>
      </c>
      <c r="X101" s="712">
        <v>0</v>
      </c>
      <c r="Y101" s="712">
        <v>0</v>
      </c>
      <c r="Z101" s="712">
        <v>0</v>
      </c>
      <c r="AA101" s="712">
        <v>0</v>
      </c>
      <c r="AB101" s="721"/>
      <c r="AC101" s="716"/>
      <c r="AD101" s="74">
        <f>IF(ISERROR(VLOOKUP(B101,CourseList!$A$4:$A$29,1,FALSE)),0,1)</f>
        <v>0</v>
      </c>
      <c r="AE101" s="717">
        <v>88</v>
      </c>
      <c r="AF101" s="718"/>
    </row>
    <row r="102" spans="1:32" x14ac:dyDescent="0.35">
      <c r="A102" s="719" t="str">
        <f>IF('Courses Valid'!BU108=1,'Courses Valid'!BT108,IF(AND('Courses Valid'!BU108=0,'Courses Valid'!BV108=1),'Courses Valid'!BT108,IF(B101&lt;&gt;"",'Courses Valid'!BT108,"")))</f>
        <v/>
      </c>
      <c r="B102" s="708"/>
      <c r="C102" s="720" t="str">
        <f t="shared" si="13"/>
        <v/>
      </c>
      <c r="D102" s="308" t="str">
        <f t="shared" si="14"/>
        <v/>
      </c>
      <c r="E102" s="74" t="str">
        <f t="shared" si="15"/>
        <v/>
      </c>
      <c r="F102" s="710" t="str">
        <f t="shared" si="20"/>
        <v/>
      </c>
      <c r="G102" s="308" t="str">
        <f t="shared" si="16"/>
        <v/>
      </c>
      <c r="H102" s="710"/>
      <c r="I102" s="308" t="str">
        <f t="shared" si="17"/>
        <v/>
      </c>
      <c r="J102" s="710"/>
      <c r="K102" s="712" t="str">
        <f t="shared" si="18"/>
        <v/>
      </c>
      <c r="L102" s="1573" t="str">
        <f t="shared" si="19"/>
        <v/>
      </c>
      <c r="M102" s="712">
        <v>0</v>
      </c>
      <c r="N102" s="712">
        <v>0</v>
      </c>
      <c r="O102" s="712">
        <v>0</v>
      </c>
      <c r="P102" s="712">
        <v>0</v>
      </c>
      <c r="Q102" s="712">
        <v>0</v>
      </c>
      <c r="R102" s="712">
        <v>0</v>
      </c>
      <c r="S102" s="712">
        <v>0</v>
      </c>
      <c r="T102" s="712">
        <v>0</v>
      </c>
      <c r="U102" s="712">
        <v>0</v>
      </c>
      <c r="V102" s="712">
        <v>0</v>
      </c>
      <c r="W102" s="712">
        <v>0</v>
      </c>
      <c r="X102" s="712">
        <v>0</v>
      </c>
      <c r="Y102" s="712">
        <v>0</v>
      </c>
      <c r="Z102" s="712">
        <v>0</v>
      </c>
      <c r="AA102" s="712">
        <v>0</v>
      </c>
      <c r="AB102" s="721"/>
      <c r="AC102" s="716"/>
      <c r="AD102" s="74">
        <f>IF(ISERROR(VLOOKUP(B102,CourseList!$A$4:$A$29,1,FALSE)),0,1)</f>
        <v>0</v>
      </c>
      <c r="AE102" s="717">
        <v>89</v>
      </c>
      <c r="AF102" s="718"/>
    </row>
    <row r="103" spans="1:32" x14ac:dyDescent="0.35">
      <c r="A103" s="719" t="str">
        <f>IF('Courses Valid'!BU109=1,'Courses Valid'!BT109,IF(AND('Courses Valid'!BU109=0,'Courses Valid'!BV109=1),'Courses Valid'!BT109,IF(B102&lt;&gt;"",'Courses Valid'!BT109,"")))</f>
        <v/>
      </c>
      <c r="B103" s="708"/>
      <c r="C103" s="720" t="str">
        <f t="shared" si="13"/>
        <v/>
      </c>
      <c r="D103" s="308" t="str">
        <f t="shared" si="14"/>
        <v/>
      </c>
      <c r="E103" s="74" t="str">
        <f t="shared" si="15"/>
        <v/>
      </c>
      <c r="F103" s="710" t="str">
        <f t="shared" si="20"/>
        <v/>
      </c>
      <c r="G103" s="308" t="str">
        <f t="shared" si="16"/>
        <v/>
      </c>
      <c r="H103" s="710"/>
      <c r="I103" s="308" t="str">
        <f t="shared" si="17"/>
        <v/>
      </c>
      <c r="J103" s="710"/>
      <c r="K103" s="712" t="str">
        <f t="shared" si="18"/>
        <v/>
      </c>
      <c r="L103" s="1573" t="str">
        <f t="shared" si="19"/>
        <v/>
      </c>
      <c r="M103" s="712">
        <v>0</v>
      </c>
      <c r="N103" s="712">
        <v>0</v>
      </c>
      <c r="O103" s="712">
        <v>0</v>
      </c>
      <c r="P103" s="712">
        <v>0</v>
      </c>
      <c r="Q103" s="712">
        <v>0</v>
      </c>
      <c r="R103" s="712">
        <v>0</v>
      </c>
      <c r="S103" s="712">
        <v>0</v>
      </c>
      <c r="T103" s="712">
        <v>0</v>
      </c>
      <c r="U103" s="712">
        <v>0</v>
      </c>
      <c r="V103" s="712">
        <v>0</v>
      </c>
      <c r="W103" s="712">
        <v>0</v>
      </c>
      <c r="X103" s="712">
        <v>0</v>
      </c>
      <c r="Y103" s="712">
        <v>0</v>
      </c>
      <c r="Z103" s="712">
        <v>0</v>
      </c>
      <c r="AA103" s="712">
        <v>0</v>
      </c>
      <c r="AB103" s="721"/>
      <c r="AC103" s="716"/>
      <c r="AD103" s="74">
        <f>IF(ISERROR(VLOOKUP(B103,CourseList!$A$4:$A$29,1,FALSE)),0,1)</f>
        <v>0</v>
      </c>
      <c r="AE103" s="717">
        <v>90</v>
      </c>
      <c r="AF103" s="718"/>
    </row>
    <row r="104" spans="1:32" x14ac:dyDescent="0.35">
      <c r="A104" s="719" t="str">
        <f>IF('Courses Valid'!BU110=1,'Courses Valid'!BT110,IF(AND('Courses Valid'!BU110=0,'Courses Valid'!BV110=1),'Courses Valid'!BT110,IF(B103&lt;&gt;"",'Courses Valid'!BT110,"")))</f>
        <v/>
      </c>
      <c r="B104" s="708"/>
      <c r="C104" s="720" t="str">
        <f t="shared" si="13"/>
        <v/>
      </c>
      <c r="D104" s="308" t="str">
        <f t="shared" si="14"/>
        <v/>
      </c>
      <c r="E104" s="74" t="str">
        <f t="shared" si="15"/>
        <v/>
      </c>
      <c r="F104" s="710" t="str">
        <f t="shared" si="20"/>
        <v/>
      </c>
      <c r="G104" s="308" t="str">
        <f t="shared" si="16"/>
        <v/>
      </c>
      <c r="H104" s="710"/>
      <c r="I104" s="308" t="str">
        <f t="shared" si="17"/>
        <v/>
      </c>
      <c r="J104" s="710"/>
      <c r="K104" s="712" t="str">
        <f t="shared" si="18"/>
        <v/>
      </c>
      <c r="L104" s="1573" t="str">
        <f t="shared" si="19"/>
        <v/>
      </c>
      <c r="M104" s="712">
        <v>0</v>
      </c>
      <c r="N104" s="712">
        <v>0</v>
      </c>
      <c r="O104" s="712">
        <v>0</v>
      </c>
      <c r="P104" s="712">
        <v>0</v>
      </c>
      <c r="Q104" s="712">
        <v>0</v>
      </c>
      <c r="R104" s="712">
        <v>0</v>
      </c>
      <c r="S104" s="712">
        <v>0</v>
      </c>
      <c r="T104" s="712">
        <v>0</v>
      </c>
      <c r="U104" s="712">
        <v>0</v>
      </c>
      <c r="V104" s="712">
        <v>0</v>
      </c>
      <c r="W104" s="712">
        <v>0</v>
      </c>
      <c r="X104" s="712">
        <v>0</v>
      </c>
      <c r="Y104" s="712">
        <v>0</v>
      </c>
      <c r="Z104" s="712">
        <v>0</v>
      </c>
      <c r="AA104" s="712">
        <v>0</v>
      </c>
      <c r="AB104" s="721"/>
      <c r="AC104" s="716"/>
      <c r="AD104" s="74">
        <f>IF(ISERROR(VLOOKUP(B104,CourseList!$A$4:$A$29,1,FALSE)),0,1)</f>
        <v>0</v>
      </c>
      <c r="AE104" s="717">
        <v>91</v>
      </c>
      <c r="AF104" s="718"/>
    </row>
    <row r="105" spans="1:32" x14ac:dyDescent="0.35">
      <c r="A105" s="719" t="str">
        <f>IF('Courses Valid'!BU111=1,'Courses Valid'!BT111,IF(AND('Courses Valid'!BU111=0,'Courses Valid'!BV111=1),'Courses Valid'!BT111,IF(B104&lt;&gt;"",'Courses Valid'!BT111,"")))</f>
        <v/>
      </c>
      <c r="B105" s="708"/>
      <c r="C105" s="720" t="str">
        <f t="shared" si="13"/>
        <v/>
      </c>
      <c r="D105" s="308" t="str">
        <f t="shared" si="14"/>
        <v/>
      </c>
      <c r="E105" s="74" t="str">
        <f t="shared" si="15"/>
        <v/>
      </c>
      <c r="F105" s="710" t="str">
        <f t="shared" si="20"/>
        <v/>
      </c>
      <c r="G105" s="308" t="str">
        <f t="shared" si="16"/>
        <v/>
      </c>
      <c r="H105" s="710"/>
      <c r="I105" s="308" t="str">
        <f t="shared" si="17"/>
        <v/>
      </c>
      <c r="J105" s="710"/>
      <c r="K105" s="712" t="str">
        <f t="shared" si="18"/>
        <v/>
      </c>
      <c r="L105" s="1573" t="str">
        <f t="shared" si="19"/>
        <v/>
      </c>
      <c r="M105" s="712">
        <v>0</v>
      </c>
      <c r="N105" s="712">
        <v>0</v>
      </c>
      <c r="O105" s="712">
        <v>0</v>
      </c>
      <c r="P105" s="712">
        <v>0</v>
      </c>
      <c r="Q105" s="712">
        <v>0</v>
      </c>
      <c r="R105" s="712">
        <v>0</v>
      </c>
      <c r="S105" s="712">
        <v>0</v>
      </c>
      <c r="T105" s="712">
        <v>0</v>
      </c>
      <c r="U105" s="712">
        <v>0</v>
      </c>
      <c r="V105" s="712">
        <v>0</v>
      </c>
      <c r="W105" s="712">
        <v>0</v>
      </c>
      <c r="X105" s="712">
        <v>0</v>
      </c>
      <c r="Y105" s="712">
        <v>0</v>
      </c>
      <c r="Z105" s="712">
        <v>0</v>
      </c>
      <c r="AA105" s="712">
        <v>0</v>
      </c>
      <c r="AB105" s="721"/>
      <c r="AC105" s="716"/>
      <c r="AD105" s="74">
        <f>IF(ISERROR(VLOOKUP(B105,CourseList!$A$4:$A$29,1,FALSE)),0,1)</f>
        <v>0</v>
      </c>
      <c r="AE105" s="717">
        <v>92</v>
      </c>
      <c r="AF105" s="718"/>
    </row>
    <row r="106" spans="1:32" x14ac:dyDescent="0.35">
      <c r="A106" s="719" t="str">
        <f>IF('Courses Valid'!BU112=1,'Courses Valid'!BT112,IF(AND('Courses Valid'!BU112=0,'Courses Valid'!BV112=1),'Courses Valid'!BT112,IF(B105&lt;&gt;"",'Courses Valid'!BT112,"")))</f>
        <v/>
      </c>
      <c r="B106" s="708"/>
      <c r="C106" s="720" t="str">
        <f t="shared" si="13"/>
        <v/>
      </c>
      <c r="D106" s="308" t="str">
        <f t="shared" si="14"/>
        <v/>
      </c>
      <c r="E106" s="74" t="str">
        <f t="shared" si="15"/>
        <v/>
      </c>
      <c r="F106" s="710" t="str">
        <f t="shared" si="20"/>
        <v/>
      </c>
      <c r="G106" s="308" t="str">
        <f t="shared" si="16"/>
        <v/>
      </c>
      <c r="H106" s="710"/>
      <c r="I106" s="308" t="str">
        <f t="shared" si="17"/>
        <v/>
      </c>
      <c r="J106" s="710"/>
      <c r="K106" s="712" t="str">
        <f t="shared" si="18"/>
        <v/>
      </c>
      <c r="L106" s="1573" t="str">
        <f t="shared" si="19"/>
        <v/>
      </c>
      <c r="M106" s="712">
        <v>0</v>
      </c>
      <c r="N106" s="712">
        <v>0</v>
      </c>
      <c r="O106" s="712">
        <v>0</v>
      </c>
      <c r="P106" s="712">
        <v>0</v>
      </c>
      <c r="Q106" s="712">
        <v>0</v>
      </c>
      <c r="R106" s="712">
        <v>0</v>
      </c>
      <c r="S106" s="712">
        <v>0</v>
      </c>
      <c r="T106" s="712">
        <v>0</v>
      </c>
      <c r="U106" s="712">
        <v>0</v>
      </c>
      <c r="V106" s="712">
        <v>0</v>
      </c>
      <c r="W106" s="712">
        <v>0</v>
      </c>
      <c r="X106" s="712">
        <v>0</v>
      </c>
      <c r="Y106" s="712">
        <v>0</v>
      </c>
      <c r="Z106" s="712">
        <v>0</v>
      </c>
      <c r="AA106" s="712">
        <v>0</v>
      </c>
      <c r="AB106" s="721"/>
      <c r="AC106" s="716"/>
      <c r="AD106" s="74">
        <f>IF(ISERROR(VLOOKUP(B106,CourseList!$A$4:$A$29,1,FALSE)),0,1)</f>
        <v>0</v>
      </c>
      <c r="AE106" s="717">
        <v>93</v>
      </c>
      <c r="AF106" s="718"/>
    </row>
    <row r="107" spans="1:32" x14ac:dyDescent="0.35">
      <c r="A107" s="719" t="str">
        <f>IF('Courses Valid'!BU113=1,'Courses Valid'!BT113,IF(AND('Courses Valid'!BU113=0,'Courses Valid'!BV113=1),'Courses Valid'!BT113,IF(B106&lt;&gt;"",'Courses Valid'!BT113,"")))</f>
        <v/>
      </c>
      <c r="B107" s="708"/>
      <c r="C107" s="720" t="str">
        <f t="shared" si="13"/>
        <v/>
      </c>
      <c r="D107" s="308" t="str">
        <f t="shared" si="14"/>
        <v/>
      </c>
      <c r="E107" s="74" t="str">
        <f t="shared" si="15"/>
        <v/>
      </c>
      <c r="F107" s="710" t="str">
        <f t="shared" si="20"/>
        <v/>
      </c>
      <c r="G107" s="308" t="str">
        <f t="shared" si="16"/>
        <v/>
      </c>
      <c r="H107" s="710"/>
      <c r="I107" s="308" t="str">
        <f t="shared" si="17"/>
        <v/>
      </c>
      <c r="J107" s="710"/>
      <c r="K107" s="712" t="str">
        <f t="shared" si="18"/>
        <v/>
      </c>
      <c r="L107" s="1573" t="str">
        <f t="shared" si="19"/>
        <v/>
      </c>
      <c r="M107" s="712">
        <v>0</v>
      </c>
      <c r="N107" s="712">
        <v>0</v>
      </c>
      <c r="O107" s="712">
        <v>0</v>
      </c>
      <c r="P107" s="712">
        <v>0</v>
      </c>
      <c r="Q107" s="712">
        <v>0</v>
      </c>
      <c r="R107" s="712">
        <v>0</v>
      </c>
      <c r="S107" s="712">
        <v>0</v>
      </c>
      <c r="T107" s="712">
        <v>0</v>
      </c>
      <c r="U107" s="712">
        <v>0</v>
      </c>
      <c r="V107" s="712">
        <v>0</v>
      </c>
      <c r="W107" s="712">
        <v>0</v>
      </c>
      <c r="X107" s="712">
        <v>0</v>
      </c>
      <c r="Y107" s="712">
        <v>0</v>
      </c>
      <c r="Z107" s="712">
        <v>0</v>
      </c>
      <c r="AA107" s="712">
        <v>0</v>
      </c>
      <c r="AB107" s="721"/>
      <c r="AC107" s="716"/>
      <c r="AD107" s="74">
        <f>IF(ISERROR(VLOOKUP(B107,CourseList!$A$4:$A$29,1,FALSE)),0,1)</f>
        <v>0</v>
      </c>
      <c r="AE107" s="717">
        <v>94</v>
      </c>
      <c r="AF107" s="718"/>
    </row>
    <row r="108" spans="1:32" x14ac:dyDescent="0.35">
      <c r="A108" s="719" t="str">
        <f>IF('Courses Valid'!BU114=1,'Courses Valid'!BT114,IF(AND('Courses Valid'!BU114=0,'Courses Valid'!BV114=1),'Courses Valid'!BT114,IF(B107&lt;&gt;"",'Courses Valid'!BT114,"")))</f>
        <v/>
      </c>
      <c r="B108" s="708"/>
      <c r="C108" s="720" t="str">
        <f t="shared" si="13"/>
        <v/>
      </c>
      <c r="D108" s="308" t="str">
        <f t="shared" si="14"/>
        <v/>
      </c>
      <c r="E108" s="74" t="str">
        <f t="shared" si="15"/>
        <v/>
      </c>
      <c r="F108" s="710" t="str">
        <f t="shared" si="20"/>
        <v/>
      </c>
      <c r="G108" s="308" t="str">
        <f t="shared" si="16"/>
        <v/>
      </c>
      <c r="H108" s="710"/>
      <c r="I108" s="308" t="str">
        <f t="shared" si="17"/>
        <v/>
      </c>
      <c r="J108" s="710"/>
      <c r="K108" s="712" t="str">
        <f t="shared" si="18"/>
        <v/>
      </c>
      <c r="L108" s="1573" t="str">
        <f t="shared" si="19"/>
        <v/>
      </c>
      <c r="M108" s="712">
        <v>0</v>
      </c>
      <c r="N108" s="712">
        <v>0</v>
      </c>
      <c r="O108" s="712">
        <v>0</v>
      </c>
      <c r="P108" s="712">
        <v>0</v>
      </c>
      <c r="Q108" s="712">
        <v>0</v>
      </c>
      <c r="R108" s="712">
        <v>0</v>
      </c>
      <c r="S108" s="712">
        <v>0</v>
      </c>
      <c r="T108" s="712">
        <v>0</v>
      </c>
      <c r="U108" s="712">
        <v>0</v>
      </c>
      <c r="V108" s="712">
        <v>0</v>
      </c>
      <c r="W108" s="712">
        <v>0</v>
      </c>
      <c r="X108" s="712">
        <v>0</v>
      </c>
      <c r="Y108" s="712">
        <v>0</v>
      </c>
      <c r="Z108" s="712">
        <v>0</v>
      </c>
      <c r="AA108" s="712">
        <v>0</v>
      </c>
      <c r="AB108" s="721"/>
      <c r="AC108" s="716"/>
      <c r="AD108" s="74">
        <f>IF(ISERROR(VLOOKUP(B108,CourseList!$A$4:$A$29,1,FALSE)),0,1)</f>
        <v>0</v>
      </c>
      <c r="AE108" s="717">
        <v>95</v>
      </c>
      <c r="AF108" s="718"/>
    </row>
    <row r="109" spans="1:32" x14ac:dyDescent="0.35">
      <c r="A109" s="719" t="str">
        <f>IF('Courses Valid'!BU115=1,'Courses Valid'!BT115,IF(AND('Courses Valid'!BU115=0,'Courses Valid'!BV115=1),'Courses Valid'!BT115,IF(B108&lt;&gt;"",'Courses Valid'!BT115,"")))</f>
        <v/>
      </c>
      <c r="B109" s="708"/>
      <c r="C109" s="720" t="str">
        <f t="shared" si="13"/>
        <v/>
      </c>
      <c r="D109" s="308" t="str">
        <f t="shared" si="14"/>
        <v/>
      </c>
      <c r="E109" s="74" t="str">
        <f t="shared" si="15"/>
        <v/>
      </c>
      <c r="F109" s="710" t="str">
        <f t="shared" si="20"/>
        <v/>
      </c>
      <c r="G109" s="308" t="str">
        <f t="shared" si="16"/>
        <v/>
      </c>
      <c r="H109" s="710"/>
      <c r="I109" s="308" t="str">
        <f t="shared" si="17"/>
        <v/>
      </c>
      <c r="J109" s="710"/>
      <c r="K109" s="712" t="str">
        <f t="shared" si="18"/>
        <v/>
      </c>
      <c r="L109" s="1573" t="str">
        <f t="shared" si="19"/>
        <v/>
      </c>
      <c r="M109" s="712">
        <v>0</v>
      </c>
      <c r="N109" s="712">
        <v>0</v>
      </c>
      <c r="O109" s="712">
        <v>0</v>
      </c>
      <c r="P109" s="712">
        <v>0</v>
      </c>
      <c r="Q109" s="712">
        <v>0</v>
      </c>
      <c r="R109" s="712">
        <v>0</v>
      </c>
      <c r="S109" s="712">
        <v>0</v>
      </c>
      <c r="T109" s="712">
        <v>0</v>
      </c>
      <c r="U109" s="712">
        <v>0</v>
      </c>
      <c r="V109" s="712">
        <v>0</v>
      </c>
      <c r="W109" s="712">
        <v>0</v>
      </c>
      <c r="X109" s="712">
        <v>0</v>
      </c>
      <c r="Y109" s="712">
        <v>0</v>
      </c>
      <c r="Z109" s="712">
        <v>0</v>
      </c>
      <c r="AA109" s="712">
        <v>0</v>
      </c>
      <c r="AB109" s="721"/>
      <c r="AC109" s="716"/>
      <c r="AD109" s="74">
        <f>IF(ISERROR(VLOOKUP(B109,CourseList!$A$4:$A$29,1,FALSE)),0,1)</f>
        <v>0</v>
      </c>
      <c r="AE109" s="717">
        <v>96</v>
      </c>
      <c r="AF109" s="718"/>
    </row>
    <row r="110" spans="1:32" x14ac:dyDescent="0.35">
      <c r="A110" s="719" t="str">
        <f>IF('Courses Valid'!BU116=1,'Courses Valid'!BT116,IF(AND('Courses Valid'!BU116=0,'Courses Valid'!BV116=1),'Courses Valid'!BT116,IF(B109&lt;&gt;"",'Courses Valid'!BT116,"")))</f>
        <v/>
      </c>
      <c r="B110" s="708"/>
      <c r="C110" s="720" t="str">
        <f t="shared" si="13"/>
        <v/>
      </c>
      <c r="D110" s="308" t="str">
        <f t="shared" ref="D110:D141" si="21">IF($C110&lt;&gt;"",IF(ISNA(VLOOKUP($C110,CourseInfo,2,FALSE))=FALSE,VLOOKUP($C110,CourseInfo,2,FALSE),"Please enter a valid learning aim reference"),"")</f>
        <v/>
      </c>
      <c r="E110" s="74" t="str">
        <f t="shared" ref="E110:E141" si="22">IF($C110&lt;&gt;"",IF(ISNA(VLOOKUP($C110,CourseInfo,3,FALSE))=TRUE,"",VLOOKUP($C110,CourseInfo,3,FALSE)),"")</f>
        <v/>
      </c>
      <c r="F110" s="710" t="str">
        <f t="shared" si="20"/>
        <v/>
      </c>
      <c r="G110" s="308" t="str">
        <f t="shared" ref="G110:G141" si="23">IF($C110&lt;&gt;"",IF(ISNA(VLOOKUP($C110,CourseInfo,2,FALSE)=FALSE),"",IF(VLOOKUP($C110,CourseInfo,4,FALSE)="","",VLOOKUP($C110,CourseInfo,4,FALSE))),"")</f>
        <v/>
      </c>
      <c r="H110" s="710"/>
      <c r="I110" s="308" t="str">
        <f t="shared" ref="I110:I141" si="24">IF($C110&lt;&gt;"",IF(ISNA(VLOOKUP($C110,CourseInfo,2,FALSE)=FALSE),"",IF(VLOOKUP($C110,CourseInfo,5,FALSE)="","",VLOOKUP($C110,CourseInfo,5,FALSE))),"")</f>
        <v/>
      </c>
      <c r="J110" s="710"/>
      <c r="K110" s="712" t="str">
        <f t="shared" ref="K110:K141" si="25">IF($C110&lt;&gt;"",IF(ISNA(VLOOKUP($C110,CourseInfo,6,FALSE))=TRUE,"",VLOOKUP($C110,CourseInfo,6,FALSE)),"")</f>
        <v/>
      </c>
      <c r="L110" s="1573" t="str">
        <f t="shared" si="19"/>
        <v/>
      </c>
      <c r="M110" s="712">
        <v>0</v>
      </c>
      <c r="N110" s="712">
        <v>0</v>
      </c>
      <c r="O110" s="712">
        <v>0</v>
      </c>
      <c r="P110" s="712">
        <v>0</v>
      </c>
      <c r="Q110" s="712">
        <v>0</v>
      </c>
      <c r="R110" s="712">
        <v>0</v>
      </c>
      <c r="S110" s="712">
        <v>0</v>
      </c>
      <c r="T110" s="712">
        <v>0</v>
      </c>
      <c r="U110" s="712">
        <v>0</v>
      </c>
      <c r="V110" s="712">
        <v>0</v>
      </c>
      <c r="W110" s="712">
        <v>0</v>
      </c>
      <c r="X110" s="712">
        <v>0</v>
      </c>
      <c r="Y110" s="712">
        <v>0</v>
      </c>
      <c r="Z110" s="712">
        <v>0</v>
      </c>
      <c r="AA110" s="712">
        <v>0</v>
      </c>
      <c r="AB110" s="721"/>
      <c r="AC110" s="716"/>
      <c r="AD110" s="74">
        <f>IF(ISERROR(VLOOKUP(B110,CourseList!$A$4:$A$29,1,FALSE)),0,1)</f>
        <v>0</v>
      </c>
      <c r="AE110" s="717">
        <v>97</v>
      </c>
      <c r="AF110" s="718"/>
    </row>
    <row r="111" spans="1:32" x14ac:dyDescent="0.35">
      <c r="A111" s="719" t="str">
        <f>IF('Courses Valid'!BU117=1,'Courses Valid'!BT117,IF(AND('Courses Valid'!BU117=0,'Courses Valid'!BV117=1),'Courses Valid'!BT117,IF(B110&lt;&gt;"",'Courses Valid'!BT117,"")))</f>
        <v/>
      </c>
      <c r="B111" s="708"/>
      <c r="C111" s="720" t="str">
        <f t="shared" si="13"/>
        <v/>
      </c>
      <c r="D111" s="308" t="str">
        <f t="shared" si="21"/>
        <v/>
      </c>
      <c r="E111" s="74" t="str">
        <f t="shared" si="22"/>
        <v/>
      </c>
      <c r="F111" s="710" t="str">
        <f t="shared" si="20"/>
        <v/>
      </c>
      <c r="G111" s="308" t="str">
        <f t="shared" si="23"/>
        <v/>
      </c>
      <c r="H111" s="710"/>
      <c r="I111" s="308" t="str">
        <f t="shared" si="24"/>
        <v/>
      </c>
      <c r="J111" s="710"/>
      <c r="K111" s="712" t="str">
        <f t="shared" si="25"/>
        <v/>
      </c>
      <c r="L111" s="1573" t="str">
        <f t="shared" si="19"/>
        <v/>
      </c>
      <c r="M111" s="712">
        <v>0</v>
      </c>
      <c r="N111" s="712">
        <v>0</v>
      </c>
      <c r="O111" s="712">
        <v>0</v>
      </c>
      <c r="P111" s="712">
        <v>0</v>
      </c>
      <c r="Q111" s="712">
        <v>0</v>
      </c>
      <c r="R111" s="712">
        <v>0</v>
      </c>
      <c r="S111" s="712">
        <v>0</v>
      </c>
      <c r="T111" s="712">
        <v>0</v>
      </c>
      <c r="U111" s="712">
        <v>0</v>
      </c>
      <c r="V111" s="712">
        <v>0</v>
      </c>
      <c r="W111" s="712">
        <v>0</v>
      </c>
      <c r="X111" s="712">
        <v>0</v>
      </c>
      <c r="Y111" s="712">
        <v>0</v>
      </c>
      <c r="Z111" s="712">
        <v>0</v>
      </c>
      <c r="AA111" s="712">
        <v>0</v>
      </c>
      <c r="AB111" s="721"/>
      <c r="AC111" s="716"/>
      <c r="AD111" s="74">
        <f>IF(ISERROR(VLOOKUP(B111,CourseList!$A$4:$A$29,1,FALSE)),0,1)</f>
        <v>0</v>
      </c>
      <c r="AE111" s="717">
        <v>98</v>
      </c>
      <c r="AF111" s="718"/>
    </row>
    <row r="112" spans="1:32" x14ac:dyDescent="0.35">
      <c r="A112" s="719" t="str">
        <f>IF('Courses Valid'!BU118=1,'Courses Valid'!BT118,IF(AND('Courses Valid'!BU118=0,'Courses Valid'!BV118=1),'Courses Valid'!BT118,IF(B111&lt;&gt;"",'Courses Valid'!BT118,"")))</f>
        <v/>
      </c>
      <c r="B112" s="708"/>
      <c r="C112" s="720" t="str">
        <f t="shared" si="13"/>
        <v/>
      </c>
      <c r="D112" s="308" t="str">
        <f t="shared" si="21"/>
        <v/>
      </c>
      <c r="E112" s="74" t="str">
        <f t="shared" si="22"/>
        <v/>
      </c>
      <c r="F112" s="710" t="str">
        <f t="shared" si="20"/>
        <v/>
      </c>
      <c r="G112" s="308" t="str">
        <f t="shared" si="23"/>
        <v/>
      </c>
      <c r="H112" s="710"/>
      <c r="I112" s="308" t="str">
        <f t="shared" si="24"/>
        <v/>
      </c>
      <c r="J112" s="710"/>
      <c r="K112" s="712" t="str">
        <f t="shared" si="25"/>
        <v/>
      </c>
      <c r="L112" s="1573" t="str">
        <f t="shared" si="19"/>
        <v/>
      </c>
      <c r="M112" s="712">
        <v>0</v>
      </c>
      <c r="N112" s="712">
        <v>0</v>
      </c>
      <c r="O112" s="712">
        <v>0</v>
      </c>
      <c r="P112" s="712">
        <v>0</v>
      </c>
      <c r="Q112" s="712">
        <v>0</v>
      </c>
      <c r="R112" s="712">
        <v>0</v>
      </c>
      <c r="S112" s="712">
        <v>0</v>
      </c>
      <c r="T112" s="712">
        <v>0</v>
      </c>
      <c r="U112" s="712">
        <v>0</v>
      </c>
      <c r="V112" s="712">
        <v>0</v>
      </c>
      <c r="W112" s="712">
        <v>0</v>
      </c>
      <c r="X112" s="712">
        <v>0</v>
      </c>
      <c r="Y112" s="712">
        <v>0</v>
      </c>
      <c r="Z112" s="712">
        <v>0</v>
      </c>
      <c r="AA112" s="712">
        <v>0</v>
      </c>
      <c r="AB112" s="721"/>
      <c r="AC112" s="716"/>
      <c r="AD112" s="74">
        <f>IF(ISERROR(VLOOKUP(B112,CourseList!$A$4:$A$29,1,FALSE)),0,1)</f>
        <v>0</v>
      </c>
      <c r="AE112" s="717">
        <v>99</v>
      </c>
      <c r="AF112" s="718"/>
    </row>
    <row r="113" spans="1:32" x14ac:dyDescent="0.35">
      <c r="A113" s="719" t="str">
        <f>IF('Courses Valid'!BU119=1,'Courses Valid'!BT119,IF(AND('Courses Valid'!BU119=0,'Courses Valid'!BV119=1),'Courses Valid'!BT119,IF(B112&lt;&gt;"",'Courses Valid'!BT119,"")))</f>
        <v/>
      </c>
      <c r="B113" s="708"/>
      <c r="C113" s="720" t="str">
        <f t="shared" si="13"/>
        <v/>
      </c>
      <c r="D113" s="308" t="str">
        <f t="shared" si="21"/>
        <v/>
      </c>
      <c r="E113" s="74" t="str">
        <f t="shared" si="22"/>
        <v/>
      </c>
      <c r="F113" s="710" t="str">
        <f t="shared" si="20"/>
        <v/>
      </c>
      <c r="G113" s="308" t="str">
        <f t="shared" si="23"/>
        <v/>
      </c>
      <c r="H113" s="710"/>
      <c r="I113" s="308" t="str">
        <f t="shared" si="24"/>
        <v/>
      </c>
      <c r="J113" s="710"/>
      <c r="K113" s="712" t="str">
        <f t="shared" si="25"/>
        <v/>
      </c>
      <c r="L113" s="1573" t="str">
        <f t="shared" si="19"/>
        <v/>
      </c>
      <c r="M113" s="712">
        <v>0</v>
      </c>
      <c r="N113" s="712">
        <v>0</v>
      </c>
      <c r="O113" s="712">
        <v>0</v>
      </c>
      <c r="P113" s="712">
        <v>0</v>
      </c>
      <c r="Q113" s="712">
        <v>0</v>
      </c>
      <c r="R113" s="712">
        <v>0</v>
      </c>
      <c r="S113" s="712">
        <v>0</v>
      </c>
      <c r="T113" s="712">
        <v>0</v>
      </c>
      <c r="U113" s="712">
        <v>0</v>
      </c>
      <c r="V113" s="712">
        <v>0</v>
      </c>
      <c r="W113" s="712">
        <v>0</v>
      </c>
      <c r="X113" s="712">
        <v>0</v>
      </c>
      <c r="Y113" s="712">
        <v>0</v>
      </c>
      <c r="Z113" s="712">
        <v>0</v>
      </c>
      <c r="AA113" s="712">
        <v>0</v>
      </c>
      <c r="AB113" s="721"/>
      <c r="AC113" s="716"/>
      <c r="AD113" s="74">
        <f>IF(ISERROR(VLOOKUP(B113,CourseList!$A$4:$A$29,1,FALSE)),0,1)</f>
        <v>0</v>
      </c>
      <c r="AE113" s="717">
        <v>100</v>
      </c>
      <c r="AF113" s="718"/>
    </row>
    <row r="114" spans="1:32" x14ac:dyDescent="0.35">
      <c r="A114" s="719" t="str">
        <f>IF('Courses Valid'!BU120=1,'Courses Valid'!BT120,IF(AND('Courses Valid'!BU120=0,'Courses Valid'!BV120=1),'Courses Valid'!BT120,IF(B113&lt;&gt;"",'Courses Valid'!BT120,"")))</f>
        <v/>
      </c>
      <c r="B114" s="708"/>
      <c r="C114" s="720" t="str">
        <f t="shared" si="13"/>
        <v/>
      </c>
      <c r="D114" s="308" t="str">
        <f t="shared" si="21"/>
        <v/>
      </c>
      <c r="E114" s="74" t="str">
        <f t="shared" si="22"/>
        <v/>
      </c>
      <c r="F114" s="710" t="str">
        <f t="shared" si="20"/>
        <v/>
      </c>
      <c r="G114" s="308" t="str">
        <f t="shared" si="23"/>
        <v/>
      </c>
      <c r="H114" s="710"/>
      <c r="I114" s="308" t="str">
        <f t="shared" si="24"/>
        <v/>
      </c>
      <c r="J114" s="710"/>
      <c r="K114" s="712" t="str">
        <f t="shared" si="25"/>
        <v/>
      </c>
      <c r="L114" s="1573" t="str">
        <f t="shared" si="19"/>
        <v/>
      </c>
      <c r="M114" s="712">
        <v>0</v>
      </c>
      <c r="N114" s="712">
        <v>0</v>
      </c>
      <c r="O114" s="712">
        <v>0</v>
      </c>
      <c r="P114" s="712">
        <v>0</v>
      </c>
      <c r="Q114" s="712">
        <v>0</v>
      </c>
      <c r="R114" s="712">
        <v>0</v>
      </c>
      <c r="S114" s="712">
        <v>0</v>
      </c>
      <c r="T114" s="712">
        <v>0</v>
      </c>
      <c r="U114" s="712">
        <v>0</v>
      </c>
      <c r="V114" s="712">
        <v>0</v>
      </c>
      <c r="W114" s="712">
        <v>0</v>
      </c>
      <c r="X114" s="712">
        <v>0</v>
      </c>
      <c r="Y114" s="712">
        <v>0</v>
      </c>
      <c r="Z114" s="712">
        <v>0</v>
      </c>
      <c r="AA114" s="712">
        <v>0</v>
      </c>
      <c r="AB114" s="721"/>
      <c r="AC114" s="716"/>
      <c r="AD114" s="74">
        <f>IF(ISERROR(VLOOKUP(B114,CourseList!$A$4:$A$29,1,FALSE)),0,1)</f>
        <v>0</v>
      </c>
      <c r="AE114" s="717">
        <v>101</v>
      </c>
      <c r="AF114" s="718"/>
    </row>
    <row r="115" spans="1:32" x14ac:dyDescent="0.35">
      <c r="A115" s="719" t="str">
        <f>IF('Courses Valid'!BU121=1,'Courses Valid'!BT121,IF(AND('Courses Valid'!BU121=0,'Courses Valid'!BV121=1),'Courses Valid'!BT121,IF(B114&lt;&gt;"",'Courses Valid'!BT121,"")))</f>
        <v/>
      </c>
      <c r="B115" s="708"/>
      <c r="C115" s="720" t="str">
        <f t="shared" si="13"/>
        <v/>
      </c>
      <c r="D115" s="308" t="str">
        <f t="shared" si="21"/>
        <v/>
      </c>
      <c r="E115" s="74" t="str">
        <f t="shared" si="22"/>
        <v/>
      </c>
      <c r="F115" s="710" t="str">
        <f t="shared" si="20"/>
        <v/>
      </c>
      <c r="G115" s="308" t="str">
        <f t="shared" si="23"/>
        <v/>
      </c>
      <c r="H115" s="710"/>
      <c r="I115" s="308" t="str">
        <f t="shared" si="24"/>
        <v/>
      </c>
      <c r="J115" s="710"/>
      <c r="K115" s="712" t="str">
        <f t="shared" si="25"/>
        <v/>
      </c>
      <c r="L115" s="1573" t="str">
        <f t="shared" si="19"/>
        <v/>
      </c>
      <c r="M115" s="712">
        <v>0</v>
      </c>
      <c r="N115" s="712">
        <v>0</v>
      </c>
      <c r="O115" s="712">
        <v>0</v>
      </c>
      <c r="P115" s="712">
        <v>0</v>
      </c>
      <c r="Q115" s="712">
        <v>0</v>
      </c>
      <c r="R115" s="712">
        <v>0</v>
      </c>
      <c r="S115" s="712">
        <v>0</v>
      </c>
      <c r="T115" s="712">
        <v>0</v>
      </c>
      <c r="U115" s="712">
        <v>0</v>
      </c>
      <c r="V115" s="712">
        <v>0</v>
      </c>
      <c r="W115" s="712">
        <v>0</v>
      </c>
      <c r="X115" s="712">
        <v>0</v>
      </c>
      <c r="Y115" s="712">
        <v>0</v>
      </c>
      <c r="Z115" s="712">
        <v>0</v>
      </c>
      <c r="AA115" s="712">
        <v>0</v>
      </c>
      <c r="AB115" s="721"/>
      <c r="AC115" s="716"/>
      <c r="AD115" s="74">
        <f>IF(ISERROR(VLOOKUP(B115,CourseList!$A$4:$A$29,1,FALSE)),0,1)</f>
        <v>0</v>
      </c>
      <c r="AE115" s="717">
        <v>102</v>
      </c>
      <c r="AF115" s="718"/>
    </row>
    <row r="116" spans="1:32" x14ac:dyDescent="0.35">
      <c r="A116" s="719" t="str">
        <f>IF('Courses Valid'!BU122=1,'Courses Valid'!BT122,IF(AND('Courses Valid'!BU122=0,'Courses Valid'!BV122=1),'Courses Valid'!BT122,IF(B115&lt;&gt;"",'Courses Valid'!BT122,"")))</f>
        <v/>
      </c>
      <c r="B116" s="708"/>
      <c r="C116" s="720" t="str">
        <f t="shared" si="13"/>
        <v/>
      </c>
      <c r="D116" s="308" t="str">
        <f t="shared" si="21"/>
        <v/>
      </c>
      <c r="E116" s="74" t="str">
        <f t="shared" si="22"/>
        <v/>
      </c>
      <c r="F116" s="710" t="str">
        <f t="shared" si="20"/>
        <v/>
      </c>
      <c r="G116" s="308" t="str">
        <f t="shared" si="23"/>
        <v/>
      </c>
      <c r="H116" s="710"/>
      <c r="I116" s="308" t="str">
        <f t="shared" si="24"/>
        <v/>
      </c>
      <c r="J116" s="710"/>
      <c r="K116" s="712" t="str">
        <f t="shared" si="25"/>
        <v/>
      </c>
      <c r="L116" s="1573" t="str">
        <f t="shared" si="19"/>
        <v/>
      </c>
      <c r="M116" s="712">
        <v>0</v>
      </c>
      <c r="N116" s="712">
        <v>0</v>
      </c>
      <c r="O116" s="712">
        <v>0</v>
      </c>
      <c r="P116" s="712">
        <v>0</v>
      </c>
      <c r="Q116" s="712">
        <v>0</v>
      </c>
      <c r="R116" s="712">
        <v>0</v>
      </c>
      <c r="S116" s="712">
        <v>0</v>
      </c>
      <c r="T116" s="712">
        <v>0</v>
      </c>
      <c r="U116" s="712">
        <v>0</v>
      </c>
      <c r="V116" s="712">
        <v>0</v>
      </c>
      <c r="W116" s="712">
        <v>0</v>
      </c>
      <c r="X116" s="712">
        <v>0</v>
      </c>
      <c r="Y116" s="712">
        <v>0</v>
      </c>
      <c r="Z116" s="712">
        <v>0</v>
      </c>
      <c r="AA116" s="712">
        <v>0</v>
      </c>
      <c r="AB116" s="721"/>
      <c r="AC116" s="716"/>
      <c r="AD116" s="74">
        <f>IF(ISERROR(VLOOKUP(B116,CourseList!$A$4:$A$29,1,FALSE)),0,1)</f>
        <v>0</v>
      </c>
      <c r="AE116" s="717">
        <v>103</v>
      </c>
      <c r="AF116" s="718"/>
    </row>
    <row r="117" spans="1:32" x14ac:dyDescent="0.35">
      <c r="A117" s="719" t="str">
        <f>IF('Courses Valid'!BU123=1,'Courses Valid'!BT123,IF(AND('Courses Valid'!BU123=0,'Courses Valid'!BV123=1),'Courses Valid'!BT123,IF(B116&lt;&gt;"",'Courses Valid'!BT123,"")))</f>
        <v/>
      </c>
      <c r="B117" s="708"/>
      <c r="C117" s="720" t="str">
        <f t="shared" si="13"/>
        <v/>
      </c>
      <c r="D117" s="308" t="str">
        <f t="shared" si="21"/>
        <v/>
      </c>
      <c r="E117" s="74" t="str">
        <f t="shared" si="22"/>
        <v/>
      </c>
      <c r="F117" s="710" t="str">
        <f t="shared" si="20"/>
        <v/>
      </c>
      <c r="G117" s="308" t="str">
        <f t="shared" si="23"/>
        <v/>
      </c>
      <c r="H117" s="710"/>
      <c r="I117" s="308" t="str">
        <f t="shared" si="24"/>
        <v/>
      </c>
      <c r="J117" s="710"/>
      <c r="K117" s="712" t="str">
        <f t="shared" si="25"/>
        <v/>
      </c>
      <c r="L117" s="1573" t="str">
        <f t="shared" si="19"/>
        <v/>
      </c>
      <c r="M117" s="712">
        <v>0</v>
      </c>
      <c r="N117" s="712">
        <v>0</v>
      </c>
      <c r="O117" s="712">
        <v>0</v>
      </c>
      <c r="P117" s="712">
        <v>0</v>
      </c>
      <c r="Q117" s="712">
        <v>0</v>
      </c>
      <c r="R117" s="712">
        <v>0</v>
      </c>
      <c r="S117" s="712">
        <v>0</v>
      </c>
      <c r="T117" s="712">
        <v>0</v>
      </c>
      <c r="U117" s="712">
        <v>0</v>
      </c>
      <c r="V117" s="712">
        <v>0</v>
      </c>
      <c r="W117" s="712">
        <v>0</v>
      </c>
      <c r="X117" s="712">
        <v>0</v>
      </c>
      <c r="Y117" s="712">
        <v>0</v>
      </c>
      <c r="Z117" s="712">
        <v>0</v>
      </c>
      <c r="AA117" s="712">
        <v>0</v>
      </c>
      <c r="AB117" s="721"/>
      <c r="AC117" s="716"/>
      <c r="AD117" s="74">
        <f>IF(ISERROR(VLOOKUP(B117,CourseList!$A$4:$A$29,1,FALSE)),0,1)</f>
        <v>0</v>
      </c>
      <c r="AE117" s="717">
        <v>104</v>
      </c>
      <c r="AF117" s="718"/>
    </row>
    <row r="118" spans="1:32" x14ac:dyDescent="0.35">
      <c r="A118" s="719" t="str">
        <f>IF('Courses Valid'!BU124=1,'Courses Valid'!BT124,IF(AND('Courses Valid'!BU124=0,'Courses Valid'!BV124=1),'Courses Valid'!BT124,IF(B117&lt;&gt;"",'Courses Valid'!BT124,"")))</f>
        <v/>
      </c>
      <c r="B118" s="708"/>
      <c r="C118" s="720" t="str">
        <f t="shared" si="13"/>
        <v/>
      </c>
      <c r="D118" s="308" t="str">
        <f t="shared" si="21"/>
        <v/>
      </c>
      <c r="E118" s="74" t="str">
        <f t="shared" si="22"/>
        <v/>
      </c>
      <c r="F118" s="710" t="str">
        <f t="shared" si="20"/>
        <v/>
      </c>
      <c r="G118" s="308" t="str">
        <f t="shared" si="23"/>
        <v/>
      </c>
      <c r="H118" s="710"/>
      <c r="I118" s="308" t="str">
        <f t="shared" si="24"/>
        <v/>
      </c>
      <c r="J118" s="710"/>
      <c r="K118" s="712" t="str">
        <f t="shared" si="25"/>
        <v/>
      </c>
      <c r="L118" s="1573" t="str">
        <f t="shared" si="19"/>
        <v/>
      </c>
      <c r="M118" s="712">
        <v>0</v>
      </c>
      <c r="N118" s="712">
        <v>0</v>
      </c>
      <c r="O118" s="712">
        <v>0</v>
      </c>
      <c r="P118" s="712">
        <v>0</v>
      </c>
      <c r="Q118" s="712">
        <v>0</v>
      </c>
      <c r="R118" s="712">
        <v>0</v>
      </c>
      <c r="S118" s="712">
        <v>0</v>
      </c>
      <c r="T118" s="712">
        <v>0</v>
      </c>
      <c r="U118" s="712">
        <v>0</v>
      </c>
      <c r="V118" s="712">
        <v>0</v>
      </c>
      <c r="W118" s="712">
        <v>0</v>
      </c>
      <c r="X118" s="712">
        <v>0</v>
      </c>
      <c r="Y118" s="712">
        <v>0</v>
      </c>
      <c r="Z118" s="712">
        <v>0</v>
      </c>
      <c r="AA118" s="712">
        <v>0</v>
      </c>
      <c r="AB118" s="721"/>
      <c r="AC118" s="716"/>
      <c r="AD118" s="74">
        <f>IF(ISERROR(VLOOKUP(B118,CourseList!$A$4:$A$29,1,FALSE)),0,1)</f>
        <v>0</v>
      </c>
      <c r="AE118" s="717">
        <v>105</v>
      </c>
      <c r="AF118" s="718"/>
    </row>
    <row r="119" spans="1:32" x14ac:dyDescent="0.35">
      <c r="A119" s="719" t="str">
        <f>IF('Courses Valid'!BU125=1,'Courses Valid'!BT125,IF(AND('Courses Valid'!BU125=0,'Courses Valid'!BV125=1),'Courses Valid'!BT125,IF(B118&lt;&gt;"",'Courses Valid'!BT125,"")))</f>
        <v/>
      </c>
      <c r="B119" s="708"/>
      <c r="C119" s="720" t="str">
        <f t="shared" si="13"/>
        <v/>
      </c>
      <c r="D119" s="308" t="str">
        <f t="shared" si="21"/>
        <v/>
      </c>
      <c r="E119" s="74" t="str">
        <f t="shared" si="22"/>
        <v/>
      </c>
      <c r="F119" s="710" t="str">
        <f t="shared" si="20"/>
        <v/>
      </c>
      <c r="G119" s="308" t="str">
        <f t="shared" si="23"/>
        <v/>
      </c>
      <c r="H119" s="710"/>
      <c r="I119" s="308" t="str">
        <f t="shared" si="24"/>
        <v/>
      </c>
      <c r="J119" s="710"/>
      <c r="K119" s="712" t="str">
        <f t="shared" si="25"/>
        <v/>
      </c>
      <c r="L119" s="1573" t="str">
        <f t="shared" si="19"/>
        <v/>
      </c>
      <c r="M119" s="712">
        <v>0</v>
      </c>
      <c r="N119" s="712">
        <v>0</v>
      </c>
      <c r="O119" s="712">
        <v>0</v>
      </c>
      <c r="P119" s="712">
        <v>0</v>
      </c>
      <c r="Q119" s="712">
        <v>0</v>
      </c>
      <c r="R119" s="712">
        <v>0</v>
      </c>
      <c r="S119" s="712">
        <v>0</v>
      </c>
      <c r="T119" s="712">
        <v>0</v>
      </c>
      <c r="U119" s="712">
        <v>0</v>
      </c>
      <c r="V119" s="712">
        <v>0</v>
      </c>
      <c r="W119" s="712">
        <v>0</v>
      </c>
      <c r="X119" s="712">
        <v>0</v>
      </c>
      <c r="Y119" s="712">
        <v>0</v>
      </c>
      <c r="Z119" s="712">
        <v>0</v>
      </c>
      <c r="AA119" s="712">
        <v>0</v>
      </c>
      <c r="AB119" s="721"/>
      <c r="AC119" s="716"/>
      <c r="AD119" s="74">
        <f>IF(ISERROR(VLOOKUP(B119,CourseList!$A$4:$A$29,1,FALSE)),0,1)</f>
        <v>0</v>
      </c>
      <c r="AE119" s="717">
        <v>106</v>
      </c>
      <c r="AF119" s="718"/>
    </row>
    <row r="120" spans="1:32" x14ac:dyDescent="0.35">
      <c r="A120" s="719" t="str">
        <f>IF('Courses Valid'!BU126=1,'Courses Valid'!BT126,IF(AND('Courses Valid'!BU126=0,'Courses Valid'!BV126=1),'Courses Valid'!BT126,IF(B119&lt;&gt;"",'Courses Valid'!BT126,"")))</f>
        <v/>
      </c>
      <c r="B120" s="708"/>
      <c r="C120" s="720" t="str">
        <f t="shared" si="13"/>
        <v/>
      </c>
      <c r="D120" s="308" t="str">
        <f t="shared" si="21"/>
        <v/>
      </c>
      <c r="E120" s="74" t="str">
        <f t="shared" si="22"/>
        <v/>
      </c>
      <c r="F120" s="710" t="str">
        <f t="shared" si="20"/>
        <v/>
      </c>
      <c r="G120" s="308" t="str">
        <f t="shared" si="23"/>
        <v/>
      </c>
      <c r="H120" s="710"/>
      <c r="I120" s="308" t="str">
        <f t="shared" si="24"/>
        <v/>
      </c>
      <c r="J120" s="710"/>
      <c r="K120" s="712" t="str">
        <f t="shared" si="25"/>
        <v/>
      </c>
      <c r="L120" s="1573" t="str">
        <f t="shared" si="19"/>
        <v/>
      </c>
      <c r="M120" s="712">
        <v>0</v>
      </c>
      <c r="N120" s="712">
        <v>0</v>
      </c>
      <c r="O120" s="712">
        <v>0</v>
      </c>
      <c r="P120" s="712">
        <v>0</v>
      </c>
      <c r="Q120" s="712">
        <v>0</v>
      </c>
      <c r="R120" s="712">
        <v>0</v>
      </c>
      <c r="S120" s="712">
        <v>0</v>
      </c>
      <c r="T120" s="712">
        <v>0</v>
      </c>
      <c r="U120" s="712">
        <v>0</v>
      </c>
      <c r="V120" s="712">
        <v>0</v>
      </c>
      <c r="W120" s="712">
        <v>0</v>
      </c>
      <c r="X120" s="712">
        <v>0</v>
      </c>
      <c r="Y120" s="712">
        <v>0</v>
      </c>
      <c r="Z120" s="712">
        <v>0</v>
      </c>
      <c r="AA120" s="712">
        <v>0</v>
      </c>
      <c r="AB120" s="721"/>
      <c r="AC120" s="716"/>
      <c r="AD120" s="74">
        <f>IF(ISERROR(VLOOKUP(B120,CourseList!$A$4:$A$29,1,FALSE)),0,1)</f>
        <v>0</v>
      </c>
      <c r="AE120" s="717">
        <v>107</v>
      </c>
      <c r="AF120" s="718"/>
    </row>
    <row r="121" spans="1:32" x14ac:dyDescent="0.35">
      <c r="A121" s="719" t="str">
        <f>IF('Courses Valid'!BU127=1,'Courses Valid'!BT127,IF(AND('Courses Valid'!BU127=0,'Courses Valid'!BV127=1),'Courses Valid'!BT127,IF(B120&lt;&gt;"",'Courses Valid'!BT127,"")))</f>
        <v/>
      </c>
      <c r="B121" s="708"/>
      <c r="C121" s="720" t="str">
        <f t="shared" si="13"/>
        <v/>
      </c>
      <c r="D121" s="308" t="str">
        <f t="shared" si="21"/>
        <v/>
      </c>
      <c r="E121" s="74" t="str">
        <f t="shared" si="22"/>
        <v/>
      </c>
      <c r="F121" s="710" t="str">
        <f t="shared" si="20"/>
        <v/>
      </c>
      <c r="G121" s="308" t="str">
        <f t="shared" si="23"/>
        <v/>
      </c>
      <c r="H121" s="710"/>
      <c r="I121" s="308" t="str">
        <f t="shared" si="24"/>
        <v/>
      </c>
      <c r="J121" s="710"/>
      <c r="K121" s="712" t="str">
        <f t="shared" si="25"/>
        <v/>
      </c>
      <c r="L121" s="1573" t="str">
        <f t="shared" si="19"/>
        <v/>
      </c>
      <c r="M121" s="712">
        <v>0</v>
      </c>
      <c r="N121" s="712">
        <v>0</v>
      </c>
      <c r="O121" s="712">
        <v>0</v>
      </c>
      <c r="P121" s="712">
        <v>0</v>
      </c>
      <c r="Q121" s="712">
        <v>0</v>
      </c>
      <c r="R121" s="712">
        <v>0</v>
      </c>
      <c r="S121" s="712">
        <v>0</v>
      </c>
      <c r="T121" s="712">
        <v>0</v>
      </c>
      <c r="U121" s="712">
        <v>0</v>
      </c>
      <c r="V121" s="712">
        <v>0</v>
      </c>
      <c r="W121" s="712">
        <v>0</v>
      </c>
      <c r="X121" s="712">
        <v>0</v>
      </c>
      <c r="Y121" s="712">
        <v>0</v>
      </c>
      <c r="Z121" s="712">
        <v>0</v>
      </c>
      <c r="AA121" s="712">
        <v>0</v>
      </c>
      <c r="AB121" s="721"/>
      <c r="AC121" s="716"/>
      <c r="AD121" s="74">
        <f>IF(ISERROR(VLOOKUP(B121,CourseList!$A$4:$A$29,1,FALSE)),0,1)</f>
        <v>0</v>
      </c>
      <c r="AE121" s="717">
        <v>108</v>
      </c>
      <c r="AF121" s="718"/>
    </row>
    <row r="122" spans="1:32" x14ac:dyDescent="0.35">
      <c r="A122" s="719" t="str">
        <f>IF('Courses Valid'!BU128=1,'Courses Valid'!BT128,IF(AND('Courses Valid'!BU128=0,'Courses Valid'!BV128=1),'Courses Valid'!BT128,IF(B121&lt;&gt;"",'Courses Valid'!BT128,"")))</f>
        <v/>
      </c>
      <c r="B122" s="708"/>
      <c r="C122" s="720" t="str">
        <f t="shared" si="13"/>
        <v/>
      </c>
      <c r="D122" s="308" t="str">
        <f t="shared" si="21"/>
        <v/>
      </c>
      <c r="E122" s="74" t="str">
        <f t="shared" si="22"/>
        <v/>
      </c>
      <c r="F122" s="710" t="str">
        <f t="shared" si="20"/>
        <v/>
      </c>
      <c r="G122" s="308" t="str">
        <f t="shared" si="23"/>
        <v/>
      </c>
      <c r="H122" s="710"/>
      <c r="I122" s="308" t="str">
        <f t="shared" si="24"/>
        <v/>
      </c>
      <c r="J122" s="710"/>
      <c r="K122" s="712" t="str">
        <f t="shared" si="25"/>
        <v/>
      </c>
      <c r="L122" s="1573" t="str">
        <f t="shared" si="19"/>
        <v/>
      </c>
      <c r="M122" s="712">
        <v>0</v>
      </c>
      <c r="N122" s="712">
        <v>0</v>
      </c>
      <c r="O122" s="712">
        <v>0</v>
      </c>
      <c r="P122" s="712">
        <v>0</v>
      </c>
      <c r="Q122" s="712">
        <v>0</v>
      </c>
      <c r="R122" s="712">
        <v>0</v>
      </c>
      <c r="S122" s="712">
        <v>0</v>
      </c>
      <c r="T122" s="712">
        <v>0</v>
      </c>
      <c r="U122" s="712">
        <v>0</v>
      </c>
      <c r="V122" s="712">
        <v>0</v>
      </c>
      <c r="W122" s="712">
        <v>0</v>
      </c>
      <c r="X122" s="712">
        <v>0</v>
      </c>
      <c r="Y122" s="712">
        <v>0</v>
      </c>
      <c r="Z122" s="712">
        <v>0</v>
      </c>
      <c r="AA122" s="712">
        <v>0</v>
      </c>
      <c r="AB122" s="721"/>
      <c r="AC122" s="716"/>
      <c r="AD122" s="74">
        <f>IF(ISERROR(VLOOKUP(B122,CourseList!$A$4:$A$29,1,FALSE)),0,1)</f>
        <v>0</v>
      </c>
      <c r="AE122" s="717">
        <v>109</v>
      </c>
      <c r="AF122" s="718"/>
    </row>
    <row r="123" spans="1:32" x14ac:dyDescent="0.35">
      <c r="A123" s="719" t="str">
        <f>IF('Courses Valid'!BU129=1,'Courses Valid'!BT129,IF(AND('Courses Valid'!BU129=0,'Courses Valid'!BV129=1),'Courses Valid'!BT129,IF(B122&lt;&gt;"",'Courses Valid'!BT129,"")))</f>
        <v/>
      </c>
      <c r="B123" s="708"/>
      <c r="C123" s="720" t="str">
        <f t="shared" si="13"/>
        <v/>
      </c>
      <c r="D123" s="308" t="str">
        <f t="shared" si="21"/>
        <v/>
      </c>
      <c r="E123" s="74" t="str">
        <f t="shared" si="22"/>
        <v/>
      </c>
      <c r="F123" s="710" t="str">
        <f t="shared" si="20"/>
        <v/>
      </c>
      <c r="G123" s="308" t="str">
        <f t="shared" si="23"/>
        <v/>
      </c>
      <c r="H123" s="710"/>
      <c r="I123" s="308" t="str">
        <f t="shared" si="24"/>
        <v/>
      </c>
      <c r="J123" s="710"/>
      <c r="K123" s="712" t="str">
        <f t="shared" si="25"/>
        <v/>
      </c>
      <c r="L123" s="1573" t="str">
        <f t="shared" si="19"/>
        <v/>
      </c>
      <c r="M123" s="712">
        <v>0</v>
      </c>
      <c r="N123" s="712">
        <v>0</v>
      </c>
      <c r="O123" s="712">
        <v>0</v>
      </c>
      <c r="P123" s="712">
        <v>0</v>
      </c>
      <c r="Q123" s="712">
        <v>0</v>
      </c>
      <c r="R123" s="712">
        <v>0</v>
      </c>
      <c r="S123" s="712">
        <v>0</v>
      </c>
      <c r="T123" s="712">
        <v>0</v>
      </c>
      <c r="U123" s="712">
        <v>0</v>
      </c>
      <c r="V123" s="712">
        <v>0</v>
      </c>
      <c r="W123" s="712">
        <v>0</v>
      </c>
      <c r="X123" s="712">
        <v>0</v>
      </c>
      <c r="Y123" s="712">
        <v>0</v>
      </c>
      <c r="Z123" s="712">
        <v>0</v>
      </c>
      <c r="AA123" s="712">
        <v>0</v>
      </c>
      <c r="AB123" s="721"/>
      <c r="AC123" s="716"/>
      <c r="AD123" s="74">
        <f>IF(ISERROR(VLOOKUP(B123,CourseList!$A$4:$A$29,1,FALSE)),0,1)</f>
        <v>0</v>
      </c>
      <c r="AE123" s="717">
        <v>110</v>
      </c>
      <c r="AF123" s="718"/>
    </row>
    <row r="124" spans="1:32" x14ac:dyDescent="0.35">
      <c r="A124" s="719" t="str">
        <f>IF('Courses Valid'!BU130=1,'Courses Valid'!BT130,IF(AND('Courses Valid'!BU130=0,'Courses Valid'!BV130=1),'Courses Valid'!BT130,IF(B123&lt;&gt;"",'Courses Valid'!BT130,"")))</f>
        <v/>
      </c>
      <c r="B124" s="708"/>
      <c r="C124" s="720" t="str">
        <f t="shared" si="13"/>
        <v/>
      </c>
      <c r="D124" s="308" t="str">
        <f t="shared" si="21"/>
        <v/>
      </c>
      <c r="E124" s="74" t="str">
        <f t="shared" si="22"/>
        <v/>
      </c>
      <c r="F124" s="710" t="str">
        <f t="shared" si="20"/>
        <v/>
      </c>
      <c r="G124" s="308" t="str">
        <f t="shared" si="23"/>
        <v/>
      </c>
      <c r="H124" s="710"/>
      <c r="I124" s="308" t="str">
        <f t="shared" si="24"/>
        <v/>
      </c>
      <c r="J124" s="710"/>
      <c r="K124" s="712" t="str">
        <f t="shared" si="25"/>
        <v/>
      </c>
      <c r="L124" s="1573" t="str">
        <f t="shared" si="19"/>
        <v/>
      </c>
      <c r="M124" s="712">
        <v>0</v>
      </c>
      <c r="N124" s="712">
        <v>0</v>
      </c>
      <c r="O124" s="712">
        <v>0</v>
      </c>
      <c r="P124" s="712">
        <v>0</v>
      </c>
      <c r="Q124" s="712">
        <v>0</v>
      </c>
      <c r="R124" s="712">
        <v>0</v>
      </c>
      <c r="S124" s="712">
        <v>0</v>
      </c>
      <c r="T124" s="712">
        <v>0</v>
      </c>
      <c r="U124" s="712">
        <v>0</v>
      </c>
      <c r="V124" s="712">
        <v>0</v>
      </c>
      <c r="W124" s="712">
        <v>0</v>
      </c>
      <c r="X124" s="712">
        <v>0</v>
      </c>
      <c r="Y124" s="712">
        <v>0</v>
      </c>
      <c r="Z124" s="712">
        <v>0</v>
      </c>
      <c r="AA124" s="712">
        <v>0</v>
      </c>
      <c r="AB124" s="721"/>
      <c r="AC124" s="716"/>
      <c r="AD124" s="74">
        <f>IF(ISERROR(VLOOKUP(B124,CourseList!$A$4:$A$29,1,FALSE)),0,1)</f>
        <v>0</v>
      </c>
      <c r="AE124" s="717">
        <v>111</v>
      </c>
      <c r="AF124" s="718"/>
    </row>
    <row r="125" spans="1:32" x14ac:dyDescent="0.35">
      <c r="A125" s="719" t="str">
        <f>IF('Courses Valid'!BU131=1,'Courses Valid'!BT131,IF(AND('Courses Valid'!BU131=0,'Courses Valid'!BV131=1),'Courses Valid'!BT131,IF(B124&lt;&gt;"",'Courses Valid'!BT131,"")))</f>
        <v/>
      </c>
      <c r="B125" s="708"/>
      <c r="C125" s="720" t="str">
        <f t="shared" si="13"/>
        <v/>
      </c>
      <c r="D125" s="308" t="str">
        <f t="shared" si="21"/>
        <v/>
      </c>
      <c r="E125" s="74" t="str">
        <f t="shared" si="22"/>
        <v/>
      </c>
      <c r="F125" s="710" t="str">
        <f t="shared" si="20"/>
        <v/>
      </c>
      <c r="G125" s="308" t="str">
        <f t="shared" si="23"/>
        <v/>
      </c>
      <c r="H125" s="710"/>
      <c r="I125" s="308" t="str">
        <f t="shared" si="24"/>
        <v/>
      </c>
      <c r="J125" s="710"/>
      <c r="K125" s="712" t="str">
        <f t="shared" si="25"/>
        <v/>
      </c>
      <c r="L125" s="1573" t="str">
        <f t="shared" si="19"/>
        <v/>
      </c>
      <c r="M125" s="712">
        <v>0</v>
      </c>
      <c r="N125" s="712">
        <v>0</v>
      </c>
      <c r="O125" s="712">
        <v>0</v>
      </c>
      <c r="P125" s="712">
        <v>0</v>
      </c>
      <c r="Q125" s="712">
        <v>0</v>
      </c>
      <c r="R125" s="712">
        <v>0</v>
      </c>
      <c r="S125" s="712">
        <v>0</v>
      </c>
      <c r="T125" s="712">
        <v>0</v>
      </c>
      <c r="U125" s="712">
        <v>0</v>
      </c>
      <c r="V125" s="712">
        <v>0</v>
      </c>
      <c r="W125" s="712">
        <v>0</v>
      </c>
      <c r="X125" s="712">
        <v>0</v>
      </c>
      <c r="Y125" s="712">
        <v>0</v>
      </c>
      <c r="Z125" s="712">
        <v>0</v>
      </c>
      <c r="AA125" s="712">
        <v>0</v>
      </c>
      <c r="AB125" s="721"/>
      <c r="AC125" s="716"/>
      <c r="AD125" s="74">
        <f>IF(ISERROR(VLOOKUP(B125,CourseList!$A$4:$A$29,1,FALSE)),0,1)</f>
        <v>0</v>
      </c>
      <c r="AE125" s="717">
        <v>112</v>
      </c>
      <c r="AF125" s="718"/>
    </row>
    <row r="126" spans="1:32" x14ac:dyDescent="0.35">
      <c r="A126" s="719" t="str">
        <f>IF('Courses Valid'!BU132=1,'Courses Valid'!BT132,IF(AND('Courses Valid'!BU132=0,'Courses Valid'!BV132=1),'Courses Valid'!BT132,IF(B125&lt;&gt;"",'Courses Valid'!BT132,"")))</f>
        <v/>
      </c>
      <c r="B126" s="708"/>
      <c r="C126" s="720" t="str">
        <f t="shared" si="13"/>
        <v/>
      </c>
      <c r="D126" s="308" t="str">
        <f t="shared" si="21"/>
        <v/>
      </c>
      <c r="E126" s="74" t="str">
        <f t="shared" si="22"/>
        <v/>
      </c>
      <c r="F126" s="710" t="str">
        <f t="shared" si="20"/>
        <v/>
      </c>
      <c r="G126" s="308" t="str">
        <f t="shared" si="23"/>
        <v/>
      </c>
      <c r="H126" s="710"/>
      <c r="I126" s="308" t="str">
        <f t="shared" si="24"/>
        <v/>
      </c>
      <c r="J126" s="710"/>
      <c r="K126" s="712" t="str">
        <f t="shared" si="25"/>
        <v/>
      </c>
      <c r="L126" s="1573" t="str">
        <f t="shared" si="19"/>
        <v/>
      </c>
      <c r="M126" s="712">
        <v>0</v>
      </c>
      <c r="N126" s="712">
        <v>0</v>
      </c>
      <c r="O126" s="712">
        <v>0</v>
      </c>
      <c r="P126" s="712">
        <v>0</v>
      </c>
      <c r="Q126" s="712">
        <v>0</v>
      </c>
      <c r="R126" s="712">
        <v>0</v>
      </c>
      <c r="S126" s="712">
        <v>0</v>
      </c>
      <c r="T126" s="712">
        <v>0</v>
      </c>
      <c r="U126" s="712">
        <v>0</v>
      </c>
      <c r="V126" s="712">
        <v>0</v>
      </c>
      <c r="W126" s="712">
        <v>0</v>
      </c>
      <c r="X126" s="712">
        <v>0</v>
      </c>
      <c r="Y126" s="712">
        <v>0</v>
      </c>
      <c r="Z126" s="712">
        <v>0</v>
      </c>
      <c r="AA126" s="712">
        <v>0</v>
      </c>
      <c r="AB126" s="721"/>
      <c r="AC126" s="716"/>
      <c r="AD126" s="74">
        <f>IF(ISERROR(VLOOKUP(B126,CourseList!$A$4:$A$29,1,FALSE)),0,1)</f>
        <v>0</v>
      </c>
      <c r="AE126" s="717">
        <v>113</v>
      </c>
      <c r="AF126" s="718"/>
    </row>
    <row r="127" spans="1:32" x14ac:dyDescent="0.35">
      <c r="A127" s="719" t="str">
        <f>IF('Courses Valid'!BU133=1,'Courses Valid'!BT133,IF(AND('Courses Valid'!BU133=0,'Courses Valid'!BV133=1),'Courses Valid'!BT133,IF(B126&lt;&gt;"",'Courses Valid'!BT133,"")))</f>
        <v/>
      </c>
      <c r="B127" s="708"/>
      <c r="C127" s="720" t="str">
        <f t="shared" si="13"/>
        <v/>
      </c>
      <c r="D127" s="308" t="str">
        <f t="shared" si="21"/>
        <v/>
      </c>
      <c r="E127" s="74" t="str">
        <f t="shared" si="22"/>
        <v/>
      </c>
      <c r="F127" s="710" t="str">
        <f t="shared" si="20"/>
        <v/>
      </c>
      <c r="G127" s="308" t="str">
        <f t="shared" si="23"/>
        <v/>
      </c>
      <c r="H127" s="710"/>
      <c r="I127" s="308" t="str">
        <f t="shared" si="24"/>
        <v/>
      </c>
      <c r="J127" s="710"/>
      <c r="K127" s="712" t="str">
        <f t="shared" si="25"/>
        <v/>
      </c>
      <c r="L127" s="1573" t="str">
        <f t="shared" si="19"/>
        <v/>
      </c>
      <c r="M127" s="712">
        <v>0</v>
      </c>
      <c r="N127" s="712">
        <v>0</v>
      </c>
      <c r="O127" s="712">
        <v>0</v>
      </c>
      <c r="P127" s="712">
        <v>0</v>
      </c>
      <c r="Q127" s="712">
        <v>0</v>
      </c>
      <c r="R127" s="712">
        <v>0</v>
      </c>
      <c r="S127" s="712">
        <v>0</v>
      </c>
      <c r="T127" s="712">
        <v>0</v>
      </c>
      <c r="U127" s="712">
        <v>0</v>
      </c>
      <c r="V127" s="712">
        <v>0</v>
      </c>
      <c r="W127" s="712">
        <v>0</v>
      </c>
      <c r="X127" s="712">
        <v>0</v>
      </c>
      <c r="Y127" s="712">
        <v>0</v>
      </c>
      <c r="Z127" s="712">
        <v>0</v>
      </c>
      <c r="AA127" s="712">
        <v>0</v>
      </c>
      <c r="AB127" s="721"/>
      <c r="AC127" s="716"/>
      <c r="AD127" s="74">
        <f>IF(ISERROR(VLOOKUP(B127,CourseList!$A$4:$A$29,1,FALSE)),0,1)</f>
        <v>0</v>
      </c>
      <c r="AE127" s="717">
        <v>114</v>
      </c>
      <c r="AF127" s="718"/>
    </row>
    <row r="128" spans="1:32" x14ac:dyDescent="0.35">
      <c r="A128" s="719" t="str">
        <f>IF('Courses Valid'!BU134=1,'Courses Valid'!BT134,IF(AND('Courses Valid'!BU134=0,'Courses Valid'!BV134=1),'Courses Valid'!BT134,IF(B127&lt;&gt;"",'Courses Valid'!BT134,"")))</f>
        <v/>
      </c>
      <c r="B128" s="708"/>
      <c r="C128" s="720" t="str">
        <f t="shared" si="13"/>
        <v/>
      </c>
      <c r="D128" s="308" t="str">
        <f t="shared" si="21"/>
        <v/>
      </c>
      <c r="E128" s="74" t="str">
        <f t="shared" si="22"/>
        <v/>
      </c>
      <c r="F128" s="710" t="str">
        <f t="shared" si="20"/>
        <v/>
      </c>
      <c r="G128" s="308" t="str">
        <f t="shared" si="23"/>
        <v/>
      </c>
      <c r="H128" s="710"/>
      <c r="I128" s="308" t="str">
        <f t="shared" si="24"/>
        <v/>
      </c>
      <c r="J128" s="710"/>
      <c r="K128" s="712" t="str">
        <f t="shared" si="25"/>
        <v/>
      </c>
      <c r="L128" s="1573" t="str">
        <f t="shared" si="19"/>
        <v/>
      </c>
      <c r="M128" s="712">
        <v>0</v>
      </c>
      <c r="N128" s="712">
        <v>0</v>
      </c>
      <c r="O128" s="712">
        <v>0</v>
      </c>
      <c r="P128" s="712">
        <v>0</v>
      </c>
      <c r="Q128" s="712">
        <v>0</v>
      </c>
      <c r="R128" s="712">
        <v>0</v>
      </c>
      <c r="S128" s="712">
        <v>0</v>
      </c>
      <c r="T128" s="712">
        <v>0</v>
      </c>
      <c r="U128" s="712">
        <v>0</v>
      </c>
      <c r="V128" s="712">
        <v>0</v>
      </c>
      <c r="W128" s="712">
        <v>0</v>
      </c>
      <c r="X128" s="712">
        <v>0</v>
      </c>
      <c r="Y128" s="712">
        <v>0</v>
      </c>
      <c r="Z128" s="712">
        <v>0</v>
      </c>
      <c r="AA128" s="712">
        <v>0</v>
      </c>
      <c r="AB128" s="721"/>
      <c r="AC128" s="716"/>
      <c r="AD128" s="74">
        <f>IF(ISERROR(VLOOKUP(B128,CourseList!$A$4:$A$29,1,FALSE)),0,1)</f>
        <v>0</v>
      </c>
      <c r="AE128" s="717">
        <v>115</v>
      </c>
      <c r="AF128" s="718"/>
    </row>
    <row r="129" spans="1:32" x14ac:dyDescent="0.35">
      <c r="A129" s="719" t="str">
        <f>IF('Courses Valid'!BU135=1,'Courses Valid'!BT135,IF(AND('Courses Valid'!BU135=0,'Courses Valid'!BV135=1),'Courses Valid'!BT135,IF(B128&lt;&gt;"",'Courses Valid'!BT135,"")))</f>
        <v/>
      </c>
      <c r="B129" s="708"/>
      <c r="C129" s="720" t="str">
        <f t="shared" si="13"/>
        <v/>
      </c>
      <c r="D129" s="308" t="str">
        <f t="shared" si="21"/>
        <v/>
      </c>
      <c r="E129" s="74" t="str">
        <f t="shared" si="22"/>
        <v/>
      </c>
      <c r="F129" s="710" t="str">
        <f t="shared" si="20"/>
        <v/>
      </c>
      <c r="G129" s="308" t="str">
        <f t="shared" si="23"/>
        <v/>
      </c>
      <c r="H129" s="710"/>
      <c r="I129" s="308" t="str">
        <f t="shared" si="24"/>
        <v/>
      </c>
      <c r="J129" s="710"/>
      <c r="K129" s="712" t="str">
        <f t="shared" si="25"/>
        <v/>
      </c>
      <c r="L129" s="1573" t="str">
        <f t="shared" si="19"/>
        <v/>
      </c>
      <c r="M129" s="712">
        <v>0</v>
      </c>
      <c r="N129" s="712">
        <v>0</v>
      </c>
      <c r="O129" s="712">
        <v>0</v>
      </c>
      <c r="P129" s="712">
        <v>0</v>
      </c>
      <c r="Q129" s="712">
        <v>0</v>
      </c>
      <c r="R129" s="712">
        <v>0</v>
      </c>
      <c r="S129" s="712">
        <v>0</v>
      </c>
      <c r="T129" s="712">
        <v>0</v>
      </c>
      <c r="U129" s="712">
        <v>0</v>
      </c>
      <c r="V129" s="712">
        <v>0</v>
      </c>
      <c r="W129" s="712">
        <v>0</v>
      </c>
      <c r="X129" s="712">
        <v>0</v>
      </c>
      <c r="Y129" s="712">
        <v>0</v>
      </c>
      <c r="Z129" s="712">
        <v>0</v>
      </c>
      <c r="AA129" s="712">
        <v>0</v>
      </c>
      <c r="AB129" s="721"/>
      <c r="AC129" s="716"/>
      <c r="AD129" s="74">
        <f>IF(ISERROR(VLOOKUP(B129,CourseList!$A$4:$A$29,1,FALSE)),0,1)</f>
        <v>0</v>
      </c>
      <c r="AE129" s="717">
        <v>116</v>
      </c>
      <c r="AF129" s="718"/>
    </row>
    <row r="130" spans="1:32" x14ac:dyDescent="0.35">
      <c r="A130" s="719" t="str">
        <f>IF('Courses Valid'!BU136=1,'Courses Valid'!BT136,IF(AND('Courses Valid'!BU136=0,'Courses Valid'!BV136=1),'Courses Valid'!BT136,IF(B129&lt;&gt;"",'Courses Valid'!BT136,"")))</f>
        <v/>
      </c>
      <c r="B130" s="708"/>
      <c r="C130" s="720" t="str">
        <f t="shared" si="13"/>
        <v/>
      </c>
      <c r="D130" s="308" t="str">
        <f t="shared" si="21"/>
        <v/>
      </c>
      <c r="E130" s="74" t="str">
        <f t="shared" si="22"/>
        <v/>
      </c>
      <c r="F130" s="710" t="str">
        <f t="shared" si="20"/>
        <v/>
      </c>
      <c r="G130" s="308" t="str">
        <f t="shared" si="23"/>
        <v/>
      </c>
      <c r="H130" s="710"/>
      <c r="I130" s="308" t="str">
        <f t="shared" si="24"/>
        <v/>
      </c>
      <c r="J130" s="710"/>
      <c r="K130" s="712" t="str">
        <f t="shared" si="25"/>
        <v/>
      </c>
      <c r="L130" s="1573" t="str">
        <f t="shared" si="19"/>
        <v/>
      </c>
      <c r="M130" s="712">
        <v>0</v>
      </c>
      <c r="N130" s="712">
        <v>0</v>
      </c>
      <c r="O130" s="712">
        <v>0</v>
      </c>
      <c r="P130" s="712">
        <v>0</v>
      </c>
      <c r="Q130" s="712">
        <v>0</v>
      </c>
      <c r="R130" s="712">
        <v>0</v>
      </c>
      <c r="S130" s="712">
        <v>0</v>
      </c>
      <c r="T130" s="712">
        <v>0</v>
      </c>
      <c r="U130" s="712">
        <v>0</v>
      </c>
      <c r="V130" s="712">
        <v>0</v>
      </c>
      <c r="W130" s="712">
        <v>0</v>
      </c>
      <c r="X130" s="712">
        <v>0</v>
      </c>
      <c r="Y130" s="712">
        <v>0</v>
      </c>
      <c r="Z130" s="712">
        <v>0</v>
      </c>
      <c r="AA130" s="712">
        <v>0</v>
      </c>
      <c r="AB130" s="721"/>
      <c r="AC130" s="716"/>
      <c r="AD130" s="74">
        <f>IF(ISERROR(VLOOKUP(B130,CourseList!$A$4:$A$29,1,FALSE)),0,1)</f>
        <v>0</v>
      </c>
      <c r="AE130" s="717">
        <v>117</v>
      </c>
      <c r="AF130" s="718"/>
    </row>
    <row r="131" spans="1:32" x14ac:dyDescent="0.35">
      <c r="A131" s="719" t="str">
        <f>IF('Courses Valid'!BU137=1,'Courses Valid'!BT137,IF(AND('Courses Valid'!BU137=0,'Courses Valid'!BV137=1),'Courses Valid'!BT137,IF(B130&lt;&gt;"",'Courses Valid'!BT137,"")))</f>
        <v/>
      </c>
      <c r="B131" s="708"/>
      <c r="C131" s="720" t="str">
        <f t="shared" si="13"/>
        <v/>
      </c>
      <c r="D131" s="308" t="str">
        <f t="shared" si="21"/>
        <v/>
      </c>
      <c r="E131" s="74" t="str">
        <f t="shared" si="22"/>
        <v/>
      </c>
      <c r="F131" s="710" t="str">
        <f t="shared" si="20"/>
        <v/>
      </c>
      <c r="G131" s="308" t="str">
        <f t="shared" si="23"/>
        <v/>
      </c>
      <c r="H131" s="710"/>
      <c r="I131" s="308" t="str">
        <f t="shared" si="24"/>
        <v/>
      </c>
      <c r="J131" s="710"/>
      <c r="K131" s="712" t="str">
        <f t="shared" si="25"/>
        <v/>
      </c>
      <c r="L131" s="1573" t="str">
        <f t="shared" si="19"/>
        <v/>
      </c>
      <c r="M131" s="712">
        <v>0</v>
      </c>
      <c r="N131" s="712">
        <v>0</v>
      </c>
      <c r="O131" s="712">
        <v>0</v>
      </c>
      <c r="P131" s="712">
        <v>0</v>
      </c>
      <c r="Q131" s="712">
        <v>0</v>
      </c>
      <c r="R131" s="712">
        <v>0</v>
      </c>
      <c r="S131" s="712">
        <v>0</v>
      </c>
      <c r="T131" s="712">
        <v>0</v>
      </c>
      <c r="U131" s="712">
        <v>0</v>
      </c>
      <c r="V131" s="712">
        <v>0</v>
      </c>
      <c r="W131" s="712">
        <v>0</v>
      </c>
      <c r="X131" s="712">
        <v>0</v>
      </c>
      <c r="Y131" s="712">
        <v>0</v>
      </c>
      <c r="Z131" s="712">
        <v>0</v>
      </c>
      <c r="AA131" s="712">
        <v>0</v>
      </c>
      <c r="AB131" s="721"/>
      <c r="AC131" s="716"/>
      <c r="AD131" s="74">
        <f>IF(ISERROR(VLOOKUP(B131,CourseList!$A$4:$A$29,1,FALSE)),0,1)</f>
        <v>0</v>
      </c>
      <c r="AE131" s="717">
        <v>118</v>
      </c>
      <c r="AF131" s="718"/>
    </row>
    <row r="132" spans="1:32" x14ac:dyDescent="0.35">
      <c r="A132" s="719" t="str">
        <f>IF('Courses Valid'!BU138=1,'Courses Valid'!BT138,IF(AND('Courses Valid'!BU138=0,'Courses Valid'!BV138=1),'Courses Valid'!BT138,IF(B131&lt;&gt;"",'Courses Valid'!BT138,"")))</f>
        <v/>
      </c>
      <c r="B132" s="708"/>
      <c r="C132" s="720" t="str">
        <f t="shared" si="13"/>
        <v/>
      </c>
      <c r="D132" s="308" t="str">
        <f t="shared" si="21"/>
        <v/>
      </c>
      <c r="E132" s="74" t="str">
        <f t="shared" si="22"/>
        <v/>
      </c>
      <c r="F132" s="710" t="str">
        <f t="shared" si="20"/>
        <v/>
      </c>
      <c r="G132" s="308" t="str">
        <f t="shared" si="23"/>
        <v/>
      </c>
      <c r="H132" s="710"/>
      <c r="I132" s="308" t="str">
        <f t="shared" si="24"/>
        <v/>
      </c>
      <c r="J132" s="710"/>
      <c r="K132" s="712" t="str">
        <f t="shared" si="25"/>
        <v/>
      </c>
      <c r="L132" s="1573" t="str">
        <f t="shared" si="19"/>
        <v/>
      </c>
      <c r="M132" s="712">
        <v>0</v>
      </c>
      <c r="N132" s="712">
        <v>0</v>
      </c>
      <c r="O132" s="712">
        <v>0</v>
      </c>
      <c r="P132" s="712">
        <v>0</v>
      </c>
      <c r="Q132" s="712">
        <v>0</v>
      </c>
      <c r="R132" s="712">
        <v>0</v>
      </c>
      <c r="S132" s="712">
        <v>0</v>
      </c>
      <c r="T132" s="712">
        <v>0</v>
      </c>
      <c r="U132" s="712">
        <v>0</v>
      </c>
      <c r="V132" s="712">
        <v>0</v>
      </c>
      <c r="W132" s="712">
        <v>0</v>
      </c>
      <c r="X132" s="712">
        <v>0</v>
      </c>
      <c r="Y132" s="712">
        <v>0</v>
      </c>
      <c r="Z132" s="712">
        <v>0</v>
      </c>
      <c r="AA132" s="712">
        <v>0</v>
      </c>
      <c r="AB132" s="721"/>
      <c r="AC132" s="716"/>
      <c r="AD132" s="74">
        <f>IF(ISERROR(VLOOKUP(B132,CourseList!$A$4:$A$29,1,FALSE)),0,1)</f>
        <v>0</v>
      </c>
      <c r="AE132" s="717">
        <v>119</v>
      </c>
      <c r="AF132" s="718"/>
    </row>
    <row r="133" spans="1:32" x14ac:dyDescent="0.35">
      <c r="A133" s="719" t="str">
        <f>IF('Courses Valid'!BU139=1,'Courses Valid'!BT139,IF(AND('Courses Valid'!BU139=0,'Courses Valid'!BV139=1),'Courses Valid'!BT139,IF(B132&lt;&gt;"",'Courses Valid'!BT139,"")))</f>
        <v/>
      </c>
      <c r="B133" s="708"/>
      <c r="C133" s="720" t="str">
        <f t="shared" si="13"/>
        <v/>
      </c>
      <c r="D133" s="308" t="str">
        <f t="shared" si="21"/>
        <v/>
      </c>
      <c r="E133" s="74" t="str">
        <f t="shared" si="22"/>
        <v/>
      </c>
      <c r="F133" s="710" t="str">
        <f t="shared" si="20"/>
        <v/>
      </c>
      <c r="G133" s="308" t="str">
        <f t="shared" si="23"/>
        <v/>
      </c>
      <c r="H133" s="710"/>
      <c r="I133" s="308" t="str">
        <f t="shared" si="24"/>
        <v/>
      </c>
      <c r="J133" s="710"/>
      <c r="K133" s="712" t="str">
        <f t="shared" si="25"/>
        <v/>
      </c>
      <c r="L133" s="1573" t="str">
        <f t="shared" si="19"/>
        <v/>
      </c>
      <c r="M133" s="712">
        <v>0</v>
      </c>
      <c r="N133" s="712">
        <v>0</v>
      </c>
      <c r="O133" s="712">
        <v>0</v>
      </c>
      <c r="P133" s="712">
        <v>0</v>
      </c>
      <c r="Q133" s="712">
        <v>0</v>
      </c>
      <c r="R133" s="712">
        <v>0</v>
      </c>
      <c r="S133" s="712">
        <v>0</v>
      </c>
      <c r="T133" s="712">
        <v>0</v>
      </c>
      <c r="U133" s="712">
        <v>0</v>
      </c>
      <c r="V133" s="712">
        <v>0</v>
      </c>
      <c r="W133" s="712">
        <v>0</v>
      </c>
      <c r="X133" s="712">
        <v>0</v>
      </c>
      <c r="Y133" s="712">
        <v>0</v>
      </c>
      <c r="Z133" s="712">
        <v>0</v>
      </c>
      <c r="AA133" s="712">
        <v>0</v>
      </c>
      <c r="AB133" s="721"/>
      <c r="AC133" s="716"/>
      <c r="AD133" s="74">
        <f>IF(ISERROR(VLOOKUP(B133,CourseList!$A$4:$A$29,1,FALSE)),0,1)</f>
        <v>0</v>
      </c>
      <c r="AE133" s="717">
        <v>120</v>
      </c>
      <c r="AF133" s="718"/>
    </row>
    <row r="134" spans="1:32" x14ac:dyDescent="0.35">
      <c r="A134" s="719" t="str">
        <f>IF('Courses Valid'!BU140=1,'Courses Valid'!BT140,IF(AND('Courses Valid'!BU140=0,'Courses Valid'!BV140=1),'Courses Valid'!BT140,IF(B133&lt;&gt;"",'Courses Valid'!BT140,"")))</f>
        <v/>
      </c>
      <c r="B134" s="708"/>
      <c r="C134" s="720" t="str">
        <f t="shared" si="13"/>
        <v/>
      </c>
      <c r="D134" s="308" t="str">
        <f t="shared" si="21"/>
        <v/>
      </c>
      <c r="E134" s="74" t="str">
        <f t="shared" si="22"/>
        <v/>
      </c>
      <c r="F134" s="710" t="str">
        <f t="shared" si="20"/>
        <v/>
      </c>
      <c r="G134" s="308" t="str">
        <f t="shared" si="23"/>
        <v/>
      </c>
      <c r="H134" s="710"/>
      <c r="I134" s="308" t="str">
        <f t="shared" si="24"/>
        <v/>
      </c>
      <c r="J134" s="710"/>
      <c r="K134" s="712" t="str">
        <f t="shared" si="25"/>
        <v/>
      </c>
      <c r="L134" s="1573" t="str">
        <f t="shared" si="19"/>
        <v/>
      </c>
      <c r="M134" s="712">
        <v>0</v>
      </c>
      <c r="N134" s="712">
        <v>0</v>
      </c>
      <c r="O134" s="712">
        <v>0</v>
      </c>
      <c r="P134" s="712">
        <v>0</v>
      </c>
      <c r="Q134" s="712">
        <v>0</v>
      </c>
      <c r="R134" s="712">
        <v>0</v>
      </c>
      <c r="S134" s="712">
        <v>0</v>
      </c>
      <c r="T134" s="712">
        <v>0</v>
      </c>
      <c r="U134" s="712">
        <v>0</v>
      </c>
      <c r="V134" s="712">
        <v>0</v>
      </c>
      <c r="W134" s="712">
        <v>0</v>
      </c>
      <c r="X134" s="712">
        <v>0</v>
      </c>
      <c r="Y134" s="712">
        <v>0</v>
      </c>
      <c r="Z134" s="712">
        <v>0</v>
      </c>
      <c r="AA134" s="712">
        <v>0</v>
      </c>
      <c r="AB134" s="721"/>
      <c r="AC134" s="716"/>
      <c r="AD134" s="74">
        <f>IF(ISERROR(VLOOKUP(B134,CourseList!$A$4:$A$29,1,FALSE)),0,1)</f>
        <v>0</v>
      </c>
      <c r="AE134" s="717">
        <v>121</v>
      </c>
      <c r="AF134" s="718"/>
    </row>
    <row r="135" spans="1:32" x14ac:dyDescent="0.35">
      <c r="A135" s="719" t="str">
        <f>IF('Courses Valid'!BU141=1,'Courses Valid'!BT141,IF(AND('Courses Valid'!BU141=0,'Courses Valid'!BV141=1),'Courses Valid'!BT141,IF(B134&lt;&gt;"",'Courses Valid'!BT141,"")))</f>
        <v/>
      </c>
      <c r="B135" s="708"/>
      <c r="C135" s="720" t="str">
        <f t="shared" si="13"/>
        <v/>
      </c>
      <c r="D135" s="308" t="str">
        <f t="shared" si="21"/>
        <v/>
      </c>
      <c r="E135" s="74" t="str">
        <f t="shared" si="22"/>
        <v/>
      </c>
      <c r="F135" s="710" t="str">
        <f t="shared" si="20"/>
        <v/>
      </c>
      <c r="G135" s="308" t="str">
        <f t="shared" si="23"/>
        <v/>
      </c>
      <c r="H135" s="710"/>
      <c r="I135" s="308" t="str">
        <f t="shared" si="24"/>
        <v/>
      </c>
      <c r="J135" s="710"/>
      <c r="K135" s="712" t="str">
        <f t="shared" si="25"/>
        <v/>
      </c>
      <c r="L135" s="1573" t="str">
        <f t="shared" si="19"/>
        <v/>
      </c>
      <c r="M135" s="712">
        <v>0</v>
      </c>
      <c r="N135" s="712">
        <v>0</v>
      </c>
      <c r="O135" s="712">
        <v>0</v>
      </c>
      <c r="P135" s="712">
        <v>0</v>
      </c>
      <c r="Q135" s="712">
        <v>0</v>
      </c>
      <c r="R135" s="712">
        <v>0</v>
      </c>
      <c r="S135" s="712">
        <v>0</v>
      </c>
      <c r="T135" s="712">
        <v>0</v>
      </c>
      <c r="U135" s="712">
        <v>0</v>
      </c>
      <c r="V135" s="712">
        <v>0</v>
      </c>
      <c r="W135" s="712">
        <v>0</v>
      </c>
      <c r="X135" s="712">
        <v>0</v>
      </c>
      <c r="Y135" s="712">
        <v>0</v>
      </c>
      <c r="Z135" s="712">
        <v>0</v>
      </c>
      <c r="AA135" s="712">
        <v>0</v>
      </c>
      <c r="AB135" s="721"/>
      <c r="AC135" s="716"/>
      <c r="AD135" s="74">
        <f>IF(ISERROR(VLOOKUP(B135,CourseList!$A$4:$A$29,1,FALSE)),0,1)</f>
        <v>0</v>
      </c>
      <c r="AE135" s="717">
        <v>122</v>
      </c>
      <c r="AF135" s="718"/>
    </row>
    <row r="136" spans="1:32" x14ac:dyDescent="0.35">
      <c r="A136" s="719" t="str">
        <f>IF('Courses Valid'!BU142=1,'Courses Valid'!BT142,IF(AND('Courses Valid'!BU142=0,'Courses Valid'!BV142=1),'Courses Valid'!BT142,IF(B135&lt;&gt;"",'Courses Valid'!BT142,"")))</f>
        <v/>
      </c>
      <c r="B136" s="708"/>
      <c r="C136" s="720" t="str">
        <f t="shared" si="13"/>
        <v/>
      </c>
      <c r="D136" s="308" t="str">
        <f t="shared" si="21"/>
        <v/>
      </c>
      <c r="E136" s="74" t="str">
        <f t="shared" si="22"/>
        <v/>
      </c>
      <c r="F136" s="710" t="str">
        <f t="shared" si="20"/>
        <v/>
      </c>
      <c r="G136" s="308" t="str">
        <f t="shared" si="23"/>
        <v/>
      </c>
      <c r="H136" s="710"/>
      <c r="I136" s="308" t="str">
        <f t="shared" si="24"/>
        <v/>
      </c>
      <c r="J136" s="710"/>
      <c r="K136" s="712" t="str">
        <f t="shared" si="25"/>
        <v/>
      </c>
      <c r="L136" s="1573" t="str">
        <f t="shared" si="19"/>
        <v/>
      </c>
      <c r="M136" s="712">
        <v>0</v>
      </c>
      <c r="N136" s="712">
        <v>0</v>
      </c>
      <c r="O136" s="712">
        <v>0</v>
      </c>
      <c r="P136" s="712">
        <v>0</v>
      </c>
      <c r="Q136" s="712">
        <v>0</v>
      </c>
      <c r="R136" s="712">
        <v>0</v>
      </c>
      <c r="S136" s="712">
        <v>0</v>
      </c>
      <c r="T136" s="712">
        <v>0</v>
      </c>
      <c r="U136" s="712">
        <v>0</v>
      </c>
      <c r="V136" s="712">
        <v>0</v>
      </c>
      <c r="W136" s="712">
        <v>0</v>
      </c>
      <c r="X136" s="712">
        <v>0</v>
      </c>
      <c r="Y136" s="712">
        <v>0</v>
      </c>
      <c r="Z136" s="712">
        <v>0</v>
      </c>
      <c r="AA136" s="712">
        <v>0</v>
      </c>
      <c r="AB136" s="721"/>
      <c r="AC136" s="716"/>
      <c r="AD136" s="74">
        <f>IF(ISERROR(VLOOKUP(B136,CourseList!$A$4:$A$29,1,FALSE)),0,1)</f>
        <v>0</v>
      </c>
      <c r="AE136" s="717">
        <v>123</v>
      </c>
      <c r="AF136" s="718"/>
    </row>
    <row r="137" spans="1:32" x14ac:dyDescent="0.35">
      <c r="A137" s="719" t="str">
        <f>IF('Courses Valid'!BU143=1,'Courses Valid'!BT143,IF(AND('Courses Valid'!BU143=0,'Courses Valid'!BV143=1),'Courses Valid'!BT143,IF(B136&lt;&gt;"",'Courses Valid'!BT143,"")))</f>
        <v/>
      </c>
      <c r="B137" s="708"/>
      <c r="C137" s="720" t="str">
        <f t="shared" si="13"/>
        <v/>
      </c>
      <c r="D137" s="308" t="str">
        <f t="shared" si="21"/>
        <v/>
      </c>
      <c r="E137" s="74" t="str">
        <f t="shared" si="22"/>
        <v/>
      </c>
      <c r="F137" s="710" t="str">
        <f t="shared" si="20"/>
        <v/>
      </c>
      <c r="G137" s="308" t="str">
        <f t="shared" si="23"/>
        <v/>
      </c>
      <c r="H137" s="710"/>
      <c r="I137" s="308" t="str">
        <f t="shared" si="24"/>
        <v/>
      </c>
      <c r="J137" s="710"/>
      <c r="K137" s="712" t="str">
        <f t="shared" si="25"/>
        <v/>
      </c>
      <c r="L137" s="1573" t="str">
        <f t="shared" si="19"/>
        <v/>
      </c>
      <c r="M137" s="712">
        <v>0</v>
      </c>
      <c r="N137" s="712">
        <v>0</v>
      </c>
      <c r="O137" s="712">
        <v>0</v>
      </c>
      <c r="P137" s="712">
        <v>0</v>
      </c>
      <c r="Q137" s="712">
        <v>0</v>
      </c>
      <c r="R137" s="712">
        <v>0</v>
      </c>
      <c r="S137" s="712">
        <v>0</v>
      </c>
      <c r="T137" s="712">
        <v>0</v>
      </c>
      <c r="U137" s="712">
        <v>0</v>
      </c>
      <c r="V137" s="712">
        <v>0</v>
      </c>
      <c r="W137" s="712">
        <v>0</v>
      </c>
      <c r="X137" s="712">
        <v>0</v>
      </c>
      <c r="Y137" s="712">
        <v>0</v>
      </c>
      <c r="Z137" s="712">
        <v>0</v>
      </c>
      <c r="AA137" s="712">
        <v>0</v>
      </c>
      <c r="AB137" s="721"/>
      <c r="AC137" s="716"/>
      <c r="AD137" s="74">
        <f>IF(ISERROR(VLOOKUP(B137,CourseList!$A$4:$A$29,1,FALSE)),0,1)</f>
        <v>0</v>
      </c>
      <c r="AE137" s="717">
        <v>124</v>
      </c>
      <c r="AF137" s="718"/>
    </row>
    <row r="138" spans="1:32" x14ac:dyDescent="0.35">
      <c r="A138" s="719" t="str">
        <f>IF('Courses Valid'!BU144=1,'Courses Valid'!BT144,IF(AND('Courses Valid'!BU144=0,'Courses Valid'!BV144=1),'Courses Valid'!BT144,IF(B137&lt;&gt;"",'Courses Valid'!BT144,"")))</f>
        <v/>
      </c>
      <c r="B138" s="708"/>
      <c r="C138" s="720" t="str">
        <f t="shared" si="13"/>
        <v/>
      </c>
      <c r="D138" s="308" t="str">
        <f t="shared" si="21"/>
        <v/>
      </c>
      <c r="E138" s="74" t="str">
        <f t="shared" si="22"/>
        <v/>
      </c>
      <c r="F138" s="710" t="str">
        <f t="shared" si="20"/>
        <v/>
      </c>
      <c r="G138" s="308" t="str">
        <f t="shared" si="23"/>
        <v/>
      </c>
      <c r="H138" s="710"/>
      <c r="I138" s="308" t="str">
        <f t="shared" si="24"/>
        <v/>
      </c>
      <c r="J138" s="710"/>
      <c r="K138" s="712" t="str">
        <f t="shared" si="25"/>
        <v/>
      </c>
      <c r="L138" s="1573" t="str">
        <f t="shared" si="19"/>
        <v/>
      </c>
      <c r="M138" s="712">
        <v>0</v>
      </c>
      <c r="N138" s="712">
        <v>0</v>
      </c>
      <c r="O138" s="712">
        <v>0</v>
      </c>
      <c r="P138" s="712">
        <v>0</v>
      </c>
      <c r="Q138" s="712">
        <v>0</v>
      </c>
      <c r="R138" s="712">
        <v>0</v>
      </c>
      <c r="S138" s="712">
        <v>0</v>
      </c>
      <c r="T138" s="712">
        <v>0</v>
      </c>
      <c r="U138" s="712">
        <v>0</v>
      </c>
      <c r="V138" s="712">
        <v>0</v>
      </c>
      <c r="W138" s="712">
        <v>0</v>
      </c>
      <c r="X138" s="712">
        <v>0</v>
      </c>
      <c r="Y138" s="712">
        <v>0</v>
      </c>
      <c r="Z138" s="712">
        <v>0</v>
      </c>
      <c r="AA138" s="712">
        <v>0</v>
      </c>
      <c r="AB138" s="721"/>
      <c r="AC138" s="716"/>
      <c r="AD138" s="74">
        <f>IF(ISERROR(VLOOKUP(B138,CourseList!$A$4:$A$29,1,FALSE)),0,1)</f>
        <v>0</v>
      </c>
      <c r="AE138" s="717">
        <v>125</v>
      </c>
      <c r="AF138" s="718"/>
    </row>
    <row r="139" spans="1:32" x14ac:dyDescent="0.35">
      <c r="A139" s="719" t="str">
        <f>IF('Courses Valid'!BU145=1,'Courses Valid'!BT145,IF(AND('Courses Valid'!BU145=0,'Courses Valid'!BV145=1),'Courses Valid'!BT145,IF(B138&lt;&gt;"",'Courses Valid'!BT145,"")))</f>
        <v/>
      </c>
      <c r="B139" s="708"/>
      <c r="C139" s="720" t="str">
        <f t="shared" si="13"/>
        <v/>
      </c>
      <c r="D139" s="308" t="str">
        <f t="shared" si="21"/>
        <v/>
      </c>
      <c r="E139" s="74" t="str">
        <f t="shared" si="22"/>
        <v/>
      </c>
      <c r="F139" s="710" t="str">
        <f t="shared" si="20"/>
        <v/>
      </c>
      <c r="G139" s="308" t="str">
        <f t="shared" si="23"/>
        <v/>
      </c>
      <c r="H139" s="710"/>
      <c r="I139" s="308" t="str">
        <f t="shared" si="24"/>
        <v/>
      </c>
      <c r="J139" s="710"/>
      <c r="K139" s="712" t="str">
        <f t="shared" si="25"/>
        <v/>
      </c>
      <c r="L139" s="1573" t="str">
        <f t="shared" si="19"/>
        <v/>
      </c>
      <c r="M139" s="712">
        <v>0</v>
      </c>
      <c r="N139" s="712">
        <v>0</v>
      </c>
      <c r="O139" s="712">
        <v>0</v>
      </c>
      <c r="P139" s="712">
        <v>0</v>
      </c>
      <c r="Q139" s="712">
        <v>0</v>
      </c>
      <c r="R139" s="712">
        <v>0</v>
      </c>
      <c r="S139" s="712">
        <v>0</v>
      </c>
      <c r="T139" s="712">
        <v>0</v>
      </c>
      <c r="U139" s="712">
        <v>0</v>
      </c>
      <c r="V139" s="712">
        <v>0</v>
      </c>
      <c r="W139" s="712">
        <v>0</v>
      </c>
      <c r="X139" s="712">
        <v>0</v>
      </c>
      <c r="Y139" s="712">
        <v>0</v>
      </c>
      <c r="Z139" s="712">
        <v>0</v>
      </c>
      <c r="AA139" s="712">
        <v>0</v>
      </c>
      <c r="AB139" s="721"/>
      <c r="AC139" s="716"/>
      <c r="AD139" s="74">
        <f>IF(ISERROR(VLOOKUP(B139,CourseList!$A$4:$A$29,1,FALSE)),0,1)</f>
        <v>0</v>
      </c>
      <c r="AE139" s="717">
        <v>126</v>
      </c>
      <c r="AF139" s="718"/>
    </row>
    <row r="140" spans="1:32" x14ac:dyDescent="0.35">
      <c r="A140" s="719" t="str">
        <f>IF('Courses Valid'!BU146=1,'Courses Valid'!BT146,IF(AND('Courses Valid'!BU146=0,'Courses Valid'!BV146=1),'Courses Valid'!BT146,IF(B139&lt;&gt;"",'Courses Valid'!BT146,"")))</f>
        <v/>
      </c>
      <c r="B140" s="708"/>
      <c r="C140" s="720" t="str">
        <f t="shared" si="13"/>
        <v/>
      </c>
      <c r="D140" s="308" t="str">
        <f t="shared" si="21"/>
        <v/>
      </c>
      <c r="E140" s="74" t="str">
        <f t="shared" si="22"/>
        <v/>
      </c>
      <c r="F140" s="710" t="str">
        <f t="shared" si="20"/>
        <v/>
      </c>
      <c r="G140" s="308" t="str">
        <f t="shared" si="23"/>
        <v/>
      </c>
      <c r="H140" s="710"/>
      <c r="I140" s="308" t="str">
        <f t="shared" si="24"/>
        <v/>
      </c>
      <c r="J140" s="710"/>
      <c r="K140" s="712" t="str">
        <f t="shared" si="25"/>
        <v/>
      </c>
      <c r="L140" s="1573" t="str">
        <f t="shared" si="19"/>
        <v/>
      </c>
      <c r="M140" s="712">
        <v>0</v>
      </c>
      <c r="N140" s="712">
        <v>0</v>
      </c>
      <c r="O140" s="712">
        <v>0</v>
      </c>
      <c r="P140" s="712">
        <v>0</v>
      </c>
      <c r="Q140" s="712">
        <v>0</v>
      </c>
      <c r="R140" s="712">
        <v>0</v>
      </c>
      <c r="S140" s="712">
        <v>0</v>
      </c>
      <c r="T140" s="712">
        <v>0</v>
      </c>
      <c r="U140" s="712">
        <v>0</v>
      </c>
      <c r="V140" s="712">
        <v>0</v>
      </c>
      <c r="W140" s="712">
        <v>0</v>
      </c>
      <c r="X140" s="712">
        <v>0</v>
      </c>
      <c r="Y140" s="712">
        <v>0</v>
      </c>
      <c r="Z140" s="712">
        <v>0</v>
      </c>
      <c r="AA140" s="712">
        <v>0</v>
      </c>
      <c r="AB140" s="721"/>
      <c r="AC140" s="716"/>
      <c r="AD140" s="74">
        <f>IF(ISERROR(VLOOKUP(B140,CourseList!$A$4:$A$29,1,FALSE)),0,1)</f>
        <v>0</v>
      </c>
      <c r="AE140" s="717">
        <v>127</v>
      </c>
      <c r="AF140" s="718"/>
    </row>
    <row r="141" spans="1:32" x14ac:dyDescent="0.35">
      <c r="A141" s="719" t="str">
        <f>IF('Courses Valid'!BU147=1,'Courses Valid'!BT147,IF(AND('Courses Valid'!BU147=0,'Courses Valid'!BV147=1),'Courses Valid'!BT147,IF(B140&lt;&gt;"",'Courses Valid'!BT147,"")))</f>
        <v/>
      </c>
      <c r="B141" s="708"/>
      <c r="C141" s="720" t="str">
        <f t="shared" si="13"/>
        <v/>
      </c>
      <c r="D141" s="308" t="str">
        <f t="shared" si="21"/>
        <v/>
      </c>
      <c r="E141" s="74" t="str">
        <f t="shared" si="22"/>
        <v/>
      </c>
      <c r="F141" s="710" t="str">
        <f t="shared" si="20"/>
        <v/>
      </c>
      <c r="G141" s="308" t="str">
        <f t="shared" si="23"/>
        <v/>
      </c>
      <c r="H141" s="710"/>
      <c r="I141" s="308" t="str">
        <f t="shared" si="24"/>
        <v/>
      </c>
      <c r="J141" s="710"/>
      <c r="K141" s="712" t="str">
        <f t="shared" si="25"/>
        <v/>
      </c>
      <c r="L141" s="1573" t="str">
        <f t="shared" si="19"/>
        <v/>
      </c>
      <c r="M141" s="712">
        <v>0</v>
      </c>
      <c r="N141" s="712">
        <v>0</v>
      </c>
      <c r="O141" s="712">
        <v>0</v>
      </c>
      <c r="P141" s="712">
        <v>0</v>
      </c>
      <c r="Q141" s="712">
        <v>0</v>
      </c>
      <c r="R141" s="712">
        <v>0</v>
      </c>
      <c r="S141" s="712">
        <v>0</v>
      </c>
      <c r="T141" s="712">
        <v>0</v>
      </c>
      <c r="U141" s="712">
        <v>0</v>
      </c>
      <c r="V141" s="712">
        <v>0</v>
      </c>
      <c r="W141" s="712">
        <v>0</v>
      </c>
      <c r="X141" s="712">
        <v>0</v>
      </c>
      <c r="Y141" s="712">
        <v>0</v>
      </c>
      <c r="Z141" s="712">
        <v>0</v>
      </c>
      <c r="AA141" s="712">
        <v>0</v>
      </c>
      <c r="AB141" s="721"/>
      <c r="AC141" s="716"/>
      <c r="AD141" s="74">
        <f>IF(ISERROR(VLOOKUP(B141,CourseList!$A$4:$A$29,1,FALSE)),0,1)</f>
        <v>0</v>
      </c>
      <c r="AE141" s="717">
        <v>128</v>
      </c>
      <c r="AF141" s="718"/>
    </row>
    <row r="142" spans="1:32" x14ac:dyDescent="0.35">
      <c r="A142" s="719" t="str">
        <f>IF('Courses Valid'!BU148=1,'Courses Valid'!BT148,IF(AND('Courses Valid'!BU148=0,'Courses Valid'!BV148=1),'Courses Valid'!BT148,IF(B141&lt;&gt;"",'Courses Valid'!BT148,"")))</f>
        <v/>
      </c>
      <c r="B142" s="708"/>
      <c r="C142" s="720" t="str">
        <f t="shared" ref="C142:C205" si="26">IF(B142&lt;&gt;"",IF(LEFT(B142,3)="OFS",B142,IF(LEN(B142)=8,"H"&amp;B142,"H00"&amp;B142)),"")</f>
        <v/>
      </c>
      <c r="D142" s="308" t="str">
        <f t="shared" ref="D142:D173" si="27">IF($C142&lt;&gt;"",IF(ISNA(VLOOKUP($C142,CourseInfo,2,FALSE))=FALSE,VLOOKUP($C142,CourseInfo,2,FALSE),"Please enter a valid learning aim reference"),"")</f>
        <v/>
      </c>
      <c r="E142" s="74" t="str">
        <f t="shared" ref="E142:E173" si="28">IF($C142&lt;&gt;"",IF(ISNA(VLOOKUP($C142,CourseInfo,3,FALSE))=TRUE,"",VLOOKUP($C142,CourseInfo,3,FALSE)),"")</f>
        <v/>
      </c>
      <c r="F142" s="710" t="str">
        <f t="shared" ref="F142:F205" si="29">IF(AND($B142&lt;&gt;"",$E142&lt;&gt;"",$G142="",$I142=""),1,"")</f>
        <v/>
      </c>
      <c r="G142" s="308" t="str">
        <f t="shared" ref="G142:G173" si="30">IF($C142&lt;&gt;"",IF(ISNA(VLOOKUP($C142,CourseInfo,2,FALSE)=FALSE),"",IF(VLOOKUP($C142,CourseInfo,4,FALSE)="","",VLOOKUP($C142,CourseInfo,4,FALSE))),"")</f>
        <v/>
      </c>
      <c r="H142" s="710"/>
      <c r="I142" s="308" t="str">
        <f t="shared" ref="I142:I173" si="31">IF($C142&lt;&gt;"",IF(ISNA(VLOOKUP($C142,CourseInfo,2,FALSE)=FALSE),"",IF(VLOOKUP($C142,CourseInfo,5,FALSE)="","",VLOOKUP($C142,CourseInfo,5,FALSE))),"")</f>
        <v/>
      </c>
      <c r="J142" s="710"/>
      <c r="K142" s="712" t="str">
        <f t="shared" ref="K142:K173" si="32">IF($C142&lt;&gt;"",IF(ISNA(VLOOKUP($C142,CourseInfo,6,FALSE))=TRUE,"",VLOOKUP($C142,CourseInfo,6,FALSE)),"")</f>
        <v/>
      </c>
      <c r="L142" s="1573" t="str">
        <f t="shared" si="19"/>
        <v/>
      </c>
      <c r="M142" s="712">
        <v>0</v>
      </c>
      <c r="N142" s="712">
        <v>0</v>
      </c>
      <c r="O142" s="712">
        <v>0</v>
      </c>
      <c r="P142" s="712">
        <v>0</v>
      </c>
      <c r="Q142" s="712">
        <v>0</v>
      </c>
      <c r="R142" s="712">
        <v>0</v>
      </c>
      <c r="S142" s="712">
        <v>0</v>
      </c>
      <c r="T142" s="712">
        <v>0</v>
      </c>
      <c r="U142" s="712">
        <v>0</v>
      </c>
      <c r="V142" s="712">
        <v>0</v>
      </c>
      <c r="W142" s="712">
        <v>0</v>
      </c>
      <c r="X142" s="712">
        <v>0</v>
      </c>
      <c r="Y142" s="712">
        <v>0</v>
      </c>
      <c r="Z142" s="712">
        <v>0</v>
      </c>
      <c r="AA142" s="712">
        <v>0</v>
      </c>
      <c r="AB142" s="721"/>
      <c r="AC142" s="716"/>
      <c r="AD142" s="74">
        <f>IF(ISERROR(VLOOKUP(B142,CourseList!$A$4:$A$29,1,FALSE)),0,1)</f>
        <v>0</v>
      </c>
      <c r="AE142" s="717">
        <v>129</v>
      </c>
      <c r="AF142" s="718"/>
    </row>
    <row r="143" spans="1:32" x14ac:dyDescent="0.35">
      <c r="A143" s="719" t="str">
        <f>IF('Courses Valid'!BU149=1,'Courses Valid'!BT149,IF(AND('Courses Valid'!BU149=0,'Courses Valid'!BV149=1),'Courses Valid'!BT149,IF(B142&lt;&gt;"",'Courses Valid'!BT149,"")))</f>
        <v/>
      </c>
      <c r="B143" s="708"/>
      <c r="C143" s="720" t="str">
        <f t="shared" si="26"/>
        <v/>
      </c>
      <c r="D143" s="308" t="str">
        <f t="shared" si="27"/>
        <v/>
      </c>
      <c r="E143" s="74" t="str">
        <f t="shared" si="28"/>
        <v/>
      </c>
      <c r="F143" s="710" t="str">
        <f t="shared" si="29"/>
        <v/>
      </c>
      <c r="G143" s="308" t="str">
        <f t="shared" si="30"/>
        <v/>
      </c>
      <c r="H143" s="710"/>
      <c r="I143" s="308" t="str">
        <f t="shared" si="31"/>
        <v/>
      </c>
      <c r="J143" s="710"/>
      <c r="K143" s="712" t="str">
        <f t="shared" si="32"/>
        <v/>
      </c>
      <c r="L143" s="1573" t="str">
        <f t="shared" ref="L143:L206" si="33">IF($E143&lt;&gt;"","Standard","")</f>
        <v/>
      </c>
      <c r="M143" s="712">
        <v>0</v>
      </c>
      <c r="N143" s="712">
        <v>0</v>
      </c>
      <c r="O143" s="712">
        <v>0</v>
      </c>
      <c r="P143" s="712">
        <v>0</v>
      </c>
      <c r="Q143" s="712">
        <v>0</v>
      </c>
      <c r="R143" s="712">
        <v>0</v>
      </c>
      <c r="S143" s="712">
        <v>0</v>
      </c>
      <c r="T143" s="712">
        <v>0</v>
      </c>
      <c r="U143" s="712">
        <v>0</v>
      </c>
      <c r="V143" s="712">
        <v>0</v>
      </c>
      <c r="W143" s="712">
        <v>0</v>
      </c>
      <c r="X143" s="712">
        <v>0</v>
      </c>
      <c r="Y143" s="712">
        <v>0</v>
      </c>
      <c r="Z143" s="712">
        <v>0</v>
      </c>
      <c r="AA143" s="712">
        <v>0</v>
      </c>
      <c r="AB143" s="721"/>
      <c r="AC143" s="716"/>
      <c r="AD143" s="74">
        <f>IF(ISERROR(VLOOKUP(B143,CourseList!$A$4:$A$29,1,FALSE)),0,1)</f>
        <v>0</v>
      </c>
      <c r="AE143" s="717">
        <v>130</v>
      </c>
      <c r="AF143" s="718"/>
    </row>
    <row r="144" spans="1:32" x14ac:dyDescent="0.35">
      <c r="A144" s="719" t="str">
        <f>IF('Courses Valid'!BU150=1,'Courses Valid'!BT150,IF(AND('Courses Valid'!BU150=0,'Courses Valid'!BV150=1),'Courses Valid'!BT150,IF(B143&lt;&gt;"",'Courses Valid'!BT150,"")))</f>
        <v/>
      </c>
      <c r="B144" s="708"/>
      <c r="C144" s="720" t="str">
        <f t="shared" si="26"/>
        <v/>
      </c>
      <c r="D144" s="308" t="str">
        <f t="shared" si="27"/>
        <v/>
      </c>
      <c r="E144" s="74" t="str">
        <f t="shared" si="28"/>
        <v/>
      </c>
      <c r="F144" s="710" t="str">
        <f t="shared" si="29"/>
        <v/>
      </c>
      <c r="G144" s="308" t="str">
        <f t="shared" si="30"/>
        <v/>
      </c>
      <c r="H144" s="710"/>
      <c r="I144" s="308" t="str">
        <f t="shared" si="31"/>
        <v/>
      </c>
      <c r="J144" s="710"/>
      <c r="K144" s="712" t="str">
        <f t="shared" si="32"/>
        <v/>
      </c>
      <c r="L144" s="1573" t="str">
        <f t="shared" si="33"/>
        <v/>
      </c>
      <c r="M144" s="712">
        <v>0</v>
      </c>
      <c r="N144" s="712">
        <v>0</v>
      </c>
      <c r="O144" s="712">
        <v>0</v>
      </c>
      <c r="P144" s="712">
        <v>0</v>
      </c>
      <c r="Q144" s="712">
        <v>0</v>
      </c>
      <c r="R144" s="712">
        <v>0</v>
      </c>
      <c r="S144" s="712">
        <v>0</v>
      </c>
      <c r="T144" s="712">
        <v>0</v>
      </c>
      <c r="U144" s="712">
        <v>0</v>
      </c>
      <c r="V144" s="712">
        <v>0</v>
      </c>
      <c r="W144" s="712">
        <v>0</v>
      </c>
      <c r="X144" s="712">
        <v>0</v>
      </c>
      <c r="Y144" s="712">
        <v>0</v>
      </c>
      <c r="Z144" s="712">
        <v>0</v>
      </c>
      <c r="AA144" s="712">
        <v>0</v>
      </c>
      <c r="AB144" s="721"/>
      <c r="AC144" s="716"/>
      <c r="AD144" s="74">
        <f>IF(ISERROR(VLOOKUP(B144,CourseList!$A$4:$A$29,1,FALSE)),0,1)</f>
        <v>0</v>
      </c>
      <c r="AE144" s="717">
        <v>131</v>
      </c>
      <c r="AF144" s="718"/>
    </row>
    <row r="145" spans="1:32" x14ac:dyDescent="0.35">
      <c r="A145" s="719" t="str">
        <f>IF('Courses Valid'!BU151=1,'Courses Valid'!BT151,IF(AND('Courses Valid'!BU151=0,'Courses Valid'!BV151=1),'Courses Valid'!BT151,IF(B144&lt;&gt;"",'Courses Valid'!BT151,"")))</f>
        <v/>
      </c>
      <c r="B145" s="708"/>
      <c r="C145" s="720" t="str">
        <f t="shared" si="26"/>
        <v/>
      </c>
      <c r="D145" s="308" t="str">
        <f t="shared" si="27"/>
        <v/>
      </c>
      <c r="E145" s="74" t="str">
        <f t="shared" si="28"/>
        <v/>
      </c>
      <c r="F145" s="710" t="str">
        <f t="shared" si="29"/>
        <v/>
      </c>
      <c r="G145" s="308" t="str">
        <f t="shared" si="30"/>
        <v/>
      </c>
      <c r="H145" s="710"/>
      <c r="I145" s="308" t="str">
        <f t="shared" si="31"/>
        <v/>
      </c>
      <c r="J145" s="710"/>
      <c r="K145" s="712" t="str">
        <f t="shared" si="32"/>
        <v/>
      </c>
      <c r="L145" s="1573" t="str">
        <f t="shared" si="33"/>
        <v/>
      </c>
      <c r="M145" s="712">
        <v>0</v>
      </c>
      <c r="N145" s="712">
        <v>0</v>
      </c>
      <c r="O145" s="712">
        <v>0</v>
      </c>
      <c r="P145" s="712">
        <v>0</v>
      </c>
      <c r="Q145" s="712">
        <v>0</v>
      </c>
      <c r="R145" s="712">
        <v>0</v>
      </c>
      <c r="S145" s="712">
        <v>0</v>
      </c>
      <c r="T145" s="712">
        <v>0</v>
      </c>
      <c r="U145" s="712">
        <v>0</v>
      </c>
      <c r="V145" s="712">
        <v>0</v>
      </c>
      <c r="W145" s="712">
        <v>0</v>
      </c>
      <c r="X145" s="712">
        <v>0</v>
      </c>
      <c r="Y145" s="712">
        <v>0</v>
      </c>
      <c r="Z145" s="712">
        <v>0</v>
      </c>
      <c r="AA145" s="712">
        <v>0</v>
      </c>
      <c r="AB145" s="721"/>
      <c r="AC145" s="716"/>
      <c r="AD145" s="74">
        <f>IF(ISERROR(VLOOKUP(B145,CourseList!$A$4:$A$29,1,FALSE)),0,1)</f>
        <v>0</v>
      </c>
      <c r="AE145" s="717">
        <v>132</v>
      </c>
      <c r="AF145" s="718"/>
    </row>
    <row r="146" spans="1:32" x14ac:dyDescent="0.35">
      <c r="A146" s="719" t="str">
        <f>IF('Courses Valid'!BU152=1,'Courses Valid'!BT152,IF(AND('Courses Valid'!BU152=0,'Courses Valid'!BV152=1),'Courses Valid'!BT152,IF(B145&lt;&gt;"",'Courses Valid'!BT152,"")))</f>
        <v/>
      </c>
      <c r="B146" s="708"/>
      <c r="C146" s="720" t="str">
        <f t="shared" si="26"/>
        <v/>
      </c>
      <c r="D146" s="308" t="str">
        <f t="shared" si="27"/>
        <v/>
      </c>
      <c r="E146" s="74" t="str">
        <f t="shared" si="28"/>
        <v/>
      </c>
      <c r="F146" s="710" t="str">
        <f t="shared" si="29"/>
        <v/>
      </c>
      <c r="G146" s="308" t="str">
        <f t="shared" si="30"/>
        <v/>
      </c>
      <c r="H146" s="710"/>
      <c r="I146" s="308" t="str">
        <f t="shared" si="31"/>
        <v/>
      </c>
      <c r="J146" s="710"/>
      <c r="K146" s="712" t="str">
        <f t="shared" si="32"/>
        <v/>
      </c>
      <c r="L146" s="1573" t="str">
        <f t="shared" si="33"/>
        <v/>
      </c>
      <c r="M146" s="712">
        <v>0</v>
      </c>
      <c r="N146" s="712">
        <v>0</v>
      </c>
      <c r="O146" s="712">
        <v>0</v>
      </c>
      <c r="P146" s="712">
        <v>0</v>
      </c>
      <c r="Q146" s="712">
        <v>0</v>
      </c>
      <c r="R146" s="712">
        <v>0</v>
      </c>
      <c r="S146" s="712">
        <v>0</v>
      </c>
      <c r="T146" s="712">
        <v>0</v>
      </c>
      <c r="U146" s="712">
        <v>0</v>
      </c>
      <c r="V146" s="712">
        <v>0</v>
      </c>
      <c r="W146" s="712">
        <v>0</v>
      </c>
      <c r="X146" s="712">
        <v>0</v>
      </c>
      <c r="Y146" s="712">
        <v>0</v>
      </c>
      <c r="Z146" s="712">
        <v>0</v>
      </c>
      <c r="AA146" s="712">
        <v>0</v>
      </c>
      <c r="AB146" s="721"/>
      <c r="AC146" s="716"/>
      <c r="AD146" s="74">
        <f>IF(ISERROR(VLOOKUP(B146,CourseList!$A$4:$A$29,1,FALSE)),0,1)</f>
        <v>0</v>
      </c>
      <c r="AE146" s="717">
        <v>133</v>
      </c>
      <c r="AF146" s="718"/>
    </row>
    <row r="147" spans="1:32" x14ac:dyDescent="0.35">
      <c r="A147" s="719" t="str">
        <f>IF('Courses Valid'!BU153=1,'Courses Valid'!BT153,IF(AND('Courses Valid'!BU153=0,'Courses Valid'!BV153=1),'Courses Valid'!BT153,IF(B146&lt;&gt;"",'Courses Valid'!BT153,"")))</f>
        <v/>
      </c>
      <c r="B147" s="708"/>
      <c r="C147" s="720" t="str">
        <f t="shared" si="26"/>
        <v/>
      </c>
      <c r="D147" s="346" t="str">
        <f t="shared" si="27"/>
        <v/>
      </c>
      <c r="E147" s="346" t="str">
        <f t="shared" si="28"/>
        <v/>
      </c>
      <c r="F147" s="710" t="str">
        <f t="shared" si="29"/>
        <v/>
      </c>
      <c r="G147" s="346" t="str">
        <f t="shared" si="30"/>
        <v/>
      </c>
      <c r="H147" s="710"/>
      <c r="I147" s="346" t="str">
        <f t="shared" si="31"/>
        <v/>
      </c>
      <c r="J147" s="710"/>
      <c r="K147" s="727" t="str">
        <f t="shared" si="32"/>
        <v/>
      </c>
      <c r="L147" s="1574" t="str">
        <f t="shared" si="33"/>
        <v/>
      </c>
      <c r="M147" s="712">
        <v>0</v>
      </c>
      <c r="N147" s="712">
        <v>0</v>
      </c>
      <c r="O147" s="712">
        <v>0</v>
      </c>
      <c r="P147" s="712">
        <v>0</v>
      </c>
      <c r="Q147" s="712">
        <v>0</v>
      </c>
      <c r="R147" s="712">
        <v>0</v>
      </c>
      <c r="S147" s="712">
        <v>0</v>
      </c>
      <c r="T147" s="712">
        <v>0</v>
      </c>
      <c r="U147" s="712">
        <v>0</v>
      </c>
      <c r="V147" s="712">
        <v>0</v>
      </c>
      <c r="W147" s="712">
        <v>0</v>
      </c>
      <c r="X147" s="712">
        <v>0</v>
      </c>
      <c r="Y147" s="712">
        <v>0</v>
      </c>
      <c r="Z147" s="712">
        <v>0</v>
      </c>
      <c r="AA147" s="712">
        <v>0</v>
      </c>
      <c r="AB147" s="728"/>
      <c r="AD147" s="74">
        <f>IF(ISERROR(VLOOKUP(B147,CourseList!$A$4:$A$29,1,FALSE)),0,1)</f>
        <v>0</v>
      </c>
      <c r="AE147" s="717">
        <v>134</v>
      </c>
      <c r="AF147" s="718"/>
    </row>
    <row r="148" spans="1:32" x14ac:dyDescent="0.35">
      <c r="A148" s="719" t="str">
        <f>IF('Courses Valid'!BU154=1,'Courses Valid'!BT154,IF(AND('Courses Valid'!BU154=0,'Courses Valid'!BV154=1),'Courses Valid'!BT154,IF(B147&lt;&gt;"",'Courses Valid'!BT154,"")))</f>
        <v/>
      </c>
      <c r="B148" s="708"/>
      <c r="C148" s="720" t="str">
        <f t="shared" si="26"/>
        <v/>
      </c>
      <c r="D148" s="346" t="str">
        <f t="shared" si="27"/>
        <v/>
      </c>
      <c r="E148" s="346" t="str">
        <f t="shared" si="28"/>
        <v/>
      </c>
      <c r="F148" s="710" t="str">
        <f t="shared" si="29"/>
        <v/>
      </c>
      <c r="G148" s="346" t="str">
        <f t="shared" si="30"/>
        <v/>
      </c>
      <c r="H148" s="710"/>
      <c r="I148" s="346" t="str">
        <f t="shared" si="31"/>
        <v/>
      </c>
      <c r="J148" s="710"/>
      <c r="K148" s="727" t="str">
        <f t="shared" si="32"/>
        <v/>
      </c>
      <c r="L148" s="1574" t="str">
        <f t="shared" si="33"/>
        <v/>
      </c>
      <c r="M148" s="712">
        <v>0</v>
      </c>
      <c r="N148" s="712">
        <v>0</v>
      </c>
      <c r="O148" s="712">
        <v>0</v>
      </c>
      <c r="P148" s="712">
        <v>0</v>
      </c>
      <c r="Q148" s="712">
        <v>0</v>
      </c>
      <c r="R148" s="712">
        <v>0</v>
      </c>
      <c r="S148" s="712">
        <v>0</v>
      </c>
      <c r="T148" s="712">
        <v>0</v>
      </c>
      <c r="U148" s="712">
        <v>0</v>
      </c>
      <c r="V148" s="712">
        <v>0</v>
      </c>
      <c r="W148" s="712">
        <v>0</v>
      </c>
      <c r="X148" s="712">
        <v>0</v>
      </c>
      <c r="Y148" s="712">
        <v>0</v>
      </c>
      <c r="Z148" s="712">
        <v>0</v>
      </c>
      <c r="AA148" s="712">
        <v>0</v>
      </c>
      <c r="AB148" s="728"/>
      <c r="AD148" s="74">
        <f>IF(ISERROR(VLOOKUP(B148,CourseList!$A$4:$A$29,1,FALSE)),0,1)</f>
        <v>0</v>
      </c>
      <c r="AE148" s="717">
        <v>135</v>
      </c>
      <c r="AF148" s="718"/>
    </row>
    <row r="149" spans="1:32" x14ac:dyDescent="0.35">
      <c r="A149" s="719" t="str">
        <f>IF('Courses Valid'!BU155=1,'Courses Valid'!BT155,IF(AND('Courses Valid'!BU155=0,'Courses Valid'!BV155=1),'Courses Valid'!BT155,IF(B148&lt;&gt;"",'Courses Valid'!BT155,"")))</f>
        <v/>
      </c>
      <c r="B149" s="708"/>
      <c r="C149" s="720" t="str">
        <f t="shared" si="26"/>
        <v/>
      </c>
      <c r="D149" s="346" t="str">
        <f t="shared" si="27"/>
        <v/>
      </c>
      <c r="E149" s="346" t="str">
        <f t="shared" si="28"/>
        <v/>
      </c>
      <c r="F149" s="710" t="str">
        <f t="shared" si="29"/>
        <v/>
      </c>
      <c r="G149" s="346" t="str">
        <f t="shared" si="30"/>
        <v/>
      </c>
      <c r="H149" s="710"/>
      <c r="I149" s="346" t="str">
        <f t="shared" si="31"/>
        <v/>
      </c>
      <c r="J149" s="710"/>
      <c r="K149" s="727" t="str">
        <f t="shared" si="32"/>
        <v/>
      </c>
      <c r="L149" s="1574" t="str">
        <f t="shared" si="33"/>
        <v/>
      </c>
      <c r="M149" s="712">
        <v>0</v>
      </c>
      <c r="N149" s="712">
        <v>0</v>
      </c>
      <c r="O149" s="712">
        <v>0</v>
      </c>
      <c r="P149" s="712">
        <v>0</v>
      </c>
      <c r="Q149" s="712">
        <v>0</v>
      </c>
      <c r="R149" s="712">
        <v>0</v>
      </c>
      <c r="S149" s="712">
        <v>0</v>
      </c>
      <c r="T149" s="712">
        <v>0</v>
      </c>
      <c r="U149" s="712">
        <v>0</v>
      </c>
      <c r="V149" s="712">
        <v>0</v>
      </c>
      <c r="W149" s="712">
        <v>0</v>
      </c>
      <c r="X149" s="712">
        <v>0</v>
      </c>
      <c r="Y149" s="712">
        <v>0</v>
      </c>
      <c r="Z149" s="712">
        <v>0</v>
      </c>
      <c r="AA149" s="712">
        <v>0</v>
      </c>
      <c r="AB149" s="728"/>
      <c r="AD149" s="74">
        <f>IF(ISERROR(VLOOKUP(B149,CourseList!$A$4:$A$29,1,FALSE)),0,1)</f>
        <v>0</v>
      </c>
      <c r="AE149" s="717">
        <v>136</v>
      </c>
      <c r="AF149" s="718"/>
    </row>
    <row r="150" spans="1:32" x14ac:dyDescent="0.35">
      <c r="A150" s="719" t="str">
        <f>IF('Courses Valid'!BU156=1,'Courses Valid'!BT156,IF(AND('Courses Valid'!BU156=0,'Courses Valid'!BV156=1),'Courses Valid'!BT156,IF(B149&lt;&gt;"",'Courses Valid'!BT156,"")))</f>
        <v/>
      </c>
      <c r="B150" s="708"/>
      <c r="C150" s="720" t="str">
        <f t="shared" si="26"/>
        <v/>
      </c>
      <c r="D150" s="346" t="str">
        <f t="shared" si="27"/>
        <v/>
      </c>
      <c r="E150" s="346" t="str">
        <f t="shared" si="28"/>
        <v/>
      </c>
      <c r="F150" s="710" t="str">
        <f t="shared" si="29"/>
        <v/>
      </c>
      <c r="G150" s="346" t="str">
        <f t="shared" si="30"/>
        <v/>
      </c>
      <c r="H150" s="710"/>
      <c r="I150" s="346" t="str">
        <f t="shared" si="31"/>
        <v/>
      </c>
      <c r="J150" s="710"/>
      <c r="K150" s="727" t="str">
        <f t="shared" si="32"/>
        <v/>
      </c>
      <c r="L150" s="1574" t="str">
        <f t="shared" si="33"/>
        <v/>
      </c>
      <c r="M150" s="712">
        <v>0</v>
      </c>
      <c r="N150" s="712">
        <v>0</v>
      </c>
      <c r="O150" s="712">
        <v>0</v>
      </c>
      <c r="P150" s="712">
        <v>0</v>
      </c>
      <c r="Q150" s="712">
        <v>0</v>
      </c>
      <c r="R150" s="712">
        <v>0</v>
      </c>
      <c r="S150" s="712">
        <v>0</v>
      </c>
      <c r="T150" s="712">
        <v>0</v>
      </c>
      <c r="U150" s="712">
        <v>0</v>
      </c>
      <c r="V150" s="712">
        <v>0</v>
      </c>
      <c r="W150" s="712">
        <v>0</v>
      </c>
      <c r="X150" s="712">
        <v>0</v>
      </c>
      <c r="Y150" s="712">
        <v>0</v>
      </c>
      <c r="Z150" s="712">
        <v>0</v>
      </c>
      <c r="AA150" s="712">
        <v>0</v>
      </c>
      <c r="AB150" s="728"/>
      <c r="AD150" s="74">
        <f>IF(ISERROR(VLOOKUP(B150,CourseList!$A$4:$A$29,1,FALSE)),0,1)</f>
        <v>0</v>
      </c>
      <c r="AE150" s="717">
        <v>137</v>
      </c>
      <c r="AF150" s="718"/>
    </row>
    <row r="151" spans="1:32" x14ac:dyDescent="0.35">
      <c r="A151" s="719" t="str">
        <f>IF('Courses Valid'!BU157=1,'Courses Valid'!BT157,IF(AND('Courses Valid'!BU157=0,'Courses Valid'!BV157=1),'Courses Valid'!BT157,IF(B150&lt;&gt;"",'Courses Valid'!BT157,"")))</f>
        <v/>
      </c>
      <c r="B151" s="708"/>
      <c r="C151" s="720" t="str">
        <f t="shared" si="26"/>
        <v/>
      </c>
      <c r="D151" s="346" t="str">
        <f t="shared" si="27"/>
        <v/>
      </c>
      <c r="E151" s="346" t="str">
        <f t="shared" si="28"/>
        <v/>
      </c>
      <c r="F151" s="710" t="str">
        <f t="shared" si="29"/>
        <v/>
      </c>
      <c r="G151" s="346" t="str">
        <f t="shared" si="30"/>
        <v/>
      </c>
      <c r="H151" s="710"/>
      <c r="I151" s="346" t="str">
        <f t="shared" si="31"/>
        <v/>
      </c>
      <c r="J151" s="710"/>
      <c r="K151" s="727" t="str">
        <f t="shared" si="32"/>
        <v/>
      </c>
      <c r="L151" s="1574" t="str">
        <f t="shared" si="33"/>
        <v/>
      </c>
      <c r="M151" s="712">
        <v>0</v>
      </c>
      <c r="N151" s="712">
        <v>0</v>
      </c>
      <c r="O151" s="712">
        <v>0</v>
      </c>
      <c r="P151" s="712">
        <v>0</v>
      </c>
      <c r="Q151" s="712">
        <v>0</v>
      </c>
      <c r="R151" s="712">
        <v>0</v>
      </c>
      <c r="S151" s="712">
        <v>0</v>
      </c>
      <c r="T151" s="712">
        <v>0</v>
      </c>
      <c r="U151" s="712">
        <v>0</v>
      </c>
      <c r="V151" s="712">
        <v>0</v>
      </c>
      <c r="W151" s="712">
        <v>0</v>
      </c>
      <c r="X151" s="712">
        <v>0</v>
      </c>
      <c r="Y151" s="712">
        <v>0</v>
      </c>
      <c r="Z151" s="712">
        <v>0</v>
      </c>
      <c r="AA151" s="712">
        <v>0</v>
      </c>
      <c r="AB151" s="728"/>
      <c r="AD151" s="74">
        <f>IF(ISERROR(VLOOKUP(B151,CourseList!$A$4:$A$29,1,FALSE)),0,1)</f>
        <v>0</v>
      </c>
      <c r="AE151" s="717">
        <v>138</v>
      </c>
      <c r="AF151" s="718"/>
    </row>
    <row r="152" spans="1:32" x14ac:dyDescent="0.35">
      <c r="A152" s="719" t="str">
        <f>IF('Courses Valid'!BU158=1,'Courses Valid'!BT158,IF(AND('Courses Valid'!BU158=0,'Courses Valid'!BV158=1),'Courses Valid'!BT158,IF(B151&lt;&gt;"",'Courses Valid'!BT158,"")))</f>
        <v/>
      </c>
      <c r="B152" s="708"/>
      <c r="C152" s="720" t="str">
        <f t="shared" si="26"/>
        <v/>
      </c>
      <c r="D152" s="346" t="str">
        <f t="shared" si="27"/>
        <v/>
      </c>
      <c r="E152" s="346" t="str">
        <f t="shared" si="28"/>
        <v/>
      </c>
      <c r="F152" s="710" t="str">
        <f t="shared" si="29"/>
        <v/>
      </c>
      <c r="G152" s="346" t="str">
        <f t="shared" si="30"/>
        <v/>
      </c>
      <c r="H152" s="710"/>
      <c r="I152" s="346" t="str">
        <f t="shared" si="31"/>
        <v/>
      </c>
      <c r="J152" s="710"/>
      <c r="K152" s="727" t="str">
        <f t="shared" si="32"/>
        <v/>
      </c>
      <c r="L152" s="1574" t="str">
        <f t="shared" si="33"/>
        <v/>
      </c>
      <c r="M152" s="712">
        <v>0</v>
      </c>
      <c r="N152" s="712">
        <v>0</v>
      </c>
      <c r="O152" s="712">
        <v>0</v>
      </c>
      <c r="P152" s="712">
        <v>0</v>
      </c>
      <c r="Q152" s="712">
        <v>0</v>
      </c>
      <c r="R152" s="712">
        <v>0</v>
      </c>
      <c r="S152" s="712">
        <v>0</v>
      </c>
      <c r="T152" s="712">
        <v>0</v>
      </c>
      <c r="U152" s="712">
        <v>0</v>
      </c>
      <c r="V152" s="712">
        <v>0</v>
      </c>
      <c r="W152" s="712">
        <v>0</v>
      </c>
      <c r="X152" s="712">
        <v>0</v>
      </c>
      <c r="Y152" s="712">
        <v>0</v>
      </c>
      <c r="Z152" s="712">
        <v>0</v>
      </c>
      <c r="AA152" s="712">
        <v>0</v>
      </c>
      <c r="AB152" s="728"/>
      <c r="AD152" s="74">
        <f>IF(ISERROR(VLOOKUP(B152,CourseList!$A$4:$A$29,1,FALSE)),0,1)</f>
        <v>0</v>
      </c>
      <c r="AE152" s="717">
        <v>139</v>
      </c>
      <c r="AF152" s="718"/>
    </row>
    <row r="153" spans="1:32" x14ac:dyDescent="0.35">
      <c r="A153" s="719" t="str">
        <f>IF('Courses Valid'!BU159=1,'Courses Valid'!BT159,IF(AND('Courses Valid'!BU159=0,'Courses Valid'!BV159=1),'Courses Valid'!BT159,IF(B152&lt;&gt;"",'Courses Valid'!BT159,"")))</f>
        <v/>
      </c>
      <c r="B153" s="708"/>
      <c r="C153" s="720" t="str">
        <f t="shared" si="26"/>
        <v/>
      </c>
      <c r="D153" s="346" t="str">
        <f t="shared" si="27"/>
        <v/>
      </c>
      <c r="E153" s="346" t="str">
        <f t="shared" si="28"/>
        <v/>
      </c>
      <c r="F153" s="710" t="str">
        <f t="shared" si="29"/>
        <v/>
      </c>
      <c r="G153" s="346" t="str">
        <f t="shared" si="30"/>
        <v/>
      </c>
      <c r="H153" s="710"/>
      <c r="I153" s="346" t="str">
        <f t="shared" si="31"/>
        <v/>
      </c>
      <c r="J153" s="710"/>
      <c r="K153" s="727" t="str">
        <f t="shared" si="32"/>
        <v/>
      </c>
      <c r="L153" s="1574" t="str">
        <f t="shared" si="33"/>
        <v/>
      </c>
      <c r="M153" s="712">
        <v>0</v>
      </c>
      <c r="N153" s="712">
        <v>0</v>
      </c>
      <c r="O153" s="712">
        <v>0</v>
      </c>
      <c r="P153" s="712">
        <v>0</v>
      </c>
      <c r="Q153" s="712">
        <v>0</v>
      </c>
      <c r="R153" s="712">
        <v>0</v>
      </c>
      <c r="S153" s="712">
        <v>0</v>
      </c>
      <c r="T153" s="712">
        <v>0</v>
      </c>
      <c r="U153" s="712">
        <v>0</v>
      </c>
      <c r="V153" s="712">
        <v>0</v>
      </c>
      <c r="W153" s="712">
        <v>0</v>
      </c>
      <c r="X153" s="712">
        <v>0</v>
      </c>
      <c r="Y153" s="712">
        <v>0</v>
      </c>
      <c r="Z153" s="712">
        <v>0</v>
      </c>
      <c r="AA153" s="712">
        <v>0</v>
      </c>
      <c r="AB153" s="728"/>
      <c r="AD153" s="74">
        <f>IF(ISERROR(VLOOKUP(B153,CourseList!$A$4:$A$29,1,FALSE)),0,1)</f>
        <v>0</v>
      </c>
      <c r="AE153" s="717">
        <v>140</v>
      </c>
      <c r="AF153" s="718"/>
    </row>
    <row r="154" spans="1:32" x14ac:dyDescent="0.35">
      <c r="A154" s="719" t="str">
        <f>IF('Courses Valid'!BU160=1,'Courses Valid'!BT160,IF(AND('Courses Valid'!BU160=0,'Courses Valid'!BV160=1),'Courses Valid'!BT160,IF(B153&lt;&gt;"",'Courses Valid'!BT160,"")))</f>
        <v/>
      </c>
      <c r="B154" s="708"/>
      <c r="C154" s="720" t="str">
        <f t="shared" si="26"/>
        <v/>
      </c>
      <c r="D154" s="346" t="str">
        <f t="shared" si="27"/>
        <v/>
      </c>
      <c r="E154" s="346" t="str">
        <f t="shared" si="28"/>
        <v/>
      </c>
      <c r="F154" s="710" t="str">
        <f t="shared" si="29"/>
        <v/>
      </c>
      <c r="G154" s="346" t="str">
        <f t="shared" si="30"/>
        <v/>
      </c>
      <c r="H154" s="710"/>
      <c r="I154" s="346" t="str">
        <f t="shared" si="31"/>
        <v/>
      </c>
      <c r="J154" s="710"/>
      <c r="K154" s="727" t="str">
        <f t="shared" si="32"/>
        <v/>
      </c>
      <c r="L154" s="1574" t="str">
        <f t="shared" si="33"/>
        <v/>
      </c>
      <c r="M154" s="712">
        <v>0</v>
      </c>
      <c r="N154" s="712">
        <v>0</v>
      </c>
      <c r="O154" s="712">
        <v>0</v>
      </c>
      <c r="P154" s="712">
        <v>0</v>
      </c>
      <c r="Q154" s="712">
        <v>0</v>
      </c>
      <c r="R154" s="712">
        <v>0</v>
      </c>
      <c r="S154" s="712">
        <v>0</v>
      </c>
      <c r="T154" s="712">
        <v>0</v>
      </c>
      <c r="U154" s="712">
        <v>0</v>
      </c>
      <c r="V154" s="712">
        <v>0</v>
      </c>
      <c r="W154" s="712">
        <v>0</v>
      </c>
      <c r="X154" s="712">
        <v>0</v>
      </c>
      <c r="Y154" s="712">
        <v>0</v>
      </c>
      <c r="Z154" s="712">
        <v>0</v>
      </c>
      <c r="AA154" s="712">
        <v>0</v>
      </c>
      <c r="AB154" s="728"/>
      <c r="AD154" s="74">
        <f>IF(ISERROR(VLOOKUP(B154,CourseList!$A$4:$A$29,1,FALSE)),0,1)</f>
        <v>0</v>
      </c>
      <c r="AE154" s="717">
        <v>141</v>
      </c>
      <c r="AF154" s="718"/>
    </row>
    <row r="155" spans="1:32" x14ac:dyDescent="0.35">
      <c r="A155" s="719" t="str">
        <f>IF('Courses Valid'!BU161=1,'Courses Valid'!BT161,IF(AND('Courses Valid'!BU161=0,'Courses Valid'!BV161=1),'Courses Valid'!BT161,IF(B154&lt;&gt;"",'Courses Valid'!BT161,"")))</f>
        <v/>
      </c>
      <c r="B155" s="708"/>
      <c r="C155" s="720" t="str">
        <f t="shared" si="26"/>
        <v/>
      </c>
      <c r="D155" s="346" t="str">
        <f t="shared" si="27"/>
        <v/>
      </c>
      <c r="E155" s="346" t="str">
        <f t="shared" si="28"/>
        <v/>
      </c>
      <c r="F155" s="710" t="str">
        <f t="shared" si="29"/>
        <v/>
      </c>
      <c r="G155" s="346" t="str">
        <f t="shared" si="30"/>
        <v/>
      </c>
      <c r="H155" s="710"/>
      <c r="I155" s="346" t="str">
        <f t="shared" si="31"/>
        <v/>
      </c>
      <c r="J155" s="710"/>
      <c r="K155" s="727" t="str">
        <f t="shared" si="32"/>
        <v/>
      </c>
      <c r="L155" s="1574" t="str">
        <f t="shared" si="33"/>
        <v/>
      </c>
      <c r="M155" s="712">
        <v>0</v>
      </c>
      <c r="N155" s="712">
        <v>0</v>
      </c>
      <c r="O155" s="712">
        <v>0</v>
      </c>
      <c r="P155" s="712">
        <v>0</v>
      </c>
      <c r="Q155" s="712">
        <v>0</v>
      </c>
      <c r="R155" s="712">
        <v>0</v>
      </c>
      <c r="S155" s="712">
        <v>0</v>
      </c>
      <c r="T155" s="712">
        <v>0</v>
      </c>
      <c r="U155" s="712">
        <v>0</v>
      </c>
      <c r="V155" s="712">
        <v>0</v>
      </c>
      <c r="W155" s="712">
        <v>0</v>
      </c>
      <c r="X155" s="712">
        <v>0</v>
      </c>
      <c r="Y155" s="712">
        <v>0</v>
      </c>
      <c r="Z155" s="712">
        <v>0</v>
      </c>
      <c r="AA155" s="712">
        <v>0</v>
      </c>
      <c r="AB155" s="728"/>
      <c r="AD155" s="74">
        <f>IF(ISERROR(VLOOKUP(B155,CourseList!$A$4:$A$29,1,FALSE)),0,1)</f>
        <v>0</v>
      </c>
      <c r="AE155" s="717">
        <v>142</v>
      </c>
      <c r="AF155" s="718"/>
    </row>
    <row r="156" spans="1:32" x14ac:dyDescent="0.35">
      <c r="A156" s="719" t="str">
        <f>IF('Courses Valid'!BU162=1,'Courses Valid'!BT162,IF(AND('Courses Valid'!BU162=0,'Courses Valid'!BV162=1),'Courses Valid'!BT162,IF(B155&lt;&gt;"",'Courses Valid'!BT162,"")))</f>
        <v/>
      </c>
      <c r="B156" s="708"/>
      <c r="C156" s="720" t="str">
        <f t="shared" si="26"/>
        <v/>
      </c>
      <c r="D156" s="346" t="str">
        <f t="shared" si="27"/>
        <v/>
      </c>
      <c r="E156" s="346" t="str">
        <f t="shared" si="28"/>
        <v/>
      </c>
      <c r="F156" s="710" t="str">
        <f t="shared" si="29"/>
        <v/>
      </c>
      <c r="G156" s="346" t="str">
        <f t="shared" si="30"/>
        <v/>
      </c>
      <c r="H156" s="710"/>
      <c r="I156" s="346" t="str">
        <f t="shared" si="31"/>
        <v/>
      </c>
      <c r="J156" s="710"/>
      <c r="K156" s="727" t="str">
        <f t="shared" si="32"/>
        <v/>
      </c>
      <c r="L156" s="1574" t="str">
        <f t="shared" si="33"/>
        <v/>
      </c>
      <c r="M156" s="712">
        <v>0</v>
      </c>
      <c r="N156" s="712">
        <v>0</v>
      </c>
      <c r="O156" s="712">
        <v>0</v>
      </c>
      <c r="P156" s="712">
        <v>0</v>
      </c>
      <c r="Q156" s="712">
        <v>0</v>
      </c>
      <c r="R156" s="712">
        <v>0</v>
      </c>
      <c r="S156" s="712">
        <v>0</v>
      </c>
      <c r="T156" s="712">
        <v>0</v>
      </c>
      <c r="U156" s="712">
        <v>0</v>
      </c>
      <c r="V156" s="712">
        <v>0</v>
      </c>
      <c r="W156" s="712">
        <v>0</v>
      </c>
      <c r="X156" s="712">
        <v>0</v>
      </c>
      <c r="Y156" s="712">
        <v>0</v>
      </c>
      <c r="Z156" s="712">
        <v>0</v>
      </c>
      <c r="AA156" s="712">
        <v>0</v>
      </c>
      <c r="AB156" s="728"/>
      <c r="AD156" s="74">
        <f>IF(ISERROR(VLOOKUP(B156,CourseList!$A$4:$A$29,1,FALSE)),0,1)</f>
        <v>0</v>
      </c>
      <c r="AE156" s="717">
        <v>143</v>
      </c>
      <c r="AF156" s="718"/>
    </row>
    <row r="157" spans="1:32" x14ac:dyDescent="0.35">
      <c r="A157" s="719" t="str">
        <f>IF('Courses Valid'!BU163=1,'Courses Valid'!BT163,IF(AND('Courses Valid'!BU163=0,'Courses Valid'!BV163=1),'Courses Valid'!BT163,IF(B156&lt;&gt;"",'Courses Valid'!BT163,"")))</f>
        <v/>
      </c>
      <c r="B157" s="708"/>
      <c r="C157" s="720" t="str">
        <f t="shared" si="26"/>
        <v/>
      </c>
      <c r="D157" s="346" t="str">
        <f t="shared" si="27"/>
        <v/>
      </c>
      <c r="E157" s="346" t="str">
        <f t="shared" si="28"/>
        <v/>
      </c>
      <c r="F157" s="710" t="str">
        <f t="shared" si="29"/>
        <v/>
      </c>
      <c r="G157" s="346" t="str">
        <f t="shared" si="30"/>
        <v/>
      </c>
      <c r="H157" s="710"/>
      <c r="I157" s="346" t="str">
        <f t="shared" si="31"/>
        <v/>
      </c>
      <c r="J157" s="710"/>
      <c r="K157" s="727" t="str">
        <f t="shared" si="32"/>
        <v/>
      </c>
      <c r="L157" s="1574" t="str">
        <f t="shared" si="33"/>
        <v/>
      </c>
      <c r="M157" s="712">
        <v>0</v>
      </c>
      <c r="N157" s="712">
        <v>0</v>
      </c>
      <c r="O157" s="712">
        <v>0</v>
      </c>
      <c r="P157" s="712">
        <v>0</v>
      </c>
      <c r="Q157" s="712">
        <v>0</v>
      </c>
      <c r="R157" s="712">
        <v>0</v>
      </c>
      <c r="S157" s="712">
        <v>0</v>
      </c>
      <c r="T157" s="712">
        <v>0</v>
      </c>
      <c r="U157" s="712">
        <v>0</v>
      </c>
      <c r="V157" s="712">
        <v>0</v>
      </c>
      <c r="W157" s="712">
        <v>0</v>
      </c>
      <c r="X157" s="712">
        <v>0</v>
      </c>
      <c r="Y157" s="712">
        <v>0</v>
      </c>
      <c r="Z157" s="712">
        <v>0</v>
      </c>
      <c r="AA157" s="712">
        <v>0</v>
      </c>
      <c r="AB157" s="728"/>
      <c r="AD157" s="74">
        <f>IF(ISERROR(VLOOKUP(B157,CourseList!$A$4:$A$29,1,FALSE)),0,1)</f>
        <v>0</v>
      </c>
      <c r="AE157" s="717">
        <v>144</v>
      </c>
      <c r="AF157" s="718"/>
    </row>
    <row r="158" spans="1:32" x14ac:dyDescent="0.35">
      <c r="A158" s="719" t="str">
        <f>IF('Courses Valid'!BU164=1,'Courses Valid'!BT164,IF(AND('Courses Valid'!BU164=0,'Courses Valid'!BV164=1),'Courses Valid'!BT164,IF(B157&lt;&gt;"",'Courses Valid'!BT164,"")))</f>
        <v/>
      </c>
      <c r="B158" s="708"/>
      <c r="C158" s="720" t="str">
        <f t="shared" si="26"/>
        <v/>
      </c>
      <c r="D158" s="346" t="str">
        <f t="shared" si="27"/>
        <v/>
      </c>
      <c r="E158" s="346" t="str">
        <f t="shared" si="28"/>
        <v/>
      </c>
      <c r="F158" s="710" t="str">
        <f t="shared" si="29"/>
        <v/>
      </c>
      <c r="G158" s="346" t="str">
        <f t="shared" si="30"/>
        <v/>
      </c>
      <c r="H158" s="710"/>
      <c r="I158" s="346" t="str">
        <f t="shared" si="31"/>
        <v/>
      </c>
      <c r="J158" s="710"/>
      <c r="K158" s="727" t="str">
        <f t="shared" si="32"/>
        <v/>
      </c>
      <c r="L158" s="1574" t="str">
        <f t="shared" si="33"/>
        <v/>
      </c>
      <c r="M158" s="712">
        <v>0</v>
      </c>
      <c r="N158" s="712">
        <v>0</v>
      </c>
      <c r="O158" s="712">
        <v>0</v>
      </c>
      <c r="P158" s="712">
        <v>0</v>
      </c>
      <c r="Q158" s="712">
        <v>0</v>
      </c>
      <c r="R158" s="712">
        <v>0</v>
      </c>
      <c r="S158" s="712">
        <v>0</v>
      </c>
      <c r="T158" s="712">
        <v>0</v>
      </c>
      <c r="U158" s="712">
        <v>0</v>
      </c>
      <c r="V158" s="712">
        <v>0</v>
      </c>
      <c r="W158" s="712">
        <v>0</v>
      </c>
      <c r="X158" s="712">
        <v>0</v>
      </c>
      <c r="Y158" s="712">
        <v>0</v>
      </c>
      <c r="Z158" s="712">
        <v>0</v>
      </c>
      <c r="AA158" s="712">
        <v>0</v>
      </c>
      <c r="AB158" s="728"/>
      <c r="AD158" s="74">
        <f>IF(ISERROR(VLOOKUP(B158,CourseList!$A$4:$A$29,1,FALSE)),0,1)</f>
        <v>0</v>
      </c>
      <c r="AE158" s="717">
        <v>145</v>
      </c>
      <c r="AF158" s="718"/>
    </row>
    <row r="159" spans="1:32" x14ac:dyDescent="0.35">
      <c r="A159" s="719" t="str">
        <f>IF('Courses Valid'!BU165=1,'Courses Valid'!BT165,IF(AND('Courses Valid'!BU165=0,'Courses Valid'!BV165=1),'Courses Valid'!BT165,IF(B158&lt;&gt;"",'Courses Valid'!BT165,"")))</f>
        <v/>
      </c>
      <c r="B159" s="708"/>
      <c r="C159" s="720" t="str">
        <f t="shared" si="26"/>
        <v/>
      </c>
      <c r="D159" s="346" t="str">
        <f t="shared" si="27"/>
        <v/>
      </c>
      <c r="E159" s="346" t="str">
        <f t="shared" si="28"/>
        <v/>
      </c>
      <c r="F159" s="710" t="str">
        <f t="shared" si="29"/>
        <v/>
      </c>
      <c r="G159" s="346" t="str">
        <f t="shared" si="30"/>
        <v/>
      </c>
      <c r="H159" s="710"/>
      <c r="I159" s="346" t="str">
        <f t="shared" si="31"/>
        <v/>
      </c>
      <c r="J159" s="710"/>
      <c r="K159" s="727" t="str">
        <f t="shared" si="32"/>
        <v/>
      </c>
      <c r="L159" s="1574" t="str">
        <f t="shared" si="33"/>
        <v/>
      </c>
      <c r="M159" s="712">
        <v>0</v>
      </c>
      <c r="N159" s="712">
        <v>0</v>
      </c>
      <c r="O159" s="712">
        <v>0</v>
      </c>
      <c r="P159" s="712">
        <v>0</v>
      </c>
      <c r="Q159" s="712">
        <v>0</v>
      </c>
      <c r="R159" s="712">
        <v>0</v>
      </c>
      <c r="S159" s="712">
        <v>0</v>
      </c>
      <c r="T159" s="712">
        <v>0</v>
      </c>
      <c r="U159" s="712">
        <v>0</v>
      </c>
      <c r="V159" s="712">
        <v>0</v>
      </c>
      <c r="W159" s="712">
        <v>0</v>
      </c>
      <c r="X159" s="712">
        <v>0</v>
      </c>
      <c r="Y159" s="712">
        <v>0</v>
      </c>
      <c r="Z159" s="712">
        <v>0</v>
      </c>
      <c r="AA159" s="712">
        <v>0</v>
      </c>
      <c r="AB159" s="728"/>
      <c r="AD159" s="74">
        <f>IF(ISERROR(VLOOKUP(B159,CourseList!$A$4:$A$29,1,FALSE)),0,1)</f>
        <v>0</v>
      </c>
      <c r="AE159" s="717">
        <v>146</v>
      </c>
      <c r="AF159" s="718"/>
    </row>
    <row r="160" spans="1:32" x14ac:dyDescent="0.35">
      <c r="A160" s="719" t="str">
        <f>IF('Courses Valid'!BU166=1,'Courses Valid'!BT166,IF(AND('Courses Valid'!BU166=0,'Courses Valid'!BV166=1),'Courses Valid'!BT166,IF(B159&lt;&gt;"",'Courses Valid'!BT166,"")))</f>
        <v/>
      </c>
      <c r="B160" s="708"/>
      <c r="C160" s="720" t="str">
        <f t="shared" si="26"/>
        <v/>
      </c>
      <c r="D160" s="346" t="str">
        <f t="shared" si="27"/>
        <v/>
      </c>
      <c r="E160" s="346" t="str">
        <f t="shared" si="28"/>
        <v/>
      </c>
      <c r="F160" s="710" t="str">
        <f t="shared" si="29"/>
        <v/>
      </c>
      <c r="G160" s="346" t="str">
        <f t="shared" si="30"/>
        <v/>
      </c>
      <c r="H160" s="710"/>
      <c r="I160" s="346" t="str">
        <f t="shared" si="31"/>
        <v/>
      </c>
      <c r="J160" s="710"/>
      <c r="K160" s="727" t="str">
        <f t="shared" si="32"/>
        <v/>
      </c>
      <c r="L160" s="1574" t="str">
        <f t="shared" si="33"/>
        <v/>
      </c>
      <c r="M160" s="712">
        <v>0</v>
      </c>
      <c r="N160" s="712">
        <v>0</v>
      </c>
      <c r="O160" s="712">
        <v>0</v>
      </c>
      <c r="P160" s="712">
        <v>0</v>
      </c>
      <c r="Q160" s="712">
        <v>0</v>
      </c>
      <c r="R160" s="712">
        <v>0</v>
      </c>
      <c r="S160" s="712">
        <v>0</v>
      </c>
      <c r="T160" s="712">
        <v>0</v>
      </c>
      <c r="U160" s="712">
        <v>0</v>
      </c>
      <c r="V160" s="712">
        <v>0</v>
      </c>
      <c r="W160" s="712">
        <v>0</v>
      </c>
      <c r="X160" s="712">
        <v>0</v>
      </c>
      <c r="Y160" s="712">
        <v>0</v>
      </c>
      <c r="Z160" s="712">
        <v>0</v>
      </c>
      <c r="AA160" s="712">
        <v>0</v>
      </c>
      <c r="AB160" s="728"/>
      <c r="AD160" s="74">
        <f>IF(ISERROR(VLOOKUP(B160,CourseList!$A$4:$A$29,1,FALSE)),0,1)</f>
        <v>0</v>
      </c>
      <c r="AE160" s="717">
        <v>147</v>
      </c>
      <c r="AF160" s="718"/>
    </row>
    <row r="161" spans="1:32" x14ac:dyDescent="0.35">
      <c r="A161" s="719" t="str">
        <f>IF('Courses Valid'!BU167=1,'Courses Valid'!BT167,IF(AND('Courses Valid'!BU167=0,'Courses Valid'!BV167=1),'Courses Valid'!BT167,IF(B160&lt;&gt;"",'Courses Valid'!BT167,"")))</f>
        <v/>
      </c>
      <c r="B161" s="708"/>
      <c r="C161" s="720" t="str">
        <f t="shared" si="26"/>
        <v/>
      </c>
      <c r="D161" s="346" t="str">
        <f t="shared" si="27"/>
        <v/>
      </c>
      <c r="E161" s="346" t="str">
        <f t="shared" si="28"/>
        <v/>
      </c>
      <c r="F161" s="710" t="str">
        <f t="shared" si="29"/>
        <v/>
      </c>
      <c r="G161" s="346" t="str">
        <f t="shared" si="30"/>
        <v/>
      </c>
      <c r="H161" s="710"/>
      <c r="I161" s="346" t="str">
        <f t="shared" si="31"/>
        <v/>
      </c>
      <c r="J161" s="710"/>
      <c r="K161" s="727" t="str">
        <f t="shared" si="32"/>
        <v/>
      </c>
      <c r="L161" s="1574" t="str">
        <f t="shared" si="33"/>
        <v/>
      </c>
      <c r="M161" s="712">
        <v>0</v>
      </c>
      <c r="N161" s="712">
        <v>0</v>
      </c>
      <c r="O161" s="712">
        <v>0</v>
      </c>
      <c r="P161" s="712">
        <v>0</v>
      </c>
      <c r="Q161" s="712">
        <v>0</v>
      </c>
      <c r="R161" s="712">
        <v>0</v>
      </c>
      <c r="S161" s="712">
        <v>0</v>
      </c>
      <c r="T161" s="712">
        <v>0</v>
      </c>
      <c r="U161" s="712">
        <v>0</v>
      </c>
      <c r="V161" s="712">
        <v>0</v>
      </c>
      <c r="W161" s="712">
        <v>0</v>
      </c>
      <c r="X161" s="712">
        <v>0</v>
      </c>
      <c r="Y161" s="712">
        <v>0</v>
      </c>
      <c r="Z161" s="712">
        <v>0</v>
      </c>
      <c r="AA161" s="712">
        <v>0</v>
      </c>
      <c r="AB161" s="728"/>
      <c r="AD161" s="74">
        <f>IF(ISERROR(VLOOKUP(B161,CourseList!$A$4:$A$29,1,FALSE)),0,1)</f>
        <v>0</v>
      </c>
      <c r="AE161" s="717">
        <v>148</v>
      </c>
      <c r="AF161" s="718"/>
    </row>
    <row r="162" spans="1:32" x14ac:dyDescent="0.35">
      <c r="A162" s="719" t="str">
        <f>IF('Courses Valid'!BU168=1,'Courses Valid'!BT168,IF(AND('Courses Valid'!BU168=0,'Courses Valid'!BV168=1),'Courses Valid'!BT168,IF(B161&lt;&gt;"",'Courses Valid'!BT168,"")))</f>
        <v/>
      </c>
      <c r="B162" s="708"/>
      <c r="C162" s="720" t="str">
        <f t="shared" si="26"/>
        <v/>
      </c>
      <c r="D162" s="346" t="str">
        <f t="shared" si="27"/>
        <v/>
      </c>
      <c r="E162" s="346" t="str">
        <f t="shared" si="28"/>
        <v/>
      </c>
      <c r="F162" s="710" t="str">
        <f t="shared" si="29"/>
        <v/>
      </c>
      <c r="G162" s="346" t="str">
        <f t="shared" si="30"/>
        <v/>
      </c>
      <c r="H162" s="710"/>
      <c r="I162" s="346" t="str">
        <f t="shared" si="31"/>
        <v/>
      </c>
      <c r="J162" s="710"/>
      <c r="K162" s="727" t="str">
        <f t="shared" si="32"/>
        <v/>
      </c>
      <c r="L162" s="1574" t="str">
        <f t="shared" si="33"/>
        <v/>
      </c>
      <c r="M162" s="712">
        <v>0</v>
      </c>
      <c r="N162" s="712">
        <v>0</v>
      </c>
      <c r="O162" s="712">
        <v>0</v>
      </c>
      <c r="P162" s="712">
        <v>0</v>
      </c>
      <c r="Q162" s="712">
        <v>0</v>
      </c>
      <c r="R162" s="712">
        <v>0</v>
      </c>
      <c r="S162" s="712">
        <v>0</v>
      </c>
      <c r="T162" s="712">
        <v>0</v>
      </c>
      <c r="U162" s="712">
        <v>0</v>
      </c>
      <c r="V162" s="712">
        <v>0</v>
      </c>
      <c r="W162" s="712">
        <v>0</v>
      </c>
      <c r="X162" s="712">
        <v>0</v>
      </c>
      <c r="Y162" s="712">
        <v>0</v>
      </c>
      <c r="Z162" s="712">
        <v>0</v>
      </c>
      <c r="AA162" s="712">
        <v>0</v>
      </c>
      <c r="AB162" s="728"/>
      <c r="AD162" s="74">
        <f>IF(ISERROR(VLOOKUP(B162,CourseList!$A$4:$A$29,1,FALSE)),0,1)</f>
        <v>0</v>
      </c>
      <c r="AE162" s="717">
        <v>149</v>
      </c>
      <c r="AF162" s="718"/>
    </row>
    <row r="163" spans="1:32" x14ac:dyDescent="0.35">
      <c r="A163" s="719" t="str">
        <f>IF('Courses Valid'!BU169=1,'Courses Valid'!BT169,IF(AND('Courses Valid'!BU169=0,'Courses Valid'!BV169=1),'Courses Valid'!BT169,IF(B162&lt;&gt;"",'Courses Valid'!BT169,"")))</f>
        <v/>
      </c>
      <c r="B163" s="708"/>
      <c r="C163" s="720" t="str">
        <f t="shared" si="26"/>
        <v/>
      </c>
      <c r="D163" s="346" t="str">
        <f t="shared" si="27"/>
        <v/>
      </c>
      <c r="E163" s="346" t="str">
        <f t="shared" si="28"/>
        <v/>
      </c>
      <c r="F163" s="710" t="str">
        <f t="shared" si="29"/>
        <v/>
      </c>
      <c r="G163" s="346" t="str">
        <f t="shared" si="30"/>
        <v/>
      </c>
      <c r="H163" s="710"/>
      <c r="I163" s="346" t="str">
        <f t="shared" si="31"/>
        <v/>
      </c>
      <c r="J163" s="710"/>
      <c r="K163" s="727" t="str">
        <f t="shared" si="32"/>
        <v/>
      </c>
      <c r="L163" s="1574" t="str">
        <f t="shared" si="33"/>
        <v/>
      </c>
      <c r="M163" s="712">
        <v>0</v>
      </c>
      <c r="N163" s="712">
        <v>0</v>
      </c>
      <c r="O163" s="712">
        <v>0</v>
      </c>
      <c r="P163" s="712">
        <v>0</v>
      </c>
      <c r="Q163" s="712">
        <v>0</v>
      </c>
      <c r="R163" s="712">
        <v>0</v>
      </c>
      <c r="S163" s="712">
        <v>0</v>
      </c>
      <c r="T163" s="712">
        <v>0</v>
      </c>
      <c r="U163" s="712">
        <v>0</v>
      </c>
      <c r="V163" s="712">
        <v>0</v>
      </c>
      <c r="W163" s="712">
        <v>0</v>
      </c>
      <c r="X163" s="712">
        <v>0</v>
      </c>
      <c r="Y163" s="712">
        <v>0</v>
      </c>
      <c r="Z163" s="712">
        <v>0</v>
      </c>
      <c r="AA163" s="712">
        <v>0</v>
      </c>
      <c r="AB163" s="728"/>
      <c r="AD163" s="74">
        <f>IF(ISERROR(VLOOKUP(B163,CourseList!$A$4:$A$29,1,FALSE)),0,1)</f>
        <v>0</v>
      </c>
      <c r="AE163" s="717">
        <v>150</v>
      </c>
      <c r="AF163" s="718"/>
    </row>
    <row r="164" spans="1:32" x14ac:dyDescent="0.35">
      <c r="A164" s="719" t="str">
        <f>IF('Courses Valid'!BU170=1,'Courses Valid'!BT170,IF(AND('Courses Valid'!BU170=0,'Courses Valid'!BV170=1),'Courses Valid'!BT170,IF(B163&lt;&gt;"",'Courses Valid'!BT170,"")))</f>
        <v/>
      </c>
      <c r="B164" s="708"/>
      <c r="C164" s="720" t="str">
        <f t="shared" si="26"/>
        <v/>
      </c>
      <c r="D164" s="346" t="str">
        <f t="shared" si="27"/>
        <v/>
      </c>
      <c r="E164" s="346" t="str">
        <f t="shared" si="28"/>
        <v/>
      </c>
      <c r="F164" s="710" t="str">
        <f t="shared" si="29"/>
        <v/>
      </c>
      <c r="G164" s="346" t="str">
        <f t="shared" si="30"/>
        <v/>
      </c>
      <c r="H164" s="710"/>
      <c r="I164" s="346" t="str">
        <f t="shared" si="31"/>
        <v/>
      </c>
      <c r="J164" s="710"/>
      <c r="K164" s="727" t="str">
        <f t="shared" si="32"/>
        <v/>
      </c>
      <c r="L164" s="1574" t="str">
        <f t="shared" si="33"/>
        <v/>
      </c>
      <c r="M164" s="712">
        <v>0</v>
      </c>
      <c r="N164" s="712">
        <v>0</v>
      </c>
      <c r="O164" s="712">
        <v>0</v>
      </c>
      <c r="P164" s="712">
        <v>0</v>
      </c>
      <c r="Q164" s="712">
        <v>0</v>
      </c>
      <c r="R164" s="712">
        <v>0</v>
      </c>
      <c r="S164" s="712">
        <v>0</v>
      </c>
      <c r="T164" s="712">
        <v>0</v>
      </c>
      <c r="U164" s="712">
        <v>0</v>
      </c>
      <c r="V164" s="712">
        <v>0</v>
      </c>
      <c r="W164" s="712">
        <v>0</v>
      </c>
      <c r="X164" s="712">
        <v>0</v>
      </c>
      <c r="Y164" s="712">
        <v>0</v>
      </c>
      <c r="Z164" s="712">
        <v>0</v>
      </c>
      <c r="AA164" s="712">
        <v>0</v>
      </c>
      <c r="AB164" s="728"/>
      <c r="AD164" s="74">
        <f>IF(ISERROR(VLOOKUP(B164,CourseList!$A$4:$A$29,1,FALSE)),0,1)</f>
        <v>0</v>
      </c>
      <c r="AE164" s="717">
        <v>151</v>
      </c>
      <c r="AF164" s="718"/>
    </row>
    <row r="165" spans="1:32" x14ac:dyDescent="0.35">
      <c r="A165" s="719" t="str">
        <f>IF('Courses Valid'!BU171=1,'Courses Valid'!BT171,IF(AND('Courses Valid'!BU171=0,'Courses Valid'!BV171=1),'Courses Valid'!BT171,IF(B164&lt;&gt;"",'Courses Valid'!BT171,"")))</f>
        <v/>
      </c>
      <c r="B165" s="708"/>
      <c r="C165" s="720" t="str">
        <f t="shared" si="26"/>
        <v/>
      </c>
      <c r="D165" s="346" t="str">
        <f t="shared" si="27"/>
        <v/>
      </c>
      <c r="E165" s="346" t="str">
        <f t="shared" si="28"/>
        <v/>
      </c>
      <c r="F165" s="710" t="str">
        <f t="shared" si="29"/>
        <v/>
      </c>
      <c r="G165" s="346" t="str">
        <f t="shared" si="30"/>
        <v/>
      </c>
      <c r="H165" s="710"/>
      <c r="I165" s="346" t="str">
        <f t="shared" si="31"/>
        <v/>
      </c>
      <c r="J165" s="710"/>
      <c r="K165" s="727" t="str">
        <f t="shared" si="32"/>
        <v/>
      </c>
      <c r="L165" s="1574" t="str">
        <f t="shared" si="33"/>
        <v/>
      </c>
      <c r="M165" s="712">
        <v>0</v>
      </c>
      <c r="N165" s="712">
        <v>0</v>
      </c>
      <c r="O165" s="712">
        <v>0</v>
      </c>
      <c r="P165" s="712">
        <v>0</v>
      </c>
      <c r="Q165" s="712">
        <v>0</v>
      </c>
      <c r="R165" s="712">
        <v>0</v>
      </c>
      <c r="S165" s="712">
        <v>0</v>
      </c>
      <c r="T165" s="712">
        <v>0</v>
      </c>
      <c r="U165" s="712">
        <v>0</v>
      </c>
      <c r="V165" s="712">
        <v>0</v>
      </c>
      <c r="W165" s="712">
        <v>0</v>
      </c>
      <c r="X165" s="712">
        <v>0</v>
      </c>
      <c r="Y165" s="712">
        <v>0</v>
      </c>
      <c r="Z165" s="712">
        <v>0</v>
      </c>
      <c r="AA165" s="712">
        <v>0</v>
      </c>
      <c r="AB165" s="728"/>
      <c r="AD165" s="74">
        <f>IF(ISERROR(VLOOKUP(B165,CourseList!$A$4:$A$29,1,FALSE)),0,1)</f>
        <v>0</v>
      </c>
      <c r="AE165" s="717">
        <v>152</v>
      </c>
      <c r="AF165" s="718"/>
    </row>
    <row r="166" spans="1:32" x14ac:dyDescent="0.35">
      <c r="A166" s="719" t="str">
        <f>IF('Courses Valid'!BU172=1,'Courses Valid'!BT172,IF(AND('Courses Valid'!BU172=0,'Courses Valid'!BV172=1),'Courses Valid'!BT172,IF(B165&lt;&gt;"",'Courses Valid'!BT172,"")))</f>
        <v/>
      </c>
      <c r="B166" s="708"/>
      <c r="C166" s="720" t="str">
        <f t="shared" si="26"/>
        <v/>
      </c>
      <c r="D166" s="346" t="str">
        <f t="shared" si="27"/>
        <v/>
      </c>
      <c r="E166" s="346" t="str">
        <f t="shared" si="28"/>
        <v/>
      </c>
      <c r="F166" s="710" t="str">
        <f t="shared" si="29"/>
        <v/>
      </c>
      <c r="G166" s="346" t="str">
        <f t="shared" si="30"/>
        <v/>
      </c>
      <c r="H166" s="710"/>
      <c r="I166" s="346" t="str">
        <f t="shared" si="31"/>
        <v/>
      </c>
      <c r="J166" s="710"/>
      <c r="K166" s="727" t="str">
        <f t="shared" si="32"/>
        <v/>
      </c>
      <c r="L166" s="1574" t="str">
        <f t="shared" si="33"/>
        <v/>
      </c>
      <c r="M166" s="712">
        <v>0</v>
      </c>
      <c r="N166" s="712">
        <v>0</v>
      </c>
      <c r="O166" s="712">
        <v>0</v>
      </c>
      <c r="P166" s="712">
        <v>0</v>
      </c>
      <c r="Q166" s="712">
        <v>0</v>
      </c>
      <c r="R166" s="712">
        <v>0</v>
      </c>
      <c r="S166" s="712">
        <v>0</v>
      </c>
      <c r="T166" s="712">
        <v>0</v>
      </c>
      <c r="U166" s="712">
        <v>0</v>
      </c>
      <c r="V166" s="712">
        <v>0</v>
      </c>
      <c r="W166" s="712">
        <v>0</v>
      </c>
      <c r="X166" s="712">
        <v>0</v>
      </c>
      <c r="Y166" s="712">
        <v>0</v>
      </c>
      <c r="Z166" s="712">
        <v>0</v>
      </c>
      <c r="AA166" s="712">
        <v>0</v>
      </c>
      <c r="AB166" s="728"/>
      <c r="AD166" s="74">
        <f>IF(ISERROR(VLOOKUP(B166,CourseList!$A$4:$A$29,1,FALSE)),0,1)</f>
        <v>0</v>
      </c>
      <c r="AE166" s="717">
        <v>153</v>
      </c>
      <c r="AF166" s="718"/>
    </row>
    <row r="167" spans="1:32" x14ac:dyDescent="0.35">
      <c r="A167" s="719" t="str">
        <f>IF('Courses Valid'!BU173=1,'Courses Valid'!BT173,IF(AND('Courses Valid'!BU173=0,'Courses Valid'!BV173=1),'Courses Valid'!BT173,IF(B166&lt;&gt;"",'Courses Valid'!BT173,"")))</f>
        <v/>
      </c>
      <c r="B167" s="708"/>
      <c r="C167" s="720" t="str">
        <f t="shared" si="26"/>
        <v/>
      </c>
      <c r="D167" s="346" t="str">
        <f t="shared" si="27"/>
        <v/>
      </c>
      <c r="E167" s="346" t="str">
        <f t="shared" si="28"/>
        <v/>
      </c>
      <c r="F167" s="710" t="str">
        <f t="shared" si="29"/>
        <v/>
      </c>
      <c r="G167" s="346" t="str">
        <f t="shared" si="30"/>
        <v/>
      </c>
      <c r="H167" s="710"/>
      <c r="I167" s="346" t="str">
        <f t="shared" si="31"/>
        <v/>
      </c>
      <c r="J167" s="710"/>
      <c r="K167" s="727" t="str">
        <f t="shared" si="32"/>
        <v/>
      </c>
      <c r="L167" s="1574" t="str">
        <f t="shared" si="33"/>
        <v/>
      </c>
      <c r="M167" s="712">
        <v>0</v>
      </c>
      <c r="N167" s="712">
        <v>0</v>
      </c>
      <c r="O167" s="712">
        <v>0</v>
      </c>
      <c r="P167" s="712">
        <v>0</v>
      </c>
      <c r="Q167" s="712">
        <v>0</v>
      </c>
      <c r="R167" s="712">
        <v>0</v>
      </c>
      <c r="S167" s="712">
        <v>0</v>
      </c>
      <c r="T167" s="712">
        <v>0</v>
      </c>
      <c r="U167" s="712">
        <v>0</v>
      </c>
      <c r="V167" s="712">
        <v>0</v>
      </c>
      <c r="W167" s="712">
        <v>0</v>
      </c>
      <c r="X167" s="712">
        <v>0</v>
      </c>
      <c r="Y167" s="712">
        <v>0</v>
      </c>
      <c r="Z167" s="712">
        <v>0</v>
      </c>
      <c r="AA167" s="712">
        <v>0</v>
      </c>
      <c r="AB167" s="728"/>
      <c r="AD167" s="74">
        <f>IF(ISERROR(VLOOKUP(B167,CourseList!$A$4:$A$29,1,FALSE)),0,1)</f>
        <v>0</v>
      </c>
      <c r="AE167" s="717">
        <v>154</v>
      </c>
      <c r="AF167" s="718"/>
    </row>
    <row r="168" spans="1:32" x14ac:dyDescent="0.35">
      <c r="A168" s="719" t="str">
        <f>IF('Courses Valid'!BU174=1,'Courses Valid'!BT174,IF(AND('Courses Valid'!BU174=0,'Courses Valid'!BV174=1),'Courses Valid'!BT174,IF(B167&lt;&gt;"",'Courses Valid'!BT174,"")))</f>
        <v/>
      </c>
      <c r="B168" s="708"/>
      <c r="C168" s="720" t="str">
        <f t="shared" si="26"/>
        <v/>
      </c>
      <c r="D168" s="346" t="str">
        <f t="shared" si="27"/>
        <v/>
      </c>
      <c r="E168" s="346" t="str">
        <f t="shared" si="28"/>
        <v/>
      </c>
      <c r="F168" s="710" t="str">
        <f t="shared" si="29"/>
        <v/>
      </c>
      <c r="G168" s="346" t="str">
        <f t="shared" si="30"/>
        <v/>
      </c>
      <c r="H168" s="710"/>
      <c r="I168" s="346" t="str">
        <f t="shared" si="31"/>
        <v/>
      </c>
      <c r="J168" s="710"/>
      <c r="K168" s="727" t="str">
        <f t="shared" si="32"/>
        <v/>
      </c>
      <c r="L168" s="1574" t="str">
        <f t="shared" si="33"/>
        <v/>
      </c>
      <c r="M168" s="712">
        <v>0</v>
      </c>
      <c r="N168" s="712">
        <v>0</v>
      </c>
      <c r="O168" s="712">
        <v>0</v>
      </c>
      <c r="P168" s="712">
        <v>0</v>
      </c>
      <c r="Q168" s="712">
        <v>0</v>
      </c>
      <c r="R168" s="712">
        <v>0</v>
      </c>
      <c r="S168" s="712">
        <v>0</v>
      </c>
      <c r="T168" s="712">
        <v>0</v>
      </c>
      <c r="U168" s="712">
        <v>0</v>
      </c>
      <c r="V168" s="712">
        <v>0</v>
      </c>
      <c r="W168" s="712">
        <v>0</v>
      </c>
      <c r="X168" s="712">
        <v>0</v>
      </c>
      <c r="Y168" s="712">
        <v>0</v>
      </c>
      <c r="Z168" s="712">
        <v>0</v>
      </c>
      <c r="AA168" s="712">
        <v>0</v>
      </c>
      <c r="AB168" s="728"/>
      <c r="AD168" s="74">
        <f>IF(ISERROR(VLOOKUP(B168,CourseList!$A$4:$A$29,1,FALSE)),0,1)</f>
        <v>0</v>
      </c>
      <c r="AE168" s="717">
        <v>155</v>
      </c>
      <c r="AF168" s="718"/>
    </row>
    <row r="169" spans="1:32" x14ac:dyDescent="0.35">
      <c r="A169" s="719" t="str">
        <f>IF('Courses Valid'!BU175=1,'Courses Valid'!BT175,IF(AND('Courses Valid'!BU175=0,'Courses Valid'!BV175=1),'Courses Valid'!BT175,IF(B168&lt;&gt;"",'Courses Valid'!BT175,"")))</f>
        <v/>
      </c>
      <c r="B169" s="708"/>
      <c r="C169" s="720" t="str">
        <f t="shared" si="26"/>
        <v/>
      </c>
      <c r="D169" s="346" t="str">
        <f t="shared" si="27"/>
        <v/>
      </c>
      <c r="E169" s="346" t="str">
        <f t="shared" si="28"/>
        <v/>
      </c>
      <c r="F169" s="710" t="str">
        <f t="shared" si="29"/>
        <v/>
      </c>
      <c r="G169" s="346" t="str">
        <f t="shared" si="30"/>
        <v/>
      </c>
      <c r="H169" s="710"/>
      <c r="I169" s="346" t="str">
        <f t="shared" si="31"/>
        <v/>
      </c>
      <c r="J169" s="710"/>
      <c r="K169" s="727" t="str">
        <f t="shared" si="32"/>
        <v/>
      </c>
      <c r="L169" s="1574" t="str">
        <f t="shared" si="33"/>
        <v/>
      </c>
      <c r="M169" s="712">
        <v>0</v>
      </c>
      <c r="N169" s="712">
        <v>0</v>
      </c>
      <c r="O169" s="712">
        <v>0</v>
      </c>
      <c r="P169" s="712">
        <v>0</v>
      </c>
      <c r="Q169" s="712">
        <v>0</v>
      </c>
      <c r="R169" s="712">
        <v>0</v>
      </c>
      <c r="S169" s="712">
        <v>0</v>
      </c>
      <c r="T169" s="712">
        <v>0</v>
      </c>
      <c r="U169" s="712">
        <v>0</v>
      </c>
      <c r="V169" s="712">
        <v>0</v>
      </c>
      <c r="W169" s="712">
        <v>0</v>
      </c>
      <c r="X169" s="712">
        <v>0</v>
      </c>
      <c r="Y169" s="712">
        <v>0</v>
      </c>
      <c r="Z169" s="712">
        <v>0</v>
      </c>
      <c r="AA169" s="712">
        <v>0</v>
      </c>
      <c r="AB169" s="728"/>
      <c r="AD169" s="74">
        <f>IF(ISERROR(VLOOKUP(B169,CourseList!$A$4:$A$29,1,FALSE)),0,1)</f>
        <v>0</v>
      </c>
      <c r="AE169" s="717">
        <v>156</v>
      </c>
      <c r="AF169" s="718"/>
    </row>
    <row r="170" spans="1:32" x14ac:dyDescent="0.35">
      <c r="A170" s="719" t="str">
        <f>IF('Courses Valid'!BU176=1,'Courses Valid'!BT176,IF(AND('Courses Valid'!BU176=0,'Courses Valid'!BV176=1),'Courses Valid'!BT176,IF(B169&lt;&gt;"",'Courses Valid'!BT176,"")))</f>
        <v/>
      </c>
      <c r="B170" s="708"/>
      <c r="C170" s="720" t="str">
        <f t="shared" si="26"/>
        <v/>
      </c>
      <c r="D170" s="346" t="str">
        <f t="shared" si="27"/>
        <v/>
      </c>
      <c r="E170" s="346" t="str">
        <f t="shared" si="28"/>
        <v/>
      </c>
      <c r="F170" s="710" t="str">
        <f t="shared" si="29"/>
        <v/>
      </c>
      <c r="G170" s="346" t="str">
        <f t="shared" si="30"/>
        <v/>
      </c>
      <c r="H170" s="710"/>
      <c r="I170" s="346" t="str">
        <f t="shared" si="31"/>
        <v/>
      </c>
      <c r="J170" s="710"/>
      <c r="K170" s="727" t="str">
        <f t="shared" si="32"/>
        <v/>
      </c>
      <c r="L170" s="1574" t="str">
        <f t="shared" si="33"/>
        <v/>
      </c>
      <c r="M170" s="712">
        <v>0</v>
      </c>
      <c r="N170" s="712">
        <v>0</v>
      </c>
      <c r="O170" s="712">
        <v>0</v>
      </c>
      <c r="P170" s="712">
        <v>0</v>
      </c>
      <c r="Q170" s="712">
        <v>0</v>
      </c>
      <c r="R170" s="712">
        <v>0</v>
      </c>
      <c r="S170" s="712">
        <v>0</v>
      </c>
      <c r="T170" s="712">
        <v>0</v>
      </c>
      <c r="U170" s="712">
        <v>0</v>
      </c>
      <c r="V170" s="712">
        <v>0</v>
      </c>
      <c r="W170" s="712">
        <v>0</v>
      </c>
      <c r="X170" s="712">
        <v>0</v>
      </c>
      <c r="Y170" s="712">
        <v>0</v>
      </c>
      <c r="Z170" s="712">
        <v>0</v>
      </c>
      <c r="AA170" s="712">
        <v>0</v>
      </c>
      <c r="AB170" s="728"/>
      <c r="AD170" s="74">
        <f>IF(ISERROR(VLOOKUP(B170,CourseList!$A$4:$A$29,1,FALSE)),0,1)</f>
        <v>0</v>
      </c>
      <c r="AE170" s="717">
        <v>157</v>
      </c>
      <c r="AF170" s="718"/>
    </row>
    <row r="171" spans="1:32" x14ac:dyDescent="0.35">
      <c r="A171" s="719" t="str">
        <f>IF('Courses Valid'!BU177=1,'Courses Valid'!BT177,IF(AND('Courses Valid'!BU177=0,'Courses Valid'!BV177=1),'Courses Valid'!BT177,IF(B170&lt;&gt;"",'Courses Valid'!BT177,"")))</f>
        <v/>
      </c>
      <c r="B171" s="708"/>
      <c r="C171" s="720" t="str">
        <f t="shared" si="26"/>
        <v/>
      </c>
      <c r="D171" s="346" t="str">
        <f t="shared" si="27"/>
        <v/>
      </c>
      <c r="E171" s="346" t="str">
        <f t="shared" si="28"/>
        <v/>
      </c>
      <c r="F171" s="710" t="str">
        <f t="shared" si="29"/>
        <v/>
      </c>
      <c r="G171" s="346" t="str">
        <f t="shared" si="30"/>
        <v/>
      </c>
      <c r="H171" s="710"/>
      <c r="I171" s="346" t="str">
        <f t="shared" si="31"/>
        <v/>
      </c>
      <c r="J171" s="710"/>
      <c r="K171" s="727" t="str">
        <f t="shared" si="32"/>
        <v/>
      </c>
      <c r="L171" s="1574" t="str">
        <f t="shared" si="33"/>
        <v/>
      </c>
      <c r="M171" s="712">
        <v>0</v>
      </c>
      <c r="N171" s="712">
        <v>0</v>
      </c>
      <c r="O171" s="712">
        <v>0</v>
      </c>
      <c r="P171" s="712">
        <v>0</v>
      </c>
      <c r="Q171" s="712">
        <v>0</v>
      </c>
      <c r="R171" s="712">
        <v>0</v>
      </c>
      <c r="S171" s="712">
        <v>0</v>
      </c>
      <c r="T171" s="712">
        <v>0</v>
      </c>
      <c r="U171" s="712">
        <v>0</v>
      </c>
      <c r="V171" s="712">
        <v>0</v>
      </c>
      <c r="W171" s="712">
        <v>0</v>
      </c>
      <c r="X171" s="712">
        <v>0</v>
      </c>
      <c r="Y171" s="712">
        <v>0</v>
      </c>
      <c r="Z171" s="712">
        <v>0</v>
      </c>
      <c r="AA171" s="712">
        <v>0</v>
      </c>
      <c r="AB171" s="728"/>
      <c r="AD171" s="74">
        <f>IF(ISERROR(VLOOKUP(B171,CourseList!$A$4:$A$29,1,FALSE)),0,1)</f>
        <v>0</v>
      </c>
      <c r="AE171" s="717">
        <v>158</v>
      </c>
      <c r="AF171" s="718"/>
    </row>
    <row r="172" spans="1:32" x14ac:dyDescent="0.35">
      <c r="A172" s="719" t="str">
        <f>IF('Courses Valid'!BU178=1,'Courses Valid'!BT178,IF(AND('Courses Valid'!BU178=0,'Courses Valid'!BV178=1),'Courses Valid'!BT178,IF(B171&lt;&gt;"",'Courses Valid'!BT178,"")))</f>
        <v/>
      </c>
      <c r="B172" s="708"/>
      <c r="C172" s="720" t="str">
        <f t="shared" si="26"/>
        <v/>
      </c>
      <c r="D172" s="346" t="str">
        <f t="shared" si="27"/>
        <v/>
      </c>
      <c r="E172" s="346" t="str">
        <f t="shared" si="28"/>
        <v/>
      </c>
      <c r="F172" s="710" t="str">
        <f t="shared" si="29"/>
        <v/>
      </c>
      <c r="G172" s="346" t="str">
        <f t="shared" si="30"/>
        <v/>
      </c>
      <c r="H172" s="710"/>
      <c r="I172" s="346" t="str">
        <f t="shared" si="31"/>
        <v/>
      </c>
      <c r="J172" s="710"/>
      <c r="K172" s="727" t="str">
        <f t="shared" si="32"/>
        <v/>
      </c>
      <c r="L172" s="1574" t="str">
        <f t="shared" si="33"/>
        <v/>
      </c>
      <c r="M172" s="712">
        <v>0</v>
      </c>
      <c r="N172" s="712">
        <v>0</v>
      </c>
      <c r="O172" s="712">
        <v>0</v>
      </c>
      <c r="P172" s="712">
        <v>0</v>
      </c>
      <c r="Q172" s="712">
        <v>0</v>
      </c>
      <c r="R172" s="712">
        <v>0</v>
      </c>
      <c r="S172" s="712">
        <v>0</v>
      </c>
      <c r="T172" s="712">
        <v>0</v>
      </c>
      <c r="U172" s="712">
        <v>0</v>
      </c>
      <c r="V172" s="712">
        <v>0</v>
      </c>
      <c r="W172" s="712">
        <v>0</v>
      </c>
      <c r="X172" s="712">
        <v>0</v>
      </c>
      <c r="Y172" s="712">
        <v>0</v>
      </c>
      <c r="Z172" s="712">
        <v>0</v>
      </c>
      <c r="AA172" s="712">
        <v>0</v>
      </c>
      <c r="AB172" s="728"/>
      <c r="AD172" s="74">
        <f>IF(ISERROR(VLOOKUP(B172,CourseList!$A$4:$A$29,1,FALSE)),0,1)</f>
        <v>0</v>
      </c>
      <c r="AE172" s="717">
        <v>159</v>
      </c>
      <c r="AF172" s="718"/>
    </row>
    <row r="173" spans="1:32" x14ac:dyDescent="0.35">
      <c r="A173" s="719" t="str">
        <f>IF('Courses Valid'!BU179=1,'Courses Valid'!BT179,IF(AND('Courses Valid'!BU179=0,'Courses Valid'!BV179=1),'Courses Valid'!BT179,IF(B172&lt;&gt;"",'Courses Valid'!BT179,"")))</f>
        <v/>
      </c>
      <c r="B173" s="708"/>
      <c r="C173" s="720" t="str">
        <f t="shared" si="26"/>
        <v/>
      </c>
      <c r="D173" s="346" t="str">
        <f t="shared" si="27"/>
        <v/>
      </c>
      <c r="E173" s="346" t="str">
        <f t="shared" si="28"/>
        <v/>
      </c>
      <c r="F173" s="710" t="str">
        <f t="shared" si="29"/>
        <v/>
      </c>
      <c r="G173" s="346" t="str">
        <f t="shared" si="30"/>
        <v/>
      </c>
      <c r="H173" s="710"/>
      <c r="I173" s="346" t="str">
        <f t="shared" si="31"/>
        <v/>
      </c>
      <c r="J173" s="710"/>
      <c r="K173" s="727" t="str">
        <f t="shared" si="32"/>
        <v/>
      </c>
      <c r="L173" s="1574" t="str">
        <f t="shared" si="33"/>
        <v/>
      </c>
      <c r="M173" s="712">
        <v>0</v>
      </c>
      <c r="N173" s="712">
        <v>0</v>
      </c>
      <c r="O173" s="712">
        <v>0</v>
      </c>
      <c r="P173" s="712">
        <v>0</v>
      </c>
      <c r="Q173" s="712">
        <v>0</v>
      </c>
      <c r="R173" s="712">
        <v>0</v>
      </c>
      <c r="S173" s="712">
        <v>0</v>
      </c>
      <c r="T173" s="712">
        <v>0</v>
      </c>
      <c r="U173" s="712">
        <v>0</v>
      </c>
      <c r="V173" s="712">
        <v>0</v>
      </c>
      <c r="W173" s="712">
        <v>0</v>
      </c>
      <c r="X173" s="712">
        <v>0</v>
      </c>
      <c r="Y173" s="712">
        <v>0</v>
      </c>
      <c r="Z173" s="712">
        <v>0</v>
      </c>
      <c r="AA173" s="712">
        <v>0</v>
      </c>
      <c r="AB173" s="728"/>
      <c r="AD173" s="74">
        <f>IF(ISERROR(VLOOKUP(B173,CourseList!$A$4:$A$29,1,FALSE)),0,1)</f>
        <v>0</v>
      </c>
      <c r="AE173" s="717">
        <v>160</v>
      </c>
      <c r="AF173" s="718"/>
    </row>
    <row r="174" spans="1:32" x14ac:dyDescent="0.35">
      <c r="A174" s="719" t="str">
        <f>IF('Courses Valid'!BU180=1,'Courses Valid'!BT180,IF(AND('Courses Valid'!BU180=0,'Courses Valid'!BV180=1),'Courses Valid'!BT180,IF(B173&lt;&gt;"",'Courses Valid'!BT180,"")))</f>
        <v/>
      </c>
      <c r="B174" s="708"/>
      <c r="C174" s="720" t="str">
        <f t="shared" si="26"/>
        <v/>
      </c>
      <c r="D174" s="346" t="str">
        <f t="shared" ref="D174:D205" si="34">IF($C174&lt;&gt;"",IF(ISNA(VLOOKUP($C174,CourseInfo,2,FALSE))=FALSE,VLOOKUP($C174,CourseInfo,2,FALSE),"Please enter a valid learning aim reference"),"")</f>
        <v/>
      </c>
      <c r="E174" s="346" t="str">
        <f t="shared" ref="E174:E205" si="35">IF($C174&lt;&gt;"",IF(ISNA(VLOOKUP($C174,CourseInfo,3,FALSE))=TRUE,"",VLOOKUP($C174,CourseInfo,3,FALSE)),"")</f>
        <v/>
      </c>
      <c r="F174" s="710" t="str">
        <f t="shared" si="29"/>
        <v/>
      </c>
      <c r="G174" s="346" t="str">
        <f t="shared" ref="G174:G205" si="36">IF($C174&lt;&gt;"",IF(ISNA(VLOOKUP($C174,CourseInfo,2,FALSE)=FALSE),"",IF(VLOOKUP($C174,CourseInfo,4,FALSE)="","",VLOOKUP($C174,CourseInfo,4,FALSE))),"")</f>
        <v/>
      </c>
      <c r="H174" s="710"/>
      <c r="I174" s="346" t="str">
        <f t="shared" ref="I174:I205" si="37">IF($C174&lt;&gt;"",IF(ISNA(VLOOKUP($C174,CourseInfo,2,FALSE)=FALSE),"",IF(VLOOKUP($C174,CourseInfo,5,FALSE)="","",VLOOKUP($C174,CourseInfo,5,FALSE))),"")</f>
        <v/>
      </c>
      <c r="J174" s="710"/>
      <c r="K174" s="727" t="str">
        <f t="shared" ref="K174:K205" si="38">IF($C174&lt;&gt;"",IF(ISNA(VLOOKUP($C174,CourseInfo,6,FALSE))=TRUE,"",VLOOKUP($C174,CourseInfo,6,FALSE)),"")</f>
        <v/>
      </c>
      <c r="L174" s="1574" t="str">
        <f t="shared" si="33"/>
        <v/>
      </c>
      <c r="M174" s="712">
        <v>0</v>
      </c>
      <c r="N174" s="712">
        <v>0</v>
      </c>
      <c r="O174" s="712">
        <v>0</v>
      </c>
      <c r="P174" s="712">
        <v>0</v>
      </c>
      <c r="Q174" s="712">
        <v>0</v>
      </c>
      <c r="R174" s="712">
        <v>0</v>
      </c>
      <c r="S174" s="712">
        <v>0</v>
      </c>
      <c r="T174" s="712">
        <v>0</v>
      </c>
      <c r="U174" s="712">
        <v>0</v>
      </c>
      <c r="V174" s="712">
        <v>0</v>
      </c>
      <c r="W174" s="712">
        <v>0</v>
      </c>
      <c r="X174" s="712">
        <v>0</v>
      </c>
      <c r="Y174" s="712">
        <v>0</v>
      </c>
      <c r="Z174" s="712">
        <v>0</v>
      </c>
      <c r="AA174" s="712">
        <v>0</v>
      </c>
      <c r="AB174" s="728"/>
      <c r="AD174" s="74">
        <f>IF(ISERROR(VLOOKUP(B174,CourseList!$A$4:$A$29,1,FALSE)),0,1)</f>
        <v>0</v>
      </c>
      <c r="AE174" s="717">
        <v>161</v>
      </c>
      <c r="AF174" s="718"/>
    </row>
    <row r="175" spans="1:32" x14ac:dyDescent="0.35">
      <c r="A175" s="719" t="str">
        <f>IF('Courses Valid'!BU181=1,'Courses Valid'!BT181,IF(AND('Courses Valid'!BU181=0,'Courses Valid'!BV181=1),'Courses Valid'!BT181,IF(B174&lt;&gt;"",'Courses Valid'!BT181,"")))</f>
        <v/>
      </c>
      <c r="B175" s="708"/>
      <c r="C175" s="720" t="str">
        <f t="shared" si="26"/>
        <v/>
      </c>
      <c r="D175" s="346" t="str">
        <f t="shared" si="34"/>
        <v/>
      </c>
      <c r="E175" s="346" t="str">
        <f t="shared" si="35"/>
        <v/>
      </c>
      <c r="F175" s="710" t="str">
        <f t="shared" si="29"/>
        <v/>
      </c>
      <c r="G175" s="346" t="str">
        <f t="shared" si="36"/>
        <v/>
      </c>
      <c r="H175" s="710"/>
      <c r="I175" s="346" t="str">
        <f t="shared" si="37"/>
        <v/>
      </c>
      <c r="J175" s="710"/>
      <c r="K175" s="727" t="str">
        <f t="shared" si="38"/>
        <v/>
      </c>
      <c r="L175" s="1574" t="str">
        <f t="shared" si="33"/>
        <v/>
      </c>
      <c r="M175" s="712">
        <v>0</v>
      </c>
      <c r="N175" s="712">
        <v>0</v>
      </c>
      <c r="O175" s="712">
        <v>0</v>
      </c>
      <c r="P175" s="712">
        <v>0</v>
      </c>
      <c r="Q175" s="712">
        <v>0</v>
      </c>
      <c r="R175" s="712">
        <v>0</v>
      </c>
      <c r="S175" s="712">
        <v>0</v>
      </c>
      <c r="T175" s="712">
        <v>0</v>
      </c>
      <c r="U175" s="712">
        <v>0</v>
      </c>
      <c r="V175" s="712">
        <v>0</v>
      </c>
      <c r="W175" s="712">
        <v>0</v>
      </c>
      <c r="X175" s="712">
        <v>0</v>
      </c>
      <c r="Y175" s="712">
        <v>0</v>
      </c>
      <c r="Z175" s="712">
        <v>0</v>
      </c>
      <c r="AA175" s="712">
        <v>0</v>
      </c>
      <c r="AB175" s="728"/>
      <c r="AD175" s="74">
        <f>IF(ISERROR(VLOOKUP(B175,CourseList!$A$4:$A$29,1,FALSE)),0,1)</f>
        <v>0</v>
      </c>
      <c r="AE175" s="717">
        <v>162</v>
      </c>
      <c r="AF175" s="718"/>
    </row>
    <row r="176" spans="1:32" x14ac:dyDescent="0.35">
      <c r="A176" s="719" t="str">
        <f>IF('Courses Valid'!BU182=1,'Courses Valid'!BT182,IF(AND('Courses Valid'!BU182=0,'Courses Valid'!BV182=1),'Courses Valid'!BT182,IF(B175&lt;&gt;"",'Courses Valid'!BT182,"")))</f>
        <v/>
      </c>
      <c r="B176" s="2037"/>
      <c r="C176" s="346" t="str">
        <f t="shared" si="26"/>
        <v/>
      </c>
      <c r="D176" s="346" t="str">
        <f t="shared" si="34"/>
        <v/>
      </c>
      <c r="E176" s="346" t="str">
        <f t="shared" si="35"/>
        <v/>
      </c>
      <c r="F176" s="710" t="str">
        <f t="shared" si="29"/>
        <v/>
      </c>
      <c r="G176" s="346" t="str">
        <f t="shared" si="36"/>
        <v/>
      </c>
      <c r="H176" s="710"/>
      <c r="I176" s="346" t="str">
        <f t="shared" si="37"/>
        <v/>
      </c>
      <c r="J176" s="710"/>
      <c r="K176" s="727" t="str">
        <f t="shared" si="38"/>
        <v/>
      </c>
      <c r="L176" s="1574" t="str">
        <f t="shared" si="33"/>
        <v/>
      </c>
      <c r="M176" s="712">
        <v>0</v>
      </c>
      <c r="N176" s="712">
        <v>0</v>
      </c>
      <c r="O176" s="712">
        <v>0</v>
      </c>
      <c r="P176" s="712">
        <v>0</v>
      </c>
      <c r="Q176" s="712">
        <v>0</v>
      </c>
      <c r="R176" s="712">
        <v>0</v>
      </c>
      <c r="S176" s="712">
        <v>0</v>
      </c>
      <c r="T176" s="712">
        <v>0</v>
      </c>
      <c r="U176" s="712">
        <v>0</v>
      </c>
      <c r="V176" s="712">
        <v>0</v>
      </c>
      <c r="W176" s="712">
        <v>0</v>
      </c>
      <c r="X176" s="712">
        <v>0</v>
      </c>
      <c r="Y176" s="712">
        <v>0</v>
      </c>
      <c r="Z176" s="712">
        <v>0</v>
      </c>
      <c r="AA176" s="712">
        <v>0</v>
      </c>
      <c r="AB176" s="728"/>
      <c r="AD176" s="74">
        <f>IF(ISERROR(VLOOKUP(B176,CourseList!$A$4:$A$29,1,FALSE)),0,1)</f>
        <v>0</v>
      </c>
      <c r="AE176" s="717">
        <v>163</v>
      </c>
    </row>
    <row r="177" spans="1:31" x14ac:dyDescent="0.35">
      <c r="A177" s="719" t="str">
        <f>IF('Courses Valid'!BU183=1,'Courses Valid'!BT183,IF(AND('Courses Valid'!BU183=0,'Courses Valid'!BV183=1),'Courses Valid'!BT183,IF(B176&lt;&gt;"",'Courses Valid'!BT183,"")))</f>
        <v/>
      </c>
      <c r="B177" s="2037"/>
      <c r="C177" s="346" t="str">
        <f t="shared" si="26"/>
        <v/>
      </c>
      <c r="D177" s="346" t="str">
        <f t="shared" si="34"/>
        <v/>
      </c>
      <c r="E177" s="346" t="str">
        <f t="shared" si="35"/>
        <v/>
      </c>
      <c r="F177" s="710" t="str">
        <f t="shared" si="29"/>
        <v/>
      </c>
      <c r="G177" s="346" t="str">
        <f t="shared" si="36"/>
        <v/>
      </c>
      <c r="H177" s="710"/>
      <c r="I177" s="346" t="str">
        <f t="shared" si="37"/>
        <v/>
      </c>
      <c r="J177" s="710"/>
      <c r="K177" s="727" t="str">
        <f t="shared" si="38"/>
        <v/>
      </c>
      <c r="L177" s="1574" t="str">
        <f t="shared" si="33"/>
        <v/>
      </c>
      <c r="M177" s="712">
        <v>0</v>
      </c>
      <c r="N177" s="712">
        <v>0</v>
      </c>
      <c r="O177" s="712">
        <v>0</v>
      </c>
      <c r="P177" s="712">
        <v>0</v>
      </c>
      <c r="Q177" s="712">
        <v>0</v>
      </c>
      <c r="R177" s="712">
        <v>0</v>
      </c>
      <c r="S177" s="712">
        <v>0</v>
      </c>
      <c r="T177" s="712">
        <v>0</v>
      </c>
      <c r="U177" s="712">
        <v>0</v>
      </c>
      <c r="V177" s="712">
        <v>0</v>
      </c>
      <c r="W177" s="712">
        <v>0</v>
      </c>
      <c r="X177" s="712">
        <v>0</v>
      </c>
      <c r="Y177" s="712">
        <v>0</v>
      </c>
      <c r="Z177" s="712">
        <v>0</v>
      </c>
      <c r="AA177" s="712">
        <v>0</v>
      </c>
      <c r="AB177" s="728"/>
      <c r="AD177" s="74">
        <f>IF(ISERROR(VLOOKUP(B177,CourseList!$A$4:$A$29,1,FALSE)),0,1)</f>
        <v>0</v>
      </c>
      <c r="AE177" s="717">
        <v>164</v>
      </c>
    </row>
    <row r="178" spans="1:31" x14ac:dyDescent="0.35">
      <c r="A178" s="719" t="str">
        <f>IF('Courses Valid'!BU184=1,'Courses Valid'!BT184,IF(AND('Courses Valid'!BU184=0,'Courses Valid'!BV184=1),'Courses Valid'!BT184,IF(B177&lt;&gt;"",'Courses Valid'!BT184,"")))</f>
        <v/>
      </c>
      <c r="B178" s="2037"/>
      <c r="C178" s="346" t="str">
        <f t="shared" si="26"/>
        <v/>
      </c>
      <c r="D178" s="346" t="str">
        <f t="shared" si="34"/>
        <v/>
      </c>
      <c r="E178" s="346" t="str">
        <f t="shared" si="35"/>
        <v/>
      </c>
      <c r="F178" s="710" t="str">
        <f t="shared" si="29"/>
        <v/>
      </c>
      <c r="G178" s="346" t="str">
        <f t="shared" si="36"/>
        <v/>
      </c>
      <c r="H178" s="710"/>
      <c r="I178" s="346" t="str">
        <f t="shared" si="37"/>
        <v/>
      </c>
      <c r="J178" s="710"/>
      <c r="K178" s="727" t="str">
        <f t="shared" si="38"/>
        <v/>
      </c>
      <c r="L178" s="1574" t="str">
        <f t="shared" si="33"/>
        <v/>
      </c>
      <c r="M178" s="712">
        <v>0</v>
      </c>
      <c r="N178" s="712">
        <v>0</v>
      </c>
      <c r="O178" s="712">
        <v>0</v>
      </c>
      <c r="P178" s="712">
        <v>0</v>
      </c>
      <c r="Q178" s="712">
        <v>0</v>
      </c>
      <c r="R178" s="712">
        <v>0</v>
      </c>
      <c r="S178" s="712">
        <v>0</v>
      </c>
      <c r="T178" s="712">
        <v>0</v>
      </c>
      <c r="U178" s="712">
        <v>0</v>
      </c>
      <c r="V178" s="712">
        <v>0</v>
      </c>
      <c r="W178" s="712">
        <v>0</v>
      </c>
      <c r="X178" s="712">
        <v>0</v>
      </c>
      <c r="Y178" s="712">
        <v>0</v>
      </c>
      <c r="Z178" s="712">
        <v>0</v>
      </c>
      <c r="AA178" s="712">
        <v>0</v>
      </c>
      <c r="AB178" s="728"/>
      <c r="AD178" s="74">
        <f>IF(ISERROR(VLOOKUP(B178,CourseList!$A$4:$A$29,1,FALSE)),0,1)</f>
        <v>0</v>
      </c>
      <c r="AE178" s="717">
        <v>165</v>
      </c>
    </row>
    <row r="179" spans="1:31" x14ac:dyDescent="0.35">
      <c r="A179" s="719" t="str">
        <f>IF('Courses Valid'!BU185=1,'Courses Valid'!BT185,IF(AND('Courses Valid'!BU185=0,'Courses Valid'!BV185=1),'Courses Valid'!BT185,IF(B178&lt;&gt;"",'Courses Valid'!BT185,"")))</f>
        <v/>
      </c>
      <c r="B179" s="2037"/>
      <c r="C179" s="346" t="str">
        <f t="shared" si="26"/>
        <v/>
      </c>
      <c r="D179" s="346" t="str">
        <f t="shared" si="34"/>
        <v/>
      </c>
      <c r="E179" s="346" t="str">
        <f t="shared" si="35"/>
        <v/>
      </c>
      <c r="F179" s="710" t="str">
        <f t="shared" si="29"/>
        <v/>
      </c>
      <c r="G179" s="346" t="str">
        <f t="shared" si="36"/>
        <v/>
      </c>
      <c r="H179" s="710"/>
      <c r="I179" s="346" t="str">
        <f t="shared" si="37"/>
        <v/>
      </c>
      <c r="J179" s="710"/>
      <c r="K179" s="727" t="str">
        <f t="shared" si="38"/>
        <v/>
      </c>
      <c r="L179" s="1574" t="str">
        <f t="shared" si="33"/>
        <v/>
      </c>
      <c r="M179" s="712">
        <v>0</v>
      </c>
      <c r="N179" s="712">
        <v>0</v>
      </c>
      <c r="O179" s="712">
        <v>0</v>
      </c>
      <c r="P179" s="712">
        <v>0</v>
      </c>
      <c r="Q179" s="712">
        <v>0</v>
      </c>
      <c r="R179" s="712">
        <v>0</v>
      </c>
      <c r="S179" s="712">
        <v>0</v>
      </c>
      <c r="T179" s="712">
        <v>0</v>
      </c>
      <c r="U179" s="712">
        <v>0</v>
      </c>
      <c r="V179" s="712">
        <v>0</v>
      </c>
      <c r="W179" s="712">
        <v>0</v>
      </c>
      <c r="X179" s="712">
        <v>0</v>
      </c>
      <c r="Y179" s="712">
        <v>0</v>
      </c>
      <c r="Z179" s="712">
        <v>0</v>
      </c>
      <c r="AA179" s="712">
        <v>0</v>
      </c>
      <c r="AB179" s="728"/>
      <c r="AD179" s="74">
        <f>IF(ISERROR(VLOOKUP(B179,CourseList!$A$4:$A$29,1,FALSE)),0,1)</f>
        <v>0</v>
      </c>
      <c r="AE179" s="717">
        <v>166</v>
      </c>
    </row>
    <row r="180" spans="1:31" x14ac:dyDescent="0.35">
      <c r="A180" s="719" t="str">
        <f>IF('Courses Valid'!BU186=1,'Courses Valid'!BT186,IF(AND('Courses Valid'!BU186=0,'Courses Valid'!BV186=1),'Courses Valid'!BT186,IF(B179&lt;&gt;"",'Courses Valid'!BT186,"")))</f>
        <v/>
      </c>
      <c r="B180" s="2037"/>
      <c r="C180" s="346" t="str">
        <f t="shared" si="26"/>
        <v/>
      </c>
      <c r="D180" s="346" t="str">
        <f t="shared" si="34"/>
        <v/>
      </c>
      <c r="E180" s="346" t="str">
        <f t="shared" si="35"/>
        <v/>
      </c>
      <c r="F180" s="710" t="str">
        <f t="shared" si="29"/>
        <v/>
      </c>
      <c r="G180" s="346" t="str">
        <f t="shared" si="36"/>
        <v/>
      </c>
      <c r="H180" s="710"/>
      <c r="I180" s="346" t="str">
        <f t="shared" si="37"/>
        <v/>
      </c>
      <c r="J180" s="710"/>
      <c r="K180" s="727" t="str">
        <f t="shared" si="38"/>
        <v/>
      </c>
      <c r="L180" s="1574" t="str">
        <f t="shared" si="33"/>
        <v/>
      </c>
      <c r="M180" s="712">
        <v>0</v>
      </c>
      <c r="N180" s="712">
        <v>0</v>
      </c>
      <c r="O180" s="712">
        <v>0</v>
      </c>
      <c r="P180" s="712">
        <v>0</v>
      </c>
      <c r="Q180" s="712">
        <v>0</v>
      </c>
      <c r="R180" s="712">
        <v>0</v>
      </c>
      <c r="S180" s="712">
        <v>0</v>
      </c>
      <c r="T180" s="712">
        <v>0</v>
      </c>
      <c r="U180" s="712">
        <v>0</v>
      </c>
      <c r="V180" s="712">
        <v>0</v>
      </c>
      <c r="W180" s="712">
        <v>0</v>
      </c>
      <c r="X180" s="712">
        <v>0</v>
      </c>
      <c r="Y180" s="712">
        <v>0</v>
      </c>
      <c r="Z180" s="712">
        <v>0</v>
      </c>
      <c r="AA180" s="712">
        <v>0</v>
      </c>
      <c r="AB180" s="728"/>
      <c r="AD180" s="74">
        <f>IF(ISERROR(VLOOKUP(B180,CourseList!$A$4:$A$29,1,FALSE)),0,1)</f>
        <v>0</v>
      </c>
      <c r="AE180" s="717">
        <v>167</v>
      </c>
    </row>
    <row r="181" spans="1:31" x14ac:dyDescent="0.35">
      <c r="A181" s="719" t="str">
        <f>IF('Courses Valid'!BU187=1,'Courses Valid'!BT187,IF(AND('Courses Valid'!BU187=0,'Courses Valid'!BV187=1),'Courses Valid'!BT187,IF(B180&lt;&gt;"",'Courses Valid'!BT187,"")))</f>
        <v/>
      </c>
      <c r="B181" s="2037"/>
      <c r="C181" s="346" t="str">
        <f t="shared" si="26"/>
        <v/>
      </c>
      <c r="D181" s="346" t="str">
        <f t="shared" si="34"/>
        <v/>
      </c>
      <c r="E181" s="346" t="str">
        <f t="shared" si="35"/>
        <v/>
      </c>
      <c r="F181" s="710" t="str">
        <f t="shared" si="29"/>
        <v/>
      </c>
      <c r="G181" s="346" t="str">
        <f t="shared" si="36"/>
        <v/>
      </c>
      <c r="H181" s="710"/>
      <c r="I181" s="346" t="str">
        <f t="shared" si="37"/>
        <v/>
      </c>
      <c r="J181" s="710"/>
      <c r="K181" s="727" t="str">
        <f t="shared" si="38"/>
        <v/>
      </c>
      <c r="L181" s="1574" t="str">
        <f t="shared" si="33"/>
        <v/>
      </c>
      <c r="M181" s="712">
        <v>0</v>
      </c>
      <c r="N181" s="712">
        <v>0</v>
      </c>
      <c r="O181" s="712">
        <v>0</v>
      </c>
      <c r="P181" s="712">
        <v>0</v>
      </c>
      <c r="Q181" s="712">
        <v>0</v>
      </c>
      <c r="R181" s="712">
        <v>0</v>
      </c>
      <c r="S181" s="712">
        <v>0</v>
      </c>
      <c r="T181" s="712">
        <v>0</v>
      </c>
      <c r="U181" s="712">
        <v>0</v>
      </c>
      <c r="V181" s="712">
        <v>0</v>
      </c>
      <c r="W181" s="712">
        <v>0</v>
      </c>
      <c r="X181" s="712">
        <v>0</v>
      </c>
      <c r="Y181" s="712">
        <v>0</v>
      </c>
      <c r="Z181" s="712">
        <v>0</v>
      </c>
      <c r="AA181" s="712">
        <v>0</v>
      </c>
      <c r="AB181" s="728"/>
      <c r="AD181" s="74">
        <f>IF(ISERROR(VLOOKUP(B181,CourseList!$A$4:$A$29,1,FALSE)),0,1)</f>
        <v>0</v>
      </c>
      <c r="AE181" s="717">
        <v>168</v>
      </c>
    </row>
    <row r="182" spans="1:31" x14ac:dyDescent="0.35">
      <c r="A182" s="719" t="str">
        <f>IF('Courses Valid'!BU188=1,'Courses Valid'!BT188,IF(AND('Courses Valid'!BU188=0,'Courses Valid'!BV188=1),'Courses Valid'!BT188,IF(B181&lt;&gt;"",'Courses Valid'!BT188,"")))</f>
        <v/>
      </c>
      <c r="B182" s="2037"/>
      <c r="C182" s="346" t="str">
        <f t="shared" si="26"/>
        <v/>
      </c>
      <c r="D182" s="346" t="str">
        <f t="shared" si="34"/>
        <v/>
      </c>
      <c r="E182" s="346" t="str">
        <f t="shared" si="35"/>
        <v/>
      </c>
      <c r="F182" s="710" t="str">
        <f t="shared" si="29"/>
        <v/>
      </c>
      <c r="G182" s="346" t="str">
        <f t="shared" si="36"/>
        <v/>
      </c>
      <c r="H182" s="710"/>
      <c r="I182" s="346" t="str">
        <f t="shared" si="37"/>
        <v/>
      </c>
      <c r="J182" s="710"/>
      <c r="K182" s="727" t="str">
        <f t="shared" si="38"/>
        <v/>
      </c>
      <c r="L182" s="1574" t="str">
        <f t="shared" si="33"/>
        <v/>
      </c>
      <c r="M182" s="712">
        <v>0</v>
      </c>
      <c r="N182" s="712">
        <v>0</v>
      </c>
      <c r="O182" s="712">
        <v>0</v>
      </c>
      <c r="P182" s="712">
        <v>0</v>
      </c>
      <c r="Q182" s="712">
        <v>0</v>
      </c>
      <c r="R182" s="712">
        <v>0</v>
      </c>
      <c r="S182" s="712">
        <v>0</v>
      </c>
      <c r="T182" s="712">
        <v>0</v>
      </c>
      <c r="U182" s="712">
        <v>0</v>
      </c>
      <c r="V182" s="712">
        <v>0</v>
      </c>
      <c r="W182" s="712">
        <v>0</v>
      </c>
      <c r="X182" s="712">
        <v>0</v>
      </c>
      <c r="Y182" s="712">
        <v>0</v>
      </c>
      <c r="Z182" s="712">
        <v>0</v>
      </c>
      <c r="AA182" s="712">
        <v>0</v>
      </c>
      <c r="AB182" s="728"/>
      <c r="AD182" s="74">
        <f>IF(ISERROR(VLOOKUP(B182,CourseList!$A$4:$A$29,1,FALSE)),0,1)</f>
        <v>0</v>
      </c>
      <c r="AE182" s="717">
        <v>169</v>
      </c>
    </row>
    <row r="183" spans="1:31" x14ac:dyDescent="0.35">
      <c r="A183" s="719" t="str">
        <f>IF('Courses Valid'!BU189=1,'Courses Valid'!BT189,IF(AND('Courses Valid'!BU189=0,'Courses Valid'!BV189=1),'Courses Valid'!BT189,IF(B182&lt;&gt;"",'Courses Valid'!BT189,"")))</f>
        <v/>
      </c>
      <c r="B183" s="2037"/>
      <c r="C183" s="346" t="str">
        <f t="shared" si="26"/>
        <v/>
      </c>
      <c r="D183" s="346" t="str">
        <f t="shared" si="34"/>
        <v/>
      </c>
      <c r="E183" s="346" t="str">
        <f t="shared" si="35"/>
        <v/>
      </c>
      <c r="F183" s="710" t="str">
        <f t="shared" si="29"/>
        <v/>
      </c>
      <c r="G183" s="346" t="str">
        <f t="shared" si="36"/>
        <v/>
      </c>
      <c r="H183" s="710"/>
      <c r="I183" s="346" t="str">
        <f t="shared" si="37"/>
        <v/>
      </c>
      <c r="J183" s="710"/>
      <c r="K183" s="727" t="str">
        <f t="shared" si="38"/>
        <v/>
      </c>
      <c r="L183" s="1574" t="str">
        <f t="shared" si="33"/>
        <v/>
      </c>
      <c r="M183" s="712">
        <v>0</v>
      </c>
      <c r="N183" s="712">
        <v>0</v>
      </c>
      <c r="O183" s="712">
        <v>0</v>
      </c>
      <c r="P183" s="712">
        <v>0</v>
      </c>
      <c r="Q183" s="712">
        <v>0</v>
      </c>
      <c r="R183" s="712">
        <v>0</v>
      </c>
      <c r="S183" s="712">
        <v>0</v>
      </c>
      <c r="T183" s="712">
        <v>0</v>
      </c>
      <c r="U183" s="712">
        <v>0</v>
      </c>
      <c r="V183" s="712">
        <v>0</v>
      </c>
      <c r="W183" s="712">
        <v>0</v>
      </c>
      <c r="X183" s="712">
        <v>0</v>
      </c>
      <c r="Y183" s="712">
        <v>0</v>
      </c>
      <c r="Z183" s="712">
        <v>0</v>
      </c>
      <c r="AA183" s="712">
        <v>0</v>
      </c>
      <c r="AB183" s="728"/>
      <c r="AD183" s="74">
        <f>IF(ISERROR(VLOOKUP(B183,CourseList!$A$4:$A$29,1,FALSE)),0,1)</f>
        <v>0</v>
      </c>
      <c r="AE183" s="717">
        <v>170</v>
      </c>
    </row>
    <row r="184" spans="1:31" x14ac:dyDescent="0.35">
      <c r="A184" s="719" t="str">
        <f>IF('Courses Valid'!BU190=1,'Courses Valid'!BT190,IF(AND('Courses Valid'!BU190=0,'Courses Valid'!BV190=1),'Courses Valid'!BT190,IF(B183&lt;&gt;"",'Courses Valid'!BT190,"")))</f>
        <v/>
      </c>
      <c r="B184" s="2037"/>
      <c r="C184" s="346" t="str">
        <f t="shared" si="26"/>
        <v/>
      </c>
      <c r="D184" s="346" t="str">
        <f t="shared" si="34"/>
        <v/>
      </c>
      <c r="E184" s="346" t="str">
        <f t="shared" si="35"/>
        <v/>
      </c>
      <c r="F184" s="710" t="str">
        <f t="shared" si="29"/>
        <v/>
      </c>
      <c r="G184" s="346" t="str">
        <f t="shared" si="36"/>
        <v/>
      </c>
      <c r="H184" s="710"/>
      <c r="I184" s="346" t="str">
        <f t="shared" si="37"/>
        <v/>
      </c>
      <c r="J184" s="710"/>
      <c r="K184" s="727" t="str">
        <f t="shared" si="38"/>
        <v/>
      </c>
      <c r="L184" s="1574" t="str">
        <f t="shared" si="33"/>
        <v/>
      </c>
      <c r="M184" s="712">
        <v>0</v>
      </c>
      <c r="N184" s="712">
        <v>0</v>
      </c>
      <c r="O184" s="712">
        <v>0</v>
      </c>
      <c r="P184" s="712">
        <v>0</v>
      </c>
      <c r="Q184" s="712">
        <v>0</v>
      </c>
      <c r="R184" s="712">
        <v>0</v>
      </c>
      <c r="S184" s="712">
        <v>0</v>
      </c>
      <c r="T184" s="712">
        <v>0</v>
      </c>
      <c r="U184" s="712">
        <v>0</v>
      </c>
      <c r="V184" s="712">
        <v>0</v>
      </c>
      <c r="W184" s="712">
        <v>0</v>
      </c>
      <c r="X184" s="712">
        <v>0</v>
      </c>
      <c r="Y184" s="712">
        <v>0</v>
      </c>
      <c r="Z184" s="712">
        <v>0</v>
      </c>
      <c r="AA184" s="712">
        <v>0</v>
      </c>
      <c r="AB184" s="728"/>
      <c r="AD184" s="74">
        <f>IF(ISERROR(VLOOKUP(B184,CourseList!$A$4:$A$29,1,FALSE)),0,1)</f>
        <v>0</v>
      </c>
      <c r="AE184" s="717">
        <v>171</v>
      </c>
    </row>
    <row r="185" spans="1:31" x14ac:dyDescent="0.35">
      <c r="A185" s="719" t="str">
        <f>IF('Courses Valid'!BU191=1,'Courses Valid'!BT191,IF(AND('Courses Valid'!BU191=0,'Courses Valid'!BV191=1),'Courses Valid'!BT191,IF(B184&lt;&gt;"",'Courses Valid'!BT191,"")))</f>
        <v/>
      </c>
      <c r="B185" s="2037"/>
      <c r="C185" s="346" t="str">
        <f t="shared" si="26"/>
        <v/>
      </c>
      <c r="D185" s="346" t="str">
        <f t="shared" si="34"/>
        <v/>
      </c>
      <c r="E185" s="346" t="str">
        <f t="shared" si="35"/>
        <v/>
      </c>
      <c r="F185" s="710" t="str">
        <f t="shared" si="29"/>
        <v/>
      </c>
      <c r="G185" s="346" t="str">
        <f t="shared" si="36"/>
        <v/>
      </c>
      <c r="H185" s="710"/>
      <c r="I185" s="346" t="str">
        <f t="shared" si="37"/>
        <v/>
      </c>
      <c r="J185" s="710"/>
      <c r="K185" s="727" t="str">
        <f t="shared" si="38"/>
        <v/>
      </c>
      <c r="L185" s="1574" t="str">
        <f t="shared" si="33"/>
        <v/>
      </c>
      <c r="M185" s="712">
        <v>0</v>
      </c>
      <c r="N185" s="712">
        <v>0</v>
      </c>
      <c r="O185" s="712">
        <v>0</v>
      </c>
      <c r="P185" s="712">
        <v>0</v>
      </c>
      <c r="Q185" s="712">
        <v>0</v>
      </c>
      <c r="R185" s="712">
        <v>0</v>
      </c>
      <c r="S185" s="712">
        <v>0</v>
      </c>
      <c r="T185" s="712">
        <v>0</v>
      </c>
      <c r="U185" s="712">
        <v>0</v>
      </c>
      <c r="V185" s="712">
        <v>0</v>
      </c>
      <c r="W185" s="712">
        <v>0</v>
      </c>
      <c r="X185" s="712">
        <v>0</v>
      </c>
      <c r="Y185" s="712">
        <v>0</v>
      </c>
      <c r="Z185" s="712">
        <v>0</v>
      </c>
      <c r="AA185" s="712">
        <v>0</v>
      </c>
      <c r="AB185" s="728"/>
      <c r="AD185" s="74">
        <f>IF(ISERROR(VLOOKUP(B185,CourseList!$A$4:$A$29,1,FALSE)),0,1)</f>
        <v>0</v>
      </c>
      <c r="AE185" s="717">
        <v>172</v>
      </c>
    </row>
    <row r="186" spans="1:31" x14ac:dyDescent="0.35">
      <c r="A186" s="719" t="str">
        <f>IF('Courses Valid'!BU192=1,'Courses Valid'!BT192,IF(AND('Courses Valid'!BU192=0,'Courses Valid'!BV192=1),'Courses Valid'!BT192,IF(B185&lt;&gt;"",'Courses Valid'!BT192,"")))</f>
        <v/>
      </c>
      <c r="B186" s="2037"/>
      <c r="C186" s="346" t="str">
        <f t="shared" si="26"/>
        <v/>
      </c>
      <c r="D186" s="346" t="str">
        <f t="shared" si="34"/>
        <v/>
      </c>
      <c r="E186" s="346" t="str">
        <f t="shared" si="35"/>
        <v/>
      </c>
      <c r="F186" s="710" t="str">
        <f t="shared" si="29"/>
        <v/>
      </c>
      <c r="G186" s="346" t="str">
        <f t="shared" si="36"/>
        <v/>
      </c>
      <c r="H186" s="710"/>
      <c r="I186" s="346" t="str">
        <f t="shared" si="37"/>
        <v/>
      </c>
      <c r="J186" s="710"/>
      <c r="K186" s="727" t="str">
        <f t="shared" si="38"/>
        <v/>
      </c>
      <c r="L186" s="1574" t="str">
        <f t="shared" si="33"/>
        <v/>
      </c>
      <c r="M186" s="712">
        <v>0</v>
      </c>
      <c r="N186" s="712">
        <v>0</v>
      </c>
      <c r="O186" s="712">
        <v>0</v>
      </c>
      <c r="P186" s="712">
        <v>0</v>
      </c>
      <c r="Q186" s="712">
        <v>0</v>
      </c>
      <c r="R186" s="712">
        <v>0</v>
      </c>
      <c r="S186" s="712">
        <v>0</v>
      </c>
      <c r="T186" s="712">
        <v>0</v>
      </c>
      <c r="U186" s="712">
        <v>0</v>
      </c>
      <c r="V186" s="712">
        <v>0</v>
      </c>
      <c r="W186" s="712">
        <v>0</v>
      </c>
      <c r="X186" s="712">
        <v>0</v>
      </c>
      <c r="Y186" s="712">
        <v>0</v>
      </c>
      <c r="Z186" s="712">
        <v>0</v>
      </c>
      <c r="AA186" s="712">
        <v>0</v>
      </c>
      <c r="AB186" s="728"/>
      <c r="AD186" s="74">
        <f>IF(ISERROR(VLOOKUP(B186,CourseList!$A$4:$A$29,1,FALSE)),0,1)</f>
        <v>0</v>
      </c>
      <c r="AE186" s="717">
        <v>173</v>
      </c>
    </row>
    <row r="187" spans="1:31" x14ac:dyDescent="0.35">
      <c r="A187" s="719" t="str">
        <f>IF('Courses Valid'!BU193=1,'Courses Valid'!BT193,IF(AND('Courses Valid'!BU193=0,'Courses Valid'!BV193=1),'Courses Valid'!BT193,IF(B186&lt;&gt;"",'Courses Valid'!BT193,"")))</f>
        <v/>
      </c>
      <c r="B187" s="2037"/>
      <c r="C187" s="346" t="str">
        <f t="shared" si="26"/>
        <v/>
      </c>
      <c r="D187" s="346" t="str">
        <f t="shared" si="34"/>
        <v/>
      </c>
      <c r="E187" s="346" t="str">
        <f t="shared" si="35"/>
        <v/>
      </c>
      <c r="F187" s="710" t="str">
        <f t="shared" si="29"/>
        <v/>
      </c>
      <c r="G187" s="346" t="str">
        <f t="shared" si="36"/>
        <v/>
      </c>
      <c r="H187" s="710"/>
      <c r="I187" s="346" t="str">
        <f t="shared" si="37"/>
        <v/>
      </c>
      <c r="J187" s="710"/>
      <c r="K187" s="727" t="str">
        <f t="shared" si="38"/>
        <v/>
      </c>
      <c r="L187" s="1574" t="str">
        <f t="shared" si="33"/>
        <v/>
      </c>
      <c r="M187" s="712">
        <v>0</v>
      </c>
      <c r="N187" s="712">
        <v>0</v>
      </c>
      <c r="O187" s="712">
        <v>0</v>
      </c>
      <c r="P187" s="712">
        <v>0</v>
      </c>
      <c r="Q187" s="712">
        <v>0</v>
      </c>
      <c r="R187" s="712">
        <v>0</v>
      </c>
      <c r="S187" s="712">
        <v>0</v>
      </c>
      <c r="T187" s="712">
        <v>0</v>
      </c>
      <c r="U187" s="712">
        <v>0</v>
      </c>
      <c r="V187" s="712">
        <v>0</v>
      </c>
      <c r="W187" s="712">
        <v>0</v>
      </c>
      <c r="X187" s="712">
        <v>0</v>
      </c>
      <c r="Y187" s="712">
        <v>0</v>
      </c>
      <c r="Z187" s="712">
        <v>0</v>
      </c>
      <c r="AA187" s="712">
        <v>0</v>
      </c>
      <c r="AB187" s="728"/>
      <c r="AD187" s="74">
        <f>IF(ISERROR(VLOOKUP(B187,CourseList!$A$4:$A$29,1,FALSE)),0,1)</f>
        <v>0</v>
      </c>
      <c r="AE187" s="717">
        <v>174</v>
      </c>
    </row>
    <row r="188" spans="1:31" x14ac:dyDescent="0.35">
      <c r="A188" s="719" t="str">
        <f>IF('Courses Valid'!BU194=1,'Courses Valid'!BT194,IF(AND('Courses Valid'!BU194=0,'Courses Valid'!BV194=1),'Courses Valid'!BT194,IF(B187&lt;&gt;"",'Courses Valid'!BT194,"")))</f>
        <v/>
      </c>
      <c r="B188" s="2037"/>
      <c r="C188" s="346" t="str">
        <f t="shared" si="26"/>
        <v/>
      </c>
      <c r="D188" s="346" t="str">
        <f t="shared" si="34"/>
        <v/>
      </c>
      <c r="E188" s="346" t="str">
        <f t="shared" si="35"/>
        <v/>
      </c>
      <c r="F188" s="710" t="str">
        <f t="shared" si="29"/>
        <v/>
      </c>
      <c r="G188" s="346" t="str">
        <f t="shared" si="36"/>
        <v/>
      </c>
      <c r="H188" s="710"/>
      <c r="I188" s="346" t="str">
        <f t="shared" si="37"/>
        <v/>
      </c>
      <c r="J188" s="710"/>
      <c r="K188" s="727" t="str">
        <f t="shared" si="38"/>
        <v/>
      </c>
      <c r="L188" s="1574" t="str">
        <f t="shared" si="33"/>
        <v/>
      </c>
      <c r="M188" s="712">
        <v>0</v>
      </c>
      <c r="N188" s="712">
        <v>0</v>
      </c>
      <c r="O188" s="712">
        <v>0</v>
      </c>
      <c r="P188" s="712">
        <v>0</v>
      </c>
      <c r="Q188" s="712">
        <v>0</v>
      </c>
      <c r="R188" s="712">
        <v>0</v>
      </c>
      <c r="S188" s="712">
        <v>0</v>
      </c>
      <c r="T188" s="712">
        <v>0</v>
      </c>
      <c r="U188" s="712">
        <v>0</v>
      </c>
      <c r="V188" s="712">
        <v>0</v>
      </c>
      <c r="W188" s="712">
        <v>0</v>
      </c>
      <c r="X188" s="712">
        <v>0</v>
      </c>
      <c r="Y188" s="712">
        <v>0</v>
      </c>
      <c r="Z188" s="712">
        <v>0</v>
      </c>
      <c r="AA188" s="712">
        <v>0</v>
      </c>
      <c r="AB188" s="728"/>
      <c r="AD188" s="74">
        <f>IF(ISERROR(VLOOKUP(B188,CourseList!$A$4:$A$29,1,FALSE)),0,1)</f>
        <v>0</v>
      </c>
      <c r="AE188" s="717">
        <v>175</v>
      </c>
    </row>
    <row r="189" spans="1:31" x14ac:dyDescent="0.35">
      <c r="A189" s="719" t="str">
        <f>IF('Courses Valid'!BU195=1,'Courses Valid'!BT195,IF(AND('Courses Valid'!BU195=0,'Courses Valid'!BV195=1),'Courses Valid'!BT195,IF(B188&lt;&gt;"",'Courses Valid'!BT195,"")))</f>
        <v/>
      </c>
      <c r="B189" s="2037"/>
      <c r="C189" s="346" t="str">
        <f t="shared" si="26"/>
        <v/>
      </c>
      <c r="D189" s="346" t="str">
        <f t="shared" si="34"/>
        <v/>
      </c>
      <c r="E189" s="346" t="str">
        <f t="shared" si="35"/>
        <v/>
      </c>
      <c r="F189" s="710" t="str">
        <f t="shared" si="29"/>
        <v/>
      </c>
      <c r="G189" s="346" t="str">
        <f t="shared" si="36"/>
        <v/>
      </c>
      <c r="H189" s="710"/>
      <c r="I189" s="346" t="str">
        <f t="shared" si="37"/>
        <v/>
      </c>
      <c r="J189" s="710"/>
      <c r="K189" s="727" t="str">
        <f t="shared" si="38"/>
        <v/>
      </c>
      <c r="L189" s="1574" t="str">
        <f t="shared" si="33"/>
        <v/>
      </c>
      <c r="M189" s="712">
        <v>0</v>
      </c>
      <c r="N189" s="712">
        <v>0</v>
      </c>
      <c r="O189" s="712">
        <v>0</v>
      </c>
      <c r="P189" s="712">
        <v>0</v>
      </c>
      <c r="Q189" s="712">
        <v>0</v>
      </c>
      <c r="R189" s="712">
        <v>0</v>
      </c>
      <c r="S189" s="712">
        <v>0</v>
      </c>
      <c r="T189" s="712">
        <v>0</v>
      </c>
      <c r="U189" s="712">
        <v>0</v>
      </c>
      <c r="V189" s="712">
        <v>0</v>
      </c>
      <c r="W189" s="712">
        <v>0</v>
      </c>
      <c r="X189" s="712">
        <v>0</v>
      </c>
      <c r="Y189" s="712">
        <v>0</v>
      </c>
      <c r="Z189" s="712">
        <v>0</v>
      </c>
      <c r="AA189" s="712">
        <v>0</v>
      </c>
      <c r="AB189" s="728"/>
      <c r="AD189" s="74">
        <f>IF(ISERROR(VLOOKUP(B189,CourseList!$A$4:$A$29,1,FALSE)),0,1)</f>
        <v>0</v>
      </c>
      <c r="AE189" s="717">
        <v>176</v>
      </c>
    </row>
    <row r="190" spans="1:31" x14ac:dyDescent="0.35">
      <c r="A190" s="719" t="str">
        <f>IF('Courses Valid'!BU196=1,'Courses Valid'!BT196,IF(AND('Courses Valid'!BU196=0,'Courses Valid'!BV196=1),'Courses Valid'!BT196,IF(B189&lt;&gt;"",'Courses Valid'!BT196,"")))</f>
        <v/>
      </c>
      <c r="B190" s="2037"/>
      <c r="C190" s="346" t="str">
        <f t="shared" si="26"/>
        <v/>
      </c>
      <c r="D190" s="346" t="str">
        <f t="shared" si="34"/>
        <v/>
      </c>
      <c r="E190" s="346" t="str">
        <f t="shared" si="35"/>
        <v/>
      </c>
      <c r="F190" s="710" t="str">
        <f t="shared" si="29"/>
        <v/>
      </c>
      <c r="G190" s="346" t="str">
        <f t="shared" si="36"/>
        <v/>
      </c>
      <c r="H190" s="710"/>
      <c r="I190" s="346" t="str">
        <f t="shared" si="37"/>
        <v/>
      </c>
      <c r="J190" s="710"/>
      <c r="K190" s="727" t="str">
        <f t="shared" si="38"/>
        <v/>
      </c>
      <c r="L190" s="1574" t="str">
        <f t="shared" si="33"/>
        <v/>
      </c>
      <c r="M190" s="712">
        <v>0</v>
      </c>
      <c r="N190" s="712">
        <v>0</v>
      </c>
      <c r="O190" s="712">
        <v>0</v>
      </c>
      <c r="P190" s="712">
        <v>0</v>
      </c>
      <c r="Q190" s="712">
        <v>0</v>
      </c>
      <c r="R190" s="712">
        <v>0</v>
      </c>
      <c r="S190" s="712">
        <v>0</v>
      </c>
      <c r="T190" s="712">
        <v>0</v>
      </c>
      <c r="U190" s="712">
        <v>0</v>
      </c>
      <c r="V190" s="712">
        <v>0</v>
      </c>
      <c r="W190" s="712">
        <v>0</v>
      </c>
      <c r="X190" s="712">
        <v>0</v>
      </c>
      <c r="Y190" s="712">
        <v>0</v>
      </c>
      <c r="Z190" s="712">
        <v>0</v>
      </c>
      <c r="AA190" s="712">
        <v>0</v>
      </c>
      <c r="AB190" s="728"/>
      <c r="AD190" s="74">
        <f>IF(ISERROR(VLOOKUP(B190,CourseList!$A$4:$A$29,1,FALSE)),0,1)</f>
        <v>0</v>
      </c>
      <c r="AE190" s="717">
        <v>177</v>
      </c>
    </row>
    <row r="191" spans="1:31" x14ac:dyDescent="0.35">
      <c r="A191" s="719" t="str">
        <f>IF('Courses Valid'!BU197=1,'Courses Valid'!BT197,IF(AND('Courses Valid'!BU197=0,'Courses Valid'!BV197=1),'Courses Valid'!BT197,IF(B190&lt;&gt;"",'Courses Valid'!BT197,"")))</f>
        <v/>
      </c>
      <c r="B191" s="2037"/>
      <c r="C191" s="346" t="str">
        <f t="shared" si="26"/>
        <v/>
      </c>
      <c r="D191" s="346" t="str">
        <f t="shared" si="34"/>
        <v/>
      </c>
      <c r="E191" s="346" t="str">
        <f t="shared" si="35"/>
        <v/>
      </c>
      <c r="F191" s="710" t="str">
        <f t="shared" si="29"/>
        <v/>
      </c>
      <c r="G191" s="346" t="str">
        <f t="shared" si="36"/>
        <v/>
      </c>
      <c r="H191" s="710"/>
      <c r="I191" s="346" t="str">
        <f t="shared" si="37"/>
        <v/>
      </c>
      <c r="J191" s="710"/>
      <c r="K191" s="727" t="str">
        <f t="shared" si="38"/>
        <v/>
      </c>
      <c r="L191" s="1574" t="str">
        <f t="shared" si="33"/>
        <v/>
      </c>
      <c r="M191" s="712">
        <v>0</v>
      </c>
      <c r="N191" s="712">
        <v>0</v>
      </c>
      <c r="O191" s="712">
        <v>0</v>
      </c>
      <c r="P191" s="712">
        <v>0</v>
      </c>
      <c r="Q191" s="712">
        <v>0</v>
      </c>
      <c r="R191" s="712">
        <v>0</v>
      </c>
      <c r="S191" s="712">
        <v>0</v>
      </c>
      <c r="T191" s="712">
        <v>0</v>
      </c>
      <c r="U191" s="712">
        <v>0</v>
      </c>
      <c r="V191" s="712">
        <v>0</v>
      </c>
      <c r="W191" s="712">
        <v>0</v>
      </c>
      <c r="X191" s="712">
        <v>0</v>
      </c>
      <c r="Y191" s="712">
        <v>0</v>
      </c>
      <c r="Z191" s="712">
        <v>0</v>
      </c>
      <c r="AA191" s="712">
        <v>0</v>
      </c>
      <c r="AB191" s="728"/>
      <c r="AD191" s="74">
        <f>IF(ISERROR(VLOOKUP(B191,CourseList!$A$4:$A$29,1,FALSE)),0,1)</f>
        <v>0</v>
      </c>
      <c r="AE191" s="717">
        <v>178</v>
      </c>
    </row>
    <row r="192" spans="1:31" x14ac:dyDescent="0.35">
      <c r="A192" s="719" t="str">
        <f>IF('Courses Valid'!BU198=1,'Courses Valid'!BT198,IF(AND('Courses Valid'!BU198=0,'Courses Valid'!BV198=1),'Courses Valid'!BT198,IF(B191&lt;&gt;"",'Courses Valid'!BT198,"")))</f>
        <v/>
      </c>
      <c r="B192" s="2037"/>
      <c r="C192" s="346" t="str">
        <f t="shared" si="26"/>
        <v/>
      </c>
      <c r="D192" s="346" t="str">
        <f t="shared" si="34"/>
        <v/>
      </c>
      <c r="E192" s="346" t="str">
        <f t="shared" si="35"/>
        <v/>
      </c>
      <c r="F192" s="710" t="str">
        <f t="shared" si="29"/>
        <v/>
      </c>
      <c r="G192" s="346" t="str">
        <f t="shared" si="36"/>
        <v/>
      </c>
      <c r="H192" s="710"/>
      <c r="I192" s="346" t="str">
        <f t="shared" si="37"/>
        <v/>
      </c>
      <c r="J192" s="710"/>
      <c r="K192" s="727" t="str">
        <f t="shared" si="38"/>
        <v/>
      </c>
      <c r="L192" s="1574" t="str">
        <f t="shared" si="33"/>
        <v/>
      </c>
      <c r="M192" s="712">
        <v>0</v>
      </c>
      <c r="N192" s="712">
        <v>0</v>
      </c>
      <c r="O192" s="712">
        <v>0</v>
      </c>
      <c r="P192" s="712">
        <v>0</v>
      </c>
      <c r="Q192" s="712">
        <v>0</v>
      </c>
      <c r="R192" s="712">
        <v>0</v>
      </c>
      <c r="S192" s="712">
        <v>0</v>
      </c>
      <c r="T192" s="712">
        <v>0</v>
      </c>
      <c r="U192" s="712">
        <v>0</v>
      </c>
      <c r="V192" s="712">
        <v>0</v>
      </c>
      <c r="W192" s="712">
        <v>0</v>
      </c>
      <c r="X192" s="712">
        <v>0</v>
      </c>
      <c r="Y192" s="712">
        <v>0</v>
      </c>
      <c r="Z192" s="712">
        <v>0</v>
      </c>
      <c r="AA192" s="712">
        <v>0</v>
      </c>
      <c r="AB192" s="728"/>
      <c r="AD192" s="74">
        <f>IF(ISERROR(VLOOKUP(B192,CourseList!$A$4:$A$29,1,FALSE)),0,1)</f>
        <v>0</v>
      </c>
      <c r="AE192" s="717">
        <v>179</v>
      </c>
    </row>
    <row r="193" spans="1:31" x14ac:dyDescent="0.35">
      <c r="A193" s="719" t="str">
        <f>IF('Courses Valid'!BU199=1,'Courses Valid'!BT199,IF(AND('Courses Valid'!BU199=0,'Courses Valid'!BV199=1),'Courses Valid'!BT199,IF(B192&lt;&gt;"",'Courses Valid'!BT199,"")))</f>
        <v/>
      </c>
      <c r="B193" s="2037"/>
      <c r="C193" s="346" t="str">
        <f t="shared" si="26"/>
        <v/>
      </c>
      <c r="D193" s="346" t="str">
        <f t="shared" si="34"/>
        <v/>
      </c>
      <c r="E193" s="346" t="str">
        <f t="shared" si="35"/>
        <v/>
      </c>
      <c r="F193" s="710" t="str">
        <f t="shared" si="29"/>
        <v/>
      </c>
      <c r="G193" s="346" t="str">
        <f t="shared" si="36"/>
        <v/>
      </c>
      <c r="H193" s="710"/>
      <c r="I193" s="346" t="str">
        <f t="shared" si="37"/>
        <v/>
      </c>
      <c r="J193" s="710"/>
      <c r="K193" s="727" t="str">
        <f t="shared" si="38"/>
        <v/>
      </c>
      <c r="L193" s="1574" t="str">
        <f t="shared" si="33"/>
        <v/>
      </c>
      <c r="M193" s="712">
        <v>0</v>
      </c>
      <c r="N193" s="712">
        <v>0</v>
      </c>
      <c r="O193" s="712">
        <v>0</v>
      </c>
      <c r="P193" s="712">
        <v>0</v>
      </c>
      <c r="Q193" s="712">
        <v>0</v>
      </c>
      <c r="R193" s="712">
        <v>0</v>
      </c>
      <c r="S193" s="712">
        <v>0</v>
      </c>
      <c r="T193" s="712">
        <v>0</v>
      </c>
      <c r="U193" s="712">
        <v>0</v>
      </c>
      <c r="V193" s="712">
        <v>0</v>
      </c>
      <c r="W193" s="712">
        <v>0</v>
      </c>
      <c r="X193" s="712">
        <v>0</v>
      </c>
      <c r="Y193" s="712">
        <v>0</v>
      </c>
      <c r="Z193" s="712">
        <v>0</v>
      </c>
      <c r="AA193" s="712">
        <v>0</v>
      </c>
      <c r="AB193" s="728"/>
      <c r="AD193" s="74">
        <f>IF(ISERROR(VLOOKUP(B193,CourseList!$A$4:$A$29,1,FALSE)),0,1)</f>
        <v>0</v>
      </c>
      <c r="AE193" s="717">
        <v>180</v>
      </c>
    </row>
    <row r="194" spans="1:31" x14ac:dyDescent="0.35">
      <c r="A194" s="719" t="str">
        <f>IF('Courses Valid'!BU200=1,'Courses Valid'!BT200,IF(AND('Courses Valid'!BU200=0,'Courses Valid'!BV200=1),'Courses Valid'!BT200,IF(B193&lt;&gt;"",'Courses Valid'!BT200,"")))</f>
        <v/>
      </c>
      <c r="B194" s="2037"/>
      <c r="C194" s="346" t="str">
        <f t="shared" si="26"/>
        <v/>
      </c>
      <c r="D194" s="346" t="str">
        <f t="shared" si="34"/>
        <v/>
      </c>
      <c r="E194" s="346" t="str">
        <f t="shared" si="35"/>
        <v/>
      </c>
      <c r="F194" s="710" t="str">
        <f t="shared" si="29"/>
        <v/>
      </c>
      <c r="G194" s="346" t="str">
        <f t="shared" si="36"/>
        <v/>
      </c>
      <c r="H194" s="710"/>
      <c r="I194" s="346" t="str">
        <f t="shared" si="37"/>
        <v/>
      </c>
      <c r="J194" s="710"/>
      <c r="K194" s="727" t="str">
        <f t="shared" si="38"/>
        <v/>
      </c>
      <c r="L194" s="1574" t="str">
        <f t="shared" si="33"/>
        <v/>
      </c>
      <c r="M194" s="712">
        <v>0</v>
      </c>
      <c r="N194" s="712">
        <v>0</v>
      </c>
      <c r="O194" s="712">
        <v>0</v>
      </c>
      <c r="P194" s="712">
        <v>0</v>
      </c>
      <c r="Q194" s="712">
        <v>0</v>
      </c>
      <c r="R194" s="712">
        <v>0</v>
      </c>
      <c r="S194" s="712">
        <v>0</v>
      </c>
      <c r="T194" s="712">
        <v>0</v>
      </c>
      <c r="U194" s="712">
        <v>0</v>
      </c>
      <c r="V194" s="712">
        <v>0</v>
      </c>
      <c r="W194" s="712">
        <v>0</v>
      </c>
      <c r="X194" s="712">
        <v>0</v>
      </c>
      <c r="Y194" s="712">
        <v>0</v>
      </c>
      <c r="Z194" s="712">
        <v>0</v>
      </c>
      <c r="AA194" s="712">
        <v>0</v>
      </c>
      <c r="AB194" s="728"/>
      <c r="AD194" s="74">
        <f>IF(ISERROR(VLOOKUP(B194,CourseList!$A$4:$A$29,1,FALSE)),0,1)</f>
        <v>0</v>
      </c>
      <c r="AE194" s="717">
        <v>181</v>
      </c>
    </row>
    <row r="195" spans="1:31" x14ac:dyDescent="0.35">
      <c r="A195" s="719" t="str">
        <f>IF('Courses Valid'!BU201=1,'Courses Valid'!BT201,IF(AND('Courses Valid'!BU201=0,'Courses Valid'!BV201=1),'Courses Valid'!BT201,IF(B194&lt;&gt;"",'Courses Valid'!BT201,"")))</f>
        <v/>
      </c>
      <c r="B195" s="2037"/>
      <c r="C195" s="346" t="str">
        <f t="shared" si="26"/>
        <v/>
      </c>
      <c r="D195" s="346" t="str">
        <f t="shared" si="34"/>
        <v/>
      </c>
      <c r="E195" s="346" t="str">
        <f t="shared" si="35"/>
        <v/>
      </c>
      <c r="F195" s="710" t="str">
        <f t="shared" si="29"/>
        <v/>
      </c>
      <c r="G195" s="346" t="str">
        <f t="shared" si="36"/>
        <v/>
      </c>
      <c r="H195" s="710"/>
      <c r="I195" s="346" t="str">
        <f t="shared" si="37"/>
        <v/>
      </c>
      <c r="J195" s="710"/>
      <c r="K195" s="727" t="str">
        <f t="shared" si="38"/>
        <v/>
      </c>
      <c r="L195" s="1574" t="str">
        <f t="shared" si="33"/>
        <v/>
      </c>
      <c r="M195" s="712">
        <v>0</v>
      </c>
      <c r="N195" s="712">
        <v>0</v>
      </c>
      <c r="O195" s="712">
        <v>0</v>
      </c>
      <c r="P195" s="712">
        <v>0</v>
      </c>
      <c r="Q195" s="712">
        <v>0</v>
      </c>
      <c r="R195" s="712">
        <v>0</v>
      </c>
      <c r="S195" s="712">
        <v>0</v>
      </c>
      <c r="T195" s="712">
        <v>0</v>
      </c>
      <c r="U195" s="712">
        <v>0</v>
      </c>
      <c r="V195" s="712">
        <v>0</v>
      </c>
      <c r="W195" s="712">
        <v>0</v>
      </c>
      <c r="X195" s="712">
        <v>0</v>
      </c>
      <c r="Y195" s="712">
        <v>0</v>
      </c>
      <c r="Z195" s="712">
        <v>0</v>
      </c>
      <c r="AA195" s="712">
        <v>0</v>
      </c>
      <c r="AB195" s="728"/>
      <c r="AD195" s="74">
        <f>IF(ISERROR(VLOOKUP(B195,CourseList!$A$4:$A$29,1,FALSE)),0,1)</f>
        <v>0</v>
      </c>
      <c r="AE195" s="717">
        <v>182</v>
      </c>
    </row>
    <row r="196" spans="1:31" x14ac:dyDescent="0.35">
      <c r="A196" s="719" t="str">
        <f>IF('Courses Valid'!BU202=1,'Courses Valid'!BT202,IF(AND('Courses Valid'!BU202=0,'Courses Valid'!BV202=1),'Courses Valid'!BT202,IF(B195&lt;&gt;"",'Courses Valid'!BT202,"")))</f>
        <v/>
      </c>
      <c r="B196" s="2037"/>
      <c r="C196" s="346" t="str">
        <f t="shared" si="26"/>
        <v/>
      </c>
      <c r="D196" s="346" t="str">
        <f t="shared" si="34"/>
        <v/>
      </c>
      <c r="E196" s="346" t="str">
        <f t="shared" si="35"/>
        <v/>
      </c>
      <c r="F196" s="710" t="str">
        <f t="shared" si="29"/>
        <v/>
      </c>
      <c r="G196" s="346" t="str">
        <f t="shared" si="36"/>
        <v/>
      </c>
      <c r="H196" s="710"/>
      <c r="I196" s="346" t="str">
        <f t="shared" si="37"/>
        <v/>
      </c>
      <c r="J196" s="710"/>
      <c r="K196" s="727" t="str">
        <f t="shared" si="38"/>
        <v/>
      </c>
      <c r="L196" s="1574" t="str">
        <f t="shared" si="33"/>
        <v/>
      </c>
      <c r="M196" s="712">
        <v>0</v>
      </c>
      <c r="N196" s="712">
        <v>0</v>
      </c>
      <c r="O196" s="712">
        <v>0</v>
      </c>
      <c r="P196" s="712">
        <v>0</v>
      </c>
      <c r="Q196" s="712">
        <v>0</v>
      </c>
      <c r="R196" s="712">
        <v>0</v>
      </c>
      <c r="S196" s="712">
        <v>0</v>
      </c>
      <c r="T196" s="712">
        <v>0</v>
      </c>
      <c r="U196" s="712">
        <v>0</v>
      </c>
      <c r="V196" s="712">
        <v>0</v>
      </c>
      <c r="W196" s="712">
        <v>0</v>
      </c>
      <c r="X196" s="712">
        <v>0</v>
      </c>
      <c r="Y196" s="712">
        <v>0</v>
      </c>
      <c r="Z196" s="712">
        <v>0</v>
      </c>
      <c r="AA196" s="712">
        <v>0</v>
      </c>
      <c r="AB196" s="728"/>
      <c r="AD196" s="74">
        <f>IF(ISERROR(VLOOKUP(B196,CourseList!$A$4:$A$29,1,FALSE)),0,1)</f>
        <v>0</v>
      </c>
      <c r="AE196" s="717">
        <v>183</v>
      </c>
    </row>
    <row r="197" spans="1:31" x14ac:dyDescent="0.35">
      <c r="A197" s="719" t="str">
        <f>IF('Courses Valid'!BU203=1,'Courses Valid'!BT203,IF(AND('Courses Valid'!BU203=0,'Courses Valid'!BV203=1),'Courses Valid'!BT203,IF(B196&lt;&gt;"",'Courses Valid'!BT203,"")))</f>
        <v/>
      </c>
      <c r="B197" s="2037"/>
      <c r="C197" s="346" t="str">
        <f t="shared" si="26"/>
        <v/>
      </c>
      <c r="D197" s="346" t="str">
        <f t="shared" si="34"/>
        <v/>
      </c>
      <c r="E197" s="346" t="str">
        <f t="shared" si="35"/>
        <v/>
      </c>
      <c r="F197" s="710" t="str">
        <f t="shared" si="29"/>
        <v/>
      </c>
      <c r="G197" s="346" t="str">
        <f t="shared" si="36"/>
        <v/>
      </c>
      <c r="H197" s="710"/>
      <c r="I197" s="346" t="str">
        <f t="shared" si="37"/>
        <v/>
      </c>
      <c r="J197" s="710"/>
      <c r="K197" s="727" t="str">
        <f t="shared" si="38"/>
        <v/>
      </c>
      <c r="L197" s="1574" t="str">
        <f t="shared" si="33"/>
        <v/>
      </c>
      <c r="M197" s="712">
        <v>0</v>
      </c>
      <c r="N197" s="712">
        <v>0</v>
      </c>
      <c r="O197" s="712">
        <v>0</v>
      </c>
      <c r="P197" s="712">
        <v>0</v>
      </c>
      <c r="Q197" s="712">
        <v>0</v>
      </c>
      <c r="R197" s="712">
        <v>0</v>
      </c>
      <c r="S197" s="712">
        <v>0</v>
      </c>
      <c r="T197" s="712">
        <v>0</v>
      </c>
      <c r="U197" s="712">
        <v>0</v>
      </c>
      <c r="V197" s="712">
        <v>0</v>
      </c>
      <c r="W197" s="712">
        <v>0</v>
      </c>
      <c r="X197" s="712">
        <v>0</v>
      </c>
      <c r="Y197" s="712">
        <v>0</v>
      </c>
      <c r="Z197" s="712">
        <v>0</v>
      </c>
      <c r="AA197" s="712">
        <v>0</v>
      </c>
      <c r="AB197" s="728"/>
      <c r="AD197" s="74">
        <f>IF(ISERROR(VLOOKUP(B197,CourseList!$A$4:$A$29,1,FALSE)),0,1)</f>
        <v>0</v>
      </c>
      <c r="AE197" s="717">
        <v>184</v>
      </c>
    </row>
    <row r="198" spans="1:31" x14ac:dyDescent="0.35">
      <c r="A198" s="719" t="str">
        <f>IF('Courses Valid'!BU204=1,'Courses Valid'!BT204,IF(AND('Courses Valid'!BU204=0,'Courses Valid'!BV204=1),'Courses Valid'!BT204,IF(B197&lt;&gt;"",'Courses Valid'!BT204,"")))</f>
        <v/>
      </c>
      <c r="B198" s="2037"/>
      <c r="C198" s="346" t="str">
        <f t="shared" si="26"/>
        <v/>
      </c>
      <c r="D198" s="346" t="str">
        <f t="shared" si="34"/>
        <v/>
      </c>
      <c r="E198" s="346" t="str">
        <f t="shared" si="35"/>
        <v/>
      </c>
      <c r="F198" s="710" t="str">
        <f t="shared" si="29"/>
        <v/>
      </c>
      <c r="G198" s="346" t="str">
        <f t="shared" si="36"/>
        <v/>
      </c>
      <c r="H198" s="710"/>
      <c r="I198" s="346" t="str">
        <f t="shared" si="37"/>
        <v/>
      </c>
      <c r="J198" s="710"/>
      <c r="K198" s="727" t="str">
        <f t="shared" si="38"/>
        <v/>
      </c>
      <c r="L198" s="1574" t="str">
        <f t="shared" si="33"/>
        <v/>
      </c>
      <c r="M198" s="712">
        <v>0</v>
      </c>
      <c r="N198" s="712">
        <v>0</v>
      </c>
      <c r="O198" s="712">
        <v>0</v>
      </c>
      <c r="P198" s="712">
        <v>0</v>
      </c>
      <c r="Q198" s="712">
        <v>0</v>
      </c>
      <c r="R198" s="712">
        <v>0</v>
      </c>
      <c r="S198" s="712">
        <v>0</v>
      </c>
      <c r="T198" s="712">
        <v>0</v>
      </c>
      <c r="U198" s="712">
        <v>0</v>
      </c>
      <c r="V198" s="712">
        <v>0</v>
      </c>
      <c r="W198" s="712">
        <v>0</v>
      </c>
      <c r="X198" s="712">
        <v>0</v>
      </c>
      <c r="Y198" s="712">
        <v>0</v>
      </c>
      <c r="Z198" s="712">
        <v>0</v>
      </c>
      <c r="AA198" s="712">
        <v>0</v>
      </c>
      <c r="AB198" s="728"/>
      <c r="AD198" s="74">
        <f>IF(ISERROR(VLOOKUP(B198,CourseList!$A$4:$A$29,1,FALSE)),0,1)</f>
        <v>0</v>
      </c>
      <c r="AE198" s="717">
        <v>185</v>
      </c>
    </row>
    <row r="199" spans="1:31" x14ac:dyDescent="0.35">
      <c r="A199" s="719" t="str">
        <f>IF('Courses Valid'!BU205=1,'Courses Valid'!BT205,IF(AND('Courses Valid'!BU205=0,'Courses Valid'!BV205=1),'Courses Valid'!BT205,IF(B198&lt;&gt;"",'Courses Valid'!BT205,"")))</f>
        <v/>
      </c>
      <c r="B199" s="2037"/>
      <c r="C199" s="346" t="str">
        <f t="shared" si="26"/>
        <v/>
      </c>
      <c r="D199" s="346" t="str">
        <f t="shared" si="34"/>
        <v/>
      </c>
      <c r="E199" s="346" t="str">
        <f t="shared" si="35"/>
        <v/>
      </c>
      <c r="F199" s="710" t="str">
        <f t="shared" si="29"/>
        <v/>
      </c>
      <c r="G199" s="346" t="str">
        <f t="shared" si="36"/>
        <v/>
      </c>
      <c r="H199" s="710"/>
      <c r="I199" s="346" t="str">
        <f t="shared" si="37"/>
        <v/>
      </c>
      <c r="J199" s="710"/>
      <c r="K199" s="727" t="str">
        <f t="shared" si="38"/>
        <v/>
      </c>
      <c r="L199" s="1574" t="str">
        <f t="shared" si="33"/>
        <v/>
      </c>
      <c r="M199" s="712">
        <v>0</v>
      </c>
      <c r="N199" s="712">
        <v>0</v>
      </c>
      <c r="O199" s="712">
        <v>0</v>
      </c>
      <c r="P199" s="712">
        <v>0</v>
      </c>
      <c r="Q199" s="712">
        <v>0</v>
      </c>
      <c r="R199" s="712">
        <v>0</v>
      </c>
      <c r="S199" s="712">
        <v>0</v>
      </c>
      <c r="T199" s="712">
        <v>0</v>
      </c>
      <c r="U199" s="712">
        <v>0</v>
      </c>
      <c r="V199" s="712">
        <v>0</v>
      </c>
      <c r="W199" s="712">
        <v>0</v>
      </c>
      <c r="X199" s="712">
        <v>0</v>
      </c>
      <c r="Y199" s="712">
        <v>0</v>
      </c>
      <c r="Z199" s="712">
        <v>0</v>
      </c>
      <c r="AA199" s="712">
        <v>0</v>
      </c>
      <c r="AB199" s="728"/>
      <c r="AD199" s="74">
        <f>IF(ISERROR(VLOOKUP(B199,CourseList!$A$4:$A$29,1,FALSE)),0,1)</f>
        <v>0</v>
      </c>
      <c r="AE199" s="717">
        <v>186</v>
      </c>
    </row>
    <row r="200" spans="1:31" x14ac:dyDescent="0.35">
      <c r="A200" s="719" t="str">
        <f>IF('Courses Valid'!BU206=1,'Courses Valid'!BT206,IF(AND('Courses Valid'!BU206=0,'Courses Valid'!BV206=1),'Courses Valid'!BT206,IF(B199&lt;&gt;"",'Courses Valid'!BT206,"")))</f>
        <v/>
      </c>
      <c r="B200" s="2037"/>
      <c r="C200" s="346" t="str">
        <f t="shared" si="26"/>
        <v/>
      </c>
      <c r="D200" s="346" t="str">
        <f t="shared" si="34"/>
        <v/>
      </c>
      <c r="E200" s="346" t="str">
        <f t="shared" si="35"/>
        <v/>
      </c>
      <c r="F200" s="710" t="str">
        <f t="shared" si="29"/>
        <v/>
      </c>
      <c r="G200" s="346" t="str">
        <f t="shared" si="36"/>
        <v/>
      </c>
      <c r="H200" s="710"/>
      <c r="I200" s="346" t="str">
        <f t="shared" si="37"/>
        <v/>
      </c>
      <c r="J200" s="710"/>
      <c r="K200" s="727" t="str">
        <f t="shared" si="38"/>
        <v/>
      </c>
      <c r="L200" s="1574" t="str">
        <f t="shared" si="33"/>
        <v/>
      </c>
      <c r="M200" s="712">
        <v>0</v>
      </c>
      <c r="N200" s="712">
        <v>0</v>
      </c>
      <c r="O200" s="712">
        <v>0</v>
      </c>
      <c r="P200" s="712">
        <v>0</v>
      </c>
      <c r="Q200" s="712">
        <v>0</v>
      </c>
      <c r="R200" s="712">
        <v>0</v>
      </c>
      <c r="S200" s="712">
        <v>0</v>
      </c>
      <c r="T200" s="712">
        <v>0</v>
      </c>
      <c r="U200" s="712">
        <v>0</v>
      </c>
      <c r="V200" s="712">
        <v>0</v>
      </c>
      <c r="W200" s="712">
        <v>0</v>
      </c>
      <c r="X200" s="712">
        <v>0</v>
      </c>
      <c r="Y200" s="712">
        <v>0</v>
      </c>
      <c r="Z200" s="712">
        <v>0</v>
      </c>
      <c r="AA200" s="712">
        <v>0</v>
      </c>
      <c r="AB200" s="728"/>
      <c r="AD200" s="74">
        <f>IF(ISERROR(VLOOKUP(B200,CourseList!$A$4:$A$29,1,FALSE)),0,1)</f>
        <v>0</v>
      </c>
      <c r="AE200" s="717">
        <v>187</v>
      </c>
    </row>
    <row r="201" spans="1:31" x14ac:dyDescent="0.35">
      <c r="A201" s="719" t="str">
        <f>IF('Courses Valid'!BU207=1,'Courses Valid'!BT207,IF(AND('Courses Valid'!BU207=0,'Courses Valid'!BV207=1),'Courses Valid'!BT207,IF(B200&lt;&gt;"",'Courses Valid'!BT207,"")))</f>
        <v/>
      </c>
      <c r="B201" s="2037"/>
      <c r="C201" s="346" t="str">
        <f t="shared" si="26"/>
        <v/>
      </c>
      <c r="D201" s="346" t="str">
        <f t="shared" si="34"/>
        <v/>
      </c>
      <c r="E201" s="346" t="str">
        <f t="shared" si="35"/>
        <v/>
      </c>
      <c r="F201" s="710" t="str">
        <f t="shared" si="29"/>
        <v/>
      </c>
      <c r="G201" s="346" t="str">
        <f t="shared" si="36"/>
        <v/>
      </c>
      <c r="H201" s="710"/>
      <c r="I201" s="346" t="str">
        <f t="shared" si="37"/>
        <v/>
      </c>
      <c r="J201" s="710"/>
      <c r="K201" s="727" t="str">
        <f t="shared" si="38"/>
        <v/>
      </c>
      <c r="L201" s="1574" t="str">
        <f t="shared" si="33"/>
        <v/>
      </c>
      <c r="M201" s="712">
        <v>0</v>
      </c>
      <c r="N201" s="712">
        <v>0</v>
      </c>
      <c r="O201" s="712">
        <v>0</v>
      </c>
      <c r="P201" s="712">
        <v>0</v>
      </c>
      <c r="Q201" s="712">
        <v>0</v>
      </c>
      <c r="R201" s="712">
        <v>0</v>
      </c>
      <c r="S201" s="712">
        <v>0</v>
      </c>
      <c r="T201" s="712">
        <v>0</v>
      </c>
      <c r="U201" s="712">
        <v>0</v>
      </c>
      <c r="V201" s="712">
        <v>0</v>
      </c>
      <c r="W201" s="712">
        <v>0</v>
      </c>
      <c r="X201" s="712">
        <v>0</v>
      </c>
      <c r="Y201" s="712">
        <v>0</v>
      </c>
      <c r="Z201" s="712">
        <v>0</v>
      </c>
      <c r="AA201" s="712">
        <v>0</v>
      </c>
      <c r="AB201" s="728"/>
      <c r="AD201" s="74">
        <f>IF(ISERROR(VLOOKUP(B201,CourseList!$A$4:$A$29,1,FALSE)),0,1)</f>
        <v>0</v>
      </c>
      <c r="AE201" s="717">
        <v>188</v>
      </c>
    </row>
    <row r="202" spans="1:31" x14ac:dyDescent="0.35">
      <c r="A202" s="719" t="str">
        <f>IF('Courses Valid'!BU208=1,'Courses Valid'!BT208,IF(AND('Courses Valid'!BU208=0,'Courses Valid'!BV208=1),'Courses Valid'!BT208,IF(B201&lt;&gt;"",'Courses Valid'!BT208,"")))</f>
        <v/>
      </c>
      <c r="B202" s="2037"/>
      <c r="C202" s="346" t="str">
        <f t="shared" si="26"/>
        <v/>
      </c>
      <c r="D202" s="346" t="str">
        <f t="shared" si="34"/>
        <v/>
      </c>
      <c r="E202" s="346" t="str">
        <f t="shared" si="35"/>
        <v/>
      </c>
      <c r="F202" s="710" t="str">
        <f t="shared" si="29"/>
        <v/>
      </c>
      <c r="G202" s="346" t="str">
        <f t="shared" si="36"/>
        <v/>
      </c>
      <c r="H202" s="710"/>
      <c r="I202" s="346" t="str">
        <f t="shared" si="37"/>
        <v/>
      </c>
      <c r="J202" s="710"/>
      <c r="K202" s="727" t="str">
        <f t="shared" si="38"/>
        <v/>
      </c>
      <c r="L202" s="1574" t="str">
        <f t="shared" si="33"/>
        <v/>
      </c>
      <c r="M202" s="712">
        <v>0</v>
      </c>
      <c r="N202" s="712">
        <v>0</v>
      </c>
      <c r="O202" s="712">
        <v>0</v>
      </c>
      <c r="P202" s="712">
        <v>0</v>
      </c>
      <c r="Q202" s="712">
        <v>0</v>
      </c>
      <c r="R202" s="712">
        <v>0</v>
      </c>
      <c r="S202" s="712">
        <v>0</v>
      </c>
      <c r="T202" s="712">
        <v>0</v>
      </c>
      <c r="U202" s="712">
        <v>0</v>
      </c>
      <c r="V202" s="712">
        <v>0</v>
      </c>
      <c r="W202" s="712">
        <v>0</v>
      </c>
      <c r="X202" s="712">
        <v>0</v>
      </c>
      <c r="Y202" s="712">
        <v>0</v>
      </c>
      <c r="Z202" s="712">
        <v>0</v>
      </c>
      <c r="AA202" s="712">
        <v>0</v>
      </c>
      <c r="AB202" s="728"/>
      <c r="AD202" s="74">
        <f>IF(ISERROR(VLOOKUP(B202,CourseList!$A$4:$A$29,1,FALSE)),0,1)</f>
        <v>0</v>
      </c>
      <c r="AE202" s="717">
        <v>189</v>
      </c>
    </row>
    <row r="203" spans="1:31" x14ac:dyDescent="0.35">
      <c r="A203" s="719" t="str">
        <f>IF('Courses Valid'!BU209=1,'Courses Valid'!BT209,IF(AND('Courses Valid'!BU209=0,'Courses Valid'!BV209=1),'Courses Valid'!BT209,IF(B202&lt;&gt;"",'Courses Valid'!BT209,"")))</f>
        <v/>
      </c>
      <c r="B203" s="2037"/>
      <c r="C203" s="346" t="str">
        <f t="shared" si="26"/>
        <v/>
      </c>
      <c r="D203" s="346" t="str">
        <f t="shared" si="34"/>
        <v/>
      </c>
      <c r="E203" s="346" t="str">
        <f t="shared" si="35"/>
        <v/>
      </c>
      <c r="F203" s="710" t="str">
        <f t="shared" si="29"/>
        <v/>
      </c>
      <c r="G203" s="346" t="str">
        <f t="shared" si="36"/>
        <v/>
      </c>
      <c r="H203" s="710"/>
      <c r="I203" s="346" t="str">
        <f t="shared" si="37"/>
        <v/>
      </c>
      <c r="J203" s="710"/>
      <c r="K203" s="727" t="str">
        <f t="shared" si="38"/>
        <v/>
      </c>
      <c r="L203" s="1574" t="str">
        <f t="shared" si="33"/>
        <v/>
      </c>
      <c r="M203" s="712">
        <v>0</v>
      </c>
      <c r="N203" s="712">
        <v>0</v>
      </c>
      <c r="O203" s="712">
        <v>0</v>
      </c>
      <c r="P203" s="712">
        <v>0</v>
      </c>
      <c r="Q203" s="712">
        <v>0</v>
      </c>
      <c r="R203" s="712">
        <v>0</v>
      </c>
      <c r="S203" s="712">
        <v>0</v>
      </c>
      <c r="T203" s="712">
        <v>0</v>
      </c>
      <c r="U203" s="712">
        <v>0</v>
      </c>
      <c r="V203" s="712">
        <v>0</v>
      </c>
      <c r="W203" s="712">
        <v>0</v>
      </c>
      <c r="X203" s="712">
        <v>0</v>
      </c>
      <c r="Y203" s="712">
        <v>0</v>
      </c>
      <c r="Z203" s="712">
        <v>0</v>
      </c>
      <c r="AA203" s="712">
        <v>0</v>
      </c>
      <c r="AB203" s="728"/>
      <c r="AD203" s="74">
        <f>IF(ISERROR(VLOOKUP(B203,CourseList!$A$4:$A$29,1,FALSE)),0,1)</f>
        <v>0</v>
      </c>
      <c r="AE203" s="717">
        <v>190</v>
      </c>
    </row>
    <row r="204" spans="1:31" x14ac:dyDescent="0.35">
      <c r="A204" s="719" t="str">
        <f>IF('Courses Valid'!BU210=1,'Courses Valid'!BT210,IF(AND('Courses Valid'!BU210=0,'Courses Valid'!BV210=1),'Courses Valid'!BT210,IF(B203&lt;&gt;"",'Courses Valid'!BT210,"")))</f>
        <v/>
      </c>
      <c r="B204" s="2037"/>
      <c r="C204" s="346" t="str">
        <f t="shared" si="26"/>
        <v/>
      </c>
      <c r="D204" s="346" t="str">
        <f t="shared" si="34"/>
        <v/>
      </c>
      <c r="E204" s="346" t="str">
        <f t="shared" si="35"/>
        <v/>
      </c>
      <c r="F204" s="710" t="str">
        <f t="shared" si="29"/>
        <v/>
      </c>
      <c r="G204" s="346" t="str">
        <f t="shared" si="36"/>
        <v/>
      </c>
      <c r="H204" s="710"/>
      <c r="I204" s="346" t="str">
        <f t="shared" si="37"/>
        <v/>
      </c>
      <c r="J204" s="710"/>
      <c r="K204" s="727" t="str">
        <f t="shared" si="38"/>
        <v/>
      </c>
      <c r="L204" s="1574" t="str">
        <f t="shared" si="33"/>
        <v/>
      </c>
      <c r="M204" s="712">
        <v>0</v>
      </c>
      <c r="N204" s="712">
        <v>0</v>
      </c>
      <c r="O204" s="712">
        <v>0</v>
      </c>
      <c r="P204" s="712">
        <v>0</v>
      </c>
      <c r="Q204" s="712">
        <v>0</v>
      </c>
      <c r="R204" s="712">
        <v>0</v>
      </c>
      <c r="S204" s="712">
        <v>0</v>
      </c>
      <c r="T204" s="712">
        <v>0</v>
      </c>
      <c r="U204" s="712">
        <v>0</v>
      </c>
      <c r="V204" s="712">
        <v>0</v>
      </c>
      <c r="W204" s="712">
        <v>0</v>
      </c>
      <c r="X204" s="712">
        <v>0</v>
      </c>
      <c r="Y204" s="712">
        <v>0</v>
      </c>
      <c r="Z204" s="712">
        <v>0</v>
      </c>
      <c r="AA204" s="712">
        <v>0</v>
      </c>
      <c r="AB204" s="728"/>
      <c r="AD204" s="74">
        <f>IF(ISERROR(VLOOKUP(B204,CourseList!$A$4:$A$29,1,FALSE)),0,1)</f>
        <v>0</v>
      </c>
      <c r="AE204" s="717">
        <v>191</v>
      </c>
    </row>
    <row r="205" spans="1:31" x14ac:dyDescent="0.35">
      <c r="A205" s="719" t="str">
        <f>IF('Courses Valid'!BU211=1,'Courses Valid'!BT211,IF(AND('Courses Valid'!BU211=0,'Courses Valid'!BV211=1),'Courses Valid'!BT211,IF(B204&lt;&gt;"",'Courses Valid'!BT211,"")))</f>
        <v/>
      </c>
      <c r="B205" s="2037"/>
      <c r="C205" s="346" t="str">
        <f t="shared" si="26"/>
        <v/>
      </c>
      <c r="D205" s="346" t="str">
        <f t="shared" si="34"/>
        <v/>
      </c>
      <c r="E205" s="346" t="str">
        <f t="shared" si="35"/>
        <v/>
      </c>
      <c r="F205" s="710" t="str">
        <f t="shared" si="29"/>
        <v/>
      </c>
      <c r="G205" s="346" t="str">
        <f t="shared" si="36"/>
        <v/>
      </c>
      <c r="H205" s="710"/>
      <c r="I205" s="346" t="str">
        <f t="shared" si="37"/>
        <v/>
      </c>
      <c r="J205" s="710"/>
      <c r="K205" s="727" t="str">
        <f t="shared" si="38"/>
        <v/>
      </c>
      <c r="L205" s="1574" t="str">
        <f t="shared" si="33"/>
        <v/>
      </c>
      <c r="M205" s="712">
        <v>0</v>
      </c>
      <c r="N205" s="712">
        <v>0</v>
      </c>
      <c r="O205" s="712">
        <v>0</v>
      </c>
      <c r="P205" s="712">
        <v>0</v>
      </c>
      <c r="Q205" s="712">
        <v>0</v>
      </c>
      <c r="R205" s="712">
        <v>0</v>
      </c>
      <c r="S205" s="712">
        <v>0</v>
      </c>
      <c r="T205" s="712">
        <v>0</v>
      </c>
      <c r="U205" s="712">
        <v>0</v>
      </c>
      <c r="V205" s="712">
        <v>0</v>
      </c>
      <c r="W205" s="712">
        <v>0</v>
      </c>
      <c r="X205" s="712">
        <v>0</v>
      </c>
      <c r="Y205" s="712">
        <v>0</v>
      </c>
      <c r="Z205" s="712">
        <v>0</v>
      </c>
      <c r="AA205" s="712">
        <v>0</v>
      </c>
      <c r="AB205" s="728"/>
      <c r="AD205" s="74">
        <f>IF(ISERROR(VLOOKUP(B205,CourseList!$A$4:$A$29,1,FALSE)),0,1)</f>
        <v>0</v>
      </c>
      <c r="AE205" s="717">
        <v>192</v>
      </c>
    </row>
    <row r="206" spans="1:31" x14ac:dyDescent="0.35">
      <c r="A206" s="719" t="str">
        <f>IF('Courses Valid'!BU212=1,'Courses Valid'!BT212,IF(AND('Courses Valid'!BU212=0,'Courses Valid'!BV212=1),'Courses Valid'!BT212,IF(B205&lt;&gt;"",'Courses Valid'!BT212,"")))</f>
        <v/>
      </c>
      <c r="B206" s="2037"/>
      <c r="C206" s="346" t="str">
        <f t="shared" ref="C206:C213" si="39">IF(B206&lt;&gt;"",IF(LEFT(B206,3)="OFS",B206,IF(LEN(B206)=8,"H"&amp;B206,"H00"&amp;B206)),"")</f>
        <v/>
      </c>
      <c r="D206" s="346" t="str">
        <f t="shared" ref="D206:D213" si="40">IF($C206&lt;&gt;"",IF(ISNA(VLOOKUP($C206,CourseInfo,2,FALSE))=FALSE,VLOOKUP($C206,CourseInfo,2,FALSE),"Please enter a valid learning aim reference"),"")</f>
        <v/>
      </c>
      <c r="E206" s="346" t="str">
        <f t="shared" ref="E206:E213" si="41">IF($C206&lt;&gt;"",IF(ISNA(VLOOKUP($C206,CourseInfo,3,FALSE))=TRUE,"",VLOOKUP($C206,CourseInfo,3,FALSE)),"")</f>
        <v/>
      </c>
      <c r="F206" s="710" t="str">
        <f t="shared" ref="F206:F213" si="42">IF(AND($B206&lt;&gt;"",$E206&lt;&gt;"",$G206="",$I206=""),1,"")</f>
        <v/>
      </c>
      <c r="G206" s="346" t="str">
        <f t="shared" ref="G206:G213" si="43">IF($C206&lt;&gt;"",IF(ISNA(VLOOKUP($C206,CourseInfo,2,FALSE)=FALSE),"",IF(VLOOKUP($C206,CourseInfo,4,FALSE)="","",VLOOKUP($C206,CourseInfo,4,FALSE))),"")</f>
        <v/>
      </c>
      <c r="H206" s="710"/>
      <c r="I206" s="346" t="str">
        <f t="shared" ref="I206:I213" si="44">IF($C206&lt;&gt;"",IF(ISNA(VLOOKUP($C206,CourseInfo,2,FALSE)=FALSE),"",IF(VLOOKUP($C206,CourseInfo,5,FALSE)="","",VLOOKUP($C206,CourseInfo,5,FALSE))),"")</f>
        <v/>
      </c>
      <c r="J206" s="710"/>
      <c r="K206" s="727" t="str">
        <f t="shared" ref="K206:K213" si="45">IF($C206&lt;&gt;"",IF(ISNA(VLOOKUP($C206,CourseInfo,6,FALSE))=TRUE,"",VLOOKUP($C206,CourseInfo,6,FALSE)),"")</f>
        <v/>
      </c>
      <c r="L206" s="1574" t="str">
        <f t="shared" si="33"/>
        <v/>
      </c>
      <c r="M206" s="712">
        <v>0</v>
      </c>
      <c r="N206" s="712">
        <v>0</v>
      </c>
      <c r="O206" s="712">
        <v>0</v>
      </c>
      <c r="P206" s="712">
        <v>0</v>
      </c>
      <c r="Q206" s="712">
        <v>0</v>
      </c>
      <c r="R206" s="712">
        <v>0</v>
      </c>
      <c r="S206" s="712">
        <v>0</v>
      </c>
      <c r="T206" s="712">
        <v>0</v>
      </c>
      <c r="U206" s="712">
        <v>0</v>
      </c>
      <c r="V206" s="712">
        <v>0</v>
      </c>
      <c r="W206" s="712">
        <v>0</v>
      </c>
      <c r="X206" s="712">
        <v>0</v>
      </c>
      <c r="Y206" s="712">
        <v>0</v>
      </c>
      <c r="Z206" s="712">
        <v>0</v>
      </c>
      <c r="AA206" s="712">
        <v>0</v>
      </c>
      <c r="AB206" s="728"/>
      <c r="AD206" s="74">
        <f>IF(ISERROR(VLOOKUP(B206,CourseList!$A$4:$A$29,1,FALSE)),0,1)</f>
        <v>0</v>
      </c>
      <c r="AE206" s="717">
        <v>193</v>
      </c>
    </row>
    <row r="207" spans="1:31" x14ac:dyDescent="0.35">
      <c r="A207" s="719" t="str">
        <f>IF('Courses Valid'!BU213=1,'Courses Valid'!BT213,IF(AND('Courses Valid'!BU213=0,'Courses Valid'!BV213=1),'Courses Valid'!BT213,IF(B206&lt;&gt;"",'Courses Valid'!BT213,"")))</f>
        <v/>
      </c>
      <c r="B207" s="2037"/>
      <c r="C207" s="346" t="str">
        <f t="shared" si="39"/>
        <v/>
      </c>
      <c r="D207" s="346" t="str">
        <f t="shared" si="40"/>
        <v/>
      </c>
      <c r="E207" s="346" t="str">
        <f t="shared" si="41"/>
        <v/>
      </c>
      <c r="F207" s="710" t="str">
        <f t="shared" si="42"/>
        <v/>
      </c>
      <c r="G207" s="346" t="str">
        <f t="shared" si="43"/>
        <v/>
      </c>
      <c r="H207" s="710"/>
      <c r="I207" s="346" t="str">
        <f t="shared" si="44"/>
        <v/>
      </c>
      <c r="J207" s="710"/>
      <c r="K207" s="727" t="str">
        <f t="shared" si="45"/>
        <v/>
      </c>
      <c r="L207" s="1574" t="str">
        <f t="shared" ref="L207:L213" si="46">IF($E207&lt;&gt;"","Standard","")</f>
        <v/>
      </c>
      <c r="M207" s="712">
        <v>0</v>
      </c>
      <c r="N207" s="712">
        <v>0</v>
      </c>
      <c r="O207" s="712">
        <v>0</v>
      </c>
      <c r="P207" s="712">
        <v>0</v>
      </c>
      <c r="Q207" s="712">
        <v>0</v>
      </c>
      <c r="R207" s="712">
        <v>0</v>
      </c>
      <c r="S207" s="712">
        <v>0</v>
      </c>
      <c r="T207" s="712">
        <v>0</v>
      </c>
      <c r="U207" s="712">
        <v>0</v>
      </c>
      <c r="V207" s="712">
        <v>0</v>
      </c>
      <c r="W207" s="712">
        <v>0</v>
      </c>
      <c r="X207" s="712">
        <v>0</v>
      </c>
      <c r="Y207" s="712">
        <v>0</v>
      </c>
      <c r="Z207" s="712">
        <v>0</v>
      </c>
      <c r="AA207" s="712">
        <v>0</v>
      </c>
      <c r="AB207" s="728"/>
      <c r="AD207" s="74">
        <f>IF(ISERROR(VLOOKUP(B207,CourseList!$A$4:$A$29,1,FALSE)),0,1)</f>
        <v>0</v>
      </c>
      <c r="AE207" s="717">
        <v>194</v>
      </c>
    </row>
    <row r="208" spans="1:31" x14ac:dyDescent="0.35">
      <c r="A208" s="719" t="str">
        <f>IF('Courses Valid'!BU214=1,'Courses Valid'!BT214,IF(AND('Courses Valid'!BU214=0,'Courses Valid'!BV214=1),'Courses Valid'!BT214,IF(B207&lt;&gt;"",'Courses Valid'!BT214,"")))</f>
        <v/>
      </c>
      <c r="B208" s="2037"/>
      <c r="C208" s="346" t="str">
        <f t="shared" si="39"/>
        <v/>
      </c>
      <c r="D208" s="346" t="str">
        <f t="shared" si="40"/>
        <v/>
      </c>
      <c r="E208" s="346" t="str">
        <f t="shared" si="41"/>
        <v/>
      </c>
      <c r="F208" s="710" t="str">
        <f t="shared" si="42"/>
        <v/>
      </c>
      <c r="G208" s="346" t="str">
        <f t="shared" si="43"/>
        <v/>
      </c>
      <c r="H208" s="710"/>
      <c r="I208" s="346" t="str">
        <f t="shared" si="44"/>
        <v/>
      </c>
      <c r="J208" s="710"/>
      <c r="K208" s="727" t="str">
        <f t="shared" si="45"/>
        <v/>
      </c>
      <c r="L208" s="1574" t="str">
        <f t="shared" si="46"/>
        <v/>
      </c>
      <c r="M208" s="712">
        <v>0</v>
      </c>
      <c r="N208" s="712">
        <v>0</v>
      </c>
      <c r="O208" s="712">
        <v>0</v>
      </c>
      <c r="P208" s="712">
        <v>0</v>
      </c>
      <c r="Q208" s="712">
        <v>0</v>
      </c>
      <c r="R208" s="712">
        <v>0</v>
      </c>
      <c r="S208" s="712">
        <v>0</v>
      </c>
      <c r="T208" s="712">
        <v>0</v>
      </c>
      <c r="U208" s="712">
        <v>0</v>
      </c>
      <c r="V208" s="712">
        <v>0</v>
      </c>
      <c r="W208" s="712">
        <v>0</v>
      </c>
      <c r="X208" s="712">
        <v>0</v>
      </c>
      <c r="Y208" s="712">
        <v>0</v>
      </c>
      <c r="Z208" s="712">
        <v>0</v>
      </c>
      <c r="AA208" s="712">
        <v>0</v>
      </c>
      <c r="AB208" s="728"/>
      <c r="AD208" s="74">
        <f>IF(ISERROR(VLOOKUP(B208,CourseList!$A$4:$A$29,1,FALSE)),0,1)</f>
        <v>0</v>
      </c>
      <c r="AE208" s="717">
        <v>195</v>
      </c>
    </row>
    <row r="209" spans="1:31" x14ac:dyDescent="0.35">
      <c r="A209" s="719" t="str">
        <f>IF('Courses Valid'!BU215=1,'Courses Valid'!BT215,IF(AND('Courses Valid'!BU215=0,'Courses Valid'!BV215=1),'Courses Valid'!BT215,IF(B208&lt;&gt;"",'Courses Valid'!BT215,"")))</f>
        <v/>
      </c>
      <c r="B209" s="2037"/>
      <c r="C209" s="346" t="str">
        <f t="shared" si="39"/>
        <v/>
      </c>
      <c r="D209" s="346" t="str">
        <f t="shared" si="40"/>
        <v/>
      </c>
      <c r="E209" s="346" t="str">
        <f t="shared" si="41"/>
        <v/>
      </c>
      <c r="F209" s="710" t="str">
        <f t="shared" si="42"/>
        <v/>
      </c>
      <c r="G209" s="346" t="str">
        <f t="shared" si="43"/>
        <v/>
      </c>
      <c r="H209" s="710"/>
      <c r="I209" s="346" t="str">
        <f t="shared" si="44"/>
        <v/>
      </c>
      <c r="J209" s="710"/>
      <c r="K209" s="727" t="str">
        <f t="shared" si="45"/>
        <v/>
      </c>
      <c r="L209" s="1574" t="str">
        <f t="shared" si="46"/>
        <v/>
      </c>
      <c r="M209" s="712">
        <v>0</v>
      </c>
      <c r="N209" s="712">
        <v>0</v>
      </c>
      <c r="O209" s="712">
        <v>0</v>
      </c>
      <c r="P209" s="712">
        <v>0</v>
      </c>
      <c r="Q209" s="712">
        <v>0</v>
      </c>
      <c r="R209" s="712">
        <v>0</v>
      </c>
      <c r="S209" s="712">
        <v>0</v>
      </c>
      <c r="T209" s="712">
        <v>0</v>
      </c>
      <c r="U209" s="712">
        <v>0</v>
      </c>
      <c r="V209" s="712">
        <v>0</v>
      </c>
      <c r="W209" s="712">
        <v>0</v>
      </c>
      <c r="X209" s="712">
        <v>0</v>
      </c>
      <c r="Y209" s="712">
        <v>0</v>
      </c>
      <c r="Z209" s="712">
        <v>0</v>
      </c>
      <c r="AA209" s="712">
        <v>0</v>
      </c>
      <c r="AB209" s="728"/>
      <c r="AD209" s="74">
        <f>IF(ISERROR(VLOOKUP(B209,CourseList!$A$4:$A$29,1,FALSE)),0,1)</f>
        <v>0</v>
      </c>
      <c r="AE209" s="717">
        <v>196</v>
      </c>
    </row>
    <row r="210" spans="1:31" x14ac:dyDescent="0.35">
      <c r="A210" s="719" t="str">
        <f>IF('Courses Valid'!BU216=1,'Courses Valid'!BT216,IF(AND('Courses Valid'!BU216=0,'Courses Valid'!BV216=1),'Courses Valid'!BT216,IF(B209&lt;&gt;"",'Courses Valid'!BT216,"")))</f>
        <v/>
      </c>
      <c r="B210" s="2037"/>
      <c r="C210" s="346" t="str">
        <f t="shared" si="39"/>
        <v/>
      </c>
      <c r="D210" s="346" t="str">
        <f t="shared" si="40"/>
        <v/>
      </c>
      <c r="E210" s="346" t="str">
        <f t="shared" si="41"/>
        <v/>
      </c>
      <c r="F210" s="710" t="str">
        <f t="shared" si="42"/>
        <v/>
      </c>
      <c r="G210" s="346" t="str">
        <f t="shared" si="43"/>
        <v/>
      </c>
      <c r="H210" s="710"/>
      <c r="I210" s="346" t="str">
        <f t="shared" si="44"/>
        <v/>
      </c>
      <c r="J210" s="710"/>
      <c r="K210" s="727" t="str">
        <f t="shared" si="45"/>
        <v/>
      </c>
      <c r="L210" s="1574" t="str">
        <f t="shared" si="46"/>
        <v/>
      </c>
      <c r="M210" s="712">
        <v>0</v>
      </c>
      <c r="N210" s="712">
        <v>0</v>
      </c>
      <c r="O210" s="712">
        <v>0</v>
      </c>
      <c r="P210" s="712">
        <v>0</v>
      </c>
      <c r="Q210" s="712">
        <v>0</v>
      </c>
      <c r="R210" s="712">
        <v>0</v>
      </c>
      <c r="S210" s="712">
        <v>0</v>
      </c>
      <c r="T210" s="712">
        <v>0</v>
      </c>
      <c r="U210" s="712">
        <v>0</v>
      </c>
      <c r="V210" s="712">
        <v>0</v>
      </c>
      <c r="W210" s="712">
        <v>0</v>
      </c>
      <c r="X210" s="712">
        <v>0</v>
      </c>
      <c r="Y210" s="712">
        <v>0</v>
      </c>
      <c r="Z210" s="712">
        <v>0</v>
      </c>
      <c r="AA210" s="712">
        <v>0</v>
      </c>
      <c r="AB210" s="728"/>
      <c r="AD210" s="74">
        <f>IF(ISERROR(VLOOKUP(B210,CourseList!$A$4:$A$29,1,FALSE)),0,1)</f>
        <v>0</v>
      </c>
      <c r="AE210" s="717">
        <v>197</v>
      </c>
    </row>
    <row r="211" spans="1:31" x14ac:dyDescent="0.35">
      <c r="A211" s="719" t="str">
        <f>IF('Courses Valid'!BU217=1,'Courses Valid'!BT217,IF(AND('Courses Valid'!BU217=0,'Courses Valid'!BV217=1),'Courses Valid'!BT217,IF(B210&lt;&gt;"",'Courses Valid'!BT217,"")))</f>
        <v/>
      </c>
      <c r="B211" s="2037"/>
      <c r="C211" s="346" t="str">
        <f t="shared" si="39"/>
        <v/>
      </c>
      <c r="D211" s="346" t="str">
        <f t="shared" si="40"/>
        <v/>
      </c>
      <c r="E211" s="346" t="str">
        <f t="shared" si="41"/>
        <v/>
      </c>
      <c r="F211" s="710" t="str">
        <f t="shared" si="42"/>
        <v/>
      </c>
      <c r="G211" s="346" t="str">
        <f t="shared" si="43"/>
        <v/>
      </c>
      <c r="H211" s="710"/>
      <c r="I211" s="346" t="str">
        <f t="shared" si="44"/>
        <v/>
      </c>
      <c r="J211" s="710"/>
      <c r="K211" s="727" t="str">
        <f t="shared" si="45"/>
        <v/>
      </c>
      <c r="L211" s="1574" t="str">
        <f t="shared" si="46"/>
        <v/>
      </c>
      <c r="M211" s="712">
        <v>0</v>
      </c>
      <c r="N211" s="712">
        <v>0</v>
      </c>
      <c r="O211" s="712">
        <v>0</v>
      </c>
      <c r="P211" s="712">
        <v>0</v>
      </c>
      <c r="Q211" s="712">
        <v>0</v>
      </c>
      <c r="R211" s="712">
        <v>0</v>
      </c>
      <c r="S211" s="712">
        <v>0</v>
      </c>
      <c r="T211" s="712">
        <v>0</v>
      </c>
      <c r="U211" s="712">
        <v>0</v>
      </c>
      <c r="V211" s="712">
        <v>0</v>
      </c>
      <c r="W211" s="712">
        <v>0</v>
      </c>
      <c r="X211" s="712">
        <v>0</v>
      </c>
      <c r="Y211" s="712">
        <v>0</v>
      </c>
      <c r="Z211" s="712">
        <v>0</v>
      </c>
      <c r="AA211" s="712">
        <v>0</v>
      </c>
      <c r="AB211" s="728"/>
      <c r="AD211" s="74">
        <f>IF(ISERROR(VLOOKUP(B211,CourseList!$A$4:$A$29,1,FALSE)),0,1)</f>
        <v>0</v>
      </c>
      <c r="AE211" s="717">
        <v>198</v>
      </c>
    </row>
    <row r="212" spans="1:31" x14ac:dyDescent="0.35">
      <c r="A212" s="719" t="str">
        <f>IF('Courses Valid'!BU218=1,'Courses Valid'!BT218,IF(AND('Courses Valid'!BU218=0,'Courses Valid'!BV218=1),'Courses Valid'!BT218,IF(B211&lt;&gt;"",'Courses Valid'!BT218,"")))</f>
        <v/>
      </c>
      <c r="B212" s="2037"/>
      <c r="C212" s="346" t="str">
        <f t="shared" si="39"/>
        <v/>
      </c>
      <c r="D212" s="346" t="str">
        <f t="shared" si="40"/>
        <v/>
      </c>
      <c r="E212" s="346" t="str">
        <f t="shared" si="41"/>
        <v/>
      </c>
      <c r="F212" s="710" t="str">
        <f t="shared" si="42"/>
        <v/>
      </c>
      <c r="G212" s="346" t="str">
        <f t="shared" si="43"/>
        <v/>
      </c>
      <c r="H212" s="710"/>
      <c r="I212" s="346" t="str">
        <f t="shared" si="44"/>
        <v/>
      </c>
      <c r="J212" s="710"/>
      <c r="K212" s="727" t="str">
        <f t="shared" si="45"/>
        <v/>
      </c>
      <c r="L212" s="1574" t="str">
        <f t="shared" si="46"/>
        <v/>
      </c>
      <c r="M212" s="712">
        <v>0</v>
      </c>
      <c r="N212" s="712">
        <v>0</v>
      </c>
      <c r="O212" s="712">
        <v>0</v>
      </c>
      <c r="P212" s="712">
        <v>0</v>
      </c>
      <c r="Q212" s="712">
        <v>0</v>
      </c>
      <c r="R212" s="712">
        <v>0</v>
      </c>
      <c r="S212" s="712">
        <v>0</v>
      </c>
      <c r="T212" s="712">
        <v>0</v>
      </c>
      <c r="U212" s="712">
        <v>0</v>
      </c>
      <c r="V212" s="712">
        <v>0</v>
      </c>
      <c r="W212" s="712">
        <v>0</v>
      </c>
      <c r="X212" s="712">
        <v>0</v>
      </c>
      <c r="Y212" s="712">
        <v>0</v>
      </c>
      <c r="Z212" s="712">
        <v>0</v>
      </c>
      <c r="AA212" s="712">
        <v>0</v>
      </c>
      <c r="AB212" s="728"/>
      <c r="AD212" s="74">
        <f>IF(ISERROR(VLOOKUP(B212,CourseList!$A$4:$A$29,1,FALSE)),0,1)</f>
        <v>0</v>
      </c>
      <c r="AE212" s="717">
        <v>199</v>
      </c>
    </row>
    <row r="213" spans="1:31" x14ac:dyDescent="0.35">
      <c r="A213" s="719" t="str">
        <f>IF('Courses Valid'!BU219=1,'Courses Valid'!BT219,IF(AND('Courses Valid'!BU219=0,'Courses Valid'!BV219=1),'Courses Valid'!BT219,IF(B212&lt;&gt;"",'Courses Valid'!BT219,"")))</f>
        <v/>
      </c>
      <c r="B213" s="2037"/>
      <c r="C213" s="346" t="str">
        <f t="shared" si="39"/>
        <v/>
      </c>
      <c r="D213" s="346" t="str">
        <f t="shared" si="40"/>
        <v/>
      </c>
      <c r="E213" s="346" t="str">
        <f t="shared" si="41"/>
        <v/>
      </c>
      <c r="F213" s="710" t="str">
        <f t="shared" si="42"/>
        <v/>
      </c>
      <c r="G213" s="346" t="str">
        <f t="shared" si="43"/>
        <v/>
      </c>
      <c r="H213" s="710"/>
      <c r="I213" s="346" t="str">
        <f t="shared" si="44"/>
        <v/>
      </c>
      <c r="J213" s="710"/>
      <c r="K213" s="727" t="str">
        <f t="shared" si="45"/>
        <v/>
      </c>
      <c r="L213" s="1574" t="str">
        <f t="shared" si="46"/>
        <v/>
      </c>
      <c r="M213" s="712">
        <v>0</v>
      </c>
      <c r="N213" s="712">
        <v>0</v>
      </c>
      <c r="O213" s="712">
        <v>0</v>
      </c>
      <c r="P213" s="712">
        <v>0</v>
      </c>
      <c r="Q213" s="712">
        <v>0</v>
      </c>
      <c r="R213" s="712">
        <v>0</v>
      </c>
      <c r="S213" s="712">
        <v>0</v>
      </c>
      <c r="T213" s="712">
        <v>0</v>
      </c>
      <c r="U213" s="712">
        <v>0</v>
      </c>
      <c r="V213" s="712">
        <v>0</v>
      </c>
      <c r="W213" s="712">
        <v>0</v>
      </c>
      <c r="X213" s="712">
        <v>0</v>
      </c>
      <c r="Y213" s="712">
        <v>0</v>
      </c>
      <c r="Z213" s="712">
        <v>0</v>
      </c>
      <c r="AA213" s="712">
        <v>0</v>
      </c>
      <c r="AB213" s="728"/>
      <c r="AD213" s="74">
        <f>IF(ISERROR(VLOOKUP(B213,CourseList!$A$4:$A$29,1,FALSE)),0,1)</f>
        <v>0</v>
      </c>
      <c r="AE213" s="717">
        <v>200</v>
      </c>
    </row>
    <row r="214" spans="1:31" x14ac:dyDescent="0.35">
      <c r="A214" s="719"/>
      <c r="B214" s="729"/>
      <c r="F214" s="730"/>
      <c r="H214" s="730"/>
      <c r="J214" s="730"/>
      <c r="K214" s="727"/>
      <c r="L214" s="1574"/>
      <c r="M214" s="719"/>
      <c r="N214" s="719"/>
      <c r="O214" s="719"/>
      <c r="P214" s="719"/>
      <c r="Q214" s="719"/>
      <c r="R214" s="719"/>
      <c r="S214" s="719"/>
      <c r="T214" s="719"/>
      <c r="U214" s="719"/>
      <c r="V214" s="719"/>
      <c r="W214" s="719"/>
      <c r="X214" s="719"/>
      <c r="Y214" s="719"/>
      <c r="Z214" s="719"/>
      <c r="AA214" s="719"/>
    </row>
    <row r="215" spans="1:31" x14ac:dyDescent="0.35">
      <c r="A215" s="719"/>
      <c r="B215" s="729"/>
      <c r="F215" s="730"/>
      <c r="H215" s="730"/>
      <c r="J215" s="730"/>
      <c r="M215" s="719"/>
      <c r="N215" s="719"/>
      <c r="O215" s="719"/>
      <c r="P215" s="719"/>
      <c r="Q215" s="719"/>
      <c r="R215" s="719"/>
      <c r="S215" s="719"/>
      <c r="T215" s="719"/>
      <c r="U215" s="719"/>
      <c r="V215" s="719"/>
      <c r="W215" s="719"/>
      <c r="X215" s="719"/>
      <c r="Y215" s="719"/>
      <c r="Z215" s="719"/>
      <c r="AA215" s="719"/>
    </row>
  </sheetData>
  <sheetProtection algorithmName="SHA-512" hashValue="ESALehLZHQWKAka3fXM6RpVmw7gT+mQAj8cs+76Gv1VGYRtr6n2BLdQ4m4lGuHyApCJeKu3CbhDgQP3dxEr2RA==" saltValue="5RToIYVafpdVPfG7GZEkEQ==" spinCount="100000" sheet="1" objects="1" scenarios="1"/>
  <autoFilter ref="B10:D215" xr:uid="{00000000-0009-0000-0000-000003000000}"/>
  <mergeCells count="28">
    <mergeCell ref="M5:Q5"/>
    <mergeCell ref="R5:V5"/>
    <mergeCell ref="W5:AA5"/>
    <mergeCell ref="M6:Q6"/>
    <mergeCell ref="R6:V6"/>
    <mergeCell ref="W6:AA6"/>
    <mergeCell ref="K5:L5"/>
    <mergeCell ref="A5:D5"/>
    <mergeCell ref="A6:D6"/>
    <mergeCell ref="E5:J5"/>
    <mergeCell ref="E6:J6"/>
    <mergeCell ref="K6:L6"/>
    <mergeCell ref="A10:A12"/>
    <mergeCell ref="E10:E12"/>
    <mergeCell ref="F10:F12"/>
    <mergeCell ref="G10:G12"/>
    <mergeCell ref="H10:H12"/>
    <mergeCell ref="AB7:AB8"/>
    <mergeCell ref="I10:I12"/>
    <mergeCell ref="J10:J12"/>
    <mergeCell ref="C10:C12"/>
    <mergeCell ref="B10:B12"/>
    <mergeCell ref="Q10:Q11"/>
    <mergeCell ref="V10:V11"/>
    <mergeCell ref="AA10:AA11"/>
    <mergeCell ref="M8:Q8"/>
    <mergeCell ref="R8:V8"/>
    <mergeCell ref="W8:AA8"/>
  </mergeCells>
  <conditionalFormatting sqref="A5:AB5">
    <cfRule type="cellIs" dxfId="232" priority="53" operator="notEqual">
      <formula>"Validation: OK"</formula>
    </cfRule>
  </conditionalFormatting>
  <conditionalFormatting sqref="A6:AB6">
    <cfRule type="cellIs" dxfId="231" priority="52" operator="notEqual">
      <formula>"Credibility: OK"</formula>
    </cfRule>
  </conditionalFormatting>
  <conditionalFormatting sqref="A14:AB215">
    <cfRule type="expression" dxfId="230" priority="50">
      <formula>IF(AND($A15&lt;&gt;"",$A14&lt;&gt;""),1,0)</formula>
    </cfRule>
    <cfRule type="expression" dxfId="229" priority="51">
      <formula>IF(AND($A15="",$A14&lt;&gt;""),1,0)</formula>
    </cfRule>
  </conditionalFormatting>
  <conditionalFormatting sqref="B14:B215">
    <cfRule type="expression" dxfId="228" priority="2">
      <formula>IF($A14&lt;&gt;"",1,0)</formula>
    </cfRule>
  </conditionalFormatting>
  <conditionalFormatting sqref="E14:E214">
    <cfRule type="expression" dxfId="226" priority="17">
      <formula>IF($A14&lt;&gt;"",1,0)</formula>
    </cfRule>
  </conditionalFormatting>
  <conditionalFormatting sqref="F14:F215 L14:L215 D15:D215 H15:H215 J15:J215 N15:Q215 S15:V215 X15:AA215">
    <cfRule type="expression" dxfId="225" priority="5">
      <formula>IF($A14&lt;&gt;"",1,0)</formula>
    </cfRule>
  </conditionalFormatting>
  <conditionalFormatting sqref="G15:G215 I15:I215 A15:A215 D15:E215">
    <cfRule type="expression" dxfId="224" priority="45">
      <formula>IF($A15&lt;&gt;"",1,0)</formula>
    </cfRule>
  </conditionalFormatting>
  <conditionalFormatting sqref="G14:H215">
    <cfRule type="expression" dxfId="223" priority="44">
      <formula>IF(AND($B14&lt;&gt;"",$G14=""),1,0)</formula>
    </cfRule>
  </conditionalFormatting>
  <conditionalFormatting sqref="I14:J215">
    <cfRule type="expression" dxfId="222" priority="19">
      <formula>IF(AND($B14&lt;&gt;"",$I14=""),1,0)</formula>
    </cfRule>
  </conditionalFormatting>
  <conditionalFormatting sqref="K14:K215">
    <cfRule type="expression" dxfId="221" priority="3">
      <formula>IF($A14&lt;&gt;"",1,0)</formula>
    </cfRule>
  </conditionalFormatting>
  <conditionalFormatting sqref="M14:N215 R14:S215 W14:X215">
    <cfRule type="expression" dxfId="220" priority="48">
      <formula>IF(AND($B14&lt;&gt;"",$K14="PGR"),1,0)</formula>
    </cfRule>
  </conditionalFormatting>
  <conditionalFormatting sqref="M14:AB215">
    <cfRule type="expression" dxfId="219" priority="25">
      <formula>IF($A14="",1,0)</formula>
    </cfRule>
    <cfRule type="expression" dxfId="218" priority="46">
      <formula>IF(AND($A14&lt;&gt;"",M14=0),1,0)</formula>
    </cfRule>
  </conditionalFormatting>
  <conditionalFormatting sqref="AB14:AB215 E15:E215 G15:G215 I15:I215 M15:M215 R15:R215 W15:W215">
    <cfRule type="expression" dxfId="217" priority="49">
      <formula>IF($A14&lt;&gt;"",1,0)</formula>
    </cfRule>
  </conditionalFormatting>
  <conditionalFormatting sqref="AB14:AB215">
    <cfRule type="expression" dxfId="216" priority="1">
      <formula>IF(LEN(AB14)&gt;200,1,0)</formula>
    </cfRule>
    <cfRule type="expression" dxfId="215" priority="414547">
      <formula>IF(AND($B14&lt;&gt;"",$AD14=0),1,0)</formula>
    </cfRule>
  </conditionalFormatting>
  <dataValidations count="4">
    <dataValidation type="decimal" allowBlank="1" showErrorMessage="1" errorTitle="Invalid proportion" error="Please enter a price group proportion between 0% and 100%." sqref="H14:H213 J14:J213" xr:uid="{00000000-0002-0000-0300-000000000000}">
      <formula1>0</formula1>
      <formula2>1</formula2>
    </dataValidation>
    <dataValidation type="custom" allowBlank="1" showInputMessage="1" showErrorMessage="1" error="A temporary learning aim has not been used." sqref="AB14:AB213" xr:uid="{53052F9B-B162-44A1-9FC5-86E304FF7C18}">
      <formula1>AD14=1</formula1>
    </dataValidation>
    <dataValidation type="custom" allowBlank="1" showInputMessage="1" showErrorMessage="1" errorTitle="Validation check" sqref="N14:AA213 M15:M213" xr:uid="{9651079C-2B36-43E5-8534-3E7FC614E651}">
      <formula1>AND(M14&gt;=0,ROUND(M14,0)=M14)</formula1>
    </dataValidation>
    <dataValidation type="custom" allowBlank="1" showInputMessage="1" showErrorMessage="1" errorTitle="Validation check" error="The modal columns on the courses table can only contain postive integers or zero." sqref="M14" xr:uid="{F5238891-23D6-43AE-87C0-2AA91CE57C82}">
      <formula1>AND(M14&gt;=0,ROUND(M14,0)=M14)</formula1>
    </dataValidation>
  </dataValidations>
  <pageMargins left="0.70866141732283472" right="0.70866141732283472" top="0.74803149606299213" bottom="0.74803149606299213" header="0.31496062992125984" footer="0.31496062992125984"/>
  <pageSetup paperSize="8" scale="40" fitToHeight="0" orientation="landscape" r:id="rId1"/>
  <rowBreaks count="3" manualBreakCount="3">
    <brk id="38" max="43" man="1"/>
    <brk id="81" max="20" man="1"/>
    <brk id="131" max="2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7EB2576-710E-4EBC-8230-C6927DDD57D7}">
            <xm:f>IF('Courses Valid'!F229=1,1,0)</xm:f>
            <x14:dxf>
              <font>
                <b/>
                <i val="0"/>
                <color rgb="FFFF0000"/>
              </font>
            </x14:dxf>
          </x14:cfRule>
          <xm:sqref>B14:AA215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Length can only be recorded as the values shown in the drop down list." xr:uid="{00000000-0002-0000-0300-000002000000}">
          <x14:formula1>
            <xm:f>'Courses Valid'!$D$9:$D$10</xm:f>
          </x14:formula1>
          <xm:sqref>L14:L213</xm:sqref>
        </x14:dataValidation>
        <x14:dataValidation type="list" allowBlank="1" showInputMessage="1" showErrorMessage="1" error="Level can only be recorded as the values shown in the drop down list." xr:uid="{00000000-0002-0000-0300-000001000000}">
          <x14:formula1>
            <xm:f>'Courses Valid'!$B$9:$B$14</xm:f>
          </x14:formula1>
          <xm:sqref>K14:K213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CN429"/>
  <sheetViews>
    <sheetView workbookViewId="0"/>
  </sheetViews>
  <sheetFormatPr defaultColWidth="9" defaultRowHeight="12.75" x14ac:dyDescent="0.35"/>
  <cols>
    <col min="2" max="2" width="16.59765625" bestFit="1" customWidth="1"/>
    <col min="3" max="3" width="30.1328125" bestFit="1" customWidth="1"/>
    <col min="4" max="4" width="8.1328125" bestFit="1" customWidth="1"/>
    <col min="5" max="89" width="9" customWidth="1"/>
    <col min="90" max="90" width="23" bestFit="1" customWidth="1"/>
    <col min="91" max="92" width="9" customWidth="1"/>
  </cols>
  <sheetData>
    <row r="1" spans="1:92" ht="15" x14ac:dyDescent="0.4">
      <c r="A1" s="102" t="s">
        <v>339</v>
      </c>
    </row>
    <row r="2" spans="1:92" ht="13.15" x14ac:dyDescent="0.4">
      <c r="F2" s="6" t="s">
        <v>304</v>
      </c>
      <c r="N2" s="6" t="s">
        <v>340</v>
      </c>
      <c r="T2" s="6" t="s">
        <v>341</v>
      </c>
      <c r="W2" s="6" t="s">
        <v>189</v>
      </c>
      <c r="AB2" s="6" t="s">
        <v>190</v>
      </c>
      <c r="AG2" s="6" t="s">
        <v>191</v>
      </c>
      <c r="AJ2" s="6" t="s">
        <v>342</v>
      </c>
    </row>
    <row r="3" spans="1:92" ht="13.15" x14ac:dyDescent="0.4">
      <c r="B3" s="14" t="s">
        <v>343</v>
      </c>
      <c r="D3" s="40">
        <f>IF(AND(F3="Validation: OK",N3="Validation: OK",T3="Validation: OK",W3="Validation: OK",AB3="Validation: OK",AG3="Validation: OK",AJ3="Validation: OK"),0,1)</f>
        <v>0</v>
      </c>
      <c r="F3" s="575" t="str">
        <f>IF(AND(G18="",H18="",L18="",BW18=""),"Validation: OK","Validation: Failure (see right of table)")</f>
        <v>Validation: OK</v>
      </c>
      <c r="G3" s="11"/>
      <c r="H3" s="11"/>
      <c r="I3" s="11"/>
      <c r="J3" s="11"/>
      <c r="K3" s="11"/>
      <c r="L3" s="11"/>
      <c r="M3" s="11"/>
      <c r="N3" s="576" t="str">
        <f>IF(AND(U16="",O16="",AB16=""),"Validation: OK","Validation: Failure (see right of table)")</f>
        <v>Validation: OK</v>
      </c>
      <c r="O3" s="11"/>
      <c r="P3" s="11"/>
      <c r="Q3" s="11"/>
      <c r="R3" s="11"/>
      <c r="S3" s="11"/>
      <c r="T3" s="577" t="str">
        <f>IF(AND(AG18="",AH18=""),"Validation: OK","Validation: Failure (see right of table)")</f>
        <v>Validation: OK</v>
      </c>
      <c r="U3" s="11"/>
      <c r="V3" s="11"/>
      <c r="W3" s="578" t="str">
        <f>IF(AND(AP16="",BH16="",BZ18=""),"Validation: OK","Validation: Failure (see right of table)")</f>
        <v>Validation: OK</v>
      </c>
      <c r="X3" s="11"/>
      <c r="Y3" s="11"/>
      <c r="Z3" s="11"/>
      <c r="AA3" s="11"/>
      <c r="AB3" s="579" t="str">
        <f>IF(AND(AU16="",BM16="",BZ18=""),"Validation: OK","Validation: Failure (see right of table)")</f>
        <v>Validation: OK</v>
      </c>
      <c r="AC3" s="11"/>
      <c r="AD3" s="11"/>
      <c r="AE3" s="11"/>
      <c r="AF3" s="11"/>
      <c r="AG3" s="580" t="str">
        <f>IF(AND(AZ16="",BR16="",BZ18=""),"Validation: OK","Validation: Failure (see right of table)")</f>
        <v>Validation: OK</v>
      </c>
      <c r="AH3" s="11"/>
      <c r="AI3" s="11"/>
      <c r="AJ3" s="344" t="str">
        <f>IF(CC18="","Validation: OK","Validation: Failure (see right of table)")</f>
        <v>Validation: OK</v>
      </c>
      <c r="AK3" s="11"/>
      <c r="AL3" s="11"/>
      <c r="AM3" s="11"/>
      <c r="AN3" s="11"/>
      <c r="AO3" s="11"/>
      <c r="AP3" s="11"/>
      <c r="AQ3" s="11"/>
      <c r="AR3" s="11"/>
    </row>
    <row r="4" spans="1:92" ht="13.15" x14ac:dyDescent="0.4">
      <c r="B4" s="14" t="s">
        <v>344</v>
      </c>
      <c r="D4" s="40">
        <f>IF(AND(F4="Credibility: OK",N4="Credibility: OK",T4="Credibility: OK",W4="Credibility: OK",AB4="Credibility: OK",AG4="Credibility: OK",AJ4="Credibility: OK"),0,1)</f>
        <v>0</v>
      </c>
      <c r="F4" s="583" t="s">
        <v>345</v>
      </c>
      <c r="G4" s="11"/>
      <c r="H4" s="11"/>
      <c r="I4" s="11"/>
      <c r="J4" s="11"/>
      <c r="K4" s="11"/>
      <c r="L4" s="11"/>
      <c r="M4" s="11"/>
      <c r="N4" s="581" t="str">
        <f>IF(CG16="","Credibility: OK","Credibility: Warnings (see right of table)")</f>
        <v>Credibility: OK</v>
      </c>
      <c r="O4" s="11"/>
      <c r="P4" s="11"/>
      <c r="Q4" s="11"/>
      <c r="R4" s="11"/>
      <c r="S4" s="11"/>
      <c r="T4" s="582" t="str">
        <f>IF(CM18="","Credibility: OK","Credibility: Warnings (see right of table)")</f>
        <v>Credibility: OK</v>
      </c>
      <c r="U4" s="11"/>
      <c r="V4" s="11"/>
      <c r="W4" s="583" t="s">
        <v>345</v>
      </c>
      <c r="X4" s="11"/>
      <c r="Y4" s="11"/>
      <c r="Z4" s="11"/>
      <c r="AA4" s="11"/>
      <c r="AB4" s="583" t="s">
        <v>345</v>
      </c>
      <c r="AC4" s="11"/>
      <c r="AD4" s="11"/>
      <c r="AE4" s="11"/>
      <c r="AF4" s="11"/>
      <c r="AG4" s="583" t="s">
        <v>345</v>
      </c>
      <c r="AH4" s="11"/>
      <c r="AI4" s="11"/>
      <c r="AJ4" s="583" t="s">
        <v>345</v>
      </c>
      <c r="AK4" s="11"/>
      <c r="AL4" s="11"/>
      <c r="AM4" s="11"/>
      <c r="AN4" s="11"/>
      <c r="AO4" s="11"/>
      <c r="AP4" s="11"/>
      <c r="AQ4" s="11"/>
      <c r="AR4" s="11"/>
    </row>
    <row r="8" spans="1:92" ht="160.5" customHeight="1" x14ac:dyDescent="0.4">
      <c r="J8" s="1417"/>
      <c r="K8" s="1417"/>
      <c r="L8" s="1418"/>
      <c r="M8" s="1418" t="s">
        <v>346</v>
      </c>
      <c r="N8" s="284" t="s">
        <v>347</v>
      </c>
      <c r="O8" s="284" t="s">
        <v>348</v>
      </c>
      <c r="P8" s="285" t="s">
        <v>349</v>
      </c>
      <c r="Q8" s="284" t="s">
        <v>350</v>
      </c>
      <c r="R8" s="284" t="s">
        <v>351</v>
      </c>
      <c r="S8" s="284" t="s">
        <v>352</v>
      </c>
      <c r="T8" s="284" t="s">
        <v>353</v>
      </c>
      <c r="U8" s="284" t="s">
        <v>354</v>
      </c>
      <c r="V8" s="284" t="s">
        <v>355</v>
      </c>
      <c r="W8" s="284" t="s">
        <v>356</v>
      </c>
      <c r="X8" s="284" t="s">
        <v>357</v>
      </c>
      <c r="Y8" s="284" t="s">
        <v>358</v>
      </c>
      <c r="Z8" s="564" t="s">
        <v>359</v>
      </c>
      <c r="AB8" s="286"/>
      <c r="AC8" s="287" t="s">
        <v>360</v>
      </c>
      <c r="AD8" s="288" t="s">
        <v>361</v>
      </c>
      <c r="AE8" s="288" t="s">
        <v>362</v>
      </c>
    </row>
    <row r="9" spans="1:92" s="182" customFormat="1" ht="38.25" x14ac:dyDescent="0.35">
      <c r="B9" s="566" t="s">
        <v>205</v>
      </c>
      <c r="C9" s="184"/>
      <c r="D9" s="566" t="s">
        <v>204</v>
      </c>
      <c r="J9" s="29"/>
      <c r="K9" s="29"/>
      <c r="L9" s="1419"/>
      <c r="M9" s="1419" t="s">
        <v>363</v>
      </c>
      <c r="N9" s="593">
        <v>1</v>
      </c>
      <c r="O9" s="593">
        <v>1</v>
      </c>
      <c r="P9" s="594">
        <v>1</v>
      </c>
      <c r="Q9" s="593">
        <v>1</v>
      </c>
      <c r="R9" s="594">
        <v>1</v>
      </c>
      <c r="S9" s="593">
        <v>1</v>
      </c>
      <c r="T9" s="593">
        <v>1</v>
      </c>
      <c r="U9" s="593">
        <v>1</v>
      </c>
      <c r="V9" s="594">
        <v>1</v>
      </c>
      <c r="W9" s="594">
        <v>1</v>
      </c>
      <c r="X9" s="593">
        <v>1</v>
      </c>
      <c r="Y9" s="593">
        <v>1</v>
      </c>
      <c r="Z9" s="593">
        <v>1</v>
      </c>
      <c r="AB9" s="565"/>
      <c r="AC9" s="1420" t="s">
        <v>363</v>
      </c>
      <c r="AD9" s="595">
        <v>1</v>
      </c>
      <c r="AE9" s="595">
        <v>1</v>
      </c>
      <c r="AL9" s="182" t="s">
        <v>189</v>
      </c>
      <c r="AM9" s="182" t="s">
        <v>189</v>
      </c>
      <c r="AN9" s="182" t="s">
        <v>189</v>
      </c>
      <c r="AO9" s="182" t="s">
        <v>189</v>
      </c>
      <c r="AP9" s="182" t="s">
        <v>189</v>
      </c>
      <c r="AQ9" s="182" t="s">
        <v>190</v>
      </c>
      <c r="AR9" s="182" t="s">
        <v>190</v>
      </c>
      <c r="AS9" s="182" t="s">
        <v>190</v>
      </c>
      <c r="AT9" s="182" t="s">
        <v>190</v>
      </c>
      <c r="AU9" s="182" t="s">
        <v>190</v>
      </c>
      <c r="AV9" s="182" t="s">
        <v>191</v>
      </c>
      <c r="AW9" s="182" t="s">
        <v>191</v>
      </c>
      <c r="AX9" s="182" t="s">
        <v>191</v>
      </c>
      <c r="AY9" s="182" t="s">
        <v>191</v>
      </c>
      <c r="AZ9" s="182" t="s">
        <v>191</v>
      </c>
      <c r="BD9" s="182" t="s">
        <v>189</v>
      </c>
      <c r="BE9" s="182" t="s">
        <v>189</v>
      </c>
      <c r="BF9" s="182" t="s">
        <v>189</v>
      </c>
      <c r="BG9" s="182" t="s">
        <v>189</v>
      </c>
      <c r="BH9" s="182" t="s">
        <v>189</v>
      </c>
      <c r="BI9" s="182" t="s">
        <v>190</v>
      </c>
      <c r="BJ9" s="182" t="s">
        <v>190</v>
      </c>
      <c r="BK9" s="182" t="s">
        <v>190</v>
      </c>
      <c r="BL9" s="182" t="s">
        <v>190</v>
      </c>
      <c r="BM9" s="182" t="s">
        <v>190</v>
      </c>
      <c r="BN9" s="182" t="s">
        <v>191</v>
      </c>
      <c r="BO9" s="182" t="s">
        <v>191</v>
      </c>
      <c r="BP9" s="182" t="s">
        <v>191</v>
      </c>
      <c r="BQ9" s="182" t="s">
        <v>191</v>
      </c>
      <c r="BR9" s="182" t="s">
        <v>191</v>
      </c>
    </row>
    <row r="10" spans="1:92" s="182" customFormat="1" ht="25.5" x14ac:dyDescent="0.35">
      <c r="B10" s="182" t="s">
        <v>208</v>
      </c>
      <c r="C10" s="184"/>
      <c r="D10" s="568" t="s">
        <v>218</v>
      </c>
      <c r="AL10" s="184" t="s">
        <v>192</v>
      </c>
      <c r="AM10" s="182" t="s">
        <v>192</v>
      </c>
      <c r="AN10" s="184" t="s">
        <v>193</v>
      </c>
      <c r="AO10" s="182" t="s">
        <v>193</v>
      </c>
      <c r="AP10" s="184" t="s">
        <v>194</v>
      </c>
      <c r="AQ10" s="182" t="s">
        <v>192</v>
      </c>
      <c r="AR10" s="182" t="s">
        <v>192</v>
      </c>
      <c r="AS10" s="182" t="s">
        <v>193</v>
      </c>
      <c r="AT10" s="182" t="s">
        <v>193</v>
      </c>
      <c r="AU10" s="182" t="s">
        <v>194</v>
      </c>
      <c r="AV10" s="182" t="s">
        <v>192</v>
      </c>
      <c r="AW10" s="182" t="s">
        <v>192</v>
      </c>
      <c r="AX10" s="182" t="s">
        <v>193</v>
      </c>
      <c r="AY10" s="182" t="s">
        <v>193</v>
      </c>
      <c r="AZ10" s="182" t="s">
        <v>194</v>
      </c>
      <c r="BD10" s="182" t="s">
        <v>192</v>
      </c>
      <c r="BE10" s="182" t="s">
        <v>192</v>
      </c>
      <c r="BF10" s="182" t="s">
        <v>193</v>
      </c>
      <c r="BG10" s="182" t="s">
        <v>193</v>
      </c>
      <c r="BH10" s="182" t="s">
        <v>194</v>
      </c>
      <c r="BI10" s="182" t="s">
        <v>192</v>
      </c>
      <c r="BJ10" s="182" t="s">
        <v>192</v>
      </c>
      <c r="BK10" s="182" t="s">
        <v>193</v>
      </c>
      <c r="BL10" s="182" t="s">
        <v>193</v>
      </c>
      <c r="BM10" s="182" t="s">
        <v>194</v>
      </c>
      <c r="BN10" s="182" t="s">
        <v>192</v>
      </c>
      <c r="BO10" s="182" t="s">
        <v>192</v>
      </c>
      <c r="BP10" s="182" t="s">
        <v>193</v>
      </c>
      <c r="BQ10" s="182" t="s">
        <v>193</v>
      </c>
      <c r="BR10" s="182" t="s">
        <v>194</v>
      </c>
    </row>
    <row r="11" spans="1:92" s="182" customFormat="1" ht="25.5" x14ac:dyDescent="0.35">
      <c r="B11" s="568" t="s">
        <v>210</v>
      </c>
      <c r="C11" s="184"/>
      <c r="AL11" s="182" t="s">
        <v>195</v>
      </c>
      <c r="AM11" t="s">
        <v>196</v>
      </c>
      <c r="AN11" s="182" t="s">
        <v>195</v>
      </c>
      <c r="AO11" s="182" t="s">
        <v>196</v>
      </c>
      <c r="AQ11" s="182" t="s">
        <v>195</v>
      </c>
      <c r="AR11" s="182" t="s">
        <v>196</v>
      </c>
      <c r="AS11" s="182" t="s">
        <v>195</v>
      </c>
      <c r="AT11" s="182" t="s">
        <v>196</v>
      </c>
      <c r="AV11" s="182" t="s">
        <v>195</v>
      </c>
      <c r="AW11" s="182" t="s">
        <v>196</v>
      </c>
      <c r="AX11" s="182" t="s">
        <v>195</v>
      </c>
      <c r="AY11" s="182" t="s">
        <v>196</v>
      </c>
      <c r="BD11" s="182" t="s">
        <v>195</v>
      </c>
      <c r="BE11" t="s">
        <v>196</v>
      </c>
      <c r="BF11" s="182" t="s">
        <v>195</v>
      </c>
      <c r="BG11" s="182" t="s">
        <v>196</v>
      </c>
      <c r="BI11" s="182" t="s">
        <v>195</v>
      </c>
      <c r="BJ11" s="182" t="s">
        <v>196</v>
      </c>
      <c r="BK11" s="182" t="s">
        <v>195</v>
      </c>
      <c r="BL11" s="182" t="s">
        <v>196</v>
      </c>
      <c r="BN11" s="182" t="s">
        <v>195</v>
      </c>
      <c r="BO11" s="182" t="s">
        <v>196</v>
      </c>
      <c r="BP11" s="182" t="s">
        <v>195</v>
      </c>
      <c r="BQ11" s="182" t="s">
        <v>196</v>
      </c>
    </row>
    <row r="12" spans="1:92" ht="25.5" x14ac:dyDescent="0.35">
      <c r="B12" s="596" t="s">
        <v>212</v>
      </c>
      <c r="C12" s="11"/>
      <c r="E12" s="7"/>
      <c r="BY12" s="15"/>
      <c r="BZ12" s="15"/>
      <c r="CA12" s="15"/>
    </row>
    <row r="13" spans="1:92" x14ac:dyDescent="0.35">
      <c r="B13" s="236" t="s">
        <v>214</v>
      </c>
      <c r="C13" s="11"/>
      <c r="E13" s="7"/>
      <c r="F13" s="23"/>
      <c r="G13" s="16"/>
      <c r="H13" s="16"/>
      <c r="I13" s="117"/>
      <c r="J13" s="16"/>
      <c r="K13" s="16"/>
      <c r="L13" s="16"/>
      <c r="M13" s="16"/>
      <c r="N13" s="23"/>
      <c r="O13" s="16"/>
      <c r="P13" s="16"/>
      <c r="Q13" s="16"/>
      <c r="R13" s="16"/>
      <c r="S13" s="117"/>
      <c r="T13" s="23"/>
      <c r="U13" s="16"/>
      <c r="V13" s="16"/>
      <c r="W13" s="16"/>
      <c r="X13" s="16"/>
      <c r="Y13" s="16"/>
      <c r="Z13" s="117"/>
      <c r="AA13" s="16"/>
      <c r="AB13" s="16"/>
      <c r="AC13" s="16"/>
      <c r="AD13" s="16"/>
      <c r="AE13" s="16"/>
      <c r="AF13" s="23"/>
      <c r="AG13" s="16"/>
      <c r="AH13" s="16"/>
      <c r="AI13" s="16"/>
      <c r="AJ13" s="23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17"/>
      <c r="BB13" s="23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23"/>
      <c r="BU13" s="16"/>
      <c r="BV13" s="16"/>
      <c r="BW13" s="16"/>
      <c r="BX13" s="117"/>
      <c r="CA13" s="17"/>
      <c r="CD13" s="17"/>
      <c r="CE13" s="215"/>
      <c r="CF13" s="177"/>
      <c r="CG13" s="177"/>
      <c r="CH13" s="177"/>
      <c r="CI13" s="177"/>
      <c r="CJ13" s="178"/>
      <c r="CK13" s="179"/>
      <c r="CL13" s="177"/>
      <c r="CM13" s="177"/>
      <c r="CN13" s="289"/>
    </row>
    <row r="14" spans="1:92" ht="12.75" customHeight="1" x14ac:dyDescent="0.35">
      <c r="B14" s="377" t="s">
        <v>216</v>
      </c>
      <c r="C14" s="11"/>
      <c r="E14" s="7"/>
      <c r="F14" s="118"/>
      <c r="G14" s="3398" t="s">
        <v>364</v>
      </c>
      <c r="H14" s="3398"/>
      <c r="I14" s="17"/>
      <c r="J14" s="3399" t="s">
        <v>365</v>
      </c>
      <c r="K14" s="3400"/>
      <c r="L14" s="3400"/>
      <c r="M14" s="3401"/>
      <c r="N14" s="118"/>
      <c r="O14" s="11" t="s">
        <v>366</v>
      </c>
      <c r="S14" s="17"/>
      <c r="T14" s="118"/>
      <c r="U14" s="11" t="s">
        <v>367</v>
      </c>
      <c r="Z14" s="17"/>
      <c r="AB14" s="11" t="s">
        <v>368</v>
      </c>
      <c r="AF14" s="193"/>
      <c r="AG14" s="3396" t="s">
        <v>369</v>
      </c>
      <c r="AH14" s="3396"/>
      <c r="AI14" s="3396"/>
      <c r="AJ14" s="118"/>
      <c r="AK14" s="11" t="s">
        <v>370</v>
      </c>
      <c r="AP14" s="11" t="s">
        <v>27984</v>
      </c>
      <c r="BB14" s="118"/>
      <c r="BC14" s="11" t="s">
        <v>371</v>
      </c>
      <c r="BH14" s="11" t="s">
        <v>27984</v>
      </c>
      <c r="BT14" s="118"/>
      <c r="BU14" s="11" t="s">
        <v>372</v>
      </c>
      <c r="BX14" s="17"/>
      <c r="BY14" s="3393" t="s">
        <v>373</v>
      </c>
      <c r="BZ14" s="3394"/>
      <c r="CA14" s="3395"/>
      <c r="CB14" s="3393" t="s">
        <v>374</v>
      </c>
      <c r="CC14" s="3394"/>
      <c r="CD14" s="3395"/>
      <c r="CE14" s="215"/>
      <c r="CG14" s="11" t="s">
        <v>375</v>
      </c>
      <c r="CJ14" s="180"/>
      <c r="CK14" s="181"/>
      <c r="CL14" s="11" t="s">
        <v>376</v>
      </c>
      <c r="CN14" s="131"/>
    </row>
    <row r="15" spans="1:92" x14ac:dyDescent="0.35">
      <c r="C15" s="11"/>
      <c r="E15" s="7"/>
      <c r="F15" s="118"/>
      <c r="G15" s="3398"/>
      <c r="H15" s="3398"/>
      <c r="I15" s="17"/>
      <c r="J15" s="3399"/>
      <c r="K15" s="3400"/>
      <c r="L15" s="3400"/>
      <c r="M15" s="3401"/>
      <c r="N15" s="118"/>
      <c r="S15" s="17"/>
      <c r="T15" s="118"/>
      <c r="Z15" s="17"/>
      <c r="AF15" s="193"/>
      <c r="AG15" s="3396"/>
      <c r="AH15" s="3396"/>
      <c r="AI15" s="3396"/>
      <c r="AJ15" s="118"/>
      <c r="BB15" s="118"/>
      <c r="BT15" s="118"/>
      <c r="BX15" s="17"/>
      <c r="BY15" s="3393"/>
      <c r="BZ15" s="3394"/>
      <c r="CA15" s="3395"/>
      <c r="CB15" s="3393"/>
      <c r="CC15" s="3394"/>
      <c r="CD15" s="3395"/>
      <c r="CE15" s="215"/>
      <c r="CJ15" s="180"/>
      <c r="CK15" s="181"/>
      <c r="CN15" s="131"/>
    </row>
    <row r="16" spans="1:92" x14ac:dyDescent="0.35">
      <c r="C16" s="11"/>
      <c r="E16" s="7"/>
      <c r="F16" s="118"/>
      <c r="G16" s="3398"/>
      <c r="H16" s="3398"/>
      <c r="I16" s="17"/>
      <c r="J16" s="3399"/>
      <c r="K16" s="3400"/>
      <c r="L16" s="3400"/>
      <c r="M16" s="3401"/>
      <c r="N16" s="118"/>
      <c r="O16" s="1739" t="str">
        <f>O18&amp;P18&amp;Q18</f>
        <v/>
      </c>
      <c r="S16" s="17"/>
      <c r="T16" s="118"/>
      <c r="U16" s="1739" t="str">
        <f>U18&amp;V18&amp;W18&amp;Y18</f>
        <v/>
      </c>
      <c r="Z16" s="17"/>
      <c r="AB16" s="1739" t="str">
        <f>AB18&amp;AC18&amp;AD18</f>
        <v/>
      </c>
      <c r="AF16" s="118"/>
      <c r="AJ16" s="118"/>
      <c r="AL16" s="1731" t="str">
        <f>AP16&amp;AU16&amp;AZ16</f>
        <v/>
      </c>
      <c r="AP16" s="1743" t="str">
        <f>AL18&amp;AM18&amp;AN18&amp;AO18&amp;AP18</f>
        <v/>
      </c>
      <c r="AU16" s="1733" t="str">
        <f>AQ18&amp;AR18&amp;AS18&amp;AT18&amp;AU18</f>
        <v/>
      </c>
      <c r="AZ16" s="1777" t="str">
        <f>AV18&amp;AW18&amp;AX18&amp;AY18&amp;AZ18</f>
        <v/>
      </c>
      <c r="BB16" s="118"/>
      <c r="BD16" s="1731" t="str">
        <f>BH16&amp;BM16&amp;BR16</f>
        <v/>
      </c>
      <c r="BH16" s="1743" t="str">
        <f>BD18&amp;BE18&amp;BF18&amp;BG18&amp;BH18</f>
        <v/>
      </c>
      <c r="BM16" s="1733" t="str">
        <f>BI18&amp;BJ18&amp;BK18&amp;BL18&amp;BM18</f>
        <v/>
      </c>
      <c r="BR16" s="1777" t="str">
        <f>BN18&amp;BO18&amp;BP18&amp;BQ18&amp;BR18</f>
        <v/>
      </c>
      <c r="BT16" s="118"/>
      <c r="BX16" s="17"/>
      <c r="BZ16" s="214"/>
      <c r="CA16" s="216"/>
      <c r="CB16" s="214"/>
      <c r="CC16" s="214"/>
      <c r="CD16" s="214"/>
      <c r="CE16" s="215"/>
      <c r="CG16" s="1734" t="str">
        <f>CG18&amp;CH18&amp;CI18</f>
        <v/>
      </c>
      <c r="CJ16" s="180"/>
      <c r="CK16" s="181"/>
      <c r="CN16" s="131"/>
    </row>
    <row r="17" spans="3:92" x14ac:dyDescent="0.35">
      <c r="C17" s="11"/>
      <c r="E17" s="7"/>
      <c r="F17" s="118"/>
      <c r="I17" s="17"/>
      <c r="N17" s="118"/>
      <c r="S17" s="17"/>
      <c r="T17" s="118"/>
      <c r="U17" s="182"/>
      <c r="Z17" s="17"/>
      <c r="AB17" s="3"/>
      <c r="AF17" s="118"/>
      <c r="AG17" s="11" t="s">
        <v>57</v>
      </c>
      <c r="AH17" s="11" t="s">
        <v>56</v>
      </c>
      <c r="AJ17" s="118"/>
      <c r="BA17" s="17"/>
      <c r="BB17" s="118"/>
      <c r="BT17" s="118"/>
      <c r="BX17" s="17"/>
      <c r="CA17" s="17"/>
      <c r="CE17" s="215"/>
      <c r="CG17" s="3"/>
      <c r="CJ17" s="180"/>
      <c r="CK17" s="181"/>
      <c r="CL17" s="3"/>
      <c r="CN17" s="131"/>
    </row>
    <row r="18" spans="3:92" ht="12.75" customHeight="1" x14ac:dyDescent="0.35">
      <c r="E18" s="83"/>
      <c r="F18" s="118"/>
      <c r="G18" s="1738" t="str">
        <f>G20&amp;G21&amp;G22&amp;G23&amp;G24&amp;G25&amp;G26&amp;G27&amp;G28&amp;G29&amp;G30&amp;G31&amp;G32&amp;G33&amp;G34&amp;G35&amp;G36&amp;G37&amp;G38&amp;G39&amp;G40&amp;G41&amp;G42&amp;G43&amp;G44&amp;G45&amp;G46&amp;G47&amp;G48&amp;G49&amp;G50&amp;G51&amp;G52&amp;G53&amp;G54&amp;G55&amp;G56&amp;G57&amp;G58&amp;G59&amp;G60&amp;G61&amp;G62&amp;G63&amp;G64&amp;G65&amp;G66&amp;G67&amp;G68&amp;G69&amp;G70&amp;G71&amp;G72&amp;G73&amp;G74&amp;G75&amp;G76&amp;G77&amp;G78&amp;G79&amp;G80&amp;G81&amp;G82&amp;G83&amp;G84&amp;G85&amp;G86&amp;G87&amp;G88&amp;G89&amp;G90&amp;G91&amp;G92&amp;G93&amp;G94&amp;G95&amp;G96&amp;G97&amp;G98&amp;G99&amp;G100&amp;G101&amp;G102&amp;G103&amp;G104&amp;G105&amp;G106&amp;G107&amp;G108&amp;G109&amp;G110&amp;G111&amp;G112&amp;G113&amp;G114&amp;G115&amp;G116&amp;G117&amp;G118&amp;G119&amp;G120&amp;G121&amp;G122&amp;G123&amp;G124&amp;G125&amp;G126&amp;G127&amp;G128&amp;G129&amp;G130&amp;G131&amp;G132&amp;G133&amp;G134&amp;G135&amp;G136&amp;G137&amp;G138&amp;G139&amp;G140&amp;G141&amp;G142&amp;G143&amp;G144&amp;G145&amp;G146&amp;G147&amp;G148&amp;G149&amp;G150&amp;G151&amp;G152&amp;G153&amp;G154&amp;G155&amp;G156&amp;G157&amp;G158&amp;G159&amp;G160&amp;G161&amp;G162&amp;G163&amp;G164&amp;G165&amp;G166&amp;G167&amp;G168&amp;G169&amp;G170&amp;G171&amp;G172&amp;G173&amp;G174&amp;G175&amp;G176&amp;G177&amp;G178&amp;G179&amp;G180&amp;G181&amp;G182&amp;G183&amp;G184&amp;G185&amp;G186&amp;G187&amp;G188&amp;G189&amp;G190&amp;G191&amp;G192&amp;G193&amp;G194&amp;G195&amp;G196&amp;G197&amp;G198&amp;G199&amp;G200&amp;G201&amp;G202&amp;G203&amp;G204&amp;G205&amp;G206&amp;G207&amp;G208&amp;G209&amp;G210&amp;G211&amp;G212&amp;G213&amp;G214&amp;G215&amp;G216&amp;G217&amp;G218&amp;G219</f>
        <v/>
      </c>
      <c r="H18" s="1738" t="str">
        <f>H20&amp;H21&amp;H22&amp;H23&amp;H24&amp;H25&amp;H26&amp;H27&amp;H28&amp;H29&amp;H30&amp;H31&amp;H32&amp;H33&amp;H34&amp;H35&amp;H36&amp;H37&amp;H38&amp;H39&amp;H40&amp;H41&amp;H42&amp;H43&amp;H44&amp;H45&amp;H46&amp;H47&amp;H48&amp;H49&amp;H50&amp;H51&amp;H52&amp;H53&amp;H54&amp;H55&amp;H56&amp;H57&amp;H58&amp;H59&amp;H60&amp;H61&amp;H62&amp;H63&amp;H64&amp;H65&amp;H66&amp;H67&amp;H68&amp;H69&amp;H70&amp;H71&amp;H72&amp;H73&amp;H74&amp;H75&amp;H76&amp;H77&amp;H78&amp;H79&amp;H80&amp;H81&amp;H82&amp;H83&amp;H84&amp;H85&amp;H86&amp;H87&amp;H88&amp;H89&amp;H90&amp;H91&amp;H92&amp;H93&amp;H94&amp;H95&amp;H96&amp;H97&amp;H98&amp;H99&amp;H100&amp;H101&amp;H102&amp;H103&amp;H104&amp;H105&amp;H106&amp;H107&amp;H108&amp;H109&amp;H110&amp;H111&amp;H112&amp;H113&amp;H114&amp;H115&amp;H116&amp;H117&amp;H118&amp;H119&amp;H120&amp;H121&amp;H122&amp;H123&amp;H124&amp;H125&amp;H126&amp;H127&amp;H128&amp;H129&amp;H130&amp;H131&amp;H132&amp;H133&amp;H134&amp;H135&amp;H136&amp;H137&amp;H138&amp;H139&amp;H140&amp;H141&amp;H142&amp;H143&amp;H144&amp;H145&amp;H146&amp;H147&amp;H148&amp;H149&amp;H150&amp;H151&amp;H152&amp;H153&amp;H154&amp;H155&amp;H156&amp;H157&amp;H158&amp;H159&amp;H160&amp;H161&amp;H162&amp;H163&amp;H164&amp;H165&amp;H166&amp;H167&amp;H168&amp;H169&amp;H170&amp;H171&amp;H172&amp;H173&amp;H174&amp;H175&amp;H176&amp;H177&amp;H178&amp;H179&amp;H180&amp;H181&amp;H182&amp;H183&amp;H184&amp;H185&amp;H186&amp;H187&amp;H188&amp;H189&amp;H190&amp;H191&amp;H192&amp;H193&amp;H194&amp;H195&amp;H196&amp;H197&amp;H198&amp;H199&amp;H200&amp;H201&amp;H202&amp;H203&amp;H204&amp;H205&amp;H206&amp;H207&amp;H208&amp;H209&amp;H210&amp;H211&amp;H212&amp;H213&amp;H214&amp;H215&amp;H216&amp;H217&amp;H218&amp;H219</f>
        <v/>
      </c>
      <c r="I18" s="17"/>
      <c r="L18" s="1738" t="str">
        <f>L20&amp;L21&amp;L22&amp;L23&amp;L24&amp;L25&amp;L26&amp;L27&amp;L28&amp;L29&amp;L30&amp;L31&amp;L32&amp;L33&amp;L34&amp;L35&amp;L36&amp;L37&amp;L38&amp;L39&amp;L40&amp;L41&amp;L42&amp;L43&amp;L44&amp;L45&amp;L46&amp;L47&amp;L48&amp;L49&amp;L50&amp;L51&amp;L52&amp;L53&amp;L54&amp;L55&amp;L56&amp;L57&amp;L58&amp;L59&amp;L60&amp;L61&amp;L62&amp;L63&amp;L64&amp;L65&amp;L66&amp;L67&amp;L68&amp;L69&amp;L70&amp;L71&amp;L72&amp;L73&amp;L74&amp;L75&amp;L76&amp;L77&amp;L78&amp;L79&amp;L80&amp;L81&amp;L82&amp;L83&amp;L84&amp;L85&amp;L86&amp;L87&amp;L88&amp;L89&amp;L90&amp;L91&amp;L92&amp;L93&amp;L94&amp;L95&amp;L96&amp;L97&amp;L98&amp;L99&amp;L100&amp;L101&amp;L102&amp;L103&amp;L104&amp;L105&amp;L106&amp;L107&amp;L108&amp;L109&amp;L110&amp;L111&amp;L112&amp;L113&amp;L114&amp;L115&amp;L116&amp;L117&amp;L118&amp;L119&amp;L120&amp;L121&amp;L122&amp;L123&amp;L124&amp;L125&amp;L126&amp;L127&amp;L128&amp;L129&amp;L130&amp;L131&amp;L132&amp;L133&amp;L134&amp;L135&amp;L136&amp;L137&amp;L138&amp;L139&amp;L140&amp;L141&amp;L142&amp;L143&amp;L144&amp;L145&amp;L146&amp;L147&amp;L148&amp;L149&amp;L150&amp;L151&amp;L152&amp;L153&amp;L154&amp;L155&amp;L156&amp;L157&amp;L158&amp;L159&amp;L160&amp;L161&amp;L162&amp;L163&amp;L164&amp;L165&amp;L166&amp;L167&amp;L168&amp;L169&amp;L170&amp;L171&amp;L172&amp;L173&amp;L174&amp;L175&amp;L176&amp;L177&amp;L178&amp;L179&amp;L180&amp;L181&amp;L182&amp;L183&amp;L184&amp;L185&amp;L186&amp;L187&amp;L188&amp;L189&amp;L190&amp;L191&amp;L192&amp;L193&amp;L194&amp;L195&amp;L196&amp;L197&amp;L198&amp;L199&amp;L200&amp;L201&amp;L202&amp;L203&amp;L204&amp;L205&amp;L206&amp;L207&amp;L208&amp;L209&amp;L210&amp;L211&amp;L212&amp;L213&amp;L214&amp;L215&amp;L216&amp;L217&amp;L218&amp;L219</f>
        <v/>
      </c>
      <c r="N18" s="118"/>
      <c r="O18" s="1731" t="str">
        <f>O20&amp;O21&amp;O22&amp;O23&amp;O24&amp;O25&amp;O26&amp;O27&amp;O28&amp;O29&amp;O30&amp;O31&amp;O32&amp;O33&amp;O34&amp;O35&amp;O36&amp;O37&amp;O38&amp;O39&amp;O40&amp;O41&amp;O42&amp;O43&amp;O44&amp;O45&amp;O46&amp;O47&amp;O48&amp;O49&amp;O50&amp;O51&amp;O52&amp;O53&amp;O54&amp;O55&amp;O56&amp;O57&amp;O58&amp;O59&amp;O60&amp;O61&amp;O62&amp;O63&amp;O64&amp;O65&amp;O66&amp;O67&amp;O68&amp;O69&amp;O70&amp;O71&amp;O72&amp;O73&amp;O74&amp;O75&amp;O76&amp;O77&amp;O78&amp;O79&amp;O80&amp;O81&amp;O82&amp;O83&amp;O84&amp;O85&amp;O86&amp;O87&amp;O88&amp;O89&amp;O90&amp;O91&amp;O92&amp;O93&amp;O94&amp;O95&amp;O96&amp;O97&amp;O98&amp;O99&amp;O100&amp;O101&amp;O102&amp;O103&amp;O104&amp;O105&amp;O106&amp;O107&amp;O108&amp;O109&amp;O110&amp;O111&amp;O112&amp;O113&amp;O114&amp;O115&amp;O116&amp;O117&amp;O118&amp;O119&amp;O120&amp;O121&amp;O122&amp;O123&amp;O124&amp;O125&amp;O126&amp;O127&amp;O128&amp;O129&amp;O130&amp;O131&amp;O132&amp;O133&amp;O134&amp;O135&amp;O136&amp;O137&amp;O138&amp;O139&amp;O140&amp;O141&amp;O142&amp;O143&amp;O144&amp;O145&amp;O146&amp;O147&amp;O148&amp;O149&amp;O150&amp;O151&amp;O152&amp;O153&amp;O154&amp;O155&amp;O156&amp;O157&amp;O158&amp;O159&amp;O160&amp;O161&amp;O162&amp;O163&amp;O164&amp;O165&amp;O166&amp;O167&amp;O168&amp;O169&amp;O170&amp;O171&amp;O172&amp;O173&amp;O174&amp;O175&amp;O176&amp;O177&amp;O178&amp;O179&amp;O180&amp;O181&amp;O182&amp;O183&amp;O184&amp;O185&amp;O186&amp;O187&amp;O188&amp;O189&amp;O190&amp;O191&amp;O192&amp;O193&amp;O194&amp;O195&amp;O196&amp;O197&amp;O198&amp;O199&amp;O200&amp;O201&amp;O202&amp;O203&amp;O204&amp;O205&amp;O206&amp;O207&amp;O208&amp;O209&amp;O210&amp;O211&amp;O212&amp;O213&amp;O214&amp;O215&amp;O216&amp;O217&amp;O218&amp;O219</f>
        <v/>
      </c>
      <c r="P18" s="1731" t="str">
        <f>P20&amp;P21&amp;P22&amp;P23&amp;P24&amp;P25&amp;P26&amp;P27&amp;P28&amp;P29&amp;P30&amp;P31&amp;P32&amp;P33&amp;P34&amp;P35&amp;P36&amp;P37&amp;P38&amp;P39&amp;P40&amp;P41&amp;P42&amp;P43&amp;P44&amp;P45&amp;P46&amp;P47&amp;P48&amp;P49&amp;P50&amp;P51&amp;P52&amp;P53&amp;P54&amp;P55&amp;P56&amp;P57&amp;P58&amp;P59&amp;P60&amp;P61&amp;P62&amp;P63&amp;P64&amp;P65&amp;P66&amp;P67&amp;P68&amp;P69&amp;P70&amp;P71&amp;P72&amp;P73&amp;P74&amp;P75&amp;P76&amp;P77&amp;P78&amp;P79&amp;P80&amp;P81&amp;P82&amp;P83&amp;P84&amp;P85&amp;P86&amp;P87&amp;P88&amp;P89&amp;P90&amp;P91&amp;P92&amp;P93&amp;P94&amp;P95&amp;P96&amp;P97&amp;P98&amp;P99&amp;P100&amp;P101&amp;P102&amp;P103&amp;P104&amp;P105&amp;P106&amp;P107&amp;P108&amp;P109&amp;P110&amp;P111&amp;P112&amp;P113&amp;P114&amp;P115&amp;P116&amp;P117&amp;P118&amp;P119&amp;P120&amp;P121&amp;P122&amp;P123&amp;P124&amp;P125&amp;P126&amp;P127&amp;P128&amp;P129&amp;P130&amp;P131&amp;P132&amp;P133&amp;P134&amp;P135&amp;P136&amp;P137&amp;P138&amp;P139&amp;P140&amp;P141&amp;P142&amp;P143&amp;P144&amp;P145&amp;P146&amp;P147&amp;P148&amp;P149&amp;P150&amp;P151&amp;P152&amp;P153&amp;P154&amp;P155&amp;P156&amp;P157&amp;P158&amp;P159&amp;P160&amp;P161&amp;P162&amp;P163&amp;P164&amp;P165&amp;P166&amp;P167&amp;P168&amp;P169&amp;P170&amp;P171&amp;P172&amp;P173&amp;P174&amp;P175&amp;P176&amp;P177&amp;P178&amp;P179&amp;P180&amp;P181&amp;P182&amp;P183&amp;P184&amp;P185&amp;P186&amp;P187&amp;P188&amp;P189&amp;P190&amp;P191&amp;P192&amp;P193&amp;P194&amp;P195&amp;P196&amp;P197&amp;P198&amp;P199&amp;P200&amp;P201&amp;P202&amp;P203&amp;P204&amp;P205&amp;P206&amp;P207&amp;P208&amp;P209&amp;P210&amp;P211&amp;P212&amp;P213&amp;P214&amp;P215&amp;P216&amp;P217&amp;P218&amp;P219</f>
        <v/>
      </c>
      <c r="Q18" s="1731" t="str">
        <f>Q20&amp;Q21&amp;Q22&amp;Q23&amp;Q24&amp;Q25&amp;Q26&amp;Q27&amp;Q28&amp;Q29&amp;Q30&amp;Q31&amp;Q32&amp;Q33&amp;Q34&amp;Q35&amp;Q36&amp;Q37&amp;Q38&amp;Q39&amp;Q40&amp;Q41&amp;Q42&amp;Q43&amp;Q44&amp;Q45&amp;Q46&amp;Q47&amp;Q48&amp;Q49&amp;Q50&amp;Q51&amp;Q52&amp;Q53&amp;Q54&amp;Q55&amp;Q56&amp;Q57&amp;Q58&amp;Q59&amp;Q60&amp;Q61&amp;Q62&amp;Q63&amp;Q64&amp;Q65&amp;Q66&amp;Q67&amp;Q68&amp;Q69&amp;Q70&amp;Q71&amp;Q72&amp;Q73&amp;Q74&amp;Q75&amp;Q76&amp;Q77&amp;Q78&amp;Q79&amp;Q80&amp;Q81&amp;Q82&amp;Q83&amp;Q84&amp;Q85&amp;Q86&amp;Q87&amp;Q88&amp;Q89&amp;Q90&amp;Q91&amp;Q92&amp;Q93&amp;Q94&amp;Q95&amp;Q96&amp;Q97&amp;Q98&amp;Q99&amp;Q100&amp;Q101&amp;Q102&amp;Q103&amp;Q104&amp;Q105&amp;Q106&amp;Q107&amp;Q108&amp;Q109&amp;Q110&amp;Q111&amp;Q112&amp;Q113&amp;Q114&amp;Q115&amp;Q116&amp;Q117&amp;Q118&amp;Q119&amp;Q120&amp;Q121&amp;Q122&amp;Q123&amp;Q124&amp;Q125&amp;Q126&amp;Q127&amp;Q128&amp;Q129&amp;Q130&amp;Q131&amp;Q132&amp;Q133&amp;Q134&amp;Q135&amp;Q136&amp;Q137&amp;Q138&amp;Q139&amp;Q140&amp;Q141&amp;Q142&amp;Q143&amp;Q144&amp;Q145&amp;Q146&amp;Q147&amp;Q148&amp;Q149&amp;Q150&amp;Q151&amp;Q152&amp;Q153&amp;Q154&amp;Q155&amp;Q156&amp;Q157&amp;Q158&amp;Q159&amp;Q160&amp;Q161&amp;Q162&amp;Q163&amp;Q164&amp;Q165&amp;Q166&amp;Q167&amp;Q168&amp;Q169&amp;Q170&amp;Q171&amp;Q172&amp;Q173&amp;Q174&amp;Q175&amp;Q176&amp;Q177&amp;Q178&amp;Q179&amp;Q180&amp;Q181&amp;Q182&amp;Q183&amp;Q184&amp;Q185&amp;Q186&amp;Q187&amp;Q188&amp;Q189&amp;Q190&amp;Q191&amp;Q192&amp;Q193&amp;Q194&amp;Q195&amp;Q196&amp;Q197&amp;Q198&amp;Q199&amp;Q200&amp;Q201&amp;Q202&amp;Q203&amp;Q204&amp;Q205&amp;Q206&amp;Q207&amp;Q208&amp;Q209&amp;Q210&amp;Q211&amp;Q212&amp;Q213&amp;Q214&amp;Q215&amp;Q216&amp;Q217&amp;Q218&amp;Q219</f>
        <v/>
      </c>
      <c r="S18" s="17"/>
      <c r="T18" s="118"/>
      <c r="U18" s="1731" t="str">
        <f>U20&amp;U21&amp;U22&amp;U23&amp;U24&amp;U25&amp;U26&amp;U27&amp;U28&amp;U29&amp;U30&amp;U31&amp;U32&amp;U33&amp;U34&amp;U35&amp;U36&amp;U37&amp;U38&amp;U39&amp;U40&amp;U41&amp;U42&amp;U43&amp;U44&amp;U45&amp;U46&amp;U47&amp;U48&amp;U49&amp;U50&amp;U51&amp;U52&amp;U53&amp;U54&amp;U55&amp;U56&amp;U57&amp;U58&amp;U59&amp;U60&amp;U61&amp;U62&amp;U63&amp;U64&amp;U65&amp;U66&amp;U67&amp;U68&amp;U69&amp;U70&amp;U71&amp;U72&amp;U73&amp;U74&amp;U75&amp;U76&amp;U77&amp;U78&amp;U79&amp;U80&amp;U81&amp;U82&amp;U83&amp;U84&amp;U85&amp;U86&amp;U87&amp;U88&amp;U89&amp;U90&amp;U91&amp;U92&amp;U93&amp;U94&amp;U95&amp;U96&amp;U97&amp;U98&amp;U99&amp;U100&amp;U101&amp;U102&amp;U103&amp;U104&amp;U105&amp;U106&amp;U107&amp;U108&amp;U109&amp;U110&amp;U111&amp;U112&amp;U113&amp;U114&amp;U115&amp;U116&amp;U117&amp;U118&amp;U119&amp;U120&amp;U121&amp;U122&amp;U123&amp;U124&amp;U125&amp;U126&amp;U127&amp;U128&amp;U129&amp;U130&amp;U131&amp;U132&amp;U133&amp;U134&amp;U135&amp;U136&amp;U137&amp;U138&amp;U139&amp;U140&amp;U141&amp;U142&amp;U143&amp;U144&amp;U145&amp;U146&amp;U147&amp;U148&amp;U149&amp;U150&amp;U151&amp;U152&amp;U153&amp;U154&amp;U155&amp;U156&amp;U157&amp;U158&amp;U159&amp;U160&amp;U161&amp;U162&amp;U163&amp;U164&amp;U165&amp;U166&amp;U167&amp;U168&amp;U169&amp;U170&amp;U171&amp;U172&amp;U173&amp;U174&amp;U175&amp;U176&amp;U177&amp;U178&amp;U179&amp;U180&amp;U181&amp;U182&amp;U183&amp;U184&amp;U185&amp;U186&amp;U187&amp;U188&amp;U189&amp;U190&amp;U191&amp;U192&amp;U193&amp;U194&amp;U195&amp;U196&amp;U197&amp;U198&amp;U199&amp;U200&amp;U201&amp;U202&amp;U203&amp;U204&amp;U205&amp;U206&amp;U207&amp;U208&amp;U209&amp;U210&amp;U211&amp;U212&amp;U213&amp;U214&amp;U215&amp;U216&amp;U217&amp;U218&amp;U219</f>
        <v/>
      </c>
      <c r="V18" s="1731" t="str">
        <f>V20&amp;V21&amp;V22&amp;V23&amp;V24&amp;V25&amp;V26&amp;V27&amp;V28&amp;V29&amp;V30&amp;V31&amp;V32&amp;V33&amp;V34&amp;V35&amp;V36&amp;V37&amp;V38&amp;V39&amp;V40&amp;V41&amp;V42&amp;V43&amp;V44&amp;V45&amp;V46&amp;V47&amp;V48&amp;V49&amp;V50&amp;V51&amp;V52&amp;V53&amp;V54&amp;V55&amp;V56&amp;V57&amp;V58&amp;V59&amp;V60&amp;V61&amp;V62&amp;V63&amp;V64&amp;V65&amp;V66&amp;V67&amp;V68&amp;V69&amp;V70&amp;V71&amp;V72&amp;V73&amp;V74&amp;V75&amp;V76&amp;V77&amp;V78&amp;V79&amp;V80&amp;V81&amp;V82&amp;V83&amp;V84&amp;V85&amp;V86&amp;V87&amp;V88&amp;V89&amp;V90&amp;V91&amp;V92&amp;V93&amp;V94&amp;V95&amp;V96&amp;V97&amp;V98&amp;V99&amp;V100&amp;V101&amp;V102&amp;V103&amp;V104&amp;V105&amp;V106&amp;V107&amp;V108&amp;V109&amp;V110&amp;V111&amp;V112&amp;V113&amp;V114&amp;V115&amp;V116&amp;V117&amp;V118&amp;V119&amp;V120&amp;V121&amp;V122&amp;V123&amp;V124&amp;V125&amp;V126&amp;V127&amp;V128&amp;V129&amp;V130&amp;V131&amp;V132&amp;V133&amp;V134&amp;V135&amp;V136&amp;V137&amp;V138&amp;V139&amp;V140&amp;V141&amp;V142&amp;V143&amp;V144&amp;V145&amp;V146&amp;V147&amp;V148&amp;V149&amp;V150&amp;V151&amp;V152&amp;V153&amp;V154&amp;V155&amp;V156&amp;V157&amp;V158&amp;V159&amp;V160&amp;V161&amp;V162&amp;V163&amp;V164&amp;V165&amp;V166&amp;V167&amp;V168&amp;V169&amp;V170&amp;V171&amp;V172&amp;V173&amp;V174&amp;V175&amp;V176&amp;V177&amp;V178&amp;V179&amp;V180&amp;V181&amp;V182&amp;V183&amp;V184&amp;V185&amp;V186&amp;V187&amp;V188&amp;V189&amp;V190&amp;V191&amp;V192&amp;V193&amp;V194&amp;V195&amp;V196&amp;V197&amp;V198&amp;V199&amp;V200&amp;V201&amp;V202&amp;V203&amp;V204&amp;V205&amp;V206&amp;V207&amp;V208&amp;V209&amp;V210&amp;V211&amp;V212&amp;V213&amp;V214&amp;V215&amp;V216&amp;V217&amp;V218&amp;V219</f>
        <v/>
      </c>
      <c r="W18" s="1731" t="str">
        <f>W20&amp;W21&amp;W22&amp;W23&amp;W24&amp;W25&amp;W26&amp;W27&amp;W28&amp;W29&amp;W30&amp;W31&amp;W32&amp;W33&amp;W34&amp;W35&amp;W36&amp;W37&amp;W38&amp;W39&amp;W40&amp;W41&amp;W42&amp;W43&amp;W44&amp;W45&amp;W46&amp;W47&amp;W48&amp;W49&amp;W50&amp;W51&amp;W52&amp;W53&amp;W54&amp;W55&amp;W56&amp;W57&amp;W58&amp;W59&amp;W60&amp;W61&amp;W62&amp;W63&amp;W64&amp;W65&amp;W66&amp;W67&amp;W68&amp;W69&amp;W70&amp;W71&amp;W72&amp;W73&amp;W74&amp;W75&amp;W76&amp;W77&amp;W78&amp;W79&amp;W80&amp;W81&amp;W82&amp;W83&amp;W84&amp;W85&amp;W86&amp;W87&amp;W88&amp;W89&amp;W90&amp;W91&amp;W92&amp;W93&amp;W94&amp;W95&amp;W96&amp;W97&amp;W98&amp;W99&amp;W100&amp;W101&amp;W102&amp;W103&amp;W104&amp;W105&amp;W106&amp;W107&amp;W108&amp;W109&amp;W110&amp;W111&amp;W112&amp;W113&amp;W114&amp;W115&amp;W116&amp;W117&amp;W118&amp;W119&amp;W120&amp;W121&amp;W122&amp;W123&amp;W124&amp;W125&amp;W126&amp;W127&amp;W128&amp;W129&amp;W130&amp;W131&amp;W132&amp;W133&amp;W134&amp;W135&amp;W136&amp;W137&amp;W138&amp;W139&amp;W140&amp;W141&amp;W142&amp;W143&amp;W144&amp;W145&amp;W146&amp;W147&amp;W148&amp;W149&amp;W150&amp;W151&amp;W152&amp;W153&amp;W154&amp;W155&amp;W156&amp;W157&amp;W158&amp;W159&amp;W160&amp;W161&amp;W162&amp;W163&amp;W164&amp;W165&amp;W166&amp;W167&amp;W168&amp;W169&amp;W170&amp;W171&amp;W172&amp;W173&amp;W174&amp;W175&amp;W176&amp;W177&amp;W178&amp;W179&amp;W180&amp;W181&amp;W182&amp;W183&amp;W184&amp;W185&amp;W186&amp;W187&amp;W188&amp;W189&amp;W190&amp;W191&amp;W192&amp;W193&amp;W194&amp;W195&amp;W196&amp;W197&amp;W198&amp;W199&amp;W200&amp;W201&amp;W202&amp;W203&amp;W204&amp;W205&amp;W206&amp;W207&amp;W208&amp;W209&amp;W210&amp;W211&amp;W212&amp;W213&amp;W214&amp;W215&amp;W216&amp;W217&amp;W218&amp;W219</f>
        <v/>
      </c>
      <c r="Y18" s="1731" t="str">
        <f>Y20&amp;Y21&amp;Y22&amp;Y23&amp;Y24&amp;Y25&amp;Y26&amp;Y27&amp;Y28&amp;Y29&amp;Y30&amp;Y31&amp;Y32&amp;Y33&amp;Y34&amp;Y35&amp;Y36&amp;Y37&amp;Y38&amp;Y39&amp;Y40&amp;Y41&amp;Y42&amp;Y43&amp;Y44&amp;Y45&amp;Y46&amp;Y47&amp;Y48&amp;Y49&amp;Y50&amp;Y51&amp;Y52&amp;Y53&amp;Y54&amp;Y55&amp;Y56&amp;Y57&amp;Y58&amp;Y59&amp;Y60&amp;Y61&amp;Y62&amp;Y63&amp;Y64&amp;Y65&amp;Y66&amp;Y67&amp;Y68&amp;Y69&amp;Y70&amp;Y71&amp;Y72&amp;Y73&amp;Y74&amp;Y75&amp;Y76&amp;Y77&amp;Y78&amp;Y79&amp;Y80&amp;Y81&amp;Y82&amp;Y83&amp;Y84&amp;Y85&amp;Y86&amp;Y87&amp;Y88&amp;Y89&amp;Y90&amp;Y91&amp;Y92&amp;Y93&amp;Y94&amp;Y95&amp;Y96&amp;Y97&amp;Y98&amp;Y99&amp;Y100&amp;Y101&amp;Y102&amp;Y103&amp;Y104&amp;Y105&amp;Y106&amp;Y107&amp;Y108&amp;Y109&amp;Y110&amp;Y111&amp;Y112&amp;Y113&amp;Y114&amp;Y115&amp;Y116&amp;Y117&amp;Y118&amp;Y119&amp;Y120&amp;Y121&amp;Y122&amp;Y123&amp;Y124&amp;Y125&amp;Y126&amp;Y127&amp;Y128&amp;Y129&amp;Y130&amp;Y131&amp;Y132&amp;Y133&amp;Y134&amp;Y135&amp;Y136&amp;Y137&amp;Y138&amp;Y139&amp;Y140&amp;Y141&amp;Y142&amp;Y143&amp;Y144&amp;Y145&amp;Y146&amp;Y147&amp;Y148&amp;Y149&amp;Y150&amp;Y151&amp;Y152&amp;Y153&amp;Y154&amp;Y155&amp;Y156&amp;Y157&amp;Y158&amp;Y159&amp;Y160&amp;Y161&amp;Y162&amp;Y163&amp;Y164&amp;Y165&amp;Y166&amp;Y167&amp;Y168&amp;Y169&amp;Y170&amp;Y171&amp;Y172&amp;Y173&amp;Y174&amp;Y175&amp;Y176&amp;Y177&amp;Y178&amp;Y179&amp;Y180&amp;Y181&amp;Y182&amp;Y183&amp;Y184&amp;Y185&amp;Y186&amp;Y187&amp;Y188&amp;Y189&amp;Y190&amp;Y191&amp;Y192&amp;Y193&amp;Y194&amp;Y195&amp;Y196&amp;Y197&amp;Y198&amp;Y199&amp;Y200&amp;Y201&amp;Y202&amp;Y203&amp;Y204&amp;Y205&amp;Y206&amp;Y207&amp;Y208&amp;Y209&amp;Y210&amp;Y211&amp;Y212&amp;Y213&amp;Y214&amp;Y215&amp;Y216&amp;Y217&amp;Y218&amp;Y219</f>
        <v/>
      </c>
      <c r="Z18" s="17"/>
      <c r="AB18" s="1731" t="str">
        <f>AB20&amp;AB21&amp;AB22&amp;AB23&amp;AB24&amp;AB25&amp;AB26&amp;AB27&amp;AB28&amp;AB29&amp;AB30&amp;AB31&amp;AB32&amp;AB33&amp;AB34&amp;AB35&amp;AB36&amp;AB37&amp;AB38&amp;AB39&amp;AB40&amp;AB41&amp;AB42&amp;AB43&amp;AB44&amp;AB45&amp;AB46&amp;AB47&amp;AB48&amp;AB49&amp;AB50&amp;AB51&amp;AB52&amp;AB53&amp;AB54&amp;AB55&amp;AB56&amp;AB57&amp;AB58&amp;AB59&amp;AB60&amp;AB61&amp;AB62&amp;AB63&amp;AB64&amp;AB65&amp;AB66&amp;AB67&amp;AB68&amp;AB69&amp;AB70&amp;AB71&amp;AB72&amp;AB73&amp;AB74&amp;AB75&amp;AB76&amp;AB77&amp;AB78&amp;AB79&amp;AB80&amp;AB81&amp;AB82&amp;AB83&amp;AB84&amp;AB85&amp;AB86&amp;AB87&amp;AB88&amp;AB89&amp;AB90&amp;AB91&amp;AB92&amp;AB93&amp;AB94&amp;AB95&amp;AB96&amp;AB97&amp;AB98&amp;AB99&amp;AB100&amp;AB101&amp;AB102&amp;AB103&amp;AB104&amp;AB105&amp;AB106&amp;AB107&amp;AB108&amp;AB109&amp;AB110&amp;AB111&amp;AB112&amp;AB113&amp;AB114&amp;AB115&amp;AB116&amp;AB117&amp;AB118&amp;AB119&amp;AB120&amp;AB121&amp;AB122&amp;AB123&amp;AB124&amp;AB125&amp;AB126&amp;AB127&amp;AB128&amp;AB129&amp;AB130&amp;AB131&amp;AB132&amp;AB133&amp;AB134&amp;AB135&amp;AB136&amp;AB137&amp;AB138&amp;AB139&amp;AB140&amp;AB141&amp;AB142&amp;AB143&amp;AB144&amp;AB145&amp;AB146&amp;AB147&amp;AB148&amp;AB149&amp;AB150&amp;AB151&amp;AB152&amp;AB153&amp;AB154&amp;AB155&amp;AB156&amp;AB157&amp;AB158&amp;AB159&amp;AB160&amp;AB161&amp;AB162&amp;AB163&amp;AB164&amp;AB165&amp;AB166&amp;AB167&amp;AB168&amp;AB169&amp;AB170&amp;AB171&amp;AB172&amp;AB173&amp;AB174&amp;AB175&amp;AB176&amp;AB177&amp;AB178&amp;AB179&amp;AB180&amp;AB181&amp;AB182&amp;AB183&amp;AB184&amp;AB185&amp;AB186&amp;AB187&amp;AB188&amp;AB189&amp;AB190&amp;AB191&amp;AB192&amp;AB193&amp;AB194&amp;AB195&amp;AB196&amp;AB197&amp;AB198&amp;AB199&amp;AB200&amp;AB201&amp;AB202&amp;AB203&amp;AB204&amp;AB205&amp;AB206&amp;AB207&amp;AB208&amp;AB209&amp;AB210&amp;AB211&amp;AB212&amp;AB213&amp;AB214&amp;AB215&amp;AB216&amp;AB217&amp;AB218&amp;AB219</f>
        <v/>
      </c>
      <c r="AC18" s="1731" t="str">
        <f>AC20&amp;AC21&amp;AC22&amp;AC23&amp;AC24&amp;AC25&amp;AC26&amp;AC27&amp;AC28&amp;AC29&amp;AC30&amp;AC31&amp;AC32&amp;AC33&amp;AC34&amp;AC35&amp;AC36&amp;AC37&amp;AC38&amp;AC39&amp;AC40&amp;AC41&amp;AC42&amp;AC43&amp;AC44&amp;AC45&amp;AC46&amp;AC47&amp;AC48&amp;AC49&amp;AC50&amp;AC51&amp;AC52&amp;AC53&amp;AC54&amp;AC55&amp;AC56&amp;AC57&amp;AC58&amp;AC59&amp;AC60&amp;AC61&amp;AC62&amp;AC63&amp;AC64&amp;AC65&amp;AC66&amp;AC67&amp;AC68&amp;AC69&amp;AC70&amp;AC71&amp;AC72&amp;AC73&amp;AC74&amp;AC75&amp;AC76&amp;AC77&amp;AC78&amp;AC79&amp;AC80&amp;AC81&amp;AC82&amp;AC83&amp;AC84&amp;AC85&amp;AC86&amp;AC87&amp;AC88&amp;AC89&amp;AC90&amp;AC91&amp;AC92&amp;AC93&amp;AC94&amp;AC95&amp;AC96&amp;AC97&amp;AC98&amp;AC99&amp;AC100&amp;AC101&amp;AC102&amp;AC103&amp;AC104&amp;AC105&amp;AC106&amp;AC107&amp;AC108&amp;AC109&amp;AC110&amp;AC111&amp;AC112&amp;AC113&amp;AC114&amp;AC115&amp;AC116&amp;AC117&amp;AC118&amp;AC119&amp;AC120&amp;AC121&amp;AC122&amp;AC123&amp;AC124&amp;AC125&amp;AC126&amp;AC127&amp;AC128&amp;AC129&amp;AC130&amp;AC131&amp;AC132&amp;AC133&amp;AC134&amp;AC135&amp;AC136&amp;AC137&amp;AC138&amp;AC139&amp;AC140&amp;AC141&amp;AC142&amp;AC143&amp;AC144&amp;AC145&amp;AC146&amp;AC147&amp;AC148&amp;AC149&amp;AC150&amp;AC151&amp;AC152&amp;AC153&amp;AC154&amp;AC155&amp;AC156&amp;AC157&amp;AC158&amp;AC159&amp;AC160&amp;AC161&amp;AC162&amp;AC163&amp;AC164&amp;AC165&amp;AC166&amp;AC167&amp;AC168&amp;AC169&amp;AC170&amp;AC171&amp;AC172&amp;AC173&amp;AC174&amp;AC175&amp;AC176&amp;AC177&amp;AC178&amp;AC179&amp;AC180&amp;AC181&amp;AC182&amp;AC183&amp;AC184&amp;AC185&amp;AC186&amp;AC187&amp;AC188&amp;AC189&amp;AC190&amp;AC191&amp;AC192&amp;AC193&amp;AC194&amp;AC195&amp;AC196&amp;AC197&amp;AC198&amp;AC199&amp;AC200&amp;AC201&amp;AC202&amp;AC203&amp;AC204&amp;AC205&amp;AC206&amp;AC207&amp;AC208&amp;AC209&amp;AC210&amp;AC211&amp;AC212&amp;AC213&amp;AC214&amp;AC215&amp;AC216&amp;AC217&amp;AC218&amp;AC219</f>
        <v/>
      </c>
      <c r="AD18" s="1731" t="str">
        <f>AD20&amp;AD21&amp;AD22&amp;AD23&amp;AD24&amp;AD25&amp;AD26&amp;AD27&amp;AD28&amp;AD29&amp;AD30&amp;AD31&amp;AD32&amp;AD33&amp;AD34&amp;AD35&amp;AD36&amp;AD37&amp;AD38&amp;AD39&amp;AD40&amp;AD41&amp;AD42&amp;AD43&amp;AD44&amp;AD45&amp;AD46&amp;AD47&amp;AD48&amp;AD49&amp;AD50&amp;AD51&amp;AD52&amp;AD53&amp;AD54&amp;AD55&amp;AD56&amp;AD57&amp;AD58&amp;AD59&amp;AD60&amp;AD61&amp;AD62&amp;AD63&amp;AD64&amp;AD65&amp;AD66&amp;AD67&amp;AD68&amp;AD69&amp;AD70&amp;AD71&amp;AD72&amp;AD73&amp;AD74&amp;AD75&amp;AD76&amp;AD77&amp;AD78&amp;AD79&amp;AD80&amp;AD81&amp;AD82&amp;AD83&amp;AD84&amp;AD85&amp;AD86&amp;AD87&amp;AD88&amp;AD89&amp;AD90&amp;AD91&amp;AD92&amp;AD93&amp;AD94&amp;AD95&amp;AD96&amp;AD97&amp;AD98&amp;AD99&amp;AD100&amp;AD101&amp;AD102&amp;AD103&amp;AD104&amp;AD105&amp;AD106&amp;AD107&amp;AD108&amp;AD109&amp;AD110&amp;AD111&amp;AD112&amp;AD113&amp;AD114&amp;AD115&amp;AD116&amp;AD117&amp;AD118&amp;AD119&amp;AD120&amp;AD121&amp;AD122&amp;AD123&amp;AD124&amp;AD125&amp;AD126&amp;AD127&amp;AD128&amp;AD129&amp;AD130&amp;AD131&amp;AD132&amp;AD133&amp;AD134&amp;AD135&amp;AD136&amp;AD137&amp;AD138&amp;AD139&amp;AD140&amp;AD141&amp;AD142&amp;AD143&amp;AD144&amp;AD145&amp;AD146&amp;AD147&amp;AD148&amp;AD149&amp;AD150&amp;AD151&amp;AD152&amp;AD153&amp;AD154&amp;AD155&amp;AD156&amp;AD157&amp;AD158&amp;AD159&amp;AD160&amp;AD161&amp;AD162&amp;AD163&amp;AD164&amp;AD165&amp;AD166&amp;AD167&amp;AD168&amp;AD169&amp;AD170&amp;AD171&amp;AD172&amp;AD173&amp;AD174&amp;AD175&amp;AD176&amp;AD177&amp;AD178&amp;AD179&amp;AD180&amp;AD181&amp;AD182&amp;AD183&amp;AD184&amp;AD185&amp;AD186&amp;AD187&amp;AD188&amp;AD189&amp;AD190&amp;AD191&amp;AD192&amp;AD193&amp;AD194&amp;AD195&amp;AD196&amp;AD197&amp;AD198&amp;AD199&amp;AD200&amp;AD201&amp;AD202&amp;AD203&amp;AD204&amp;AD205&amp;AD206&amp;AD207&amp;AD208&amp;AD209&amp;AD210&amp;AD211&amp;AD212&amp;AD213&amp;AD214&amp;AD215&amp;AD216&amp;AD217&amp;AD218&amp;AD219</f>
        <v/>
      </c>
      <c r="AF18" s="118"/>
      <c r="AG18" s="1742" t="str">
        <f>AG20&amp;AG21&amp;AG22&amp;AG23&amp;AG24&amp;AG25&amp;AG26&amp;AG27&amp;AG28&amp;AG29&amp;AG30&amp;AG31&amp;AG32&amp;AG33&amp;AG34&amp;AG35&amp;AG36&amp;AG37&amp;AG38&amp;AG39&amp;AG40&amp;AG41&amp;AG42&amp;AG43&amp;AG44&amp;AG45&amp;AG46&amp;AG47&amp;AG48&amp;AG49&amp;AG50&amp;AG51&amp;AG52&amp;AG53&amp;AG54&amp;AG55&amp;AG56&amp;AG57&amp;AG58&amp;AG59&amp;AG60&amp;AG61&amp;AG62&amp;AG63&amp;AG64&amp;AG65&amp;AG66&amp;AG67&amp;AG68&amp;AG69&amp;AG70&amp;AG71&amp;AG72&amp;AG73&amp;AG74&amp;AG75&amp;AG76&amp;AG77&amp;AG78&amp;AG79&amp;AG80&amp;AG81&amp;AG82&amp;AG83&amp;AG84&amp;AG85&amp;AG86&amp;AG87&amp;AG88&amp;AG89&amp;AG90&amp;AG91&amp;AG92&amp;AG93&amp;AG94&amp;AG95&amp;AG96&amp;AG97&amp;AG98&amp;AG99&amp;AG100&amp;AG101&amp;AG102&amp;AG103&amp;AG104&amp;AG105&amp;AG106&amp;AG107&amp;AG108&amp;AG109&amp;AG110&amp;AG111&amp;AG112&amp;AG113&amp;AG114&amp;AG115&amp;AG116&amp;AG117&amp;AG118&amp;AG119&amp;AG120&amp;AG121&amp;AG122&amp;AG123&amp;AG124&amp;AG125&amp;AG126&amp;AG127&amp;AG128&amp;AG129&amp;AG130&amp;AG131&amp;AG132&amp;AG133&amp;AG134&amp;AG135&amp;AG136&amp;AG137&amp;AG138&amp;AG139&amp;AG140&amp;AG141&amp;AG142&amp;AG143&amp;AG144&amp;AG145&amp;AG146&amp;AG147&amp;AG148&amp;AG149&amp;AG150&amp;AG151&amp;AG152&amp;AG153&amp;AG154&amp;AG155&amp;AG156&amp;AG157&amp;AG158&amp;AG159&amp;AG160&amp;AG161&amp;AG162&amp;AG163&amp;AG164&amp;AG165&amp;AG166&amp;AG167&amp;AG168&amp;AG169&amp;AG170&amp;AG171&amp;AG172&amp;AG173&amp;AG174&amp;AG175&amp;AG176&amp;AG177&amp;AG178&amp;AG179&amp;AG180&amp;AG181&amp;AG182&amp;AG183&amp;AG184&amp;AG185&amp;AG186&amp;AG187&amp;AG188&amp;AG189&amp;AG190&amp;AG191&amp;AG192&amp;AG193&amp;AG194&amp;AG195&amp;AG196&amp;AG197&amp;AG198&amp;AG199&amp;AG200&amp;AG201&amp;AG202&amp;AG203&amp;AG204&amp;AG205&amp;AG206&amp;AG207&amp;AG208&amp;AG209&amp;AG210&amp;AG211&amp;AG212&amp;AG213&amp;AG214&amp;AG215&amp;AG216&amp;AG217&amp;AG218&amp;AG219</f>
        <v/>
      </c>
      <c r="AH18" s="1742" t="str">
        <f>AH20&amp;AH21&amp;AH22&amp;AH23&amp;AH24&amp;AH25&amp;AH26&amp;AH27&amp;AH28&amp;AH29&amp;AH30&amp;AH31&amp;AH32&amp;AH33&amp;AH34&amp;AH35&amp;AH36&amp;AH37&amp;AH38&amp;AH39&amp;AH40&amp;AH41&amp;AH42&amp;AH43&amp;AH44&amp;AH45&amp;AH46&amp;AH47&amp;AH48&amp;AH49&amp;AH50&amp;AH51&amp;AH52&amp;AH53&amp;AH54&amp;AH55&amp;AH56&amp;AH57&amp;AH58&amp;AH59&amp;AH60&amp;AH61&amp;AH62&amp;AH63&amp;AH64&amp;AH65&amp;AH66&amp;AH67&amp;AH68&amp;AH69&amp;AH70&amp;AH71&amp;AH72&amp;AH73&amp;AH74&amp;AH75&amp;AH76&amp;AH77&amp;AH78&amp;AH79&amp;AH80&amp;AH81&amp;AH82&amp;AH83&amp;AH84&amp;AH85&amp;AH86&amp;AH87&amp;AH88&amp;AH89&amp;AH90&amp;AH91&amp;AH92&amp;AH93&amp;AH94&amp;AH95&amp;AH96&amp;AH97&amp;AH98&amp;AH99&amp;AH100&amp;AH101&amp;AH102&amp;AH103&amp;AH104&amp;AH105&amp;AH106&amp;AH107&amp;AH108&amp;AH109&amp;AH110&amp;AH111&amp;AH112&amp;AH113&amp;AH114&amp;AH115&amp;AH116&amp;AH117&amp;AH118&amp;AH119&amp;AH120&amp;AH121&amp;AH122&amp;AH123&amp;AH124&amp;AH125&amp;AH126&amp;AH127&amp;AH128&amp;AH129&amp;AH130&amp;AH131&amp;AH132&amp;AH133&amp;AH134&amp;AH135&amp;AH136&amp;AH137&amp;AH138&amp;AH139&amp;AH140&amp;AH141&amp;AH142&amp;AH143&amp;AH144&amp;AH145&amp;AH146&amp;AH147&amp;AH148&amp;AH149&amp;AH150&amp;AH151&amp;AH152&amp;AH153&amp;AH154&amp;AH155&amp;AH156&amp;AH157&amp;AH158&amp;AH159&amp;AH160&amp;AH161&amp;AH162&amp;AH163&amp;AH164&amp;AH165&amp;AH166&amp;AH167&amp;AH168&amp;AH169&amp;AH170&amp;AH171&amp;AH172&amp;AH173&amp;AH174&amp;AH175&amp;AH176&amp;AH177&amp;AH178&amp;AH179&amp;AH180&amp;AH181&amp;AH182&amp;AH183&amp;AH184&amp;AH185&amp;AH186&amp;AH187&amp;AH188&amp;AH189&amp;AH190&amp;AH191&amp;AH192&amp;AH193&amp;AH194&amp;AH195&amp;AH196&amp;AH197&amp;AH198&amp;AH199&amp;AH200&amp;AH201&amp;AH202&amp;AH203&amp;AH204&amp;AH205&amp;AH206&amp;AH207&amp;AH208&amp;AH209&amp;AH210&amp;AH211&amp;AH212&amp;AH213&amp;AH214&amp;AH215&amp;AH216&amp;AH217&amp;AH218&amp;AH219</f>
        <v/>
      </c>
      <c r="AJ18" s="118"/>
      <c r="AL18" s="1737" t="str">
        <f t="shared" ref="AL18:AZ18" si="0">AL20&amp;AL21&amp;AL22&amp;AL23&amp;AL24&amp;AL25&amp;AL26&amp;AL27&amp;AL28&amp;AL29&amp;AL30&amp;AL31&amp;AL32&amp;AL33&amp;AL34&amp;AL35&amp;AL36&amp;AL37&amp;AL38&amp;AL39&amp;AL40&amp;AL41&amp;AL42&amp;AL43&amp;AL44&amp;AL45&amp;AL46&amp;AL47&amp;AL48&amp;AL49&amp;AL50&amp;AL51&amp;AL52&amp;AL53&amp;AL54&amp;AL55&amp;AL56&amp;AL57&amp;AL58&amp;AL59&amp;AL60&amp;AL61&amp;AL62&amp;AL63&amp;AL64&amp;AL65&amp;AL66&amp;AL67&amp;AL68&amp;AL69&amp;AL70&amp;AL71&amp;AL72&amp;AL73&amp;AL74&amp;AL75&amp;AL76&amp;AL77&amp;AL78&amp;AL79&amp;AL80&amp;AL81&amp;AL82&amp;AL83&amp;AL84&amp;AL85&amp;AL86&amp;AL87&amp;AL88&amp;AL89&amp;AL90&amp;AL91&amp;AL92&amp;AL93&amp;AL94&amp;AL95&amp;AL96&amp;AL97&amp;AL98&amp;AL99&amp;AL100&amp;AL101&amp;AL102&amp;AL103&amp;AL104&amp;AL105&amp;AL106&amp;AL107&amp;AL108&amp;AL109&amp;AL110&amp;AL111&amp;AL112&amp;AL113&amp;AL114&amp;AL115&amp;AL116&amp;AL117&amp;AL118&amp;AL119&amp;AL120&amp;AL121&amp;AL122&amp;AL123&amp;AL124&amp;AL125&amp;AL126&amp;AL127&amp;AL128&amp;AL129&amp;AL130&amp;AL131&amp;AL132&amp;AL133&amp;AL134&amp;AL135&amp;AL136&amp;AL137&amp;AL138&amp;AL139&amp;AL140&amp;AL141&amp;AL142&amp;AL143&amp;AL144&amp;AL145&amp;AL146&amp;AL147&amp;AL148&amp;AL149&amp;AL150&amp;AL151&amp;AL152&amp;AL153&amp;AL154&amp;AL155&amp;AL156&amp;AL157&amp;AL158&amp;AL159&amp;AL160&amp;AL161&amp;AL162&amp;AL163&amp;AL164&amp;AL165&amp;AL166&amp;AL167&amp;AL168&amp;AL169&amp;AL170&amp;AL171&amp;AL172&amp;AL173&amp;AL174&amp;AL175&amp;AL176&amp;AL177&amp;AL178&amp;AL179&amp;AL180&amp;AL181&amp;AL182&amp;AL183&amp;AL184&amp;AL185&amp;AL186&amp;AL187&amp;AL188&amp;AL189&amp;AL190&amp;AL191&amp;AL192&amp;AL193&amp;AL194&amp;AL195&amp;AL196&amp;AL197&amp;AL198&amp;AL199&amp;AL200&amp;AL201&amp;AL202&amp;AL203&amp;AL204&amp;AL205&amp;AL206&amp;AL207&amp;AL208&amp;AL209&amp;AL210&amp;AL211&amp;AL212&amp;AL213&amp;AL214&amp;AL215&amp;AL216&amp;AL217&amp;AL218&amp;AL219</f>
        <v/>
      </c>
      <c r="AM18" s="1737" t="str">
        <f t="shared" si="0"/>
        <v/>
      </c>
      <c r="AN18" s="1737" t="str">
        <f t="shared" si="0"/>
        <v/>
      </c>
      <c r="AO18" s="1737" t="str">
        <f t="shared" si="0"/>
        <v/>
      </c>
      <c r="AP18" s="1737" t="str">
        <f t="shared" si="0"/>
        <v/>
      </c>
      <c r="AQ18" s="1737" t="str">
        <f t="shared" si="0"/>
        <v/>
      </c>
      <c r="AR18" s="1737" t="str">
        <f t="shared" si="0"/>
        <v/>
      </c>
      <c r="AS18" s="1737" t="str">
        <f t="shared" si="0"/>
        <v/>
      </c>
      <c r="AT18" s="1737" t="str">
        <f t="shared" si="0"/>
        <v/>
      </c>
      <c r="AU18" s="1737" t="str">
        <f t="shared" si="0"/>
        <v/>
      </c>
      <c r="AV18" s="1737" t="str">
        <f t="shared" si="0"/>
        <v/>
      </c>
      <c r="AW18" s="1737" t="str">
        <f t="shared" si="0"/>
        <v/>
      </c>
      <c r="AX18" s="1737" t="str">
        <f t="shared" si="0"/>
        <v/>
      </c>
      <c r="AY18" s="1737" t="str">
        <f t="shared" si="0"/>
        <v/>
      </c>
      <c r="AZ18" s="1731" t="str">
        <f t="shared" si="0"/>
        <v/>
      </c>
      <c r="BA18" s="17"/>
      <c r="BB18" s="118"/>
      <c r="BD18" s="1737" t="str">
        <f t="shared" ref="BD18:BR18" si="1">BD20&amp;BD21&amp;BD22&amp;BD23&amp;BD24&amp;BD25&amp;BD26&amp;BD27&amp;BD28&amp;BD29&amp;BD30&amp;BD31&amp;BD32&amp;BD33&amp;BD34&amp;BD35&amp;BD36&amp;BD37&amp;BD38&amp;BD39&amp;BD40&amp;BD41&amp;BD42&amp;BD43&amp;BD44&amp;BD45&amp;BD46&amp;BD47&amp;BD48&amp;BD49&amp;BD50&amp;BD51&amp;BD52&amp;BD53&amp;BD54&amp;BD55&amp;BD56&amp;BD57&amp;BD58&amp;BD59&amp;BD60&amp;BD61&amp;BD62&amp;BD63&amp;BD64&amp;BD65&amp;BD66&amp;BD67&amp;BD68&amp;BD69&amp;BD70&amp;BD71&amp;BD72&amp;BD73&amp;BD74&amp;BD75&amp;BD76&amp;BD77&amp;BD78&amp;BD79&amp;BD80&amp;BD81&amp;BD82&amp;BD83&amp;BD84&amp;BD85&amp;BD86&amp;BD87&amp;BD88&amp;BD89&amp;BD90&amp;BD91&amp;BD92&amp;BD93&amp;BD94&amp;BD95&amp;BD96&amp;BD97&amp;BD98&amp;BD99&amp;BD100&amp;BD101&amp;BD102&amp;BD103&amp;BD104&amp;BD105&amp;BD106&amp;BD107&amp;BD108&amp;BD109&amp;BD110&amp;BD111&amp;BD112&amp;BD113&amp;BD114&amp;BD115&amp;BD116&amp;BD117&amp;BD118&amp;BD119&amp;BD120&amp;BD121&amp;BD122&amp;BD123&amp;BD124&amp;BD125&amp;BD126&amp;BD127&amp;BD128&amp;BD129&amp;BD130&amp;BD131&amp;BD132&amp;BD133&amp;BD134&amp;BD135&amp;BD136&amp;BD137&amp;BD138&amp;BD139&amp;BD140&amp;BD141&amp;BD142&amp;BD143&amp;BD144&amp;BD145&amp;BD146&amp;BD147&amp;BD148&amp;BD149&amp;BD150&amp;BD151&amp;BD152&amp;BD153&amp;BD154&amp;BD155&amp;BD156&amp;BD157&amp;BD158&amp;BD159&amp;BD160&amp;BD161&amp;BD162&amp;BD163&amp;BD164&amp;BD165&amp;BD166&amp;BD167&amp;BD168&amp;BD169&amp;BD170&amp;BD171&amp;BD172&amp;BD173&amp;BD174&amp;BD175&amp;BD176&amp;BD177&amp;BD178&amp;BD179&amp;BD180&amp;BD181&amp;BD182&amp;BD183&amp;BD184&amp;BD185&amp;BD186&amp;BD187&amp;BD188&amp;BD189&amp;BD190&amp;BD191&amp;BD192&amp;BD193&amp;BD194&amp;BD195&amp;BD196&amp;BD197&amp;BD198&amp;BD199&amp;BD200&amp;BD201&amp;BD202&amp;BD203&amp;BD204&amp;BD205&amp;BD206&amp;BD207&amp;BD208&amp;BD209&amp;BD210&amp;BD211&amp;BD212&amp;BD213&amp;BD214&amp;BD215&amp;BD216&amp;BD217&amp;BD218&amp;BD219</f>
        <v/>
      </c>
      <c r="BE18" s="1737" t="str">
        <f t="shared" si="1"/>
        <v/>
      </c>
      <c r="BF18" s="1737" t="str">
        <f t="shared" si="1"/>
        <v/>
      </c>
      <c r="BG18" s="1737" t="str">
        <f t="shared" si="1"/>
        <v/>
      </c>
      <c r="BH18" s="1737" t="str">
        <f t="shared" si="1"/>
        <v/>
      </c>
      <c r="BI18" s="1737" t="str">
        <f t="shared" si="1"/>
        <v/>
      </c>
      <c r="BJ18" s="1737" t="str">
        <f t="shared" si="1"/>
        <v/>
      </c>
      <c r="BK18" s="1737" t="str">
        <f t="shared" si="1"/>
        <v/>
      </c>
      <c r="BL18" s="1737" t="str">
        <f t="shared" si="1"/>
        <v/>
      </c>
      <c r="BM18" s="1737" t="str">
        <f t="shared" si="1"/>
        <v/>
      </c>
      <c r="BN18" s="1737" t="str">
        <f t="shared" si="1"/>
        <v/>
      </c>
      <c r="BO18" s="1737" t="str">
        <f t="shared" si="1"/>
        <v/>
      </c>
      <c r="BP18" s="1737" t="str">
        <f t="shared" si="1"/>
        <v/>
      </c>
      <c r="BQ18" s="1737" t="str">
        <f t="shared" si="1"/>
        <v/>
      </c>
      <c r="BR18" s="1731" t="str">
        <f t="shared" si="1"/>
        <v/>
      </c>
      <c r="BT18" s="118"/>
      <c r="BW18" s="1738" t="str">
        <f>BW20&amp;BW21&amp;BW22&amp;BW23&amp;BW24&amp;BW25&amp;BW26&amp;BW27&amp;BW28&amp;BW29&amp;BW30&amp;BW31&amp;BW32&amp;BW33&amp;BW34&amp;BW35&amp;BW36&amp;BW37&amp;BW38&amp;BW39&amp;BW40&amp;BW41&amp;BW42&amp;BW43&amp;BW44&amp;BW45&amp;BW46&amp;BW47&amp;BW48&amp;BW49&amp;BW50&amp;BW51&amp;BW52&amp;BW53&amp;BW54&amp;BW55&amp;BW56&amp;BW57&amp;BW58&amp;BW59&amp;BW60&amp;BW61&amp;BW62&amp;BW63&amp;BW64&amp;BW65&amp;BW66&amp;BW67&amp;BW68&amp;BW69&amp;BW70&amp;BW71&amp;BW72&amp;BW73&amp;BW74&amp;BW75&amp;BW76&amp;BW77&amp;BW78&amp;BW79&amp;BW80&amp;BW81&amp;BW82&amp;BW83&amp;BW84&amp;BW85&amp;BW86&amp;BW87&amp;BW88&amp;BW89&amp;BW90&amp;BW91&amp;BW92&amp;BW93&amp;BW94&amp;BW95&amp;BW96&amp;BW97&amp;BW98&amp;BW99&amp;BW100&amp;BW101&amp;BW102&amp;BW103&amp;BW104&amp;BW105&amp;BW106&amp;BW107&amp;BW108&amp;BW109&amp;BW110&amp;BW111&amp;BW112&amp;BW113&amp;BW114&amp;BW115&amp;BW116&amp;BW117&amp;BW118&amp;BW119&amp;BW120&amp;BW121&amp;BW122&amp;BW123&amp;BW124&amp;BW125&amp;BW126&amp;BW127&amp;BW128&amp;BW129&amp;BW130&amp;BW131&amp;BW132&amp;BW133&amp;BW134&amp;BW135&amp;BW136&amp;BW137&amp;BW138&amp;BW139&amp;BW140&amp;BW141&amp;BW142&amp;BW143&amp;BW144&amp;BW145&amp;BW146&amp;BW147&amp;BW148&amp;BW149&amp;BW150&amp;BW151&amp;BW152&amp;BW153&amp;BW154&amp;BW155&amp;BW156&amp;BW157&amp;BW158&amp;BW159&amp;BW160&amp;BW161&amp;BW162&amp;BW163&amp;BW164&amp;BW165&amp;BW166&amp;BW167&amp;BW168&amp;BW169&amp;BW170&amp;BW171&amp;BW172&amp;BW173&amp;BW174&amp;BW175&amp;BW176&amp;BW177&amp;BW178&amp;BW179&amp;BW180&amp;BW181&amp;BW182&amp;BW183&amp;BW184&amp;BW185&amp;BW186&amp;BW187&amp;BW188&amp;BW189&amp;BW190&amp;BW191&amp;BW192&amp;BW193&amp;BW194&amp;BW195&amp;BW196&amp;BW197&amp;BW198&amp;BW199&amp;BW200&amp;BW201&amp;BW202&amp;BW203&amp;BW204&amp;BW205&amp;BW206&amp;BW207&amp;BW208&amp;BW209&amp;BW210&amp;BW211&amp;BW212&amp;BW213&amp;BW214&amp;BW215&amp;BW216&amp;BW217&amp;BW218&amp;BW219</f>
        <v/>
      </c>
      <c r="BX18" s="17"/>
      <c r="BZ18" s="1743" t="str">
        <f>BZ20&amp;BZ21&amp;BZ22&amp;BZ23&amp;BZ24&amp;BZ25&amp;BZ26&amp;BZ27&amp;BZ28&amp;BZ29&amp;BZ30&amp;BZ31&amp;BZ32&amp;BZ33&amp;BZ34&amp;BZ35&amp;BZ36&amp;BZ37&amp;BZ38&amp;BZ39&amp;BZ40&amp;BZ41&amp;BZ42&amp;BZ43&amp;BZ44&amp;BZ45&amp;BZ46&amp;BZ47&amp;BZ48&amp;BZ49&amp;BZ50&amp;BZ51&amp;BZ52&amp;BZ53&amp;BZ54&amp;BZ55&amp;BZ56&amp;BZ57&amp;BZ58&amp;BZ59&amp;BZ60&amp;BZ61&amp;BZ62&amp;BZ63&amp;BZ64&amp;BZ65&amp;BZ66&amp;BZ67&amp;BZ68&amp;BZ69&amp;BZ70&amp;BZ71&amp;BZ72&amp;BZ73&amp;BZ74&amp;BZ75&amp;BZ76&amp;BZ77&amp;BZ78&amp;BZ79&amp;BZ80&amp;BZ81&amp;BZ82&amp;BZ83&amp;BZ84&amp;BZ85&amp;BZ86&amp;BZ87&amp;BZ88&amp;BZ89&amp;BZ90&amp;BZ91&amp;BZ92&amp;BZ93&amp;BZ94&amp;BZ95&amp;BZ96&amp;BZ97&amp;BZ98&amp;BZ99&amp;BZ100&amp;BZ101&amp;BZ102&amp;BZ103&amp;BZ104&amp;BZ105&amp;BZ106&amp;BZ107&amp;BZ108&amp;BZ109&amp;BZ110&amp;BZ111&amp;BZ112&amp;BZ113&amp;BZ114&amp;BZ115&amp;BZ116&amp;BZ117&amp;BZ118&amp;BZ119&amp;BZ120&amp;BZ121&amp;BZ122&amp;BZ123&amp;BZ124&amp;BZ125&amp;BZ126&amp;BZ127&amp;BZ128&amp;BZ129&amp;BZ130&amp;BZ131&amp;BZ132&amp;BZ133&amp;BZ134&amp;BZ135&amp;BZ136&amp;BZ137&amp;BZ138&amp;BZ139&amp;BZ140&amp;BZ141&amp;BZ142&amp;BZ143&amp;BZ144&amp;BZ145&amp;BZ146&amp;BZ147&amp;BZ148&amp;BZ149&amp;BZ150&amp;BZ151&amp;BZ152&amp;BZ153&amp;BZ154&amp;BZ155&amp;BZ156&amp;BZ157&amp;BZ158&amp;BZ159&amp;BZ160&amp;BZ161&amp;BZ162&amp;BZ163&amp;BZ164&amp;BZ165&amp;BZ166&amp;BZ167&amp;BZ168&amp;BZ169&amp;BZ170&amp;BZ171&amp;BZ172&amp;BZ173&amp;BZ174&amp;BZ175&amp;BZ176&amp;BZ177&amp;BZ178&amp;BZ179&amp;BZ180&amp;BZ181&amp;BZ182&amp;BZ183&amp;BZ184&amp;BZ185&amp;BZ186&amp;BZ187&amp;BZ188&amp;BZ189&amp;BZ190&amp;BZ191&amp;BZ192&amp;BZ193&amp;BZ194&amp;BZ195&amp;BZ196&amp;BZ197&amp;BZ198&amp;BZ199&amp;BZ200&amp;BZ201&amp;BZ202&amp;BZ203&amp;BZ204&amp;BZ205&amp;BZ206&amp;BZ207&amp;BZ208&amp;BZ209&amp;BZ210&amp;BZ211&amp;BZ212&amp;BZ213&amp;BZ214&amp;BZ215&amp;BZ216&amp;BZ217&amp;BZ218&amp;BZ219</f>
        <v/>
      </c>
      <c r="CA18" s="17"/>
      <c r="CC18" s="1778" t="str">
        <f>CC20&amp;CC21&amp;CC22&amp;CC23&amp;CC24&amp;CC25&amp;CC26&amp;CC27&amp;CC28&amp;CC29&amp;CC30&amp;CC31&amp;CC32&amp;CC33&amp;CC34&amp;CC35&amp;CC36&amp;CC37&amp;CC38&amp;CC39&amp;CC40&amp;CC41&amp;CC42&amp;CC43&amp;CC44&amp;CC45&amp;CC46&amp;CC47&amp;CC48&amp;CC49&amp;CC50&amp;CC51&amp;CC52&amp;CC53&amp;CC54&amp;CC55&amp;CC56&amp;CC57&amp;CC58&amp;CC59&amp;CC60&amp;CC61&amp;CC62&amp;CC63&amp;CC64&amp;CC65&amp;CC66&amp;CC67&amp;CC68&amp;CC69&amp;CC70&amp;CC71&amp;CC72&amp;CC73&amp;CC74&amp;CC75&amp;CC76&amp;CC77&amp;CC78&amp;CC79&amp;CC80&amp;CC81&amp;CC82&amp;CC83&amp;CC84&amp;CC85&amp;CC86&amp;CC87&amp;CC88&amp;CC89&amp;CC90&amp;CC91&amp;CC92&amp;CC93&amp;CC94&amp;CC95&amp;CC96&amp;CC97&amp;CC98&amp;CC99&amp;CC100&amp;CC101&amp;CC102&amp;CC103&amp;CC104&amp;CC105&amp;CC106&amp;CC107&amp;CC108&amp;CC109&amp;CC110&amp;CC111&amp;CC112&amp;CC113&amp;CC114&amp;CC115&amp;CC116&amp;CC117&amp;CC118&amp;CC119&amp;CC120&amp;CC121&amp;CC122&amp;CC123&amp;CC124&amp;CC125&amp;CC126&amp;CC127&amp;CC128&amp;CC129&amp;CC130&amp;CC131&amp;CC132&amp;CC133&amp;CC134&amp;CC135&amp;CC136&amp;CC137&amp;CC138&amp;CC139&amp;CC140&amp;CC141&amp;CC142&amp;CC143&amp;CC144&amp;CC145&amp;CC146&amp;CC147&amp;CC148&amp;CC149&amp;CC150&amp;CC151&amp;CC152&amp;CC153&amp;CC154&amp;CC155&amp;CC156&amp;CC157&amp;CC158&amp;CC159&amp;CC160&amp;CC161&amp;CC162&amp;CC163&amp;CC164&amp;CC165&amp;CC166&amp;CC167&amp;CC168&amp;CC169&amp;CC170&amp;CC171&amp;CC172&amp;CC173&amp;CC174&amp;CC175&amp;CC176&amp;CC177&amp;CC178&amp;CC179&amp;CC180&amp;CC181&amp;CC182&amp;CC183&amp;CC184&amp;CC185&amp;CC186&amp;CC187&amp;CC188&amp;CC189&amp;CC190&amp;CC191&amp;CC192&amp;CC193&amp;CC194&amp;CC195&amp;CC196&amp;CC197&amp;CC198&amp;CC199&amp;CC200&amp;CC201&amp;CC202&amp;CC203&amp;CC204&amp;CC205&amp;CC206&amp;CC207&amp;CC208&amp;CC209&amp;CC210&amp;CC211&amp;CC212&amp;CC213&amp;CC214&amp;CC215&amp;CC216&amp;CC217&amp;CC218&amp;CC219</f>
        <v/>
      </c>
      <c r="CE18" s="215"/>
      <c r="CG18" s="1731" t="str">
        <f>CG20&amp;CG21&amp;CG22&amp;CG23&amp;CG24&amp;CG25&amp;CG26&amp;CG27&amp;CG28&amp;CG29&amp;CG30&amp;CG31&amp;CG32&amp;CG33&amp;CG34&amp;CG35&amp;CG36&amp;CG37&amp;CG38&amp;CG39&amp;CG40&amp;CG41&amp;CG42&amp;CG43&amp;CG44&amp;CG45&amp;CG46&amp;CG47&amp;CG48&amp;CG49&amp;CG50&amp;CG51&amp;CG52&amp;CG53&amp;CG54&amp;CG55&amp;CG56&amp;CG57&amp;CG58&amp;CG59&amp;CG60&amp;CG61&amp;CG62&amp;CG63&amp;CG64&amp;CG65&amp;CG66&amp;CG67&amp;CG68&amp;CG69&amp;CG70&amp;CG71&amp;CG72&amp;CG73&amp;CG74&amp;CG75&amp;CG76&amp;CG77&amp;CG78&amp;CG79&amp;CG80&amp;CG81&amp;CG82&amp;CG83&amp;CG84&amp;CG85&amp;CG86&amp;CG87&amp;CG88&amp;CG89&amp;CG90&amp;CG91&amp;CG92&amp;CG93&amp;CG94&amp;CG95&amp;CG96&amp;CG97&amp;CG98&amp;CG99&amp;CG100&amp;CG101&amp;CG102&amp;CG103&amp;CG104&amp;CG105&amp;CG106&amp;CG107&amp;CG108&amp;CG109&amp;CG110&amp;CG111&amp;CG112&amp;CG113&amp;CG114&amp;CG115&amp;CG116&amp;CG117&amp;CG118&amp;CG119&amp;CG120&amp;CG121&amp;CG122&amp;CG123&amp;CG124&amp;CG125&amp;CG126&amp;CG127&amp;CG128&amp;CG129&amp;CG130&amp;CG131&amp;CG132&amp;CG133&amp;CG134&amp;CG135&amp;CG136&amp;CG137&amp;CG138&amp;CG139&amp;CG140&amp;CG141&amp;CG142&amp;CG143&amp;CG144&amp;CG145&amp;CG146&amp;CG147&amp;CG148&amp;CG149&amp;CG150&amp;CG151&amp;CG152&amp;CG153&amp;CG154&amp;CG155&amp;CG156&amp;CG157&amp;CG158&amp;CG159&amp;CG160&amp;CG161&amp;CG162&amp;CG163&amp;CG164&amp;CG165&amp;CG166&amp;CG167&amp;CG168&amp;CG169&amp;CG170&amp;CG171&amp;CG172&amp;CG173&amp;CG174&amp;CG175&amp;CG176&amp;CG177&amp;CG178&amp;CG179&amp;CG180&amp;CG181&amp;CG182&amp;CG183&amp;CG184&amp;CG185&amp;CG186&amp;CG187&amp;CG188&amp;CG189&amp;CG190&amp;CG191&amp;CG192&amp;CG193&amp;CG194&amp;CG195&amp;CG196&amp;CG197&amp;CG198&amp;CG199&amp;CG200&amp;CG201&amp;CG202&amp;CG203&amp;CG204&amp;CG205&amp;CG206&amp;CG207&amp;CG208&amp;CG209&amp;CG210&amp;CG211&amp;CG212&amp;CG213&amp;CG214&amp;CG215&amp;CG216&amp;CG217&amp;CG218&amp;CG219</f>
        <v/>
      </c>
      <c r="CH18" s="1731" t="str">
        <f>CH20&amp;CH21&amp;CH22&amp;CH23&amp;CH24&amp;CH25&amp;CH26&amp;CH27&amp;CH28&amp;CH29&amp;CH30&amp;CH31&amp;CH32&amp;CH33&amp;CH34&amp;CH35&amp;CH36&amp;CH37&amp;CH38&amp;CH39&amp;CH40&amp;CH41&amp;CH42&amp;CH43&amp;CH44&amp;CH45&amp;CH46&amp;CH47&amp;CH48&amp;CH49&amp;CH50&amp;CH51&amp;CH52&amp;CH53&amp;CH54&amp;CH55&amp;CH56&amp;CH57&amp;CH58&amp;CH59&amp;CH60&amp;CH61&amp;CH62&amp;CH63&amp;CH64&amp;CH65&amp;CH66&amp;CH67&amp;CH68&amp;CH69&amp;CH70&amp;CH71&amp;CH72&amp;CH73&amp;CH74&amp;CH75&amp;CH76&amp;CH77&amp;CH78&amp;CH79&amp;CH80&amp;CH81&amp;CH82&amp;CH83&amp;CH84&amp;CH85&amp;CH86&amp;CH87&amp;CH88&amp;CH89&amp;CH90&amp;CH91&amp;CH92&amp;CH93&amp;CH94&amp;CH95&amp;CH96&amp;CH97&amp;CH98&amp;CH99&amp;CH100&amp;CH101&amp;CH102&amp;CH103&amp;CH104&amp;CH105&amp;CH106&amp;CH107&amp;CH108&amp;CH109&amp;CH110&amp;CH111&amp;CH112&amp;CH113&amp;CH114&amp;CH115&amp;CH116&amp;CH117&amp;CH118&amp;CH119&amp;CH120&amp;CH121&amp;CH122&amp;CH123&amp;CH124&amp;CH125&amp;CH126&amp;CH127&amp;CH128&amp;CH129&amp;CH130&amp;CH131&amp;CH132&amp;CH133&amp;CH134&amp;CH135&amp;CH136&amp;CH137&amp;CH138&amp;CH139&amp;CH140&amp;CH141&amp;CH142&amp;CH143&amp;CH144&amp;CH145&amp;CH146&amp;CH147&amp;CH148&amp;CH149&amp;CH150&amp;CH151&amp;CH152&amp;CH153&amp;CH154&amp;CH155&amp;CH156&amp;CH157&amp;CH158&amp;CH159&amp;CH160&amp;CH161&amp;CH162&amp;CH163&amp;CH164&amp;CH165&amp;CH166&amp;CH167&amp;CH168&amp;CH169&amp;CH170&amp;CH171&amp;CH172&amp;CH173&amp;CH174&amp;CH175&amp;CH176&amp;CH177&amp;CH178&amp;CH179&amp;CH180&amp;CH181&amp;CH182&amp;CH183&amp;CH184&amp;CH185&amp;CH186&amp;CH187&amp;CH188&amp;CH189&amp;CH190&amp;CH191&amp;CH192&amp;CH193&amp;CH194&amp;CH195&amp;CH196&amp;CH197&amp;CH198&amp;CH199&amp;CH200&amp;CH201&amp;CH202&amp;CH203&amp;CH204&amp;CH205&amp;CH206&amp;CH207&amp;CH208&amp;CH209&amp;CH210&amp;CH211&amp;CH212&amp;CH213&amp;CH214&amp;CH215&amp;CH216&amp;CH217&amp;CH218&amp;CH219</f>
        <v/>
      </c>
      <c r="CI18" s="1731" t="str">
        <f>CI20&amp;CI21&amp;CI22&amp;CI23&amp;CI24&amp;CI25&amp;CI26&amp;CI27&amp;CI28&amp;CI29&amp;CI30&amp;CI31&amp;CI32&amp;CI33&amp;CI34&amp;CI35&amp;CI36&amp;CI37&amp;CI38&amp;CI39&amp;CI40&amp;CI41&amp;CI42&amp;CI43&amp;CI44&amp;CI45&amp;CI46&amp;CI47&amp;CI48&amp;CI49&amp;CI50&amp;CI51&amp;CI52&amp;CI53&amp;CI54&amp;CI55&amp;CI56&amp;CI57&amp;CI58&amp;CI59&amp;CI60&amp;CI61&amp;CI62&amp;CI63&amp;CI64&amp;CI65&amp;CI66&amp;CI67&amp;CI68&amp;CI69&amp;CI70&amp;CI71&amp;CI72&amp;CI73&amp;CI74&amp;CI75&amp;CI76&amp;CI77&amp;CI78&amp;CI79&amp;CI80&amp;CI81&amp;CI82&amp;CI83&amp;CI84&amp;CI85&amp;CI86&amp;CI87&amp;CI88&amp;CI89&amp;CI90&amp;CI91&amp;CI92&amp;CI93&amp;CI94&amp;CI95&amp;CI96&amp;CI97&amp;CI98&amp;CI99&amp;CI100&amp;CI101&amp;CI102&amp;CI103&amp;CI104&amp;CI105&amp;CI106&amp;CI107&amp;CI108&amp;CI109&amp;CI110&amp;CI111&amp;CI112&amp;CI113&amp;CI114&amp;CI115&amp;CI116&amp;CI117&amp;CI118&amp;CI119&amp;CI120&amp;CI121&amp;CI122&amp;CI123&amp;CI124&amp;CI125&amp;CI126&amp;CI127&amp;CI128&amp;CI129&amp;CI130&amp;CI131&amp;CI132&amp;CI133&amp;CI134&amp;CI135&amp;CI136&amp;CI137&amp;CI138&amp;CI139&amp;CI140&amp;CI141&amp;CI142&amp;CI143&amp;CI144&amp;CI145&amp;CI146&amp;CI147&amp;CI148&amp;CI149&amp;CI150&amp;CI151&amp;CI152&amp;CI153&amp;CI154&amp;CI155&amp;CI156&amp;CI157&amp;CI158&amp;CI159&amp;CI160&amp;CI161&amp;CI162&amp;CI163&amp;CI164&amp;CI165&amp;CI166&amp;CI167&amp;CI168&amp;CI169&amp;CI170&amp;CI171&amp;CI172&amp;CI173&amp;CI174&amp;CI175&amp;CI176&amp;CI177&amp;CI178&amp;CI179&amp;CI180&amp;CI181&amp;CI182&amp;CI183&amp;CI184&amp;CI185&amp;CI186&amp;CI187&amp;CI188&amp;CI189&amp;CI190&amp;CI191&amp;CI192&amp;CI193&amp;CI194&amp;CI195&amp;CI196&amp;CI197&amp;CI198&amp;CI199&amp;CI200&amp;CI201&amp;CI202&amp;CI203&amp;CI204&amp;CI205&amp;CI206&amp;CI207&amp;CI208&amp;CI209&amp;CI210&amp;CI211&amp;CI212&amp;CI213&amp;CI214&amp;CI215&amp;CI216&amp;CI217&amp;CI218&amp;CI219</f>
        <v/>
      </c>
      <c r="CJ18" s="180"/>
      <c r="CK18" s="181"/>
      <c r="CM18" s="1732" t="str">
        <f>CM20&amp;CM21&amp;CM22&amp;CM23&amp;CM24&amp;CM25&amp;CM26&amp;CM27&amp;CM28&amp;CM29&amp;CM30&amp;CM31&amp;CM32&amp;CM33&amp;CM34&amp;CM35&amp;CM36&amp;CM37&amp;CM38&amp;CM39&amp;CM40&amp;CM41&amp;CM42&amp;CM43&amp;CM44&amp;CM45&amp;CM46&amp;CM47&amp;CM48&amp;CM49&amp;CM50&amp;CM51&amp;CM52&amp;CM53&amp;CM54&amp;CM55&amp;CM56&amp;CM57&amp;CM58&amp;CM59&amp;CM60&amp;CM61&amp;CM62&amp;CM63&amp;CM64&amp;CM65&amp;CM66&amp;CM67&amp;CM68&amp;CM69&amp;CM70&amp;CM71&amp;CM72&amp;CM73&amp;CM74&amp;CM75&amp;CM76&amp;CM77&amp;CM78&amp;CM79&amp;CM80&amp;CM81&amp;CM82&amp;CM83&amp;CM84&amp;CM85&amp;CM86&amp;CM87&amp;CM88&amp;CM89&amp;CM90&amp;CM91&amp;CM92&amp;CM93&amp;CM94&amp;CM95&amp;CM96&amp;CM97&amp;CM98&amp;CM99&amp;CM100&amp;CM101&amp;CM102&amp;CM103&amp;CM104&amp;CM105&amp;CM106&amp;CM107&amp;CM108&amp;CM109&amp;CM110&amp;CM111&amp;CM112&amp;CM113&amp;CM114&amp;CM115&amp;CM116&amp;CM117&amp;CM118&amp;CM119&amp;CM120&amp;CM121&amp;CM122&amp;CM123&amp;CM124&amp;CM125&amp;CM126&amp;CM127&amp;CM128&amp;CM129&amp;CM130&amp;CM131&amp;CM132&amp;CM133&amp;CM134&amp;CM135&amp;CM136&amp;CM137&amp;CM138&amp;CM139&amp;CM140&amp;CM141&amp;CM142&amp;CM143&amp;CM144&amp;CM145&amp;CM146&amp;CM147&amp;CM148&amp;CM149&amp;CM150&amp;CM151&amp;CM152&amp;CM153&amp;CM154&amp;CM155&amp;CM156&amp;CM157&amp;CM158&amp;CM159&amp;CM160&amp;CM161&amp;CM162&amp;CM163&amp;CM164&amp;CM165&amp;CM166&amp;CM167&amp;CM168&amp;CM169&amp;CM170&amp;CM171&amp;CM172&amp;CM173&amp;CM174&amp;CM175&amp;CM176&amp;CM177&amp;CM178&amp;CM179&amp;CM180&amp;CM181&amp;CM182&amp;CM183&amp;CM184&amp;CM185&amp;CM186&amp;CM187&amp;CM188&amp;CM189&amp;CM190&amp;CM191&amp;CM192&amp;CM193&amp;CM194&amp;CM195&amp;CM196&amp;CM197&amp;CM198&amp;CM199&amp;CM200&amp;CM201&amp;CM202&amp;CM203&amp;CM204&amp;CM205&amp;CM206&amp;CM207&amp;CM208&amp;CM209&amp;CM210&amp;CM211&amp;CM212&amp;CM213&amp;CM214&amp;CM215&amp;CM216&amp;CM217&amp;CM218&amp;CM219</f>
        <v/>
      </c>
      <c r="CN18" s="131"/>
    </row>
    <row r="19" spans="3:92" x14ac:dyDescent="0.35">
      <c r="C19" t="s">
        <v>377</v>
      </c>
      <c r="E19" s="29"/>
      <c r="F19" s="118"/>
      <c r="G19" s="29" t="s">
        <v>378</v>
      </c>
      <c r="H19" s="29" t="s">
        <v>379</v>
      </c>
      <c r="I19" s="17"/>
      <c r="K19" t="s">
        <v>380</v>
      </c>
      <c r="N19" s="118"/>
      <c r="O19" s="184" t="s">
        <v>381</v>
      </c>
      <c r="P19" s="184" t="s">
        <v>382</v>
      </c>
      <c r="Q19" s="184" t="s">
        <v>383</v>
      </c>
      <c r="S19" s="17"/>
      <c r="T19" s="118"/>
      <c r="U19" s="11" t="s">
        <v>384</v>
      </c>
      <c r="V19" s="11" t="s">
        <v>385</v>
      </c>
      <c r="W19" s="11" t="s">
        <v>386</v>
      </c>
      <c r="X19" s="11"/>
      <c r="Y19" s="3396" t="s">
        <v>387</v>
      </c>
      <c r="Z19" s="3397"/>
      <c r="AB19" s="184" t="s">
        <v>381</v>
      </c>
      <c r="AC19" s="184" t="s">
        <v>382</v>
      </c>
      <c r="AD19" s="184" t="s">
        <v>383</v>
      </c>
      <c r="AF19" s="118"/>
      <c r="AJ19" s="118"/>
      <c r="AK19" s="11" t="s">
        <v>294</v>
      </c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7"/>
      <c r="BB19" s="118"/>
      <c r="BC19" s="11" t="s">
        <v>294</v>
      </c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T19" s="118"/>
      <c r="BU19" s="11" t="s">
        <v>388</v>
      </c>
      <c r="BV19" s="11" t="s">
        <v>389</v>
      </c>
      <c r="BX19" s="17"/>
      <c r="CA19" s="17"/>
      <c r="CE19" s="215"/>
      <c r="CG19" s="184" t="s">
        <v>381</v>
      </c>
      <c r="CH19" s="184" t="s">
        <v>382</v>
      </c>
      <c r="CI19" s="184" t="s">
        <v>383</v>
      </c>
      <c r="CJ19" s="180"/>
      <c r="CK19" s="181"/>
      <c r="CL19" s="184" t="s">
        <v>57</v>
      </c>
      <c r="CM19" s="184"/>
      <c r="CN19" s="131"/>
    </row>
    <row r="20" spans="3:92" x14ac:dyDescent="0.35">
      <c r="C20" s="1779">
        <f>IF(AND(G20="",H20="",O20="",P20="",Q20="",U20="",V20="",W20="",Y20="",AB20="",AC20="",AD20="",AG20="",AH20="",AL20="",AM20="",AN20="",AO20="",AP20="",AQ20="",AR20="",AS20="",AT20="",AU20="",AV20="",AW20="",AX20="",AY20="",AZ20="",BD20="",BE20="",BF20="",BG20="",BH20="",BI20="",BJ20="",BK20="",BL20="",BM20="",BN20="",BO20="",BP20="",BQ20="",BR20="",BW20="",BZ20=""),0,1)</f>
        <v>0</v>
      </c>
      <c r="D20" s="41"/>
      <c r="E20" s="41"/>
      <c r="F20" s="118"/>
      <c r="G20" s="1779" t="str" cm="1">
        <f t="array" ref="G20">IF(SUMPRODUCT(--(CourseAims=Courses!$C14))=1,"",IF(AND($N$9=1,Courses!$C14&lt;&gt;""),"Row "&amp;Courses!A14&amp;" (invalid); ",""))</f>
        <v/>
      </c>
      <c r="H20" s="1780" t="str">
        <f>IF(AND($O$9=1,Courses!B14="",OR(Courses!F14&lt;&gt;"",Courses!H14&lt;&gt;"",Courses!J14&lt;&gt;"",Courses!K14&lt;&gt;"",Courses!L14&lt;&gt;"",Courses!M14&lt;&gt;0,Courses!N14&lt;&gt;0,Courses!O14&lt;&gt;0,Courses!P14&lt;&gt;0,Courses!Q14&lt;&gt;0,Courses!R14&lt;&gt;0,Courses!S14&lt;&gt;0,Courses!T14&lt;&gt;0,Courses!U14&lt;&gt;0,Courses!V14&lt;&gt;0,Courses!W14&lt;&gt;0,Courses!X14&lt;&gt;0,Courses!Y14&lt;&gt;0,Courses!Z14&lt;&gt;0,Courses!AA14&lt;&gt;0)),"Row "&amp;Courses!A14&amp;" (none); ","")</f>
        <v/>
      </c>
      <c r="I20" s="17"/>
      <c r="K20" s="1780" t="str">
        <f>Courses!B14&amp;Courses!K14&amp;Courses!L14</f>
        <v/>
      </c>
      <c r="L20" s="1780" t="str" cm="1">
        <f t="array" ref="L20">IF(AND($P$9=1,Courses!$B14&lt;&gt;"",COUNTIF(Dummy,Courses!$C14)&lt;&gt;1),IF(SUMPRODUCT(--($K$20:$K$219=$K20))&gt;1,"Row "&amp;Courses!$A14&amp;"; ",""),"")</f>
        <v/>
      </c>
      <c r="N20" s="118"/>
      <c r="O20" s="1740" t="str">
        <f>IF(AND($Q$9=1,Courses!E14&lt;&gt;"",Courses!F14=""),"Row "&amp;Courses!A14&amp;", "&amp;Courses!$E$10&amp;"; ","")</f>
        <v/>
      </c>
      <c r="P20" s="185" t="str">
        <f>IF(AND($Q$9=1,Courses!G14&lt;&gt;"",Courses!H14=""),"Row "&amp;Courses!A14&amp;", "&amp;Courses!$G$10&amp;"; ","")</f>
        <v/>
      </c>
      <c r="Q20" s="1736" t="str">
        <f>IF(AND($Q$9=1,Courses!I14&lt;&gt;"",Courses!J14=""),"Row "&amp;Courses!A14&amp;", "&amp;Courses!$I$10&amp;"; ","")</f>
        <v/>
      </c>
      <c r="S20" s="17"/>
      <c r="T20" s="118"/>
      <c r="U20" s="1781" t="str">
        <f>IF(AND($R$9=1,Courses!B14&lt;&gt;"",Courses!E14&lt;&gt;"",Courses!G14="",Courses!I14="",Courses!F14&lt;&gt;1),"Row "&amp;Courses!A14&amp;"; ","")</f>
        <v/>
      </c>
      <c r="V20" s="185" t="str">
        <f>IF(AND($R$9=1,Courses!B14&lt;&gt;"",Courses!I14="",Courses!F14&lt;&gt;"",Courses!G14&lt;&gt;"",Courses!H14&lt;&gt;""),IF(OR((Courses!F14+Courses!H14)&lt;&gt;1),"Row "&amp;Courses!A14&amp;"; ",""),"")</f>
        <v/>
      </c>
      <c r="W20" s="1736" t="str">
        <f>IF(AND($R$9=1,Courses!B14&lt;&gt;"",Courses!I14&lt;&gt;"",Courses!J14&lt;&gt;"",Courses!H14&lt;&gt;"",Courses!G14&lt;&gt;"",Courses!F14&lt;&gt;""),IF(OR((Courses!F14+Courses!H14+Courses!J14)&lt;&gt;1),"Row "&amp;Courses!A14&amp;"; ",""),"")</f>
        <v/>
      </c>
      <c r="Y20" s="1780" t="str">
        <f>IF(AND($R$9=1,Courses!E14&lt;&gt;"",U20="",V20="",W20="",SUM(Courses!F14,Courses!H14,Courses!J14)&lt;&gt;1),"Row "&amp;Courses!A14&amp;"; ","")</f>
        <v/>
      </c>
      <c r="Z20" s="17"/>
      <c r="AB20" s="1740" t="str">
        <f>IF(AND($S$9=1,Courses!B14&lt;&gt;"",Courses!E14&lt;&gt;"",Courses!F14&lt;&gt;""),IF((TRUNC(Courses!F14*100)&lt;&gt;Courses!F14*100),"Row "&amp;Courses!A14&amp;", "&amp;Courses!$F$10&amp;"; ",""),"")</f>
        <v/>
      </c>
      <c r="AC20" s="185" t="str">
        <f>IF(AND($S$9=1,Courses!B14&lt;&gt;"",Courses!G14&lt;&gt;"",Courses!H14&lt;&gt;""),IF((TRUNC(Courses!H14*100)&lt;&gt;Courses!H14*100),"Row "&amp;Courses!A14&amp;", "&amp;Courses!$H$10&amp;"; ",""),"")</f>
        <v/>
      </c>
      <c r="AD20" s="1736" t="str">
        <f>IF(AND($S$9=1,Courses!B14&lt;&gt;"",Courses!I14&lt;&gt;"",Courses!J14&lt;&gt;""),IF((TRUNC(Courses!J14*100)&lt;&gt;Courses!J14*100),"Row "&amp;Courses!A14&amp;", "&amp;Courses!$J$10&amp;"; ",""),"")</f>
        <v/>
      </c>
      <c r="AF20" s="118"/>
      <c r="AG20" s="1780" t="str">
        <f>IF(AND($T$9=1,G20="",Courses!B14&lt;&gt;"",Courses!K14&lt;&gt;$B$9,Courses!K14&lt;&gt;$B$10,Courses!K14&lt;&gt;$B$11,Courses!K14&lt;&gt;$B$12,Courses!K14&lt;&gt;$B$13,Courses!K14&lt;&gt;$B$14),"Row "&amp;Courses!A14&amp;"; ","")</f>
        <v/>
      </c>
      <c r="AH20" s="1780" t="str">
        <f>IF(AND($U$9=1,G20="",Courses!B14&lt;&gt;"",Courses!L14&lt;&gt;"Standard",Courses!L14&lt;&gt;"Long"),"Row "&amp;Courses!A14&amp;"; ","")</f>
        <v/>
      </c>
      <c r="AJ20" s="118"/>
      <c r="AK20" s="3">
        <v>1</v>
      </c>
      <c r="AL20" s="1740" t="str">
        <f>IF(AND($V$9=1,(TRUNC(Courses!M14)&lt;&gt;Courses!M14)), "Row "&amp;Courses!$A14&amp;", "&amp;AL$9&amp;", "&amp;AL$10&amp;", "&amp;AL$11&amp;"; ","")</f>
        <v/>
      </c>
      <c r="AM20" s="185" t="str">
        <f>IF(AND($V$9=1,(TRUNC(Courses!N14)&lt;&gt;Courses!N14)), "Row "&amp;Courses!$A14&amp;", "&amp;AM$9&amp;", "&amp;AM$10&amp;", "&amp;AM$11&amp;"; ","")</f>
        <v/>
      </c>
      <c r="AN20" s="185" t="str">
        <f>IF(AND($V$9=1,(TRUNC(Courses!O14)&lt;&gt;Courses!O14)), "Row "&amp;Courses!$A14&amp;", "&amp;AN$9&amp;", "&amp;AN$10&amp;", "&amp;AN$11&amp;"; ","")</f>
        <v/>
      </c>
      <c r="AO20" s="185" t="str">
        <f>IF(AND($V$9=1,(TRUNC(Courses!P14)&lt;&gt;Courses!P14)), "Row "&amp;Courses!$A14&amp;", "&amp;AO$9&amp;", "&amp;AO$10&amp;", "&amp;AO$11&amp;"; ","")</f>
        <v/>
      </c>
      <c r="AP20" s="2119" t="str">
        <f>IF(AND($V$9=1,(TRUNC(Courses!Q14)&lt;&gt;Courses!Q14)), "Row "&amp;Courses!$A14&amp;", "&amp;AP$9&amp;", "&amp;AP$10&amp;"; ","")</f>
        <v/>
      </c>
      <c r="AQ20" s="1740" t="str">
        <f>IF(AND($V$9=1,(TRUNC(Courses!R14)&lt;&gt;Courses!R14)), "Row "&amp;Courses!$A14&amp;", "&amp;AQ$9&amp;", "&amp;AQ$10&amp;", "&amp;AQ$11&amp;"; ","")</f>
        <v/>
      </c>
      <c r="AR20" s="185" t="str">
        <f>IF(AND($V$9=1,(TRUNC(Courses!S14)&lt;&gt;Courses!S14)), "Row "&amp;Courses!$A14&amp;", "&amp;AR$9&amp;", "&amp;AR$10&amp;", "&amp;AR$11&amp;"; ","")</f>
        <v/>
      </c>
      <c r="AS20" s="185" t="str">
        <f>IF(AND($V$9=1,(TRUNC(Courses!T14)&lt;&gt;Courses!T14)), "Row "&amp;Courses!$A14&amp;", "&amp;AS$9&amp;", "&amp;AS$10&amp;", "&amp;AS$11&amp;"; ","")</f>
        <v/>
      </c>
      <c r="AT20" s="185" t="str">
        <f>IF(AND($V$9=1,(TRUNC(Courses!U14)&lt;&gt;Courses!U14)), "Row "&amp;Courses!$A14&amp;", "&amp;AT$9&amp;", "&amp;AT$10&amp;", "&amp;AT$11&amp;"; ","")</f>
        <v/>
      </c>
      <c r="AU20" s="2119" t="str">
        <f>IF(AND($V$9=1,(TRUNC(Courses!V14)&lt;&gt;Courses!V14)), "Row "&amp;Courses!$A14&amp;", "&amp;AU$9&amp;", "&amp;AU$10&amp;"; ","")</f>
        <v/>
      </c>
      <c r="AV20" s="1740" t="str">
        <f>IF(AND($V$9=1,(TRUNC(Courses!W14)&lt;&gt;Courses!W14)), "Row "&amp;Courses!$A14&amp;", "&amp;AV$9&amp;", "&amp;AV$10&amp;", "&amp;AV$11&amp;"; ","")</f>
        <v/>
      </c>
      <c r="AW20" s="185" t="str">
        <f>IF(AND($V$9=1,(TRUNC(Courses!X14)&lt;&gt;Courses!X14)), "Row "&amp;Courses!$A14&amp;", "&amp;AW$9&amp;", "&amp;AW$10&amp;", "&amp;AW$11&amp;"; ","")</f>
        <v/>
      </c>
      <c r="AX20" s="185" t="str">
        <f>IF(AND($V$9=1,(TRUNC(Courses!Y14)&lt;&gt;Courses!Y14)), "Row "&amp;Courses!$A14&amp;", "&amp;AX$9&amp;", "&amp;AX$10&amp;", "&amp;AX$11&amp;"; ","")</f>
        <v/>
      </c>
      <c r="AY20" s="185" t="str">
        <f>IF(AND($V$9=1,(TRUNC(Courses!Z14)&lt;&gt;Courses!Z14)), "Row "&amp;Courses!$A14&amp;", "&amp;AY$9&amp;", "&amp;AY$10&amp;", "&amp;AY$11&amp;"; ","")</f>
        <v/>
      </c>
      <c r="AZ20" s="2119" t="str">
        <f>IF(AND($V$9=1,(TRUNC(Courses!AA14)&lt;&gt;Courses!AA14)), "Row "&amp;Courses!$A14&amp;", "&amp;AZ$9&amp;", "&amp;AZ$10&amp;"; ","")</f>
        <v/>
      </c>
      <c r="BA20" s="17"/>
      <c r="BB20" s="118"/>
      <c r="BC20" s="3">
        <v>1</v>
      </c>
      <c r="BD20" s="1740" t="str">
        <f>IF(AND($W$9=1,Courses!M14&lt;0), "Row "&amp;Courses!$A14&amp;", "&amp;BD$9&amp;", "&amp;BD$10&amp;", "&amp;BD$11&amp;"; ","")</f>
        <v/>
      </c>
      <c r="BE20" s="185" t="str">
        <f>IF(AND($W$9=1,Courses!N14&lt;0), "Row "&amp;Courses!$A14&amp;", "&amp;BE$9&amp;", "&amp;BE$10&amp;", "&amp;BE$11&amp;"; ","")</f>
        <v/>
      </c>
      <c r="BF20" s="185" t="str">
        <f>IF(AND($W$9=1,Courses!O14&lt;0), "Row "&amp;Courses!$A14&amp;", "&amp;BF$9&amp;", "&amp;BF$10&amp;", "&amp;BF$11&amp;"; ","")</f>
        <v/>
      </c>
      <c r="BG20" s="185" t="str">
        <f>IF(AND($W$9=1,Courses!P14&lt;0), "Row "&amp;Courses!$A14&amp;", "&amp;BG$9&amp;", "&amp;BG$10&amp;", "&amp;BG$11&amp;"; ","")</f>
        <v/>
      </c>
      <c r="BH20" s="2119" t="str">
        <f>IF(AND($W$9=1,Courses!Q14&lt;0), "Row "&amp;Courses!$A14&amp;", "&amp;BH$9&amp;", "&amp;BH$10&amp;"; ","")</f>
        <v/>
      </c>
      <c r="BI20" s="1740" t="str">
        <f>IF(AND($W$9=1,Courses!R14&lt;0), "Row "&amp;Courses!$A14&amp;", "&amp;BI$9&amp;", "&amp;BI$10&amp;", "&amp;BI$11&amp;"; ","")</f>
        <v/>
      </c>
      <c r="BJ20" s="185" t="str">
        <f>IF(AND($W$9=1,Courses!S14&lt;0), "Row "&amp;Courses!$A14&amp;", "&amp;BJ$9&amp;", "&amp;BJ$10&amp;", "&amp;BJ$11&amp;"; ","")</f>
        <v/>
      </c>
      <c r="BK20" s="185" t="str">
        <f>IF(AND($W$9=1,Courses!T14&lt;0), "Row "&amp;Courses!$A14&amp;", "&amp;BK$9&amp;", "&amp;BK$10&amp;", "&amp;BK$11&amp;"; ","")</f>
        <v/>
      </c>
      <c r="BL20" s="185" t="str">
        <f>IF(AND($W$9=1,Courses!U14&lt;0), "Row "&amp;Courses!$A14&amp;", "&amp;BL$9&amp;", "&amp;BL$10&amp;", "&amp;BL$11&amp;"; ","")</f>
        <v/>
      </c>
      <c r="BM20" s="2119" t="str">
        <f>IF(AND($W$9=1,Courses!V14&lt;0), "Row "&amp;Courses!$A14&amp;", "&amp;BM$9&amp;", "&amp;BM$10&amp;"; ","")</f>
        <v/>
      </c>
      <c r="BN20" s="1740" t="str">
        <f>IF(AND($W$9=1,Courses!W14&lt;0), "Row "&amp;Courses!$A14&amp;", "&amp;BN$9&amp;", "&amp;BN$10&amp;", "&amp;BN$11&amp;"; ","")</f>
        <v/>
      </c>
      <c r="BO20" s="185" t="str">
        <f>IF(AND($W$9=1,Courses!X14&lt;0), "Row "&amp;Courses!$A14&amp;", "&amp;BO$9&amp;", "&amp;BO$10&amp;", "&amp;BO$11&amp;"; ","")</f>
        <v/>
      </c>
      <c r="BP20" s="185" t="str">
        <f>IF(AND($W$9=1,Courses!Y14&lt;0), "Row "&amp;Courses!$A14&amp;", "&amp;BP$9&amp;", "&amp;BP$10&amp;", "&amp;BP$11&amp;"; ","")</f>
        <v/>
      </c>
      <c r="BQ20" s="185" t="str">
        <f>IF(AND($W$9=1,Courses!Z14&lt;0), "Row "&amp;Courses!$A14&amp;", "&amp;BQ$9&amp;", "&amp;BQ$10&amp;", "&amp;BQ$11&amp;"; ","")</f>
        <v/>
      </c>
      <c r="BR20" s="2119" t="str">
        <f>IF(AND($W$9=1,Courses!AA14&lt;0), "Row "&amp;Courses!$A14&amp;", "&amp;BR$9&amp;", "&amp;BR$10&amp;"; ","")</f>
        <v/>
      </c>
      <c r="BT20" s="186">
        <v>1</v>
      </c>
      <c r="BU20" s="40">
        <f>IF(AND($X$9=1,Courses!B14="",Courses!F14="",Courses!H14="",Courses!J14="",Courses!K14="",Courses!L14="",Courses!M14=0,Courses!N14=0,Courses!O14=0,Courses!P14=0,Courses!Q14=0,Courses!R14=0,Courses!S14=0,Courses!T14=0,Courses!U14=0,Courses!V14=0,Courses!W14=0,Courses!X14=0,Courses!Y14=0,Courses!Z14=0,Courses!AA14=0),0,1)</f>
        <v>0</v>
      </c>
      <c r="BV20" s="40">
        <f>IF(AND(BU20=0,SUM(BU21:$BU$219)&gt;0),1,0)</f>
        <v>0</v>
      </c>
      <c r="BW20" s="1782" t="str">
        <f>IF(BV20=1,"Row "&amp;Courses!A14&amp;"; ","")</f>
        <v/>
      </c>
      <c r="BX20" s="17"/>
      <c r="BZ20" s="1780" t="str">
        <f>IF(AND($Y$9=1,Courses!B14&lt;&gt;"",SUM(Courses!M14:AA14)=0),"Row "&amp;Courses!A14&amp;"; ","")</f>
        <v/>
      </c>
      <c r="CA20" s="17"/>
      <c r="CC20" s="1780" t="str">
        <f>IF(AND($Z$9=1,Courses!AD14=1,(LEN(Courses!AB14)&gt;200)),"Row "&amp;Courses!A14&amp;"; ","")</f>
        <v/>
      </c>
      <c r="CE20" s="215"/>
      <c r="CG20" s="1740" t="str">
        <f>IF(AND($AD$9=1,Courses!E14&lt;&gt;"",Courses!F14&lt;&gt;"",Courses!F14=0,SUM(Courses!H14,Courses!J14)=1),"Row "&amp;Courses!A14&amp;", "&amp;Courses!$F$10&amp;"; ","")</f>
        <v/>
      </c>
      <c r="CH20" s="185" t="str">
        <f>IF(AND($AD$9=1,Courses!G14&lt;&gt;"",Courses!H14&lt;&gt;"",Courses!H14=0,SUM(Courses!J14,Courses!F14)=1),"Row "&amp;Courses!A14&amp;", "&amp;Courses!$H$10&amp;"; ","")</f>
        <v/>
      </c>
      <c r="CI20" s="1736" t="str">
        <f>IF(AND($AD$9=1,Courses!I14&lt;&gt;"",Courses!J14&lt;&gt;"",Courses!J14=0, SUM(Courses!H14,Courses!F14)=1),"Row "&amp;Courses!A14&amp;", "&amp;Courses!$J$10&amp;"; ","")</f>
        <v/>
      </c>
      <c r="CJ20" s="180"/>
      <c r="CK20" s="181"/>
      <c r="CL20" s="1780" t="str">
        <f>IF(AND(Courses!B14&lt;&gt;"",ISNA(VLOOKUP(Courses!C14,CourseInfo,2,FALSE))=FALSE,COUNTIF(Dummy,Courses!C14)&lt;&gt;1),VLOOKUP(Courses!C14,CourseInfo,6,FALSE),"")</f>
        <v/>
      </c>
      <c r="CM20" s="1780" t="str">
        <f>IF(AND($AE$9=1,Courses!B14&lt;&gt;"",'Courses Valid'!AG20="",COUNTIF(Dummy,Courses!C14)&lt;&gt;1),IF(Courses!K14&lt;&gt;'Courses Valid'!CL20,"Row "&amp;Courses!A14&amp;", Level on LARS is "&amp;'Courses Valid'!CL20&amp;"; ",""),"")</f>
        <v/>
      </c>
      <c r="CN20" s="131"/>
    </row>
    <row r="21" spans="3:92" x14ac:dyDescent="0.35">
      <c r="C21" s="1591">
        <f>IF(AND(G21="",H21="",O21="",P21="",Q21="",U21="",V21="",W21="",Y21="",AB21="",AC21="",AD21="",AG21="",AH21="",AL21="",AM21="",AN21="",AO21="",AP21="",AQ21="",AR21="",AS21="",AT21="",AU21="",AV21="",AW21="",AX21="",AY21="",AZ21="",BD21="",BE21="",BF21="",BG21="",BH21="",BI21="",BJ21="",BK21="",BL21="",BM21="",BN21="",BO21="",BP21="",BQ21="",BR21="",BW21="",BZ21=""),0,1)</f>
        <v>0</v>
      </c>
      <c r="D21" s="41"/>
      <c r="E21" s="41"/>
      <c r="F21" s="118"/>
      <c r="G21" s="1591" t="str">
        <f>IF(SUMPRODUCT(--(CourseAims=Courses!$C15))=1,"",IF(AND($N$9=1,Courses!$C15&lt;&gt;""),"Row "&amp;Courses!A15&amp;" (invalid); ",""))</f>
        <v/>
      </c>
      <c r="H21" s="1592" t="str">
        <f>IF(AND($O$9=1,Courses!B15="",OR(Courses!F15&lt;&gt;"",Courses!H15&lt;&gt;"",Courses!J15&lt;&gt;"",Courses!K15&lt;&gt;"",Courses!L15&lt;&gt;"",Courses!M15&lt;&gt;0,Courses!N15&lt;&gt;0,Courses!O15&lt;&gt;0,Courses!P15&lt;&gt;0,Courses!Q15&lt;&gt;0,Courses!R15&lt;&gt;0,Courses!S15&lt;&gt;0,Courses!T15&lt;&gt;0,Courses!U15&lt;&gt;0,Courses!V15&lt;&gt;0,Courses!W15&lt;&gt;0,Courses!X15&lt;&gt;0,Courses!Y15&lt;&gt;0,Courses!Z15&lt;&gt;0,Courses!AA15&lt;&gt;0)),"Row "&amp;Courses!A15&amp;" (none); ","")</f>
        <v/>
      </c>
      <c r="I21" s="17"/>
      <c r="K21" s="1592" t="str">
        <f>Courses!B15&amp;Courses!K15&amp;Courses!L15</f>
        <v/>
      </c>
      <c r="L21" s="1592" t="str">
        <f>IF(AND($P$9=1,Courses!$B15&lt;&gt;"",COUNTIF(Dummy,Courses!$C15)&lt;&gt;1),IF(SUMPRODUCT(--($K$20:$K$219=$K21))&gt;1,"Row "&amp;Courses!$A15&amp;"; ",""),"")</f>
        <v/>
      </c>
      <c r="N21" s="118"/>
      <c r="O21" s="1593" t="str">
        <f>IF(AND($Q$9=1,Courses!E15&lt;&gt;"",Courses!F15=""),"Row "&amp;Courses!A15&amp;", "&amp;Courses!$E$10&amp;"; ","")</f>
        <v/>
      </c>
      <c r="P21" t="str">
        <f>IF(AND($Q$9=1,Courses!G15&lt;&gt;"",Courses!H15=""),"Row "&amp;Courses!A15&amp;", "&amp;Courses!$G$10&amp;"; ","")</f>
        <v/>
      </c>
      <c r="Q21" s="183" t="str">
        <f>IF(AND($Q$9=1,Courses!I15&lt;&gt;"",Courses!J15=""),"Row "&amp;Courses!A15&amp;", "&amp;Courses!$I$10&amp;"; ","")</f>
        <v/>
      </c>
      <c r="S21" s="17"/>
      <c r="T21" s="118"/>
      <c r="U21" s="1594" t="str">
        <f>IF(AND($R$9=1,Courses!B15&lt;&gt;"",Courses!E15&lt;&gt;"",Courses!G15="",Courses!I15="",Courses!F15&lt;&gt;1),"Row "&amp;Courses!A15&amp;"; ","")</f>
        <v/>
      </c>
      <c r="V21" t="str">
        <f>IF(AND($R$9=1,Courses!B15&lt;&gt;"",Courses!I15="",Courses!F15&lt;&gt;"",Courses!G15&lt;&gt;"",Courses!H15&lt;&gt;""),IF(OR((Courses!F15+Courses!H15)&lt;&gt;1),"Row "&amp;Courses!A15&amp;"; ",""),"")</f>
        <v/>
      </c>
      <c r="W21" s="183" t="str">
        <f>IF(AND($R$9=1,Courses!B15&lt;&gt;"",Courses!I15&lt;&gt;"",Courses!J15&lt;&gt;"",Courses!H15&lt;&gt;"",Courses!G15&lt;&gt;"",Courses!F15&lt;&gt;""),IF(OR((Courses!F15+Courses!H15+Courses!J15)&lt;&gt;1),"Row "&amp;Courses!A15&amp;"; ",""),"")</f>
        <v/>
      </c>
      <c r="Y21" s="1592" t="str">
        <f>IF(AND($R$9=1,Courses!E15&lt;&gt;"",U21="",V21="",W21="",SUM(Courses!F15,Courses!H15,Courses!J15)&lt;&gt;1),"Row "&amp;Courses!A15&amp;"; ","")</f>
        <v/>
      </c>
      <c r="Z21" s="17"/>
      <c r="AB21" s="1593" t="str">
        <f>IF(AND($S$9=1,Courses!B15&lt;&gt;"",Courses!E15&lt;&gt;"",Courses!F15&lt;&gt;""),IF((TRUNC(Courses!F15*100)&lt;&gt;Courses!F15*100),"Row "&amp;Courses!A15&amp;", "&amp;Courses!$F$10&amp;"; ",""),"")</f>
        <v/>
      </c>
      <c r="AC21" t="str">
        <f>IF(AND($S$9=1,Courses!B15&lt;&gt;"",Courses!G15&lt;&gt;"",Courses!H15&lt;&gt;""),IF((TRUNC(Courses!H15*100)&lt;&gt;Courses!H15*100),"Row "&amp;Courses!A15&amp;", "&amp;Courses!$H$10&amp;"; ",""),"")</f>
        <v/>
      </c>
      <c r="AD21" s="183" t="str">
        <f>IF(AND($S$9=1,Courses!B15&lt;&gt;"",Courses!I15&lt;&gt;"",Courses!J15&lt;&gt;""),IF((TRUNC(Courses!J15*100)&lt;&gt;Courses!J15*100),"Row "&amp;Courses!A15&amp;", "&amp;Courses!$J$10&amp;"; ",""),"")</f>
        <v/>
      </c>
      <c r="AF21" s="118"/>
      <c r="AG21" s="1592" t="str">
        <f>IF(AND($T$9=1,G21="",Courses!B15&lt;&gt;"",Courses!K15&lt;&gt;$B$9,Courses!K15&lt;&gt;$B$10,Courses!K15&lt;&gt;$B$11,Courses!K15&lt;&gt;$B$12,Courses!K15&lt;&gt;$B$13,Courses!K15&lt;&gt;$B$14),"Row "&amp;Courses!A15&amp;"; ","")</f>
        <v/>
      </c>
      <c r="AH21" s="1592" t="str">
        <f>IF(AND($U$9=1,G21="",Courses!B15&lt;&gt;"",Courses!L15&lt;&gt;"Standard",Courses!L15&lt;&gt;"Long"),"Row "&amp;Courses!A15&amp;"; ","")</f>
        <v/>
      </c>
      <c r="AJ21" s="118"/>
      <c r="AK21" s="3">
        <v>2</v>
      </c>
      <c r="AL21" s="1593" t="str">
        <f>IF(AND($V$9=1,(TRUNC(Courses!M15)&lt;&gt;Courses!M15)), "Row "&amp;Courses!$A15&amp;", "&amp;AL$9&amp;", "&amp;AL$10&amp;", "&amp;AL$11&amp;"; ","")</f>
        <v/>
      </c>
      <c r="AM21" t="str">
        <f>IF(AND($V$9=1,(TRUNC(Courses!N15)&lt;&gt;Courses!N15)), "Row "&amp;Courses!$A15&amp;", "&amp;AM$9&amp;", "&amp;AM$10&amp;", "&amp;AM$11&amp;"; ","")</f>
        <v/>
      </c>
      <c r="AN21" t="str">
        <f>IF(AND($V$9=1,(TRUNC(Courses!O15)&lt;&gt;Courses!O15)), "Row "&amp;Courses!$A15&amp;", "&amp;AN$9&amp;", "&amp;AN$10&amp;", "&amp;AN$11&amp;"; ","")</f>
        <v/>
      </c>
      <c r="AO21" t="str">
        <f>IF(AND($V$9=1,(TRUNC(Courses!P15)&lt;&gt;Courses!P15)), "Row "&amp;Courses!$A15&amp;", "&amp;AO$9&amp;", "&amp;AO$10&amp;", "&amp;AO$11&amp;"; ","")</f>
        <v/>
      </c>
      <c r="AP21" s="2120" t="str">
        <f>IF(AND($V$9=1,(TRUNC(Courses!Q15)&lt;&gt;Courses!Q15)), "Row "&amp;Courses!$A15&amp;", "&amp;AP$9&amp;", "&amp;AP$10&amp;"; ","")</f>
        <v/>
      </c>
      <c r="AQ21" s="1593" t="str">
        <f>IF(AND($V$9=1,(TRUNC(Courses!R15)&lt;&gt;Courses!R15)), "Row "&amp;Courses!$A15&amp;", "&amp;AQ$9&amp;", "&amp;AQ$10&amp;", "&amp;AQ$11&amp;"; ","")</f>
        <v/>
      </c>
      <c r="AR21" t="str">
        <f>IF(AND($V$9=1,(TRUNC(Courses!S15)&lt;&gt;Courses!S15)), "Row "&amp;Courses!$A15&amp;", "&amp;AR$9&amp;", "&amp;AR$10&amp;", "&amp;AR$11&amp;"; ","")</f>
        <v/>
      </c>
      <c r="AS21" t="str">
        <f>IF(AND($V$9=1,(TRUNC(Courses!T15)&lt;&gt;Courses!T15)), "Row "&amp;Courses!$A15&amp;", "&amp;AS$9&amp;", "&amp;AS$10&amp;", "&amp;AS$11&amp;"; ","")</f>
        <v/>
      </c>
      <c r="AT21" t="str">
        <f>IF(AND($V$9=1,(TRUNC(Courses!U15)&lt;&gt;Courses!U15)), "Row "&amp;Courses!$A15&amp;", "&amp;AT$9&amp;", "&amp;AT$10&amp;", "&amp;AT$11&amp;"; ","")</f>
        <v/>
      </c>
      <c r="AU21" s="2120" t="str">
        <f>IF(AND($V$9=1,(TRUNC(Courses!V15)&lt;&gt;Courses!V15)), "Row "&amp;Courses!$A15&amp;", "&amp;AU$9&amp;", "&amp;AU$10&amp;"; ","")</f>
        <v/>
      </c>
      <c r="AV21" s="1593" t="str">
        <f>IF(AND($V$9=1,(TRUNC(Courses!W15)&lt;&gt;Courses!W15)), "Row "&amp;Courses!$A15&amp;", "&amp;AV$9&amp;", "&amp;AV$10&amp;", "&amp;AV$11&amp;"; ","")</f>
        <v/>
      </c>
      <c r="AW21" t="str">
        <f>IF(AND($V$9=1,(TRUNC(Courses!X15)&lt;&gt;Courses!X15)), "Row "&amp;Courses!$A15&amp;", "&amp;AW$9&amp;", "&amp;AW$10&amp;", "&amp;AW$11&amp;"; ","")</f>
        <v/>
      </c>
      <c r="AX21" t="str">
        <f>IF(AND($V$9=1,(TRUNC(Courses!Y15)&lt;&gt;Courses!Y15)), "Row "&amp;Courses!$A15&amp;", "&amp;AX$9&amp;", "&amp;AX$10&amp;", "&amp;AX$11&amp;"; ","")</f>
        <v/>
      </c>
      <c r="AY21" t="str">
        <f>IF(AND($V$9=1,(TRUNC(Courses!Z15)&lt;&gt;Courses!Z15)), "Row "&amp;Courses!$A15&amp;", "&amp;AY$9&amp;", "&amp;AY$10&amp;", "&amp;AY$11&amp;"; ","")</f>
        <v/>
      </c>
      <c r="AZ21" s="2120" t="str">
        <f>IF(AND($V$9=1,(TRUNC(Courses!AA15)&lt;&gt;Courses!AA15)), "Row "&amp;Courses!$A15&amp;", "&amp;AZ$9&amp;", "&amp;AZ$10&amp;"; ","")</f>
        <v/>
      </c>
      <c r="BA21" s="17"/>
      <c r="BB21" s="118"/>
      <c r="BC21" s="3">
        <v>2</v>
      </c>
      <c r="BD21" s="1593" t="str">
        <f>IF(AND($W$9=1,Courses!M15&lt;0), "Row "&amp;Courses!$A15&amp;", "&amp;BD$9&amp;", "&amp;BD$10&amp;", "&amp;BD$11&amp;"; ","")</f>
        <v/>
      </c>
      <c r="BE21" t="str">
        <f>IF(AND($W$9=1,Courses!N15&lt;0), "Row "&amp;Courses!$A15&amp;", "&amp;BE$9&amp;", "&amp;BE$10&amp;", "&amp;BE$11&amp;"; ","")</f>
        <v/>
      </c>
      <c r="BF21" t="str">
        <f>IF(AND($W$9=1,Courses!O15&lt;0), "Row "&amp;Courses!$A15&amp;", "&amp;BF$9&amp;", "&amp;BF$10&amp;", "&amp;BF$11&amp;"; ","")</f>
        <v/>
      </c>
      <c r="BG21" t="str">
        <f>IF(AND($W$9=1,Courses!P15&lt;0), "Row "&amp;Courses!$A15&amp;", "&amp;BG$9&amp;", "&amp;BG$10&amp;", "&amp;BG$11&amp;"; ","")</f>
        <v/>
      </c>
      <c r="BH21" s="2120" t="str">
        <f>IF(AND($W$9=1,Courses!Q15&lt;0), "Row "&amp;Courses!$A15&amp;", "&amp;BH$9&amp;", "&amp;BH$10&amp;"; ","")</f>
        <v/>
      </c>
      <c r="BI21" s="1593" t="str">
        <f>IF(AND($W$9=1,Courses!R15&lt;0), "Row "&amp;Courses!$A15&amp;", "&amp;BI$9&amp;", "&amp;BI$10&amp;", "&amp;BI$11&amp;"; ","")</f>
        <v/>
      </c>
      <c r="BJ21" t="str">
        <f>IF(AND($W$9=1,Courses!S15&lt;0), "Row "&amp;Courses!$A15&amp;", "&amp;BJ$9&amp;", "&amp;BJ$10&amp;", "&amp;BJ$11&amp;"; ","")</f>
        <v/>
      </c>
      <c r="BK21" t="str">
        <f>IF(AND($W$9=1,Courses!T15&lt;0), "Row "&amp;Courses!$A15&amp;", "&amp;BK$9&amp;", "&amp;BK$10&amp;", "&amp;BK$11&amp;"; ","")</f>
        <v/>
      </c>
      <c r="BL21" t="str">
        <f>IF(AND($W$9=1,Courses!U15&lt;0), "Row "&amp;Courses!$A15&amp;", "&amp;BL$9&amp;", "&amp;BL$10&amp;", "&amp;BL$11&amp;"; ","")</f>
        <v/>
      </c>
      <c r="BM21" s="2120" t="str">
        <f>IF(AND($W$9=1,Courses!V15&lt;0), "Row "&amp;Courses!$A15&amp;", "&amp;BM$9&amp;", "&amp;BM$10&amp;"; ","")</f>
        <v/>
      </c>
      <c r="BN21" s="1593" t="str">
        <f>IF(AND($W$9=1,Courses!W15&lt;0), "Row "&amp;Courses!$A15&amp;", "&amp;BN$9&amp;", "&amp;BN$10&amp;", "&amp;BN$11&amp;"; ","")</f>
        <v/>
      </c>
      <c r="BO21" t="str">
        <f>IF(AND($W$9=1,Courses!X15&lt;0), "Row "&amp;Courses!$A15&amp;", "&amp;BO$9&amp;", "&amp;BO$10&amp;", "&amp;BO$11&amp;"; ","")</f>
        <v/>
      </c>
      <c r="BP21" t="str">
        <f>IF(AND($W$9=1,Courses!Y15&lt;0), "Row "&amp;Courses!$A15&amp;", "&amp;BP$9&amp;", "&amp;BP$10&amp;", "&amp;BP$11&amp;"; ","")</f>
        <v/>
      </c>
      <c r="BQ21" t="str">
        <f>IF(AND($W$9=1,Courses!Z15&lt;0), "Row "&amp;Courses!$A15&amp;", "&amp;BQ$9&amp;", "&amp;BQ$10&amp;", "&amp;BQ$11&amp;"; ","")</f>
        <v/>
      </c>
      <c r="BR21" s="2120" t="str">
        <f>IF(AND($W$9=1,Courses!AA15&lt;0), "Row "&amp;Courses!$A15&amp;", "&amp;BR$9&amp;", "&amp;BR$10&amp;"; ","")</f>
        <v/>
      </c>
      <c r="BT21" s="186">
        <v>2</v>
      </c>
      <c r="BU21" s="40">
        <f>IF(AND($X$9=1,Courses!B15="",Courses!F15="",Courses!H15="",Courses!J15="",Courses!K15="",Courses!L15="",Courses!M15=0,Courses!N15=0,Courses!O15=0,Courses!P15=0,Courses!Q15=0,Courses!R15=0,Courses!S15=0,Courses!T15=0,Courses!U15=0,Courses!V15=0,Courses!W15=0,Courses!X15=0,Courses!Y15=0,Courses!Z15=0,Courses!AA15=0),0,1)</f>
        <v>0</v>
      </c>
      <c r="BV21" s="40">
        <f>IF(AND(BU21=0,SUM(BU22:$BU$219)&gt;0),1,0)</f>
        <v>0</v>
      </c>
      <c r="BW21" s="1595" t="str">
        <f>IF(BV21=1,"Row "&amp;Courses!A15&amp;"; ","")</f>
        <v/>
      </c>
      <c r="BX21" s="17"/>
      <c r="BZ21" s="1592" t="str">
        <f>IF(AND($Y$9=1,Courses!B15&lt;&gt;"",SUM(Courses!M15:AA15)=0),"Row "&amp;Courses!A15&amp;"; ","")</f>
        <v/>
      </c>
      <c r="CA21" s="17"/>
      <c r="CC21" s="1592" t="str">
        <f>IF(AND($Z$9=1,Courses!AD15=1,(LEN(Courses!AB15)&gt;200)),"Row "&amp;Courses!A15&amp;"; ","")</f>
        <v/>
      </c>
      <c r="CE21" s="215"/>
      <c r="CG21" s="1593" t="str">
        <f>IF(AND($AD$9=1,Courses!E15&lt;&gt;"",Courses!F15&lt;&gt;"",Courses!F15=0,SUM(Courses!H15,Courses!J15)=1),"Row "&amp;Courses!A15&amp;", "&amp;Courses!$F$10&amp;"; ","")</f>
        <v/>
      </c>
      <c r="CH21" t="str">
        <f>IF(AND($AD$9=1,Courses!G15&lt;&gt;"",Courses!H15&lt;&gt;"",Courses!H15=0,SUM(Courses!J15,Courses!F15)=1),"Row "&amp;Courses!A15&amp;", "&amp;Courses!$H$10&amp;"; ","")</f>
        <v/>
      </c>
      <c r="CI21" s="183" t="str">
        <f>IF(AND($AD$9=1,Courses!I15&lt;&gt;"",Courses!J15&lt;&gt;"",Courses!J15=0, SUM(Courses!H15,Courses!F15)=1),"Row "&amp;Courses!A15&amp;", "&amp;Courses!$J$10&amp;"; ","")</f>
        <v/>
      </c>
      <c r="CJ21" s="180"/>
      <c r="CK21" s="181"/>
      <c r="CL21" s="1592" t="str">
        <f>IF(AND(Courses!B15&lt;&gt;"",ISNA(VLOOKUP(Courses!C15,CourseInfo,2,FALSE))=FALSE,COUNTIF(Dummy,Courses!C15)&lt;&gt;1),VLOOKUP(Courses!C15,CourseInfo,6,FALSE),"")</f>
        <v/>
      </c>
      <c r="CM21" s="1592" t="str">
        <f>IF(AND($AE$9=1,Courses!B15&lt;&gt;"",'Courses Valid'!AG21="",COUNTIF(Dummy,Courses!C15)&lt;&gt;1),IF(Courses!K15&lt;&gt;'Courses Valid'!CL21,"Row "&amp;Courses!A15&amp;", Level on LARS is "&amp;'Courses Valid'!CL21&amp;"; ",""),"")</f>
        <v/>
      </c>
      <c r="CN21" s="131"/>
    </row>
    <row r="22" spans="3:92" x14ac:dyDescent="0.35">
      <c r="C22" s="1591">
        <f t="shared" ref="C22:C84" si="2">IF(AND(G22="",H22="",O22="",P22="",Q22="",U22="",V22="",W22="",Y22="",AB22="",AC22="",AD22="",AG22="",AH22="",AL22="",AM22="",AN22="",AO22="",AP22="",AQ22="",AR22="",AS22="",AT22="",AU22="",AV22="",AW22="",AX22="",AY22="",AZ22="",BD22="",BE22="",BF22="",BG22="",BH22="",BI22="",BJ22="",BK22="",BL22="",BM22="",BN22="",BO22="",BP22="",BQ22="",BR22="",BW22="",BZ22=""),0,1)</f>
        <v>0</v>
      </c>
      <c r="D22" s="41"/>
      <c r="E22" s="41"/>
      <c r="F22" s="118"/>
      <c r="G22" s="1591" t="str">
        <f>IF(SUMPRODUCT(--(CourseAims=Courses!$C16))=1,"",IF(AND($N$9=1,Courses!$C16&lt;&gt;""),"Row "&amp;Courses!A16&amp;" (invalid); ",""))</f>
        <v/>
      </c>
      <c r="H22" s="1592" t="str">
        <f>IF(AND($O$9=1,Courses!B16="",OR(Courses!F16&lt;&gt;"",Courses!H16&lt;&gt;"",Courses!J16&lt;&gt;"",Courses!K16&lt;&gt;"",Courses!L16&lt;&gt;"",Courses!M16&lt;&gt;0,Courses!N16&lt;&gt;0,Courses!O16&lt;&gt;0,Courses!P16&lt;&gt;0,Courses!Q16&lt;&gt;0,Courses!R16&lt;&gt;0,Courses!S16&lt;&gt;0,Courses!T16&lt;&gt;0,Courses!U16&lt;&gt;0,Courses!V16&lt;&gt;0,Courses!W16&lt;&gt;0,Courses!X16&lt;&gt;0,Courses!Y16&lt;&gt;0,Courses!Z16&lt;&gt;0,Courses!AA16&lt;&gt;0)),"Row "&amp;Courses!A16&amp;" (none); ","")</f>
        <v/>
      </c>
      <c r="I22" s="17"/>
      <c r="K22" s="1592" t="str">
        <f>Courses!B16&amp;Courses!K16&amp;Courses!L16</f>
        <v/>
      </c>
      <c r="L22" s="1592" t="str">
        <f>IF(AND($P$9=1,Courses!$B16&lt;&gt;"",COUNTIF(Dummy,Courses!$C16)&lt;&gt;1),IF(SUMPRODUCT(--($K$20:$K$219=$K22))&gt;1,"Row "&amp;Courses!$A16&amp;"; ",""),"")</f>
        <v/>
      </c>
      <c r="N22" s="118"/>
      <c r="O22" s="1593" t="str">
        <f>IF(AND($Q$9=1,Courses!E16&lt;&gt;"",Courses!F16=""),"Row "&amp;Courses!A16&amp;", "&amp;Courses!$E$10&amp;"; ","")</f>
        <v/>
      </c>
      <c r="P22" t="str">
        <f>IF(AND($Q$9=1,Courses!G16&lt;&gt;"",Courses!H16=""),"Row "&amp;Courses!A16&amp;", "&amp;Courses!$G$10&amp;"; ","")</f>
        <v/>
      </c>
      <c r="Q22" s="183" t="str">
        <f>IF(AND($Q$9=1,Courses!I16&lt;&gt;"",Courses!J16=""),"Row "&amp;Courses!A16&amp;", "&amp;Courses!$I$10&amp;"; ","")</f>
        <v/>
      </c>
      <c r="S22" s="17"/>
      <c r="T22" s="118"/>
      <c r="U22" s="1594" t="str">
        <f>IF(AND($R$9=1,Courses!B16&lt;&gt;"",Courses!E16&lt;&gt;"",Courses!G16="",Courses!I16="",Courses!F16&lt;&gt;1),"Row "&amp;Courses!A16&amp;"; ","")</f>
        <v/>
      </c>
      <c r="V22" t="str">
        <f>IF(AND($R$9=1,Courses!B16&lt;&gt;"",Courses!I16="",Courses!F16&lt;&gt;"",Courses!G16&lt;&gt;"",Courses!H16&lt;&gt;""),IF(OR((Courses!F16+Courses!H16)&lt;&gt;1),"Row "&amp;Courses!A16&amp;"; ",""),"")</f>
        <v/>
      </c>
      <c r="W22" s="183" t="str">
        <f>IF(AND($R$9=1,Courses!B16&lt;&gt;"",Courses!I16&lt;&gt;"",Courses!J16&lt;&gt;"",Courses!H16&lt;&gt;"",Courses!G16&lt;&gt;"",Courses!F16&lt;&gt;""),IF(OR((Courses!F16+Courses!H16+Courses!J16)&lt;&gt;1),"Row "&amp;Courses!A16&amp;"; ",""),"")</f>
        <v/>
      </c>
      <c r="Y22" s="1592" t="str">
        <f>IF(AND($R$9=1,Courses!E16&lt;&gt;"",U22="",V22="",W22="",SUM(Courses!F16,Courses!H16,Courses!J16)&lt;&gt;1),"Row "&amp;Courses!A16&amp;"; ","")</f>
        <v/>
      </c>
      <c r="Z22" s="17"/>
      <c r="AB22" s="1593" t="str">
        <f>IF(AND($S$9=1,Courses!B16&lt;&gt;"",Courses!E16&lt;&gt;"",Courses!F16&lt;&gt;""),IF((TRUNC(Courses!F16*100)&lt;&gt;Courses!F16*100),"Row "&amp;Courses!A16&amp;", "&amp;Courses!$F$10&amp;"; ",""),"")</f>
        <v/>
      </c>
      <c r="AC22" t="str">
        <f>IF(AND($S$9=1,Courses!B16&lt;&gt;"",Courses!G16&lt;&gt;"",Courses!H16&lt;&gt;""),IF((TRUNC(Courses!H16*100)&lt;&gt;Courses!H16*100),"Row "&amp;Courses!A16&amp;", "&amp;Courses!$H$10&amp;"; ",""),"")</f>
        <v/>
      </c>
      <c r="AD22" s="183" t="str">
        <f>IF(AND($S$9=1,Courses!B16&lt;&gt;"",Courses!I16&lt;&gt;"",Courses!J16&lt;&gt;""),IF((TRUNC(Courses!J16*100)&lt;&gt;Courses!J16*100),"Row "&amp;Courses!A16&amp;", "&amp;Courses!$J$10&amp;"; ",""),"")</f>
        <v/>
      </c>
      <c r="AF22" s="118"/>
      <c r="AG22" s="1592" t="str">
        <f>IF(AND($T$9=1,G22="",Courses!B16&lt;&gt;"",Courses!K16&lt;&gt;$B$9,Courses!K16&lt;&gt;$B$10,Courses!K16&lt;&gt;$B$11,Courses!K16&lt;&gt;$B$12,Courses!K16&lt;&gt;$B$13,Courses!K16&lt;&gt;$B$14),"Row "&amp;Courses!A16&amp;"; ","")</f>
        <v/>
      </c>
      <c r="AH22" s="1592" t="str">
        <f>IF(AND($U$9=1,G22="",Courses!B16&lt;&gt;"",Courses!L16&lt;&gt;"Standard",Courses!L16&lt;&gt;"Long"),"Row "&amp;Courses!A16&amp;"; ","")</f>
        <v/>
      </c>
      <c r="AJ22" s="118"/>
      <c r="AK22" s="3">
        <v>3</v>
      </c>
      <c r="AL22" s="1593" t="str">
        <f>IF(AND($V$9=1,(TRUNC(Courses!M16)&lt;&gt;Courses!M16)), "Row "&amp;Courses!$A16&amp;", "&amp;AL$9&amp;", "&amp;AL$10&amp;", "&amp;AL$11&amp;"; ","")</f>
        <v/>
      </c>
      <c r="AM22" t="str">
        <f>IF(AND($V$9=1,(TRUNC(Courses!N16)&lt;&gt;Courses!N16)), "Row "&amp;Courses!$A16&amp;", "&amp;AM$9&amp;", "&amp;AM$10&amp;", "&amp;AM$11&amp;"; ","")</f>
        <v/>
      </c>
      <c r="AN22" t="str">
        <f>IF(AND($V$9=1,(TRUNC(Courses!O16)&lt;&gt;Courses!O16)), "Row "&amp;Courses!$A16&amp;", "&amp;AN$9&amp;", "&amp;AN$10&amp;", "&amp;AN$11&amp;"; ","")</f>
        <v/>
      </c>
      <c r="AO22" t="str">
        <f>IF(AND($V$9=1,(TRUNC(Courses!P16)&lt;&gt;Courses!P16)), "Row "&amp;Courses!$A16&amp;", "&amp;AO$9&amp;", "&amp;AO$10&amp;", "&amp;AO$11&amp;"; ","")</f>
        <v/>
      </c>
      <c r="AP22" s="2120" t="str">
        <f>IF(AND($V$9=1,(TRUNC(Courses!Q16)&lt;&gt;Courses!Q16)), "Row "&amp;Courses!$A16&amp;", "&amp;AP$9&amp;", "&amp;AP$10&amp;"; ","")</f>
        <v/>
      </c>
      <c r="AQ22" s="1593" t="str">
        <f>IF(AND($V$9=1,(TRUNC(Courses!R16)&lt;&gt;Courses!R16)), "Row "&amp;Courses!$A16&amp;", "&amp;AQ$9&amp;", "&amp;AQ$10&amp;", "&amp;AQ$11&amp;"; ","")</f>
        <v/>
      </c>
      <c r="AR22" t="str">
        <f>IF(AND($V$9=1,(TRUNC(Courses!S16)&lt;&gt;Courses!S16)), "Row "&amp;Courses!$A16&amp;", "&amp;AR$9&amp;", "&amp;AR$10&amp;", "&amp;AR$11&amp;"; ","")</f>
        <v/>
      </c>
      <c r="AS22" t="str">
        <f>IF(AND($V$9=1,(TRUNC(Courses!T16)&lt;&gt;Courses!T16)), "Row "&amp;Courses!$A16&amp;", "&amp;AS$9&amp;", "&amp;AS$10&amp;", "&amp;AS$11&amp;"; ","")</f>
        <v/>
      </c>
      <c r="AT22" t="str">
        <f>IF(AND($V$9=1,(TRUNC(Courses!U16)&lt;&gt;Courses!U16)), "Row "&amp;Courses!$A16&amp;", "&amp;AT$9&amp;", "&amp;AT$10&amp;", "&amp;AT$11&amp;"; ","")</f>
        <v/>
      </c>
      <c r="AU22" s="2120" t="str">
        <f>IF(AND($V$9=1,(TRUNC(Courses!V16)&lt;&gt;Courses!V16)), "Row "&amp;Courses!$A16&amp;", "&amp;AU$9&amp;", "&amp;AU$10&amp;"; ","")</f>
        <v/>
      </c>
      <c r="AV22" s="1593" t="str">
        <f>IF(AND($V$9=1,(TRUNC(Courses!W16)&lt;&gt;Courses!W16)), "Row "&amp;Courses!$A16&amp;", "&amp;AV$9&amp;", "&amp;AV$10&amp;", "&amp;AV$11&amp;"; ","")</f>
        <v/>
      </c>
      <c r="AW22" t="str">
        <f>IF(AND($V$9=1,(TRUNC(Courses!X16)&lt;&gt;Courses!X16)), "Row "&amp;Courses!$A16&amp;", "&amp;AW$9&amp;", "&amp;AW$10&amp;", "&amp;AW$11&amp;"; ","")</f>
        <v/>
      </c>
      <c r="AX22" t="str">
        <f>IF(AND($V$9=1,(TRUNC(Courses!Y16)&lt;&gt;Courses!Y16)), "Row "&amp;Courses!$A16&amp;", "&amp;AX$9&amp;", "&amp;AX$10&amp;", "&amp;AX$11&amp;"; ","")</f>
        <v/>
      </c>
      <c r="AY22" t="str">
        <f>IF(AND($V$9=1,(TRUNC(Courses!Z16)&lt;&gt;Courses!Z16)), "Row "&amp;Courses!$A16&amp;", "&amp;AY$9&amp;", "&amp;AY$10&amp;", "&amp;AY$11&amp;"; ","")</f>
        <v/>
      </c>
      <c r="AZ22" s="2120" t="str">
        <f>IF(AND($V$9=1,(TRUNC(Courses!AA16)&lt;&gt;Courses!AA16)), "Row "&amp;Courses!$A16&amp;", "&amp;AZ$9&amp;", "&amp;AZ$10&amp;"; ","")</f>
        <v/>
      </c>
      <c r="BA22" s="17"/>
      <c r="BB22" s="118"/>
      <c r="BC22" s="3">
        <v>3</v>
      </c>
      <c r="BD22" s="1593" t="str">
        <f>IF(AND($W$9=1,Courses!M16&lt;0), "Row "&amp;Courses!$A16&amp;", "&amp;BD$9&amp;", "&amp;BD$10&amp;", "&amp;BD$11&amp;"; ","")</f>
        <v/>
      </c>
      <c r="BE22" t="str">
        <f>IF(AND($W$9=1,Courses!N16&lt;0), "Row "&amp;Courses!$A16&amp;", "&amp;BE$9&amp;", "&amp;BE$10&amp;", "&amp;BE$11&amp;"; ","")</f>
        <v/>
      </c>
      <c r="BF22" t="str">
        <f>IF(AND($W$9=1,Courses!O16&lt;0), "Row "&amp;Courses!$A16&amp;", "&amp;BF$9&amp;", "&amp;BF$10&amp;", "&amp;BF$11&amp;"; ","")</f>
        <v/>
      </c>
      <c r="BG22" t="str">
        <f>IF(AND($W$9=1,Courses!P16&lt;0), "Row "&amp;Courses!$A16&amp;", "&amp;BG$9&amp;", "&amp;BG$10&amp;", "&amp;BG$11&amp;"; ","")</f>
        <v/>
      </c>
      <c r="BH22" s="2120" t="str">
        <f>IF(AND($W$9=1,Courses!Q16&lt;0), "Row "&amp;Courses!$A16&amp;", "&amp;BH$9&amp;", "&amp;BH$10&amp;"; ","")</f>
        <v/>
      </c>
      <c r="BI22" s="1593" t="str">
        <f>IF(AND($W$9=1,Courses!R16&lt;0), "Row "&amp;Courses!$A16&amp;", "&amp;BI$9&amp;", "&amp;BI$10&amp;", "&amp;BI$11&amp;"; ","")</f>
        <v/>
      </c>
      <c r="BJ22" t="str">
        <f>IF(AND($W$9=1,Courses!S16&lt;0), "Row "&amp;Courses!$A16&amp;", "&amp;BJ$9&amp;", "&amp;BJ$10&amp;", "&amp;BJ$11&amp;"; ","")</f>
        <v/>
      </c>
      <c r="BK22" t="str">
        <f>IF(AND($W$9=1,Courses!T16&lt;0), "Row "&amp;Courses!$A16&amp;", "&amp;BK$9&amp;", "&amp;BK$10&amp;", "&amp;BK$11&amp;"; ","")</f>
        <v/>
      </c>
      <c r="BL22" t="str">
        <f>IF(AND($W$9=1,Courses!U16&lt;0), "Row "&amp;Courses!$A16&amp;", "&amp;BL$9&amp;", "&amp;BL$10&amp;", "&amp;BL$11&amp;"; ","")</f>
        <v/>
      </c>
      <c r="BM22" s="2120" t="str">
        <f>IF(AND($W$9=1,Courses!V16&lt;0), "Row "&amp;Courses!$A16&amp;", "&amp;BM$9&amp;", "&amp;BM$10&amp;"; ","")</f>
        <v/>
      </c>
      <c r="BN22" s="1593" t="str">
        <f>IF(AND($W$9=1,Courses!W16&lt;0), "Row "&amp;Courses!$A16&amp;", "&amp;BN$9&amp;", "&amp;BN$10&amp;", "&amp;BN$11&amp;"; ","")</f>
        <v/>
      </c>
      <c r="BO22" t="str">
        <f>IF(AND($W$9=1,Courses!X16&lt;0), "Row "&amp;Courses!$A16&amp;", "&amp;BO$9&amp;", "&amp;BO$10&amp;", "&amp;BO$11&amp;"; ","")</f>
        <v/>
      </c>
      <c r="BP22" t="str">
        <f>IF(AND($W$9=1,Courses!Y16&lt;0), "Row "&amp;Courses!$A16&amp;", "&amp;BP$9&amp;", "&amp;BP$10&amp;", "&amp;BP$11&amp;"; ","")</f>
        <v/>
      </c>
      <c r="BQ22" t="str">
        <f>IF(AND($W$9=1,Courses!Z16&lt;0), "Row "&amp;Courses!$A16&amp;", "&amp;BQ$9&amp;", "&amp;BQ$10&amp;", "&amp;BQ$11&amp;"; ","")</f>
        <v/>
      </c>
      <c r="BR22" s="2120" t="str">
        <f>IF(AND($W$9=1,Courses!AA16&lt;0), "Row "&amp;Courses!$A16&amp;", "&amp;BR$9&amp;", "&amp;BR$10&amp;"; ","")</f>
        <v/>
      </c>
      <c r="BT22" s="186">
        <v>3</v>
      </c>
      <c r="BU22" s="40">
        <f>IF(AND($X$9=1,Courses!B16="",Courses!F16="",Courses!H16="",Courses!J16="",Courses!K16="",Courses!L16="",Courses!M16=0,Courses!N16=0,Courses!O16=0,Courses!P16=0,Courses!Q16=0,Courses!R16=0,Courses!S16=0,Courses!T16=0,Courses!U16=0,Courses!V16=0,Courses!W16=0,Courses!X16=0,Courses!Y16=0,Courses!Z16=0,Courses!AA16=0),0,1)</f>
        <v>0</v>
      </c>
      <c r="BV22" s="40">
        <f>IF(AND(BU22=0,SUM(BU23:$BU$219)&gt;0),1,0)</f>
        <v>0</v>
      </c>
      <c r="BW22" s="1595" t="str">
        <f>IF(BV22=1,"Row "&amp;Courses!A16&amp;"; ","")</f>
        <v/>
      </c>
      <c r="BX22" s="17"/>
      <c r="BZ22" s="1592" t="str">
        <f>IF(AND($Y$9=1,Courses!B16&lt;&gt;"",SUM(Courses!M16:AA16)=0),"Row "&amp;Courses!A16&amp;"; ","")</f>
        <v/>
      </c>
      <c r="CA22" s="17"/>
      <c r="CC22" s="1592" t="str">
        <f>IF(AND($Z$9=1,Courses!AD16=1,(LEN(Courses!AB16)&gt;200)),"Row "&amp;Courses!A16&amp;"; ","")</f>
        <v/>
      </c>
      <c r="CE22" s="131"/>
      <c r="CG22" s="1593" t="str">
        <f>IF(AND($AD$9=1,Courses!E16&lt;&gt;"",Courses!F16&lt;&gt;"",Courses!F16=0,SUM(Courses!H16,Courses!J16)=1),"Row "&amp;Courses!A16&amp;", "&amp;Courses!$F$10&amp;"; ","")</f>
        <v/>
      </c>
      <c r="CH22" t="str">
        <f>IF(AND($AD$9=1,Courses!G16&lt;&gt;"",Courses!H16&lt;&gt;"",Courses!H16=0,SUM(Courses!J16,Courses!F16)=1),"Row "&amp;Courses!A16&amp;", "&amp;Courses!$H$10&amp;"; ","")</f>
        <v/>
      </c>
      <c r="CI22" s="183" t="str">
        <f>IF(AND($AD$9=1,Courses!I16&lt;&gt;"",Courses!J16&lt;&gt;"",Courses!J16=0, SUM(Courses!H16,Courses!F16)=1),"Row "&amp;Courses!A16&amp;", "&amp;Courses!$J$10&amp;"; ","")</f>
        <v/>
      </c>
      <c r="CJ22" s="180"/>
      <c r="CK22" s="181"/>
      <c r="CL22" s="1592" t="str">
        <f>IF(AND(Courses!B16&lt;&gt;"",ISNA(VLOOKUP(Courses!C16,CourseInfo,2,FALSE))=FALSE,COUNTIF(Dummy,Courses!C16)&lt;&gt;1),VLOOKUP(Courses!C16,CourseInfo,6,FALSE),"")</f>
        <v/>
      </c>
      <c r="CM22" s="1592" t="str">
        <f>IF(AND($AE$9=1,Courses!B16&lt;&gt;"",'Courses Valid'!AG22="",COUNTIF(Dummy,Courses!C16)&lt;&gt;1),IF(Courses!K16&lt;&gt;'Courses Valid'!CL22,"Row "&amp;Courses!A16&amp;", Level on LARS is "&amp;'Courses Valid'!CL22&amp;"; ",""),"")</f>
        <v/>
      </c>
      <c r="CN22" s="131"/>
    </row>
    <row r="23" spans="3:92" x14ac:dyDescent="0.35">
      <c r="C23" s="1591">
        <f t="shared" si="2"/>
        <v>0</v>
      </c>
      <c r="D23" s="41"/>
      <c r="E23" s="41"/>
      <c r="F23" s="118"/>
      <c r="G23" s="1591" t="str">
        <f>IF(SUMPRODUCT(--(CourseAims=Courses!$C17))=1,"",IF(AND($N$9=1,Courses!$C17&lt;&gt;""),"Row "&amp;Courses!A17&amp;" (invalid); ",""))</f>
        <v/>
      </c>
      <c r="H23" s="1592" t="str">
        <f>IF(AND($O$9=1,Courses!B17="",OR(Courses!F17&lt;&gt;"",Courses!H17&lt;&gt;"",Courses!J17&lt;&gt;"",Courses!K17&lt;&gt;"",Courses!L17&lt;&gt;"",Courses!M17&lt;&gt;0,Courses!N17&lt;&gt;0,Courses!O17&lt;&gt;0,Courses!P17&lt;&gt;0,Courses!Q17&lt;&gt;0,Courses!R17&lt;&gt;0,Courses!S17&lt;&gt;0,Courses!T17&lt;&gt;0,Courses!U17&lt;&gt;0,Courses!V17&lt;&gt;0,Courses!W17&lt;&gt;0,Courses!X17&lt;&gt;0,Courses!Y17&lt;&gt;0,Courses!Z17&lt;&gt;0,Courses!AA17&lt;&gt;0)),"Row "&amp;Courses!A17&amp;" (none); ","")</f>
        <v/>
      </c>
      <c r="I23" s="17"/>
      <c r="K23" s="1592" t="str">
        <f>Courses!B17&amp;Courses!K17&amp;Courses!L17</f>
        <v/>
      </c>
      <c r="L23" s="1592" t="str">
        <f>IF(AND($P$9=1,Courses!$B17&lt;&gt;"",COUNTIF(Dummy,Courses!$C17)&lt;&gt;1),IF(SUMPRODUCT(--($K$20:$K$219=$K23))&gt;1,"Row "&amp;Courses!$A17&amp;"; ",""),"")</f>
        <v/>
      </c>
      <c r="N23" s="118"/>
      <c r="O23" s="1593" t="str">
        <f>IF(AND($Q$9=1,Courses!E17&lt;&gt;"",Courses!F17=""),"Row "&amp;Courses!A17&amp;", "&amp;Courses!$E$10&amp;"; ","")</f>
        <v/>
      </c>
      <c r="P23" t="str">
        <f>IF(AND($Q$9=1,Courses!G17&lt;&gt;"",Courses!H17=""),"Row "&amp;Courses!A17&amp;", "&amp;Courses!$G$10&amp;"; ","")</f>
        <v/>
      </c>
      <c r="Q23" s="183" t="str">
        <f>IF(AND($Q$9=1,Courses!I17&lt;&gt;"",Courses!J17=""),"Row "&amp;Courses!A17&amp;", "&amp;Courses!$I$10&amp;"; ","")</f>
        <v/>
      </c>
      <c r="S23" s="17"/>
      <c r="T23" s="118"/>
      <c r="U23" s="1594" t="str">
        <f>IF(AND($R$9=1,Courses!B17&lt;&gt;"",Courses!E17&lt;&gt;"",Courses!G17="",Courses!I17="",Courses!F17&lt;&gt;1),"Row "&amp;Courses!A17&amp;"; ","")</f>
        <v/>
      </c>
      <c r="V23" t="str">
        <f>IF(AND($R$9=1,Courses!B17&lt;&gt;"",Courses!I17="",Courses!F17&lt;&gt;"",Courses!G17&lt;&gt;"",Courses!H17&lt;&gt;""),IF(OR((Courses!F17+Courses!H17)&lt;&gt;1),"Row "&amp;Courses!A17&amp;"; ",""),"")</f>
        <v/>
      </c>
      <c r="W23" s="183" t="str">
        <f>IF(AND($R$9=1,Courses!B17&lt;&gt;"",Courses!I17&lt;&gt;"",Courses!J17&lt;&gt;"",Courses!H17&lt;&gt;"",Courses!G17&lt;&gt;"",Courses!F17&lt;&gt;""),IF(OR((Courses!F17+Courses!H17+Courses!J17)&lt;&gt;1),"Row "&amp;Courses!A17&amp;"; ",""),"")</f>
        <v/>
      </c>
      <c r="Y23" s="1592" t="str">
        <f>IF(AND($R$9=1,Courses!E17&lt;&gt;"",U23="",V23="",W23="",SUM(Courses!F17,Courses!H17,Courses!J17)&lt;&gt;1),"Row "&amp;Courses!A17&amp;"; ","")</f>
        <v/>
      </c>
      <c r="Z23" s="17"/>
      <c r="AB23" s="1593" t="str">
        <f>IF(AND($S$9=1,Courses!B17&lt;&gt;"",Courses!E17&lt;&gt;"",Courses!F17&lt;&gt;""),IF((TRUNC(Courses!F17*100)&lt;&gt;Courses!F17*100),"Row "&amp;Courses!A17&amp;", "&amp;Courses!$F$10&amp;"; ",""),"")</f>
        <v/>
      </c>
      <c r="AC23" t="str">
        <f>IF(AND($S$9=1,Courses!B17&lt;&gt;"",Courses!G17&lt;&gt;"",Courses!H17&lt;&gt;""),IF((TRUNC(Courses!H17*100)&lt;&gt;Courses!H17*100),"Row "&amp;Courses!A17&amp;", "&amp;Courses!$H$10&amp;"; ",""),"")</f>
        <v/>
      </c>
      <c r="AD23" s="183" t="str">
        <f>IF(AND($S$9=1,Courses!B17&lt;&gt;"",Courses!I17&lt;&gt;"",Courses!J17&lt;&gt;""),IF((TRUNC(Courses!J17*100)&lt;&gt;Courses!J17*100),"Row "&amp;Courses!A17&amp;", "&amp;Courses!$J$10&amp;"; ",""),"")</f>
        <v/>
      </c>
      <c r="AF23" s="118"/>
      <c r="AG23" s="1592" t="str">
        <f>IF(AND($T$9=1,G23="",Courses!B17&lt;&gt;"",Courses!K17&lt;&gt;$B$9,Courses!K17&lt;&gt;$B$10,Courses!K17&lt;&gt;$B$11,Courses!K17&lt;&gt;$B$12,Courses!K17&lt;&gt;$B$13,Courses!K17&lt;&gt;$B$14),"Row "&amp;Courses!A17&amp;"; ","")</f>
        <v/>
      </c>
      <c r="AH23" s="1592" t="str">
        <f>IF(AND($U$9=1,G23="",Courses!B17&lt;&gt;"",Courses!L17&lt;&gt;"Standard",Courses!L17&lt;&gt;"Long"),"Row "&amp;Courses!A17&amp;"; ","")</f>
        <v/>
      </c>
      <c r="AJ23" s="118"/>
      <c r="AK23" s="3">
        <v>4</v>
      </c>
      <c r="AL23" s="1593" t="str">
        <f>IF(AND($V$9=1,(TRUNC(Courses!M17)&lt;&gt;Courses!M17)), "Row "&amp;Courses!$A17&amp;", "&amp;AL$9&amp;", "&amp;AL$10&amp;", "&amp;AL$11&amp;"; ","")</f>
        <v/>
      </c>
      <c r="AM23" t="str">
        <f>IF(AND($V$9=1,(TRUNC(Courses!N17)&lt;&gt;Courses!N17)), "Row "&amp;Courses!$A17&amp;", "&amp;AM$9&amp;", "&amp;AM$10&amp;", "&amp;AM$11&amp;"; ","")</f>
        <v/>
      </c>
      <c r="AN23" t="str">
        <f>IF(AND($V$9=1,(TRUNC(Courses!O17)&lt;&gt;Courses!O17)), "Row "&amp;Courses!$A17&amp;", "&amp;AN$9&amp;", "&amp;AN$10&amp;", "&amp;AN$11&amp;"; ","")</f>
        <v/>
      </c>
      <c r="AO23" t="str">
        <f>IF(AND($V$9=1,(TRUNC(Courses!P17)&lt;&gt;Courses!P17)), "Row "&amp;Courses!$A17&amp;", "&amp;AO$9&amp;", "&amp;AO$10&amp;", "&amp;AO$11&amp;"; ","")</f>
        <v/>
      </c>
      <c r="AP23" s="2120" t="str">
        <f>IF(AND($V$9=1,(TRUNC(Courses!Q17)&lt;&gt;Courses!Q17)), "Row "&amp;Courses!$A17&amp;", "&amp;AP$9&amp;", "&amp;AP$10&amp;"; ","")</f>
        <v/>
      </c>
      <c r="AQ23" s="1593" t="str">
        <f>IF(AND($V$9=1,(TRUNC(Courses!R17)&lt;&gt;Courses!R17)), "Row "&amp;Courses!$A17&amp;", "&amp;AQ$9&amp;", "&amp;AQ$10&amp;", "&amp;AQ$11&amp;"; ","")</f>
        <v/>
      </c>
      <c r="AR23" t="str">
        <f>IF(AND($V$9=1,(TRUNC(Courses!S17)&lt;&gt;Courses!S17)), "Row "&amp;Courses!$A17&amp;", "&amp;AR$9&amp;", "&amp;AR$10&amp;", "&amp;AR$11&amp;"; ","")</f>
        <v/>
      </c>
      <c r="AS23" t="str">
        <f>IF(AND($V$9=1,(TRUNC(Courses!T17)&lt;&gt;Courses!T17)), "Row "&amp;Courses!$A17&amp;", "&amp;AS$9&amp;", "&amp;AS$10&amp;", "&amp;AS$11&amp;"; ","")</f>
        <v/>
      </c>
      <c r="AT23" t="str">
        <f>IF(AND($V$9=1,(TRUNC(Courses!U17)&lt;&gt;Courses!U17)), "Row "&amp;Courses!$A17&amp;", "&amp;AT$9&amp;", "&amp;AT$10&amp;", "&amp;AT$11&amp;"; ","")</f>
        <v/>
      </c>
      <c r="AU23" s="2120" t="str">
        <f>IF(AND($V$9=1,(TRUNC(Courses!V17)&lt;&gt;Courses!V17)), "Row "&amp;Courses!$A17&amp;", "&amp;AU$9&amp;", "&amp;AU$10&amp;"; ","")</f>
        <v/>
      </c>
      <c r="AV23" s="1593" t="str">
        <f>IF(AND($V$9=1,(TRUNC(Courses!W17)&lt;&gt;Courses!W17)), "Row "&amp;Courses!$A17&amp;", "&amp;AV$9&amp;", "&amp;AV$10&amp;", "&amp;AV$11&amp;"; ","")</f>
        <v/>
      </c>
      <c r="AW23" t="str">
        <f>IF(AND($V$9=1,(TRUNC(Courses!X17)&lt;&gt;Courses!X17)), "Row "&amp;Courses!$A17&amp;", "&amp;AW$9&amp;", "&amp;AW$10&amp;", "&amp;AW$11&amp;"; ","")</f>
        <v/>
      </c>
      <c r="AX23" t="str">
        <f>IF(AND($V$9=1,(TRUNC(Courses!Y17)&lt;&gt;Courses!Y17)), "Row "&amp;Courses!$A17&amp;", "&amp;AX$9&amp;", "&amp;AX$10&amp;", "&amp;AX$11&amp;"; ","")</f>
        <v/>
      </c>
      <c r="AY23" t="str">
        <f>IF(AND($V$9=1,(TRUNC(Courses!Z17)&lt;&gt;Courses!Z17)), "Row "&amp;Courses!$A17&amp;", "&amp;AY$9&amp;", "&amp;AY$10&amp;", "&amp;AY$11&amp;"; ","")</f>
        <v/>
      </c>
      <c r="AZ23" s="2120" t="str">
        <f>IF(AND($V$9=1,(TRUNC(Courses!AA17)&lt;&gt;Courses!AA17)), "Row "&amp;Courses!$A17&amp;", "&amp;AZ$9&amp;", "&amp;AZ$10&amp;"; ","")</f>
        <v/>
      </c>
      <c r="BA23" s="17"/>
      <c r="BB23" s="118"/>
      <c r="BC23" s="3">
        <v>4</v>
      </c>
      <c r="BD23" s="1593" t="str">
        <f>IF(AND($W$9=1,Courses!M17&lt;0), "Row "&amp;Courses!$A17&amp;", "&amp;BD$9&amp;", "&amp;BD$10&amp;", "&amp;BD$11&amp;"; ","")</f>
        <v/>
      </c>
      <c r="BE23" t="str">
        <f>IF(AND($W$9=1,Courses!N17&lt;0), "Row "&amp;Courses!$A17&amp;", "&amp;BE$9&amp;", "&amp;BE$10&amp;", "&amp;BE$11&amp;"; ","")</f>
        <v/>
      </c>
      <c r="BF23" t="str">
        <f>IF(AND($W$9=1,Courses!O17&lt;0), "Row "&amp;Courses!$A17&amp;", "&amp;BF$9&amp;", "&amp;BF$10&amp;", "&amp;BF$11&amp;"; ","")</f>
        <v/>
      </c>
      <c r="BG23" t="str">
        <f>IF(AND($W$9=1,Courses!P17&lt;0), "Row "&amp;Courses!$A17&amp;", "&amp;BG$9&amp;", "&amp;BG$10&amp;", "&amp;BG$11&amp;"; ","")</f>
        <v/>
      </c>
      <c r="BH23" s="2120" t="str">
        <f>IF(AND($W$9=1,Courses!Q17&lt;0), "Row "&amp;Courses!$A17&amp;", "&amp;BH$9&amp;", "&amp;BH$10&amp;"; ","")</f>
        <v/>
      </c>
      <c r="BI23" s="1593" t="str">
        <f>IF(AND($W$9=1,Courses!R17&lt;0), "Row "&amp;Courses!$A17&amp;", "&amp;BI$9&amp;", "&amp;BI$10&amp;", "&amp;BI$11&amp;"; ","")</f>
        <v/>
      </c>
      <c r="BJ23" t="str">
        <f>IF(AND($W$9=1,Courses!S17&lt;0), "Row "&amp;Courses!$A17&amp;", "&amp;BJ$9&amp;", "&amp;BJ$10&amp;", "&amp;BJ$11&amp;"; ","")</f>
        <v/>
      </c>
      <c r="BK23" t="str">
        <f>IF(AND($W$9=1,Courses!T17&lt;0), "Row "&amp;Courses!$A17&amp;", "&amp;BK$9&amp;", "&amp;BK$10&amp;", "&amp;BK$11&amp;"; ","")</f>
        <v/>
      </c>
      <c r="BL23" t="str">
        <f>IF(AND($W$9=1,Courses!U17&lt;0), "Row "&amp;Courses!$A17&amp;", "&amp;BL$9&amp;", "&amp;BL$10&amp;", "&amp;BL$11&amp;"; ","")</f>
        <v/>
      </c>
      <c r="BM23" s="2120" t="str">
        <f>IF(AND($W$9=1,Courses!V17&lt;0), "Row "&amp;Courses!$A17&amp;", "&amp;BM$9&amp;", "&amp;BM$10&amp;"; ","")</f>
        <v/>
      </c>
      <c r="BN23" s="1593" t="str">
        <f>IF(AND($W$9=1,Courses!W17&lt;0), "Row "&amp;Courses!$A17&amp;", "&amp;BN$9&amp;", "&amp;BN$10&amp;", "&amp;BN$11&amp;"; ","")</f>
        <v/>
      </c>
      <c r="BO23" t="str">
        <f>IF(AND($W$9=1,Courses!X17&lt;0), "Row "&amp;Courses!$A17&amp;", "&amp;BO$9&amp;", "&amp;BO$10&amp;", "&amp;BO$11&amp;"; ","")</f>
        <v/>
      </c>
      <c r="BP23" t="str">
        <f>IF(AND($W$9=1,Courses!Y17&lt;0), "Row "&amp;Courses!$A17&amp;", "&amp;BP$9&amp;", "&amp;BP$10&amp;", "&amp;BP$11&amp;"; ","")</f>
        <v/>
      </c>
      <c r="BQ23" t="str">
        <f>IF(AND($W$9=1,Courses!Z17&lt;0), "Row "&amp;Courses!$A17&amp;", "&amp;BQ$9&amp;", "&amp;BQ$10&amp;", "&amp;BQ$11&amp;"; ","")</f>
        <v/>
      </c>
      <c r="BR23" s="2120" t="str">
        <f>IF(AND($W$9=1,Courses!AA17&lt;0), "Row "&amp;Courses!$A17&amp;", "&amp;BR$9&amp;", "&amp;BR$10&amp;"; ","")</f>
        <v/>
      </c>
      <c r="BT23" s="186">
        <v>4</v>
      </c>
      <c r="BU23" s="40">
        <f>IF(AND($X$9=1,Courses!B17="",Courses!F17="",Courses!H17="",Courses!J17="",Courses!K17="",Courses!L17="",Courses!M17=0,Courses!N17=0,Courses!O17=0,Courses!P17=0,Courses!Q17=0,Courses!R17=0,Courses!S17=0,Courses!T17=0,Courses!U17=0,Courses!V17=0,Courses!W17=0,Courses!X17=0,Courses!Y17=0,Courses!Z17=0,Courses!AA17=0),0,1)</f>
        <v>0</v>
      </c>
      <c r="BV23" s="40">
        <f>IF(AND(BU23=0,SUM(BU24:$BU$219)&gt;0),1,0)</f>
        <v>0</v>
      </c>
      <c r="BW23" s="1595" t="str">
        <f>IF(BV23=1,"Row "&amp;Courses!A17&amp;"; ","")</f>
        <v/>
      </c>
      <c r="BX23" s="17"/>
      <c r="BZ23" s="1592" t="str">
        <f>IF(AND($Y$9=1,Courses!B17&lt;&gt;"",SUM(Courses!M17:AA17)=0),"Row "&amp;Courses!A17&amp;"; ","")</f>
        <v/>
      </c>
      <c r="CA23" s="17"/>
      <c r="CC23" s="1592" t="str">
        <f>IF(AND($Z$9=1,Courses!AD17=1,(LEN(Courses!AB17)&gt;200)),"Row "&amp;Courses!A17&amp;"; ","")</f>
        <v/>
      </c>
      <c r="CE23" s="131"/>
      <c r="CG23" s="1593" t="str">
        <f>IF(AND($AD$9=1,Courses!E17&lt;&gt;"",Courses!F17&lt;&gt;"",Courses!F17=0,SUM(Courses!H17,Courses!J17)=1),"Row "&amp;Courses!A17&amp;", "&amp;Courses!$F$10&amp;"; ","")</f>
        <v/>
      </c>
      <c r="CH23" t="str">
        <f>IF(AND($AD$9=1,Courses!G17&lt;&gt;"",Courses!H17&lt;&gt;"",Courses!H17=0,SUM(Courses!J17,Courses!F17)=1),"Row "&amp;Courses!A17&amp;", "&amp;Courses!$H$10&amp;"; ","")</f>
        <v/>
      </c>
      <c r="CI23" s="183" t="str">
        <f>IF(AND($AD$9=1,Courses!I17&lt;&gt;"",Courses!J17&lt;&gt;"",Courses!J17=0, SUM(Courses!H17,Courses!F17)=1),"Row "&amp;Courses!A17&amp;", "&amp;Courses!$J$10&amp;"; ","")</f>
        <v/>
      </c>
      <c r="CJ23" s="180"/>
      <c r="CK23" s="181"/>
      <c r="CL23" s="1592" t="str">
        <f>IF(AND(Courses!B17&lt;&gt;"",ISNA(VLOOKUP(Courses!C17,CourseInfo,2,FALSE))=FALSE,COUNTIF(Dummy,Courses!C17)&lt;&gt;1),VLOOKUP(Courses!C17,CourseInfo,6,FALSE),"")</f>
        <v/>
      </c>
      <c r="CM23" s="1592" t="str">
        <f>IF(AND($AE$9=1,Courses!B17&lt;&gt;"",'Courses Valid'!AG23="",COUNTIF(Dummy,Courses!C17)&lt;&gt;1),IF(Courses!K17&lt;&gt;'Courses Valid'!CL23,"Row "&amp;Courses!A17&amp;", Level on LARS is "&amp;'Courses Valid'!CL23&amp;"; ",""),"")</f>
        <v/>
      </c>
      <c r="CN23" s="131"/>
    </row>
    <row r="24" spans="3:92" x14ac:dyDescent="0.35">
      <c r="C24" s="1591">
        <f t="shared" si="2"/>
        <v>0</v>
      </c>
      <c r="D24" s="41"/>
      <c r="E24" s="41"/>
      <c r="F24" s="118"/>
      <c r="G24" s="1591" t="str">
        <f>IF(SUMPRODUCT(--(CourseAims=Courses!$C18))=1,"",IF(AND($N$9=1,Courses!$C18&lt;&gt;""),"Row "&amp;Courses!A18&amp;" (invalid); ",""))</f>
        <v/>
      </c>
      <c r="H24" s="1592" t="str">
        <f>IF(AND($O$9=1,Courses!B18="",OR(Courses!F18&lt;&gt;"",Courses!H18&lt;&gt;"",Courses!J18&lt;&gt;"",Courses!K18&lt;&gt;"",Courses!L18&lt;&gt;"",Courses!M18&lt;&gt;0,Courses!N18&lt;&gt;0,Courses!O18&lt;&gt;0,Courses!P18&lt;&gt;0,Courses!Q18&lt;&gt;0,Courses!R18&lt;&gt;0,Courses!S18&lt;&gt;0,Courses!T18&lt;&gt;0,Courses!U18&lt;&gt;0,Courses!V18&lt;&gt;0,Courses!W18&lt;&gt;0,Courses!X18&lt;&gt;0,Courses!Y18&lt;&gt;0,Courses!Z18&lt;&gt;0,Courses!AA18&lt;&gt;0)),"Row "&amp;Courses!A18&amp;" (none); ","")</f>
        <v/>
      </c>
      <c r="I24" s="17"/>
      <c r="K24" s="1592" t="str">
        <f>Courses!B18&amp;Courses!K18&amp;Courses!L18</f>
        <v/>
      </c>
      <c r="L24" s="1592" t="str">
        <f>IF(AND($P$9=1,Courses!$B18&lt;&gt;"",COUNTIF(Dummy,Courses!$C18)&lt;&gt;1),IF(SUMPRODUCT(--($K$20:$K$219=$K24))&gt;1,"Row "&amp;Courses!$A18&amp;"; ",""),"")</f>
        <v/>
      </c>
      <c r="N24" s="118"/>
      <c r="O24" s="1593" t="str">
        <f>IF(AND($Q$9=1,Courses!E18&lt;&gt;"",Courses!F18=""),"Row "&amp;Courses!A18&amp;", "&amp;Courses!$E$10&amp;"; ","")</f>
        <v/>
      </c>
      <c r="P24" t="str">
        <f>IF(AND($Q$9=1,Courses!G18&lt;&gt;"",Courses!H18=""),"Row "&amp;Courses!A18&amp;", "&amp;Courses!$G$10&amp;"; ","")</f>
        <v/>
      </c>
      <c r="Q24" s="183" t="str">
        <f>IF(AND($Q$9=1,Courses!I18&lt;&gt;"",Courses!J18=""),"Row "&amp;Courses!A18&amp;", "&amp;Courses!$I$10&amp;"; ","")</f>
        <v/>
      </c>
      <c r="S24" s="17"/>
      <c r="T24" s="118"/>
      <c r="U24" s="1594" t="str">
        <f>IF(AND($R$9=1,Courses!B18&lt;&gt;"",Courses!E18&lt;&gt;"",Courses!G18="",Courses!I18="",Courses!F18&lt;&gt;1),"Row "&amp;Courses!A18&amp;"; ","")</f>
        <v/>
      </c>
      <c r="V24" t="str">
        <f>IF(AND($R$9=1,Courses!B18&lt;&gt;"",Courses!I18="",Courses!F18&lt;&gt;"",Courses!G18&lt;&gt;"",Courses!H18&lt;&gt;""),IF(OR((Courses!F18+Courses!H18)&lt;&gt;1),"Row "&amp;Courses!A18&amp;"; ",""),"")</f>
        <v/>
      </c>
      <c r="W24" s="183" t="str">
        <f>IF(AND($R$9=1,Courses!B18&lt;&gt;"",Courses!I18&lt;&gt;"",Courses!J18&lt;&gt;"",Courses!H18&lt;&gt;"",Courses!G18&lt;&gt;"",Courses!F18&lt;&gt;""),IF(OR((Courses!F18+Courses!H18+Courses!J18)&lt;&gt;1),"Row "&amp;Courses!A18&amp;"; ",""),"")</f>
        <v/>
      </c>
      <c r="Y24" s="1592" t="str">
        <f>IF(AND($R$9=1,Courses!E18&lt;&gt;"",U24="",V24="",W24="",SUM(Courses!F18,Courses!H18,Courses!J18)&lt;&gt;1),"Row "&amp;Courses!A18&amp;"; ","")</f>
        <v/>
      </c>
      <c r="Z24" s="17"/>
      <c r="AB24" s="1593" t="str">
        <f>IF(AND($S$9=1,Courses!B18&lt;&gt;"",Courses!E18&lt;&gt;"",Courses!F18&lt;&gt;""),IF((TRUNC(Courses!F18*100)&lt;&gt;Courses!F18*100),"Row "&amp;Courses!A18&amp;", "&amp;Courses!$F$10&amp;"; ",""),"")</f>
        <v/>
      </c>
      <c r="AC24" t="str">
        <f>IF(AND($S$9=1,Courses!B18&lt;&gt;"",Courses!G18&lt;&gt;"",Courses!H18&lt;&gt;""),IF((TRUNC(Courses!H18*100)&lt;&gt;Courses!H18*100),"Row "&amp;Courses!A18&amp;", "&amp;Courses!$H$10&amp;"; ",""),"")</f>
        <v/>
      </c>
      <c r="AD24" s="183" t="str">
        <f>IF(AND($S$9=1,Courses!B18&lt;&gt;"",Courses!I18&lt;&gt;"",Courses!J18&lt;&gt;""),IF((TRUNC(Courses!J18*100)&lt;&gt;Courses!J18*100),"Row "&amp;Courses!A18&amp;", "&amp;Courses!$J$10&amp;"; ",""),"")</f>
        <v/>
      </c>
      <c r="AF24" s="118"/>
      <c r="AG24" s="1592" t="str">
        <f>IF(AND($T$9=1,G24="",Courses!B18&lt;&gt;"",Courses!K18&lt;&gt;$B$9,Courses!K18&lt;&gt;$B$10,Courses!K18&lt;&gt;$B$11,Courses!K18&lt;&gt;$B$12,Courses!K18&lt;&gt;$B$13,Courses!K18&lt;&gt;$B$14),"Row "&amp;Courses!A18&amp;"; ","")</f>
        <v/>
      </c>
      <c r="AH24" s="1592" t="str">
        <f>IF(AND($U$9=1,G24="",Courses!B18&lt;&gt;"",Courses!L18&lt;&gt;"Standard",Courses!L18&lt;&gt;"Long"),"Row "&amp;Courses!A18&amp;"; ","")</f>
        <v/>
      </c>
      <c r="AJ24" s="118"/>
      <c r="AK24" s="3">
        <v>5</v>
      </c>
      <c r="AL24" s="1593" t="str">
        <f>IF(AND($V$9=1,(TRUNC(Courses!M18)&lt;&gt;Courses!M18)), "Row "&amp;Courses!$A18&amp;", "&amp;AL$9&amp;", "&amp;AL$10&amp;", "&amp;AL$11&amp;"; ","")</f>
        <v/>
      </c>
      <c r="AM24" t="str">
        <f>IF(AND($V$9=1,(TRUNC(Courses!N18)&lt;&gt;Courses!N18)), "Row "&amp;Courses!$A18&amp;", "&amp;AM$9&amp;", "&amp;AM$10&amp;", "&amp;AM$11&amp;"; ","")</f>
        <v/>
      </c>
      <c r="AN24" t="str">
        <f>IF(AND($V$9=1,(TRUNC(Courses!O18)&lt;&gt;Courses!O18)), "Row "&amp;Courses!$A18&amp;", "&amp;AN$9&amp;", "&amp;AN$10&amp;", "&amp;AN$11&amp;"; ","")</f>
        <v/>
      </c>
      <c r="AO24" t="str">
        <f>IF(AND($V$9=1,(TRUNC(Courses!P18)&lt;&gt;Courses!P18)), "Row "&amp;Courses!$A18&amp;", "&amp;AO$9&amp;", "&amp;AO$10&amp;", "&amp;AO$11&amp;"; ","")</f>
        <v/>
      </c>
      <c r="AP24" s="2120" t="str">
        <f>IF(AND($V$9=1,(TRUNC(Courses!Q18)&lt;&gt;Courses!Q18)), "Row "&amp;Courses!$A18&amp;", "&amp;AP$9&amp;", "&amp;AP$10&amp;"; ","")</f>
        <v/>
      </c>
      <c r="AQ24" s="1593" t="str">
        <f>IF(AND($V$9=1,(TRUNC(Courses!R18)&lt;&gt;Courses!R18)), "Row "&amp;Courses!$A18&amp;", "&amp;AQ$9&amp;", "&amp;AQ$10&amp;", "&amp;AQ$11&amp;"; ","")</f>
        <v/>
      </c>
      <c r="AR24" t="str">
        <f>IF(AND($V$9=1,(TRUNC(Courses!S18)&lt;&gt;Courses!S18)), "Row "&amp;Courses!$A18&amp;", "&amp;AR$9&amp;", "&amp;AR$10&amp;", "&amp;AR$11&amp;"; ","")</f>
        <v/>
      </c>
      <c r="AS24" t="str">
        <f>IF(AND($V$9=1,(TRUNC(Courses!T18)&lt;&gt;Courses!T18)), "Row "&amp;Courses!$A18&amp;", "&amp;AS$9&amp;", "&amp;AS$10&amp;", "&amp;AS$11&amp;"; ","")</f>
        <v/>
      </c>
      <c r="AT24" t="str">
        <f>IF(AND($V$9=1,(TRUNC(Courses!U18)&lt;&gt;Courses!U18)), "Row "&amp;Courses!$A18&amp;", "&amp;AT$9&amp;", "&amp;AT$10&amp;", "&amp;AT$11&amp;"; ","")</f>
        <v/>
      </c>
      <c r="AU24" s="2120" t="str">
        <f>IF(AND($V$9=1,(TRUNC(Courses!V18)&lt;&gt;Courses!V18)), "Row "&amp;Courses!$A18&amp;", "&amp;AU$9&amp;", "&amp;AU$10&amp;"; ","")</f>
        <v/>
      </c>
      <c r="AV24" s="1593" t="str">
        <f>IF(AND($V$9=1,(TRUNC(Courses!W18)&lt;&gt;Courses!W18)), "Row "&amp;Courses!$A18&amp;", "&amp;AV$9&amp;", "&amp;AV$10&amp;", "&amp;AV$11&amp;"; ","")</f>
        <v/>
      </c>
      <c r="AW24" t="str">
        <f>IF(AND($V$9=1,(TRUNC(Courses!X18)&lt;&gt;Courses!X18)), "Row "&amp;Courses!$A18&amp;", "&amp;AW$9&amp;", "&amp;AW$10&amp;", "&amp;AW$11&amp;"; ","")</f>
        <v/>
      </c>
      <c r="AX24" t="str">
        <f>IF(AND($V$9=1,(TRUNC(Courses!Y18)&lt;&gt;Courses!Y18)), "Row "&amp;Courses!$A18&amp;", "&amp;AX$9&amp;", "&amp;AX$10&amp;", "&amp;AX$11&amp;"; ","")</f>
        <v/>
      </c>
      <c r="AY24" t="str">
        <f>IF(AND($V$9=1,(TRUNC(Courses!Z18)&lt;&gt;Courses!Z18)), "Row "&amp;Courses!$A18&amp;", "&amp;AY$9&amp;", "&amp;AY$10&amp;", "&amp;AY$11&amp;"; ","")</f>
        <v/>
      </c>
      <c r="AZ24" s="2120" t="str">
        <f>IF(AND($V$9=1,(TRUNC(Courses!AA18)&lt;&gt;Courses!AA18)), "Row "&amp;Courses!$A18&amp;", "&amp;AZ$9&amp;", "&amp;AZ$10&amp;"; ","")</f>
        <v/>
      </c>
      <c r="BA24" s="17"/>
      <c r="BB24" s="118"/>
      <c r="BC24" s="3">
        <v>5</v>
      </c>
      <c r="BD24" s="1593" t="str">
        <f>IF(AND($W$9=1,Courses!M18&lt;0), "Row "&amp;Courses!$A18&amp;", "&amp;BD$9&amp;", "&amp;BD$10&amp;", "&amp;BD$11&amp;"; ","")</f>
        <v/>
      </c>
      <c r="BE24" t="str">
        <f>IF(AND($W$9=1,Courses!N18&lt;0), "Row "&amp;Courses!$A18&amp;", "&amp;BE$9&amp;", "&amp;BE$10&amp;", "&amp;BE$11&amp;"; ","")</f>
        <v/>
      </c>
      <c r="BF24" t="str">
        <f>IF(AND($W$9=1,Courses!O18&lt;0), "Row "&amp;Courses!$A18&amp;", "&amp;BF$9&amp;", "&amp;BF$10&amp;", "&amp;BF$11&amp;"; ","")</f>
        <v/>
      </c>
      <c r="BG24" t="str">
        <f>IF(AND($W$9=1,Courses!P18&lt;0), "Row "&amp;Courses!$A18&amp;", "&amp;BG$9&amp;", "&amp;BG$10&amp;", "&amp;BG$11&amp;"; ","")</f>
        <v/>
      </c>
      <c r="BH24" s="2120" t="str">
        <f>IF(AND($W$9=1,Courses!Q18&lt;0), "Row "&amp;Courses!$A18&amp;", "&amp;BH$9&amp;", "&amp;BH$10&amp;"; ","")</f>
        <v/>
      </c>
      <c r="BI24" s="1593" t="str">
        <f>IF(AND($W$9=1,Courses!R18&lt;0), "Row "&amp;Courses!$A18&amp;", "&amp;BI$9&amp;", "&amp;BI$10&amp;", "&amp;BI$11&amp;"; ","")</f>
        <v/>
      </c>
      <c r="BJ24" t="str">
        <f>IF(AND($W$9=1,Courses!S18&lt;0), "Row "&amp;Courses!$A18&amp;", "&amp;BJ$9&amp;", "&amp;BJ$10&amp;", "&amp;BJ$11&amp;"; ","")</f>
        <v/>
      </c>
      <c r="BK24" t="str">
        <f>IF(AND($W$9=1,Courses!T18&lt;0), "Row "&amp;Courses!$A18&amp;", "&amp;BK$9&amp;", "&amp;BK$10&amp;", "&amp;BK$11&amp;"; ","")</f>
        <v/>
      </c>
      <c r="BL24" t="str">
        <f>IF(AND($W$9=1,Courses!U18&lt;0), "Row "&amp;Courses!$A18&amp;", "&amp;BL$9&amp;", "&amp;BL$10&amp;", "&amp;BL$11&amp;"; ","")</f>
        <v/>
      </c>
      <c r="BM24" s="2120" t="str">
        <f>IF(AND($W$9=1,Courses!V18&lt;0), "Row "&amp;Courses!$A18&amp;", "&amp;BM$9&amp;", "&amp;BM$10&amp;"; ","")</f>
        <v/>
      </c>
      <c r="BN24" s="1593" t="str">
        <f>IF(AND($W$9=1,Courses!W18&lt;0), "Row "&amp;Courses!$A18&amp;", "&amp;BN$9&amp;", "&amp;BN$10&amp;", "&amp;BN$11&amp;"; ","")</f>
        <v/>
      </c>
      <c r="BO24" t="str">
        <f>IF(AND($W$9=1,Courses!X18&lt;0), "Row "&amp;Courses!$A18&amp;", "&amp;BO$9&amp;", "&amp;BO$10&amp;", "&amp;BO$11&amp;"; ","")</f>
        <v/>
      </c>
      <c r="BP24" t="str">
        <f>IF(AND($W$9=1,Courses!Y18&lt;0), "Row "&amp;Courses!$A18&amp;", "&amp;BP$9&amp;", "&amp;BP$10&amp;", "&amp;BP$11&amp;"; ","")</f>
        <v/>
      </c>
      <c r="BQ24" t="str">
        <f>IF(AND($W$9=1,Courses!Z18&lt;0), "Row "&amp;Courses!$A18&amp;", "&amp;BQ$9&amp;", "&amp;BQ$10&amp;", "&amp;BQ$11&amp;"; ","")</f>
        <v/>
      </c>
      <c r="BR24" s="2120" t="str">
        <f>IF(AND($W$9=1,Courses!AA18&lt;0), "Row "&amp;Courses!$A18&amp;", "&amp;BR$9&amp;", "&amp;BR$10&amp;"; ","")</f>
        <v/>
      </c>
      <c r="BT24" s="186">
        <v>5</v>
      </c>
      <c r="BU24" s="40">
        <f>IF(AND($X$9=1,Courses!B18="",Courses!F18="",Courses!H18="",Courses!J18="",Courses!K18="",Courses!L18="",Courses!M18=0,Courses!N18=0,Courses!O18=0,Courses!P18=0,Courses!Q18=0,Courses!R18=0,Courses!S18=0,Courses!T18=0,Courses!U18=0,Courses!V18=0,Courses!W18=0,Courses!X18=0,Courses!Y18=0,Courses!Z18=0,Courses!AA18=0),0,1)</f>
        <v>0</v>
      </c>
      <c r="BV24" s="40">
        <f>IF(AND(BU24=0,SUM(BU25:$BU$219)&gt;0),1,0)</f>
        <v>0</v>
      </c>
      <c r="BW24" s="1595" t="str">
        <f>IF(BV24=1,"Row "&amp;Courses!A18&amp;"; ","")</f>
        <v/>
      </c>
      <c r="BX24" s="17"/>
      <c r="BZ24" s="1592" t="str">
        <f>IF(AND($Y$9=1,Courses!B18&lt;&gt;"",SUM(Courses!M18:AA18)=0),"Row "&amp;Courses!A18&amp;"; ","")</f>
        <v/>
      </c>
      <c r="CA24" s="17"/>
      <c r="CC24" s="1592" t="str">
        <f>IF(AND($Z$9=1,Courses!AD18=1,(LEN(Courses!AB18)&gt;200)),"Row "&amp;Courses!A18&amp;"; ","")</f>
        <v/>
      </c>
      <c r="CE24" s="131"/>
      <c r="CG24" s="1593" t="str">
        <f>IF(AND($AD$9=1,Courses!E18&lt;&gt;"",Courses!F18&lt;&gt;"",Courses!F18=0,SUM(Courses!H18,Courses!J18)=1),"Row "&amp;Courses!A18&amp;", "&amp;Courses!$F$10&amp;"; ","")</f>
        <v/>
      </c>
      <c r="CH24" t="str">
        <f>IF(AND($AD$9=1,Courses!G18&lt;&gt;"",Courses!H18&lt;&gt;"",Courses!H18=0,SUM(Courses!J18,Courses!F18)=1),"Row "&amp;Courses!A18&amp;", "&amp;Courses!$H$10&amp;"; ","")</f>
        <v/>
      </c>
      <c r="CI24" s="183" t="str">
        <f>IF(AND($AD$9=1,Courses!I18&lt;&gt;"",Courses!J18&lt;&gt;"",Courses!J18=0, SUM(Courses!H18,Courses!F18)=1),"Row "&amp;Courses!A18&amp;", "&amp;Courses!$J$10&amp;"; ","")</f>
        <v/>
      </c>
      <c r="CJ24" s="180"/>
      <c r="CK24" s="181"/>
      <c r="CL24" s="1592" t="str">
        <f>IF(AND(Courses!B18&lt;&gt;"",ISNA(VLOOKUP(Courses!C18,CourseInfo,2,FALSE))=FALSE,COUNTIF(Dummy,Courses!C18)&lt;&gt;1),VLOOKUP(Courses!C18,CourseInfo,6,FALSE),"")</f>
        <v/>
      </c>
      <c r="CM24" s="1592" t="str">
        <f>IF(AND($AE$9=1,Courses!B18&lt;&gt;"",'Courses Valid'!AG24="",COUNTIF(Dummy,Courses!C18)&lt;&gt;1),IF(Courses!K18&lt;&gt;'Courses Valid'!CL24,"Row "&amp;Courses!A18&amp;", Level on LARS is "&amp;'Courses Valid'!CL24&amp;"; ",""),"")</f>
        <v/>
      </c>
      <c r="CN24" s="131"/>
    </row>
    <row r="25" spans="3:92" x14ac:dyDescent="0.35">
      <c r="C25" s="1591">
        <f t="shared" si="2"/>
        <v>0</v>
      </c>
      <c r="D25" s="41"/>
      <c r="E25" s="41"/>
      <c r="F25" s="118"/>
      <c r="G25" s="1591" t="str">
        <f>IF(SUMPRODUCT(--(CourseAims=Courses!$C19))=1,"",IF(AND($N$9=1,Courses!$C19&lt;&gt;""),"Row "&amp;Courses!A19&amp;" (invalid); ",""))</f>
        <v/>
      </c>
      <c r="H25" s="1592" t="str">
        <f>IF(AND($O$9=1,Courses!B19="",OR(Courses!F19&lt;&gt;"",Courses!H19&lt;&gt;"",Courses!J19&lt;&gt;"",Courses!K19&lt;&gt;"",Courses!L19&lt;&gt;"",Courses!M19&lt;&gt;0,Courses!N19&lt;&gt;0,Courses!O19&lt;&gt;0,Courses!P19&lt;&gt;0,Courses!Q19&lt;&gt;0,Courses!R19&lt;&gt;0,Courses!S19&lt;&gt;0,Courses!T19&lt;&gt;0,Courses!U19&lt;&gt;0,Courses!V19&lt;&gt;0,Courses!W19&lt;&gt;0,Courses!X19&lt;&gt;0,Courses!Y19&lt;&gt;0,Courses!Z19&lt;&gt;0,Courses!AA19&lt;&gt;0)),"Row "&amp;Courses!A19&amp;" (none); ","")</f>
        <v/>
      </c>
      <c r="I25" s="17"/>
      <c r="K25" s="1592" t="str">
        <f>Courses!B19&amp;Courses!K19&amp;Courses!L19</f>
        <v/>
      </c>
      <c r="L25" s="1592" t="str">
        <f>IF(AND($P$9=1,Courses!$B19&lt;&gt;"",COUNTIF(Dummy,Courses!$C19)&lt;&gt;1),IF(SUMPRODUCT(--($K$20:$K$219=$K25))&gt;1,"Row "&amp;Courses!$A19&amp;"; ",""),"")</f>
        <v/>
      </c>
      <c r="N25" s="118"/>
      <c r="O25" s="1593" t="str">
        <f>IF(AND($Q$9=1,Courses!E19&lt;&gt;"",Courses!F19=""),"Row "&amp;Courses!A19&amp;", "&amp;Courses!$E$10&amp;"; ","")</f>
        <v/>
      </c>
      <c r="P25" t="str">
        <f>IF(AND($Q$9=1,Courses!G19&lt;&gt;"",Courses!H19=""),"Row "&amp;Courses!A19&amp;", "&amp;Courses!$G$10&amp;"; ","")</f>
        <v/>
      </c>
      <c r="Q25" s="183" t="str">
        <f>IF(AND($Q$9=1,Courses!I19&lt;&gt;"",Courses!J19=""),"Row "&amp;Courses!A19&amp;", "&amp;Courses!$I$10&amp;"; ","")</f>
        <v/>
      </c>
      <c r="S25" s="17"/>
      <c r="T25" s="118"/>
      <c r="U25" s="1594" t="str">
        <f>IF(AND($R$9=1,Courses!B19&lt;&gt;"",Courses!E19&lt;&gt;"",Courses!G19="",Courses!I19="",Courses!F19&lt;&gt;1),"Row "&amp;Courses!A19&amp;"; ","")</f>
        <v/>
      </c>
      <c r="V25" t="str">
        <f>IF(AND($R$9=1,Courses!B19&lt;&gt;"",Courses!I19="",Courses!F19&lt;&gt;"",Courses!G19&lt;&gt;"",Courses!H19&lt;&gt;""),IF(OR((Courses!F19+Courses!H19)&lt;&gt;1),"Row "&amp;Courses!A19&amp;"; ",""),"")</f>
        <v/>
      </c>
      <c r="W25" s="183" t="str">
        <f>IF(AND($R$9=1,Courses!B19&lt;&gt;"",Courses!I19&lt;&gt;"",Courses!J19&lt;&gt;"",Courses!H19&lt;&gt;"",Courses!G19&lt;&gt;"",Courses!F19&lt;&gt;""),IF(OR((Courses!F19+Courses!H19+Courses!J19)&lt;&gt;1),"Row "&amp;Courses!A19&amp;"; ",""),"")</f>
        <v/>
      </c>
      <c r="Y25" s="1592" t="str">
        <f>IF(AND($R$9=1,Courses!E19&lt;&gt;"",U25="",V25="",W25="",SUM(Courses!F19,Courses!H19,Courses!J19)&lt;&gt;1),"Row "&amp;Courses!A19&amp;"; ","")</f>
        <v/>
      </c>
      <c r="Z25" s="17"/>
      <c r="AB25" s="1593" t="str">
        <f>IF(AND($S$9=1,Courses!B19&lt;&gt;"",Courses!E19&lt;&gt;"",Courses!F19&lt;&gt;""),IF((TRUNC(Courses!F19*100)&lt;&gt;Courses!F19*100),"Row "&amp;Courses!A19&amp;", "&amp;Courses!$F$10&amp;"; ",""),"")</f>
        <v/>
      </c>
      <c r="AC25" t="str">
        <f>IF(AND($S$9=1,Courses!B19&lt;&gt;"",Courses!G19&lt;&gt;"",Courses!H19&lt;&gt;""),IF((TRUNC(Courses!H19*100)&lt;&gt;Courses!H19*100),"Row "&amp;Courses!A19&amp;", "&amp;Courses!$H$10&amp;"; ",""),"")</f>
        <v/>
      </c>
      <c r="AD25" s="183" t="str">
        <f>IF(AND($S$9=1,Courses!B19&lt;&gt;"",Courses!I19&lt;&gt;"",Courses!J19&lt;&gt;""),IF((TRUNC(Courses!J19*100)&lt;&gt;Courses!J19*100),"Row "&amp;Courses!A19&amp;", "&amp;Courses!$J$10&amp;"; ",""),"")</f>
        <v/>
      </c>
      <c r="AF25" s="118"/>
      <c r="AG25" s="1592" t="str">
        <f>IF(AND($T$9=1,G25="",Courses!B19&lt;&gt;"",Courses!K19&lt;&gt;$B$9,Courses!K19&lt;&gt;$B$10,Courses!K19&lt;&gt;$B$11,Courses!K19&lt;&gt;$B$12,Courses!K19&lt;&gt;$B$13,Courses!K19&lt;&gt;$B$14),"Row "&amp;Courses!A19&amp;"; ","")</f>
        <v/>
      </c>
      <c r="AH25" s="1592" t="str">
        <f>IF(AND($U$9=1,G25="",Courses!B19&lt;&gt;"",Courses!L19&lt;&gt;"Standard",Courses!L19&lt;&gt;"Long"),"Row "&amp;Courses!A19&amp;"; ","")</f>
        <v/>
      </c>
      <c r="AJ25" s="118"/>
      <c r="AK25" s="3">
        <v>6</v>
      </c>
      <c r="AL25" s="1593" t="str">
        <f>IF(AND($V$9=1,(TRUNC(Courses!M19)&lt;&gt;Courses!M19)), "Row "&amp;Courses!$A19&amp;", "&amp;AL$9&amp;", "&amp;AL$10&amp;", "&amp;AL$11&amp;"; ","")</f>
        <v/>
      </c>
      <c r="AM25" t="str">
        <f>IF(AND($V$9=1,(TRUNC(Courses!N19)&lt;&gt;Courses!N19)), "Row "&amp;Courses!$A19&amp;", "&amp;AM$9&amp;", "&amp;AM$10&amp;", "&amp;AM$11&amp;"; ","")</f>
        <v/>
      </c>
      <c r="AN25" t="str">
        <f>IF(AND($V$9=1,(TRUNC(Courses!O19)&lt;&gt;Courses!O19)), "Row "&amp;Courses!$A19&amp;", "&amp;AN$9&amp;", "&amp;AN$10&amp;", "&amp;AN$11&amp;"; ","")</f>
        <v/>
      </c>
      <c r="AO25" t="str">
        <f>IF(AND($V$9=1,(TRUNC(Courses!P19)&lt;&gt;Courses!P19)), "Row "&amp;Courses!$A19&amp;", "&amp;AO$9&amp;", "&amp;AO$10&amp;", "&amp;AO$11&amp;"; ","")</f>
        <v/>
      </c>
      <c r="AP25" s="2120" t="str">
        <f>IF(AND($V$9=1,(TRUNC(Courses!Q19)&lt;&gt;Courses!Q19)), "Row "&amp;Courses!$A19&amp;", "&amp;AP$9&amp;", "&amp;AP$10&amp;"; ","")</f>
        <v/>
      </c>
      <c r="AQ25" s="1593" t="str">
        <f>IF(AND($V$9=1,(TRUNC(Courses!R19)&lt;&gt;Courses!R19)), "Row "&amp;Courses!$A19&amp;", "&amp;AQ$9&amp;", "&amp;AQ$10&amp;", "&amp;AQ$11&amp;"; ","")</f>
        <v/>
      </c>
      <c r="AR25" t="str">
        <f>IF(AND($V$9=1,(TRUNC(Courses!S19)&lt;&gt;Courses!S19)), "Row "&amp;Courses!$A19&amp;", "&amp;AR$9&amp;", "&amp;AR$10&amp;", "&amp;AR$11&amp;"; ","")</f>
        <v/>
      </c>
      <c r="AS25" t="str">
        <f>IF(AND($V$9=1,(TRUNC(Courses!T19)&lt;&gt;Courses!T19)), "Row "&amp;Courses!$A19&amp;", "&amp;AS$9&amp;", "&amp;AS$10&amp;", "&amp;AS$11&amp;"; ","")</f>
        <v/>
      </c>
      <c r="AT25" t="str">
        <f>IF(AND($V$9=1,(TRUNC(Courses!U19)&lt;&gt;Courses!U19)), "Row "&amp;Courses!$A19&amp;", "&amp;AT$9&amp;", "&amp;AT$10&amp;", "&amp;AT$11&amp;"; ","")</f>
        <v/>
      </c>
      <c r="AU25" s="2120" t="str">
        <f>IF(AND($V$9=1,(TRUNC(Courses!V19)&lt;&gt;Courses!V19)), "Row "&amp;Courses!$A19&amp;", "&amp;AU$9&amp;", "&amp;AU$10&amp;"; ","")</f>
        <v/>
      </c>
      <c r="AV25" s="1593" t="str">
        <f>IF(AND($V$9=1,(TRUNC(Courses!W19)&lt;&gt;Courses!W19)), "Row "&amp;Courses!$A19&amp;", "&amp;AV$9&amp;", "&amp;AV$10&amp;", "&amp;AV$11&amp;"; ","")</f>
        <v/>
      </c>
      <c r="AW25" t="str">
        <f>IF(AND($V$9=1,(TRUNC(Courses!X19)&lt;&gt;Courses!X19)), "Row "&amp;Courses!$A19&amp;", "&amp;AW$9&amp;", "&amp;AW$10&amp;", "&amp;AW$11&amp;"; ","")</f>
        <v/>
      </c>
      <c r="AX25" t="str">
        <f>IF(AND($V$9=1,(TRUNC(Courses!Y19)&lt;&gt;Courses!Y19)), "Row "&amp;Courses!$A19&amp;", "&amp;AX$9&amp;", "&amp;AX$10&amp;", "&amp;AX$11&amp;"; ","")</f>
        <v/>
      </c>
      <c r="AY25" t="str">
        <f>IF(AND($V$9=1,(TRUNC(Courses!Z19)&lt;&gt;Courses!Z19)), "Row "&amp;Courses!$A19&amp;", "&amp;AY$9&amp;", "&amp;AY$10&amp;", "&amp;AY$11&amp;"; ","")</f>
        <v/>
      </c>
      <c r="AZ25" s="2120" t="str">
        <f>IF(AND($V$9=1,(TRUNC(Courses!AA19)&lt;&gt;Courses!AA19)), "Row "&amp;Courses!$A19&amp;", "&amp;AZ$9&amp;", "&amp;AZ$10&amp;"; ","")</f>
        <v/>
      </c>
      <c r="BA25" s="17"/>
      <c r="BB25" s="118"/>
      <c r="BC25" s="3">
        <v>6</v>
      </c>
      <c r="BD25" s="1593" t="str">
        <f>IF(AND($W$9=1,Courses!M19&lt;0), "Row "&amp;Courses!$A19&amp;", "&amp;BD$9&amp;", "&amp;BD$10&amp;", "&amp;BD$11&amp;"; ","")</f>
        <v/>
      </c>
      <c r="BE25" t="str">
        <f>IF(AND($W$9=1,Courses!N19&lt;0), "Row "&amp;Courses!$A19&amp;", "&amp;BE$9&amp;", "&amp;BE$10&amp;", "&amp;BE$11&amp;"; ","")</f>
        <v/>
      </c>
      <c r="BF25" t="str">
        <f>IF(AND($W$9=1,Courses!O19&lt;0), "Row "&amp;Courses!$A19&amp;", "&amp;BF$9&amp;", "&amp;BF$10&amp;", "&amp;BF$11&amp;"; ","")</f>
        <v/>
      </c>
      <c r="BG25" t="str">
        <f>IF(AND($W$9=1,Courses!P19&lt;0), "Row "&amp;Courses!$A19&amp;", "&amp;BG$9&amp;", "&amp;BG$10&amp;", "&amp;BG$11&amp;"; ","")</f>
        <v/>
      </c>
      <c r="BH25" s="2120" t="str">
        <f>IF(AND($W$9=1,Courses!Q19&lt;0), "Row "&amp;Courses!$A19&amp;", "&amp;BH$9&amp;", "&amp;BH$10&amp;"; ","")</f>
        <v/>
      </c>
      <c r="BI25" s="1593" t="str">
        <f>IF(AND($W$9=1,Courses!R19&lt;0), "Row "&amp;Courses!$A19&amp;", "&amp;BI$9&amp;", "&amp;BI$10&amp;", "&amp;BI$11&amp;"; ","")</f>
        <v/>
      </c>
      <c r="BJ25" t="str">
        <f>IF(AND($W$9=1,Courses!S19&lt;0), "Row "&amp;Courses!$A19&amp;", "&amp;BJ$9&amp;", "&amp;BJ$10&amp;", "&amp;BJ$11&amp;"; ","")</f>
        <v/>
      </c>
      <c r="BK25" t="str">
        <f>IF(AND($W$9=1,Courses!T19&lt;0), "Row "&amp;Courses!$A19&amp;", "&amp;BK$9&amp;", "&amp;BK$10&amp;", "&amp;BK$11&amp;"; ","")</f>
        <v/>
      </c>
      <c r="BL25" t="str">
        <f>IF(AND($W$9=1,Courses!U19&lt;0), "Row "&amp;Courses!$A19&amp;", "&amp;BL$9&amp;", "&amp;BL$10&amp;", "&amp;BL$11&amp;"; ","")</f>
        <v/>
      </c>
      <c r="BM25" s="2120" t="str">
        <f>IF(AND($W$9=1,Courses!V19&lt;0), "Row "&amp;Courses!$A19&amp;", "&amp;BM$9&amp;", "&amp;BM$10&amp;"; ","")</f>
        <v/>
      </c>
      <c r="BN25" s="1593" t="str">
        <f>IF(AND($W$9=1,Courses!W19&lt;0), "Row "&amp;Courses!$A19&amp;", "&amp;BN$9&amp;", "&amp;BN$10&amp;", "&amp;BN$11&amp;"; ","")</f>
        <v/>
      </c>
      <c r="BO25" t="str">
        <f>IF(AND($W$9=1,Courses!X19&lt;0), "Row "&amp;Courses!$A19&amp;", "&amp;BO$9&amp;", "&amp;BO$10&amp;", "&amp;BO$11&amp;"; ","")</f>
        <v/>
      </c>
      <c r="BP25" t="str">
        <f>IF(AND($W$9=1,Courses!Y19&lt;0), "Row "&amp;Courses!$A19&amp;", "&amp;BP$9&amp;", "&amp;BP$10&amp;", "&amp;BP$11&amp;"; ","")</f>
        <v/>
      </c>
      <c r="BQ25" t="str">
        <f>IF(AND($W$9=1,Courses!Z19&lt;0), "Row "&amp;Courses!$A19&amp;", "&amp;BQ$9&amp;", "&amp;BQ$10&amp;", "&amp;BQ$11&amp;"; ","")</f>
        <v/>
      </c>
      <c r="BR25" s="2120" t="str">
        <f>IF(AND($W$9=1,Courses!AA19&lt;0), "Row "&amp;Courses!$A19&amp;", "&amp;BR$9&amp;", "&amp;BR$10&amp;"; ","")</f>
        <v/>
      </c>
      <c r="BT25" s="186">
        <v>6</v>
      </c>
      <c r="BU25" s="40">
        <f>IF(AND($X$9=1,Courses!B19="",Courses!F19="",Courses!H19="",Courses!J19="",Courses!K19="",Courses!L19="",Courses!M19=0,Courses!N19=0,Courses!O19=0,Courses!P19=0,Courses!Q19=0,Courses!R19=0,Courses!S19=0,Courses!T19=0,Courses!U19=0,Courses!V19=0,Courses!W19=0,Courses!X19=0,Courses!Y19=0,Courses!Z19=0,Courses!AA19=0),0,1)</f>
        <v>0</v>
      </c>
      <c r="BV25" s="40">
        <f>IF(AND(BU25=0,SUM(BU26:$BU$219)&gt;0),1,0)</f>
        <v>0</v>
      </c>
      <c r="BW25" s="1595" t="str">
        <f>IF(BV25=1,"Row "&amp;Courses!A19&amp;"; ","")</f>
        <v/>
      </c>
      <c r="BX25" s="17"/>
      <c r="BZ25" s="1592" t="str">
        <f>IF(AND($Y$9=1,Courses!B19&lt;&gt;"",SUM(Courses!M19:AA19)=0),"Row "&amp;Courses!A19&amp;"; ","")</f>
        <v/>
      </c>
      <c r="CA25" s="17"/>
      <c r="CC25" s="1592" t="str">
        <f>IF(AND($Z$9=1,Courses!AD19=1,(LEN(Courses!AB19)&gt;200)),"Row "&amp;Courses!A19&amp;"; ","")</f>
        <v/>
      </c>
      <c r="CE25" s="131"/>
      <c r="CG25" s="1593" t="str">
        <f>IF(AND($AD$9=1,Courses!E19&lt;&gt;"",Courses!F19&lt;&gt;"",Courses!F19=0,SUM(Courses!H19,Courses!J19)=1),"Row "&amp;Courses!A19&amp;", "&amp;Courses!$F$10&amp;"; ","")</f>
        <v/>
      </c>
      <c r="CH25" t="str">
        <f>IF(AND($AD$9=1,Courses!G19&lt;&gt;"",Courses!H19&lt;&gt;"",Courses!H19=0,SUM(Courses!J19,Courses!F19)=1),"Row "&amp;Courses!A19&amp;", "&amp;Courses!$H$10&amp;"; ","")</f>
        <v/>
      </c>
      <c r="CI25" s="183" t="str">
        <f>IF(AND($AD$9=1,Courses!I19&lt;&gt;"",Courses!J19&lt;&gt;"",Courses!J19=0, SUM(Courses!H19,Courses!F19)=1),"Row "&amp;Courses!A19&amp;", "&amp;Courses!$J$10&amp;"; ","")</f>
        <v/>
      </c>
      <c r="CJ25" s="180"/>
      <c r="CK25" s="181"/>
      <c r="CL25" s="1592" t="str">
        <f>IF(AND(Courses!B19&lt;&gt;"",ISNA(VLOOKUP(Courses!C19,CourseInfo,2,FALSE))=FALSE,COUNTIF(Dummy,Courses!C19)&lt;&gt;1),VLOOKUP(Courses!C19,CourseInfo,6,FALSE),"")</f>
        <v/>
      </c>
      <c r="CM25" s="1592" t="str">
        <f>IF(AND($AE$9=1,Courses!B19&lt;&gt;"",'Courses Valid'!AG25="",COUNTIF(Dummy,Courses!C19)&lt;&gt;1),IF(Courses!K19&lt;&gt;'Courses Valid'!CL25,"Row "&amp;Courses!A19&amp;", Level on LARS is "&amp;'Courses Valid'!CL25&amp;"; ",""),"")</f>
        <v/>
      </c>
      <c r="CN25" s="131"/>
    </row>
    <row r="26" spans="3:92" x14ac:dyDescent="0.35">
      <c r="C26" s="1591">
        <f t="shared" si="2"/>
        <v>0</v>
      </c>
      <c r="D26" s="41"/>
      <c r="E26" s="41"/>
      <c r="F26" s="118"/>
      <c r="G26" s="1591" t="str">
        <f>IF(SUMPRODUCT(--(CourseAims=Courses!$C20))=1,"",IF(AND($N$9=1,Courses!$C20&lt;&gt;""),"Row "&amp;Courses!A20&amp;" (invalid); ",""))</f>
        <v/>
      </c>
      <c r="H26" s="1592" t="str">
        <f>IF(AND($O$9=1,Courses!B20="",OR(Courses!F20&lt;&gt;"",Courses!H20&lt;&gt;"",Courses!J20&lt;&gt;"",Courses!K20&lt;&gt;"",Courses!L20&lt;&gt;"",Courses!M20&lt;&gt;0,Courses!N20&lt;&gt;0,Courses!O20&lt;&gt;0,Courses!P20&lt;&gt;0,Courses!Q20&lt;&gt;0,Courses!R20&lt;&gt;0,Courses!S20&lt;&gt;0,Courses!T20&lt;&gt;0,Courses!U20&lt;&gt;0,Courses!V20&lt;&gt;0,Courses!W20&lt;&gt;0,Courses!X20&lt;&gt;0,Courses!Y20&lt;&gt;0,Courses!Z20&lt;&gt;0,Courses!AA20&lt;&gt;0)),"Row "&amp;Courses!A20&amp;" (none); ","")</f>
        <v/>
      </c>
      <c r="I26" s="17"/>
      <c r="K26" s="1592" t="str">
        <f>Courses!B20&amp;Courses!K20&amp;Courses!L20</f>
        <v/>
      </c>
      <c r="L26" s="1592" t="str">
        <f>IF(AND($P$9=1,Courses!$B20&lt;&gt;"",COUNTIF(Dummy,Courses!$C20)&lt;&gt;1),IF(SUMPRODUCT(--($K$20:$K$219=$K26))&gt;1,"Row "&amp;Courses!$A20&amp;"; ",""),"")</f>
        <v/>
      </c>
      <c r="N26" s="118"/>
      <c r="O26" s="1593" t="str">
        <f>IF(AND($Q$9=1,Courses!E20&lt;&gt;"",Courses!F20=""),"Row "&amp;Courses!A20&amp;", "&amp;Courses!$E$10&amp;"; ","")</f>
        <v/>
      </c>
      <c r="P26" t="str">
        <f>IF(AND($Q$9=1,Courses!G20&lt;&gt;"",Courses!H20=""),"Row "&amp;Courses!A20&amp;", "&amp;Courses!$G$10&amp;"; ","")</f>
        <v/>
      </c>
      <c r="Q26" s="183" t="str">
        <f>IF(AND($Q$9=1,Courses!I20&lt;&gt;"",Courses!J20=""),"Row "&amp;Courses!A20&amp;", "&amp;Courses!$I$10&amp;"; ","")</f>
        <v/>
      </c>
      <c r="S26" s="17"/>
      <c r="T26" s="118"/>
      <c r="U26" s="1594" t="str">
        <f>IF(AND($R$9=1,Courses!B20&lt;&gt;"",Courses!E20&lt;&gt;"",Courses!G20="",Courses!I20="",Courses!F20&lt;&gt;1),"Row "&amp;Courses!A20&amp;"; ","")</f>
        <v/>
      </c>
      <c r="V26" t="str">
        <f>IF(AND($R$9=1,Courses!B20&lt;&gt;"",Courses!I20="",Courses!F20&lt;&gt;"",Courses!G20&lt;&gt;"",Courses!H20&lt;&gt;""),IF(OR((Courses!F20+Courses!H20)&lt;&gt;1),"Row "&amp;Courses!A20&amp;"; ",""),"")</f>
        <v/>
      </c>
      <c r="W26" s="183" t="str">
        <f>IF(AND($R$9=1,Courses!B20&lt;&gt;"",Courses!I20&lt;&gt;"",Courses!J20&lt;&gt;"",Courses!H20&lt;&gt;"",Courses!G20&lt;&gt;"",Courses!F20&lt;&gt;""),IF(OR((Courses!F20+Courses!H20+Courses!J20)&lt;&gt;1),"Row "&amp;Courses!A20&amp;"; ",""),"")</f>
        <v/>
      </c>
      <c r="Y26" s="1592" t="str">
        <f>IF(AND($R$9=1,Courses!E20&lt;&gt;"",U26="",V26="",W26="",SUM(Courses!F20,Courses!H20,Courses!J20)&lt;&gt;1),"Row "&amp;Courses!A20&amp;"; ","")</f>
        <v/>
      </c>
      <c r="Z26" s="17"/>
      <c r="AB26" s="1593" t="str">
        <f>IF(AND($S$9=1,Courses!B20&lt;&gt;"",Courses!E20&lt;&gt;"",Courses!F20&lt;&gt;""),IF((TRUNC(Courses!F20*100)&lt;&gt;Courses!F20*100),"Row "&amp;Courses!A20&amp;", "&amp;Courses!$F$10&amp;"; ",""),"")</f>
        <v/>
      </c>
      <c r="AC26" t="str">
        <f>IF(AND($S$9=1,Courses!B20&lt;&gt;"",Courses!G20&lt;&gt;"",Courses!H20&lt;&gt;""),IF((TRUNC(Courses!H20*100)&lt;&gt;Courses!H20*100),"Row "&amp;Courses!A20&amp;", "&amp;Courses!$H$10&amp;"; ",""),"")</f>
        <v/>
      </c>
      <c r="AD26" s="183" t="str">
        <f>IF(AND($S$9=1,Courses!B20&lt;&gt;"",Courses!I20&lt;&gt;"",Courses!J20&lt;&gt;""),IF((TRUNC(Courses!J20*100)&lt;&gt;Courses!J20*100),"Row "&amp;Courses!A20&amp;", "&amp;Courses!$J$10&amp;"; ",""),"")</f>
        <v/>
      </c>
      <c r="AF26" s="118"/>
      <c r="AG26" s="1592" t="str">
        <f>IF(AND($T$9=1,G26="",Courses!B20&lt;&gt;"",Courses!K20&lt;&gt;$B$9,Courses!K20&lt;&gt;$B$10,Courses!K20&lt;&gt;$B$11,Courses!K20&lt;&gt;$B$12,Courses!K20&lt;&gt;$B$13,Courses!K20&lt;&gt;$B$14),"Row "&amp;Courses!A20&amp;"; ","")</f>
        <v/>
      </c>
      <c r="AH26" s="1592" t="str">
        <f>IF(AND($U$9=1,G26="",Courses!B20&lt;&gt;"",Courses!L20&lt;&gt;"Standard",Courses!L20&lt;&gt;"Long"),"Row "&amp;Courses!A20&amp;"; ","")</f>
        <v/>
      </c>
      <c r="AJ26" s="118"/>
      <c r="AK26" s="3">
        <v>7</v>
      </c>
      <c r="AL26" s="1593" t="str">
        <f>IF(AND($V$9=1,(TRUNC(Courses!M20)&lt;&gt;Courses!M20)), "Row "&amp;Courses!$A20&amp;", "&amp;AL$9&amp;", "&amp;AL$10&amp;", "&amp;AL$11&amp;"; ","")</f>
        <v/>
      </c>
      <c r="AM26" t="str">
        <f>IF(AND($V$9=1,(TRUNC(Courses!N20)&lt;&gt;Courses!N20)), "Row "&amp;Courses!$A20&amp;", "&amp;AM$9&amp;", "&amp;AM$10&amp;", "&amp;AM$11&amp;"; ","")</f>
        <v/>
      </c>
      <c r="AN26" t="str">
        <f>IF(AND($V$9=1,(TRUNC(Courses!O20)&lt;&gt;Courses!O20)), "Row "&amp;Courses!$A20&amp;", "&amp;AN$9&amp;", "&amp;AN$10&amp;", "&amp;AN$11&amp;"; ","")</f>
        <v/>
      </c>
      <c r="AO26" t="str">
        <f>IF(AND($V$9=1,(TRUNC(Courses!P20)&lt;&gt;Courses!P20)), "Row "&amp;Courses!$A20&amp;", "&amp;AO$9&amp;", "&amp;AO$10&amp;", "&amp;AO$11&amp;"; ","")</f>
        <v/>
      </c>
      <c r="AP26" s="2120" t="str">
        <f>IF(AND($V$9=1,(TRUNC(Courses!Q20)&lt;&gt;Courses!Q20)), "Row "&amp;Courses!$A20&amp;", "&amp;AP$9&amp;", "&amp;AP$10&amp;"; ","")</f>
        <v/>
      </c>
      <c r="AQ26" s="1593" t="str">
        <f>IF(AND($V$9=1,(TRUNC(Courses!R20)&lt;&gt;Courses!R20)), "Row "&amp;Courses!$A20&amp;", "&amp;AQ$9&amp;", "&amp;AQ$10&amp;", "&amp;AQ$11&amp;"; ","")</f>
        <v/>
      </c>
      <c r="AR26" t="str">
        <f>IF(AND($V$9=1,(TRUNC(Courses!S20)&lt;&gt;Courses!S20)), "Row "&amp;Courses!$A20&amp;", "&amp;AR$9&amp;", "&amp;AR$10&amp;", "&amp;AR$11&amp;"; ","")</f>
        <v/>
      </c>
      <c r="AS26" t="str">
        <f>IF(AND($V$9=1,(TRUNC(Courses!T20)&lt;&gt;Courses!T20)), "Row "&amp;Courses!$A20&amp;", "&amp;AS$9&amp;", "&amp;AS$10&amp;", "&amp;AS$11&amp;"; ","")</f>
        <v/>
      </c>
      <c r="AT26" t="str">
        <f>IF(AND($V$9=1,(TRUNC(Courses!U20)&lt;&gt;Courses!U20)), "Row "&amp;Courses!$A20&amp;", "&amp;AT$9&amp;", "&amp;AT$10&amp;", "&amp;AT$11&amp;"; ","")</f>
        <v/>
      </c>
      <c r="AU26" s="2120" t="str">
        <f>IF(AND($V$9=1,(TRUNC(Courses!V20)&lt;&gt;Courses!V20)), "Row "&amp;Courses!$A20&amp;", "&amp;AU$9&amp;", "&amp;AU$10&amp;"; ","")</f>
        <v/>
      </c>
      <c r="AV26" s="1593" t="str">
        <f>IF(AND($V$9=1,(TRUNC(Courses!W20)&lt;&gt;Courses!W20)), "Row "&amp;Courses!$A20&amp;", "&amp;AV$9&amp;", "&amp;AV$10&amp;", "&amp;AV$11&amp;"; ","")</f>
        <v/>
      </c>
      <c r="AW26" t="str">
        <f>IF(AND($V$9=1,(TRUNC(Courses!X20)&lt;&gt;Courses!X20)), "Row "&amp;Courses!$A20&amp;", "&amp;AW$9&amp;", "&amp;AW$10&amp;", "&amp;AW$11&amp;"; ","")</f>
        <v/>
      </c>
      <c r="AX26" t="str">
        <f>IF(AND($V$9=1,(TRUNC(Courses!Y20)&lt;&gt;Courses!Y20)), "Row "&amp;Courses!$A20&amp;", "&amp;AX$9&amp;", "&amp;AX$10&amp;", "&amp;AX$11&amp;"; ","")</f>
        <v/>
      </c>
      <c r="AY26" t="str">
        <f>IF(AND($V$9=1,(TRUNC(Courses!Z20)&lt;&gt;Courses!Z20)), "Row "&amp;Courses!$A20&amp;", "&amp;AY$9&amp;", "&amp;AY$10&amp;", "&amp;AY$11&amp;"; ","")</f>
        <v/>
      </c>
      <c r="AZ26" s="2120" t="str">
        <f>IF(AND($V$9=1,(TRUNC(Courses!AA20)&lt;&gt;Courses!AA20)), "Row "&amp;Courses!$A20&amp;", "&amp;AZ$9&amp;", "&amp;AZ$10&amp;"; ","")</f>
        <v/>
      </c>
      <c r="BA26" s="17"/>
      <c r="BB26" s="118"/>
      <c r="BC26" s="3">
        <v>7</v>
      </c>
      <c r="BD26" s="1593" t="str">
        <f>IF(AND($W$9=1,Courses!M20&lt;0), "Row "&amp;Courses!$A20&amp;", "&amp;BD$9&amp;", "&amp;BD$10&amp;", "&amp;BD$11&amp;"; ","")</f>
        <v/>
      </c>
      <c r="BE26" t="str">
        <f>IF(AND($W$9=1,Courses!N20&lt;0), "Row "&amp;Courses!$A20&amp;", "&amp;BE$9&amp;", "&amp;BE$10&amp;", "&amp;BE$11&amp;"; ","")</f>
        <v/>
      </c>
      <c r="BF26" t="str">
        <f>IF(AND($W$9=1,Courses!O20&lt;0), "Row "&amp;Courses!$A20&amp;", "&amp;BF$9&amp;", "&amp;BF$10&amp;", "&amp;BF$11&amp;"; ","")</f>
        <v/>
      </c>
      <c r="BG26" t="str">
        <f>IF(AND($W$9=1,Courses!P20&lt;0), "Row "&amp;Courses!$A20&amp;", "&amp;BG$9&amp;", "&amp;BG$10&amp;", "&amp;BG$11&amp;"; ","")</f>
        <v/>
      </c>
      <c r="BH26" s="2120" t="str">
        <f>IF(AND($W$9=1,Courses!Q20&lt;0), "Row "&amp;Courses!$A20&amp;", "&amp;BH$9&amp;", "&amp;BH$10&amp;"; ","")</f>
        <v/>
      </c>
      <c r="BI26" s="1593" t="str">
        <f>IF(AND($W$9=1,Courses!R20&lt;0), "Row "&amp;Courses!$A20&amp;", "&amp;BI$9&amp;", "&amp;BI$10&amp;", "&amp;BI$11&amp;"; ","")</f>
        <v/>
      </c>
      <c r="BJ26" t="str">
        <f>IF(AND($W$9=1,Courses!S20&lt;0), "Row "&amp;Courses!$A20&amp;", "&amp;BJ$9&amp;", "&amp;BJ$10&amp;", "&amp;BJ$11&amp;"; ","")</f>
        <v/>
      </c>
      <c r="BK26" t="str">
        <f>IF(AND($W$9=1,Courses!T20&lt;0), "Row "&amp;Courses!$A20&amp;", "&amp;BK$9&amp;", "&amp;BK$10&amp;", "&amp;BK$11&amp;"; ","")</f>
        <v/>
      </c>
      <c r="BL26" t="str">
        <f>IF(AND($W$9=1,Courses!U20&lt;0), "Row "&amp;Courses!$A20&amp;", "&amp;BL$9&amp;", "&amp;BL$10&amp;", "&amp;BL$11&amp;"; ","")</f>
        <v/>
      </c>
      <c r="BM26" s="2120" t="str">
        <f>IF(AND($W$9=1,Courses!V20&lt;0), "Row "&amp;Courses!$A20&amp;", "&amp;BM$9&amp;", "&amp;BM$10&amp;"; ","")</f>
        <v/>
      </c>
      <c r="BN26" s="1593" t="str">
        <f>IF(AND($W$9=1,Courses!W20&lt;0), "Row "&amp;Courses!$A20&amp;", "&amp;BN$9&amp;", "&amp;BN$10&amp;", "&amp;BN$11&amp;"; ","")</f>
        <v/>
      </c>
      <c r="BO26" t="str">
        <f>IF(AND($W$9=1,Courses!X20&lt;0), "Row "&amp;Courses!$A20&amp;", "&amp;BO$9&amp;", "&amp;BO$10&amp;", "&amp;BO$11&amp;"; ","")</f>
        <v/>
      </c>
      <c r="BP26" t="str">
        <f>IF(AND($W$9=1,Courses!Y20&lt;0), "Row "&amp;Courses!$A20&amp;", "&amp;BP$9&amp;", "&amp;BP$10&amp;", "&amp;BP$11&amp;"; ","")</f>
        <v/>
      </c>
      <c r="BQ26" t="str">
        <f>IF(AND($W$9=1,Courses!Z20&lt;0), "Row "&amp;Courses!$A20&amp;", "&amp;BQ$9&amp;", "&amp;BQ$10&amp;", "&amp;BQ$11&amp;"; ","")</f>
        <v/>
      </c>
      <c r="BR26" s="2120" t="str">
        <f>IF(AND($W$9=1,Courses!AA20&lt;0), "Row "&amp;Courses!$A20&amp;", "&amp;BR$9&amp;", "&amp;BR$10&amp;"; ","")</f>
        <v/>
      </c>
      <c r="BT26" s="186">
        <v>7</v>
      </c>
      <c r="BU26" s="40">
        <f>IF(AND($X$9=1,Courses!B20="",Courses!F20="",Courses!H20="",Courses!J20="",Courses!K20="",Courses!L20="",Courses!M20=0,Courses!N20=0,Courses!O20=0,Courses!P20=0,Courses!Q20=0,Courses!R20=0,Courses!S20=0,Courses!T20=0,Courses!U20=0,Courses!V20=0,Courses!W20=0,Courses!X20=0,Courses!Y20=0,Courses!Z20=0,Courses!AA20=0),0,1)</f>
        <v>0</v>
      </c>
      <c r="BV26" s="40">
        <f>IF(AND(BU26=0,SUM(BU27:$BU$219)&gt;0),1,0)</f>
        <v>0</v>
      </c>
      <c r="BW26" s="1595" t="str">
        <f>IF(BV26=1,"Row "&amp;Courses!A20&amp;"; ","")</f>
        <v/>
      </c>
      <c r="BX26" s="17"/>
      <c r="BZ26" s="1592" t="str">
        <f>IF(AND($Y$9=1,Courses!B20&lt;&gt;"",SUM(Courses!M20:AA20)=0),"Row "&amp;Courses!A20&amp;"; ","")</f>
        <v/>
      </c>
      <c r="CA26" s="17"/>
      <c r="CC26" s="1592" t="str">
        <f>IF(AND($Z$9=1,Courses!AD20=1,(LEN(Courses!AB20)&gt;200)),"Row "&amp;Courses!A20&amp;"; ","")</f>
        <v/>
      </c>
      <c r="CE26" s="131"/>
      <c r="CG26" s="1593" t="str">
        <f>IF(AND($AD$9=1,Courses!E20&lt;&gt;"",Courses!F20&lt;&gt;"",Courses!F20=0,SUM(Courses!H20,Courses!J20)=1),"Row "&amp;Courses!A20&amp;", "&amp;Courses!$F$10&amp;"; ","")</f>
        <v/>
      </c>
      <c r="CH26" t="str">
        <f>IF(AND($AD$9=1,Courses!G20&lt;&gt;"",Courses!H20&lt;&gt;"",Courses!H20=0,SUM(Courses!J20,Courses!F20)=1),"Row "&amp;Courses!A20&amp;", "&amp;Courses!$H$10&amp;"; ","")</f>
        <v/>
      </c>
      <c r="CI26" s="183" t="str">
        <f>IF(AND($AD$9=1,Courses!I20&lt;&gt;"",Courses!J20&lt;&gt;"",Courses!J20=0, SUM(Courses!H20,Courses!F20)=1),"Row "&amp;Courses!A20&amp;", "&amp;Courses!$J$10&amp;"; ","")</f>
        <v/>
      </c>
      <c r="CJ26" s="180"/>
      <c r="CK26" s="181"/>
      <c r="CL26" s="1592" t="str">
        <f>IF(AND(Courses!B20&lt;&gt;"",ISNA(VLOOKUP(Courses!C20,CourseInfo,2,FALSE))=FALSE,COUNTIF(Dummy,Courses!C20)&lt;&gt;1),VLOOKUP(Courses!C20,CourseInfo,6,FALSE),"")</f>
        <v/>
      </c>
      <c r="CM26" s="1592" t="str">
        <f>IF(AND($AE$9=1,Courses!B20&lt;&gt;"",'Courses Valid'!AG26="",COUNTIF(Dummy,Courses!C20)&lt;&gt;1),IF(Courses!K20&lt;&gt;'Courses Valid'!CL26,"Row "&amp;Courses!A20&amp;", Level on LARS is "&amp;'Courses Valid'!CL26&amp;"; ",""),"")</f>
        <v/>
      </c>
      <c r="CN26" s="131"/>
    </row>
    <row r="27" spans="3:92" x14ac:dyDescent="0.35">
      <c r="C27" s="1591">
        <f t="shared" si="2"/>
        <v>0</v>
      </c>
      <c r="D27" s="41"/>
      <c r="E27" s="41"/>
      <c r="F27" s="118"/>
      <c r="G27" s="1591" t="str">
        <f>IF(SUMPRODUCT(--(CourseAims=Courses!$C21))=1,"",IF(AND($N$9=1,Courses!$C21&lt;&gt;""),"Row "&amp;Courses!A21&amp;" (invalid); ",""))</f>
        <v/>
      </c>
      <c r="H27" s="1592" t="str">
        <f>IF(AND($O$9=1,Courses!B21="",OR(Courses!F21&lt;&gt;"",Courses!H21&lt;&gt;"",Courses!J21&lt;&gt;"",Courses!K21&lt;&gt;"",Courses!L21&lt;&gt;"",Courses!M21&lt;&gt;0,Courses!N21&lt;&gt;0,Courses!O21&lt;&gt;0,Courses!P21&lt;&gt;0,Courses!Q21&lt;&gt;0,Courses!R21&lt;&gt;0,Courses!S21&lt;&gt;0,Courses!T21&lt;&gt;0,Courses!U21&lt;&gt;0,Courses!V21&lt;&gt;0,Courses!W21&lt;&gt;0,Courses!X21&lt;&gt;0,Courses!Y21&lt;&gt;0,Courses!Z21&lt;&gt;0,Courses!AA21&lt;&gt;0)),"Row "&amp;Courses!A21&amp;" (none); ","")</f>
        <v/>
      </c>
      <c r="I27" s="17"/>
      <c r="K27" s="1592" t="str">
        <f>Courses!B21&amp;Courses!K21&amp;Courses!L21</f>
        <v/>
      </c>
      <c r="L27" s="1592" t="str">
        <f>IF(AND($P$9=1,Courses!$B21&lt;&gt;"",COUNTIF(Dummy,Courses!$C21)&lt;&gt;1),IF(SUMPRODUCT(--($K$20:$K$219=$K27))&gt;1,"Row "&amp;Courses!$A21&amp;"; ",""),"")</f>
        <v/>
      </c>
      <c r="N27" s="118"/>
      <c r="O27" s="1593" t="str">
        <f>IF(AND($Q$9=1,Courses!E21&lt;&gt;"",Courses!F21=""),"Row "&amp;Courses!A21&amp;", "&amp;Courses!$E$10&amp;"; ","")</f>
        <v/>
      </c>
      <c r="P27" t="str">
        <f>IF(AND($Q$9=1,Courses!G21&lt;&gt;"",Courses!H21=""),"Row "&amp;Courses!A21&amp;", "&amp;Courses!$G$10&amp;"; ","")</f>
        <v/>
      </c>
      <c r="Q27" s="183" t="str">
        <f>IF(AND($Q$9=1,Courses!I21&lt;&gt;"",Courses!J21=""),"Row "&amp;Courses!A21&amp;", "&amp;Courses!$I$10&amp;"; ","")</f>
        <v/>
      </c>
      <c r="S27" s="17"/>
      <c r="T27" s="118"/>
      <c r="U27" s="1594" t="str">
        <f>IF(AND($R$9=1,Courses!B21&lt;&gt;"",Courses!E21&lt;&gt;"",Courses!G21="",Courses!I21="",Courses!F21&lt;&gt;1),"Row "&amp;Courses!A21&amp;"; ","")</f>
        <v/>
      </c>
      <c r="V27" t="str">
        <f>IF(AND($R$9=1,Courses!B21&lt;&gt;"",Courses!I21="",Courses!F21&lt;&gt;"",Courses!G21&lt;&gt;"",Courses!H21&lt;&gt;""),IF(OR((Courses!F21+Courses!H21)&lt;&gt;1),"Row "&amp;Courses!A21&amp;"; ",""),"")</f>
        <v/>
      </c>
      <c r="W27" s="183" t="str">
        <f>IF(AND($R$9=1,Courses!B21&lt;&gt;"",Courses!I21&lt;&gt;"",Courses!J21&lt;&gt;"",Courses!H21&lt;&gt;"",Courses!G21&lt;&gt;"",Courses!F21&lt;&gt;""),IF(OR((Courses!F21+Courses!H21+Courses!J21)&lt;&gt;1),"Row "&amp;Courses!A21&amp;"; ",""),"")</f>
        <v/>
      </c>
      <c r="Y27" s="1592" t="str">
        <f>IF(AND($R$9=1,Courses!E21&lt;&gt;"",U27="",V27="",W27="",SUM(Courses!F21,Courses!H21,Courses!J21)&lt;&gt;1),"Row "&amp;Courses!A21&amp;"; ","")</f>
        <v/>
      </c>
      <c r="Z27" s="17"/>
      <c r="AB27" s="1593" t="str">
        <f>IF(AND($S$9=1,Courses!B21&lt;&gt;"",Courses!E21&lt;&gt;"",Courses!F21&lt;&gt;""),IF((TRUNC(Courses!F21*100)&lt;&gt;Courses!F21*100),"Row "&amp;Courses!A21&amp;", "&amp;Courses!$F$10&amp;"; ",""),"")</f>
        <v/>
      </c>
      <c r="AC27" t="str">
        <f>IF(AND($S$9=1,Courses!B21&lt;&gt;"",Courses!G21&lt;&gt;"",Courses!H21&lt;&gt;""),IF((TRUNC(Courses!H21*100)&lt;&gt;Courses!H21*100),"Row "&amp;Courses!A21&amp;", "&amp;Courses!$H$10&amp;"; ",""),"")</f>
        <v/>
      </c>
      <c r="AD27" s="183" t="str">
        <f>IF(AND($S$9=1,Courses!B21&lt;&gt;"",Courses!I21&lt;&gt;"",Courses!J21&lt;&gt;""),IF((TRUNC(Courses!J21*100)&lt;&gt;Courses!J21*100),"Row "&amp;Courses!A21&amp;", "&amp;Courses!$J$10&amp;"; ",""),"")</f>
        <v/>
      </c>
      <c r="AF27" s="118"/>
      <c r="AG27" s="1592" t="str">
        <f>IF(AND($T$9=1,G27="",Courses!B21&lt;&gt;"",Courses!K21&lt;&gt;$B$9,Courses!K21&lt;&gt;$B$10,Courses!K21&lt;&gt;$B$11,Courses!K21&lt;&gt;$B$12,Courses!K21&lt;&gt;$B$13,Courses!K21&lt;&gt;$B$14),"Row "&amp;Courses!A21&amp;"; ","")</f>
        <v/>
      </c>
      <c r="AH27" s="1592" t="str">
        <f>IF(AND($U$9=1,G27="",Courses!B21&lt;&gt;"",Courses!L21&lt;&gt;"Standard",Courses!L21&lt;&gt;"Long"),"Row "&amp;Courses!A21&amp;"; ","")</f>
        <v/>
      </c>
      <c r="AJ27" s="118"/>
      <c r="AK27" s="3">
        <v>8</v>
      </c>
      <c r="AL27" s="1593" t="str">
        <f>IF(AND($V$9=1,(TRUNC(Courses!M21)&lt;&gt;Courses!M21)), "Row "&amp;Courses!$A21&amp;", "&amp;AL$9&amp;", "&amp;AL$10&amp;", "&amp;AL$11&amp;"; ","")</f>
        <v/>
      </c>
      <c r="AM27" t="str">
        <f>IF(AND($V$9=1,(TRUNC(Courses!N21)&lt;&gt;Courses!N21)), "Row "&amp;Courses!$A21&amp;", "&amp;AM$9&amp;", "&amp;AM$10&amp;", "&amp;AM$11&amp;"; ","")</f>
        <v/>
      </c>
      <c r="AN27" t="str">
        <f>IF(AND($V$9=1,(TRUNC(Courses!O21)&lt;&gt;Courses!O21)), "Row "&amp;Courses!$A21&amp;", "&amp;AN$9&amp;", "&amp;AN$10&amp;", "&amp;AN$11&amp;"; ","")</f>
        <v/>
      </c>
      <c r="AO27" t="str">
        <f>IF(AND($V$9=1,(TRUNC(Courses!P21)&lt;&gt;Courses!P21)), "Row "&amp;Courses!$A21&amp;", "&amp;AO$9&amp;", "&amp;AO$10&amp;", "&amp;AO$11&amp;"; ","")</f>
        <v/>
      </c>
      <c r="AP27" s="2120" t="str">
        <f>IF(AND($V$9=1,(TRUNC(Courses!Q21)&lt;&gt;Courses!Q21)), "Row "&amp;Courses!$A21&amp;", "&amp;AP$9&amp;", "&amp;AP$10&amp;"; ","")</f>
        <v/>
      </c>
      <c r="AQ27" s="1593" t="str">
        <f>IF(AND($V$9=1,(TRUNC(Courses!R21)&lt;&gt;Courses!R21)), "Row "&amp;Courses!$A21&amp;", "&amp;AQ$9&amp;", "&amp;AQ$10&amp;", "&amp;AQ$11&amp;"; ","")</f>
        <v/>
      </c>
      <c r="AR27" t="str">
        <f>IF(AND($V$9=1,(TRUNC(Courses!S21)&lt;&gt;Courses!S21)), "Row "&amp;Courses!$A21&amp;", "&amp;AR$9&amp;", "&amp;AR$10&amp;", "&amp;AR$11&amp;"; ","")</f>
        <v/>
      </c>
      <c r="AS27" t="str">
        <f>IF(AND($V$9=1,(TRUNC(Courses!T21)&lt;&gt;Courses!T21)), "Row "&amp;Courses!$A21&amp;", "&amp;AS$9&amp;", "&amp;AS$10&amp;", "&amp;AS$11&amp;"; ","")</f>
        <v/>
      </c>
      <c r="AT27" t="str">
        <f>IF(AND($V$9=1,(TRUNC(Courses!U21)&lt;&gt;Courses!U21)), "Row "&amp;Courses!$A21&amp;", "&amp;AT$9&amp;", "&amp;AT$10&amp;", "&amp;AT$11&amp;"; ","")</f>
        <v/>
      </c>
      <c r="AU27" s="2120" t="str">
        <f>IF(AND($V$9=1,(TRUNC(Courses!V21)&lt;&gt;Courses!V21)), "Row "&amp;Courses!$A21&amp;", "&amp;AU$9&amp;", "&amp;AU$10&amp;"; ","")</f>
        <v/>
      </c>
      <c r="AV27" s="1593" t="str">
        <f>IF(AND($V$9=1,(TRUNC(Courses!W21)&lt;&gt;Courses!W21)), "Row "&amp;Courses!$A21&amp;", "&amp;AV$9&amp;", "&amp;AV$10&amp;", "&amp;AV$11&amp;"; ","")</f>
        <v/>
      </c>
      <c r="AW27" t="str">
        <f>IF(AND($V$9=1,(TRUNC(Courses!X21)&lt;&gt;Courses!X21)), "Row "&amp;Courses!$A21&amp;", "&amp;AW$9&amp;", "&amp;AW$10&amp;", "&amp;AW$11&amp;"; ","")</f>
        <v/>
      </c>
      <c r="AX27" t="str">
        <f>IF(AND($V$9=1,(TRUNC(Courses!Y21)&lt;&gt;Courses!Y21)), "Row "&amp;Courses!$A21&amp;", "&amp;AX$9&amp;", "&amp;AX$10&amp;", "&amp;AX$11&amp;"; ","")</f>
        <v/>
      </c>
      <c r="AY27" t="str">
        <f>IF(AND($V$9=1,(TRUNC(Courses!Z21)&lt;&gt;Courses!Z21)), "Row "&amp;Courses!$A21&amp;", "&amp;AY$9&amp;", "&amp;AY$10&amp;", "&amp;AY$11&amp;"; ","")</f>
        <v/>
      </c>
      <c r="AZ27" s="2120" t="str">
        <f>IF(AND($V$9=1,(TRUNC(Courses!AA21)&lt;&gt;Courses!AA21)), "Row "&amp;Courses!$A21&amp;", "&amp;AZ$9&amp;", "&amp;AZ$10&amp;"; ","")</f>
        <v/>
      </c>
      <c r="BA27" s="17"/>
      <c r="BB27" s="118"/>
      <c r="BC27" s="3">
        <v>8</v>
      </c>
      <c r="BD27" s="1593" t="str">
        <f>IF(AND($W$9=1,Courses!M21&lt;0), "Row "&amp;Courses!$A21&amp;", "&amp;BD$9&amp;", "&amp;BD$10&amp;", "&amp;BD$11&amp;"; ","")</f>
        <v/>
      </c>
      <c r="BE27" t="str">
        <f>IF(AND($W$9=1,Courses!N21&lt;0), "Row "&amp;Courses!$A21&amp;", "&amp;BE$9&amp;", "&amp;BE$10&amp;", "&amp;BE$11&amp;"; ","")</f>
        <v/>
      </c>
      <c r="BF27" t="str">
        <f>IF(AND($W$9=1,Courses!O21&lt;0), "Row "&amp;Courses!$A21&amp;", "&amp;BF$9&amp;", "&amp;BF$10&amp;", "&amp;BF$11&amp;"; ","")</f>
        <v/>
      </c>
      <c r="BG27" t="str">
        <f>IF(AND($W$9=1,Courses!P21&lt;0), "Row "&amp;Courses!$A21&amp;", "&amp;BG$9&amp;", "&amp;BG$10&amp;", "&amp;BG$11&amp;"; ","")</f>
        <v/>
      </c>
      <c r="BH27" s="2120" t="str">
        <f>IF(AND($W$9=1,Courses!Q21&lt;0), "Row "&amp;Courses!$A21&amp;", "&amp;BH$9&amp;", "&amp;BH$10&amp;"; ","")</f>
        <v/>
      </c>
      <c r="BI27" s="1593" t="str">
        <f>IF(AND($W$9=1,Courses!R21&lt;0), "Row "&amp;Courses!$A21&amp;", "&amp;BI$9&amp;", "&amp;BI$10&amp;", "&amp;BI$11&amp;"; ","")</f>
        <v/>
      </c>
      <c r="BJ27" t="str">
        <f>IF(AND($W$9=1,Courses!S21&lt;0), "Row "&amp;Courses!$A21&amp;", "&amp;BJ$9&amp;", "&amp;BJ$10&amp;", "&amp;BJ$11&amp;"; ","")</f>
        <v/>
      </c>
      <c r="BK27" t="str">
        <f>IF(AND($W$9=1,Courses!T21&lt;0), "Row "&amp;Courses!$A21&amp;", "&amp;BK$9&amp;", "&amp;BK$10&amp;", "&amp;BK$11&amp;"; ","")</f>
        <v/>
      </c>
      <c r="BL27" t="str">
        <f>IF(AND($W$9=1,Courses!U21&lt;0), "Row "&amp;Courses!$A21&amp;", "&amp;BL$9&amp;", "&amp;BL$10&amp;", "&amp;BL$11&amp;"; ","")</f>
        <v/>
      </c>
      <c r="BM27" s="2120" t="str">
        <f>IF(AND($W$9=1,Courses!V21&lt;0), "Row "&amp;Courses!$A21&amp;", "&amp;BM$9&amp;", "&amp;BM$10&amp;"; ","")</f>
        <v/>
      </c>
      <c r="BN27" s="1593" t="str">
        <f>IF(AND($W$9=1,Courses!W21&lt;0), "Row "&amp;Courses!$A21&amp;", "&amp;BN$9&amp;", "&amp;BN$10&amp;", "&amp;BN$11&amp;"; ","")</f>
        <v/>
      </c>
      <c r="BO27" t="str">
        <f>IF(AND($W$9=1,Courses!X21&lt;0), "Row "&amp;Courses!$A21&amp;", "&amp;BO$9&amp;", "&amp;BO$10&amp;", "&amp;BO$11&amp;"; ","")</f>
        <v/>
      </c>
      <c r="BP27" t="str">
        <f>IF(AND($W$9=1,Courses!Y21&lt;0), "Row "&amp;Courses!$A21&amp;", "&amp;BP$9&amp;", "&amp;BP$10&amp;", "&amp;BP$11&amp;"; ","")</f>
        <v/>
      </c>
      <c r="BQ27" t="str">
        <f>IF(AND($W$9=1,Courses!Z21&lt;0), "Row "&amp;Courses!$A21&amp;", "&amp;BQ$9&amp;", "&amp;BQ$10&amp;", "&amp;BQ$11&amp;"; ","")</f>
        <v/>
      </c>
      <c r="BR27" s="2120" t="str">
        <f>IF(AND($W$9=1,Courses!AA21&lt;0), "Row "&amp;Courses!$A21&amp;", "&amp;BR$9&amp;", "&amp;BR$10&amp;"; ","")</f>
        <v/>
      </c>
      <c r="BT27" s="186">
        <v>8</v>
      </c>
      <c r="BU27" s="40">
        <f>IF(AND($X$9=1,Courses!B21="",Courses!F21="",Courses!H21="",Courses!J21="",Courses!K21="",Courses!L21="",Courses!M21=0,Courses!N21=0,Courses!O21=0,Courses!P21=0,Courses!Q21=0,Courses!R21=0,Courses!S21=0,Courses!T21=0,Courses!U21=0,Courses!V21=0,Courses!W21=0,Courses!X21=0,Courses!Y21=0,Courses!Z21=0,Courses!AA21=0),0,1)</f>
        <v>0</v>
      </c>
      <c r="BV27" s="40">
        <f>IF(AND(BU27=0,SUM(BU28:$BU$219)&gt;0),1,0)</f>
        <v>0</v>
      </c>
      <c r="BW27" s="1595" t="str">
        <f>IF(BV27=1,"Row "&amp;Courses!A21&amp;"; ","")</f>
        <v/>
      </c>
      <c r="BX27" s="17"/>
      <c r="BZ27" s="1592" t="str">
        <f>IF(AND($Y$9=1,Courses!B21&lt;&gt;"",SUM(Courses!M21:AA21)=0),"Row "&amp;Courses!A21&amp;"; ","")</f>
        <v/>
      </c>
      <c r="CA27" s="17"/>
      <c r="CC27" s="1592" t="str">
        <f>IF(AND($Z$9=1,Courses!AD21=1,(LEN(Courses!AB21)&gt;200)),"Row "&amp;Courses!A21&amp;"; ","")</f>
        <v/>
      </c>
      <c r="CE27" s="131"/>
      <c r="CG27" s="1593" t="str">
        <f>IF(AND($AD$9=1,Courses!E21&lt;&gt;"",Courses!F21&lt;&gt;"",Courses!F21=0,SUM(Courses!H21,Courses!J21)=1),"Row "&amp;Courses!A21&amp;", "&amp;Courses!$F$10&amp;"; ","")</f>
        <v/>
      </c>
      <c r="CH27" t="str">
        <f>IF(AND($AD$9=1,Courses!G21&lt;&gt;"",Courses!H21&lt;&gt;"",Courses!H21=0,SUM(Courses!J21,Courses!F21)=1),"Row "&amp;Courses!A21&amp;", "&amp;Courses!$H$10&amp;"; ","")</f>
        <v/>
      </c>
      <c r="CI27" s="183" t="str">
        <f>IF(AND($AD$9=1,Courses!I21&lt;&gt;"",Courses!J21&lt;&gt;"",Courses!J21=0, SUM(Courses!H21,Courses!F21)=1),"Row "&amp;Courses!A21&amp;", "&amp;Courses!$J$10&amp;"; ","")</f>
        <v/>
      </c>
      <c r="CJ27" s="180"/>
      <c r="CK27" s="181"/>
      <c r="CL27" s="1592" t="str">
        <f>IF(AND(Courses!B21&lt;&gt;"",ISNA(VLOOKUP(Courses!C21,CourseInfo,2,FALSE))=FALSE,COUNTIF(Dummy,Courses!C21)&lt;&gt;1),VLOOKUP(Courses!C21,CourseInfo,6,FALSE),"")</f>
        <v/>
      </c>
      <c r="CM27" s="1592" t="str">
        <f>IF(AND($AE$9=1,Courses!B21&lt;&gt;"",'Courses Valid'!AG27="",COUNTIF(Dummy,Courses!C21)&lt;&gt;1),IF(Courses!K21&lt;&gt;'Courses Valid'!CL27,"Row "&amp;Courses!A21&amp;", Level on LARS is "&amp;'Courses Valid'!CL27&amp;"; ",""),"")</f>
        <v/>
      </c>
      <c r="CN27" s="131"/>
    </row>
    <row r="28" spans="3:92" x14ac:dyDescent="0.35">
      <c r="C28" s="1591">
        <f t="shared" si="2"/>
        <v>0</v>
      </c>
      <c r="D28" s="41"/>
      <c r="E28" s="41"/>
      <c r="F28" s="118"/>
      <c r="G28" s="1591" t="str">
        <f>IF(SUMPRODUCT(--(CourseAims=Courses!$C22))=1,"",IF(AND($N$9=1,Courses!$C22&lt;&gt;""),"Row "&amp;Courses!A22&amp;" (invalid); ",""))</f>
        <v/>
      </c>
      <c r="H28" s="1592" t="str">
        <f>IF(AND($O$9=1,Courses!B22="",OR(Courses!F22&lt;&gt;"",Courses!H22&lt;&gt;"",Courses!J22&lt;&gt;"",Courses!K22&lt;&gt;"",Courses!L22&lt;&gt;"",Courses!M22&lt;&gt;0,Courses!N22&lt;&gt;0,Courses!O22&lt;&gt;0,Courses!P22&lt;&gt;0,Courses!Q22&lt;&gt;0,Courses!R22&lt;&gt;0,Courses!S22&lt;&gt;0,Courses!T22&lt;&gt;0,Courses!U22&lt;&gt;0,Courses!V22&lt;&gt;0,Courses!W22&lt;&gt;0,Courses!X22&lt;&gt;0,Courses!Y22&lt;&gt;0,Courses!Z22&lt;&gt;0,Courses!AA22&lt;&gt;0)),"Row "&amp;Courses!A22&amp;" (none); ","")</f>
        <v/>
      </c>
      <c r="I28" s="17"/>
      <c r="K28" s="1592" t="str">
        <f>Courses!B22&amp;Courses!K22&amp;Courses!L22</f>
        <v/>
      </c>
      <c r="L28" s="1592" t="str">
        <f>IF(AND($P$9=1,Courses!$B22&lt;&gt;"",COUNTIF(Dummy,Courses!$C22)&lt;&gt;1),IF(SUMPRODUCT(--($K$20:$K$219=$K28))&gt;1,"Row "&amp;Courses!$A22&amp;"; ",""),"")</f>
        <v/>
      </c>
      <c r="N28" s="118"/>
      <c r="O28" s="1593" t="str">
        <f>IF(AND($Q$9=1,Courses!E22&lt;&gt;"",Courses!F22=""),"Row "&amp;Courses!A22&amp;", "&amp;Courses!$E$10&amp;"; ","")</f>
        <v/>
      </c>
      <c r="P28" t="str">
        <f>IF(AND($Q$9=1,Courses!G22&lt;&gt;"",Courses!H22=""),"Row "&amp;Courses!A22&amp;", "&amp;Courses!$G$10&amp;"; ","")</f>
        <v/>
      </c>
      <c r="Q28" s="183" t="str">
        <f>IF(AND($Q$9=1,Courses!I22&lt;&gt;"",Courses!J22=""),"Row "&amp;Courses!A22&amp;", "&amp;Courses!$I$10&amp;"; ","")</f>
        <v/>
      </c>
      <c r="S28" s="17"/>
      <c r="T28" s="118"/>
      <c r="U28" s="1594" t="str">
        <f>IF(AND($R$9=1,Courses!B22&lt;&gt;"",Courses!E22&lt;&gt;"",Courses!G22="",Courses!I22="",Courses!F22&lt;&gt;1),"Row "&amp;Courses!A22&amp;"; ","")</f>
        <v/>
      </c>
      <c r="V28" t="str">
        <f>IF(AND($R$9=1,Courses!B22&lt;&gt;"",Courses!I22="",Courses!F22&lt;&gt;"",Courses!G22&lt;&gt;"",Courses!H22&lt;&gt;""),IF(OR((Courses!F22+Courses!H22)&lt;&gt;1),"Row "&amp;Courses!A22&amp;"; ",""),"")</f>
        <v/>
      </c>
      <c r="W28" s="183" t="str">
        <f>IF(AND($R$9=1,Courses!B22&lt;&gt;"",Courses!I22&lt;&gt;"",Courses!J22&lt;&gt;"",Courses!H22&lt;&gt;"",Courses!G22&lt;&gt;"",Courses!F22&lt;&gt;""),IF(OR((Courses!F22+Courses!H22+Courses!J22)&lt;&gt;1),"Row "&amp;Courses!A22&amp;"; ",""),"")</f>
        <v/>
      </c>
      <c r="Y28" s="1592" t="str">
        <f>IF(AND($R$9=1,Courses!E22&lt;&gt;"",U28="",V28="",W28="",SUM(Courses!F22,Courses!H22,Courses!J22)&lt;&gt;1),"Row "&amp;Courses!A22&amp;"; ","")</f>
        <v/>
      </c>
      <c r="Z28" s="17"/>
      <c r="AB28" s="1593" t="str">
        <f>IF(AND($S$9=1,Courses!B22&lt;&gt;"",Courses!E22&lt;&gt;"",Courses!F22&lt;&gt;""),IF((TRUNC(Courses!F22*100)&lt;&gt;Courses!F22*100),"Row "&amp;Courses!A22&amp;", "&amp;Courses!$F$10&amp;"; ",""),"")</f>
        <v/>
      </c>
      <c r="AC28" t="str">
        <f>IF(AND($S$9=1,Courses!B22&lt;&gt;"",Courses!G22&lt;&gt;"",Courses!H22&lt;&gt;""),IF((TRUNC(Courses!H22*100)&lt;&gt;Courses!H22*100),"Row "&amp;Courses!A22&amp;", "&amp;Courses!$H$10&amp;"; ",""),"")</f>
        <v/>
      </c>
      <c r="AD28" s="183" t="str">
        <f>IF(AND($S$9=1,Courses!B22&lt;&gt;"",Courses!I22&lt;&gt;"",Courses!J22&lt;&gt;""),IF((TRUNC(Courses!J22*100)&lt;&gt;Courses!J22*100),"Row "&amp;Courses!A22&amp;", "&amp;Courses!$J$10&amp;"; ",""),"")</f>
        <v/>
      </c>
      <c r="AF28" s="118"/>
      <c r="AG28" s="1592" t="str">
        <f>IF(AND($T$9=1,G28="",Courses!B22&lt;&gt;"",Courses!K22&lt;&gt;$B$9,Courses!K22&lt;&gt;$B$10,Courses!K22&lt;&gt;$B$11,Courses!K22&lt;&gt;$B$12,Courses!K22&lt;&gt;$B$13,Courses!K22&lt;&gt;$B$14),"Row "&amp;Courses!A22&amp;"; ","")</f>
        <v/>
      </c>
      <c r="AH28" s="1592" t="str">
        <f>IF(AND($U$9=1,G28="",Courses!B22&lt;&gt;"",Courses!L22&lt;&gt;"Standard",Courses!L22&lt;&gt;"Long"),"Row "&amp;Courses!A22&amp;"; ","")</f>
        <v/>
      </c>
      <c r="AJ28" s="118"/>
      <c r="AK28" s="3">
        <v>9</v>
      </c>
      <c r="AL28" s="1593" t="str">
        <f>IF(AND($V$9=1,(TRUNC(Courses!M22)&lt;&gt;Courses!M22)), "Row "&amp;Courses!$A22&amp;", "&amp;AL$9&amp;", "&amp;AL$10&amp;", "&amp;AL$11&amp;"; ","")</f>
        <v/>
      </c>
      <c r="AM28" t="str">
        <f>IF(AND($V$9=1,(TRUNC(Courses!N22)&lt;&gt;Courses!N22)), "Row "&amp;Courses!$A22&amp;", "&amp;AM$9&amp;", "&amp;AM$10&amp;", "&amp;AM$11&amp;"; ","")</f>
        <v/>
      </c>
      <c r="AN28" t="str">
        <f>IF(AND($V$9=1,(TRUNC(Courses!O22)&lt;&gt;Courses!O22)), "Row "&amp;Courses!$A22&amp;", "&amp;AN$9&amp;", "&amp;AN$10&amp;", "&amp;AN$11&amp;"; ","")</f>
        <v/>
      </c>
      <c r="AO28" t="str">
        <f>IF(AND($V$9=1,(TRUNC(Courses!P22)&lt;&gt;Courses!P22)), "Row "&amp;Courses!$A22&amp;", "&amp;AO$9&amp;", "&amp;AO$10&amp;", "&amp;AO$11&amp;"; ","")</f>
        <v/>
      </c>
      <c r="AP28" s="2120" t="str">
        <f>IF(AND($V$9=1,(TRUNC(Courses!Q22)&lt;&gt;Courses!Q22)), "Row "&amp;Courses!$A22&amp;", "&amp;AP$9&amp;", "&amp;AP$10&amp;"; ","")</f>
        <v/>
      </c>
      <c r="AQ28" s="1593" t="str">
        <f>IF(AND($V$9=1,(TRUNC(Courses!R22)&lt;&gt;Courses!R22)), "Row "&amp;Courses!$A22&amp;", "&amp;AQ$9&amp;", "&amp;AQ$10&amp;", "&amp;AQ$11&amp;"; ","")</f>
        <v/>
      </c>
      <c r="AR28" t="str">
        <f>IF(AND($V$9=1,(TRUNC(Courses!S22)&lt;&gt;Courses!S22)), "Row "&amp;Courses!$A22&amp;", "&amp;AR$9&amp;", "&amp;AR$10&amp;", "&amp;AR$11&amp;"; ","")</f>
        <v/>
      </c>
      <c r="AS28" t="str">
        <f>IF(AND($V$9=1,(TRUNC(Courses!T22)&lt;&gt;Courses!T22)), "Row "&amp;Courses!$A22&amp;", "&amp;AS$9&amp;", "&amp;AS$10&amp;", "&amp;AS$11&amp;"; ","")</f>
        <v/>
      </c>
      <c r="AT28" t="str">
        <f>IF(AND($V$9=1,(TRUNC(Courses!U22)&lt;&gt;Courses!U22)), "Row "&amp;Courses!$A22&amp;", "&amp;AT$9&amp;", "&amp;AT$10&amp;", "&amp;AT$11&amp;"; ","")</f>
        <v/>
      </c>
      <c r="AU28" s="2120" t="str">
        <f>IF(AND($V$9=1,(TRUNC(Courses!V22)&lt;&gt;Courses!V22)), "Row "&amp;Courses!$A22&amp;", "&amp;AU$9&amp;", "&amp;AU$10&amp;"; ","")</f>
        <v/>
      </c>
      <c r="AV28" s="1593" t="str">
        <f>IF(AND($V$9=1,(TRUNC(Courses!W22)&lt;&gt;Courses!W22)), "Row "&amp;Courses!$A22&amp;", "&amp;AV$9&amp;", "&amp;AV$10&amp;", "&amp;AV$11&amp;"; ","")</f>
        <v/>
      </c>
      <c r="AW28" t="str">
        <f>IF(AND($V$9=1,(TRUNC(Courses!X22)&lt;&gt;Courses!X22)), "Row "&amp;Courses!$A22&amp;", "&amp;AW$9&amp;", "&amp;AW$10&amp;", "&amp;AW$11&amp;"; ","")</f>
        <v/>
      </c>
      <c r="AX28" t="str">
        <f>IF(AND($V$9=1,(TRUNC(Courses!Y22)&lt;&gt;Courses!Y22)), "Row "&amp;Courses!$A22&amp;", "&amp;AX$9&amp;", "&amp;AX$10&amp;", "&amp;AX$11&amp;"; ","")</f>
        <v/>
      </c>
      <c r="AY28" t="str">
        <f>IF(AND($V$9=1,(TRUNC(Courses!Z22)&lt;&gt;Courses!Z22)), "Row "&amp;Courses!$A22&amp;", "&amp;AY$9&amp;", "&amp;AY$10&amp;", "&amp;AY$11&amp;"; ","")</f>
        <v/>
      </c>
      <c r="AZ28" s="2120" t="str">
        <f>IF(AND($V$9=1,(TRUNC(Courses!AA22)&lt;&gt;Courses!AA22)), "Row "&amp;Courses!$A22&amp;", "&amp;AZ$9&amp;", "&amp;AZ$10&amp;"; ","")</f>
        <v/>
      </c>
      <c r="BA28" s="17"/>
      <c r="BB28" s="118"/>
      <c r="BC28" s="3">
        <v>9</v>
      </c>
      <c r="BD28" s="1593" t="str">
        <f>IF(AND($W$9=1,Courses!M22&lt;0), "Row "&amp;Courses!$A22&amp;", "&amp;BD$9&amp;", "&amp;BD$10&amp;", "&amp;BD$11&amp;"; ","")</f>
        <v/>
      </c>
      <c r="BE28" t="str">
        <f>IF(AND($W$9=1,Courses!N22&lt;0), "Row "&amp;Courses!$A22&amp;", "&amp;BE$9&amp;", "&amp;BE$10&amp;", "&amp;BE$11&amp;"; ","")</f>
        <v/>
      </c>
      <c r="BF28" t="str">
        <f>IF(AND($W$9=1,Courses!O22&lt;0), "Row "&amp;Courses!$A22&amp;", "&amp;BF$9&amp;", "&amp;BF$10&amp;", "&amp;BF$11&amp;"; ","")</f>
        <v/>
      </c>
      <c r="BG28" t="str">
        <f>IF(AND($W$9=1,Courses!P22&lt;0), "Row "&amp;Courses!$A22&amp;", "&amp;BG$9&amp;", "&amp;BG$10&amp;", "&amp;BG$11&amp;"; ","")</f>
        <v/>
      </c>
      <c r="BH28" s="2120" t="str">
        <f>IF(AND($W$9=1,Courses!Q22&lt;0), "Row "&amp;Courses!$A22&amp;", "&amp;BH$9&amp;", "&amp;BH$10&amp;"; ","")</f>
        <v/>
      </c>
      <c r="BI28" s="1593" t="str">
        <f>IF(AND($W$9=1,Courses!R22&lt;0), "Row "&amp;Courses!$A22&amp;", "&amp;BI$9&amp;", "&amp;BI$10&amp;", "&amp;BI$11&amp;"; ","")</f>
        <v/>
      </c>
      <c r="BJ28" t="str">
        <f>IF(AND($W$9=1,Courses!S22&lt;0), "Row "&amp;Courses!$A22&amp;", "&amp;BJ$9&amp;", "&amp;BJ$10&amp;", "&amp;BJ$11&amp;"; ","")</f>
        <v/>
      </c>
      <c r="BK28" t="str">
        <f>IF(AND($W$9=1,Courses!T22&lt;0), "Row "&amp;Courses!$A22&amp;", "&amp;BK$9&amp;", "&amp;BK$10&amp;", "&amp;BK$11&amp;"; ","")</f>
        <v/>
      </c>
      <c r="BL28" t="str">
        <f>IF(AND($W$9=1,Courses!U22&lt;0), "Row "&amp;Courses!$A22&amp;", "&amp;BL$9&amp;", "&amp;BL$10&amp;", "&amp;BL$11&amp;"; ","")</f>
        <v/>
      </c>
      <c r="BM28" s="2120" t="str">
        <f>IF(AND($W$9=1,Courses!V22&lt;0), "Row "&amp;Courses!$A22&amp;", "&amp;BM$9&amp;", "&amp;BM$10&amp;"; ","")</f>
        <v/>
      </c>
      <c r="BN28" s="1593" t="str">
        <f>IF(AND($W$9=1,Courses!W22&lt;0), "Row "&amp;Courses!$A22&amp;", "&amp;BN$9&amp;", "&amp;BN$10&amp;", "&amp;BN$11&amp;"; ","")</f>
        <v/>
      </c>
      <c r="BO28" t="str">
        <f>IF(AND($W$9=1,Courses!X22&lt;0), "Row "&amp;Courses!$A22&amp;", "&amp;BO$9&amp;", "&amp;BO$10&amp;", "&amp;BO$11&amp;"; ","")</f>
        <v/>
      </c>
      <c r="BP28" t="str">
        <f>IF(AND($W$9=1,Courses!Y22&lt;0), "Row "&amp;Courses!$A22&amp;", "&amp;BP$9&amp;", "&amp;BP$10&amp;", "&amp;BP$11&amp;"; ","")</f>
        <v/>
      </c>
      <c r="BQ28" t="str">
        <f>IF(AND($W$9=1,Courses!Z22&lt;0), "Row "&amp;Courses!$A22&amp;", "&amp;BQ$9&amp;", "&amp;BQ$10&amp;", "&amp;BQ$11&amp;"; ","")</f>
        <v/>
      </c>
      <c r="BR28" s="2120" t="str">
        <f>IF(AND($W$9=1,Courses!AA22&lt;0), "Row "&amp;Courses!$A22&amp;", "&amp;BR$9&amp;", "&amp;BR$10&amp;"; ","")</f>
        <v/>
      </c>
      <c r="BT28" s="186">
        <v>9</v>
      </c>
      <c r="BU28" s="40">
        <f>IF(AND($X$9=1,Courses!B22="",Courses!F22="",Courses!H22="",Courses!J22="",Courses!K22="",Courses!L22="",Courses!M22=0,Courses!N22=0,Courses!O22=0,Courses!P22=0,Courses!Q22=0,Courses!R22=0,Courses!S22=0,Courses!T22=0,Courses!U22=0,Courses!V22=0,Courses!W22=0,Courses!X22=0,Courses!Y22=0,Courses!Z22=0,Courses!AA22=0),0,1)</f>
        <v>0</v>
      </c>
      <c r="BV28" s="40">
        <f>IF(AND(BU28=0,SUM(BU29:$BU$219)&gt;0),1,0)</f>
        <v>0</v>
      </c>
      <c r="BW28" s="1595" t="str">
        <f>IF(BV28=1,"Row "&amp;Courses!A22&amp;"; ","")</f>
        <v/>
      </c>
      <c r="BX28" s="17"/>
      <c r="BZ28" s="1592" t="str">
        <f>IF(AND($Y$9=1,Courses!B22&lt;&gt;"",SUM(Courses!M22:AA22)=0),"Row "&amp;Courses!A22&amp;"; ","")</f>
        <v/>
      </c>
      <c r="CA28" s="17"/>
      <c r="CC28" s="1592" t="str">
        <f>IF(AND($Z$9=1,Courses!AD22=1,(LEN(Courses!AB22)&gt;200)),"Row "&amp;Courses!A22&amp;"; ","")</f>
        <v/>
      </c>
      <c r="CE28" s="131"/>
      <c r="CG28" s="1593" t="str">
        <f>IF(AND($AD$9=1,Courses!E22&lt;&gt;"",Courses!F22&lt;&gt;"",Courses!F22=0,SUM(Courses!H22,Courses!J22)=1),"Row "&amp;Courses!A22&amp;", "&amp;Courses!$F$10&amp;"; ","")</f>
        <v/>
      </c>
      <c r="CH28" t="str">
        <f>IF(AND($AD$9=1,Courses!G22&lt;&gt;"",Courses!H22&lt;&gt;"",Courses!H22=0,SUM(Courses!J22,Courses!F22)=1),"Row "&amp;Courses!A22&amp;", "&amp;Courses!$H$10&amp;"; ","")</f>
        <v/>
      </c>
      <c r="CI28" s="183" t="str">
        <f>IF(AND($AD$9=1,Courses!I22&lt;&gt;"",Courses!J22&lt;&gt;"",Courses!J22=0, SUM(Courses!H22,Courses!F22)=1),"Row "&amp;Courses!A22&amp;", "&amp;Courses!$J$10&amp;"; ","")</f>
        <v/>
      </c>
      <c r="CJ28" s="180"/>
      <c r="CK28" s="181"/>
      <c r="CL28" s="1592" t="str">
        <f>IF(AND(Courses!B22&lt;&gt;"",ISNA(VLOOKUP(Courses!C22,CourseInfo,2,FALSE))=FALSE,COUNTIF(Dummy,Courses!C22)&lt;&gt;1),VLOOKUP(Courses!C22,CourseInfo,6,FALSE),"")</f>
        <v/>
      </c>
      <c r="CM28" s="1592" t="str">
        <f>IF(AND($AE$9=1,Courses!B22&lt;&gt;"",'Courses Valid'!AG28="",COUNTIF(Dummy,Courses!C22)&lt;&gt;1),IF(Courses!K22&lt;&gt;'Courses Valid'!CL28,"Row "&amp;Courses!A22&amp;", Level on LARS is "&amp;'Courses Valid'!CL28&amp;"; ",""),"")</f>
        <v/>
      </c>
      <c r="CN28" s="131"/>
    </row>
    <row r="29" spans="3:92" x14ac:dyDescent="0.35">
      <c r="C29" s="1591">
        <f t="shared" si="2"/>
        <v>0</v>
      </c>
      <c r="D29" s="41"/>
      <c r="E29" s="41"/>
      <c r="F29" s="118"/>
      <c r="G29" s="1591" t="str">
        <f>IF(SUMPRODUCT(--(CourseAims=Courses!$C23))=1,"",IF(AND($N$9=1,Courses!$C23&lt;&gt;""),"Row "&amp;Courses!A23&amp;" (invalid); ",""))</f>
        <v/>
      </c>
      <c r="H29" s="1592" t="str">
        <f>IF(AND($O$9=1,Courses!B23="",OR(Courses!F23&lt;&gt;"",Courses!H23&lt;&gt;"",Courses!J23&lt;&gt;"",Courses!K23&lt;&gt;"",Courses!L23&lt;&gt;"",Courses!M23&lt;&gt;0,Courses!N23&lt;&gt;0,Courses!O23&lt;&gt;0,Courses!P23&lt;&gt;0,Courses!Q23&lt;&gt;0,Courses!R23&lt;&gt;0,Courses!S23&lt;&gt;0,Courses!T23&lt;&gt;0,Courses!U23&lt;&gt;0,Courses!V23&lt;&gt;0,Courses!W23&lt;&gt;0,Courses!X23&lt;&gt;0,Courses!Y23&lt;&gt;0,Courses!Z23&lt;&gt;0,Courses!AA23&lt;&gt;0)),"Row "&amp;Courses!A23&amp;" (none); ","")</f>
        <v/>
      </c>
      <c r="I29" s="17"/>
      <c r="K29" s="1592" t="str">
        <f>Courses!B23&amp;Courses!K23&amp;Courses!L23</f>
        <v/>
      </c>
      <c r="L29" s="1592" t="str">
        <f>IF(AND($P$9=1,Courses!$B23&lt;&gt;"",COUNTIF(Dummy,Courses!$C23)&lt;&gt;1),IF(SUMPRODUCT(--($K$20:$K$219=$K29))&gt;1,"Row "&amp;Courses!$A23&amp;"; ",""),"")</f>
        <v/>
      </c>
      <c r="N29" s="118"/>
      <c r="O29" s="1593" t="str">
        <f>IF(AND($Q$9=1,Courses!E23&lt;&gt;"",Courses!F23=""),"Row "&amp;Courses!A23&amp;", "&amp;Courses!$E$10&amp;"; ","")</f>
        <v/>
      </c>
      <c r="P29" t="str">
        <f>IF(AND($Q$9=1,Courses!G23&lt;&gt;"",Courses!H23=""),"Row "&amp;Courses!A23&amp;", "&amp;Courses!$G$10&amp;"; ","")</f>
        <v/>
      </c>
      <c r="Q29" s="183" t="str">
        <f>IF(AND($Q$9=1,Courses!I23&lt;&gt;"",Courses!J23=""),"Row "&amp;Courses!A23&amp;", "&amp;Courses!$I$10&amp;"; ","")</f>
        <v/>
      </c>
      <c r="S29" s="17"/>
      <c r="T29" s="118"/>
      <c r="U29" s="1594" t="str">
        <f>IF(AND($R$9=1,Courses!B23&lt;&gt;"",Courses!E23&lt;&gt;"",Courses!G23="",Courses!I23="",Courses!F23&lt;&gt;1),"Row "&amp;Courses!A23&amp;"; ","")</f>
        <v/>
      </c>
      <c r="V29" t="str">
        <f>IF(AND($R$9=1,Courses!B23&lt;&gt;"",Courses!I23="",Courses!F23&lt;&gt;"",Courses!G23&lt;&gt;"",Courses!H23&lt;&gt;""),IF(OR((Courses!F23+Courses!H23)&lt;&gt;1),"Row "&amp;Courses!A23&amp;"; ",""),"")</f>
        <v/>
      </c>
      <c r="W29" s="183" t="str">
        <f>IF(AND($R$9=1,Courses!B23&lt;&gt;"",Courses!I23&lt;&gt;"",Courses!J23&lt;&gt;"",Courses!H23&lt;&gt;"",Courses!G23&lt;&gt;"",Courses!F23&lt;&gt;""),IF(OR((Courses!F23+Courses!H23+Courses!J23)&lt;&gt;1),"Row "&amp;Courses!A23&amp;"; ",""),"")</f>
        <v/>
      </c>
      <c r="Y29" s="1592" t="str">
        <f>IF(AND($R$9=1,Courses!E23&lt;&gt;"",U29="",V29="",W29="",SUM(Courses!F23,Courses!H23,Courses!J23)&lt;&gt;1),"Row "&amp;Courses!A23&amp;"; ","")</f>
        <v/>
      </c>
      <c r="Z29" s="17"/>
      <c r="AB29" s="1593" t="str">
        <f>IF(AND($S$9=1,Courses!B23&lt;&gt;"",Courses!E23&lt;&gt;"",Courses!F23&lt;&gt;""),IF((TRUNC(Courses!F23*100)&lt;&gt;Courses!F23*100),"Row "&amp;Courses!A23&amp;", "&amp;Courses!$F$10&amp;"; ",""),"")</f>
        <v/>
      </c>
      <c r="AC29" t="str">
        <f>IF(AND($S$9=1,Courses!B23&lt;&gt;"",Courses!G23&lt;&gt;"",Courses!H23&lt;&gt;""),IF((TRUNC(Courses!H23*100)&lt;&gt;Courses!H23*100),"Row "&amp;Courses!A23&amp;", "&amp;Courses!$H$10&amp;"; ",""),"")</f>
        <v/>
      </c>
      <c r="AD29" s="183" t="str">
        <f>IF(AND($S$9=1,Courses!B23&lt;&gt;"",Courses!I23&lt;&gt;"",Courses!J23&lt;&gt;""),IF((TRUNC(Courses!J23*100)&lt;&gt;Courses!J23*100),"Row "&amp;Courses!A23&amp;", "&amp;Courses!$J$10&amp;"; ",""),"")</f>
        <v/>
      </c>
      <c r="AF29" s="118"/>
      <c r="AG29" s="1592" t="str">
        <f>IF(AND($T$9=1,G29="",Courses!B23&lt;&gt;"",Courses!K23&lt;&gt;$B$9,Courses!K23&lt;&gt;$B$10,Courses!K23&lt;&gt;$B$11,Courses!K23&lt;&gt;$B$12,Courses!K23&lt;&gt;$B$13,Courses!K23&lt;&gt;$B$14),"Row "&amp;Courses!A23&amp;"; ","")</f>
        <v/>
      </c>
      <c r="AH29" s="1592" t="str">
        <f>IF(AND($U$9=1,G29="",Courses!B23&lt;&gt;"",Courses!L23&lt;&gt;"Standard",Courses!L23&lt;&gt;"Long"),"Row "&amp;Courses!A23&amp;"; ","")</f>
        <v/>
      </c>
      <c r="AJ29" s="118"/>
      <c r="AK29" s="3">
        <v>10</v>
      </c>
      <c r="AL29" s="1593" t="str">
        <f>IF(AND($V$9=1,(TRUNC(Courses!M23)&lt;&gt;Courses!M23)), "Row "&amp;Courses!$A23&amp;", "&amp;AL$9&amp;", "&amp;AL$10&amp;", "&amp;AL$11&amp;"; ","")</f>
        <v/>
      </c>
      <c r="AM29" t="str">
        <f>IF(AND($V$9=1,(TRUNC(Courses!N23)&lt;&gt;Courses!N23)), "Row "&amp;Courses!$A23&amp;", "&amp;AM$9&amp;", "&amp;AM$10&amp;", "&amp;AM$11&amp;"; ","")</f>
        <v/>
      </c>
      <c r="AN29" t="str">
        <f>IF(AND($V$9=1,(TRUNC(Courses!O23)&lt;&gt;Courses!O23)), "Row "&amp;Courses!$A23&amp;", "&amp;AN$9&amp;", "&amp;AN$10&amp;", "&amp;AN$11&amp;"; ","")</f>
        <v/>
      </c>
      <c r="AO29" t="str">
        <f>IF(AND($V$9=1,(TRUNC(Courses!P23)&lt;&gt;Courses!P23)), "Row "&amp;Courses!$A23&amp;", "&amp;AO$9&amp;", "&amp;AO$10&amp;", "&amp;AO$11&amp;"; ","")</f>
        <v/>
      </c>
      <c r="AP29" s="2120" t="str">
        <f>IF(AND($V$9=1,(TRUNC(Courses!Q23)&lt;&gt;Courses!Q23)), "Row "&amp;Courses!$A23&amp;", "&amp;AP$9&amp;", "&amp;AP$10&amp;"; ","")</f>
        <v/>
      </c>
      <c r="AQ29" s="1593" t="str">
        <f>IF(AND($V$9=1,(TRUNC(Courses!R23)&lt;&gt;Courses!R23)), "Row "&amp;Courses!$A23&amp;", "&amp;AQ$9&amp;", "&amp;AQ$10&amp;", "&amp;AQ$11&amp;"; ","")</f>
        <v/>
      </c>
      <c r="AR29" t="str">
        <f>IF(AND($V$9=1,(TRUNC(Courses!S23)&lt;&gt;Courses!S23)), "Row "&amp;Courses!$A23&amp;", "&amp;AR$9&amp;", "&amp;AR$10&amp;", "&amp;AR$11&amp;"; ","")</f>
        <v/>
      </c>
      <c r="AS29" t="str">
        <f>IF(AND($V$9=1,(TRUNC(Courses!T23)&lt;&gt;Courses!T23)), "Row "&amp;Courses!$A23&amp;", "&amp;AS$9&amp;", "&amp;AS$10&amp;", "&amp;AS$11&amp;"; ","")</f>
        <v/>
      </c>
      <c r="AT29" t="str">
        <f>IF(AND($V$9=1,(TRUNC(Courses!U23)&lt;&gt;Courses!U23)), "Row "&amp;Courses!$A23&amp;", "&amp;AT$9&amp;", "&amp;AT$10&amp;", "&amp;AT$11&amp;"; ","")</f>
        <v/>
      </c>
      <c r="AU29" s="2120" t="str">
        <f>IF(AND($V$9=1,(TRUNC(Courses!V23)&lt;&gt;Courses!V23)), "Row "&amp;Courses!$A23&amp;", "&amp;AU$9&amp;", "&amp;AU$10&amp;"; ","")</f>
        <v/>
      </c>
      <c r="AV29" s="1593" t="str">
        <f>IF(AND($V$9=1,(TRUNC(Courses!W23)&lt;&gt;Courses!W23)), "Row "&amp;Courses!$A23&amp;", "&amp;AV$9&amp;", "&amp;AV$10&amp;", "&amp;AV$11&amp;"; ","")</f>
        <v/>
      </c>
      <c r="AW29" t="str">
        <f>IF(AND($V$9=1,(TRUNC(Courses!X23)&lt;&gt;Courses!X23)), "Row "&amp;Courses!$A23&amp;", "&amp;AW$9&amp;", "&amp;AW$10&amp;", "&amp;AW$11&amp;"; ","")</f>
        <v/>
      </c>
      <c r="AX29" t="str">
        <f>IF(AND($V$9=1,(TRUNC(Courses!Y23)&lt;&gt;Courses!Y23)), "Row "&amp;Courses!$A23&amp;", "&amp;AX$9&amp;", "&amp;AX$10&amp;", "&amp;AX$11&amp;"; ","")</f>
        <v/>
      </c>
      <c r="AY29" t="str">
        <f>IF(AND($V$9=1,(TRUNC(Courses!Z23)&lt;&gt;Courses!Z23)), "Row "&amp;Courses!$A23&amp;", "&amp;AY$9&amp;", "&amp;AY$10&amp;", "&amp;AY$11&amp;"; ","")</f>
        <v/>
      </c>
      <c r="AZ29" s="2120" t="str">
        <f>IF(AND($V$9=1,(TRUNC(Courses!AA23)&lt;&gt;Courses!AA23)), "Row "&amp;Courses!$A23&amp;", "&amp;AZ$9&amp;", "&amp;AZ$10&amp;"; ","")</f>
        <v/>
      </c>
      <c r="BA29" s="17"/>
      <c r="BB29" s="118"/>
      <c r="BC29" s="3">
        <v>10</v>
      </c>
      <c r="BD29" s="1593" t="str">
        <f>IF(AND($W$9=1,Courses!M23&lt;0), "Row "&amp;Courses!$A23&amp;", "&amp;BD$9&amp;", "&amp;BD$10&amp;", "&amp;BD$11&amp;"; ","")</f>
        <v/>
      </c>
      <c r="BE29" t="str">
        <f>IF(AND($W$9=1,Courses!N23&lt;0), "Row "&amp;Courses!$A23&amp;", "&amp;BE$9&amp;", "&amp;BE$10&amp;", "&amp;BE$11&amp;"; ","")</f>
        <v/>
      </c>
      <c r="BF29" t="str">
        <f>IF(AND($W$9=1,Courses!O23&lt;0), "Row "&amp;Courses!$A23&amp;", "&amp;BF$9&amp;", "&amp;BF$10&amp;", "&amp;BF$11&amp;"; ","")</f>
        <v/>
      </c>
      <c r="BG29" t="str">
        <f>IF(AND($W$9=1,Courses!P23&lt;0), "Row "&amp;Courses!$A23&amp;", "&amp;BG$9&amp;", "&amp;BG$10&amp;", "&amp;BG$11&amp;"; ","")</f>
        <v/>
      </c>
      <c r="BH29" s="2120" t="str">
        <f>IF(AND($W$9=1,Courses!Q23&lt;0), "Row "&amp;Courses!$A23&amp;", "&amp;BH$9&amp;", "&amp;BH$10&amp;"; ","")</f>
        <v/>
      </c>
      <c r="BI29" s="1593" t="str">
        <f>IF(AND($W$9=1,Courses!R23&lt;0), "Row "&amp;Courses!$A23&amp;", "&amp;BI$9&amp;", "&amp;BI$10&amp;", "&amp;BI$11&amp;"; ","")</f>
        <v/>
      </c>
      <c r="BJ29" t="str">
        <f>IF(AND($W$9=1,Courses!S23&lt;0), "Row "&amp;Courses!$A23&amp;", "&amp;BJ$9&amp;", "&amp;BJ$10&amp;", "&amp;BJ$11&amp;"; ","")</f>
        <v/>
      </c>
      <c r="BK29" t="str">
        <f>IF(AND($W$9=1,Courses!T23&lt;0), "Row "&amp;Courses!$A23&amp;", "&amp;BK$9&amp;", "&amp;BK$10&amp;", "&amp;BK$11&amp;"; ","")</f>
        <v/>
      </c>
      <c r="BL29" t="str">
        <f>IF(AND($W$9=1,Courses!U23&lt;0), "Row "&amp;Courses!$A23&amp;", "&amp;BL$9&amp;", "&amp;BL$10&amp;", "&amp;BL$11&amp;"; ","")</f>
        <v/>
      </c>
      <c r="BM29" s="2120" t="str">
        <f>IF(AND($W$9=1,Courses!V23&lt;0), "Row "&amp;Courses!$A23&amp;", "&amp;BM$9&amp;", "&amp;BM$10&amp;"; ","")</f>
        <v/>
      </c>
      <c r="BN29" s="1593" t="str">
        <f>IF(AND($W$9=1,Courses!W23&lt;0), "Row "&amp;Courses!$A23&amp;", "&amp;BN$9&amp;", "&amp;BN$10&amp;", "&amp;BN$11&amp;"; ","")</f>
        <v/>
      </c>
      <c r="BO29" t="str">
        <f>IF(AND($W$9=1,Courses!X23&lt;0), "Row "&amp;Courses!$A23&amp;", "&amp;BO$9&amp;", "&amp;BO$10&amp;", "&amp;BO$11&amp;"; ","")</f>
        <v/>
      </c>
      <c r="BP29" t="str">
        <f>IF(AND($W$9=1,Courses!Y23&lt;0), "Row "&amp;Courses!$A23&amp;", "&amp;BP$9&amp;", "&amp;BP$10&amp;", "&amp;BP$11&amp;"; ","")</f>
        <v/>
      </c>
      <c r="BQ29" t="str">
        <f>IF(AND($W$9=1,Courses!Z23&lt;0), "Row "&amp;Courses!$A23&amp;", "&amp;BQ$9&amp;", "&amp;BQ$10&amp;", "&amp;BQ$11&amp;"; ","")</f>
        <v/>
      </c>
      <c r="BR29" s="2120" t="str">
        <f>IF(AND($W$9=1,Courses!AA23&lt;0), "Row "&amp;Courses!$A23&amp;", "&amp;BR$9&amp;", "&amp;BR$10&amp;"; ","")</f>
        <v/>
      </c>
      <c r="BT29" s="186">
        <v>10</v>
      </c>
      <c r="BU29" s="40">
        <f>IF(AND($X$9=1,Courses!B23="",Courses!F23="",Courses!H23="",Courses!J23="",Courses!K23="",Courses!L23="",Courses!M23=0,Courses!N23=0,Courses!O23=0,Courses!P23=0,Courses!Q23=0,Courses!R23=0,Courses!S23=0,Courses!T23=0,Courses!U23=0,Courses!V23=0,Courses!W23=0,Courses!X23=0,Courses!Y23=0,Courses!Z23=0,Courses!AA23=0),0,1)</f>
        <v>0</v>
      </c>
      <c r="BV29" s="40">
        <f>IF(AND(BU29=0,SUM(BU30:$BU$219)&gt;0),1,0)</f>
        <v>0</v>
      </c>
      <c r="BW29" s="1595" t="str">
        <f>IF(BV29=1,"Row "&amp;Courses!A23&amp;"; ","")</f>
        <v/>
      </c>
      <c r="BX29" s="17"/>
      <c r="BZ29" s="1592" t="str">
        <f>IF(AND($Y$9=1,Courses!B23&lt;&gt;"",SUM(Courses!M23:AA23)=0),"Row "&amp;Courses!A23&amp;"; ","")</f>
        <v/>
      </c>
      <c r="CA29" s="17"/>
      <c r="CC29" s="1592" t="str">
        <f>IF(AND($Z$9=1,Courses!AD23=1,(LEN(Courses!AB23)&gt;200)),"Row "&amp;Courses!A23&amp;"; ","")</f>
        <v/>
      </c>
      <c r="CE29" s="131"/>
      <c r="CG29" s="1593" t="str">
        <f>IF(AND($AD$9=1,Courses!E23&lt;&gt;"",Courses!F23&lt;&gt;"",Courses!F23=0,SUM(Courses!H23,Courses!J23)=1),"Row "&amp;Courses!A23&amp;", "&amp;Courses!$F$10&amp;"; ","")</f>
        <v/>
      </c>
      <c r="CH29" t="str">
        <f>IF(AND($AD$9=1,Courses!G23&lt;&gt;"",Courses!H23&lt;&gt;"",Courses!H23=0,SUM(Courses!J23,Courses!F23)=1),"Row "&amp;Courses!A23&amp;", "&amp;Courses!$H$10&amp;"; ","")</f>
        <v/>
      </c>
      <c r="CI29" s="183" t="str">
        <f>IF(AND($AD$9=1,Courses!I23&lt;&gt;"",Courses!J23&lt;&gt;"",Courses!J23=0, SUM(Courses!H23,Courses!F23)=1),"Row "&amp;Courses!A23&amp;", "&amp;Courses!$J$10&amp;"; ","")</f>
        <v/>
      </c>
      <c r="CJ29" s="180"/>
      <c r="CK29" s="181"/>
      <c r="CL29" s="1592" t="str">
        <f>IF(AND(Courses!B23&lt;&gt;"",ISNA(VLOOKUP(Courses!C23,CourseInfo,2,FALSE))=FALSE,COUNTIF(Dummy,Courses!C23)&lt;&gt;1),VLOOKUP(Courses!C23,CourseInfo,6,FALSE),"")</f>
        <v/>
      </c>
      <c r="CM29" s="1592" t="str">
        <f>IF(AND($AE$9=1,Courses!B23&lt;&gt;"",'Courses Valid'!AG29="",COUNTIF(Dummy,Courses!C23)&lt;&gt;1),IF(Courses!K23&lt;&gt;'Courses Valid'!CL29,"Row "&amp;Courses!A23&amp;", Level on LARS is "&amp;'Courses Valid'!CL29&amp;"; ",""),"")</f>
        <v/>
      </c>
      <c r="CN29" s="131"/>
    </row>
    <row r="30" spans="3:92" x14ac:dyDescent="0.35">
      <c r="C30" s="1591">
        <f t="shared" si="2"/>
        <v>0</v>
      </c>
      <c r="D30" s="41"/>
      <c r="E30" s="41"/>
      <c r="F30" s="118"/>
      <c r="G30" s="1591" t="str">
        <f>IF(SUMPRODUCT(--(CourseAims=Courses!$C24))=1,"",IF(AND($N$9=1,Courses!$C24&lt;&gt;""),"Row "&amp;Courses!A24&amp;" (invalid); ",""))</f>
        <v/>
      </c>
      <c r="H30" s="1592" t="str">
        <f>IF(AND($O$9=1,Courses!B24="",OR(Courses!F24&lt;&gt;"",Courses!H24&lt;&gt;"",Courses!J24&lt;&gt;"",Courses!K24&lt;&gt;"",Courses!L24&lt;&gt;"",Courses!M24&lt;&gt;0,Courses!N24&lt;&gt;0,Courses!O24&lt;&gt;0,Courses!P24&lt;&gt;0,Courses!Q24&lt;&gt;0,Courses!R24&lt;&gt;0,Courses!S24&lt;&gt;0,Courses!T24&lt;&gt;0,Courses!U24&lt;&gt;0,Courses!V24&lt;&gt;0,Courses!W24&lt;&gt;0,Courses!X24&lt;&gt;0,Courses!Y24&lt;&gt;0,Courses!Z24&lt;&gt;0,Courses!AA24&lt;&gt;0)),"Row "&amp;Courses!A24&amp;" (none); ","")</f>
        <v/>
      </c>
      <c r="I30" s="17"/>
      <c r="K30" s="1592" t="str">
        <f>Courses!B24&amp;Courses!K24&amp;Courses!L24</f>
        <v/>
      </c>
      <c r="L30" s="1592" t="str">
        <f>IF(AND($P$9=1,Courses!$B24&lt;&gt;"",COUNTIF(Dummy,Courses!$C24)&lt;&gt;1),IF(SUMPRODUCT(--($K$20:$K$219=$K30))&gt;1,"Row "&amp;Courses!$A24&amp;"; ",""),"")</f>
        <v/>
      </c>
      <c r="N30" s="118"/>
      <c r="O30" s="1593" t="str">
        <f>IF(AND($Q$9=1,Courses!E24&lt;&gt;"",Courses!F24=""),"Row "&amp;Courses!A24&amp;", "&amp;Courses!$E$10&amp;"; ","")</f>
        <v/>
      </c>
      <c r="P30" t="str">
        <f>IF(AND($Q$9=1,Courses!G24&lt;&gt;"",Courses!H24=""),"Row "&amp;Courses!A24&amp;", "&amp;Courses!$G$10&amp;"; ","")</f>
        <v/>
      </c>
      <c r="Q30" s="183" t="str">
        <f>IF(AND($Q$9=1,Courses!I24&lt;&gt;"",Courses!J24=""),"Row "&amp;Courses!A24&amp;", "&amp;Courses!$I$10&amp;"; ","")</f>
        <v/>
      </c>
      <c r="S30" s="17"/>
      <c r="T30" s="118"/>
      <c r="U30" s="1594" t="str">
        <f>IF(AND($R$9=1,Courses!B24&lt;&gt;"",Courses!E24&lt;&gt;"",Courses!G24="",Courses!I24="",Courses!F24&lt;&gt;1),"Row "&amp;Courses!A24&amp;"; ","")</f>
        <v/>
      </c>
      <c r="V30" t="str">
        <f>IF(AND($R$9=1,Courses!B24&lt;&gt;"",Courses!I24="",Courses!F24&lt;&gt;"",Courses!G24&lt;&gt;"",Courses!H24&lt;&gt;""),IF(OR((Courses!F24+Courses!H24)&lt;&gt;1),"Row "&amp;Courses!A24&amp;"; ",""),"")</f>
        <v/>
      </c>
      <c r="W30" s="183" t="str">
        <f>IF(AND($R$9=1,Courses!B24&lt;&gt;"",Courses!I24&lt;&gt;"",Courses!J24&lt;&gt;"",Courses!H24&lt;&gt;"",Courses!G24&lt;&gt;"",Courses!F24&lt;&gt;""),IF(OR((Courses!F24+Courses!H24+Courses!J24)&lt;&gt;1),"Row "&amp;Courses!A24&amp;"; ",""),"")</f>
        <v/>
      </c>
      <c r="Y30" s="1592" t="str">
        <f>IF(AND($R$9=1,Courses!E24&lt;&gt;"",U30="",V30="",W30="",SUM(Courses!F24,Courses!H24,Courses!J24)&lt;&gt;1),"Row "&amp;Courses!A24&amp;"; ","")</f>
        <v/>
      </c>
      <c r="Z30" s="17"/>
      <c r="AB30" s="1593" t="str">
        <f>IF(AND($S$9=1,Courses!B24&lt;&gt;"",Courses!E24&lt;&gt;"",Courses!F24&lt;&gt;""),IF((TRUNC(Courses!F24*100)&lt;&gt;Courses!F24*100),"Row "&amp;Courses!A24&amp;", "&amp;Courses!$F$10&amp;"; ",""),"")</f>
        <v/>
      </c>
      <c r="AC30" t="str">
        <f>IF(AND($S$9=1,Courses!B24&lt;&gt;"",Courses!G24&lt;&gt;"",Courses!H24&lt;&gt;""),IF((TRUNC(Courses!H24*100)&lt;&gt;Courses!H24*100),"Row "&amp;Courses!A24&amp;", "&amp;Courses!$H$10&amp;"; ",""),"")</f>
        <v/>
      </c>
      <c r="AD30" s="183" t="str">
        <f>IF(AND($S$9=1,Courses!B24&lt;&gt;"",Courses!I24&lt;&gt;"",Courses!J24&lt;&gt;""),IF((TRUNC(Courses!J24*100)&lt;&gt;Courses!J24*100),"Row "&amp;Courses!A24&amp;", "&amp;Courses!$J$10&amp;"; ",""),"")</f>
        <v/>
      </c>
      <c r="AF30" s="118"/>
      <c r="AG30" s="1592" t="str">
        <f>IF(AND($T$9=1,G30="",Courses!B24&lt;&gt;"",Courses!K24&lt;&gt;$B$9,Courses!K24&lt;&gt;$B$10,Courses!K24&lt;&gt;$B$11,Courses!K24&lt;&gt;$B$12,Courses!K24&lt;&gt;$B$13,Courses!K24&lt;&gt;$B$14),"Row "&amp;Courses!A24&amp;"; ","")</f>
        <v/>
      </c>
      <c r="AH30" s="1592" t="str">
        <f>IF(AND($U$9=1,G30="",Courses!B24&lt;&gt;"",Courses!L24&lt;&gt;"Standard",Courses!L24&lt;&gt;"Long"),"Row "&amp;Courses!A24&amp;"; ","")</f>
        <v/>
      </c>
      <c r="AJ30" s="118"/>
      <c r="AK30" s="3">
        <v>11</v>
      </c>
      <c r="AL30" s="1593" t="str">
        <f>IF(AND($V$9=1,(TRUNC(Courses!M24)&lt;&gt;Courses!M24)), "Row "&amp;Courses!$A24&amp;", "&amp;AL$9&amp;", "&amp;AL$10&amp;", "&amp;AL$11&amp;"; ","")</f>
        <v/>
      </c>
      <c r="AM30" t="str">
        <f>IF(AND($V$9=1,(TRUNC(Courses!N24)&lt;&gt;Courses!N24)), "Row "&amp;Courses!$A24&amp;", "&amp;AM$9&amp;", "&amp;AM$10&amp;", "&amp;AM$11&amp;"; ","")</f>
        <v/>
      </c>
      <c r="AN30" t="str">
        <f>IF(AND($V$9=1,(TRUNC(Courses!O24)&lt;&gt;Courses!O24)), "Row "&amp;Courses!$A24&amp;", "&amp;AN$9&amp;", "&amp;AN$10&amp;", "&amp;AN$11&amp;"; ","")</f>
        <v/>
      </c>
      <c r="AO30" t="str">
        <f>IF(AND($V$9=1,(TRUNC(Courses!P24)&lt;&gt;Courses!P24)), "Row "&amp;Courses!$A24&amp;", "&amp;AO$9&amp;", "&amp;AO$10&amp;", "&amp;AO$11&amp;"; ","")</f>
        <v/>
      </c>
      <c r="AP30" s="2120" t="str">
        <f>IF(AND($V$9=1,(TRUNC(Courses!Q24)&lt;&gt;Courses!Q24)), "Row "&amp;Courses!$A24&amp;", "&amp;AP$9&amp;", "&amp;AP$10&amp;"; ","")</f>
        <v/>
      </c>
      <c r="AQ30" s="1593" t="str">
        <f>IF(AND($V$9=1,(TRUNC(Courses!R24)&lt;&gt;Courses!R24)), "Row "&amp;Courses!$A24&amp;", "&amp;AQ$9&amp;", "&amp;AQ$10&amp;", "&amp;AQ$11&amp;"; ","")</f>
        <v/>
      </c>
      <c r="AR30" t="str">
        <f>IF(AND($V$9=1,(TRUNC(Courses!S24)&lt;&gt;Courses!S24)), "Row "&amp;Courses!$A24&amp;", "&amp;AR$9&amp;", "&amp;AR$10&amp;", "&amp;AR$11&amp;"; ","")</f>
        <v/>
      </c>
      <c r="AS30" t="str">
        <f>IF(AND($V$9=1,(TRUNC(Courses!T24)&lt;&gt;Courses!T24)), "Row "&amp;Courses!$A24&amp;", "&amp;AS$9&amp;", "&amp;AS$10&amp;", "&amp;AS$11&amp;"; ","")</f>
        <v/>
      </c>
      <c r="AT30" t="str">
        <f>IF(AND($V$9=1,(TRUNC(Courses!U24)&lt;&gt;Courses!U24)), "Row "&amp;Courses!$A24&amp;", "&amp;AT$9&amp;", "&amp;AT$10&amp;", "&amp;AT$11&amp;"; ","")</f>
        <v/>
      </c>
      <c r="AU30" s="2120" t="str">
        <f>IF(AND($V$9=1,(TRUNC(Courses!V24)&lt;&gt;Courses!V24)), "Row "&amp;Courses!$A24&amp;", "&amp;AU$9&amp;", "&amp;AU$10&amp;"; ","")</f>
        <v/>
      </c>
      <c r="AV30" s="1593" t="str">
        <f>IF(AND($V$9=1,(TRUNC(Courses!W24)&lt;&gt;Courses!W24)), "Row "&amp;Courses!$A24&amp;", "&amp;AV$9&amp;", "&amp;AV$10&amp;", "&amp;AV$11&amp;"; ","")</f>
        <v/>
      </c>
      <c r="AW30" t="str">
        <f>IF(AND($V$9=1,(TRUNC(Courses!X24)&lt;&gt;Courses!X24)), "Row "&amp;Courses!$A24&amp;", "&amp;AW$9&amp;", "&amp;AW$10&amp;", "&amp;AW$11&amp;"; ","")</f>
        <v/>
      </c>
      <c r="AX30" t="str">
        <f>IF(AND($V$9=1,(TRUNC(Courses!Y24)&lt;&gt;Courses!Y24)), "Row "&amp;Courses!$A24&amp;", "&amp;AX$9&amp;", "&amp;AX$10&amp;", "&amp;AX$11&amp;"; ","")</f>
        <v/>
      </c>
      <c r="AY30" t="str">
        <f>IF(AND($V$9=1,(TRUNC(Courses!Z24)&lt;&gt;Courses!Z24)), "Row "&amp;Courses!$A24&amp;", "&amp;AY$9&amp;", "&amp;AY$10&amp;", "&amp;AY$11&amp;"; ","")</f>
        <v/>
      </c>
      <c r="AZ30" s="2120" t="str">
        <f>IF(AND($V$9=1,(TRUNC(Courses!AA24)&lt;&gt;Courses!AA24)), "Row "&amp;Courses!$A24&amp;", "&amp;AZ$9&amp;", "&amp;AZ$10&amp;"; ","")</f>
        <v/>
      </c>
      <c r="BA30" s="17"/>
      <c r="BB30" s="118"/>
      <c r="BC30" s="3">
        <v>11</v>
      </c>
      <c r="BD30" s="1593" t="str">
        <f>IF(AND($W$9=1,Courses!M24&lt;0), "Row "&amp;Courses!$A24&amp;", "&amp;BD$9&amp;", "&amp;BD$10&amp;", "&amp;BD$11&amp;"; ","")</f>
        <v/>
      </c>
      <c r="BE30" t="str">
        <f>IF(AND($W$9=1,Courses!N24&lt;0), "Row "&amp;Courses!$A24&amp;", "&amp;BE$9&amp;", "&amp;BE$10&amp;", "&amp;BE$11&amp;"; ","")</f>
        <v/>
      </c>
      <c r="BF30" t="str">
        <f>IF(AND($W$9=1,Courses!O24&lt;0), "Row "&amp;Courses!$A24&amp;", "&amp;BF$9&amp;", "&amp;BF$10&amp;", "&amp;BF$11&amp;"; ","")</f>
        <v/>
      </c>
      <c r="BG30" t="str">
        <f>IF(AND($W$9=1,Courses!P24&lt;0), "Row "&amp;Courses!$A24&amp;", "&amp;BG$9&amp;", "&amp;BG$10&amp;", "&amp;BG$11&amp;"; ","")</f>
        <v/>
      </c>
      <c r="BH30" s="2120" t="str">
        <f>IF(AND($W$9=1,Courses!Q24&lt;0), "Row "&amp;Courses!$A24&amp;", "&amp;BH$9&amp;", "&amp;BH$10&amp;"; ","")</f>
        <v/>
      </c>
      <c r="BI30" s="1593" t="str">
        <f>IF(AND($W$9=1,Courses!R24&lt;0), "Row "&amp;Courses!$A24&amp;", "&amp;BI$9&amp;", "&amp;BI$10&amp;", "&amp;BI$11&amp;"; ","")</f>
        <v/>
      </c>
      <c r="BJ30" t="str">
        <f>IF(AND($W$9=1,Courses!S24&lt;0), "Row "&amp;Courses!$A24&amp;", "&amp;BJ$9&amp;", "&amp;BJ$10&amp;", "&amp;BJ$11&amp;"; ","")</f>
        <v/>
      </c>
      <c r="BK30" t="str">
        <f>IF(AND($W$9=1,Courses!T24&lt;0), "Row "&amp;Courses!$A24&amp;", "&amp;BK$9&amp;", "&amp;BK$10&amp;", "&amp;BK$11&amp;"; ","")</f>
        <v/>
      </c>
      <c r="BL30" t="str">
        <f>IF(AND($W$9=1,Courses!U24&lt;0), "Row "&amp;Courses!$A24&amp;", "&amp;BL$9&amp;", "&amp;BL$10&amp;", "&amp;BL$11&amp;"; ","")</f>
        <v/>
      </c>
      <c r="BM30" s="2120" t="str">
        <f>IF(AND($W$9=1,Courses!V24&lt;0), "Row "&amp;Courses!$A24&amp;", "&amp;BM$9&amp;", "&amp;BM$10&amp;"; ","")</f>
        <v/>
      </c>
      <c r="BN30" s="1593" t="str">
        <f>IF(AND($W$9=1,Courses!W24&lt;0), "Row "&amp;Courses!$A24&amp;", "&amp;BN$9&amp;", "&amp;BN$10&amp;", "&amp;BN$11&amp;"; ","")</f>
        <v/>
      </c>
      <c r="BO30" t="str">
        <f>IF(AND($W$9=1,Courses!X24&lt;0), "Row "&amp;Courses!$A24&amp;", "&amp;BO$9&amp;", "&amp;BO$10&amp;", "&amp;BO$11&amp;"; ","")</f>
        <v/>
      </c>
      <c r="BP30" t="str">
        <f>IF(AND($W$9=1,Courses!Y24&lt;0), "Row "&amp;Courses!$A24&amp;", "&amp;BP$9&amp;", "&amp;BP$10&amp;", "&amp;BP$11&amp;"; ","")</f>
        <v/>
      </c>
      <c r="BQ30" t="str">
        <f>IF(AND($W$9=1,Courses!Z24&lt;0), "Row "&amp;Courses!$A24&amp;", "&amp;BQ$9&amp;", "&amp;BQ$10&amp;", "&amp;BQ$11&amp;"; ","")</f>
        <v/>
      </c>
      <c r="BR30" s="2120" t="str">
        <f>IF(AND($W$9=1,Courses!AA24&lt;0), "Row "&amp;Courses!$A24&amp;", "&amp;BR$9&amp;", "&amp;BR$10&amp;"; ","")</f>
        <v/>
      </c>
      <c r="BT30" s="186">
        <v>11</v>
      </c>
      <c r="BU30" s="40">
        <f>IF(AND($X$9=1,Courses!B24="",Courses!F24="",Courses!H24="",Courses!J24="",Courses!K24="",Courses!L24="",Courses!M24=0,Courses!N24=0,Courses!O24=0,Courses!P24=0,Courses!Q24=0,Courses!R24=0,Courses!S24=0,Courses!T24=0,Courses!U24=0,Courses!V24=0,Courses!W24=0,Courses!X24=0,Courses!Y24=0,Courses!Z24=0,Courses!AA24=0),0,1)</f>
        <v>0</v>
      </c>
      <c r="BV30" s="40">
        <f>IF(AND(BU30=0,SUM(BU31:$BU$219)&gt;0),1,0)</f>
        <v>0</v>
      </c>
      <c r="BW30" s="1595" t="str">
        <f>IF(BV30=1,"Row "&amp;Courses!A24&amp;"; ","")</f>
        <v/>
      </c>
      <c r="BX30" s="17"/>
      <c r="BZ30" s="1592" t="str">
        <f>IF(AND($Y$9=1,Courses!B24&lt;&gt;"",SUM(Courses!M24:AA24)=0),"Row "&amp;Courses!A24&amp;"; ","")</f>
        <v/>
      </c>
      <c r="CA30" s="17"/>
      <c r="CC30" s="1592" t="str">
        <f>IF(AND($Z$9=1,Courses!AD24=1,(LEN(Courses!AB24)&gt;200)),"Row "&amp;Courses!A24&amp;"; ","")</f>
        <v/>
      </c>
      <c r="CE30" s="131"/>
      <c r="CG30" s="1593" t="str">
        <f>IF(AND($AD$9=1,Courses!E24&lt;&gt;"",Courses!F24&lt;&gt;"",Courses!F24=0,SUM(Courses!H24,Courses!J24)=1),"Row "&amp;Courses!A24&amp;", "&amp;Courses!$F$10&amp;"; ","")</f>
        <v/>
      </c>
      <c r="CH30" t="str">
        <f>IF(AND($AD$9=1,Courses!G24&lt;&gt;"",Courses!H24&lt;&gt;"",Courses!H24=0,SUM(Courses!J24,Courses!F24)=1),"Row "&amp;Courses!A24&amp;", "&amp;Courses!$H$10&amp;"; ","")</f>
        <v/>
      </c>
      <c r="CI30" s="183" t="str">
        <f>IF(AND($AD$9=1,Courses!I24&lt;&gt;"",Courses!J24&lt;&gt;"",Courses!J24=0, SUM(Courses!H24,Courses!F24)=1),"Row "&amp;Courses!A24&amp;", "&amp;Courses!$J$10&amp;"; ","")</f>
        <v/>
      </c>
      <c r="CJ30" s="180"/>
      <c r="CK30" s="181"/>
      <c r="CL30" s="1592" t="str">
        <f>IF(AND(Courses!B24&lt;&gt;"",ISNA(VLOOKUP(Courses!C24,CourseInfo,2,FALSE))=FALSE,COUNTIF(Dummy,Courses!C24)&lt;&gt;1),VLOOKUP(Courses!C24,CourseInfo,6,FALSE),"")</f>
        <v/>
      </c>
      <c r="CM30" s="1592" t="str">
        <f>IF(AND($AE$9=1,Courses!B24&lt;&gt;"",'Courses Valid'!AG30="",COUNTIF(Dummy,Courses!C24)&lt;&gt;1),IF(Courses!K24&lt;&gt;'Courses Valid'!CL30,"Row "&amp;Courses!A24&amp;", Level on LARS is "&amp;'Courses Valid'!CL30&amp;"; ",""),"")</f>
        <v/>
      </c>
      <c r="CN30" s="131"/>
    </row>
    <row r="31" spans="3:92" x14ac:dyDescent="0.35">
      <c r="C31" s="1591">
        <f t="shared" si="2"/>
        <v>0</v>
      </c>
      <c r="D31" s="41"/>
      <c r="E31" s="41"/>
      <c r="F31" s="118"/>
      <c r="G31" s="1591" t="str">
        <f>IF(SUMPRODUCT(--(CourseAims=Courses!$C25))=1,"",IF(AND($N$9=1,Courses!$C25&lt;&gt;""),"Row "&amp;Courses!A25&amp;" (invalid); ",""))</f>
        <v/>
      </c>
      <c r="H31" s="1592" t="str">
        <f>IF(AND($O$9=1,Courses!B25="",OR(Courses!F25&lt;&gt;"",Courses!H25&lt;&gt;"",Courses!J25&lt;&gt;"",Courses!K25&lt;&gt;"",Courses!L25&lt;&gt;"",Courses!M25&lt;&gt;0,Courses!N25&lt;&gt;0,Courses!O25&lt;&gt;0,Courses!P25&lt;&gt;0,Courses!Q25&lt;&gt;0,Courses!R25&lt;&gt;0,Courses!S25&lt;&gt;0,Courses!T25&lt;&gt;0,Courses!U25&lt;&gt;0,Courses!V25&lt;&gt;0,Courses!W25&lt;&gt;0,Courses!X25&lt;&gt;0,Courses!Y25&lt;&gt;0,Courses!Z25&lt;&gt;0,Courses!AA25&lt;&gt;0)),"Row "&amp;Courses!A25&amp;" (none); ","")</f>
        <v/>
      </c>
      <c r="I31" s="17"/>
      <c r="K31" s="1592" t="str">
        <f>Courses!B25&amp;Courses!K25&amp;Courses!L25</f>
        <v/>
      </c>
      <c r="L31" s="1592" t="str">
        <f>IF(AND($P$9=1,Courses!$B25&lt;&gt;"",COUNTIF(Dummy,Courses!$C25)&lt;&gt;1),IF(SUMPRODUCT(--($K$20:$K$219=$K31))&gt;1,"Row "&amp;Courses!$A25&amp;"; ",""),"")</f>
        <v/>
      </c>
      <c r="N31" s="118"/>
      <c r="O31" s="1593" t="str">
        <f>IF(AND($Q$9=1,Courses!E25&lt;&gt;"",Courses!F25=""),"Row "&amp;Courses!A25&amp;", "&amp;Courses!$E$10&amp;"; ","")</f>
        <v/>
      </c>
      <c r="P31" t="str">
        <f>IF(AND($Q$9=1,Courses!G25&lt;&gt;"",Courses!H25=""),"Row "&amp;Courses!A25&amp;", "&amp;Courses!$G$10&amp;"; ","")</f>
        <v/>
      </c>
      <c r="Q31" s="183" t="str">
        <f>IF(AND($Q$9=1,Courses!I25&lt;&gt;"",Courses!J25=""),"Row "&amp;Courses!A25&amp;", "&amp;Courses!$I$10&amp;"; ","")</f>
        <v/>
      </c>
      <c r="S31" s="17"/>
      <c r="T31" s="118"/>
      <c r="U31" s="1594" t="str">
        <f>IF(AND($R$9=1,Courses!B25&lt;&gt;"",Courses!E25&lt;&gt;"",Courses!G25="",Courses!I25="",Courses!F25&lt;&gt;1),"Row "&amp;Courses!A25&amp;"; ","")</f>
        <v/>
      </c>
      <c r="V31" t="str">
        <f>IF(AND($R$9=1,Courses!B25&lt;&gt;"",Courses!I25="",Courses!F25&lt;&gt;"",Courses!G25&lt;&gt;"",Courses!H25&lt;&gt;""),IF(OR((Courses!F25+Courses!H25)&lt;&gt;1),"Row "&amp;Courses!A25&amp;"; ",""),"")</f>
        <v/>
      </c>
      <c r="W31" s="183" t="str">
        <f>IF(AND($R$9=1,Courses!B25&lt;&gt;"",Courses!I25&lt;&gt;"",Courses!J25&lt;&gt;"",Courses!H25&lt;&gt;"",Courses!G25&lt;&gt;"",Courses!F25&lt;&gt;""),IF(OR((Courses!F25+Courses!H25+Courses!J25)&lt;&gt;1),"Row "&amp;Courses!A25&amp;"; ",""),"")</f>
        <v/>
      </c>
      <c r="Y31" s="1592" t="str">
        <f>IF(AND($R$9=1,Courses!E25&lt;&gt;"",U31="",V31="",W31="",SUM(Courses!F25,Courses!H25,Courses!J25)&lt;&gt;1),"Row "&amp;Courses!A25&amp;"; ","")</f>
        <v/>
      </c>
      <c r="Z31" s="17"/>
      <c r="AB31" s="1593" t="str">
        <f>IF(AND($S$9=1,Courses!B25&lt;&gt;"",Courses!E25&lt;&gt;"",Courses!F25&lt;&gt;""),IF((TRUNC(Courses!F25*100)&lt;&gt;Courses!F25*100),"Row "&amp;Courses!A25&amp;", "&amp;Courses!$F$10&amp;"; ",""),"")</f>
        <v/>
      </c>
      <c r="AC31" t="str">
        <f>IF(AND($S$9=1,Courses!B25&lt;&gt;"",Courses!G25&lt;&gt;"",Courses!H25&lt;&gt;""),IF((TRUNC(Courses!H25*100)&lt;&gt;Courses!H25*100),"Row "&amp;Courses!A25&amp;", "&amp;Courses!$H$10&amp;"; ",""),"")</f>
        <v/>
      </c>
      <c r="AD31" s="183" t="str">
        <f>IF(AND($S$9=1,Courses!B25&lt;&gt;"",Courses!I25&lt;&gt;"",Courses!J25&lt;&gt;""),IF((TRUNC(Courses!J25*100)&lt;&gt;Courses!J25*100),"Row "&amp;Courses!A25&amp;", "&amp;Courses!$J$10&amp;"; ",""),"")</f>
        <v/>
      </c>
      <c r="AF31" s="118"/>
      <c r="AG31" s="1592" t="str">
        <f>IF(AND($T$9=1,G31="",Courses!B25&lt;&gt;"",Courses!K25&lt;&gt;$B$9,Courses!K25&lt;&gt;$B$10,Courses!K25&lt;&gt;$B$11,Courses!K25&lt;&gt;$B$12,Courses!K25&lt;&gt;$B$13,Courses!K25&lt;&gt;$B$14),"Row "&amp;Courses!A25&amp;"; ","")</f>
        <v/>
      </c>
      <c r="AH31" s="1592" t="str">
        <f>IF(AND($U$9=1,G31="",Courses!B25&lt;&gt;"",Courses!L25&lt;&gt;"Standard",Courses!L25&lt;&gt;"Long"),"Row "&amp;Courses!A25&amp;"; ","")</f>
        <v/>
      </c>
      <c r="AJ31" s="118"/>
      <c r="AK31" s="3">
        <v>12</v>
      </c>
      <c r="AL31" s="1593" t="str">
        <f>IF(AND($V$9=1,(TRUNC(Courses!M25)&lt;&gt;Courses!M25)), "Row "&amp;Courses!$A25&amp;", "&amp;AL$9&amp;", "&amp;AL$10&amp;", "&amp;AL$11&amp;"; ","")</f>
        <v/>
      </c>
      <c r="AM31" t="str">
        <f>IF(AND($V$9=1,(TRUNC(Courses!N25)&lt;&gt;Courses!N25)), "Row "&amp;Courses!$A25&amp;", "&amp;AM$9&amp;", "&amp;AM$10&amp;", "&amp;AM$11&amp;"; ","")</f>
        <v/>
      </c>
      <c r="AN31" t="str">
        <f>IF(AND($V$9=1,(TRUNC(Courses!O25)&lt;&gt;Courses!O25)), "Row "&amp;Courses!$A25&amp;", "&amp;AN$9&amp;", "&amp;AN$10&amp;", "&amp;AN$11&amp;"; ","")</f>
        <v/>
      </c>
      <c r="AO31" t="str">
        <f>IF(AND($V$9=1,(TRUNC(Courses!P25)&lt;&gt;Courses!P25)), "Row "&amp;Courses!$A25&amp;", "&amp;AO$9&amp;", "&amp;AO$10&amp;", "&amp;AO$11&amp;"; ","")</f>
        <v/>
      </c>
      <c r="AP31" s="2120" t="str">
        <f>IF(AND($V$9=1,(TRUNC(Courses!Q25)&lt;&gt;Courses!Q25)), "Row "&amp;Courses!$A25&amp;", "&amp;AP$9&amp;", "&amp;AP$10&amp;"; ","")</f>
        <v/>
      </c>
      <c r="AQ31" s="1593" t="str">
        <f>IF(AND($V$9=1,(TRUNC(Courses!R25)&lt;&gt;Courses!R25)), "Row "&amp;Courses!$A25&amp;", "&amp;AQ$9&amp;", "&amp;AQ$10&amp;", "&amp;AQ$11&amp;"; ","")</f>
        <v/>
      </c>
      <c r="AR31" t="str">
        <f>IF(AND($V$9=1,(TRUNC(Courses!S25)&lt;&gt;Courses!S25)), "Row "&amp;Courses!$A25&amp;", "&amp;AR$9&amp;", "&amp;AR$10&amp;", "&amp;AR$11&amp;"; ","")</f>
        <v/>
      </c>
      <c r="AS31" t="str">
        <f>IF(AND($V$9=1,(TRUNC(Courses!T25)&lt;&gt;Courses!T25)), "Row "&amp;Courses!$A25&amp;", "&amp;AS$9&amp;", "&amp;AS$10&amp;", "&amp;AS$11&amp;"; ","")</f>
        <v/>
      </c>
      <c r="AT31" t="str">
        <f>IF(AND($V$9=1,(TRUNC(Courses!U25)&lt;&gt;Courses!U25)), "Row "&amp;Courses!$A25&amp;", "&amp;AT$9&amp;", "&amp;AT$10&amp;", "&amp;AT$11&amp;"; ","")</f>
        <v/>
      </c>
      <c r="AU31" s="2120" t="str">
        <f>IF(AND($V$9=1,(TRUNC(Courses!V25)&lt;&gt;Courses!V25)), "Row "&amp;Courses!$A25&amp;", "&amp;AU$9&amp;", "&amp;AU$10&amp;"; ","")</f>
        <v/>
      </c>
      <c r="AV31" s="1593" t="str">
        <f>IF(AND($V$9=1,(TRUNC(Courses!W25)&lt;&gt;Courses!W25)), "Row "&amp;Courses!$A25&amp;", "&amp;AV$9&amp;", "&amp;AV$10&amp;", "&amp;AV$11&amp;"; ","")</f>
        <v/>
      </c>
      <c r="AW31" t="str">
        <f>IF(AND($V$9=1,(TRUNC(Courses!X25)&lt;&gt;Courses!X25)), "Row "&amp;Courses!$A25&amp;", "&amp;AW$9&amp;", "&amp;AW$10&amp;", "&amp;AW$11&amp;"; ","")</f>
        <v/>
      </c>
      <c r="AX31" t="str">
        <f>IF(AND($V$9=1,(TRUNC(Courses!Y25)&lt;&gt;Courses!Y25)), "Row "&amp;Courses!$A25&amp;", "&amp;AX$9&amp;", "&amp;AX$10&amp;", "&amp;AX$11&amp;"; ","")</f>
        <v/>
      </c>
      <c r="AY31" t="str">
        <f>IF(AND($V$9=1,(TRUNC(Courses!Z25)&lt;&gt;Courses!Z25)), "Row "&amp;Courses!$A25&amp;", "&amp;AY$9&amp;", "&amp;AY$10&amp;", "&amp;AY$11&amp;"; ","")</f>
        <v/>
      </c>
      <c r="AZ31" s="2120" t="str">
        <f>IF(AND($V$9=1,(TRUNC(Courses!AA25)&lt;&gt;Courses!AA25)), "Row "&amp;Courses!$A25&amp;", "&amp;AZ$9&amp;", "&amp;AZ$10&amp;"; ","")</f>
        <v/>
      </c>
      <c r="BA31" s="17"/>
      <c r="BB31" s="118"/>
      <c r="BC31" s="3">
        <v>12</v>
      </c>
      <c r="BD31" s="1593" t="str">
        <f>IF(AND($W$9=1,Courses!M25&lt;0), "Row "&amp;Courses!$A25&amp;", "&amp;BD$9&amp;", "&amp;BD$10&amp;", "&amp;BD$11&amp;"; ","")</f>
        <v/>
      </c>
      <c r="BE31" t="str">
        <f>IF(AND($W$9=1,Courses!N25&lt;0), "Row "&amp;Courses!$A25&amp;", "&amp;BE$9&amp;", "&amp;BE$10&amp;", "&amp;BE$11&amp;"; ","")</f>
        <v/>
      </c>
      <c r="BF31" t="str">
        <f>IF(AND($W$9=1,Courses!O25&lt;0), "Row "&amp;Courses!$A25&amp;", "&amp;BF$9&amp;", "&amp;BF$10&amp;", "&amp;BF$11&amp;"; ","")</f>
        <v/>
      </c>
      <c r="BG31" t="str">
        <f>IF(AND($W$9=1,Courses!P25&lt;0), "Row "&amp;Courses!$A25&amp;", "&amp;BG$9&amp;", "&amp;BG$10&amp;", "&amp;BG$11&amp;"; ","")</f>
        <v/>
      </c>
      <c r="BH31" s="2120" t="str">
        <f>IF(AND($W$9=1,Courses!Q25&lt;0), "Row "&amp;Courses!$A25&amp;", "&amp;BH$9&amp;", "&amp;BH$10&amp;"; ","")</f>
        <v/>
      </c>
      <c r="BI31" s="1593" t="str">
        <f>IF(AND($W$9=1,Courses!R25&lt;0), "Row "&amp;Courses!$A25&amp;", "&amp;BI$9&amp;", "&amp;BI$10&amp;", "&amp;BI$11&amp;"; ","")</f>
        <v/>
      </c>
      <c r="BJ31" t="str">
        <f>IF(AND($W$9=1,Courses!S25&lt;0), "Row "&amp;Courses!$A25&amp;", "&amp;BJ$9&amp;", "&amp;BJ$10&amp;", "&amp;BJ$11&amp;"; ","")</f>
        <v/>
      </c>
      <c r="BK31" t="str">
        <f>IF(AND($W$9=1,Courses!T25&lt;0), "Row "&amp;Courses!$A25&amp;", "&amp;BK$9&amp;", "&amp;BK$10&amp;", "&amp;BK$11&amp;"; ","")</f>
        <v/>
      </c>
      <c r="BL31" t="str">
        <f>IF(AND($W$9=1,Courses!U25&lt;0), "Row "&amp;Courses!$A25&amp;", "&amp;BL$9&amp;", "&amp;BL$10&amp;", "&amp;BL$11&amp;"; ","")</f>
        <v/>
      </c>
      <c r="BM31" s="2120" t="str">
        <f>IF(AND($W$9=1,Courses!V25&lt;0), "Row "&amp;Courses!$A25&amp;", "&amp;BM$9&amp;", "&amp;BM$10&amp;"; ","")</f>
        <v/>
      </c>
      <c r="BN31" s="1593" t="str">
        <f>IF(AND($W$9=1,Courses!W25&lt;0), "Row "&amp;Courses!$A25&amp;", "&amp;BN$9&amp;", "&amp;BN$10&amp;", "&amp;BN$11&amp;"; ","")</f>
        <v/>
      </c>
      <c r="BO31" t="str">
        <f>IF(AND($W$9=1,Courses!X25&lt;0), "Row "&amp;Courses!$A25&amp;", "&amp;BO$9&amp;", "&amp;BO$10&amp;", "&amp;BO$11&amp;"; ","")</f>
        <v/>
      </c>
      <c r="BP31" t="str">
        <f>IF(AND($W$9=1,Courses!Y25&lt;0), "Row "&amp;Courses!$A25&amp;", "&amp;BP$9&amp;", "&amp;BP$10&amp;", "&amp;BP$11&amp;"; ","")</f>
        <v/>
      </c>
      <c r="BQ31" t="str">
        <f>IF(AND($W$9=1,Courses!Z25&lt;0), "Row "&amp;Courses!$A25&amp;", "&amp;BQ$9&amp;", "&amp;BQ$10&amp;", "&amp;BQ$11&amp;"; ","")</f>
        <v/>
      </c>
      <c r="BR31" s="2120" t="str">
        <f>IF(AND($W$9=1,Courses!AA25&lt;0), "Row "&amp;Courses!$A25&amp;", "&amp;BR$9&amp;", "&amp;BR$10&amp;"; ","")</f>
        <v/>
      </c>
      <c r="BT31" s="186">
        <v>12</v>
      </c>
      <c r="BU31" s="40">
        <f>IF(AND($X$9=1,Courses!B25="",Courses!F25="",Courses!H25="",Courses!J25="",Courses!K25="",Courses!L25="",Courses!M25=0,Courses!N25=0,Courses!O25=0,Courses!P25=0,Courses!Q25=0,Courses!R25=0,Courses!S25=0,Courses!T25=0,Courses!U25=0,Courses!V25=0,Courses!W25=0,Courses!X25=0,Courses!Y25=0,Courses!Z25=0,Courses!AA25=0),0,1)</f>
        <v>0</v>
      </c>
      <c r="BV31" s="40">
        <f>IF(AND(BU31=0,SUM(BU32:$BU$219)&gt;0),1,0)</f>
        <v>0</v>
      </c>
      <c r="BW31" s="1595" t="str">
        <f>IF(BV31=1,"Row "&amp;Courses!A25&amp;"; ","")</f>
        <v/>
      </c>
      <c r="BX31" s="17"/>
      <c r="BZ31" s="1592" t="str">
        <f>IF(AND($Y$9=1,Courses!B25&lt;&gt;"",SUM(Courses!M25:AA25)=0),"Row "&amp;Courses!A25&amp;"; ","")</f>
        <v/>
      </c>
      <c r="CA31" s="17"/>
      <c r="CC31" s="1592" t="str">
        <f>IF(AND($Z$9=1,Courses!AD25=1,(LEN(Courses!AB25)&gt;200)),"Row "&amp;Courses!A25&amp;"; ","")</f>
        <v/>
      </c>
      <c r="CE31" s="131"/>
      <c r="CG31" s="1593" t="str">
        <f>IF(AND($AD$9=1,Courses!E25&lt;&gt;"",Courses!F25&lt;&gt;"",Courses!F25=0,SUM(Courses!H25,Courses!J25)=1),"Row "&amp;Courses!A25&amp;", "&amp;Courses!$F$10&amp;"; ","")</f>
        <v/>
      </c>
      <c r="CH31" t="str">
        <f>IF(AND($AD$9=1,Courses!G25&lt;&gt;"",Courses!H25&lt;&gt;"",Courses!H25=0,SUM(Courses!J25,Courses!F25)=1),"Row "&amp;Courses!A25&amp;", "&amp;Courses!$H$10&amp;"; ","")</f>
        <v/>
      </c>
      <c r="CI31" s="183" t="str">
        <f>IF(AND($AD$9=1,Courses!I25&lt;&gt;"",Courses!J25&lt;&gt;"",Courses!J25=0, SUM(Courses!H25,Courses!F25)=1),"Row "&amp;Courses!A25&amp;", "&amp;Courses!$J$10&amp;"; ","")</f>
        <v/>
      </c>
      <c r="CJ31" s="180"/>
      <c r="CK31" s="181"/>
      <c r="CL31" s="1592" t="str">
        <f>IF(AND(Courses!B25&lt;&gt;"",ISNA(VLOOKUP(Courses!C25,CourseInfo,2,FALSE))=FALSE,COUNTIF(Dummy,Courses!C25)&lt;&gt;1),VLOOKUP(Courses!C25,CourseInfo,6,FALSE),"")</f>
        <v/>
      </c>
      <c r="CM31" s="1592" t="str">
        <f>IF(AND($AE$9=1,Courses!B25&lt;&gt;"",'Courses Valid'!AG31="",COUNTIF(Dummy,Courses!C25)&lt;&gt;1),IF(Courses!K25&lt;&gt;'Courses Valid'!CL31,"Row "&amp;Courses!A25&amp;", Level on LARS is "&amp;'Courses Valid'!CL31&amp;"; ",""),"")</f>
        <v/>
      </c>
      <c r="CN31" s="131"/>
    </row>
    <row r="32" spans="3:92" x14ac:dyDescent="0.35">
      <c r="C32" s="1591">
        <f t="shared" si="2"/>
        <v>0</v>
      </c>
      <c r="D32" s="41"/>
      <c r="E32" s="41"/>
      <c r="F32" s="118"/>
      <c r="G32" s="1591" t="str">
        <f>IF(SUMPRODUCT(--(CourseAims=Courses!$C26))=1,"",IF(AND($N$9=1,Courses!$C26&lt;&gt;""),"Row "&amp;Courses!A26&amp;" (invalid); ",""))</f>
        <v/>
      </c>
      <c r="H32" s="1592" t="str">
        <f>IF(AND($O$9=1,Courses!B26="",OR(Courses!F26&lt;&gt;"",Courses!H26&lt;&gt;"",Courses!J26&lt;&gt;"",Courses!K26&lt;&gt;"",Courses!L26&lt;&gt;"",Courses!M26&lt;&gt;0,Courses!N26&lt;&gt;0,Courses!O26&lt;&gt;0,Courses!P26&lt;&gt;0,Courses!Q26&lt;&gt;0,Courses!R26&lt;&gt;0,Courses!S26&lt;&gt;0,Courses!T26&lt;&gt;0,Courses!U26&lt;&gt;0,Courses!V26&lt;&gt;0,Courses!W26&lt;&gt;0,Courses!X26&lt;&gt;0,Courses!Y26&lt;&gt;0,Courses!Z26&lt;&gt;0,Courses!AA26&lt;&gt;0)),"Row "&amp;Courses!A26&amp;" (none); ","")</f>
        <v/>
      </c>
      <c r="I32" s="17"/>
      <c r="K32" s="1592" t="str">
        <f>Courses!B26&amp;Courses!K26&amp;Courses!L26</f>
        <v/>
      </c>
      <c r="L32" s="1592" t="str">
        <f>IF(AND($P$9=1,Courses!$B26&lt;&gt;"",COUNTIF(Dummy,Courses!$C26)&lt;&gt;1),IF(SUMPRODUCT(--($K$20:$K$219=$K32))&gt;1,"Row "&amp;Courses!$A26&amp;"; ",""),"")</f>
        <v/>
      </c>
      <c r="N32" s="118"/>
      <c r="O32" s="1593" t="str">
        <f>IF(AND($Q$9=1,Courses!E26&lt;&gt;"",Courses!F26=""),"Row "&amp;Courses!A26&amp;", "&amp;Courses!$E$10&amp;"; ","")</f>
        <v/>
      </c>
      <c r="P32" t="str">
        <f>IF(AND($Q$9=1,Courses!G26&lt;&gt;"",Courses!H26=""),"Row "&amp;Courses!A26&amp;", "&amp;Courses!$G$10&amp;"; ","")</f>
        <v/>
      </c>
      <c r="Q32" s="183" t="str">
        <f>IF(AND($Q$9=1,Courses!I26&lt;&gt;"",Courses!J26=""),"Row "&amp;Courses!A26&amp;", "&amp;Courses!$I$10&amp;"; ","")</f>
        <v/>
      </c>
      <c r="S32" s="17"/>
      <c r="T32" s="118"/>
      <c r="U32" s="1594" t="str">
        <f>IF(AND($R$9=1,Courses!B26&lt;&gt;"",Courses!E26&lt;&gt;"",Courses!G26="",Courses!I26="",Courses!F26&lt;&gt;1),"Row "&amp;Courses!A26&amp;"; ","")</f>
        <v/>
      </c>
      <c r="V32" t="str">
        <f>IF(AND($R$9=1,Courses!B26&lt;&gt;"",Courses!I26="",Courses!F26&lt;&gt;"",Courses!G26&lt;&gt;"",Courses!H26&lt;&gt;""),IF(OR((Courses!F26+Courses!H26)&lt;&gt;1),"Row "&amp;Courses!A26&amp;"; ",""),"")</f>
        <v/>
      </c>
      <c r="W32" s="183" t="str">
        <f>IF(AND($R$9=1,Courses!B26&lt;&gt;"",Courses!I26&lt;&gt;"",Courses!J26&lt;&gt;"",Courses!H26&lt;&gt;"",Courses!G26&lt;&gt;"",Courses!F26&lt;&gt;""),IF(OR((Courses!F26+Courses!H26+Courses!J26)&lt;&gt;1),"Row "&amp;Courses!A26&amp;"; ",""),"")</f>
        <v/>
      </c>
      <c r="Y32" s="1592" t="str">
        <f>IF(AND($R$9=1,Courses!E26&lt;&gt;"",U32="",V32="",W32="",SUM(Courses!F26,Courses!H26,Courses!J26)&lt;&gt;1),"Row "&amp;Courses!A26&amp;"; ","")</f>
        <v/>
      </c>
      <c r="Z32" s="17"/>
      <c r="AB32" s="1593" t="str">
        <f>IF(AND($S$9=1,Courses!B26&lt;&gt;"",Courses!E26&lt;&gt;"",Courses!F26&lt;&gt;""),IF((TRUNC(Courses!F26*100)&lt;&gt;Courses!F26*100),"Row "&amp;Courses!A26&amp;", "&amp;Courses!$F$10&amp;"; ",""),"")</f>
        <v/>
      </c>
      <c r="AC32" t="str">
        <f>IF(AND($S$9=1,Courses!B26&lt;&gt;"",Courses!G26&lt;&gt;"",Courses!H26&lt;&gt;""),IF((TRUNC(Courses!H26*100)&lt;&gt;Courses!H26*100),"Row "&amp;Courses!A26&amp;", "&amp;Courses!$H$10&amp;"; ",""),"")</f>
        <v/>
      </c>
      <c r="AD32" s="183" t="str">
        <f>IF(AND($S$9=1,Courses!B26&lt;&gt;"",Courses!I26&lt;&gt;"",Courses!J26&lt;&gt;""),IF((TRUNC(Courses!J26*100)&lt;&gt;Courses!J26*100),"Row "&amp;Courses!A26&amp;", "&amp;Courses!$J$10&amp;"; ",""),"")</f>
        <v/>
      </c>
      <c r="AF32" s="118"/>
      <c r="AG32" s="1592" t="str">
        <f>IF(AND($T$9=1,G32="",Courses!B26&lt;&gt;"",Courses!K26&lt;&gt;$B$9,Courses!K26&lt;&gt;$B$10,Courses!K26&lt;&gt;$B$11,Courses!K26&lt;&gt;$B$12,Courses!K26&lt;&gt;$B$13,Courses!K26&lt;&gt;$B$14),"Row "&amp;Courses!A26&amp;"; ","")</f>
        <v/>
      </c>
      <c r="AH32" s="1592" t="str">
        <f>IF(AND($U$9=1,G32="",Courses!B26&lt;&gt;"",Courses!L26&lt;&gt;"Standard",Courses!L26&lt;&gt;"Long"),"Row "&amp;Courses!A26&amp;"; ","")</f>
        <v/>
      </c>
      <c r="AJ32" s="118"/>
      <c r="AK32" s="3">
        <v>13</v>
      </c>
      <c r="AL32" s="1593" t="str">
        <f>IF(AND($V$9=1,(TRUNC(Courses!M26)&lt;&gt;Courses!M26)), "Row "&amp;Courses!$A26&amp;", "&amp;AL$9&amp;", "&amp;AL$10&amp;", "&amp;AL$11&amp;"; ","")</f>
        <v/>
      </c>
      <c r="AM32" t="str">
        <f>IF(AND($V$9=1,(TRUNC(Courses!N26)&lt;&gt;Courses!N26)), "Row "&amp;Courses!$A26&amp;", "&amp;AM$9&amp;", "&amp;AM$10&amp;", "&amp;AM$11&amp;"; ","")</f>
        <v/>
      </c>
      <c r="AN32" t="str">
        <f>IF(AND($V$9=1,(TRUNC(Courses!O26)&lt;&gt;Courses!O26)), "Row "&amp;Courses!$A26&amp;", "&amp;AN$9&amp;", "&amp;AN$10&amp;", "&amp;AN$11&amp;"; ","")</f>
        <v/>
      </c>
      <c r="AO32" t="str">
        <f>IF(AND($V$9=1,(TRUNC(Courses!P26)&lt;&gt;Courses!P26)), "Row "&amp;Courses!$A26&amp;", "&amp;AO$9&amp;", "&amp;AO$10&amp;", "&amp;AO$11&amp;"; ","")</f>
        <v/>
      </c>
      <c r="AP32" s="2120" t="str">
        <f>IF(AND($V$9=1,(TRUNC(Courses!Q26)&lt;&gt;Courses!Q26)), "Row "&amp;Courses!$A26&amp;", "&amp;AP$9&amp;", "&amp;AP$10&amp;"; ","")</f>
        <v/>
      </c>
      <c r="AQ32" s="1593" t="str">
        <f>IF(AND($V$9=1,(TRUNC(Courses!R26)&lt;&gt;Courses!R26)), "Row "&amp;Courses!$A26&amp;", "&amp;AQ$9&amp;", "&amp;AQ$10&amp;", "&amp;AQ$11&amp;"; ","")</f>
        <v/>
      </c>
      <c r="AR32" t="str">
        <f>IF(AND($V$9=1,(TRUNC(Courses!S26)&lt;&gt;Courses!S26)), "Row "&amp;Courses!$A26&amp;", "&amp;AR$9&amp;", "&amp;AR$10&amp;", "&amp;AR$11&amp;"; ","")</f>
        <v/>
      </c>
      <c r="AS32" t="str">
        <f>IF(AND($V$9=1,(TRUNC(Courses!T26)&lt;&gt;Courses!T26)), "Row "&amp;Courses!$A26&amp;", "&amp;AS$9&amp;", "&amp;AS$10&amp;", "&amp;AS$11&amp;"; ","")</f>
        <v/>
      </c>
      <c r="AT32" t="str">
        <f>IF(AND($V$9=1,(TRUNC(Courses!U26)&lt;&gt;Courses!U26)), "Row "&amp;Courses!$A26&amp;", "&amp;AT$9&amp;", "&amp;AT$10&amp;", "&amp;AT$11&amp;"; ","")</f>
        <v/>
      </c>
      <c r="AU32" s="2120" t="str">
        <f>IF(AND($V$9=1,(TRUNC(Courses!V26)&lt;&gt;Courses!V26)), "Row "&amp;Courses!$A26&amp;", "&amp;AU$9&amp;", "&amp;AU$10&amp;"; ","")</f>
        <v/>
      </c>
      <c r="AV32" s="1593" t="str">
        <f>IF(AND($V$9=1,(TRUNC(Courses!W26)&lt;&gt;Courses!W26)), "Row "&amp;Courses!$A26&amp;", "&amp;AV$9&amp;", "&amp;AV$10&amp;", "&amp;AV$11&amp;"; ","")</f>
        <v/>
      </c>
      <c r="AW32" t="str">
        <f>IF(AND($V$9=1,(TRUNC(Courses!X26)&lt;&gt;Courses!X26)), "Row "&amp;Courses!$A26&amp;", "&amp;AW$9&amp;", "&amp;AW$10&amp;", "&amp;AW$11&amp;"; ","")</f>
        <v/>
      </c>
      <c r="AX32" t="str">
        <f>IF(AND($V$9=1,(TRUNC(Courses!Y26)&lt;&gt;Courses!Y26)), "Row "&amp;Courses!$A26&amp;", "&amp;AX$9&amp;", "&amp;AX$10&amp;", "&amp;AX$11&amp;"; ","")</f>
        <v/>
      </c>
      <c r="AY32" t="str">
        <f>IF(AND($V$9=1,(TRUNC(Courses!Z26)&lt;&gt;Courses!Z26)), "Row "&amp;Courses!$A26&amp;", "&amp;AY$9&amp;", "&amp;AY$10&amp;", "&amp;AY$11&amp;"; ","")</f>
        <v/>
      </c>
      <c r="AZ32" s="2120" t="str">
        <f>IF(AND($V$9=1,(TRUNC(Courses!AA26)&lt;&gt;Courses!AA26)), "Row "&amp;Courses!$A26&amp;", "&amp;AZ$9&amp;", "&amp;AZ$10&amp;"; ","")</f>
        <v/>
      </c>
      <c r="BA32" s="17"/>
      <c r="BB32" s="118"/>
      <c r="BC32" s="3">
        <v>13</v>
      </c>
      <c r="BD32" s="1593" t="str">
        <f>IF(AND($W$9=1,Courses!M26&lt;0), "Row "&amp;Courses!$A26&amp;", "&amp;BD$9&amp;", "&amp;BD$10&amp;", "&amp;BD$11&amp;"; ","")</f>
        <v/>
      </c>
      <c r="BE32" t="str">
        <f>IF(AND($W$9=1,Courses!N26&lt;0), "Row "&amp;Courses!$A26&amp;", "&amp;BE$9&amp;", "&amp;BE$10&amp;", "&amp;BE$11&amp;"; ","")</f>
        <v/>
      </c>
      <c r="BF32" t="str">
        <f>IF(AND($W$9=1,Courses!O26&lt;0), "Row "&amp;Courses!$A26&amp;", "&amp;BF$9&amp;", "&amp;BF$10&amp;", "&amp;BF$11&amp;"; ","")</f>
        <v/>
      </c>
      <c r="BG32" t="str">
        <f>IF(AND($W$9=1,Courses!P26&lt;0), "Row "&amp;Courses!$A26&amp;", "&amp;BG$9&amp;", "&amp;BG$10&amp;", "&amp;BG$11&amp;"; ","")</f>
        <v/>
      </c>
      <c r="BH32" s="2120" t="str">
        <f>IF(AND($W$9=1,Courses!Q26&lt;0), "Row "&amp;Courses!$A26&amp;", "&amp;BH$9&amp;", "&amp;BH$10&amp;"; ","")</f>
        <v/>
      </c>
      <c r="BI32" s="1593" t="str">
        <f>IF(AND($W$9=1,Courses!R26&lt;0), "Row "&amp;Courses!$A26&amp;", "&amp;BI$9&amp;", "&amp;BI$10&amp;", "&amp;BI$11&amp;"; ","")</f>
        <v/>
      </c>
      <c r="BJ32" t="str">
        <f>IF(AND($W$9=1,Courses!S26&lt;0), "Row "&amp;Courses!$A26&amp;", "&amp;BJ$9&amp;", "&amp;BJ$10&amp;", "&amp;BJ$11&amp;"; ","")</f>
        <v/>
      </c>
      <c r="BK32" t="str">
        <f>IF(AND($W$9=1,Courses!T26&lt;0), "Row "&amp;Courses!$A26&amp;", "&amp;BK$9&amp;", "&amp;BK$10&amp;", "&amp;BK$11&amp;"; ","")</f>
        <v/>
      </c>
      <c r="BL32" t="str">
        <f>IF(AND($W$9=1,Courses!U26&lt;0), "Row "&amp;Courses!$A26&amp;", "&amp;BL$9&amp;", "&amp;BL$10&amp;", "&amp;BL$11&amp;"; ","")</f>
        <v/>
      </c>
      <c r="BM32" s="2120" t="str">
        <f>IF(AND($W$9=1,Courses!V26&lt;0), "Row "&amp;Courses!$A26&amp;", "&amp;BM$9&amp;", "&amp;BM$10&amp;"; ","")</f>
        <v/>
      </c>
      <c r="BN32" s="1593" t="str">
        <f>IF(AND($W$9=1,Courses!W26&lt;0), "Row "&amp;Courses!$A26&amp;", "&amp;BN$9&amp;", "&amp;BN$10&amp;", "&amp;BN$11&amp;"; ","")</f>
        <v/>
      </c>
      <c r="BO32" t="str">
        <f>IF(AND($W$9=1,Courses!X26&lt;0), "Row "&amp;Courses!$A26&amp;", "&amp;BO$9&amp;", "&amp;BO$10&amp;", "&amp;BO$11&amp;"; ","")</f>
        <v/>
      </c>
      <c r="BP32" t="str">
        <f>IF(AND($W$9=1,Courses!Y26&lt;0), "Row "&amp;Courses!$A26&amp;", "&amp;BP$9&amp;", "&amp;BP$10&amp;", "&amp;BP$11&amp;"; ","")</f>
        <v/>
      </c>
      <c r="BQ32" t="str">
        <f>IF(AND($W$9=1,Courses!Z26&lt;0), "Row "&amp;Courses!$A26&amp;", "&amp;BQ$9&amp;", "&amp;BQ$10&amp;", "&amp;BQ$11&amp;"; ","")</f>
        <v/>
      </c>
      <c r="BR32" s="2120" t="str">
        <f>IF(AND($W$9=1,Courses!AA26&lt;0), "Row "&amp;Courses!$A26&amp;", "&amp;BR$9&amp;", "&amp;BR$10&amp;"; ","")</f>
        <v/>
      </c>
      <c r="BT32" s="186">
        <v>13</v>
      </c>
      <c r="BU32" s="40">
        <f>IF(AND($X$9=1,Courses!B26="",Courses!F26="",Courses!H26="",Courses!J26="",Courses!K26="",Courses!L26="",Courses!M26=0,Courses!N26=0,Courses!O26=0,Courses!P26=0,Courses!Q26=0,Courses!R26=0,Courses!S26=0,Courses!T26=0,Courses!U26=0,Courses!V26=0,Courses!W26=0,Courses!X26=0,Courses!Y26=0,Courses!Z26=0,Courses!AA26=0),0,1)</f>
        <v>0</v>
      </c>
      <c r="BV32" s="40">
        <f>IF(AND(BU32=0,SUM(BU33:$BU$219)&gt;0),1,0)</f>
        <v>0</v>
      </c>
      <c r="BW32" s="1595" t="str">
        <f>IF(BV32=1,"Row "&amp;Courses!A26&amp;"; ","")</f>
        <v/>
      </c>
      <c r="BX32" s="17"/>
      <c r="BZ32" s="1592" t="str">
        <f>IF(AND($Y$9=1,Courses!B26&lt;&gt;"",SUM(Courses!M26:AA26)=0),"Row "&amp;Courses!A26&amp;"; ","")</f>
        <v/>
      </c>
      <c r="CA32" s="17"/>
      <c r="CC32" s="1592" t="str">
        <f>IF(AND($Z$9=1,Courses!AD26=1,(LEN(Courses!AB26)&gt;200)),"Row "&amp;Courses!A26&amp;"; ","")</f>
        <v/>
      </c>
      <c r="CE32" s="131"/>
      <c r="CG32" s="1593" t="str">
        <f>IF(AND($AD$9=1,Courses!E26&lt;&gt;"",Courses!F26&lt;&gt;"",Courses!F26=0,SUM(Courses!H26,Courses!J26)=1),"Row "&amp;Courses!A26&amp;", "&amp;Courses!$F$10&amp;"; ","")</f>
        <v/>
      </c>
      <c r="CH32" t="str">
        <f>IF(AND($AD$9=1,Courses!G26&lt;&gt;"",Courses!H26&lt;&gt;"",Courses!H26=0,SUM(Courses!J26,Courses!F26)=1),"Row "&amp;Courses!A26&amp;", "&amp;Courses!$H$10&amp;"; ","")</f>
        <v/>
      </c>
      <c r="CI32" s="183" t="str">
        <f>IF(AND($AD$9=1,Courses!I26&lt;&gt;"",Courses!J26&lt;&gt;"",Courses!J26=0, SUM(Courses!H26,Courses!F26)=1),"Row "&amp;Courses!A26&amp;", "&amp;Courses!$J$10&amp;"; ","")</f>
        <v/>
      </c>
      <c r="CJ32" s="180"/>
      <c r="CK32" s="181"/>
      <c r="CL32" s="1592" t="str">
        <f>IF(AND(Courses!B26&lt;&gt;"",ISNA(VLOOKUP(Courses!C26,CourseInfo,2,FALSE))=FALSE,COUNTIF(Dummy,Courses!C26)&lt;&gt;1),VLOOKUP(Courses!C26,CourseInfo,6,FALSE),"")</f>
        <v/>
      </c>
      <c r="CM32" s="1592" t="str">
        <f>IF(AND($AE$9=1,Courses!B26&lt;&gt;"",'Courses Valid'!AG32="",COUNTIF(Dummy,Courses!C26)&lt;&gt;1),IF(Courses!K26&lt;&gt;'Courses Valid'!CL32,"Row "&amp;Courses!A26&amp;", Level on LARS is "&amp;'Courses Valid'!CL32&amp;"; ",""),"")</f>
        <v/>
      </c>
      <c r="CN32" s="131"/>
    </row>
    <row r="33" spans="3:92" x14ac:dyDescent="0.35">
      <c r="C33" s="1591">
        <f t="shared" si="2"/>
        <v>0</v>
      </c>
      <c r="D33" s="41"/>
      <c r="E33" s="41"/>
      <c r="F33" s="118"/>
      <c r="G33" s="1591" t="str">
        <f>IF(SUMPRODUCT(--(CourseAims=Courses!$C27))=1,"",IF(AND($N$9=1,Courses!$C27&lt;&gt;""),"Row "&amp;Courses!A27&amp;" (invalid); ",""))</f>
        <v/>
      </c>
      <c r="H33" s="1592" t="str">
        <f>IF(AND($O$9=1,Courses!B27="",OR(Courses!F27&lt;&gt;"",Courses!H27&lt;&gt;"",Courses!J27&lt;&gt;"",Courses!K27&lt;&gt;"",Courses!L27&lt;&gt;"",Courses!M27&lt;&gt;0,Courses!N27&lt;&gt;0,Courses!O27&lt;&gt;0,Courses!P27&lt;&gt;0,Courses!Q27&lt;&gt;0,Courses!R27&lt;&gt;0,Courses!S27&lt;&gt;0,Courses!T27&lt;&gt;0,Courses!U27&lt;&gt;0,Courses!V27&lt;&gt;0,Courses!W27&lt;&gt;0,Courses!X27&lt;&gt;0,Courses!Y27&lt;&gt;0,Courses!Z27&lt;&gt;0,Courses!AA27&lt;&gt;0)),"Row "&amp;Courses!A27&amp;" (none); ","")</f>
        <v/>
      </c>
      <c r="I33" s="17"/>
      <c r="K33" s="1592" t="str">
        <f>Courses!B27&amp;Courses!K27&amp;Courses!L27</f>
        <v/>
      </c>
      <c r="L33" s="1592" t="str">
        <f>IF(AND($P$9=1,Courses!$B27&lt;&gt;"",COUNTIF(Dummy,Courses!$C27)&lt;&gt;1),IF(SUMPRODUCT(--($K$20:$K$219=$K33))&gt;1,"Row "&amp;Courses!$A27&amp;"; ",""),"")</f>
        <v/>
      </c>
      <c r="N33" s="118"/>
      <c r="O33" s="1593" t="str">
        <f>IF(AND($Q$9=1,Courses!E27&lt;&gt;"",Courses!F27=""),"Row "&amp;Courses!A27&amp;", "&amp;Courses!$E$10&amp;"; ","")</f>
        <v/>
      </c>
      <c r="P33" t="str">
        <f>IF(AND($Q$9=1,Courses!G27&lt;&gt;"",Courses!H27=""),"Row "&amp;Courses!A27&amp;", "&amp;Courses!$G$10&amp;"; ","")</f>
        <v/>
      </c>
      <c r="Q33" s="183" t="str">
        <f>IF(AND($Q$9=1,Courses!I27&lt;&gt;"",Courses!J27=""),"Row "&amp;Courses!A27&amp;", "&amp;Courses!$I$10&amp;"; ","")</f>
        <v/>
      </c>
      <c r="S33" s="17"/>
      <c r="T33" s="118"/>
      <c r="U33" s="1594" t="str">
        <f>IF(AND($R$9=1,Courses!B27&lt;&gt;"",Courses!E27&lt;&gt;"",Courses!G27="",Courses!I27="",Courses!F27&lt;&gt;1),"Row "&amp;Courses!A27&amp;"; ","")</f>
        <v/>
      </c>
      <c r="V33" t="str">
        <f>IF(AND($R$9=1,Courses!B27&lt;&gt;"",Courses!I27="",Courses!F27&lt;&gt;"",Courses!G27&lt;&gt;"",Courses!H27&lt;&gt;""),IF(OR((Courses!F27+Courses!H27)&lt;&gt;1),"Row "&amp;Courses!A27&amp;"; ",""),"")</f>
        <v/>
      </c>
      <c r="W33" s="183" t="str">
        <f>IF(AND($R$9=1,Courses!B27&lt;&gt;"",Courses!I27&lt;&gt;"",Courses!J27&lt;&gt;"",Courses!H27&lt;&gt;"",Courses!G27&lt;&gt;"",Courses!F27&lt;&gt;""),IF(OR((Courses!F27+Courses!H27+Courses!J27)&lt;&gt;1),"Row "&amp;Courses!A27&amp;"; ",""),"")</f>
        <v/>
      </c>
      <c r="Y33" s="1592" t="str">
        <f>IF(AND($R$9=1,Courses!E27&lt;&gt;"",U33="",V33="",W33="",SUM(Courses!F27,Courses!H27,Courses!J27)&lt;&gt;1),"Row "&amp;Courses!A27&amp;"; ","")</f>
        <v/>
      </c>
      <c r="Z33" s="17"/>
      <c r="AB33" s="1593" t="str">
        <f>IF(AND($S$9=1,Courses!B27&lt;&gt;"",Courses!E27&lt;&gt;"",Courses!F27&lt;&gt;""),IF((TRUNC(Courses!F27*100)&lt;&gt;Courses!F27*100),"Row "&amp;Courses!A27&amp;", "&amp;Courses!$F$10&amp;"; ",""),"")</f>
        <v/>
      </c>
      <c r="AC33" t="str">
        <f>IF(AND($S$9=1,Courses!B27&lt;&gt;"",Courses!G27&lt;&gt;"",Courses!H27&lt;&gt;""),IF((TRUNC(Courses!H27*100)&lt;&gt;Courses!H27*100),"Row "&amp;Courses!A27&amp;", "&amp;Courses!$H$10&amp;"; ",""),"")</f>
        <v/>
      </c>
      <c r="AD33" s="183" t="str">
        <f>IF(AND($S$9=1,Courses!B27&lt;&gt;"",Courses!I27&lt;&gt;"",Courses!J27&lt;&gt;""),IF((TRUNC(Courses!J27*100)&lt;&gt;Courses!J27*100),"Row "&amp;Courses!A27&amp;", "&amp;Courses!$J$10&amp;"; ",""),"")</f>
        <v/>
      </c>
      <c r="AF33" s="118"/>
      <c r="AG33" s="1592" t="str">
        <f>IF(AND($T$9=1,G33="",Courses!B27&lt;&gt;"",Courses!K27&lt;&gt;$B$9,Courses!K27&lt;&gt;$B$10,Courses!K27&lt;&gt;$B$11,Courses!K27&lt;&gt;$B$12,Courses!K27&lt;&gt;$B$13,Courses!K27&lt;&gt;$B$14),"Row "&amp;Courses!A27&amp;"; ","")</f>
        <v/>
      </c>
      <c r="AH33" s="1592" t="str">
        <f>IF(AND($U$9=1,G33="",Courses!B27&lt;&gt;"",Courses!L27&lt;&gt;"Standard",Courses!L27&lt;&gt;"Long"),"Row "&amp;Courses!A27&amp;"; ","")</f>
        <v/>
      </c>
      <c r="AJ33" s="118"/>
      <c r="AK33" s="3">
        <v>14</v>
      </c>
      <c r="AL33" s="1593" t="str">
        <f>IF(AND($V$9=1,(TRUNC(Courses!M27)&lt;&gt;Courses!M27)), "Row "&amp;Courses!$A27&amp;", "&amp;AL$9&amp;", "&amp;AL$10&amp;", "&amp;AL$11&amp;"; ","")</f>
        <v/>
      </c>
      <c r="AM33" t="str">
        <f>IF(AND($V$9=1,(TRUNC(Courses!N27)&lt;&gt;Courses!N27)), "Row "&amp;Courses!$A27&amp;", "&amp;AM$9&amp;", "&amp;AM$10&amp;", "&amp;AM$11&amp;"; ","")</f>
        <v/>
      </c>
      <c r="AN33" t="str">
        <f>IF(AND($V$9=1,(TRUNC(Courses!O27)&lt;&gt;Courses!O27)), "Row "&amp;Courses!$A27&amp;", "&amp;AN$9&amp;", "&amp;AN$10&amp;", "&amp;AN$11&amp;"; ","")</f>
        <v/>
      </c>
      <c r="AO33" t="str">
        <f>IF(AND($V$9=1,(TRUNC(Courses!P27)&lt;&gt;Courses!P27)), "Row "&amp;Courses!$A27&amp;", "&amp;AO$9&amp;", "&amp;AO$10&amp;", "&amp;AO$11&amp;"; ","")</f>
        <v/>
      </c>
      <c r="AP33" s="2120" t="str">
        <f>IF(AND($V$9=1,(TRUNC(Courses!Q27)&lt;&gt;Courses!Q27)), "Row "&amp;Courses!$A27&amp;", "&amp;AP$9&amp;", "&amp;AP$10&amp;"; ","")</f>
        <v/>
      </c>
      <c r="AQ33" s="1593" t="str">
        <f>IF(AND($V$9=1,(TRUNC(Courses!R27)&lt;&gt;Courses!R27)), "Row "&amp;Courses!$A27&amp;", "&amp;AQ$9&amp;", "&amp;AQ$10&amp;", "&amp;AQ$11&amp;"; ","")</f>
        <v/>
      </c>
      <c r="AR33" t="str">
        <f>IF(AND($V$9=1,(TRUNC(Courses!S27)&lt;&gt;Courses!S27)), "Row "&amp;Courses!$A27&amp;", "&amp;AR$9&amp;", "&amp;AR$10&amp;", "&amp;AR$11&amp;"; ","")</f>
        <v/>
      </c>
      <c r="AS33" t="str">
        <f>IF(AND($V$9=1,(TRUNC(Courses!T27)&lt;&gt;Courses!T27)), "Row "&amp;Courses!$A27&amp;", "&amp;AS$9&amp;", "&amp;AS$10&amp;", "&amp;AS$11&amp;"; ","")</f>
        <v/>
      </c>
      <c r="AT33" t="str">
        <f>IF(AND($V$9=1,(TRUNC(Courses!U27)&lt;&gt;Courses!U27)), "Row "&amp;Courses!$A27&amp;", "&amp;AT$9&amp;", "&amp;AT$10&amp;", "&amp;AT$11&amp;"; ","")</f>
        <v/>
      </c>
      <c r="AU33" s="2120" t="str">
        <f>IF(AND($V$9=1,(TRUNC(Courses!V27)&lt;&gt;Courses!V27)), "Row "&amp;Courses!$A27&amp;", "&amp;AU$9&amp;", "&amp;AU$10&amp;"; ","")</f>
        <v/>
      </c>
      <c r="AV33" s="1593" t="str">
        <f>IF(AND($V$9=1,(TRUNC(Courses!W27)&lt;&gt;Courses!W27)), "Row "&amp;Courses!$A27&amp;", "&amp;AV$9&amp;", "&amp;AV$10&amp;", "&amp;AV$11&amp;"; ","")</f>
        <v/>
      </c>
      <c r="AW33" t="str">
        <f>IF(AND($V$9=1,(TRUNC(Courses!X27)&lt;&gt;Courses!X27)), "Row "&amp;Courses!$A27&amp;", "&amp;AW$9&amp;", "&amp;AW$10&amp;", "&amp;AW$11&amp;"; ","")</f>
        <v/>
      </c>
      <c r="AX33" t="str">
        <f>IF(AND($V$9=1,(TRUNC(Courses!Y27)&lt;&gt;Courses!Y27)), "Row "&amp;Courses!$A27&amp;", "&amp;AX$9&amp;", "&amp;AX$10&amp;", "&amp;AX$11&amp;"; ","")</f>
        <v/>
      </c>
      <c r="AY33" t="str">
        <f>IF(AND($V$9=1,(TRUNC(Courses!Z27)&lt;&gt;Courses!Z27)), "Row "&amp;Courses!$A27&amp;", "&amp;AY$9&amp;", "&amp;AY$10&amp;", "&amp;AY$11&amp;"; ","")</f>
        <v/>
      </c>
      <c r="AZ33" s="2120" t="str">
        <f>IF(AND($V$9=1,(TRUNC(Courses!AA27)&lt;&gt;Courses!AA27)), "Row "&amp;Courses!$A27&amp;", "&amp;AZ$9&amp;", "&amp;AZ$10&amp;"; ","")</f>
        <v/>
      </c>
      <c r="BA33" s="17"/>
      <c r="BB33" s="118"/>
      <c r="BC33" s="3">
        <v>14</v>
      </c>
      <c r="BD33" s="1593" t="str">
        <f>IF(AND($W$9=1,Courses!M27&lt;0), "Row "&amp;Courses!$A27&amp;", "&amp;BD$9&amp;", "&amp;BD$10&amp;", "&amp;BD$11&amp;"; ","")</f>
        <v/>
      </c>
      <c r="BE33" t="str">
        <f>IF(AND($W$9=1,Courses!N27&lt;0), "Row "&amp;Courses!$A27&amp;", "&amp;BE$9&amp;", "&amp;BE$10&amp;", "&amp;BE$11&amp;"; ","")</f>
        <v/>
      </c>
      <c r="BF33" t="str">
        <f>IF(AND($W$9=1,Courses!O27&lt;0), "Row "&amp;Courses!$A27&amp;", "&amp;BF$9&amp;", "&amp;BF$10&amp;", "&amp;BF$11&amp;"; ","")</f>
        <v/>
      </c>
      <c r="BG33" t="str">
        <f>IF(AND($W$9=1,Courses!P27&lt;0), "Row "&amp;Courses!$A27&amp;", "&amp;BG$9&amp;", "&amp;BG$10&amp;", "&amp;BG$11&amp;"; ","")</f>
        <v/>
      </c>
      <c r="BH33" s="2120" t="str">
        <f>IF(AND($W$9=1,Courses!Q27&lt;0), "Row "&amp;Courses!$A27&amp;", "&amp;BH$9&amp;", "&amp;BH$10&amp;"; ","")</f>
        <v/>
      </c>
      <c r="BI33" s="1593" t="str">
        <f>IF(AND($W$9=1,Courses!R27&lt;0), "Row "&amp;Courses!$A27&amp;", "&amp;BI$9&amp;", "&amp;BI$10&amp;", "&amp;BI$11&amp;"; ","")</f>
        <v/>
      </c>
      <c r="BJ33" t="str">
        <f>IF(AND($W$9=1,Courses!S27&lt;0), "Row "&amp;Courses!$A27&amp;", "&amp;BJ$9&amp;", "&amp;BJ$10&amp;", "&amp;BJ$11&amp;"; ","")</f>
        <v/>
      </c>
      <c r="BK33" t="str">
        <f>IF(AND($W$9=1,Courses!T27&lt;0), "Row "&amp;Courses!$A27&amp;", "&amp;BK$9&amp;", "&amp;BK$10&amp;", "&amp;BK$11&amp;"; ","")</f>
        <v/>
      </c>
      <c r="BL33" t="str">
        <f>IF(AND($W$9=1,Courses!U27&lt;0), "Row "&amp;Courses!$A27&amp;", "&amp;BL$9&amp;", "&amp;BL$10&amp;", "&amp;BL$11&amp;"; ","")</f>
        <v/>
      </c>
      <c r="BM33" s="2120" t="str">
        <f>IF(AND($W$9=1,Courses!V27&lt;0), "Row "&amp;Courses!$A27&amp;", "&amp;BM$9&amp;", "&amp;BM$10&amp;"; ","")</f>
        <v/>
      </c>
      <c r="BN33" s="1593" t="str">
        <f>IF(AND($W$9=1,Courses!W27&lt;0), "Row "&amp;Courses!$A27&amp;", "&amp;BN$9&amp;", "&amp;BN$10&amp;", "&amp;BN$11&amp;"; ","")</f>
        <v/>
      </c>
      <c r="BO33" t="str">
        <f>IF(AND($W$9=1,Courses!X27&lt;0), "Row "&amp;Courses!$A27&amp;", "&amp;BO$9&amp;", "&amp;BO$10&amp;", "&amp;BO$11&amp;"; ","")</f>
        <v/>
      </c>
      <c r="BP33" t="str">
        <f>IF(AND($W$9=1,Courses!Y27&lt;0), "Row "&amp;Courses!$A27&amp;", "&amp;BP$9&amp;", "&amp;BP$10&amp;", "&amp;BP$11&amp;"; ","")</f>
        <v/>
      </c>
      <c r="BQ33" t="str">
        <f>IF(AND($W$9=1,Courses!Z27&lt;0), "Row "&amp;Courses!$A27&amp;", "&amp;BQ$9&amp;", "&amp;BQ$10&amp;", "&amp;BQ$11&amp;"; ","")</f>
        <v/>
      </c>
      <c r="BR33" s="2120" t="str">
        <f>IF(AND($W$9=1,Courses!AA27&lt;0), "Row "&amp;Courses!$A27&amp;", "&amp;BR$9&amp;", "&amp;BR$10&amp;"; ","")</f>
        <v/>
      </c>
      <c r="BT33" s="186">
        <v>14</v>
      </c>
      <c r="BU33" s="40">
        <f>IF(AND($X$9=1,Courses!B27="",Courses!F27="",Courses!H27="",Courses!J27="",Courses!K27="",Courses!L27="",Courses!M27=0,Courses!N27=0,Courses!O27=0,Courses!P27=0,Courses!Q27=0,Courses!R27=0,Courses!S27=0,Courses!T27=0,Courses!U27=0,Courses!V27=0,Courses!W27=0,Courses!X27=0,Courses!Y27=0,Courses!Z27=0,Courses!AA27=0),0,1)</f>
        <v>0</v>
      </c>
      <c r="BV33" s="40">
        <f>IF(AND(BU33=0,SUM(BU34:$BU$219)&gt;0),1,0)</f>
        <v>0</v>
      </c>
      <c r="BW33" s="1595" t="str">
        <f>IF(BV33=1,"Row "&amp;Courses!A27&amp;"; ","")</f>
        <v/>
      </c>
      <c r="BX33" s="17"/>
      <c r="BZ33" s="1592" t="str">
        <f>IF(AND($Y$9=1,Courses!B27&lt;&gt;"",SUM(Courses!M27:AA27)=0),"Row "&amp;Courses!A27&amp;"; ","")</f>
        <v/>
      </c>
      <c r="CA33" s="17"/>
      <c r="CC33" s="1592" t="str">
        <f>IF(AND($Z$9=1,Courses!AD27=1,(LEN(Courses!AB27)&gt;200)),"Row "&amp;Courses!A27&amp;"; ","")</f>
        <v/>
      </c>
      <c r="CE33" s="131"/>
      <c r="CG33" s="1593" t="str">
        <f>IF(AND($AD$9=1,Courses!E27&lt;&gt;"",Courses!F27&lt;&gt;"",Courses!F27=0,SUM(Courses!H27,Courses!J27)=1),"Row "&amp;Courses!A27&amp;", "&amp;Courses!$F$10&amp;"; ","")</f>
        <v/>
      </c>
      <c r="CH33" t="str">
        <f>IF(AND($AD$9=1,Courses!G27&lt;&gt;"",Courses!H27&lt;&gt;"",Courses!H27=0,SUM(Courses!J27,Courses!F27)=1),"Row "&amp;Courses!A27&amp;", "&amp;Courses!$H$10&amp;"; ","")</f>
        <v/>
      </c>
      <c r="CI33" s="183" t="str">
        <f>IF(AND($AD$9=1,Courses!I27&lt;&gt;"",Courses!J27&lt;&gt;"",Courses!J27=0, SUM(Courses!H27,Courses!F27)=1),"Row "&amp;Courses!A27&amp;", "&amp;Courses!$J$10&amp;"; ","")</f>
        <v/>
      </c>
      <c r="CJ33" s="180"/>
      <c r="CK33" s="181"/>
      <c r="CL33" s="1592" t="str">
        <f>IF(AND(Courses!B27&lt;&gt;"",ISNA(VLOOKUP(Courses!C27,CourseInfo,2,FALSE))=FALSE,COUNTIF(Dummy,Courses!C27)&lt;&gt;1),VLOOKUP(Courses!C27,CourseInfo,6,FALSE),"")</f>
        <v/>
      </c>
      <c r="CM33" s="1592" t="str">
        <f>IF(AND($AE$9=1,Courses!B27&lt;&gt;"",'Courses Valid'!AG33="",COUNTIF(Dummy,Courses!C27)&lt;&gt;1),IF(Courses!K27&lt;&gt;'Courses Valid'!CL33,"Row "&amp;Courses!A27&amp;", Level on LARS is "&amp;'Courses Valid'!CL33&amp;"; ",""),"")</f>
        <v/>
      </c>
      <c r="CN33" s="131"/>
    </row>
    <row r="34" spans="3:92" x14ac:dyDescent="0.35">
      <c r="C34" s="1591">
        <f t="shared" si="2"/>
        <v>0</v>
      </c>
      <c r="D34" s="41"/>
      <c r="E34" s="41"/>
      <c r="F34" s="118"/>
      <c r="G34" s="1591" t="str">
        <f>IF(SUMPRODUCT(--(CourseAims=Courses!$C28))=1,"",IF(AND($N$9=1,Courses!$C28&lt;&gt;""),"Row "&amp;Courses!A28&amp;" (invalid); ",""))</f>
        <v/>
      </c>
      <c r="H34" s="1592" t="str">
        <f>IF(AND($O$9=1,Courses!B28="",OR(Courses!F28&lt;&gt;"",Courses!H28&lt;&gt;"",Courses!J28&lt;&gt;"",Courses!K28&lt;&gt;"",Courses!L28&lt;&gt;"",Courses!M28&lt;&gt;0,Courses!N28&lt;&gt;0,Courses!O28&lt;&gt;0,Courses!P28&lt;&gt;0,Courses!Q28&lt;&gt;0,Courses!R28&lt;&gt;0,Courses!S28&lt;&gt;0,Courses!T28&lt;&gt;0,Courses!U28&lt;&gt;0,Courses!V28&lt;&gt;0,Courses!W28&lt;&gt;0,Courses!X28&lt;&gt;0,Courses!Y28&lt;&gt;0,Courses!Z28&lt;&gt;0,Courses!AA28&lt;&gt;0)),"Row "&amp;Courses!A28&amp;" (none); ","")</f>
        <v/>
      </c>
      <c r="I34" s="17"/>
      <c r="K34" s="1592" t="str">
        <f>Courses!B28&amp;Courses!K28&amp;Courses!L28</f>
        <v/>
      </c>
      <c r="L34" s="1592" t="str">
        <f>IF(AND($P$9=1,Courses!$B28&lt;&gt;"",COUNTIF(Dummy,Courses!$C28)&lt;&gt;1),IF(SUMPRODUCT(--($K$20:$K$219=$K34))&gt;1,"Row "&amp;Courses!$A28&amp;"; ",""),"")</f>
        <v/>
      </c>
      <c r="N34" s="118"/>
      <c r="O34" s="1593" t="str">
        <f>IF(AND($Q$9=1,Courses!E28&lt;&gt;"",Courses!F28=""),"Row "&amp;Courses!A28&amp;", "&amp;Courses!$E$10&amp;"; ","")</f>
        <v/>
      </c>
      <c r="P34" t="str">
        <f>IF(AND($Q$9=1,Courses!G28&lt;&gt;"",Courses!H28=""),"Row "&amp;Courses!A28&amp;", "&amp;Courses!$G$10&amp;"; ","")</f>
        <v/>
      </c>
      <c r="Q34" s="183" t="str">
        <f>IF(AND($Q$9=1,Courses!I28&lt;&gt;"",Courses!J28=""),"Row "&amp;Courses!A28&amp;", "&amp;Courses!$I$10&amp;"; ","")</f>
        <v/>
      </c>
      <c r="S34" s="17"/>
      <c r="T34" s="118"/>
      <c r="U34" s="1594" t="str">
        <f>IF(AND($R$9=1,Courses!B28&lt;&gt;"",Courses!E28&lt;&gt;"",Courses!G28="",Courses!I28="",Courses!F28&lt;&gt;1),"Row "&amp;Courses!A28&amp;"; ","")</f>
        <v/>
      </c>
      <c r="V34" t="str">
        <f>IF(AND($R$9=1,Courses!B28&lt;&gt;"",Courses!I28="",Courses!F28&lt;&gt;"",Courses!G28&lt;&gt;"",Courses!H28&lt;&gt;""),IF(OR((Courses!F28+Courses!H28)&lt;&gt;1),"Row "&amp;Courses!A28&amp;"; ",""),"")</f>
        <v/>
      </c>
      <c r="W34" s="183" t="str">
        <f>IF(AND($R$9=1,Courses!B28&lt;&gt;"",Courses!I28&lt;&gt;"",Courses!J28&lt;&gt;"",Courses!H28&lt;&gt;"",Courses!G28&lt;&gt;"",Courses!F28&lt;&gt;""),IF(OR((Courses!F28+Courses!H28+Courses!J28)&lt;&gt;1),"Row "&amp;Courses!A28&amp;"; ",""),"")</f>
        <v/>
      </c>
      <c r="Y34" s="1592" t="str">
        <f>IF(AND($R$9=1,Courses!E28&lt;&gt;"",U34="",V34="",W34="",SUM(Courses!F28,Courses!H28,Courses!J28)&lt;&gt;1),"Row "&amp;Courses!A28&amp;"; ","")</f>
        <v/>
      </c>
      <c r="Z34" s="17"/>
      <c r="AB34" s="1593" t="str">
        <f>IF(AND($S$9=1,Courses!B28&lt;&gt;"",Courses!E28&lt;&gt;"",Courses!F28&lt;&gt;""),IF((TRUNC(Courses!F28*100)&lt;&gt;Courses!F28*100),"Row "&amp;Courses!A28&amp;", "&amp;Courses!$F$10&amp;"; ",""),"")</f>
        <v/>
      </c>
      <c r="AC34" t="str">
        <f>IF(AND($S$9=1,Courses!B28&lt;&gt;"",Courses!G28&lt;&gt;"",Courses!H28&lt;&gt;""),IF((TRUNC(Courses!H28*100)&lt;&gt;Courses!H28*100),"Row "&amp;Courses!A28&amp;", "&amp;Courses!$H$10&amp;"; ",""),"")</f>
        <v/>
      </c>
      <c r="AD34" s="183" t="str">
        <f>IF(AND($S$9=1,Courses!B28&lt;&gt;"",Courses!I28&lt;&gt;"",Courses!J28&lt;&gt;""),IF((TRUNC(Courses!J28*100)&lt;&gt;Courses!J28*100),"Row "&amp;Courses!A28&amp;", "&amp;Courses!$J$10&amp;"; ",""),"")</f>
        <v/>
      </c>
      <c r="AF34" s="118"/>
      <c r="AG34" s="1592" t="str">
        <f>IF(AND($T$9=1,G34="",Courses!B28&lt;&gt;"",Courses!K28&lt;&gt;$B$9,Courses!K28&lt;&gt;$B$10,Courses!K28&lt;&gt;$B$11,Courses!K28&lt;&gt;$B$12,Courses!K28&lt;&gt;$B$13,Courses!K28&lt;&gt;$B$14),"Row "&amp;Courses!A28&amp;"; ","")</f>
        <v/>
      </c>
      <c r="AH34" s="1592" t="str">
        <f>IF(AND($U$9=1,G34="",Courses!B28&lt;&gt;"",Courses!L28&lt;&gt;"Standard",Courses!L28&lt;&gt;"Long"),"Row "&amp;Courses!A28&amp;"; ","")</f>
        <v/>
      </c>
      <c r="AJ34" s="118"/>
      <c r="AK34" s="3">
        <v>15</v>
      </c>
      <c r="AL34" s="1593" t="str">
        <f>IF(AND($V$9=1,(TRUNC(Courses!M28)&lt;&gt;Courses!M28)), "Row "&amp;Courses!$A28&amp;", "&amp;AL$9&amp;", "&amp;AL$10&amp;", "&amp;AL$11&amp;"; ","")</f>
        <v/>
      </c>
      <c r="AM34" t="str">
        <f>IF(AND($V$9=1,(TRUNC(Courses!N28)&lt;&gt;Courses!N28)), "Row "&amp;Courses!$A28&amp;", "&amp;AM$9&amp;", "&amp;AM$10&amp;", "&amp;AM$11&amp;"; ","")</f>
        <v/>
      </c>
      <c r="AN34" t="str">
        <f>IF(AND($V$9=1,(TRUNC(Courses!O28)&lt;&gt;Courses!O28)), "Row "&amp;Courses!$A28&amp;", "&amp;AN$9&amp;", "&amp;AN$10&amp;", "&amp;AN$11&amp;"; ","")</f>
        <v/>
      </c>
      <c r="AO34" t="str">
        <f>IF(AND($V$9=1,(TRUNC(Courses!P28)&lt;&gt;Courses!P28)), "Row "&amp;Courses!$A28&amp;", "&amp;AO$9&amp;", "&amp;AO$10&amp;", "&amp;AO$11&amp;"; ","")</f>
        <v/>
      </c>
      <c r="AP34" s="2120" t="str">
        <f>IF(AND($V$9=1,(TRUNC(Courses!Q28)&lt;&gt;Courses!Q28)), "Row "&amp;Courses!$A28&amp;", "&amp;AP$9&amp;", "&amp;AP$10&amp;"; ","")</f>
        <v/>
      </c>
      <c r="AQ34" s="1593" t="str">
        <f>IF(AND($V$9=1,(TRUNC(Courses!R28)&lt;&gt;Courses!R28)), "Row "&amp;Courses!$A28&amp;", "&amp;AQ$9&amp;", "&amp;AQ$10&amp;", "&amp;AQ$11&amp;"; ","")</f>
        <v/>
      </c>
      <c r="AR34" t="str">
        <f>IF(AND($V$9=1,(TRUNC(Courses!S28)&lt;&gt;Courses!S28)), "Row "&amp;Courses!$A28&amp;", "&amp;AR$9&amp;", "&amp;AR$10&amp;", "&amp;AR$11&amp;"; ","")</f>
        <v/>
      </c>
      <c r="AS34" t="str">
        <f>IF(AND($V$9=1,(TRUNC(Courses!T28)&lt;&gt;Courses!T28)), "Row "&amp;Courses!$A28&amp;", "&amp;AS$9&amp;", "&amp;AS$10&amp;", "&amp;AS$11&amp;"; ","")</f>
        <v/>
      </c>
      <c r="AT34" t="str">
        <f>IF(AND($V$9=1,(TRUNC(Courses!U28)&lt;&gt;Courses!U28)), "Row "&amp;Courses!$A28&amp;", "&amp;AT$9&amp;", "&amp;AT$10&amp;", "&amp;AT$11&amp;"; ","")</f>
        <v/>
      </c>
      <c r="AU34" s="2120" t="str">
        <f>IF(AND($V$9=1,(TRUNC(Courses!V28)&lt;&gt;Courses!V28)), "Row "&amp;Courses!$A28&amp;", "&amp;AU$9&amp;", "&amp;AU$10&amp;"; ","")</f>
        <v/>
      </c>
      <c r="AV34" s="1593" t="str">
        <f>IF(AND($V$9=1,(TRUNC(Courses!W28)&lt;&gt;Courses!W28)), "Row "&amp;Courses!$A28&amp;", "&amp;AV$9&amp;", "&amp;AV$10&amp;", "&amp;AV$11&amp;"; ","")</f>
        <v/>
      </c>
      <c r="AW34" t="str">
        <f>IF(AND($V$9=1,(TRUNC(Courses!X28)&lt;&gt;Courses!X28)), "Row "&amp;Courses!$A28&amp;", "&amp;AW$9&amp;", "&amp;AW$10&amp;", "&amp;AW$11&amp;"; ","")</f>
        <v/>
      </c>
      <c r="AX34" t="str">
        <f>IF(AND($V$9=1,(TRUNC(Courses!Y28)&lt;&gt;Courses!Y28)), "Row "&amp;Courses!$A28&amp;", "&amp;AX$9&amp;", "&amp;AX$10&amp;", "&amp;AX$11&amp;"; ","")</f>
        <v/>
      </c>
      <c r="AY34" t="str">
        <f>IF(AND($V$9=1,(TRUNC(Courses!Z28)&lt;&gt;Courses!Z28)), "Row "&amp;Courses!$A28&amp;", "&amp;AY$9&amp;", "&amp;AY$10&amp;", "&amp;AY$11&amp;"; ","")</f>
        <v/>
      </c>
      <c r="AZ34" s="2120" t="str">
        <f>IF(AND($V$9=1,(TRUNC(Courses!AA28)&lt;&gt;Courses!AA28)), "Row "&amp;Courses!$A28&amp;", "&amp;AZ$9&amp;", "&amp;AZ$10&amp;"; ","")</f>
        <v/>
      </c>
      <c r="BA34" s="17"/>
      <c r="BB34" s="118"/>
      <c r="BC34" s="3">
        <v>15</v>
      </c>
      <c r="BD34" s="1593" t="str">
        <f>IF(AND($W$9=1,Courses!M28&lt;0), "Row "&amp;Courses!$A28&amp;", "&amp;BD$9&amp;", "&amp;BD$10&amp;", "&amp;BD$11&amp;"; ","")</f>
        <v/>
      </c>
      <c r="BE34" t="str">
        <f>IF(AND($W$9=1,Courses!N28&lt;0), "Row "&amp;Courses!$A28&amp;", "&amp;BE$9&amp;", "&amp;BE$10&amp;", "&amp;BE$11&amp;"; ","")</f>
        <v/>
      </c>
      <c r="BF34" t="str">
        <f>IF(AND($W$9=1,Courses!O28&lt;0), "Row "&amp;Courses!$A28&amp;", "&amp;BF$9&amp;", "&amp;BF$10&amp;", "&amp;BF$11&amp;"; ","")</f>
        <v/>
      </c>
      <c r="BG34" t="str">
        <f>IF(AND($W$9=1,Courses!P28&lt;0), "Row "&amp;Courses!$A28&amp;", "&amp;BG$9&amp;", "&amp;BG$10&amp;", "&amp;BG$11&amp;"; ","")</f>
        <v/>
      </c>
      <c r="BH34" s="2120" t="str">
        <f>IF(AND($W$9=1,Courses!Q28&lt;0), "Row "&amp;Courses!$A28&amp;", "&amp;BH$9&amp;", "&amp;BH$10&amp;"; ","")</f>
        <v/>
      </c>
      <c r="BI34" s="1593" t="str">
        <f>IF(AND($W$9=1,Courses!R28&lt;0), "Row "&amp;Courses!$A28&amp;", "&amp;BI$9&amp;", "&amp;BI$10&amp;", "&amp;BI$11&amp;"; ","")</f>
        <v/>
      </c>
      <c r="BJ34" t="str">
        <f>IF(AND($W$9=1,Courses!S28&lt;0), "Row "&amp;Courses!$A28&amp;", "&amp;BJ$9&amp;", "&amp;BJ$10&amp;", "&amp;BJ$11&amp;"; ","")</f>
        <v/>
      </c>
      <c r="BK34" t="str">
        <f>IF(AND($W$9=1,Courses!T28&lt;0), "Row "&amp;Courses!$A28&amp;", "&amp;BK$9&amp;", "&amp;BK$10&amp;", "&amp;BK$11&amp;"; ","")</f>
        <v/>
      </c>
      <c r="BL34" t="str">
        <f>IF(AND($W$9=1,Courses!U28&lt;0), "Row "&amp;Courses!$A28&amp;", "&amp;BL$9&amp;", "&amp;BL$10&amp;", "&amp;BL$11&amp;"; ","")</f>
        <v/>
      </c>
      <c r="BM34" s="2120" t="str">
        <f>IF(AND($W$9=1,Courses!V28&lt;0), "Row "&amp;Courses!$A28&amp;", "&amp;BM$9&amp;", "&amp;BM$10&amp;"; ","")</f>
        <v/>
      </c>
      <c r="BN34" s="1593" t="str">
        <f>IF(AND($W$9=1,Courses!W28&lt;0), "Row "&amp;Courses!$A28&amp;", "&amp;BN$9&amp;", "&amp;BN$10&amp;", "&amp;BN$11&amp;"; ","")</f>
        <v/>
      </c>
      <c r="BO34" t="str">
        <f>IF(AND($W$9=1,Courses!X28&lt;0), "Row "&amp;Courses!$A28&amp;", "&amp;BO$9&amp;", "&amp;BO$10&amp;", "&amp;BO$11&amp;"; ","")</f>
        <v/>
      </c>
      <c r="BP34" t="str">
        <f>IF(AND($W$9=1,Courses!Y28&lt;0), "Row "&amp;Courses!$A28&amp;", "&amp;BP$9&amp;", "&amp;BP$10&amp;", "&amp;BP$11&amp;"; ","")</f>
        <v/>
      </c>
      <c r="BQ34" t="str">
        <f>IF(AND($W$9=1,Courses!Z28&lt;0), "Row "&amp;Courses!$A28&amp;", "&amp;BQ$9&amp;", "&amp;BQ$10&amp;", "&amp;BQ$11&amp;"; ","")</f>
        <v/>
      </c>
      <c r="BR34" s="2120" t="str">
        <f>IF(AND($W$9=1,Courses!AA28&lt;0), "Row "&amp;Courses!$A28&amp;", "&amp;BR$9&amp;", "&amp;BR$10&amp;"; ","")</f>
        <v/>
      </c>
      <c r="BT34" s="186">
        <v>15</v>
      </c>
      <c r="BU34" s="40">
        <f>IF(AND($X$9=1,Courses!B28="",Courses!F28="",Courses!H28="",Courses!J28="",Courses!K28="",Courses!L28="",Courses!M28=0,Courses!N28=0,Courses!O28=0,Courses!P28=0,Courses!Q28=0,Courses!R28=0,Courses!S28=0,Courses!T28=0,Courses!U28=0,Courses!V28=0,Courses!W28=0,Courses!X28=0,Courses!Y28=0,Courses!Z28=0,Courses!AA28=0),0,1)</f>
        <v>0</v>
      </c>
      <c r="BV34" s="40">
        <f>IF(AND(BU34=0,SUM(BU35:$BU$219)&gt;0),1,0)</f>
        <v>0</v>
      </c>
      <c r="BW34" s="1595" t="str">
        <f>IF(BV34=1,"Row "&amp;Courses!A28&amp;"; ","")</f>
        <v/>
      </c>
      <c r="BX34" s="17"/>
      <c r="BZ34" s="1592" t="str">
        <f>IF(AND($Y$9=1,Courses!B28&lt;&gt;"",SUM(Courses!M28:AA28)=0),"Row "&amp;Courses!A28&amp;"; ","")</f>
        <v/>
      </c>
      <c r="CA34" s="17"/>
      <c r="CC34" s="1592" t="str">
        <f>IF(AND($Z$9=1,Courses!AD28=1,(LEN(Courses!AB28)&gt;200)),"Row "&amp;Courses!A28&amp;"; ","")</f>
        <v/>
      </c>
      <c r="CE34" s="131"/>
      <c r="CG34" s="1593" t="str">
        <f>IF(AND($AD$9=1,Courses!E28&lt;&gt;"",Courses!F28&lt;&gt;"",Courses!F28=0,SUM(Courses!H28,Courses!J28)=1),"Row "&amp;Courses!A28&amp;", "&amp;Courses!$F$10&amp;"; ","")</f>
        <v/>
      </c>
      <c r="CH34" t="str">
        <f>IF(AND($AD$9=1,Courses!G28&lt;&gt;"",Courses!H28&lt;&gt;"",Courses!H28=0,SUM(Courses!J28,Courses!F28)=1),"Row "&amp;Courses!A28&amp;", "&amp;Courses!$H$10&amp;"; ","")</f>
        <v/>
      </c>
      <c r="CI34" s="183" t="str">
        <f>IF(AND($AD$9=1,Courses!I28&lt;&gt;"",Courses!J28&lt;&gt;"",Courses!J28=0, SUM(Courses!H28,Courses!F28)=1),"Row "&amp;Courses!A28&amp;", "&amp;Courses!$J$10&amp;"; ","")</f>
        <v/>
      </c>
      <c r="CJ34" s="180"/>
      <c r="CK34" s="181"/>
      <c r="CL34" s="1592" t="str">
        <f>IF(AND(Courses!B28&lt;&gt;"",ISNA(VLOOKUP(Courses!C28,CourseInfo,2,FALSE))=FALSE,COUNTIF(Dummy,Courses!C28)&lt;&gt;1),VLOOKUP(Courses!C28,CourseInfo,6,FALSE),"")</f>
        <v/>
      </c>
      <c r="CM34" s="1592" t="str">
        <f>IF(AND($AE$9=1,Courses!B28&lt;&gt;"",'Courses Valid'!AG34="",COUNTIF(Dummy,Courses!C28)&lt;&gt;1),IF(Courses!K28&lt;&gt;'Courses Valid'!CL34,"Row "&amp;Courses!A28&amp;", Level on LARS is "&amp;'Courses Valid'!CL34&amp;"; ",""),"")</f>
        <v/>
      </c>
      <c r="CN34" s="131"/>
    </row>
    <row r="35" spans="3:92" x14ac:dyDescent="0.35">
      <c r="C35" s="1591">
        <f t="shared" si="2"/>
        <v>0</v>
      </c>
      <c r="D35" s="41"/>
      <c r="E35" s="41"/>
      <c r="F35" s="118"/>
      <c r="G35" s="1591" t="str">
        <f>IF(SUMPRODUCT(--(CourseAims=Courses!$C29))=1,"",IF(AND($N$9=1,Courses!$C29&lt;&gt;""),"Row "&amp;Courses!A29&amp;" (invalid); ",""))</f>
        <v/>
      </c>
      <c r="H35" s="1592" t="str">
        <f>IF(AND($O$9=1,Courses!B29="",OR(Courses!F29&lt;&gt;"",Courses!H29&lt;&gt;"",Courses!J29&lt;&gt;"",Courses!K29&lt;&gt;"",Courses!L29&lt;&gt;"",Courses!M29&lt;&gt;0,Courses!N29&lt;&gt;0,Courses!O29&lt;&gt;0,Courses!P29&lt;&gt;0,Courses!Q29&lt;&gt;0,Courses!R29&lt;&gt;0,Courses!S29&lt;&gt;0,Courses!T29&lt;&gt;0,Courses!U29&lt;&gt;0,Courses!V29&lt;&gt;0,Courses!W29&lt;&gt;0,Courses!X29&lt;&gt;0,Courses!Y29&lt;&gt;0,Courses!Z29&lt;&gt;0,Courses!AA29&lt;&gt;0)),"Row "&amp;Courses!A29&amp;" (none); ","")</f>
        <v/>
      </c>
      <c r="I35" s="17"/>
      <c r="K35" s="1592" t="str">
        <f>Courses!B29&amp;Courses!K29&amp;Courses!L29</f>
        <v/>
      </c>
      <c r="L35" s="1592" t="str">
        <f>IF(AND($P$9=1,Courses!$B29&lt;&gt;"",COUNTIF(Dummy,Courses!$C29)&lt;&gt;1),IF(SUMPRODUCT(--($K$20:$K$219=$K35))&gt;1,"Row "&amp;Courses!$A29&amp;"; ",""),"")</f>
        <v/>
      </c>
      <c r="N35" s="118"/>
      <c r="O35" s="1593" t="str">
        <f>IF(AND($Q$9=1,Courses!E29&lt;&gt;"",Courses!F29=""),"Row "&amp;Courses!A29&amp;", "&amp;Courses!$E$10&amp;"; ","")</f>
        <v/>
      </c>
      <c r="P35" t="str">
        <f>IF(AND($Q$9=1,Courses!G29&lt;&gt;"",Courses!H29=""),"Row "&amp;Courses!A29&amp;", "&amp;Courses!$G$10&amp;"; ","")</f>
        <v/>
      </c>
      <c r="Q35" s="183" t="str">
        <f>IF(AND($Q$9=1,Courses!I29&lt;&gt;"",Courses!J29=""),"Row "&amp;Courses!A29&amp;", "&amp;Courses!$I$10&amp;"; ","")</f>
        <v/>
      </c>
      <c r="S35" s="17"/>
      <c r="T35" s="118"/>
      <c r="U35" s="1594" t="str">
        <f>IF(AND($R$9=1,Courses!B29&lt;&gt;"",Courses!E29&lt;&gt;"",Courses!G29="",Courses!I29="",Courses!F29&lt;&gt;1),"Row "&amp;Courses!A29&amp;"; ","")</f>
        <v/>
      </c>
      <c r="V35" t="str">
        <f>IF(AND($R$9=1,Courses!B29&lt;&gt;"",Courses!I29="",Courses!F29&lt;&gt;"",Courses!G29&lt;&gt;"",Courses!H29&lt;&gt;""),IF(OR((Courses!F29+Courses!H29)&lt;&gt;1),"Row "&amp;Courses!A29&amp;"; ",""),"")</f>
        <v/>
      </c>
      <c r="W35" s="183" t="str">
        <f>IF(AND($R$9=1,Courses!B29&lt;&gt;"",Courses!I29&lt;&gt;"",Courses!J29&lt;&gt;"",Courses!H29&lt;&gt;"",Courses!G29&lt;&gt;"",Courses!F29&lt;&gt;""),IF(OR((Courses!F29+Courses!H29+Courses!J29)&lt;&gt;1),"Row "&amp;Courses!A29&amp;"; ",""),"")</f>
        <v/>
      </c>
      <c r="Y35" s="1592" t="str">
        <f>IF(AND($R$9=1,Courses!E29&lt;&gt;"",U35="",V35="",W35="",SUM(Courses!F29,Courses!H29,Courses!J29)&lt;&gt;1),"Row "&amp;Courses!A29&amp;"; ","")</f>
        <v/>
      </c>
      <c r="Z35" s="17"/>
      <c r="AB35" s="1593" t="str">
        <f>IF(AND($S$9=1,Courses!B29&lt;&gt;"",Courses!E29&lt;&gt;"",Courses!F29&lt;&gt;""),IF((TRUNC(Courses!F29*100)&lt;&gt;Courses!F29*100),"Row "&amp;Courses!A29&amp;", "&amp;Courses!$F$10&amp;"; ",""),"")</f>
        <v/>
      </c>
      <c r="AC35" t="str">
        <f>IF(AND($S$9=1,Courses!B29&lt;&gt;"",Courses!G29&lt;&gt;"",Courses!H29&lt;&gt;""),IF((TRUNC(Courses!H29*100)&lt;&gt;Courses!H29*100),"Row "&amp;Courses!A29&amp;", "&amp;Courses!$H$10&amp;"; ",""),"")</f>
        <v/>
      </c>
      <c r="AD35" s="183" t="str">
        <f>IF(AND($S$9=1,Courses!B29&lt;&gt;"",Courses!I29&lt;&gt;"",Courses!J29&lt;&gt;""),IF((TRUNC(Courses!J29*100)&lt;&gt;Courses!J29*100),"Row "&amp;Courses!A29&amp;", "&amp;Courses!$J$10&amp;"; ",""),"")</f>
        <v/>
      </c>
      <c r="AF35" s="118"/>
      <c r="AG35" s="1592" t="str">
        <f>IF(AND($T$9=1,G35="",Courses!B29&lt;&gt;"",Courses!K29&lt;&gt;$B$9,Courses!K29&lt;&gt;$B$10,Courses!K29&lt;&gt;$B$11,Courses!K29&lt;&gt;$B$12,Courses!K29&lt;&gt;$B$13,Courses!K29&lt;&gt;$B$14),"Row "&amp;Courses!A29&amp;"; ","")</f>
        <v/>
      </c>
      <c r="AH35" s="1592" t="str">
        <f>IF(AND($U$9=1,G35="",Courses!B29&lt;&gt;"",Courses!L29&lt;&gt;"Standard",Courses!L29&lt;&gt;"Long"),"Row "&amp;Courses!A29&amp;"; ","")</f>
        <v/>
      </c>
      <c r="AJ35" s="118"/>
      <c r="AK35" s="3">
        <v>16</v>
      </c>
      <c r="AL35" s="1593" t="str">
        <f>IF(AND($V$9=1,(TRUNC(Courses!M29)&lt;&gt;Courses!M29)), "Row "&amp;Courses!$A29&amp;", "&amp;AL$9&amp;", "&amp;AL$10&amp;", "&amp;AL$11&amp;"; ","")</f>
        <v/>
      </c>
      <c r="AM35" t="str">
        <f>IF(AND($V$9=1,(TRUNC(Courses!N29)&lt;&gt;Courses!N29)), "Row "&amp;Courses!$A29&amp;", "&amp;AM$9&amp;", "&amp;AM$10&amp;", "&amp;AM$11&amp;"; ","")</f>
        <v/>
      </c>
      <c r="AN35" t="str">
        <f>IF(AND($V$9=1,(TRUNC(Courses!O29)&lt;&gt;Courses!O29)), "Row "&amp;Courses!$A29&amp;", "&amp;AN$9&amp;", "&amp;AN$10&amp;", "&amp;AN$11&amp;"; ","")</f>
        <v/>
      </c>
      <c r="AO35" t="str">
        <f>IF(AND($V$9=1,(TRUNC(Courses!P29)&lt;&gt;Courses!P29)), "Row "&amp;Courses!$A29&amp;", "&amp;AO$9&amp;", "&amp;AO$10&amp;", "&amp;AO$11&amp;"; ","")</f>
        <v/>
      </c>
      <c r="AP35" s="2120" t="str">
        <f>IF(AND($V$9=1,(TRUNC(Courses!Q29)&lt;&gt;Courses!Q29)), "Row "&amp;Courses!$A29&amp;", "&amp;AP$9&amp;", "&amp;AP$10&amp;"; ","")</f>
        <v/>
      </c>
      <c r="AQ35" s="1593" t="str">
        <f>IF(AND($V$9=1,(TRUNC(Courses!R29)&lt;&gt;Courses!R29)), "Row "&amp;Courses!$A29&amp;", "&amp;AQ$9&amp;", "&amp;AQ$10&amp;", "&amp;AQ$11&amp;"; ","")</f>
        <v/>
      </c>
      <c r="AR35" t="str">
        <f>IF(AND($V$9=1,(TRUNC(Courses!S29)&lt;&gt;Courses!S29)), "Row "&amp;Courses!$A29&amp;", "&amp;AR$9&amp;", "&amp;AR$10&amp;", "&amp;AR$11&amp;"; ","")</f>
        <v/>
      </c>
      <c r="AS35" t="str">
        <f>IF(AND($V$9=1,(TRUNC(Courses!T29)&lt;&gt;Courses!T29)), "Row "&amp;Courses!$A29&amp;", "&amp;AS$9&amp;", "&amp;AS$10&amp;", "&amp;AS$11&amp;"; ","")</f>
        <v/>
      </c>
      <c r="AT35" t="str">
        <f>IF(AND($V$9=1,(TRUNC(Courses!U29)&lt;&gt;Courses!U29)), "Row "&amp;Courses!$A29&amp;", "&amp;AT$9&amp;", "&amp;AT$10&amp;", "&amp;AT$11&amp;"; ","")</f>
        <v/>
      </c>
      <c r="AU35" s="2120" t="str">
        <f>IF(AND($V$9=1,(TRUNC(Courses!V29)&lt;&gt;Courses!V29)), "Row "&amp;Courses!$A29&amp;", "&amp;AU$9&amp;", "&amp;AU$10&amp;"; ","")</f>
        <v/>
      </c>
      <c r="AV35" s="1593" t="str">
        <f>IF(AND($V$9=1,(TRUNC(Courses!W29)&lt;&gt;Courses!W29)), "Row "&amp;Courses!$A29&amp;", "&amp;AV$9&amp;", "&amp;AV$10&amp;", "&amp;AV$11&amp;"; ","")</f>
        <v/>
      </c>
      <c r="AW35" t="str">
        <f>IF(AND($V$9=1,(TRUNC(Courses!X29)&lt;&gt;Courses!X29)), "Row "&amp;Courses!$A29&amp;", "&amp;AW$9&amp;", "&amp;AW$10&amp;", "&amp;AW$11&amp;"; ","")</f>
        <v/>
      </c>
      <c r="AX35" t="str">
        <f>IF(AND($V$9=1,(TRUNC(Courses!Y29)&lt;&gt;Courses!Y29)), "Row "&amp;Courses!$A29&amp;", "&amp;AX$9&amp;", "&amp;AX$10&amp;", "&amp;AX$11&amp;"; ","")</f>
        <v/>
      </c>
      <c r="AY35" t="str">
        <f>IF(AND($V$9=1,(TRUNC(Courses!Z29)&lt;&gt;Courses!Z29)), "Row "&amp;Courses!$A29&amp;", "&amp;AY$9&amp;", "&amp;AY$10&amp;", "&amp;AY$11&amp;"; ","")</f>
        <v/>
      </c>
      <c r="AZ35" s="2120" t="str">
        <f>IF(AND($V$9=1,(TRUNC(Courses!AA29)&lt;&gt;Courses!AA29)), "Row "&amp;Courses!$A29&amp;", "&amp;AZ$9&amp;", "&amp;AZ$10&amp;"; ","")</f>
        <v/>
      </c>
      <c r="BA35" s="17"/>
      <c r="BB35" s="118"/>
      <c r="BC35" s="3">
        <v>16</v>
      </c>
      <c r="BD35" s="1593" t="str">
        <f>IF(AND($W$9=1,Courses!M29&lt;0), "Row "&amp;Courses!$A29&amp;", "&amp;BD$9&amp;", "&amp;BD$10&amp;", "&amp;BD$11&amp;"; ","")</f>
        <v/>
      </c>
      <c r="BE35" t="str">
        <f>IF(AND($W$9=1,Courses!N29&lt;0), "Row "&amp;Courses!$A29&amp;", "&amp;BE$9&amp;", "&amp;BE$10&amp;", "&amp;BE$11&amp;"; ","")</f>
        <v/>
      </c>
      <c r="BF35" t="str">
        <f>IF(AND($W$9=1,Courses!O29&lt;0), "Row "&amp;Courses!$A29&amp;", "&amp;BF$9&amp;", "&amp;BF$10&amp;", "&amp;BF$11&amp;"; ","")</f>
        <v/>
      </c>
      <c r="BG35" t="str">
        <f>IF(AND($W$9=1,Courses!P29&lt;0), "Row "&amp;Courses!$A29&amp;", "&amp;BG$9&amp;", "&amp;BG$10&amp;", "&amp;BG$11&amp;"; ","")</f>
        <v/>
      </c>
      <c r="BH35" s="2120" t="str">
        <f>IF(AND($W$9=1,Courses!Q29&lt;0), "Row "&amp;Courses!$A29&amp;", "&amp;BH$9&amp;", "&amp;BH$10&amp;"; ","")</f>
        <v/>
      </c>
      <c r="BI35" s="1593" t="str">
        <f>IF(AND($W$9=1,Courses!R29&lt;0), "Row "&amp;Courses!$A29&amp;", "&amp;BI$9&amp;", "&amp;BI$10&amp;", "&amp;BI$11&amp;"; ","")</f>
        <v/>
      </c>
      <c r="BJ35" t="str">
        <f>IF(AND($W$9=1,Courses!S29&lt;0), "Row "&amp;Courses!$A29&amp;", "&amp;BJ$9&amp;", "&amp;BJ$10&amp;", "&amp;BJ$11&amp;"; ","")</f>
        <v/>
      </c>
      <c r="BK35" t="str">
        <f>IF(AND($W$9=1,Courses!T29&lt;0), "Row "&amp;Courses!$A29&amp;", "&amp;BK$9&amp;", "&amp;BK$10&amp;", "&amp;BK$11&amp;"; ","")</f>
        <v/>
      </c>
      <c r="BL35" t="str">
        <f>IF(AND($W$9=1,Courses!U29&lt;0), "Row "&amp;Courses!$A29&amp;", "&amp;BL$9&amp;", "&amp;BL$10&amp;", "&amp;BL$11&amp;"; ","")</f>
        <v/>
      </c>
      <c r="BM35" s="2120" t="str">
        <f>IF(AND($W$9=1,Courses!V29&lt;0), "Row "&amp;Courses!$A29&amp;", "&amp;BM$9&amp;", "&amp;BM$10&amp;"; ","")</f>
        <v/>
      </c>
      <c r="BN35" s="1593" t="str">
        <f>IF(AND($W$9=1,Courses!W29&lt;0), "Row "&amp;Courses!$A29&amp;", "&amp;BN$9&amp;", "&amp;BN$10&amp;", "&amp;BN$11&amp;"; ","")</f>
        <v/>
      </c>
      <c r="BO35" t="str">
        <f>IF(AND($W$9=1,Courses!X29&lt;0), "Row "&amp;Courses!$A29&amp;", "&amp;BO$9&amp;", "&amp;BO$10&amp;", "&amp;BO$11&amp;"; ","")</f>
        <v/>
      </c>
      <c r="BP35" t="str">
        <f>IF(AND($W$9=1,Courses!Y29&lt;0), "Row "&amp;Courses!$A29&amp;", "&amp;BP$9&amp;", "&amp;BP$10&amp;", "&amp;BP$11&amp;"; ","")</f>
        <v/>
      </c>
      <c r="BQ35" t="str">
        <f>IF(AND($W$9=1,Courses!Z29&lt;0), "Row "&amp;Courses!$A29&amp;", "&amp;BQ$9&amp;", "&amp;BQ$10&amp;", "&amp;BQ$11&amp;"; ","")</f>
        <v/>
      </c>
      <c r="BR35" s="2120" t="str">
        <f>IF(AND($W$9=1,Courses!AA29&lt;0), "Row "&amp;Courses!$A29&amp;", "&amp;BR$9&amp;", "&amp;BR$10&amp;"; ","")</f>
        <v/>
      </c>
      <c r="BT35" s="186">
        <v>16</v>
      </c>
      <c r="BU35" s="40">
        <f>IF(AND($X$9=1,Courses!B29="",Courses!F29="",Courses!H29="",Courses!J29="",Courses!K29="",Courses!L29="",Courses!M29=0,Courses!N29=0,Courses!O29=0,Courses!P29=0,Courses!Q29=0,Courses!R29=0,Courses!S29=0,Courses!T29=0,Courses!U29=0,Courses!V29=0,Courses!W29=0,Courses!X29=0,Courses!Y29=0,Courses!Z29=0,Courses!AA29=0),0,1)</f>
        <v>0</v>
      </c>
      <c r="BV35" s="40">
        <f>IF(AND(BU35=0,SUM(BU36:$BU$219)&gt;0),1,0)</f>
        <v>0</v>
      </c>
      <c r="BW35" s="1595" t="str">
        <f>IF(BV35=1,"Row "&amp;Courses!A29&amp;"; ","")</f>
        <v/>
      </c>
      <c r="BX35" s="17"/>
      <c r="BZ35" s="1592" t="str">
        <f>IF(AND($Y$9=1,Courses!B29&lt;&gt;"",SUM(Courses!M29:AA29)=0),"Row "&amp;Courses!A29&amp;"; ","")</f>
        <v/>
      </c>
      <c r="CA35" s="17"/>
      <c r="CC35" s="1592" t="str">
        <f>IF(AND($Z$9=1,Courses!AD29=1,(LEN(Courses!AB29)&gt;200)),"Row "&amp;Courses!A29&amp;"; ","")</f>
        <v/>
      </c>
      <c r="CE35" s="131"/>
      <c r="CG35" s="1593" t="str">
        <f>IF(AND($AD$9=1,Courses!E29&lt;&gt;"",Courses!F29&lt;&gt;"",Courses!F29=0,SUM(Courses!H29,Courses!J29)=1),"Row "&amp;Courses!A29&amp;", "&amp;Courses!$F$10&amp;"; ","")</f>
        <v/>
      </c>
      <c r="CH35" t="str">
        <f>IF(AND($AD$9=1,Courses!G29&lt;&gt;"",Courses!H29&lt;&gt;"",Courses!H29=0,SUM(Courses!J29,Courses!F29)=1),"Row "&amp;Courses!A29&amp;", "&amp;Courses!$H$10&amp;"; ","")</f>
        <v/>
      </c>
      <c r="CI35" s="183" t="str">
        <f>IF(AND($AD$9=1,Courses!I29&lt;&gt;"",Courses!J29&lt;&gt;"",Courses!J29=0, SUM(Courses!H29,Courses!F29)=1),"Row "&amp;Courses!A29&amp;", "&amp;Courses!$J$10&amp;"; ","")</f>
        <v/>
      </c>
      <c r="CJ35" s="180"/>
      <c r="CK35" s="181"/>
      <c r="CL35" s="1592" t="str">
        <f>IF(AND(Courses!B29&lt;&gt;"",ISNA(VLOOKUP(Courses!C29,CourseInfo,2,FALSE))=FALSE,COUNTIF(Dummy,Courses!C29)&lt;&gt;1),VLOOKUP(Courses!C29,CourseInfo,6,FALSE),"")</f>
        <v/>
      </c>
      <c r="CM35" s="1592" t="str">
        <f>IF(AND($AE$9=1,Courses!B29&lt;&gt;"",'Courses Valid'!AG35="",COUNTIF(Dummy,Courses!C29)&lt;&gt;1),IF(Courses!K29&lt;&gt;'Courses Valid'!CL35,"Row "&amp;Courses!A29&amp;", Level on LARS is "&amp;'Courses Valid'!CL35&amp;"; ",""),"")</f>
        <v/>
      </c>
      <c r="CN35" s="131"/>
    </row>
    <row r="36" spans="3:92" x14ac:dyDescent="0.35">
      <c r="C36" s="1591">
        <f t="shared" si="2"/>
        <v>0</v>
      </c>
      <c r="D36" s="41"/>
      <c r="E36" s="41"/>
      <c r="F36" s="118"/>
      <c r="G36" s="1591" t="str">
        <f>IF(SUMPRODUCT(--(CourseAims=Courses!$C30))=1,"",IF(AND($N$9=1,Courses!$C30&lt;&gt;""),"Row "&amp;Courses!A30&amp;" (invalid); ",""))</f>
        <v/>
      </c>
      <c r="H36" s="1592" t="str">
        <f>IF(AND($O$9=1,Courses!B30="",OR(Courses!F30&lt;&gt;"",Courses!H30&lt;&gt;"",Courses!J30&lt;&gt;"",Courses!K30&lt;&gt;"",Courses!L30&lt;&gt;"",Courses!M30&lt;&gt;0,Courses!N30&lt;&gt;0,Courses!O30&lt;&gt;0,Courses!P30&lt;&gt;0,Courses!Q30&lt;&gt;0,Courses!R30&lt;&gt;0,Courses!S30&lt;&gt;0,Courses!T30&lt;&gt;0,Courses!U30&lt;&gt;0,Courses!V30&lt;&gt;0,Courses!W30&lt;&gt;0,Courses!X30&lt;&gt;0,Courses!Y30&lt;&gt;0,Courses!Z30&lt;&gt;0,Courses!AA30&lt;&gt;0)),"Row "&amp;Courses!A30&amp;" (none); ","")</f>
        <v/>
      </c>
      <c r="I36" s="17"/>
      <c r="K36" s="1592" t="str">
        <f>Courses!B30&amp;Courses!K30&amp;Courses!L30</f>
        <v/>
      </c>
      <c r="L36" s="1592" t="str">
        <f>IF(AND($P$9=1,Courses!$B30&lt;&gt;"",COUNTIF(Dummy,Courses!$C30)&lt;&gt;1),IF(SUMPRODUCT(--($K$20:$K$219=$K36))&gt;1,"Row "&amp;Courses!$A30&amp;"; ",""),"")</f>
        <v/>
      </c>
      <c r="N36" s="118"/>
      <c r="O36" s="1593" t="str">
        <f>IF(AND($Q$9=1,Courses!E30&lt;&gt;"",Courses!F30=""),"Row "&amp;Courses!A30&amp;", "&amp;Courses!$E$10&amp;"; ","")</f>
        <v/>
      </c>
      <c r="P36" t="str">
        <f>IF(AND($Q$9=1,Courses!G30&lt;&gt;"",Courses!H30=""),"Row "&amp;Courses!A30&amp;", "&amp;Courses!$G$10&amp;"; ","")</f>
        <v/>
      </c>
      <c r="Q36" s="183" t="str">
        <f>IF(AND($Q$9=1,Courses!I30&lt;&gt;"",Courses!J30=""),"Row "&amp;Courses!A30&amp;", "&amp;Courses!$I$10&amp;"; ","")</f>
        <v/>
      </c>
      <c r="S36" s="17"/>
      <c r="T36" s="118"/>
      <c r="U36" s="1594" t="str">
        <f>IF(AND($R$9=1,Courses!B30&lt;&gt;"",Courses!E30&lt;&gt;"",Courses!G30="",Courses!I30="",Courses!F30&lt;&gt;1),"Row "&amp;Courses!A30&amp;"; ","")</f>
        <v/>
      </c>
      <c r="V36" t="str">
        <f>IF(AND($R$9=1,Courses!B30&lt;&gt;"",Courses!I30="",Courses!F30&lt;&gt;"",Courses!G30&lt;&gt;"",Courses!H30&lt;&gt;""),IF(OR((Courses!F30+Courses!H30)&lt;&gt;1),"Row "&amp;Courses!A30&amp;"; ",""),"")</f>
        <v/>
      </c>
      <c r="W36" s="183" t="str">
        <f>IF(AND($R$9=1,Courses!B30&lt;&gt;"",Courses!I30&lt;&gt;"",Courses!J30&lt;&gt;"",Courses!H30&lt;&gt;"",Courses!G30&lt;&gt;"",Courses!F30&lt;&gt;""),IF(OR((Courses!F30+Courses!H30+Courses!J30)&lt;&gt;1),"Row "&amp;Courses!A30&amp;"; ",""),"")</f>
        <v/>
      </c>
      <c r="Y36" s="1592" t="str">
        <f>IF(AND($R$9=1,Courses!E30&lt;&gt;"",U36="",V36="",W36="",SUM(Courses!F30,Courses!H30,Courses!J30)&lt;&gt;1),"Row "&amp;Courses!A30&amp;"; ","")</f>
        <v/>
      </c>
      <c r="Z36" s="17"/>
      <c r="AB36" s="1593" t="str">
        <f>IF(AND($S$9=1,Courses!B30&lt;&gt;"",Courses!E30&lt;&gt;"",Courses!F30&lt;&gt;""),IF((TRUNC(Courses!F30*100)&lt;&gt;Courses!F30*100),"Row "&amp;Courses!A30&amp;", "&amp;Courses!$F$10&amp;"; ",""),"")</f>
        <v/>
      </c>
      <c r="AC36" t="str">
        <f>IF(AND($S$9=1,Courses!B30&lt;&gt;"",Courses!G30&lt;&gt;"",Courses!H30&lt;&gt;""),IF((TRUNC(Courses!H30*100)&lt;&gt;Courses!H30*100),"Row "&amp;Courses!A30&amp;", "&amp;Courses!$H$10&amp;"; ",""),"")</f>
        <v/>
      </c>
      <c r="AD36" s="183" t="str">
        <f>IF(AND($S$9=1,Courses!B30&lt;&gt;"",Courses!I30&lt;&gt;"",Courses!J30&lt;&gt;""),IF((TRUNC(Courses!J30*100)&lt;&gt;Courses!J30*100),"Row "&amp;Courses!A30&amp;", "&amp;Courses!$J$10&amp;"; ",""),"")</f>
        <v/>
      </c>
      <c r="AF36" s="118"/>
      <c r="AG36" s="1592" t="str">
        <f>IF(AND($T$9=1,G36="",Courses!B30&lt;&gt;"",Courses!K30&lt;&gt;$B$9,Courses!K30&lt;&gt;$B$10,Courses!K30&lt;&gt;$B$11,Courses!K30&lt;&gt;$B$12,Courses!K30&lt;&gt;$B$13,Courses!K30&lt;&gt;$B$14),"Row "&amp;Courses!A30&amp;"; ","")</f>
        <v/>
      </c>
      <c r="AH36" s="1592" t="str">
        <f>IF(AND($U$9=1,G36="",Courses!B30&lt;&gt;"",Courses!L30&lt;&gt;"Standard",Courses!L30&lt;&gt;"Long"),"Row "&amp;Courses!A30&amp;"; ","")</f>
        <v/>
      </c>
      <c r="AJ36" s="118"/>
      <c r="AK36" s="3">
        <v>17</v>
      </c>
      <c r="AL36" s="1593" t="str">
        <f>IF(AND($V$9=1,(TRUNC(Courses!M30)&lt;&gt;Courses!M30)), "Row "&amp;Courses!$A30&amp;", "&amp;AL$9&amp;", "&amp;AL$10&amp;", "&amp;AL$11&amp;"; ","")</f>
        <v/>
      </c>
      <c r="AM36" t="str">
        <f>IF(AND($V$9=1,(TRUNC(Courses!N30)&lt;&gt;Courses!N30)), "Row "&amp;Courses!$A30&amp;", "&amp;AM$9&amp;", "&amp;AM$10&amp;", "&amp;AM$11&amp;"; ","")</f>
        <v/>
      </c>
      <c r="AN36" t="str">
        <f>IF(AND($V$9=1,(TRUNC(Courses!O30)&lt;&gt;Courses!O30)), "Row "&amp;Courses!$A30&amp;", "&amp;AN$9&amp;", "&amp;AN$10&amp;", "&amp;AN$11&amp;"; ","")</f>
        <v/>
      </c>
      <c r="AO36" t="str">
        <f>IF(AND($V$9=1,(TRUNC(Courses!P30)&lt;&gt;Courses!P30)), "Row "&amp;Courses!$A30&amp;", "&amp;AO$9&amp;", "&amp;AO$10&amp;", "&amp;AO$11&amp;"; ","")</f>
        <v/>
      </c>
      <c r="AP36" s="2120" t="str">
        <f>IF(AND($V$9=1,(TRUNC(Courses!Q30)&lt;&gt;Courses!Q30)), "Row "&amp;Courses!$A30&amp;", "&amp;AP$9&amp;", "&amp;AP$10&amp;"; ","")</f>
        <v/>
      </c>
      <c r="AQ36" s="1593" t="str">
        <f>IF(AND($V$9=1,(TRUNC(Courses!R30)&lt;&gt;Courses!R30)), "Row "&amp;Courses!$A30&amp;", "&amp;AQ$9&amp;", "&amp;AQ$10&amp;", "&amp;AQ$11&amp;"; ","")</f>
        <v/>
      </c>
      <c r="AR36" t="str">
        <f>IF(AND($V$9=1,(TRUNC(Courses!S30)&lt;&gt;Courses!S30)), "Row "&amp;Courses!$A30&amp;", "&amp;AR$9&amp;", "&amp;AR$10&amp;", "&amp;AR$11&amp;"; ","")</f>
        <v/>
      </c>
      <c r="AS36" t="str">
        <f>IF(AND($V$9=1,(TRUNC(Courses!T30)&lt;&gt;Courses!T30)), "Row "&amp;Courses!$A30&amp;", "&amp;AS$9&amp;", "&amp;AS$10&amp;", "&amp;AS$11&amp;"; ","")</f>
        <v/>
      </c>
      <c r="AT36" t="str">
        <f>IF(AND($V$9=1,(TRUNC(Courses!U30)&lt;&gt;Courses!U30)), "Row "&amp;Courses!$A30&amp;", "&amp;AT$9&amp;", "&amp;AT$10&amp;", "&amp;AT$11&amp;"; ","")</f>
        <v/>
      </c>
      <c r="AU36" s="2120" t="str">
        <f>IF(AND($V$9=1,(TRUNC(Courses!V30)&lt;&gt;Courses!V30)), "Row "&amp;Courses!$A30&amp;", "&amp;AU$9&amp;", "&amp;AU$10&amp;"; ","")</f>
        <v/>
      </c>
      <c r="AV36" s="1593" t="str">
        <f>IF(AND($V$9=1,(TRUNC(Courses!W30)&lt;&gt;Courses!W30)), "Row "&amp;Courses!$A30&amp;", "&amp;AV$9&amp;", "&amp;AV$10&amp;", "&amp;AV$11&amp;"; ","")</f>
        <v/>
      </c>
      <c r="AW36" t="str">
        <f>IF(AND($V$9=1,(TRUNC(Courses!X30)&lt;&gt;Courses!X30)), "Row "&amp;Courses!$A30&amp;", "&amp;AW$9&amp;", "&amp;AW$10&amp;", "&amp;AW$11&amp;"; ","")</f>
        <v/>
      </c>
      <c r="AX36" t="str">
        <f>IF(AND($V$9=1,(TRUNC(Courses!Y30)&lt;&gt;Courses!Y30)), "Row "&amp;Courses!$A30&amp;", "&amp;AX$9&amp;", "&amp;AX$10&amp;", "&amp;AX$11&amp;"; ","")</f>
        <v/>
      </c>
      <c r="AY36" t="str">
        <f>IF(AND($V$9=1,(TRUNC(Courses!Z30)&lt;&gt;Courses!Z30)), "Row "&amp;Courses!$A30&amp;", "&amp;AY$9&amp;", "&amp;AY$10&amp;", "&amp;AY$11&amp;"; ","")</f>
        <v/>
      </c>
      <c r="AZ36" s="2120" t="str">
        <f>IF(AND($V$9=1,(TRUNC(Courses!AA30)&lt;&gt;Courses!AA30)), "Row "&amp;Courses!$A30&amp;", "&amp;AZ$9&amp;", "&amp;AZ$10&amp;"; ","")</f>
        <v/>
      </c>
      <c r="BA36" s="17"/>
      <c r="BB36" s="118"/>
      <c r="BC36" s="3">
        <v>17</v>
      </c>
      <c r="BD36" s="1593" t="str">
        <f>IF(AND($W$9=1,Courses!M30&lt;0), "Row "&amp;Courses!$A30&amp;", "&amp;BD$9&amp;", "&amp;BD$10&amp;", "&amp;BD$11&amp;"; ","")</f>
        <v/>
      </c>
      <c r="BE36" t="str">
        <f>IF(AND($W$9=1,Courses!N30&lt;0), "Row "&amp;Courses!$A30&amp;", "&amp;BE$9&amp;", "&amp;BE$10&amp;", "&amp;BE$11&amp;"; ","")</f>
        <v/>
      </c>
      <c r="BF36" t="str">
        <f>IF(AND($W$9=1,Courses!O30&lt;0), "Row "&amp;Courses!$A30&amp;", "&amp;BF$9&amp;", "&amp;BF$10&amp;", "&amp;BF$11&amp;"; ","")</f>
        <v/>
      </c>
      <c r="BG36" t="str">
        <f>IF(AND($W$9=1,Courses!P30&lt;0), "Row "&amp;Courses!$A30&amp;", "&amp;BG$9&amp;", "&amp;BG$10&amp;", "&amp;BG$11&amp;"; ","")</f>
        <v/>
      </c>
      <c r="BH36" s="2120" t="str">
        <f>IF(AND($W$9=1,Courses!Q30&lt;0), "Row "&amp;Courses!$A30&amp;", "&amp;BH$9&amp;", "&amp;BH$10&amp;"; ","")</f>
        <v/>
      </c>
      <c r="BI36" s="1593" t="str">
        <f>IF(AND($W$9=1,Courses!R30&lt;0), "Row "&amp;Courses!$A30&amp;", "&amp;BI$9&amp;", "&amp;BI$10&amp;", "&amp;BI$11&amp;"; ","")</f>
        <v/>
      </c>
      <c r="BJ36" t="str">
        <f>IF(AND($W$9=1,Courses!S30&lt;0), "Row "&amp;Courses!$A30&amp;", "&amp;BJ$9&amp;", "&amp;BJ$10&amp;", "&amp;BJ$11&amp;"; ","")</f>
        <v/>
      </c>
      <c r="BK36" t="str">
        <f>IF(AND($W$9=1,Courses!T30&lt;0), "Row "&amp;Courses!$A30&amp;", "&amp;BK$9&amp;", "&amp;BK$10&amp;", "&amp;BK$11&amp;"; ","")</f>
        <v/>
      </c>
      <c r="BL36" t="str">
        <f>IF(AND($W$9=1,Courses!U30&lt;0), "Row "&amp;Courses!$A30&amp;", "&amp;BL$9&amp;", "&amp;BL$10&amp;", "&amp;BL$11&amp;"; ","")</f>
        <v/>
      </c>
      <c r="BM36" s="2120" t="str">
        <f>IF(AND($W$9=1,Courses!V30&lt;0), "Row "&amp;Courses!$A30&amp;", "&amp;BM$9&amp;", "&amp;BM$10&amp;"; ","")</f>
        <v/>
      </c>
      <c r="BN36" s="1593" t="str">
        <f>IF(AND($W$9=1,Courses!W30&lt;0), "Row "&amp;Courses!$A30&amp;", "&amp;BN$9&amp;", "&amp;BN$10&amp;", "&amp;BN$11&amp;"; ","")</f>
        <v/>
      </c>
      <c r="BO36" t="str">
        <f>IF(AND($W$9=1,Courses!X30&lt;0), "Row "&amp;Courses!$A30&amp;", "&amp;BO$9&amp;", "&amp;BO$10&amp;", "&amp;BO$11&amp;"; ","")</f>
        <v/>
      </c>
      <c r="BP36" t="str">
        <f>IF(AND($W$9=1,Courses!Y30&lt;0), "Row "&amp;Courses!$A30&amp;", "&amp;BP$9&amp;", "&amp;BP$10&amp;", "&amp;BP$11&amp;"; ","")</f>
        <v/>
      </c>
      <c r="BQ36" t="str">
        <f>IF(AND($W$9=1,Courses!Z30&lt;0), "Row "&amp;Courses!$A30&amp;", "&amp;BQ$9&amp;", "&amp;BQ$10&amp;", "&amp;BQ$11&amp;"; ","")</f>
        <v/>
      </c>
      <c r="BR36" s="2120" t="str">
        <f>IF(AND($W$9=1,Courses!AA30&lt;0), "Row "&amp;Courses!$A30&amp;", "&amp;BR$9&amp;", "&amp;BR$10&amp;"; ","")</f>
        <v/>
      </c>
      <c r="BT36" s="186">
        <v>17</v>
      </c>
      <c r="BU36" s="40">
        <f>IF(AND($X$9=1,Courses!B30="",Courses!F30="",Courses!H30="",Courses!J30="",Courses!K30="",Courses!L30="",Courses!M30=0,Courses!N30=0,Courses!O30=0,Courses!P30=0,Courses!Q30=0,Courses!R30=0,Courses!S30=0,Courses!T30=0,Courses!U30=0,Courses!V30=0,Courses!W30=0,Courses!X30=0,Courses!Y30=0,Courses!Z30=0,Courses!AA30=0),0,1)</f>
        <v>0</v>
      </c>
      <c r="BV36" s="40">
        <f>IF(AND(BU36=0,SUM(BU37:$BU$219)&gt;0),1,0)</f>
        <v>0</v>
      </c>
      <c r="BW36" s="1595" t="str">
        <f>IF(BV36=1,"Row "&amp;Courses!A30&amp;"; ","")</f>
        <v/>
      </c>
      <c r="BX36" s="17"/>
      <c r="BZ36" s="1592" t="str">
        <f>IF(AND($Y$9=1,Courses!B30&lt;&gt;"",SUM(Courses!M30:AA30)=0),"Row "&amp;Courses!A30&amp;"; ","")</f>
        <v/>
      </c>
      <c r="CA36" s="17"/>
      <c r="CC36" s="1592" t="str">
        <f>IF(AND($Z$9=1,Courses!AD30=1,(LEN(Courses!AB30)&gt;200)),"Row "&amp;Courses!A30&amp;"; ","")</f>
        <v/>
      </c>
      <c r="CE36" s="131"/>
      <c r="CG36" s="1593" t="str">
        <f>IF(AND($AD$9=1,Courses!E30&lt;&gt;"",Courses!F30&lt;&gt;"",Courses!F30=0,SUM(Courses!H30,Courses!J30)=1),"Row "&amp;Courses!A30&amp;", "&amp;Courses!$F$10&amp;"; ","")</f>
        <v/>
      </c>
      <c r="CH36" t="str">
        <f>IF(AND($AD$9=1,Courses!G30&lt;&gt;"",Courses!H30&lt;&gt;"",Courses!H30=0,SUM(Courses!J30,Courses!F30)=1),"Row "&amp;Courses!A30&amp;", "&amp;Courses!$H$10&amp;"; ","")</f>
        <v/>
      </c>
      <c r="CI36" s="183" t="str">
        <f>IF(AND($AD$9=1,Courses!I30&lt;&gt;"",Courses!J30&lt;&gt;"",Courses!J30=0, SUM(Courses!H30,Courses!F30)=1),"Row "&amp;Courses!A30&amp;", "&amp;Courses!$J$10&amp;"; ","")</f>
        <v/>
      </c>
      <c r="CJ36" s="180"/>
      <c r="CK36" s="181"/>
      <c r="CL36" s="1592" t="str">
        <f>IF(AND(Courses!B30&lt;&gt;"",ISNA(VLOOKUP(Courses!C30,CourseInfo,2,FALSE))=FALSE,COUNTIF(Dummy,Courses!C30)&lt;&gt;1),VLOOKUP(Courses!C30,CourseInfo,6,FALSE),"")</f>
        <v/>
      </c>
      <c r="CM36" s="1592" t="str">
        <f>IF(AND($AE$9=1,Courses!B30&lt;&gt;"",'Courses Valid'!AG36="",COUNTIF(Dummy,Courses!C30)&lt;&gt;1),IF(Courses!K30&lt;&gt;'Courses Valid'!CL36,"Row "&amp;Courses!A30&amp;", Level on LARS is "&amp;'Courses Valid'!CL36&amp;"; ",""),"")</f>
        <v/>
      </c>
      <c r="CN36" s="131"/>
    </row>
    <row r="37" spans="3:92" x14ac:dyDescent="0.35">
      <c r="C37" s="1591">
        <f t="shared" si="2"/>
        <v>0</v>
      </c>
      <c r="D37" s="41"/>
      <c r="E37" s="41"/>
      <c r="F37" s="118"/>
      <c r="G37" s="1591" t="str">
        <f>IF(SUMPRODUCT(--(CourseAims=Courses!$C31))=1,"",IF(AND($N$9=1,Courses!$C31&lt;&gt;""),"Row "&amp;Courses!A31&amp;" (invalid); ",""))</f>
        <v/>
      </c>
      <c r="H37" s="1592" t="str">
        <f>IF(AND($O$9=1,Courses!B31="",OR(Courses!F31&lt;&gt;"",Courses!H31&lt;&gt;"",Courses!J31&lt;&gt;"",Courses!K31&lt;&gt;"",Courses!L31&lt;&gt;"",Courses!M31&lt;&gt;0,Courses!N31&lt;&gt;0,Courses!O31&lt;&gt;0,Courses!P31&lt;&gt;0,Courses!Q31&lt;&gt;0,Courses!R31&lt;&gt;0,Courses!S31&lt;&gt;0,Courses!T31&lt;&gt;0,Courses!U31&lt;&gt;0,Courses!V31&lt;&gt;0,Courses!W31&lt;&gt;0,Courses!X31&lt;&gt;0,Courses!Y31&lt;&gt;0,Courses!Z31&lt;&gt;0,Courses!AA31&lt;&gt;0)),"Row "&amp;Courses!A31&amp;" (none); ","")</f>
        <v/>
      </c>
      <c r="I37" s="17"/>
      <c r="K37" s="1592" t="str">
        <f>Courses!B31&amp;Courses!K31&amp;Courses!L31</f>
        <v/>
      </c>
      <c r="L37" s="1592" t="str">
        <f>IF(AND($P$9=1,Courses!$B31&lt;&gt;"",COUNTIF(Dummy,Courses!$C31)&lt;&gt;1),IF(SUMPRODUCT(--($K$20:$K$219=$K37))&gt;1,"Row "&amp;Courses!$A31&amp;"; ",""),"")</f>
        <v/>
      </c>
      <c r="N37" s="118"/>
      <c r="O37" s="1593" t="str">
        <f>IF(AND($Q$9=1,Courses!E31&lt;&gt;"",Courses!F31=""),"Row "&amp;Courses!A31&amp;", "&amp;Courses!$E$10&amp;"; ","")</f>
        <v/>
      </c>
      <c r="P37" t="str">
        <f>IF(AND($Q$9=1,Courses!G31&lt;&gt;"",Courses!H31=""),"Row "&amp;Courses!A31&amp;", "&amp;Courses!$G$10&amp;"; ","")</f>
        <v/>
      </c>
      <c r="Q37" s="183" t="str">
        <f>IF(AND($Q$9=1,Courses!I31&lt;&gt;"",Courses!J31=""),"Row "&amp;Courses!A31&amp;", "&amp;Courses!$I$10&amp;"; ","")</f>
        <v/>
      </c>
      <c r="S37" s="17"/>
      <c r="T37" s="118"/>
      <c r="U37" s="1594" t="str">
        <f>IF(AND($R$9=1,Courses!B31&lt;&gt;"",Courses!E31&lt;&gt;"",Courses!G31="",Courses!I31="",Courses!F31&lt;&gt;1),"Row "&amp;Courses!A31&amp;"; ","")</f>
        <v/>
      </c>
      <c r="V37" t="str">
        <f>IF(AND($R$9=1,Courses!B31&lt;&gt;"",Courses!I31="",Courses!F31&lt;&gt;"",Courses!G31&lt;&gt;"",Courses!H31&lt;&gt;""),IF(OR((Courses!F31+Courses!H31)&lt;&gt;1),"Row "&amp;Courses!A31&amp;"; ",""),"")</f>
        <v/>
      </c>
      <c r="W37" s="183" t="str">
        <f>IF(AND($R$9=1,Courses!B31&lt;&gt;"",Courses!I31&lt;&gt;"",Courses!J31&lt;&gt;"",Courses!H31&lt;&gt;"",Courses!G31&lt;&gt;"",Courses!F31&lt;&gt;""),IF(OR((Courses!F31+Courses!H31+Courses!J31)&lt;&gt;1),"Row "&amp;Courses!A31&amp;"; ",""),"")</f>
        <v/>
      </c>
      <c r="Y37" s="1592" t="str">
        <f>IF(AND($R$9=1,Courses!E31&lt;&gt;"",U37="",V37="",W37="",SUM(Courses!F31,Courses!H31,Courses!J31)&lt;&gt;1),"Row "&amp;Courses!A31&amp;"; ","")</f>
        <v/>
      </c>
      <c r="Z37" s="17"/>
      <c r="AB37" s="1593" t="str">
        <f>IF(AND($S$9=1,Courses!B31&lt;&gt;"",Courses!E31&lt;&gt;"",Courses!F31&lt;&gt;""),IF((TRUNC(Courses!F31*100)&lt;&gt;Courses!F31*100),"Row "&amp;Courses!A31&amp;", "&amp;Courses!$F$10&amp;"; ",""),"")</f>
        <v/>
      </c>
      <c r="AC37" t="str">
        <f>IF(AND($S$9=1,Courses!B31&lt;&gt;"",Courses!G31&lt;&gt;"",Courses!H31&lt;&gt;""),IF((TRUNC(Courses!H31*100)&lt;&gt;Courses!H31*100),"Row "&amp;Courses!A31&amp;", "&amp;Courses!$H$10&amp;"; ",""),"")</f>
        <v/>
      </c>
      <c r="AD37" s="183" t="str">
        <f>IF(AND($S$9=1,Courses!B31&lt;&gt;"",Courses!I31&lt;&gt;"",Courses!J31&lt;&gt;""),IF((TRUNC(Courses!J31*100)&lt;&gt;Courses!J31*100),"Row "&amp;Courses!A31&amp;", "&amp;Courses!$J$10&amp;"; ",""),"")</f>
        <v/>
      </c>
      <c r="AF37" s="118"/>
      <c r="AG37" s="1592" t="str">
        <f>IF(AND($T$9=1,G37="",Courses!B31&lt;&gt;"",Courses!K31&lt;&gt;$B$9,Courses!K31&lt;&gt;$B$10,Courses!K31&lt;&gt;$B$11,Courses!K31&lt;&gt;$B$12,Courses!K31&lt;&gt;$B$13,Courses!K31&lt;&gt;$B$14),"Row "&amp;Courses!A31&amp;"; ","")</f>
        <v/>
      </c>
      <c r="AH37" s="1592" t="str">
        <f>IF(AND($U$9=1,G37="",Courses!B31&lt;&gt;"",Courses!L31&lt;&gt;"Standard",Courses!L31&lt;&gt;"Long"),"Row "&amp;Courses!A31&amp;"; ","")</f>
        <v/>
      </c>
      <c r="AJ37" s="118"/>
      <c r="AK37" s="3">
        <v>18</v>
      </c>
      <c r="AL37" s="1593" t="str">
        <f>IF(AND($V$9=1,(TRUNC(Courses!M31)&lt;&gt;Courses!M31)), "Row "&amp;Courses!$A31&amp;", "&amp;AL$9&amp;", "&amp;AL$10&amp;", "&amp;AL$11&amp;"; ","")</f>
        <v/>
      </c>
      <c r="AM37" t="str">
        <f>IF(AND($V$9=1,(TRUNC(Courses!N31)&lt;&gt;Courses!N31)), "Row "&amp;Courses!$A31&amp;", "&amp;AM$9&amp;", "&amp;AM$10&amp;", "&amp;AM$11&amp;"; ","")</f>
        <v/>
      </c>
      <c r="AN37" t="str">
        <f>IF(AND($V$9=1,(TRUNC(Courses!O31)&lt;&gt;Courses!O31)), "Row "&amp;Courses!$A31&amp;", "&amp;AN$9&amp;", "&amp;AN$10&amp;", "&amp;AN$11&amp;"; ","")</f>
        <v/>
      </c>
      <c r="AO37" t="str">
        <f>IF(AND($V$9=1,(TRUNC(Courses!P31)&lt;&gt;Courses!P31)), "Row "&amp;Courses!$A31&amp;", "&amp;AO$9&amp;", "&amp;AO$10&amp;", "&amp;AO$11&amp;"; ","")</f>
        <v/>
      </c>
      <c r="AP37" s="2120" t="str">
        <f>IF(AND($V$9=1,(TRUNC(Courses!Q31)&lt;&gt;Courses!Q31)), "Row "&amp;Courses!$A31&amp;", "&amp;AP$9&amp;", "&amp;AP$10&amp;"; ","")</f>
        <v/>
      </c>
      <c r="AQ37" s="1593" t="str">
        <f>IF(AND($V$9=1,(TRUNC(Courses!R31)&lt;&gt;Courses!R31)), "Row "&amp;Courses!$A31&amp;", "&amp;AQ$9&amp;", "&amp;AQ$10&amp;", "&amp;AQ$11&amp;"; ","")</f>
        <v/>
      </c>
      <c r="AR37" t="str">
        <f>IF(AND($V$9=1,(TRUNC(Courses!S31)&lt;&gt;Courses!S31)), "Row "&amp;Courses!$A31&amp;", "&amp;AR$9&amp;", "&amp;AR$10&amp;", "&amp;AR$11&amp;"; ","")</f>
        <v/>
      </c>
      <c r="AS37" t="str">
        <f>IF(AND($V$9=1,(TRUNC(Courses!T31)&lt;&gt;Courses!T31)), "Row "&amp;Courses!$A31&amp;", "&amp;AS$9&amp;", "&amp;AS$10&amp;", "&amp;AS$11&amp;"; ","")</f>
        <v/>
      </c>
      <c r="AT37" t="str">
        <f>IF(AND($V$9=1,(TRUNC(Courses!U31)&lt;&gt;Courses!U31)), "Row "&amp;Courses!$A31&amp;", "&amp;AT$9&amp;", "&amp;AT$10&amp;", "&amp;AT$11&amp;"; ","")</f>
        <v/>
      </c>
      <c r="AU37" s="2120" t="str">
        <f>IF(AND($V$9=1,(TRUNC(Courses!V31)&lt;&gt;Courses!V31)), "Row "&amp;Courses!$A31&amp;", "&amp;AU$9&amp;", "&amp;AU$10&amp;"; ","")</f>
        <v/>
      </c>
      <c r="AV37" s="1593" t="str">
        <f>IF(AND($V$9=1,(TRUNC(Courses!W31)&lt;&gt;Courses!W31)), "Row "&amp;Courses!$A31&amp;", "&amp;AV$9&amp;", "&amp;AV$10&amp;", "&amp;AV$11&amp;"; ","")</f>
        <v/>
      </c>
      <c r="AW37" t="str">
        <f>IF(AND($V$9=1,(TRUNC(Courses!X31)&lt;&gt;Courses!X31)), "Row "&amp;Courses!$A31&amp;", "&amp;AW$9&amp;", "&amp;AW$10&amp;", "&amp;AW$11&amp;"; ","")</f>
        <v/>
      </c>
      <c r="AX37" t="str">
        <f>IF(AND($V$9=1,(TRUNC(Courses!Y31)&lt;&gt;Courses!Y31)), "Row "&amp;Courses!$A31&amp;", "&amp;AX$9&amp;", "&amp;AX$10&amp;", "&amp;AX$11&amp;"; ","")</f>
        <v/>
      </c>
      <c r="AY37" t="str">
        <f>IF(AND($V$9=1,(TRUNC(Courses!Z31)&lt;&gt;Courses!Z31)), "Row "&amp;Courses!$A31&amp;", "&amp;AY$9&amp;", "&amp;AY$10&amp;", "&amp;AY$11&amp;"; ","")</f>
        <v/>
      </c>
      <c r="AZ37" s="2120" t="str">
        <f>IF(AND($V$9=1,(TRUNC(Courses!AA31)&lt;&gt;Courses!AA31)), "Row "&amp;Courses!$A31&amp;", "&amp;AZ$9&amp;", "&amp;AZ$10&amp;"; ","")</f>
        <v/>
      </c>
      <c r="BA37" s="17"/>
      <c r="BB37" s="118"/>
      <c r="BC37" s="3">
        <v>18</v>
      </c>
      <c r="BD37" s="1593" t="str">
        <f>IF(AND($W$9=1,Courses!M31&lt;0), "Row "&amp;Courses!$A31&amp;", "&amp;BD$9&amp;", "&amp;BD$10&amp;", "&amp;BD$11&amp;"; ","")</f>
        <v/>
      </c>
      <c r="BE37" t="str">
        <f>IF(AND($W$9=1,Courses!N31&lt;0), "Row "&amp;Courses!$A31&amp;", "&amp;BE$9&amp;", "&amp;BE$10&amp;", "&amp;BE$11&amp;"; ","")</f>
        <v/>
      </c>
      <c r="BF37" t="str">
        <f>IF(AND($W$9=1,Courses!O31&lt;0), "Row "&amp;Courses!$A31&amp;", "&amp;BF$9&amp;", "&amp;BF$10&amp;", "&amp;BF$11&amp;"; ","")</f>
        <v/>
      </c>
      <c r="BG37" t="str">
        <f>IF(AND($W$9=1,Courses!P31&lt;0), "Row "&amp;Courses!$A31&amp;", "&amp;BG$9&amp;", "&amp;BG$10&amp;", "&amp;BG$11&amp;"; ","")</f>
        <v/>
      </c>
      <c r="BH37" s="2120" t="str">
        <f>IF(AND($W$9=1,Courses!Q31&lt;0), "Row "&amp;Courses!$A31&amp;", "&amp;BH$9&amp;", "&amp;BH$10&amp;"; ","")</f>
        <v/>
      </c>
      <c r="BI37" s="1593" t="str">
        <f>IF(AND($W$9=1,Courses!R31&lt;0), "Row "&amp;Courses!$A31&amp;", "&amp;BI$9&amp;", "&amp;BI$10&amp;", "&amp;BI$11&amp;"; ","")</f>
        <v/>
      </c>
      <c r="BJ37" t="str">
        <f>IF(AND($W$9=1,Courses!S31&lt;0), "Row "&amp;Courses!$A31&amp;", "&amp;BJ$9&amp;", "&amp;BJ$10&amp;", "&amp;BJ$11&amp;"; ","")</f>
        <v/>
      </c>
      <c r="BK37" t="str">
        <f>IF(AND($W$9=1,Courses!T31&lt;0), "Row "&amp;Courses!$A31&amp;", "&amp;BK$9&amp;", "&amp;BK$10&amp;", "&amp;BK$11&amp;"; ","")</f>
        <v/>
      </c>
      <c r="BL37" t="str">
        <f>IF(AND($W$9=1,Courses!U31&lt;0), "Row "&amp;Courses!$A31&amp;", "&amp;BL$9&amp;", "&amp;BL$10&amp;", "&amp;BL$11&amp;"; ","")</f>
        <v/>
      </c>
      <c r="BM37" s="2120" t="str">
        <f>IF(AND($W$9=1,Courses!V31&lt;0), "Row "&amp;Courses!$A31&amp;", "&amp;BM$9&amp;", "&amp;BM$10&amp;"; ","")</f>
        <v/>
      </c>
      <c r="BN37" s="1593" t="str">
        <f>IF(AND($W$9=1,Courses!W31&lt;0), "Row "&amp;Courses!$A31&amp;", "&amp;BN$9&amp;", "&amp;BN$10&amp;", "&amp;BN$11&amp;"; ","")</f>
        <v/>
      </c>
      <c r="BO37" t="str">
        <f>IF(AND($W$9=1,Courses!X31&lt;0), "Row "&amp;Courses!$A31&amp;", "&amp;BO$9&amp;", "&amp;BO$10&amp;", "&amp;BO$11&amp;"; ","")</f>
        <v/>
      </c>
      <c r="BP37" t="str">
        <f>IF(AND($W$9=1,Courses!Y31&lt;0), "Row "&amp;Courses!$A31&amp;", "&amp;BP$9&amp;", "&amp;BP$10&amp;", "&amp;BP$11&amp;"; ","")</f>
        <v/>
      </c>
      <c r="BQ37" t="str">
        <f>IF(AND($W$9=1,Courses!Z31&lt;0), "Row "&amp;Courses!$A31&amp;", "&amp;BQ$9&amp;", "&amp;BQ$10&amp;", "&amp;BQ$11&amp;"; ","")</f>
        <v/>
      </c>
      <c r="BR37" s="2120" t="str">
        <f>IF(AND($W$9=1,Courses!AA31&lt;0), "Row "&amp;Courses!$A31&amp;", "&amp;BR$9&amp;", "&amp;BR$10&amp;"; ","")</f>
        <v/>
      </c>
      <c r="BT37" s="186">
        <v>18</v>
      </c>
      <c r="BU37" s="40">
        <f>IF(AND($X$9=1,Courses!B31="",Courses!F31="",Courses!H31="",Courses!J31="",Courses!K31="",Courses!L31="",Courses!M31=0,Courses!N31=0,Courses!O31=0,Courses!P31=0,Courses!Q31=0,Courses!R31=0,Courses!S31=0,Courses!T31=0,Courses!U31=0,Courses!V31=0,Courses!W31=0,Courses!X31=0,Courses!Y31=0,Courses!Z31=0,Courses!AA31=0),0,1)</f>
        <v>0</v>
      </c>
      <c r="BV37" s="40">
        <f>IF(AND(BU37=0,SUM(BU38:$BU$219)&gt;0),1,0)</f>
        <v>0</v>
      </c>
      <c r="BW37" s="1595" t="str">
        <f>IF(BV37=1,"Row "&amp;Courses!A31&amp;"; ","")</f>
        <v/>
      </c>
      <c r="BX37" s="17"/>
      <c r="BZ37" s="1592" t="str">
        <f>IF(AND($Y$9=1,Courses!B31&lt;&gt;"",SUM(Courses!M31:AA31)=0),"Row "&amp;Courses!A31&amp;"; ","")</f>
        <v/>
      </c>
      <c r="CA37" s="17"/>
      <c r="CC37" s="1592" t="str">
        <f>IF(AND($Z$9=1,Courses!AD31=1,(LEN(Courses!AB31)&gt;200)),"Row "&amp;Courses!A31&amp;"; ","")</f>
        <v/>
      </c>
      <c r="CE37" s="131"/>
      <c r="CG37" s="1593" t="str">
        <f>IF(AND($AD$9=1,Courses!E31&lt;&gt;"",Courses!F31&lt;&gt;"",Courses!F31=0,SUM(Courses!H31,Courses!J31)=1),"Row "&amp;Courses!A31&amp;", "&amp;Courses!$F$10&amp;"; ","")</f>
        <v/>
      </c>
      <c r="CH37" t="str">
        <f>IF(AND($AD$9=1,Courses!G31&lt;&gt;"",Courses!H31&lt;&gt;"",Courses!H31=0,SUM(Courses!J31,Courses!F31)=1),"Row "&amp;Courses!A31&amp;", "&amp;Courses!$H$10&amp;"; ","")</f>
        <v/>
      </c>
      <c r="CI37" s="183" t="str">
        <f>IF(AND($AD$9=1,Courses!I31&lt;&gt;"",Courses!J31&lt;&gt;"",Courses!J31=0, SUM(Courses!H31,Courses!F31)=1),"Row "&amp;Courses!A31&amp;", "&amp;Courses!$J$10&amp;"; ","")</f>
        <v/>
      </c>
      <c r="CJ37" s="180"/>
      <c r="CK37" s="181"/>
      <c r="CL37" s="1592" t="str">
        <f>IF(AND(Courses!B31&lt;&gt;"",ISNA(VLOOKUP(Courses!C31,CourseInfo,2,FALSE))=FALSE,COUNTIF(Dummy,Courses!C31)&lt;&gt;1),VLOOKUP(Courses!C31,CourseInfo,6,FALSE),"")</f>
        <v/>
      </c>
      <c r="CM37" s="1592" t="str">
        <f>IF(AND($AE$9=1,Courses!B31&lt;&gt;"",'Courses Valid'!AG37="",COUNTIF(Dummy,Courses!C31)&lt;&gt;1),IF(Courses!K31&lt;&gt;'Courses Valid'!CL37,"Row "&amp;Courses!A31&amp;", Level on LARS is "&amp;'Courses Valid'!CL37&amp;"; ",""),"")</f>
        <v/>
      </c>
      <c r="CN37" s="131"/>
    </row>
    <row r="38" spans="3:92" x14ac:dyDescent="0.35">
      <c r="C38" s="1591">
        <f t="shared" si="2"/>
        <v>0</v>
      </c>
      <c r="D38" s="41"/>
      <c r="E38" s="41"/>
      <c r="F38" s="118"/>
      <c r="G38" s="1591" t="str">
        <f>IF(SUMPRODUCT(--(CourseAims=Courses!$C32))=1,"",IF(AND($N$9=1,Courses!$C32&lt;&gt;""),"Row "&amp;Courses!A32&amp;" (invalid); ",""))</f>
        <v/>
      </c>
      <c r="H38" s="1592" t="str">
        <f>IF(AND($O$9=1,Courses!B32="",OR(Courses!F32&lt;&gt;"",Courses!H32&lt;&gt;"",Courses!J32&lt;&gt;"",Courses!K32&lt;&gt;"",Courses!L32&lt;&gt;"",Courses!M32&lt;&gt;0,Courses!N32&lt;&gt;0,Courses!O32&lt;&gt;0,Courses!P32&lt;&gt;0,Courses!Q32&lt;&gt;0,Courses!R32&lt;&gt;0,Courses!S32&lt;&gt;0,Courses!T32&lt;&gt;0,Courses!U32&lt;&gt;0,Courses!V32&lt;&gt;0,Courses!W32&lt;&gt;0,Courses!X32&lt;&gt;0,Courses!Y32&lt;&gt;0,Courses!Z32&lt;&gt;0,Courses!AA32&lt;&gt;0)),"Row "&amp;Courses!A32&amp;" (none); ","")</f>
        <v/>
      </c>
      <c r="I38" s="17"/>
      <c r="K38" s="1592" t="str">
        <f>Courses!B32&amp;Courses!K32&amp;Courses!L32</f>
        <v/>
      </c>
      <c r="L38" s="1592" t="str">
        <f>IF(AND($P$9=1,Courses!$B32&lt;&gt;"",COUNTIF(Dummy,Courses!$C32)&lt;&gt;1),IF(SUMPRODUCT(--($K$20:$K$219=$K38))&gt;1,"Row "&amp;Courses!$A32&amp;"; ",""),"")</f>
        <v/>
      </c>
      <c r="N38" s="118"/>
      <c r="O38" s="1593" t="str">
        <f>IF(AND($Q$9=1,Courses!E32&lt;&gt;"",Courses!F32=""),"Row "&amp;Courses!A32&amp;", "&amp;Courses!$E$10&amp;"; ","")</f>
        <v/>
      </c>
      <c r="P38" t="str">
        <f>IF(AND($Q$9=1,Courses!G32&lt;&gt;"",Courses!H32=""),"Row "&amp;Courses!A32&amp;", "&amp;Courses!$G$10&amp;"; ","")</f>
        <v/>
      </c>
      <c r="Q38" s="183" t="str">
        <f>IF(AND($Q$9=1,Courses!I32&lt;&gt;"",Courses!J32=""),"Row "&amp;Courses!A32&amp;", "&amp;Courses!$I$10&amp;"; ","")</f>
        <v/>
      </c>
      <c r="S38" s="17"/>
      <c r="T38" s="118"/>
      <c r="U38" s="1594" t="str">
        <f>IF(AND($R$9=1,Courses!B32&lt;&gt;"",Courses!E32&lt;&gt;"",Courses!G32="",Courses!I32="",Courses!F32&lt;&gt;1),"Row "&amp;Courses!A32&amp;"; ","")</f>
        <v/>
      </c>
      <c r="V38" t="str">
        <f>IF(AND($R$9=1,Courses!B32&lt;&gt;"",Courses!I32="",Courses!F32&lt;&gt;"",Courses!G32&lt;&gt;"",Courses!H32&lt;&gt;""),IF(OR((Courses!F32+Courses!H32)&lt;&gt;1),"Row "&amp;Courses!A32&amp;"; ",""),"")</f>
        <v/>
      </c>
      <c r="W38" s="183" t="str">
        <f>IF(AND($R$9=1,Courses!B32&lt;&gt;"",Courses!I32&lt;&gt;"",Courses!J32&lt;&gt;"",Courses!H32&lt;&gt;"",Courses!G32&lt;&gt;"",Courses!F32&lt;&gt;""),IF(OR((Courses!F32+Courses!H32+Courses!J32)&lt;&gt;1),"Row "&amp;Courses!A32&amp;"; ",""),"")</f>
        <v/>
      </c>
      <c r="Y38" s="1592" t="str">
        <f>IF(AND($R$9=1,Courses!E32&lt;&gt;"",U38="",V38="",W38="",SUM(Courses!F32,Courses!H32,Courses!J32)&lt;&gt;1),"Row "&amp;Courses!A32&amp;"; ","")</f>
        <v/>
      </c>
      <c r="Z38" s="17"/>
      <c r="AB38" s="1593" t="str">
        <f>IF(AND($S$9=1,Courses!B32&lt;&gt;"",Courses!E32&lt;&gt;"",Courses!F32&lt;&gt;""),IF((TRUNC(Courses!F32*100)&lt;&gt;Courses!F32*100),"Row "&amp;Courses!A32&amp;", "&amp;Courses!$F$10&amp;"; ",""),"")</f>
        <v/>
      </c>
      <c r="AC38" t="str">
        <f>IF(AND($S$9=1,Courses!B32&lt;&gt;"",Courses!G32&lt;&gt;"",Courses!H32&lt;&gt;""),IF((TRUNC(Courses!H32*100)&lt;&gt;Courses!H32*100),"Row "&amp;Courses!A32&amp;", "&amp;Courses!$H$10&amp;"; ",""),"")</f>
        <v/>
      </c>
      <c r="AD38" s="183" t="str">
        <f>IF(AND($S$9=1,Courses!B32&lt;&gt;"",Courses!I32&lt;&gt;"",Courses!J32&lt;&gt;""),IF((TRUNC(Courses!J32*100)&lt;&gt;Courses!J32*100),"Row "&amp;Courses!A32&amp;", "&amp;Courses!$J$10&amp;"; ",""),"")</f>
        <v/>
      </c>
      <c r="AF38" s="118"/>
      <c r="AG38" s="1592" t="str">
        <f>IF(AND($T$9=1,G38="",Courses!B32&lt;&gt;"",Courses!K32&lt;&gt;$B$9,Courses!K32&lt;&gt;$B$10,Courses!K32&lt;&gt;$B$11,Courses!K32&lt;&gt;$B$12,Courses!K32&lt;&gt;$B$13,Courses!K32&lt;&gt;$B$14),"Row "&amp;Courses!A32&amp;"; ","")</f>
        <v/>
      </c>
      <c r="AH38" s="1592" t="str">
        <f>IF(AND($U$9=1,G38="",Courses!B32&lt;&gt;"",Courses!L32&lt;&gt;"Standard",Courses!L32&lt;&gt;"Long"),"Row "&amp;Courses!A32&amp;"; ","")</f>
        <v/>
      </c>
      <c r="AJ38" s="118"/>
      <c r="AK38" s="3">
        <v>19</v>
      </c>
      <c r="AL38" s="1593" t="str">
        <f>IF(AND($V$9=1,(TRUNC(Courses!M32)&lt;&gt;Courses!M32)), "Row "&amp;Courses!$A32&amp;", "&amp;AL$9&amp;", "&amp;AL$10&amp;", "&amp;AL$11&amp;"; ","")</f>
        <v/>
      </c>
      <c r="AM38" t="str">
        <f>IF(AND($V$9=1,(TRUNC(Courses!N32)&lt;&gt;Courses!N32)), "Row "&amp;Courses!$A32&amp;", "&amp;AM$9&amp;", "&amp;AM$10&amp;", "&amp;AM$11&amp;"; ","")</f>
        <v/>
      </c>
      <c r="AN38" t="str">
        <f>IF(AND($V$9=1,(TRUNC(Courses!O32)&lt;&gt;Courses!O32)), "Row "&amp;Courses!$A32&amp;", "&amp;AN$9&amp;", "&amp;AN$10&amp;", "&amp;AN$11&amp;"; ","")</f>
        <v/>
      </c>
      <c r="AO38" t="str">
        <f>IF(AND($V$9=1,(TRUNC(Courses!P32)&lt;&gt;Courses!P32)), "Row "&amp;Courses!$A32&amp;", "&amp;AO$9&amp;", "&amp;AO$10&amp;", "&amp;AO$11&amp;"; ","")</f>
        <v/>
      </c>
      <c r="AP38" s="2120" t="str">
        <f>IF(AND($V$9=1,(TRUNC(Courses!Q32)&lt;&gt;Courses!Q32)), "Row "&amp;Courses!$A32&amp;", "&amp;AP$9&amp;", "&amp;AP$10&amp;"; ","")</f>
        <v/>
      </c>
      <c r="AQ38" s="1593" t="str">
        <f>IF(AND($V$9=1,(TRUNC(Courses!R32)&lt;&gt;Courses!R32)), "Row "&amp;Courses!$A32&amp;", "&amp;AQ$9&amp;", "&amp;AQ$10&amp;", "&amp;AQ$11&amp;"; ","")</f>
        <v/>
      </c>
      <c r="AR38" t="str">
        <f>IF(AND($V$9=1,(TRUNC(Courses!S32)&lt;&gt;Courses!S32)), "Row "&amp;Courses!$A32&amp;", "&amp;AR$9&amp;", "&amp;AR$10&amp;", "&amp;AR$11&amp;"; ","")</f>
        <v/>
      </c>
      <c r="AS38" t="str">
        <f>IF(AND($V$9=1,(TRUNC(Courses!T32)&lt;&gt;Courses!T32)), "Row "&amp;Courses!$A32&amp;", "&amp;AS$9&amp;", "&amp;AS$10&amp;", "&amp;AS$11&amp;"; ","")</f>
        <v/>
      </c>
      <c r="AT38" t="str">
        <f>IF(AND($V$9=1,(TRUNC(Courses!U32)&lt;&gt;Courses!U32)), "Row "&amp;Courses!$A32&amp;", "&amp;AT$9&amp;", "&amp;AT$10&amp;", "&amp;AT$11&amp;"; ","")</f>
        <v/>
      </c>
      <c r="AU38" s="2120" t="str">
        <f>IF(AND($V$9=1,(TRUNC(Courses!V32)&lt;&gt;Courses!V32)), "Row "&amp;Courses!$A32&amp;", "&amp;AU$9&amp;", "&amp;AU$10&amp;"; ","")</f>
        <v/>
      </c>
      <c r="AV38" s="1593" t="str">
        <f>IF(AND($V$9=1,(TRUNC(Courses!W32)&lt;&gt;Courses!W32)), "Row "&amp;Courses!$A32&amp;", "&amp;AV$9&amp;", "&amp;AV$10&amp;", "&amp;AV$11&amp;"; ","")</f>
        <v/>
      </c>
      <c r="AW38" t="str">
        <f>IF(AND($V$9=1,(TRUNC(Courses!X32)&lt;&gt;Courses!X32)), "Row "&amp;Courses!$A32&amp;", "&amp;AW$9&amp;", "&amp;AW$10&amp;", "&amp;AW$11&amp;"; ","")</f>
        <v/>
      </c>
      <c r="AX38" t="str">
        <f>IF(AND($V$9=1,(TRUNC(Courses!Y32)&lt;&gt;Courses!Y32)), "Row "&amp;Courses!$A32&amp;", "&amp;AX$9&amp;", "&amp;AX$10&amp;", "&amp;AX$11&amp;"; ","")</f>
        <v/>
      </c>
      <c r="AY38" t="str">
        <f>IF(AND($V$9=1,(TRUNC(Courses!Z32)&lt;&gt;Courses!Z32)), "Row "&amp;Courses!$A32&amp;", "&amp;AY$9&amp;", "&amp;AY$10&amp;", "&amp;AY$11&amp;"; ","")</f>
        <v/>
      </c>
      <c r="AZ38" s="2120" t="str">
        <f>IF(AND($V$9=1,(TRUNC(Courses!AA32)&lt;&gt;Courses!AA32)), "Row "&amp;Courses!$A32&amp;", "&amp;AZ$9&amp;", "&amp;AZ$10&amp;"; ","")</f>
        <v/>
      </c>
      <c r="BA38" s="17"/>
      <c r="BB38" s="118"/>
      <c r="BC38" s="3">
        <v>19</v>
      </c>
      <c r="BD38" s="1593" t="str">
        <f>IF(AND($W$9=1,Courses!M32&lt;0), "Row "&amp;Courses!$A32&amp;", "&amp;BD$9&amp;", "&amp;BD$10&amp;", "&amp;BD$11&amp;"; ","")</f>
        <v/>
      </c>
      <c r="BE38" t="str">
        <f>IF(AND($W$9=1,Courses!N32&lt;0), "Row "&amp;Courses!$A32&amp;", "&amp;BE$9&amp;", "&amp;BE$10&amp;", "&amp;BE$11&amp;"; ","")</f>
        <v/>
      </c>
      <c r="BF38" t="str">
        <f>IF(AND($W$9=1,Courses!O32&lt;0), "Row "&amp;Courses!$A32&amp;", "&amp;BF$9&amp;", "&amp;BF$10&amp;", "&amp;BF$11&amp;"; ","")</f>
        <v/>
      </c>
      <c r="BG38" t="str">
        <f>IF(AND($W$9=1,Courses!P32&lt;0), "Row "&amp;Courses!$A32&amp;", "&amp;BG$9&amp;", "&amp;BG$10&amp;", "&amp;BG$11&amp;"; ","")</f>
        <v/>
      </c>
      <c r="BH38" s="2120" t="str">
        <f>IF(AND($W$9=1,Courses!Q32&lt;0), "Row "&amp;Courses!$A32&amp;", "&amp;BH$9&amp;", "&amp;BH$10&amp;"; ","")</f>
        <v/>
      </c>
      <c r="BI38" s="1593" t="str">
        <f>IF(AND($W$9=1,Courses!R32&lt;0), "Row "&amp;Courses!$A32&amp;", "&amp;BI$9&amp;", "&amp;BI$10&amp;", "&amp;BI$11&amp;"; ","")</f>
        <v/>
      </c>
      <c r="BJ38" t="str">
        <f>IF(AND($W$9=1,Courses!S32&lt;0), "Row "&amp;Courses!$A32&amp;", "&amp;BJ$9&amp;", "&amp;BJ$10&amp;", "&amp;BJ$11&amp;"; ","")</f>
        <v/>
      </c>
      <c r="BK38" t="str">
        <f>IF(AND($W$9=1,Courses!T32&lt;0), "Row "&amp;Courses!$A32&amp;", "&amp;BK$9&amp;", "&amp;BK$10&amp;", "&amp;BK$11&amp;"; ","")</f>
        <v/>
      </c>
      <c r="BL38" t="str">
        <f>IF(AND($W$9=1,Courses!U32&lt;0), "Row "&amp;Courses!$A32&amp;", "&amp;BL$9&amp;", "&amp;BL$10&amp;", "&amp;BL$11&amp;"; ","")</f>
        <v/>
      </c>
      <c r="BM38" s="2120" t="str">
        <f>IF(AND($W$9=1,Courses!V32&lt;0), "Row "&amp;Courses!$A32&amp;", "&amp;BM$9&amp;", "&amp;BM$10&amp;"; ","")</f>
        <v/>
      </c>
      <c r="BN38" s="1593" t="str">
        <f>IF(AND($W$9=1,Courses!W32&lt;0), "Row "&amp;Courses!$A32&amp;", "&amp;BN$9&amp;", "&amp;BN$10&amp;", "&amp;BN$11&amp;"; ","")</f>
        <v/>
      </c>
      <c r="BO38" t="str">
        <f>IF(AND($W$9=1,Courses!X32&lt;0), "Row "&amp;Courses!$A32&amp;", "&amp;BO$9&amp;", "&amp;BO$10&amp;", "&amp;BO$11&amp;"; ","")</f>
        <v/>
      </c>
      <c r="BP38" t="str">
        <f>IF(AND($W$9=1,Courses!Y32&lt;0), "Row "&amp;Courses!$A32&amp;", "&amp;BP$9&amp;", "&amp;BP$10&amp;", "&amp;BP$11&amp;"; ","")</f>
        <v/>
      </c>
      <c r="BQ38" t="str">
        <f>IF(AND($W$9=1,Courses!Z32&lt;0), "Row "&amp;Courses!$A32&amp;", "&amp;BQ$9&amp;", "&amp;BQ$10&amp;", "&amp;BQ$11&amp;"; ","")</f>
        <v/>
      </c>
      <c r="BR38" s="2120" t="str">
        <f>IF(AND($W$9=1,Courses!AA32&lt;0), "Row "&amp;Courses!$A32&amp;", "&amp;BR$9&amp;", "&amp;BR$10&amp;"; ","")</f>
        <v/>
      </c>
      <c r="BT38" s="186">
        <v>19</v>
      </c>
      <c r="BU38" s="40">
        <f>IF(AND($X$9=1,Courses!B32="",Courses!F32="",Courses!H32="",Courses!J32="",Courses!K32="",Courses!L32="",Courses!M32=0,Courses!N32=0,Courses!O32=0,Courses!P32=0,Courses!Q32=0,Courses!R32=0,Courses!S32=0,Courses!T32=0,Courses!U32=0,Courses!V32=0,Courses!W32=0,Courses!X32=0,Courses!Y32=0,Courses!Z32=0,Courses!AA32=0),0,1)</f>
        <v>0</v>
      </c>
      <c r="BV38" s="40">
        <f>IF(AND(BU38=0,SUM(BU39:$BU$219)&gt;0),1,0)</f>
        <v>0</v>
      </c>
      <c r="BW38" s="1595" t="str">
        <f>IF(BV38=1,"Row "&amp;Courses!A32&amp;"; ","")</f>
        <v/>
      </c>
      <c r="BX38" s="17"/>
      <c r="BZ38" s="1592" t="str">
        <f>IF(AND($Y$9=1,Courses!B32&lt;&gt;"",SUM(Courses!M32:AA32)=0),"Row "&amp;Courses!A32&amp;"; ","")</f>
        <v/>
      </c>
      <c r="CA38" s="17"/>
      <c r="CC38" s="1592" t="str">
        <f>IF(AND($Z$9=1,Courses!AD32=1,(LEN(Courses!AB32)&gt;200)),"Row "&amp;Courses!A32&amp;"; ","")</f>
        <v/>
      </c>
      <c r="CE38" s="131"/>
      <c r="CG38" s="1593" t="str">
        <f>IF(AND($AD$9=1,Courses!E32&lt;&gt;"",Courses!F32&lt;&gt;"",Courses!F32=0,SUM(Courses!H32,Courses!J32)=1),"Row "&amp;Courses!A32&amp;", "&amp;Courses!$F$10&amp;"; ","")</f>
        <v/>
      </c>
      <c r="CH38" t="str">
        <f>IF(AND($AD$9=1,Courses!G32&lt;&gt;"",Courses!H32&lt;&gt;"",Courses!H32=0,SUM(Courses!J32,Courses!F32)=1),"Row "&amp;Courses!A32&amp;", "&amp;Courses!$H$10&amp;"; ","")</f>
        <v/>
      </c>
      <c r="CI38" s="183" t="str">
        <f>IF(AND($AD$9=1,Courses!I32&lt;&gt;"",Courses!J32&lt;&gt;"",Courses!J32=0, SUM(Courses!H32,Courses!F32)=1),"Row "&amp;Courses!A32&amp;", "&amp;Courses!$J$10&amp;"; ","")</f>
        <v/>
      </c>
      <c r="CJ38" s="180"/>
      <c r="CK38" s="181"/>
      <c r="CL38" s="1592" t="str">
        <f>IF(AND(Courses!B32&lt;&gt;"",ISNA(VLOOKUP(Courses!C32,CourseInfo,2,FALSE))=FALSE,COUNTIF(Dummy,Courses!C32)&lt;&gt;1),VLOOKUP(Courses!C32,CourseInfo,6,FALSE),"")</f>
        <v/>
      </c>
      <c r="CM38" s="1592" t="str">
        <f>IF(AND($AE$9=1,Courses!B32&lt;&gt;"",'Courses Valid'!AG38="",COUNTIF(Dummy,Courses!C32)&lt;&gt;1),IF(Courses!K32&lt;&gt;'Courses Valid'!CL38,"Row "&amp;Courses!A32&amp;", Level on LARS is "&amp;'Courses Valid'!CL38&amp;"; ",""),"")</f>
        <v/>
      </c>
      <c r="CN38" s="131"/>
    </row>
    <row r="39" spans="3:92" x14ac:dyDescent="0.35">
      <c r="C39" s="1591">
        <f t="shared" si="2"/>
        <v>0</v>
      </c>
      <c r="D39" s="41"/>
      <c r="E39" s="41"/>
      <c r="F39" s="118"/>
      <c r="G39" s="1591" t="str">
        <f>IF(SUMPRODUCT(--(CourseAims=Courses!$C33))=1,"",IF(AND($N$9=1,Courses!$C33&lt;&gt;""),"Row "&amp;Courses!A33&amp;" (invalid); ",""))</f>
        <v/>
      </c>
      <c r="H39" s="1592" t="str">
        <f>IF(AND($O$9=1,Courses!B33="",OR(Courses!F33&lt;&gt;"",Courses!H33&lt;&gt;"",Courses!J33&lt;&gt;"",Courses!K33&lt;&gt;"",Courses!L33&lt;&gt;"",Courses!M33&lt;&gt;0,Courses!N33&lt;&gt;0,Courses!O33&lt;&gt;0,Courses!P33&lt;&gt;0,Courses!Q33&lt;&gt;0,Courses!R33&lt;&gt;0,Courses!S33&lt;&gt;0,Courses!T33&lt;&gt;0,Courses!U33&lt;&gt;0,Courses!V33&lt;&gt;0,Courses!W33&lt;&gt;0,Courses!X33&lt;&gt;0,Courses!Y33&lt;&gt;0,Courses!Z33&lt;&gt;0,Courses!AA33&lt;&gt;0)),"Row "&amp;Courses!A33&amp;" (none); ","")</f>
        <v/>
      </c>
      <c r="I39" s="17"/>
      <c r="K39" s="1592" t="str">
        <f>Courses!B33&amp;Courses!K33&amp;Courses!L33</f>
        <v/>
      </c>
      <c r="L39" s="1592" t="str">
        <f>IF(AND($P$9=1,Courses!$B33&lt;&gt;"",COUNTIF(Dummy,Courses!$C33)&lt;&gt;1),IF(SUMPRODUCT(--($K$20:$K$219=$K39))&gt;1,"Row "&amp;Courses!$A33&amp;"; ",""),"")</f>
        <v/>
      </c>
      <c r="N39" s="118"/>
      <c r="O39" s="1593" t="str">
        <f>IF(AND($Q$9=1,Courses!E33&lt;&gt;"",Courses!F33=""),"Row "&amp;Courses!A33&amp;", "&amp;Courses!$E$10&amp;"; ","")</f>
        <v/>
      </c>
      <c r="P39" t="str">
        <f>IF(AND($Q$9=1,Courses!G33&lt;&gt;"",Courses!H33=""),"Row "&amp;Courses!A33&amp;", "&amp;Courses!$G$10&amp;"; ","")</f>
        <v/>
      </c>
      <c r="Q39" s="183" t="str">
        <f>IF(AND($Q$9=1,Courses!I33&lt;&gt;"",Courses!J33=""),"Row "&amp;Courses!A33&amp;", "&amp;Courses!$I$10&amp;"; ","")</f>
        <v/>
      </c>
      <c r="S39" s="17"/>
      <c r="T39" s="118"/>
      <c r="U39" s="1594" t="str">
        <f>IF(AND($R$9=1,Courses!B33&lt;&gt;"",Courses!E33&lt;&gt;"",Courses!G33="",Courses!I33="",Courses!F33&lt;&gt;1),"Row "&amp;Courses!A33&amp;"; ","")</f>
        <v/>
      </c>
      <c r="V39" t="str">
        <f>IF(AND($R$9=1,Courses!B33&lt;&gt;"",Courses!I33="",Courses!F33&lt;&gt;"",Courses!G33&lt;&gt;"",Courses!H33&lt;&gt;""),IF(OR((Courses!F33+Courses!H33)&lt;&gt;1),"Row "&amp;Courses!A33&amp;"; ",""),"")</f>
        <v/>
      </c>
      <c r="W39" s="183" t="str">
        <f>IF(AND($R$9=1,Courses!B33&lt;&gt;"",Courses!I33&lt;&gt;"",Courses!J33&lt;&gt;"",Courses!H33&lt;&gt;"",Courses!G33&lt;&gt;"",Courses!F33&lt;&gt;""),IF(OR((Courses!F33+Courses!H33+Courses!J33)&lt;&gt;1),"Row "&amp;Courses!A33&amp;"; ",""),"")</f>
        <v/>
      </c>
      <c r="Y39" s="1592" t="str">
        <f>IF(AND($R$9=1,Courses!E33&lt;&gt;"",U39="",V39="",W39="",SUM(Courses!F33,Courses!H33,Courses!J33)&lt;&gt;1),"Row "&amp;Courses!A33&amp;"; ","")</f>
        <v/>
      </c>
      <c r="Z39" s="17"/>
      <c r="AB39" s="1593" t="str">
        <f>IF(AND($S$9=1,Courses!B33&lt;&gt;"",Courses!E33&lt;&gt;"",Courses!F33&lt;&gt;""),IF((TRUNC(Courses!F33*100)&lt;&gt;Courses!F33*100),"Row "&amp;Courses!A33&amp;", "&amp;Courses!$F$10&amp;"; ",""),"")</f>
        <v/>
      </c>
      <c r="AC39" t="str">
        <f>IF(AND($S$9=1,Courses!B33&lt;&gt;"",Courses!G33&lt;&gt;"",Courses!H33&lt;&gt;""),IF((TRUNC(Courses!H33*100)&lt;&gt;Courses!H33*100),"Row "&amp;Courses!A33&amp;", "&amp;Courses!$H$10&amp;"; ",""),"")</f>
        <v/>
      </c>
      <c r="AD39" s="183" t="str">
        <f>IF(AND($S$9=1,Courses!B33&lt;&gt;"",Courses!I33&lt;&gt;"",Courses!J33&lt;&gt;""),IF((TRUNC(Courses!J33*100)&lt;&gt;Courses!J33*100),"Row "&amp;Courses!A33&amp;", "&amp;Courses!$J$10&amp;"; ",""),"")</f>
        <v/>
      </c>
      <c r="AF39" s="118"/>
      <c r="AG39" s="1592" t="str">
        <f>IF(AND($T$9=1,G39="",Courses!B33&lt;&gt;"",Courses!K33&lt;&gt;$B$9,Courses!K33&lt;&gt;$B$10,Courses!K33&lt;&gt;$B$11,Courses!K33&lt;&gt;$B$12,Courses!K33&lt;&gt;$B$13,Courses!K33&lt;&gt;$B$14),"Row "&amp;Courses!A33&amp;"; ","")</f>
        <v/>
      </c>
      <c r="AH39" s="1592" t="str">
        <f>IF(AND($U$9=1,G39="",Courses!B33&lt;&gt;"",Courses!L33&lt;&gt;"Standard",Courses!L33&lt;&gt;"Long"),"Row "&amp;Courses!A33&amp;"; ","")</f>
        <v/>
      </c>
      <c r="AJ39" s="118"/>
      <c r="AK39" s="3">
        <v>20</v>
      </c>
      <c r="AL39" s="1593" t="str">
        <f>IF(AND($V$9=1,(TRUNC(Courses!M33)&lt;&gt;Courses!M33)), "Row "&amp;Courses!$A33&amp;", "&amp;AL$9&amp;", "&amp;AL$10&amp;", "&amp;AL$11&amp;"; ","")</f>
        <v/>
      </c>
      <c r="AM39" t="str">
        <f>IF(AND($V$9=1,(TRUNC(Courses!N33)&lt;&gt;Courses!N33)), "Row "&amp;Courses!$A33&amp;", "&amp;AM$9&amp;", "&amp;AM$10&amp;", "&amp;AM$11&amp;"; ","")</f>
        <v/>
      </c>
      <c r="AN39" t="str">
        <f>IF(AND($V$9=1,(TRUNC(Courses!O33)&lt;&gt;Courses!O33)), "Row "&amp;Courses!$A33&amp;", "&amp;AN$9&amp;", "&amp;AN$10&amp;", "&amp;AN$11&amp;"; ","")</f>
        <v/>
      </c>
      <c r="AO39" t="str">
        <f>IF(AND($V$9=1,(TRUNC(Courses!P33)&lt;&gt;Courses!P33)), "Row "&amp;Courses!$A33&amp;", "&amp;AO$9&amp;", "&amp;AO$10&amp;", "&amp;AO$11&amp;"; ","")</f>
        <v/>
      </c>
      <c r="AP39" s="2120" t="str">
        <f>IF(AND($V$9=1,(TRUNC(Courses!Q33)&lt;&gt;Courses!Q33)), "Row "&amp;Courses!$A33&amp;", "&amp;AP$9&amp;", "&amp;AP$10&amp;"; ","")</f>
        <v/>
      </c>
      <c r="AQ39" s="1593" t="str">
        <f>IF(AND($V$9=1,(TRUNC(Courses!R33)&lt;&gt;Courses!R33)), "Row "&amp;Courses!$A33&amp;", "&amp;AQ$9&amp;", "&amp;AQ$10&amp;", "&amp;AQ$11&amp;"; ","")</f>
        <v/>
      </c>
      <c r="AR39" t="str">
        <f>IF(AND($V$9=1,(TRUNC(Courses!S33)&lt;&gt;Courses!S33)), "Row "&amp;Courses!$A33&amp;", "&amp;AR$9&amp;", "&amp;AR$10&amp;", "&amp;AR$11&amp;"; ","")</f>
        <v/>
      </c>
      <c r="AS39" t="str">
        <f>IF(AND($V$9=1,(TRUNC(Courses!T33)&lt;&gt;Courses!T33)), "Row "&amp;Courses!$A33&amp;", "&amp;AS$9&amp;", "&amp;AS$10&amp;", "&amp;AS$11&amp;"; ","")</f>
        <v/>
      </c>
      <c r="AT39" t="str">
        <f>IF(AND($V$9=1,(TRUNC(Courses!U33)&lt;&gt;Courses!U33)), "Row "&amp;Courses!$A33&amp;", "&amp;AT$9&amp;", "&amp;AT$10&amp;", "&amp;AT$11&amp;"; ","")</f>
        <v/>
      </c>
      <c r="AU39" s="2120" t="str">
        <f>IF(AND($V$9=1,(TRUNC(Courses!V33)&lt;&gt;Courses!V33)), "Row "&amp;Courses!$A33&amp;", "&amp;AU$9&amp;", "&amp;AU$10&amp;"; ","")</f>
        <v/>
      </c>
      <c r="AV39" s="1593" t="str">
        <f>IF(AND($V$9=1,(TRUNC(Courses!W33)&lt;&gt;Courses!W33)), "Row "&amp;Courses!$A33&amp;", "&amp;AV$9&amp;", "&amp;AV$10&amp;", "&amp;AV$11&amp;"; ","")</f>
        <v/>
      </c>
      <c r="AW39" t="str">
        <f>IF(AND($V$9=1,(TRUNC(Courses!X33)&lt;&gt;Courses!X33)), "Row "&amp;Courses!$A33&amp;", "&amp;AW$9&amp;", "&amp;AW$10&amp;", "&amp;AW$11&amp;"; ","")</f>
        <v/>
      </c>
      <c r="AX39" t="str">
        <f>IF(AND($V$9=1,(TRUNC(Courses!Y33)&lt;&gt;Courses!Y33)), "Row "&amp;Courses!$A33&amp;", "&amp;AX$9&amp;", "&amp;AX$10&amp;", "&amp;AX$11&amp;"; ","")</f>
        <v/>
      </c>
      <c r="AY39" t="str">
        <f>IF(AND($V$9=1,(TRUNC(Courses!Z33)&lt;&gt;Courses!Z33)), "Row "&amp;Courses!$A33&amp;", "&amp;AY$9&amp;", "&amp;AY$10&amp;", "&amp;AY$11&amp;"; ","")</f>
        <v/>
      </c>
      <c r="AZ39" s="2120" t="str">
        <f>IF(AND($V$9=1,(TRUNC(Courses!AA33)&lt;&gt;Courses!AA33)), "Row "&amp;Courses!$A33&amp;", "&amp;AZ$9&amp;", "&amp;AZ$10&amp;"; ","")</f>
        <v/>
      </c>
      <c r="BA39" s="17"/>
      <c r="BB39" s="118"/>
      <c r="BC39" s="3">
        <v>20</v>
      </c>
      <c r="BD39" s="1593" t="str">
        <f>IF(AND($W$9=1,Courses!M33&lt;0), "Row "&amp;Courses!$A33&amp;", "&amp;BD$9&amp;", "&amp;BD$10&amp;", "&amp;BD$11&amp;"; ","")</f>
        <v/>
      </c>
      <c r="BE39" t="str">
        <f>IF(AND($W$9=1,Courses!N33&lt;0), "Row "&amp;Courses!$A33&amp;", "&amp;BE$9&amp;", "&amp;BE$10&amp;", "&amp;BE$11&amp;"; ","")</f>
        <v/>
      </c>
      <c r="BF39" t="str">
        <f>IF(AND($W$9=1,Courses!O33&lt;0), "Row "&amp;Courses!$A33&amp;", "&amp;BF$9&amp;", "&amp;BF$10&amp;", "&amp;BF$11&amp;"; ","")</f>
        <v/>
      </c>
      <c r="BG39" t="str">
        <f>IF(AND($W$9=1,Courses!P33&lt;0), "Row "&amp;Courses!$A33&amp;", "&amp;BG$9&amp;", "&amp;BG$10&amp;", "&amp;BG$11&amp;"; ","")</f>
        <v/>
      </c>
      <c r="BH39" s="2120" t="str">
        <f>IF(AND($W$9=1,Courses!Q33&lt;0), "Row "&amp;Courses!$A33&amp;", "&amp;BH$9&amp;", "&amp;BH$10&amp;"; ","")</f>
        <v/>
      </c>
      <c r="BI39" s="1593" t="str">
        <f>IF(AND($W$9=1,Courses!R33&lt;0), "Row "&amp;Courses!$A33&amp;", "&amp;BI$9&amp;", "&amp;BI$10&amp;", "&amp;BI$11&amp;"; ","")</f>
        <v/>
      </c>
      <c r="BJ39" t="str">
        <f>IF(AND($W$9=1,Courses!S33&lt;0), "Row "&amp;Courses!$A33&amp;", "&amp;BJ$9&amp;", "&amp;BJ$10&amp;", "&amp;BJ$11&amp;"; ","")</f>
        <v/>
      </c>
      <c r="BK39" t="str">
        <f>IF(AND($W$9=1,Courses!T33&lt;0), "Row "&amp;Courses!$A33&amp;", "&amp;BK$9&amp;", "&amp;BK$10&amp;", "&amp;BK$11&amp;"; ","")</f>
        <v/>
      </c>
      <c r="BL39" t="str">
        <f>IF(AND($W$9=1,Courses!U33&lt;0), "Row "&amp;Courses!$A33&amp;", "&amp;BL$9&amp;", "&amp;BL$10&amp;", "&amp;BL$11&amp;"; ","")</f>
        <v/>
      </c>
      <c r="BM39" s="2120" t="str">
        <f>IF(AND($W$9=1,Courses!V33&lt;0), "Row "&amp;Courses!$A33&amp;", "&amp;BM$9&amp;", "&amp;BM$10&amp;"; ","")</f>
        <v/>
      </c>
      <c r="BN39" s="1593" t="str">
        <f>IF(AND($W$9=1,Courses!W33&lt;0), "Row "&amp;Courses!$A33&amp;", "&amp;BN$9&amp;", "&amp;BN$10&amp;", "&amp;BN$11&amp;"; ","")</f>
        <v/>
      </c>
      <c r="BO39" t="str">
        <f>IF(AND($W$9=1,Courses!X33&lt;0), "Row "&amp;Courses!$A33&amp;", "&amp;BO$9&amp;", "&amp;BO$10&amp;", "&amp;BO$11&amp;"; ","")</f>
        <v/>
      </c>
      <c r="BP39" t="str">
        <f>IF(AND($W$9=1,Courses!Y33&lt;0), "Row "&amp;Courses!$A33&amp;", "&amp;BP$9&amp;", "&amp;BP$10&amp;", "&amp;BP$11&amp;"; ","")</f>
        <v/>
      </c>
      <c r="BQ39" t="str">
        <f>IF(AND($W$9=1,Courses!Z33&lt;0), "Row "&amp;Courses!$A33&amp;", "&amp;BQ$9&amp;", "&amp;BQ$10&amp;", "&amp;BQ$11&amp;"; ","")</f>
        <v/>
      </c>
      <c r="BR39" s="2120" t="str">
        <f>IF(AND($W$9=1,Courses!AA33&lt;0), "Row "&amp;Courses!$A33&amp;", "&amp;BR$9&amp;", "&amp;BR$10&amp;"; ","")</f>
        <v/>
      </c>
      <c r="BT39" s="186">
        <v>20</v>
      </c>
      <c r="BU39" s="40">
        <f>IF(AND($X$9=1,Courses!B33="",Courses!F33="",Courses!H33="",Courses!J33="",Courses!K33="",Courses!L33="",Courses!M33=0,Courses!N33=0,Courses!O33=0,Courses!P33=0,Courses!Q33=0,Courses!R33=0,Courses!S33=0,Courses!T33=0,Courses!U33=0,Courses!V33=0,Courses!W33=0,Courses!X33=0,Courses!Y33=0,Courses!Z33=0,Courses!AA33=0),0,1)</f>
        <v>0</v>
      </c>
      <c r="BV39" s="40">
        <f>IF(AND(BU39=0,SUM(BU40:$BU$219)&gt;0),1,0)</f>
        <v>0</v>
      </c>
      <c r="BW39" s="1595" t="str">
        <f>IF(BV39=1,"Row "&amp;Courses!A33&amp;"; ","")</f>
        <v/>
      </c>
      <c r="BX39" s="17"/>
      <c r="BZ39" s="1592" t="str">
        <f>IF(AND($Y$9=1,Courses!B33&lt;&gt;"",SUM(Courses!M33:AA33)=0),"Row "&amp;Courses!A33&amp;"; ","")</f>
        <v/>
      </c>
      <c r="CA39" s="17"/>
      <c r="CC39" s="1592" t="str">
        <f>IF(AND($Z$9=1,Courses!AD33=1,(LEN(Courses!AB33)&gt;200)),"Row "&amp;Courses!A33&amp;"; ","")</f>
        <v/>
      </c>
      <c r="CE39" s="131"/>
      <c r="CG39" s="1593" t="str">
        <f>IF(AND($AD$9=1,Courses!E33&lt;&gt;"",Courses!F33&lt;&gt;"",Courses!F33=0,SUM(Courses!H33,Courses!J33)=1),"Row "&amp;Courses!A33&amp;", "&amp;Courses!$F$10&amp;"; ","")</f>
        <v/>
      </c>
      <c r="CH39" t="str">
        <f>IF(AND($AD$9=1,Courses!G33&lt;&gt;"",Courses!H33&lt;&gt;"",Courses!H33=0,SUM(Courses!J33,Courses!F33)=1),"Row "&amp;Courses!A33&amp;", "&amp;Courses!$H$10&amp;"; ","")</f>
        <v/>
      </c>
      <c r="CI39" s="183" t="str">
        <f>IF(AND($AD$9=1,Courses!I33&lt;&gt;"",Courses!J33&lt;&gt;"",Courses!J33=0, SUM(Courses!H33,Courses!F33)=1),"Row "&amp;Courses!A33&amp;", "&amp;Courses!$J$10&amp;"; ","")</f>
        <v/>
      </c>
      <c r="CJ39" s="180"/>
      <c r="CK39" s="181"/>
      <c r="CL39" s="1592" t="str">
        <f>IF(AND(Courses!B33&lt;&gt;"",ISNA(VLOOKUP(Courses!C33,CourseInfo,2,FALSE))=FALSE,COUNTIF(Dummy,Courses!C33)&lt;&gt;1),VLOOKUP(Courses!C33,CourseInfo,6,FALSE),"")</f>
        <v/>
      </c>
      <c r="CM39" s="1592" t="str">
        <f>IF(AND($AE$9=1,Courses!B33&lt;&gt;"",'Courses Valid'!AG39="",COUNTIF(Dummy,Courses!C33)&lt;&gt;1),IF(Courses!K33&lt;&gt;'Courses Valid'!CL39,"Row "&amp;Courses!A33&amp;", Level on LARS is "&amp;'Courses Valid'!CL39&amp;"; ",""),"")</f>
        <v/>
      </c>
      <c r="CN39" s="131"/>
    </row>
    <row r="40" spans="3:92" x14ac:dyDescent="0.35">
      <c r="C40" s="1591">
        <f t="shared" si="2"/>
        <v>0</v>
      </c>
      <c r="D40" s="41"/>
      <c r="E40" s="41"/>
      <c r="F40" s="118"/>
      <c r="G40" s="1591" t="str">
        <f>IF(SUMPRODUCT(--(CourseAims=Courses!$C34))=1,"",IF(AND($N$9=1,Courses!$C34&lt;&gt;""),"Row "&amp;Courses!A34&amp;" (invalid); ",""))</f>
        <v/>
      </c>
      <c r="H40" s="1592" t="str">
        <f>IF(AND($O$9=1,Courses!B34="",OR(Courses!F34&lt;&gt;"",Courses!H34&lt;&gt;"",Courses!J34&lt;&gt;"",Courses!K34&lt;&gt;"",Courses!L34&lt;&gt;"",Courses!M34&lt;&gt;0,Courses!N34&lt;&gt;0,Courses!O34&lt;&gt;0,Courses!P34&lt;&gt;0,Courses!Q34&lt;&gt;0,Courses!R34&lt;&gt;0,Courses!S34&lt;&gt;0,Courses!T34&lt;&gt;0,Courses!U34&lt;&gt;0,Courses!V34&lt;&gt;0,Courses!W34&lt;&gt;0,Courses!X34&lt;&gt;0,Courses!Y34&lt;&gt;0,Courses!Z34&lt;&gt;0,Courses!AA34&lt;&gt;0)),"Row "&amp;Courses!A34&amp;" (none); ","")</f>
        <v/>
      </c>
      <c r="I40" s="17"/>
      <c r="K40" s="1592" t="str">
        <f>Courses!B34&amp;Courses!K34&amp;Courses!L34</f>
        <v/>
      </c>
      <c r="L40" s="1592" t="str">
        <f>IF(AND($P$9=1,Courses!$B34&lt;&gt;"",COUNTIF(Dummy,Courses!$C34)&lt;&gt;1),IF(SUMPRODUCT(--($K$20:$K$219=$K40))&gt;1,"Row "&amp;Courses!$A34&amp;"; ",""),"")</f>
        <v/>
      </c>
      <c r="N40" s="118"/>
      <c r="O40" s="1593" t="str">
        <f>IF(AND($Q$9=1,Courses!E34&lt;&gt;"",Courses!F34=""),"Row "&amp;Courses!A34&amp;", "&amp;Courses!$E$10&amp;"; ","")</f>
        <v/>
      </c>
      <c r="P40" t="str">
        <f>IF(AND($Q$9=1,Courses!G34&lt;&gt;"",Courses!H34=""),"Row "&amp;Courses!A34&amp;", "&amp;Courses!$G$10&amp;"; ","")</f>
        <v/>
      </c>
      <c r="Q40" s="183" t="str">
        <f>IF(AND($Q$9=1,Courses!I34&lt;&gt;"",Courses!J34=""),"Row "&amp;Courses!A34&amp;", "&amp;Courses!$I$10&amp;"; ","")</f>
        <v/>
      </c>
      <c r="S40" s="17"/>
      <c r="T40" s="118"/>
      <c r="U40" s="1594" t="str">
        <f>IF(AND($R$9=1,Courses!B34&lt;&gt;"",Courses!E34&lt;&gt;"",Courses!G34="",Courses!I34="",Courses!F34&lt;&gt;1),"Row "&amp;Courses!A34&amp;"; ","")</f>
        <v/>
      </c>
      <c r="V40" t="str">
        <f>IF(AND($R$9=1,Courses!B34&lt;&gt;"",Courses!I34="",Courses!F34&lt;&gt;"",Courses!G34&lt;&gt;"",Courses!H34&lt;&gt;""),IF(OR((Courses!F34+Courses!H34)&lt;&gt;1),"Row "&amp;Courses!A34&amp;"; ",""),"")</f>
        <v/>
      </c>
      <c r="W40" s="183" t="str">
        <f>IF(AND($R$9=1,Courses!B34&lt;&gt;"",Courses!I34&lt;&gt;"",Courses!J34&lt;&gt;"",Courses!H34&lt;&gt;"",Courses!G34&lt;&gt;"",Courses!F34&lt;&gt;""),IF(OR((Courses!F34+Courses!H34+Courses!J34)&lt;&gt;1),"Row "&amp;Courses!A34&amp;"; ",""),"")</f>
        <v/>
      </c>
      <c r="Y40" s="1592" t="str">
        <f>IF(AND($R$9=1,Courses!E34&lt;&gt;"",U40="",V40="",W40="",SUM(Courses!F34,Courses!H34,Courses!J34)&lt;&gt;1),"Row "&amp;Courses!A34&amp;"; ","")</f>
        <v/>
      </c>
      <c r="Z40" s="17"/>
      <c r="AB40" s="1593" t="str">
        <f>IF(AND($S$9=1,Courses!B34&lt;&gt;"",Courses!E34&lt;&gt;"",Courses!F34&lt;&gt;""),IF((TRUNC(Courses!F34*100)&lt;&gt;Courses!F34*100),"Row "&amp;Courses!A34&amp;", "&amp;Courses!$F$10&amp;"; ",""),"")</f>
        <v/>
      </c>
      <c r="AC40" t="str">
        <f>IF(AND($S$9=1,Courses!B34&lt;&gt;"",Courses!G34&lt;&gt;"",Courses!H34&lt;&gt;""),IF((TRUNC(Courses!H34*100)&lt;&gt;Courses!H34*100),"Row "&amp;Courses!A34&amp;", "&amp;Courses!$H$10&amp;"; ",""),"")</f>
        <v/>
      </c>
      <c r="AD40" s="183" t="str">
        <f>IF(AND($S$9=1,Courses!B34&lt;&gt;"",Courses!I34&lt;&gt;"",Courses!J34&lt;&gt;""),IF((TRUNC(Courses!J34*100)&lt;&gt;Courses!J34*100),"Row "&amp;Courses!A34&amp;", "&amp;Courses!$J$10&amp;"; ",""),"")</f>
        <v/>
      </c>
      <c r="AF40" s="118"/>
      <c r="AG40" s="1592" t="str">
        <f>IF(AND($T$9=1,G40="",Courses!B34&lt;&gt;"",Courses!K34&lt;&gt;$B$9,Courses!K34&lt;&gt;$B$10,Courses!K34&lt;&gt;$B$11,Courses!K34&lt;&gt;$B$12,Courses!K34&lt;&gt;$B$13,Courses!K34&lt;&gt;$B$14),"Row "&amp;Courses!A34&amp;"; ","")</f>
        <v/>
      </c>
      <c r="AH40" s="1592" t="str">
        <f>IF(AND($U$9=1,G40="",Courses!B34&lt;&gt;"",Courses!L34&lt;&gt;"Standard",Courses!L34&lt;&gt;"Long"),"Row "&amp;Courses!A34&amp;"; ","")</f>
        <v/>
      </c>
      <c r="AJ40" s="118"/>
      <c r="AK40" s="3">
        <v>21</v>
      </c>
      <c r="AL40" s="1593" t="str">
        <f>IF(AND($V$9=1,(TRUNC(Courses!M34)&lt;&gt;Courses!M34)), "Row "&amp;Courses!$A34&amp;", "&amp;AL$9&amp;", "&amp;AL$10&amp;", "&amp;AL$11&amp;"; ","")</f>
        <v/>
      </c>
      <c r="AM40" t="str">
        <f>IF(AND($V$9=1,(TRUNC(Courses!N34)&lt;&gt;Courses!N34)), "Row "&amp;Courses!$A34&amp;", "&amp;AM$9&amp;", "&amp;AM$10&amp;", "&amp;AM$11&amp;"; ","")</f>
        <v/>
      </c>
      <c r="AN40" t="str">
        <f>IF(AND($V$9=1,(TRUNC(Courses!O34)&lt;&gt;Courses!O34)), "Row "&amp;Courses!$A34&amp;", "&amp;AN$9&amp;", "&amp;AN$10&amp;", "&amp;AN$11&amp;"; ","")</f>
        <v/>
      </c>
      <c r="AO40" t="str">
        <f>IF(AND($V$9=1,(TRUNC(Courses!P34)&lt;&gt;Courses!P34)), "Row "&amp;Courses!$A34&amp;", "&amp;AO$9&amp;", "&amp;AO$10&amp;", "&amp;AO$11&amp;"; ","")</f>
        <v/>
      </c>
      <c r="AP40" s="2120" t="str">
        <f>IF(AND($V$9=1,(TRUNC(Courses!Q34)&lt;&gt;Courses!Q34)), "Row "&amp;Courses!$A34&amp;", "&amp;AP$9&amp;", "&amp;AP$10&amp;"; ","")</f>
        <v/>
      </c>
      <c r="AQ40" s="1593" t="str">
        <f>IF(AND($V$9=1,(TRUNC(Courses!R34)&lt;&gt;Courses!R34)), "Row "&amp;Courses!$A34&amp;", "&amp;AQ$9&amp;", "&amp;AQ$10&amp;", "&amp;AQ$11&amp;"; ","")</f>
        <v/>
      </c>
      <c r="AR40" t="str">
        <f>IF(AND($V$9=1,(TRUNC(Courses!S34)&lt;&gt;Courses!S34)), "Row "&amp;Courses!$A34&amp;", "&amp;AR$9&amp;", "&amp;AR$10&amp;", "&amp;AR$11&amp;"; ","")</f>
        <v/>
      </c>
      <c r="AS40" t="str">
        <f>IF(AND($V$9=1,(TRUNC(Courses!T34)&lt;&gt;Courses!T34)), "Row "&amp;Courses!$A34&amp;", "&amp;AS$9&amp;", "&amp;AS$10&amp;", "&amp;AS$11&amp;"; ","")</f>
        <v/>
      </c>
      <c r="AT40" t="str">
        <f>IF(AND($V$9=1,(TRUNC(Courses!U34)&lt;&gt;Courses!U34)), "Row "&amp;Courses!$A34&amp;", "&amp;AT$9&amp;", "&amp;AT$10&amp;", "&amp;AT$11&amp;"; ","")</f>
        <v/>
      </c>
      <c r="AU40" s="2120" t="str">
        <f>IF(AND($V$9=1,(TRUNC(Courses!V34)&lt;&gt;Courses!V34)), "Row "&amp;Courses!$A34&amp;", "&amp;AU$9&amp;", "&amp;AU$10&amp;"; ","")</f>
        <v/>
      </c>
      <c r="AV40" s="1593" t="str">
        <f>IF(AND($V$9=1,(TRUNC(Courses!W34)&lt;&gt;Courses!W34)), "Row "&amp;Courses!$A34&amp;", "&amp;AV$9&amp;", "&amp;AV$10&amp;", "&amp;AV$11&amp;"; ","")</f>
        <v/>
      </c>
      <c r="AW40" t="str">
        <f>IF(AND($V$9=1,(TRUNC(Courses!X34)&lt;&gt;Courses!X34)), "Row "&amp;Courses!$A34&amp;", "&amp;AW$9&amp;", "&amp;AW$10&amp;", "&amp;AW$11&amp;"; ","")</f>
        <v/>
      </c>
      <c r="AX40" t="str">
        <f>IF(AND($V$9=1,(TRUNC(Courses!Y34)&lt;&gt;Courses!Y34)), "Row "&amp;Courses!$A34&amp;", "&amp;AX$9&amp;", "&amp;AX$10&amp;", "&amp;AX$11&amp;"; ","")</f>
        <v/>
      </c>
      <c r="AY40" t="str">
        <f>IF(AND($V$9=1,(TRUNC(Courses!Z34)&lt;&gt;Courses!Z34)), "Row "&amp;Courses!$A34&amp;", "&amp;AY$9&amp;", "&amp;AY$10&amp;", "&amp;AY$11&amp;"; ","")</f>
        <v/>
      </c>
      <c r="AZ40" s="2120" t="str">
        <f>IF(AND($V$9=1,(TRUNC(Courses!AA34)&lt;&gt;Courses!AA34)), "Row "&amp;Courses!$A34&amp;", "&amp;AZ$9&amp;", "&amp;AZ$10&amp;"; ","")</f>
        <v/>
      </c>
      <c r="BA40" s="17"/>
      <c r="BB40" s="118"/>
      <c r="BC40" s="3">
        <v>21</v>
      </c>
      <c r="BD40" s="1593" t="str">
        <f>IF(AND($W$9=1,Courses!M34&lt;0), "Row "&amp;Courses!$A34&amp;", "&amp;BD$9&amp;", "&amp;BD$10&amp;", "&amp;BD$11&amp;"; ","")</f>
        <v/>
      </c>
      <c r="BE40" t="str">
        <f>IF(AND($W$9=1,Courses!N34&lt;0), "Row "&amp;Courses!$A34&amp;", "&amp;BE$9&amp;", "&amp;BE$10&amp;", "&amp;BE$11&amp;"; ","")</f>
        <v/>
      </c>
      <c r="BF40" t="str">
        <f>IF(AND($W$9=1,Courses!O34&lt;0), "Row "&amp;Courses!$A34&amp;", "&amp;BF$9&amp;", "&amp;BF$10&amp;", "&amp;BF$11&amp;"; ","")</f>
        <v/>
      </c>
      <c r="BG40" t="str">
        <f>IF(AND($W$9=1,Courses!P34&lt;0), "Row "&amp;Courses!$A34&amp;", "&amp;BG$9&amp;", "&amp;BG$10&amp;", "&amp;BG$11&amp;"; ","")</f>
        <v/>
      </c>
      <c r="BH40" s="2120" t="str">
        <f>IF(AND($W$9=1,Courses!Q34&lt;0), "Row "&amp;Courses!$A34&amp;", "&amp;BH$9&amp;", "&amp;BH$10&amp;"; ","")</f>
        <v/>
      </c>
      <c r="BI40" s="1593" t="str">
        <f>IF(AND($W$9=1,Courses!R34&lt;0), "Row "&amp;Courses!$A34&amp;", "&amp;BI$9&amp;", "&amp;BI$10&amp;", "&amp;BI$11&amp;"; ","")</f>
        <v/>
      </c>
      <c r="BJ40" t="str">
        <f>IF(AND($W$9=1,Courses!S34&lt;0), "Row "&amp;Courses!$A34&amp;", "&amp;BJ$9&amp;", "&amp;BJ$10&amp;", "&amp;BJ$11&amp;"; ","")</f>
        <v/>
      </c>
      <c r="BK40" t="str">
        <f>IF(AND($W$9=1,Courses!T34&lt;0), "Row "&amp;Courses!$A34&amp;", "&amp;BK$9&amp;", "&amp;BK$10&amp;", "&amp;BK$11&amp;"; ","")</f>
        <v/>
      </c>
      <c r="BL40" t="str">
        <f>IF(AND($W$9=1,Courses!U34&lt;0), "Row "&amp;Courses!$A34&amp;", "&amp;BL$9&amp;", "&amp;BL$10&amp;", "&amp;BL$11&amp;"; ","")</f>
        <v/>
      </c>
      <c r="BM40" s="2120" t="str">
        <f>IF(AND($W$9=1,Courses!V34&lt;0), "Row "&amp;Courses!$A34&amp;", "&amp;BM$9&amp;", "&amp;BM$10&amp;"; ","")</f>
        <v/>
      </c>
      <c r="BN40" s="1593" t="str">
        <f>IF(AND($W$9=1,Courses!W34&lt;0), "Row "&amp;Courses!$A34&amp;", "&amp;BN$9&amp;", "&amp;BN$10&amp;", "&amp;BN$11&amp;"; ","")</f>
        <v/>
      </c>
      <c r="BO40" t="str">
        <f>IF(AND($W$9=1,Courses!X34&lt;0), "Row "&amp;Courses!$A34&amp;", "&amp;BO$9&amp;", "&amp;BO$10&amp;", "&amp;BO$11&amp;"; ","")</f>
        <v/>
      </c>
      <c r="BP40" t="str">
        <f>IF(AND($W$9=1,Courses!Y34&lt;0), "Row "&amp;Courses!$A34&amp;", "&amp;BP$9&amp;", "&amp;BP$10&amp;", "&amp;BP$11&amp;"; ","")</f>
        <v/>
      </c>
      <c r="BQ40" t="str">
        <f>IF(AND($W$9=1,Courses!Z34&lt;0), "Row "&amp;Courses!$A34&amp;", "&amp;BQ$9&amp;", "&amp;BQ$10&amp;", "&amp;BQ$11&amp;"; ","")</f>
        <v/>
      </c>
      <c r="BR40" s="2120" t="str">
        <f>IF(AND($W$9=1,Courses!AA34&lt;0), "Row "&amp;Courses!$A34&amp;", "&amp;BR$9&amp;", "&amp;BR$10&amp;"; ","")</f>
        <v/>
      </c>
      <c r="BT40" s="186">
        <v>21</v>
      </c>
      <c r="BU40" s="40">
        <f>IF(AND($X$9=1,Courses!B34="",Courses!F34="",Courses!H34="",Courses!J34="",Courses!K34="",Courses!L34="",Courses!M34=0,Courses!N34=0,Courses!O34=0,Courses!P34=0,Courses!Q34=0,Courses!R34=0,Courses!S34=0,Courses!T34=0,Courses!U34=0,Courses!V34=0,Courses!W34=0,Courses!X34=0,Courses!Y34=0,Courses!Z34=0,Courses!AA34=0),0,1)</f>
        <v>0</v>
      </c>
      <c r="BV40" s="40">
        <f>IF(AND(BU40=0,SUM(BU41:$BU$219)&gt;0),1,0)</f>
        <v>0</v>
      </c>
      <c r="BW40" s="1595" t="str">
        <f>IF(BV40=1,"Row "&amp;Courses!A34&amp;"; ","")</f>
        <v/>
      </c>
      <c r="BX40" s="17"/>
      <c r="BZ40" s="1592" t="str">
        <f>IF(AND($Y$9=1,Courses!B34&lt;&gt;"",SUM(Courses!M34:AA34)=0),"Row "&amp;Courses!A34&amp;"; ","")</f>
        <v/>
      </c>
      <c r="CA40" s="17"/>
      <c r="CC40" s="1592" t="str">
        <f>IF(AND($Z$9=1,Courses!AD34=1,(LEN(Courses!AB34)&gt;200)),"Row "&amp;Courses!A34&amp;"; ","")</f>
        <v/>
      </c>
      <c r="CE40" s="131"/>
      <c r="CG40" s="1593" t="str">
        <f>IF(AND($AD$9=1,Courses!E34&lt;&gt;"",Courses!F34&lt;&gt;"",Courses!F34=0,SUM(Courses!H34,Courses!J34)=1),"Row "&amp;Courses!A34&amp;", "&amp;Courses!$F$10&amp;"; ","")</f>
        <v/>
      </c>
      <c r="CH40" t="str">
        <f>IF(AND($AD$9=1,Courses!G34&lt;&gt;"",Courses!H34&lt;&gt;"",Courses!H34=0,SUM(Courses!J34,Courses!F34)=1),"Row "&amp;Courses!A34&amp;", "&amp;Courses!$H$10&amp;"; ","")</f>
        <v/>
      </c>
      <c r="CI40" s="183" t="str">
        <f>IF(AND($AD$9=1,Courses!I34&lt;&gt;"",Courses!J34&lt;&gt;"",Courses!J34=0, SUM(Courses!H34,Courses!F34)=1),"Row "&amp;Courses!A34&amp;", "&amp;Courses!$J$10&amp;"; ","")</f>
        <v/>
      </c>
      <c r="CJ40" s="180"/>
      <c r="CK40" s="181"/>
      <c r="CL40" s="1592" t="str">
        <f>IF(AND(Courses!B34&lt;&gt;"",ISNA(VLOOKUP(Courses!C34,CourseInfo,2,FALSE))=FALSE,COUNTIF(Dummy,Courses!C34)&lt;&gt;1),VLOOKUP(Courses!C34,CourseInfo,6,FALSE),"")</f>
        <v/>
      </c>
      <c r="CM40" s="1592" t="str">
        <f>IF(AND($AE$9=1,Courses!B34&lt;&gt;"",'Courses Valid'!AG40="",COUNTIF(Dummy,Courses!C34)&lt;&gt;1),IF(Courses!K34&lt;&gt;'Courses Valid'!CL40,"Row "&amp;Courses!A34&amp;", Level on LARS is "&amp;'Courses Valid'!CL40&amp;"; ",""),"")</f>
        <v/>
      </c>
      <c r="CN40" s="131"/>
    </row>
    <row r="41" spans="3:92" x14ac:dyDescent="0.35">
      <c r="C41" s="1591">
        <f t="shared" si="2"/>
        <v>0</v>
      </c>
      <c r="D41" s="41"/>
      <c r="E41" s="41"/>
      <c r="F41" s="118"/>
      <c r="G41" s="1591" t="str">
        <f>IF(SUMPRODUCT(--(CourseAims=Courses!$C35))=1,"",IF(AND($N$9=1,Courses!$C35&lt;&gt;""),"Row "&amp;Courses!A35&amp;" (invalid); ",""))</f>
        <v/>
      </c>
      <c r="H41" s="1592" t="str">
        <f>IF(AND($O$9=1,Courses!B35="",OR(Courses!F35&lt;&gt;"",Courses!H35&lt;&gt;"",Courses!J35&lt;&gt;"",Courses!K35&lt;&gt;"",Courses!L35&lt;&gt;"",Courses!M35&lt;&gt;0,Courses!N35&lt;&gt;0,Courses!O35&lt;&gt;0,Courses!P35&lt;&gt;0,Courses!Q35&lt;&gt;0,Courses!R35&lt;&gt;0,Courses!S35&lt;&gt;0,Courses!T35&lt;&gt;0,Courses!U35&lt;&gt;0,Courses!V35&lt;&gt;0,Courses!W35&lt;&gt;0,Courses!X35&lt;&gt;0,Courses!Y35&lt;&gt;0,Courses!Z35&lt;&gt;0,Courses!AA35&lt;&gt;0)),"Row "&amp;Courses!A35&amp;" (none); ","")</f>
        <v/>
      </c>
      <c r="I41" s="17"/>
      <c r="K41" s="1592" t="str">
        <f>Courses!B35&amp;Courses!K35&amp;Courses!L35</f>
        <v/>
      </c>
      <c r="L41" s="1592" t="str">
        <f>IF(AND($P$9=1,Courses!$B35&lt;&gt;"",COUNTIF(Dummy,Courses!$C35)&lt;&gt;1),IF(SUMPRODUCT(--($K$20:$K$219=$K41))&gt;1,"Row "&amp;Courses!$A35&amp;"; ",""),"")</f>
        <v/>
      </c>
      <c r="N41" s="118"/>
      <c r="O41" s="1593" t="str">
        <f>IF(AND($Q$9=1,Courses!E35&lt;&gt;"",Courses!F35=""),"Row "&amp;Courses!A35&amp;", "&amp;Courses!$E$10&amp;"; ","")</f>
        <v/>
      </c>
      <c r="P41" t="str">
        <f>IF(AND($Q$9=1,Courses!G35&lt;&gt;"",Courses!H35=""),"Row "&amp;Courses!A35&amp;", "&amp;Courses!$G$10&amp;"; ","")</f>
        <v/>
      </c>
      <c r="Q41" s="183" t="str">
        <f>IF(AND($Q$9=1,Courses!I35&lt;&gt;"",Courses!J35=""),"Row "&amp;Courses!A35&amp;", "&amp;Courses!$I$10&amp;"; ","")</f>
        <v/>
      </c>
      <c r="S41" s="17"/>
      <c r="T41" s="118"/>
      <c r="U41" s="1594" t="str">
        <f>IF(AND($R$9=1,Courses!B35&lt;&gt;"",Courses!E35&lt;&gt;"",Courses!G35="",Courses!I35="",Courses!F35&lt;&gt;1),"Row "&amp;Courses!A35&amp;"; ","")</f>
        <v/>
      </c>
      <c r="V41" t="str">
        <f>IF(AND($R$9=1,Courses!B35&lt;&gt;"",Courses!I35="",Courses!F35&lt;&gt;"",Courses!G35&lt;&gt;"",Courses!H35&lt;&gt;""),IF(OR((Courses!F35+Courses!H35)&lt;&gt;1),"Row "&amp;Courses!A35&amp;"; ",""),"")</f>
        <v/>
      </c>
      <c r="W41" s="183" t="str">
        <f>IF(AND($R$9=1,Courses!B35&lt;&gt;"",Courses!I35&lt;&gt;"",Courses!J35&lt;&gt;"",Courses!H35&lt;&gt;"",Courses!G35&lt;&gt;"",Courses!F35&lt;&gt;""),IF(OR((Courses!F35+Courses!H35+Courses!J35)&lt;&gt;1),"Row "&amp;Courses!A35&amp;"; ",""),"")</f>
        <v/>
      </c>
      <c r="Y41" s="1592" t="str">
        <f>IF(AND($R$9=1,Courses!E35&lt;&gt;"",U41="",V41="",W41="",SUM(Courses!F35,Courses!H35,Courses!J35)&lt;&gt;1),"Row "&amp;Courses!A35&amp;"; ","")</f>
        <v/>
      </c>
      <c r="Z41" s="17"/>
      <c r="AB41" s="1593" t="str">
        <f>IF(AND($S$9=1,Courses!B35&lt;&gt;"",Courses!E35&lt;&gt;"",Courses!F35&lt;&gt;""),IF((TRUNC(Courses!F35*100)&lt;&gt;Courses!F35*100),"Row "&amp;Courses!A35&amp;", "&amp;Courses!$F$10&amp;"; ",""),"")</f>
        <v/>
      </c>
      <c r="AC41" t="str">
        <f>IF(AND($S$9=1,Courses!B35&lt;&gt;"",Courses!G35&lt;&gt;"",Courses!H35&lt;&gt;""),IF((TRUNC(Courses!H35*100)&lt;&gt;Courses!H35*100),"Row "&amp;Courses!A35&amp;", "&amp;Courses!$H$10&amp;"; ",""),"")</f>
        <v/>
      </c>
      <c r="AD41" s="183" t="str">
        <f>IF(AND($S$9=1,Courses!B35&lt;&gt;"",Courses!I35&lt;&gt;"",Courses!J35&lt;&gt;""),IF((TRUNC(Courses!J35*100)&lt;&gt;Courses!J35*100),"Row "&amp;Courses!A35&amp;", "&amp;Courses!$J$10&amp;"; ",""),"")</f>
        <v/>
      </c>
      <c r="AF41" s="118"/>
      <c r="AG41" s="1592" t="str">
        <f>IF(AND($T$9=1,G41="",Courses!B35&lt;&gt;"",Courses!K35&lt;&gt;$B$9,Courses!K35&lt;&gt;$B$10,Courses!K35&lt;&gt;$B$11,Courses!K35&lt;&gt;$B$12,Courses!K35&lt;&gt;$B$13,Courses!K35&lt;&gt;$B$14),"Row "&amp;Courses!A35&amp;"; ","")</f>
        <v/>
      </c>
      <c r="AH41" s="1592" t="str">
        <f>IF(AND($U$9=1,G41="",Courses!B35&lt;&gt;"",Courses!L35&lt;&gt;"Standard",Courses!L35&lt;&gt;"Long"),"Row "&amp;Courses!A35&amp;"; ","")</f>
        <v/>
      </c>
      <c r="AJ41" s="118"/>
      <c r="AK41" s="3">
        <v>22</v>
      </c>
      <c r="AL41" s="1593" t="str">
        <f>IF(AND($V$9=1,(TRUNC(Courses!M35)&lt;&gt;Courses!M35)), "Row "&amp;Courses!$A35&amp;", "&amp;AL$9&amp;", "&amp;AL$10&amp;", "&amp;AL$11&amp;"; ","")</f>
        <v/>
      </c>
      <c r="AM41" t="str">
        <f>IF(AND($V$9=1,(TRUNC(Courses!N35)&lt;&gt;Courses!N35)), "Row "&amp;Courses!$A35&amp;", "&amp;AM$9&amp;", "&amp;AM$10&amp;", "&amp;AM$11&amp;"; ","")</f>
        <v/>
      </c>
      <c r="AN41" t="str">
        <f>IF(AND($V$9=1,(TRUNC(Courses!O35)&lt;&gt;Courses!O35)), "Row "&amp;Courses!$A35&amp;", "&amp;AN$9&amp;", "&amp;AN$10&amp;", "&amp;AN$11&amp;"; ","")</f>
        <v/>
      </c>
      <c r="AO41" t="str">
        <f>IF(AND($V$9=1,(TRUNC(Courses!P35)&lt;&gt;Courses!P35)), "Row "&amp;Courses!$A35&amp;", "&amp;AO$9&amp;", "&amp;AO$10&amp;", "&amp;AO$11&amp;"; ","")</f>
        <v/>
      </c>
      <c r="AP41" s="2120" t="str">
        <f>IF(AND($V$9=1,(TRUNC(Courses!Q35)&lt;&gt;Courses!Q35)), "Row "&amp;Courses!$A35&amp;", "&amp;AP$9&amp;", "&amp;AP$10&amp;"; ","")</f>
        <v/>
      </c>
      <c r="AQ41" s="1593" t="str">
        <f>IF(AND($V$9=1,(TRUNC(Courses!R35)&lt;&gt;Courses!R35)), "Row "&amp;Courses!$A35&amp;", "&amp;AQ$9&amp;", "&amp;AQ$10&amp;", "&amp;AQ$11&amp;"; ","")</f>
        <v/>
      </c>
      <c r="AR41" t="str">
        <f>IF(AND($V$9=1,(TRUNC(Courses!S35)&lt;&gt;Courses!S35)), "Row "&amp;Courses!$A35&amp;", "&amp;AR$9&amp;", "&amp;AR$10&amp;", "&amp;AR$11&amp;"; ","")</f>
        <v/>
      </c>
      <c r="AS41" t="str">
        <f>IF(AND($V$9=1,(TRUNC(Courses!T35)&lt;&gt;Courses!T35)), "Row "&amp;Courses!$A35&amp;", "&amp;AS$9&amp;", "&amp;AS$10&amp;", "&amp;AS$11&amp;"; ","")</f>
        <v/>
      </c>
      <c r="AT41" t="str">
        <f>IF(AND($V$9=1,(TRUNC(Courses!U35)&lt;&gt;Courses!U35)), "Row "&amp;Courses!$A35&amp;", "&amp;AT$9&amp;", "&amp;AT$10&amp;", "&amp;AT$11&amp;"; ","")</f>
        <v/>
      </c>
      <c r="AU41" s="2120" t="str">
        <f>IF(AND($V$9=1,(TRUNC(Courses!V35)&lt;&gt;Courses!V35)), "Row "&amp;Courses!$A35&amp;", "&amp;AU$9&amp;", "&amp;AU$10&amp;"; ","")</f>
        <v/>
      </c>
      <c r="AV41" s="1593" t="str">
        <f>IF(AND($V$9=1,(TRUNC(Courses!W35)&lt;&gt;Courses!W35)), "Row "&amp;Courses!$A35&amp;", "&amp;AV$9&amp;", "&amp;AV$10&amp;", "&amp;AV$11&amp;"; ","")</f>
        <v/>
      </c>
      <c r="AW41" t="str">
        <f>IF(AND($V$9=1,(TRUNC(Courses!X35)&lt;&gt;Courses!X35)), "Row "&amp;Courses!$A35&amp;", "&amp;AW$9&amp;", "&amp;AW$10&amp;", "&amp;AW$11&amp;"; ","")</f>
        <v/>
      </c>
      <c r="AX41" t="str">
        <f>IF(AND($V$9=1,(TRUNC(Courses!Y35)&lt;&gt;Courses!Y35)), "Row "&amp;Courses!$A35&amp;", "&amp;AX$9&amp;", "&amp;AX$10&amp;", "&amp;AX$11&amp;"; ","")</f>
        <v/>
      </c>
      <c r="AY41" t="str">
        <f>IF(AND($V$9=1,(TRUNC(Courses!Z35)&lt;&gt;Courses!Z35)), "Row "&amp;Courses!$A35&amp;", "&amp;AY$9&amp;", "&amp;AY$10&amp;", "&amp;AY$11&amp;"; ","")</f>
        <v/>
      </c>
      <c r="AZ41" s="2120" t="str">
        <f>IF(AND($V$9=1,(TRUNC(Courses!AA35)&lt;&gt;Courses!AA35)), "Row "&amp;Courses!$A35&amp;", "&amp;AZ$9&amp;", "&amp;AZ$10&amp;"; ","")</f>
        <v/>
      </c>
      <c r="BA41" s="17"/>
      <c r="BB41" s="118"/>
      <c r="BC41" s="3">
        <v>22</v>
      </c>
      <c r="BD41" s="1593" t="str">
        <f>IF(AND($W$9=1,Courses!M35&lt;0), "Row "&amp;Courses!$A35&amp;", "&amp;BD$9&amp;", "&amp;BD$10&amp;", "&amp;BD$11&amp;"; ","")</f>
        <v/>
      </c>
      <c r="BE41" t="str">
        <f>IF(AND($W$9=1,Courses!N35&lt;0), "Row "&amp;Courses!$A35&amp;", "&amp;BE$9&amp;", "&amp;BE$10&amp;", "&amp;BE$11&amp;"; ","")</f>
        <v/>
      </c>
      <c r="BF41" t="str">
        <f>IF(AND($W$9=1,Courses!O35&lt;0), "Row "&amp;Courses!$A35&amp;", "&amp;BF$9&amp;", "&amp;BF$10&amp;", "&amp;BF$11&amp;"; ","")</f>
        <v/>
      </c>
      <c r="BG41" t="str">
        <f>IF(AND($W$9=1,Courses!P35&lt;0), "Row "&amp;Courses!$A35&amp;", "&amp;BG$9&amp;", "&amp;BG$10&amp;", "&amp;BG$11&amp;"; ","")</f>
        <v/>
      </c>
      <c r="BH41" s="2120" t="str">
        <f>IF(AND($W$9=1,Courses!Q35&lt;0), "Row "&amp;Courses!$A35&amp;", "&amp;BH$9&amp;", "&amp;BH$10&amp;"; ","")</f>
        <v/>
      </c>
      <c r="BI41" s="1593" t="str">
        <f>IF(AND($W$9=1,Courses!R35&lt;0), "Row "&amp;Courses!$A35&amp;", "&amp;BI$9&amp;", "&amp;BI$10&amp;", "&amp;BI$11&amp;"; ","")</f>
        <v/>
      </c>
      <c r="BJ41" t="str">
        <f>IF(AND($W$9=1,Courses!S35&lt;0), "Row "&amp;Courses!$A35&amp;", "&amp;BJ$9&amp;", "&amp;BJ$10&amp;", "&amp;BJ$11&amp;"; ","")</f>
        <v/>
      </c>
      <c r="BK41" t="str">
        <f>IF(AND($W$9=1,Courses!T35&lt;0), "Row "&amp;Courses!$A35&amp;", "&amp;BK$9&amp;", "&amp;BK$10&amp;", "&amp;BK$11&amp;"; ","")</f>
        <v/>
      </c>
      <c r="BL41" t="str">
        <f>IF(AND($W$9=1,Courses!U35&lt;0), "Row "&amp;Courses!$A35&amp;", "&amp;BL$9&amp;", "&amp;BL$10&amp;", "&amp;BL$11&amp;"; ","")</f>
        <v/>
      </c>
      <c r="BM41" s="2120" t="str">
        <f>IF(AND($W$9=1,Courses!V35&lt;0), "Row "&amp;Courses!$A35&amp;", "&amp;BM$9&amp;", "&amp;BM$10&amp;"; ","")</f>
        <v/>
      </c>
      <c r="BN41" s="1593" t="str">
        <f>IF(AND($W$9=1,Courses!W35&lt;0), "Row "&amp;Courses!$A35&amp;", "&amp;BN$9&amp;", "&amp;BN$10&amp;", "&amp;BN$11&amp;"; ","")</f>
        <v/>
      </c>
      <c r="BO41" t="str">
        <f>IF(AND($W$9=1,Courses!X35&lt;0), "Row "&amp;Courses!$A35&amp;", "&amp;BO$9&amp;", "&amp;BO$10&amp;", "&amp;BO$11&amp;"; ","")</f>
        <v/>
      </c>
      <c r="BP41" t="str">
        <f>IF(AND($W$9=1,Courses!Y35&lt;0), "Row "&amp;Courses!$A35&amp;", "&amp;BP$9&amp;", "&amp;BP$10&amp;", "&amp;BP$11&amp;"; ","")</f>
        <v/>
      </c>
      <c r="BQ41" t="str">
        <f>IF(AND($W$9=1,Courses!Z35&lt;0), "Row "&amp;Courses!$A35&amp;", "&amp;BQ$9&amp;", "&amp;BQ$10&amp;", "&amp;BQ$11&amp;"; ","")</f>
        <v/>
      </c>
      <c r="BR41" s="2120" t="str">
        <f>IF(AND($W$9=1,Courses!AA35&lt;0), "Row "&amp;Courses!$A35&amp;", "&amp;BR$9&amp;", "&amp;BR$10&amp;"; ","")</f>
        <v/>
      </c>
      <c r="BT41" s="186">
        <v>22</v>
      </c>
      <c r="BU41" s="40">
        <f>IF(AND($X$9=1,Courses!B35="",Courses!F35="",Courses!H35="",Courses!J35="",Courses!K35="",Courses!L35="",Courses!M35=0,Courses!N35=0,Courses!O35=0,Courses!P35=0,Courses!Q35=0,Courses!R35=0,Courses!S35=0,Courses!T35=0,Courses!U35=0,Courses!V35=0,Courses!W35=0,Courses!X35=0,Courses!Y35=0,Courses!Z35=0,Courses!AA35=0),0,1)</f>
        <v>0</v>
      </c>
      <c r="BV41" s="40">
        <f>IF(AND(BU41=0,SUM(BU42:$BU$219)&gt;0),1,0)</f>
        <v>0</v>
      </c>
      <c r="BW41" s="1595" t="str">
        <f>IF(BV41=1,"Row "&amp;Courses!A35&amp;"; ","")</f>
        <v/>
      </c>
      <c r="BX41" s="17"/>
      <c r="BZ41" s="1592" t="str">
        <f>IF(AND($Y$9=1,Courses!B35&lt;&gt;"",SUM(Courses!M35:AA35)=0),"Row "&amp;Courses!A35&amp;"; ","")</f>
        <v/>
      </c>
      <c r="CA41" s="17"/>
      <c r="CC41" s="1592" t="str">
        <f>IF(AND($Z$9=1,Courses!AD35=1,(LEN(Courses!AB35)&gt;200)),"Row "&amp;Courses!A35&amp;"; ","")</f>
        <v/>
      </c>
      <c r="CE41" s="131"/>
      <c r="CG41" s="1593" t="str">
        <f>IF(AND($AD$9=1,Courses!E35&lt;&gt;"",Courses!F35&lt;&gt;"",Courses!F35=0,SUM(Courses!H35,Courses!J35)=1),"Row "&amp;Courses!A35&amp;", "&amp;Courses!$F$10&amp;"; ","")</f>
        <v/>
      </c>
      <c r="CH41" t="str">
        <f>IF(AND($AD$9=1,Courses!G35&lt;&gt;"",Courses!H35&lt;&gt;"",Courses!H35=0,SUM(Courses!J35,Courses!F35)=1),"Row "&amp;Courses!A35&amp;", "&amp;Courses!$H$10&amp;"; ","")</f>
        <v/>
      </c>
      <c r="CI41" s="183" t="str">
        <f>IF(AND($AD$9=1,Courses!I35&lt;&gt;"",Courses!J35&lt;&gt;"",Courses!J35=0, SUM(Courses!H35,Courses!F35)=1),"Row "&amp;Courses!A35&amp;", "&amp;Courses!$J$10&amp;"; ","")</f>
        <v/>
      </c>
      <c r="CJ41" s="180"/>
      <c r="CK41" s="181"/>
      <c r="CL41" s="1592" t="str">
        <f>IF(AND(Courses!B35&lt;&gt;"",ISNA(VLOOKUP(Courses!C35,CourseInfo,2,FALSE))=FALSE,COUNTIF(Dummy,Courses!C35)&lt;&gt;1),VLOOKUP(Courses!C35,CourseInfo,6,FALSE),"")</f>
        <v/>
      </c>
      <c r="CM41" s="1592" t="str">
        <f>IF(AND($AE$9=1,Courses!B35&lt;&gt;"",'Courses Valid'!AG41="",COUNTIF(Dummy,Courses!C35)&lt;&gt;1),IF(Courses!K35&lt;&gt;'Courses Valid'!CL41,"Row "&amp;Courses!A35&amp;", Level on LARS is "&amp;'Courses Valid'!CL41&amp;"; ",""),"")</f>
        <v/>
      </c>
      <c r="CN41" s="131"/>
    </row>
    <row r="42" spans="3:92" x14ac:dyDescent="0.35">
      <c r="C42" s="1591">
        <f t="shared" si="2"/>
        <v>0</v>
      </c>
      <c r="D42" s="41"/>
      <c r="E42" s="41"/>
      <c r="F42" s="118"/>
      <c r="G42" s="1591" t="str">
        <f>IF(SUMPRODUCT(--(CourseAims=Courses!$C36))=1,"",IF(AND($N$9=1,Courses!$C36&lt;&gt;""),"Row "&amp;Courses!A36&amp;" (invalid); ",""))</f>
        <v/>
      </c>
      <c r="H42" s="1592" t="str">
        <f>IF(AND($O$9=1,Courses!B36="",OR(Courses!F36&lt;&gt;"",Courses!H36&lt;&gt;"",Courses!J36&lt;&gt;"",Courses!K36&lt;&gt;"",Courses!L36&lt;&gt;"",Courses!M36&lt;&gt;0,Courses!N36&lt;&gt;0,Courses!O36&lt;&gt;0,Courses!P36&lt;&gt;0,Courses!Q36&lt;&gt;0,Courses!R36&lt;&gt;0,Courses!S36&lt;&gt;0,Courses!T36&lt;&gt;0,Courses!U36&lt;&gt;0,Courses!V36&lt;&gt;0,Courses!W36&lt;&gt;0,Courses!X36&lt;&gt;0,Courses!Y36&lt;&gt;0,Courses!Z36&lt;&gt;0,Courses!AA36&lt;&gt;0)),"Row "&amp;Courses!A36&amp;" (none); ","")</f>
        <v/>
      </c>
      <c r="I42" s="17"/>
      <c r="K42" s="1592" t="str">
        <f>Courses!B36&amp;Courses!K36&amp;Courses!L36</f>
        <v/>
      </c>
      <c r="L42" s="1592" t="str">
        <f>IF(AND($P$9=1,Courses!$B36&lt;&gt;"",COUNTIF(Dummy,Courses!$C36)&lt;&gt;1),IF(SUMPRODUCT(--($K$20:$K$219=$K42))&gt;1,"Row "&amp;Courses!$A36&amp;"; ",""),"")</f>
        <v/>
      </c>
      <c r="N42" s="118"/>
      <c r="O42" s="1593" t="str">
        <f>IF(AND($Q$9=1,Courses!E36&lt;&gt;"",Courses!F36=""),"Row "&amp;Courses!A36&amp;", "&amp;Courses!$E$10&amp;"; ","")</f>
        <v/>
      </c>
      <c r="P42" t="str">
        <f>IF(AND($Q$9=1,Courses!G36&lt;&gt;"",Courses!H36=""),"Row "&amp;Courses!A36&amp;", "&amp;Courses!$G$10&amp;"; ","")</f>
        <v/>
      </c>
      <c r="Q42" s="183" t="str">
        <f>IF(AND($Q$9=1,Courses!I36&lt;&gt;"",Courses!J36=""),"Row "&amp;Courses!A36&amp;", "&amp;Courses!$I$10&amp;"; ","")</f>
        <v/>
      </c>
      <c r="S42" s="17"/>
      <c r="T42" s="118"/>
      <c r="U42" s="1594" t="str">
        <f>IF(AND($R$9=1,Courses!B36&lt;&gt;"",Courses!E36&lt;&gt;"",Courses!G36="",Courses!I36="",Courses!F36&lt;&gt;1),"Row "&amp;Courses!A36&amp;"; ","")</f>
        <v/>
      </c>
      <c r="V42" t="str">
        <f>IF(AND($R$9=1,Courses!B36&lt;&gt;"",Courses!I36="",Courses!F36&lt;&gt;"",Courses!G36&lt;&gt;"",Courses!H36&lt;&gt;""),IF(OR((Courses!F36+Courses!H36)&lt;&gt;1),"Row "&amp;Courses!A36&amp;"; ",""),"")</f>
        <v/>
      </c>
      <c r="W42" s="183" t="str">
        <f>IF(AND($R$9=1,Courses!B36&lt;&gt;"",Courses!I36&lt;&gt;"",Courses!J36&lt;&gt;"",Courses!H36&lt;&gt;"",Courses!G36&lt;&gt;"",Courses!F36&lt;&gt;""),IF(OR((Courses!F36+Courses!H36+Courses!J36)&lt;&gt;1),"Row "&amp;Courses!A36&amp;"; ",""),"")</f>
        <v/>
      </c>
      <c r="Y42" s="1592" t="str">
        <f>IF(AND($R$9=1,Courses!E36&lt;&gt;"",U42="",V42="",W42="",SUM(Courses!F36,Courses!H36,Courses!J36)&lt;&gt;1),"Row "&amp;Courses!A36&amp;"; ","")</f>
        <v/>
      </c>
      <c r="Z42" s="17"/>
      <c r="AB42" s="1593" t="str">
        <f>IF(AND($S$9=1,Courses!B36&lt;&gt;"",Courses!E36&lt;&gt;"",Courses!F36&lt;&gt;""),IF((TRUNC(Courses!F36*100)&lt;&gt;Courses!F36*100),"Row "&amp;Courses!A36&amp;", "&amp;Courses!$F$10&amp;"; ",""),"")</f>
        <v/>
      </c>
      <c r="AC42" t="str">
        <f>IF(AND($S$9=1,Courses!B36&lt;&gt;"",Courses!G36&lt;&gt;"",Courses!H36&lt;&gt;""),IF((TRUNC(Courses!H36*100)&lt;&gt;Courses!H36*100),"Row "&amp;Courses!A36&amp;", "&amp;Courses!$H$10&amp;"; ",""),"")</f>
        <v/>
      </c>
      <c r="AD42" s="183" t="str">
        <f>IF(AND($S$9=1,Courses!B36&lt;&gt;"",Courses!I36&lt;&gt;"",Courses!J36&lt;&gt;""),IF((TRUNC(Courses!J36*100)&lt;&gt;Courses!J36*100),"Row "&amp;Courses!A36&amp;", "&amp;Courses!$J$10&amp;"; ",""),"")</f>
        <v/>
      </c>
      <c r="AF42" s="118"/>
      <c r="AG42" s="1592" t="str">
        <f>IF(AND($T$9=1,G42="",Courses!B36&lt;&gt;"",Courses!K36&lt;&gt;$B$9,Courses!K36&lt;&gt;$B$10,Courses!K36&lt;&gt;$B$11,Courses!K36&lt;&gt;$B$12,Courses!K36&lt;&gt;$B$13,Courses!K36&lt;&gt;$B$14),"Row "&amp;Courses!A36&amp;"; ","")</f>
        <v/>
      </c>
      <c r="AH42" s="1592" t="str">
        <f>IF(AND($U$9=1,G42="",Courses!B36&lt;&gt;"",Courses!L36&lt;&gt;"Standard",Courses!L36&lt;&gt;"Long"),"Row "&amp;Courses!A36&amp;"; ","")</f>
        <v/>
      </c>
      <c r="AJ42" s="118"/>
      <c r="AK42" s="3">
        <v>23</v>
      </c>
      <c r="AL42" s="1593" t="str">
        <f>IF(AND($V$9=1,(TRUNC(Courses!M36)&lt;&gt;Courses!M36)), "Row "&amp;Courses!$A36&amp;", "&amp;AL$9&amp;", "&amp;AL$10&amp;", "&amp;AL$11&amp;"; ","")</f>
        <v/>
      </c>
      <c r="AM42" t="str">
        <f>IF(AND($V$9=1,(TRUNC(Courses!N36)&lt;&gt;Courses!N36)), "Row "&amp;Courses!$A36&amp;", "&amp;AM$9&amp;", "&amp;AM$10&amp;", "&amp;AM$11&amp;"; ","")</f>
        <v/>
      </c>
      <c r="AN42" t="str">
        <f>IF(AND($V$9=1,(TRUNC(Courses!O36)&lt;&gt;Courses!O36)), "Row "&amp;Courses!$A36&amp;", "&amp;AN$9&amp;", "&amp;AN$10&amp;", "&amp;AN$11&amp;"; ","")</f>
        <v/>
      </c>
      <c r="AO42" t="str">
        <f>IF(AND($V$9=1,(TRUNC(Courses!P36)&lt;&gt;Courses!P36)), "Row "&amp;Courses!$A36&amp;", "&amp;AO$9&amp;", "&amp;AO$10&amp;", "&amp;AO$11&amp;"; ","")</f>
        <v/>
      </c>
      <c r="AP42" s="2120" t="str">
        <f>IF(AND($V$9=1,(TRUNC(Courses!Q36)&lt;&gt;Courses!Q36)), "Row "&amp;Courses!$A36&amp;", "&amp;AP$9&amp;", "&amp;AP$10&amp;"; ","")</f>
        <v/>
      </c>
      <c r="AQ42" s="1593" t="str">
        <f>IF(AND($V$9=1,(TRUNC(Courses!R36)&lt;&gt;Courses!R36)), "Row "&amp;Courses!$A36&amp;", "&amp;AQ$9&amp;", "&amp;AQ$10&amp;", "&amp;AQ$11&amp;"; ","")</f>
        <v/>
      </c>
      <c r="AR42" t="str">
        <f>IF(AND($V$9=1,(TRUNC(Courses!S36)&lt;&gt;Courses!S36)), "Row "&amp;Courses!$A36&amp;", "&amp;AR$9&amp;", "&amp;AR$10&amp;", "&amp;AR$11&amp;"; ","")</f>
        <v/>
      </c>
      <c r="AS42" t="str">
        <f>IF(AND($V$9=1,(TRUNC(Courses!T36)&lt;&gt;Courses!T36)), "Row "&amp;Courses!$A36&amp;", "&amp;AS$9&amp;", "&amp;AS$10&amp;", "&amp;AS$11&amp;"; ","")</f>
        <v/>
      </c>
      <c r="AT42" t="str">
        <f>IF(AND($V$9=1,(TRUNC(Courses!U36)&lt;&gt;Courses!U36)), "Row "&amp;Courses!$A36&amp;", "&amp;AT$9&amp;", "&amp;AT$10&amp;", "&amp;AT$11&amp;"; ","")</f>
        <v/>
      </c>
      <c r="AU42" s="2120" t="str">
        <f>IF(AND($V$9=1,(TRUNC(Courses!V36)&lt;&gt;Courses!V36)), "Row "&amp;Courses!$A36&amp;", "&amp;AU$9&amp;", "&amp;AU$10&amp;"; ","")</f>
        <v/>
      </c>
      <c r="AV42" s="1593" t="str">
        <f>IF(AND($V$9=1,(TRUNC(Courses!W36)&lt;&gt;Courses!W36)), "Row "&amp;Courses!$A36&amp;", "&amp;AV$9&amp;", "&amp;AV$10&amp;", "&amp;AV$11&amp;"; ","")</f>
        <v/>
      </c>
      <c r="AW42" t="str">
        <f>IF(AND($V$9=1,(TRUNC(Courses!X36)&lt;&gt;Courses!X36)), "Row "&amp;Courses!$A36&amp;", "&amp;AW$9&amp;", "&amp;AW$10&amp;", "&amp;AW$11&amp;"; ","")</f>
        <v/>
      </c>
      <c r="AX42" t="str">
        <f>IF(AND($V$9=1,(TRUNC(Courses!Y36)&lt;&gt;Courses!Y36)), "Row "&amp;Courses!$A36&amp;", "&amp;AX$9&amp;", "&amp;AX$10&amp;", "&amp;AX$11&amp;"; ","")</f>
        <v/>
      </c>
      <c r="AY42" t="str">
        <f>IF(AND($V$9=1,(TRUNC(Courses!Z36)&lt;&gt;Courses!Z36)), "Row "&amp;Courses!$A36&amp;", "&amp;AY$9&amp;", "&amp;AY$10&amp;", "&amp;AY$11&amp;"; ","")</f>
        <v/>
      </c>
      <c r="AZ42" s="2120" t="str">
        <f>IF(AND($V$9=1,(TRUNC(Courses!AA36)&lt;&gt;Courses!AA36)), "Row "&amp;Courses!$A36&amp;", "&amp;AZ$9&amp;", "&amp;AZ$10&amp;"; ","")</f>
        <v/>
      </c>
      <c r="BA42" s="17"/>
      <c r="BB42" s="118"/>
      <c r="BC42" s="3">
        <v>23</v>
      </c>
      <c r="BD42" s="1593" t="str">
        <f>IF(AND($W$9=1,Courses!M36&lt;0), "Row "&amp;Courses!$A36&amp;", "&amp;BD$9&amp;", "&amp;BD$10&amp;", "&amp;BD$11&amp;"; ","")</f>
        <v/>
      </c>
      <c r="BE42" t="str">
        <f>IF(AND($W$9=1,Courses!N36&lt;0), "Row "&amp;Courses!$A36&amp;", "&amp;BE$9&amp;", "&amp;BE$10&amp;", "&amp;BE$11&amp;"; ","")</f>
        <v/>
      </c>
      <c r="BF42" t="str">
        <f>IF(AND($W$9=1,Courses!O36&lt;0), "Row "&amp;Courses!$A36&amp;", "&amp;BF$9&amp;", "&amp;BF$10&amp;", "&amp;BF$11&amp;"; ","")</f>
        <v/>
      </c>
      <c r="BG42" t="str">
        <f>IF(AND($W$9=1,Courses!P36&lt;0), "Row "&amp;Courses!$A36&amp;", "&amp;BG$9&amp;", "&amp;BG$10&amp;", "&amp;BG$11&amp;"; ","")</f>
        <v/>
      </c>
      <c r="BH42" s="2120" t="str">
        <f>IF(AND($W$9=1,Courses!Q36&lt;0), "Row "&amp;Courses!$A36&amp;", "&amp;BH$9&amp;", "&amp;BH$10&amp;"; ","")</f>
        <v/>
      </c>
      <c r="BI42" s="1593" t="str">
        <f>IF(AND($W$9=1,Courses!R36&lt;0), "Row "&amp;Courses!$A36&amp;", "&amp;BI$9&amp;", "&amp;BI$10&amp;", "&amp;BI$11&amp;"; ","")</f>
        <v/>
      </c>
      <c r="BJ42" t="str">
        <f>IF(AND($W$9=1,Courses!S36&lt;0), "Row "&amp;Courses!$A36&amp;", "&amp;BJ$9&amp;", "&amp;BJ$10&amp;", "&amp;BJ$11&amp;"; ","")</f>
        <v/>
      </c>
      <c r="BK42" t="str">
        <f>IF(AND($W$9=1,Courses!T36&lt;0), "Row "&amp;Courses!$A36&amp;", "&amp;BK$9&amp;", "&amp;BK$10&amp;", "&amp;BK$11&amp;"; ","")</f>
        <v/>
      </c>
      <c r="BL42" t="str">
        <f>IF(AND($W$9=1,Courses!U36&lt;0), "Row "&amp;Courses!$A36&amp;", "&amp;BL$9&amp;", "&amp;BL$10&amp;", "&amp;BL$11&amp;"; ","")</f>
        <v/>
      </c>
      <c r="BM42" s="2120" t="str">
        <f>IF(AND($W$9=1,Courses!V36&lt;0), "Row "&amp;Courses!$A36&amp;", "&amp;BM$9&amp;", "&amp;BM$10&amp;"; ","")</f>
        <v/>
      </c>
      <c r="BN42" s="1593" t="str">
        <f>IF(AND($W$9=1,Courses!W36&lt;0), "Row "&amp;Courses!$A36&amp;", "&amp;BN$9&amp;", "&amp;BN$10&amp;", "&amp;BN$11&amp;"; ","")</f>
        <v/>
      </c>
      <c r="BO42" t="str">
        <f>IF(AND($W$9=1,Courses!X36&lt;0), "Row "&amp;Courses!$A36&amp;", "&amp;BO$9&amp;", "&amp;BO$10&amp;", "&amp;BO$11&amp;"; ","")</f>
        <v/>
      </c>
      <c r="BP42" t="str">
        <f>IF(AND($W$9=1,Courses!Y36&lt;0), "Row "&amp;Courses!$A36&amp;", "&amp;BP$9&amp;", "&amp;BP$10&amp;", "&amp;BP$11&amp;"; ","")</f>
        <v/>
      </c>
      <c r="BQ42" t="str">
        <f>IF(AND($W$9=1,Courses!Z36&lt;0), "Row "&amp;Courses!$A36&amp;", "&amp;BQ$9&amp;", "&amp;BQ$10&amp;", "&amp;BQ$11&amp;"; ","")</f>
        <v/>
      </c>
      <c r="BR42" s="2120" t="str">
        <f>IF(AND($W$9=1,Courses!AA36&lt;0), "Row "&amp;Courses!$A36&amp;", "&amp;BR$9&amp;", "&amp;BR$10&amp;"; ","")</f>
        <v/>
      </c>
      <c r="BT42" s="186">
        <v>23</v>
      </c>
      <c r="BU42" s="40">
        <f>IF(AND($X$9=1,Courses!B36="",Courses!F36="",Courses!H36="",Courses!J36="",Courses!K36="",Courses!L36="",Courses!M36=0,Courses!N36=0,Courses!O36=0,Courses!P36=0,Courses!Q36=0,Courses!R36=0,Courses!S36=0,Courses!T36=0,Courses!U36=0,Courses!V36=0,Courses!W36=0,Courses!X36=0,Courses!Y36=0,Courses!Z36=0,Courses!AA36=0),0,1)</f>
        <v>0</v>
      </c>
      <c r="BV42" s="40">
        <f>IF(AND(BU42=0,SUM(BU43:$BU$219)&gt;0),1,0)</f>
        <v>0</v>
      </c>
      <c r="BW42" s="1595" t="str">
        <f>IF(BV42=1,"Row "&amp;Courses!A36&amp;"; ","")</f>
        <v/>
      </c>
      <c r="BX42" s="17"/>
      <c r="BZ42" s="1592" t="str">
        <f>IF(AND($Y$9=1,Courses!B36&lt;&gt;"",SUM(Courses!M36:AA36)=0),"Row "&amp;Courses!A36&amp;"; ","")</f>
        <v/>
      </c>
      <c r="CA42" s="17"/>
      <c r="CC42" s="1592" t="str">
        <f>IF(AND($Z$9=1,Courses!AD36=1,(LEN(Courses!AB36)&gt;200)),"Row "&amp;Courses!A36&amp;"; ","")</f>
        <v/>
      </c>
      <c r="CE42" s="131"/>
      <c r="CG42" s="1593" t="str">
        <f>IF(AND($AD$9=1,Courses!E36&lt;&gt;"",Courses!F36&lt;&gt;"",Courses!F36=0,SUM(Courses!H36,Courses!J36)=1),"Row "&amp;Courses!A36&amp;", "&amp;Courses!$F$10&amp;"; ","")</f>
        <v/>
      </c>
      <c r="CH42" t="str">
        <f>IF(AND($AD$9=1,Courses!G36&lt;&gt;"",Courses!H36&lt;&gt;"",Courses!H36=0,SUM(Courses!J36,Courses!F36)=1),"Row "&amp;Courses!A36&amp;", "&amp;Courses!$H$10&amp;"; ","")</f>
        <v/>
      </c>
      <c r="CI42" s="183" t="str">
        <f>IF(AND($AD$9=1,Courses!I36&lt;&gt;"",Courses!J36&lt;&gt;"",Courses!J36=0, SUM(Courses!H36,Courses!F36)=1),"Row "&amp;Courses!A36&amp;", "&amp;Courses!$J$10&amp;"; ","")</f>
        <v/>
      </c>
      <c r="CJ42" s="180"/>
      <c r="CK42" s="181"/>
      <c r="CL42" s="1592" t="str">
        <f>IF(AND(Courses!B36&lt;&gt;"",ISNA(VLOOKUP(Courses!C36,CourseInfo,2,FALSE))=FALSE,COUNTIF(Dummy,Courses!C36)&lt;&gt;1),VLOOKUP(Courses!C36,CourseInfo,6,FALSE),"")</f>
        <v/>
      </c>
      <c r="CM42" s="1592" t="str">
        <f>IF(AND($AE$9=1,Courses!B36&lt;&gt;"",'Courses Valid'!AG42="",COUNTIF(Dummy,Courses!C36)&lt;&gt;1),IF(Courses!K36&lt;&gt;'Courses Valid'!CL42,"Row "&amp;Courses!A36&amp;", Level on LARS is "&amp;'Courses Valid'!CL42&amp;"; ",""),"")</f>
        <v/>
      </c>
      <c r="CN42" s="131"/>
    </row>
    <row r="43" spans="3:92" x14ac:dyDescent="0.35">
      <c r="C43" s="1591">
        <f t="shared" si="2"/>
        <v>0</v>
      </c>
      <c r="D43" s="41"/>
      <c r="E43" s="41"/>
      <c r="F43" s="118"/>
      <c r="G43" s="1591" t="str">
        <f>IF(SUMPRODUCT(--(CourseAims=Courses!$C37))=1,"",IF(AND($N$9=1,Courses!$C37&lt;&gt;""),"Row "&amp;Courses!A37&amp;" (invalid); ",""))</f>
        <v/>
      </c>
      <c r="H43" s="1592" t="str">
        <f>IF(AND($O$9=1,Courses!B37="",OR(Courses!F37&lt;&gt;"",Courses!H37&lt;&gt;"",Courses!J37&lt;&gt;"",Courses!K37&lt;&gt;"",Courses!L37&lt;&gt;"",Courses!M37&lt;&gt;0,Courses!N37&lt;&gt;0,Courses!O37&lt;&gt;0,Courses!P37&lt;&gt;0,Courses!Q37&lt;&gt;0,Courses!R37&lt;&gt;0,Courses!S37&lt;&gt;0,Courses!T37&lt;&gt;0,Courses!U37&lt;&gt;0,Courses!V37&lt;&gt;0,Courses!W37&lt;&gt;0,Courses!X37&lt;&gt;0,Courses!Y37&lt;&gt;0,Courses!Z37&lt;&gt;0,Courses!AA37&lt;&gt;0)),"Row "&amp;Courses!A37&amp;" (none); ","")</f>
        <v/>
      </c>
      <c r="I43" s="17"/>
      <c r="K43" s="1592" t="str">
        <f>Courses!B37&amp;Courses!K37&amp;Courses!L37</f>
        <v/>
      </c>
      <c r="L43" s="1592" t="str">
        <f>IF(AND($P$9=1,Courses!$B37&lt;&gt;"",COUNTIF(Dummy,Courses!$C37)&lt;&gt;1),IF(SUMPRODUCT(--($K$20:$K$219=$K43))&gt;1,"Row "&amp;Courses!$A37&amp;"; ",""),"")</f>
        <v/>
      </c>
      <c r="N43" s="118"/>
      <c r="O43" s="1593" t="str">
        <f>IF(AND($Q$9=1,Courses!E37&lt;&gt;"",Courses!F37=""),"Row "&amp;Courses!A37&amp;", "&amp;Courses!$E$10&amp;"; ","")</f>
        <v/>
      </c>
      <c r="P43" t="str">
        <f>IF(AND($Q$9=1,Courses!G37&lt;&gt;"",Courses!H37=""),"Row "&amp;Courses!A37&amp;", "&amp;Courses!$G$10&amp;"; ","")</f>
        <v/>
      </c>
      <c r="Q43" s="183" t="str">
        <f>IF(AND($Q$9=1,Courses!I37&lt;&gt;"",Courses!J37=""),"Row "&amp;Courses!A37&amp;", "&amp;Courses!$I$10&amp;"; ","")</f>
        <v/>
      </c>
      <c r="S43" s="17"/>
      <c r="T43" s="118"/>
      <c r="U43" s="1594" t="str">
        <f>IF(AND($R$9=1,Courses!B37&lt;&gt;"",Courses!E37&lt;&gt;"",Courses!G37="",Courses!I37="",Courses!F37&lt;&gt;1),"Row "&amp;Courses!A37&amp;"; ","")</f>
        <v/>
      </c>
      <c r="V43" t="str">
        <f>IF(AND($R$9=1,Courses!B37&lt;&gt;"",Courses!I37="",Courses!F37&lt;&gt;"",Courses!G37&lt;&gt;"",Courses!H37&lt;&gt;""),IF(OR((Courses!F37+Courses!H37)&lt;&gt;1),"Row "&amp;Courses!A37&amp;"; ",""),"")</f>
        <v/>
      </c>
      <c r="W43" s="183" t="str">
        <f>IF(AND($R$9=1,Courses!B37&lt;&gt;"",Courses!I37&lt;&gt;"",Courses!J37&lt;&gt;"",Courses!H37&lt;&gt;"",Courses!G37&lt;&gt;"",Courses!F37&lt;&gt;""),IF(OR((Courses!F37+Courses!H37+Courses!J37)&lt;&gt;1),"Row "&amp;Courses!A37&amp;"; ",""),"")</f>
        <v/>
      </c>
      <c r="Y43" s="1592" t="str">
        <f>IF(AND($R$9=1,Courses!E37&lt;&gt;"",U43="",V43="",W43="",SUM(Courses!F37,Courses!H37,Courses!J37)&lt;&gt;1),"Row "&amp;Courses!A37&amp;"; ","")</f>
        <v/>
      </c>
      <c r="Z43" s="17"/>
      <c r="AB43" s="1593" t="str">
        <f>IF(AND($S$9=1,Courses!B37&lt;&gt;"",Courses!E37&lt;&gt;"",Courses!F37&lt;&gt;""),IF((TRUNC(Courses!F37*100)&lt;&gt;Courses!F37*100),"Row "&amp;Courses!A37&amp;", "&amp;Courses!$F$10&amp;"; ",""),"")</f>
        <v/>
      </c>
      <c r="AC43" t="str">
        <f>IF(AND($S$9=1,Courses!B37&lt;&gt;"",Courses!G37&lt;&gt;"",Courses!H37&lt;&gt;""),IF((TRUNC(Courses!H37*100)&lt;&gt;Courses!H37*100),"Row "&amp;Courses!A37&amp;", "&amp;Courses!$H$10&amp;"; ",""),"")</f>
        <v/>
      </c>
      <c r="AD43" s="183" t="str">
        <f>IF(AND($S$9=1,Courses!B37&lt;&gt;"",Courses!I37&lt;&gt;"",Courses!J37&lt;&gt;""),IF((TRUNC(Courses!J37*100)&lt;&gt;Courses!J37*100),"Row "&amp;Courses!A37&amp;", "&amp;Courses!$J$10&amp;"; ",""),"")</f>
        <v/>
      </c>
      <c r="AF43" s="118"/>
      <c r="AG43" s="1592" t="str">
        <f>IF(AND($T$9=1,G43="",Courses!B37&lt;&gt;"",Courses!K37&lt;&gt;$B$9,Courses!K37&lt;&gt;$B$10,Courses!K37&lt;&gt;$B$11,Courses!K37&lt;&gt;$B$12,Courses!K37&lt;&gt;$B$13,Courses!K37&lt;&gt;$B$14),"Row "&amp;Courses!A37&amp;"; ","")</f>
        <v/>
      </c>
      <c r="AH43" s="1592" t="str">
        <f>IF(AND($U$9=1,G43="",Courses!B37&lt;&gt;"",Courses!L37&lt;&gt;"Standard",Courses!L37&lt;&gt;"Long"),"Row "&amp;Courses!A37&amp;"; ","")</f>
        <v/>
      </c>
      <c r="AJ43" s="118"/>
      <c r="AK43" s="3">
        <v>24</v>
      </c>
      <c r="AL43" s="1593" t="str">
        <f>IF(AND($V$9=1,(TRUNC(Courses!M37)&lt;&gt;Courses!M37)), "Row "&amp;Courses!$A37&amp;", "&amp;AL$9&amp;", "&amp;AL$10&amp;", "&amp;AL$11&amp;"; ","")</f>
        <v/>
      </c>
      <c r="AM43" t="str">
        <f>IF(AND($V$9=1,(TRUNC(Courses!N37)&lt;&gt;Courses!N37)), "Row "&amp;Courses!$A37&amp;", "&amp;AM$9&amp;", "&amp;AM$10&amp;", "&amp;AM$11&amp;"; ","")</f>
        <v/>
      </c>
      <c r="AN43" t="str">
        <f>IF(AND($V$9=1,(TRUNC(Courses!O37)&lt;&gt;Courses!O37)), "Row "&amp;Courses!$A37&amp;", "&amp;AN$9&amp;", "&amp;AN$10&amp;", "&amp;AN$11&amp;"; ","")</f>
        <v/>
      </c>
      <c r="AO43" t="str">
        <f>IF(AND($V$9=1,(TRUNC(Courses!P37)&lt;&gt;Courses!P37)), "Row "&amp;Courses!$A37&amp;", "&amp;AO$9&amp;", "&amp;AO$10&amp;", "&amp;AO$11&amp;"; ","")</f>
        <v/>
      </c>
      <c r="AP43" s="2120" t="str">
        <f>IF(AND($V$9=1,(TRUNC(Courses!Q37)&lt;&gt;Courses!Q37)), "Row "&amp;Courses!$A37&amp;", "&amp;AP$9&amp;", "&amp;AP$10&amp;"; ","")</f>
        <v/>
      </c>
      <c r="AQ43" s="1593" t="str">
        <f>IF(AND($V$9=1,(TRUNC(Courses!R37)&lt;&gt;Courses!R37)), "Row "&amp;Courses!$A37&amp;", "&amp;AQ$9&amp;", "&amp;AQ$10&amp;", "&amp;AQ$11&amp;"; ","")</f>
        <v/>
      </c>
      <c r="AR43" t="str">
        <f>IF(AND($V$9=1,(TRUNC(Courses!S37)&lt;&gt;Courses!S37)), "Row "&amp;Courses!$A37&amp;", "&amp;AR$9&amp;", "&amp;AR$10&amp;", "&amp;AR$11&amp;"; ","")</f>
        <v/>
      </c>
      <c r="AS43" t="str">
        <f>IF(AND($V$9=1,(TRUNC(Courses!T37)&lt;&gt;Courses!T37)), "Row "&amp;Courses!$A37&amp;", "&amp;AS$9&amp;", "&amp;AS$10&amp;", "&amp;AS$11&amp;"; ","")</f>
        <v/>
      </c>
      <c r="AT43" t="str">
        <f>IF(AND($V$9=1,(TRUNC(Courses!U37)&lt;&gt;Courses!U37)), "Row "&amp;Courses!$A37&amp;", "&amp;AT$9&amp;", "&amp;AT$10&amp;", "&amp;AT$11&amp;"; ","")</f>
        <v/>
      </c>
      <c r="AU43" s="2120" t="str">
        <f>IF(AND($V$9=1,(TRUNC(Courses!V37)&lt;&gt;Courses!V37)), "Row "&amp;Courses!$A37&amp;", "&amp;AU$9&amp;", "&amp;AU$10&amp;"; ","")</f>
        <v/>
      </c>
      <c r="AV43" s="1593" t="str">
        <f>IF(AND($V$9=1,(TRUNC(Courses!W37)&lt;&gt;Courses!W37)), "Row "&amp;Courses!$A37&amp;", "&amp;AV$9&amp;", "&amp;AV$10&amp;", "&amp;AV$11&amp;"; ","")</f>
        <v/>
      </c>
      <c r="AW43" t="str">
        <f>IF(AND($V$9=1,(TRUNC(Courses!X37)&lt;&gt;Courses!X37)), "Row "&amp;Courses!$A37&amp;", "&amp;AW$9&amp;", "&amp;AW$10&amp;", "&amp;AW$11&amp;"; ","")</f>
        <v/>
      </c>
      <c r="AX43" t="str">
        <f>IF(AND($V$9=1,(TRUNC(Courses!Y37)&lt;&gt;Courses!Y37)), "Row "&amp;Courses!$A37&amp;", "&amp;AX$9&amp;", "&amp;AX$10&amp;", "&amp;AX$11&amp;"; ","")</f>
        <v/>
      </c>
      <c r="AY43" t="str">
        <f>IF(AND($V$9=1,(TRUNC(Courses!Z37)&lt;&gt;Courses!Z37)), "Row "&amp;Courses!$A37&amp;", "&amp;AY$9&amp;", "&amp;AY$10&amp;", "&amp;AY$11&amp;"; ","")</f>
        <v/>
      </c>
      <c r="AZ43" s="2120" t="str">
        <f>IF(AND($V$9=1,(TRUNC(Courses!AA37)&lt;&gt;Courses!AA37)), "Row "&amp;Courses!$A37&amp;", "&amp;AZ$9&amp;", "&amp;AZ$10&amp;"; ","")</f>
        <v/>
      </c>
      <c r="BA43" s="17"/>
      <c r="BB43" s="118"/>
      <c r="BC43" s="3">
        <v>24</v>
      </c>
      <c r="BD43" s="1593" t="str">
        <f>IF(AND($W$9=1,Courses!M37&lt;0), "Row "&amp;Courses!$A37&amp;", "&amp;BD$9&amp;", "&amp;BD$10&amp;", "&amp;BD$11&amp;"; ","")</f>
        <v/>
      </c>
      <c r="BE43" t="str">
        <f>IF(AND($W$9=1,Courses!N37&lt;0), "Row "&amp;Courses!$A37&amp;", "&amp;BE$9&amp;", "&amp;BE$10&amp;", "&amp;BE$11&amp;"; ","")</f>
        <v/>
      </c>
      <c r="BF43" t="str">
        <f>IF(AND($W$9=1,Courses!O37&lt;0), "Row "&amp;Courses!$A37&amp;", "&amp;BF$9&amp;", "&amp;BF$10&amp;", "&amp;BF$11&amp;"; ","")</f>
        <v/>
      </c>
      <c r="BG43" t="str">
        <f>IF(AND($W$9=1,Courses!P37&lt;0), "Row "&amp;Courses!$A37&amp;", "&amp;BG$9&amp;", "&amp;BG$10&amp;", "&amp;BG$11&amp;"; ","")</f>
        <v/>
      </c>
      <c r="BH43" s="2120" t="str">
        <f>IF(AND($W$9=1,Courses!Q37&lt;0), "Row "&amp;Courses!$A37&amp;", "&amp;BH$9&amp;", "&amp;BH$10&amp;"; ","")</f>
        <v/>
      </c>
      <c r="BI43" s="1593" t="str">
        <f>IF(AND($W$9=1,Courses!R37&lt;0), "Row "&amp;Courses!$A37&amp;", "&amp;BI$9&amp;", "&amp;BI$10&amp;", "&amp;BI$11&amp;"; ","")</f>
        <v/>
      </c>
      <c r="BJ43" t="str">
        <f>IF(AND($W$9=1,Courses!S37&lt;0), "Row "&amp;Courses!$A37&amp;", "&amp;BJ$9&amp;", "&amp;BJ$10&amp;", "&amp;BJ$11&amp;"; ","")</f>
        <v/>
      </c>
      <c r="BK43" t="str">
        <f>IF(AND($W$9=1,Courses!T37&lt;0), "Row "&amp;Courses!$A37&amp;", "&amp;BK$9&amp;", "&amp;BK$10&amp;", "&amp;BK$11&amp;"; ","")</f>
        <v/>
      </c>
      <c r="BL43" t="str">
        <f>IF(AND($W$9=1,Courses!U37&lt;0), "Row "&amp;Courses!$A37&amp;", "&amp;BL$9&amp;", "&amp;BL$10&amp;", "&amp;BL$11&amp;"; ","")</f>
        <v/>
      </c>
      <c r="BM43" s="2120" t="str">
        <f>IF(AND($W$9=1,Courses!V37&lt;0), "Row "&amp;Courses!$A37&amp;", "&amp;BM$9&amp;", "&amp;BM$10&amp;"; ","")</f>
        <v/>
      </c>
      <c r="BN43" s="1593" t="str">
        <f>IF(AND($W$9=1,Courses!W37&lt;0), "Row "&amp;Courses!$A37&amp;", "&amp;BN$9&amp;", "&amp;BN$10&amp;", "&amp;BN$11&amp;"; ","")</f>
        <v/>
      </c>
      <c r="BO43" t="str">
        <f>IF(AND($W$9=1,Courses!X37&lt;0), "Row "&amp;Courses!$A37&amp;", "&amp;BO$9&amp;", "&amp;BO$10&amp;", "&amp;BO$11&amp;"; ","")</f>
        <v/>
      </c>
      <c r="BP43" t="str">
        <f>IF(AND($W$9=1,Courses!Y37&lt;0), "Row "&amp;Courses!$A37&amp;", "&amp;BP$9&amp;", "&amp;BP$10&amp;", "&amp;BP$11&amp;"; ","")</f>
        <v/>
      </c>
      <c r="BQ43" t="str">
        <f>IF(AND($W$9=1,Courses!Z37&lt;0), "Row "&amp;Courses!$A37&amp;", "&amp;BQ$9&amp;", "&amp;BQ$10&amp;", "&amp;BQ$11&amp;"; ","")</f>
        <v/>
      </c>
      <c r="BR43" s="2120" t="str">
        <f>IF(AND($W$9=1,Courses!AA37&lt;0), "Row "&amp;Courses!$A37&amp;", "&amp;BR$9&amp;", "&amp;BR$10&amp;"; ","")</f>
        <v/>
      </c>
      <c r="BT43" s="186">
        <v>24</v>
      </c>
      <c r="BU43" s="40">
        <f>IF(AND($X$9=1,Courses!B37="",Courses!F37="",Courses!H37="",Courses!J37="",Courses!K37="",Courses!L37="",Courses!M37=0,Courses!N37=0,Courses!O37=0,Courses!P37=0,Courses!Q37=0,Courses!R37=0,Courses!S37=0,Courses!T37=0,Courses!U37=0,Courses!V37=0,Courses!W37=0,Courses!X37=0,Courses!Y37=0,Courses!Z37=0,Courses!AA37=0),0,1)</f>
        <v>0</v>
      </c>
      <c r="BV43" s="40">
        <f>IF(AND(BU43=0,SUM(BU44:$BU$219)&gt;0),1,0)</f>
        <v>0</v>
      </c>
      <c r="BW43" s="1595" t="str">
        <f>IF(BV43=1,"Row "&amp;Courses!A37&amp;"; ","")</f>
        <v/>
      </c>
      <c r="BX43" s="17"/>
      <c r="BZ43" s="1592" t="str">
        <f>IF(AND($Y$9=1,Courses!B37&lt;&gt;"",SUM(Courses!M37:AA37)=0),"Row "&amp;Courses!A37&amp;"; ","")</f>
        <v/>
      </c>
      <c r="CA43" s="17"/>
      <c r="CC43" s="1592" t="str">
        <f>IF(AND($Z$9=1,Courses!AD37=1,(LEN(Courses!AB37)&gt;200)),"Row "&amp;Courses!A37&amp;"; ","")</f>
        <v/>
      </c>
      <c r="CE43" s="131"/>
      <c r="CG43" s="1593" t="str">
        <f>IF(AND($AD$9=1,Courses!E37&lt;&gt;"",Courses!F37&lt;&gt;"",Courses!F37=0,SUM(Courses!H37,Courses!J37)=1),"Row "&amp;Courses!A37&amp;", "&amp;Courses!$F$10&amp;"; ","")</f>
        <v/>
      </c>
      <c r="CH43" t="str">
        <f>IF(AND($AD$9=1,Courses!G37&lt;&gt;"",Courses!H37&lt;&gt;"",Courses!H37=0,SUM(Courses!J37,Courses!F37)=1),"Row "&amp;Courses!A37&amp;", "&amp;Courses!$H$10&amp;"; ","")</f>
        <v/>
      </c>
      <c r="CI43" s="183" t="str">
        <f>IF(AND($AD$9=1,Courses!I37&lt;&gt;"",Courses!J37&lt;&gt;"",Courses!J37=0, SUM(Courses!H37,Courses!F37)=1),"Row "&amp;Courses!A37&amp;", "&amp;Courses!$J$10&amp;"; ","")</f>
        <v/>
      </c>
      <c r="CJ43" s="180"/>
      <c r="CK43" s="181"/>
      <c r="CL43" s="1592" t="str">
        <f>IF(AND(Courses!B37&lt;&gt;"",ISNA(VLOOKUP(Courses!C37,CourseInfo,2,FALSE))=FALSE,COUNTIF(Dummy,Courses!C37)&lt;&gt;1),VLOOKUP(Courses!C37,CourseInfo,6,FALSE),"")</f>
        <v/>
      </c>
      <c r="CM43" s="1592" t="str">
        <f>IF(AND($AE$9=1,Courses!B37&lt;&gt;"",'Courses Valid'!AG43="",COUNTIF(Dummy,Courses!C37)&lt;&gt;1),IF(Courses!K37&lt;&gt;'Courses Valid'!CL43,"Row "&amp;Courses!A37&amp;", Level on LARS is "&amp;'Courses Valid'!CL43&amp;"; ",""),"")</f>
        <v/>
      </c>
      <c r="CN43" s="131"/>
    </row>
    <row r="44" spans="3:92" x14ac:dyDescent="0.35">
      <c r="C44" s="1591">
        <f t="shared" si="2"/>
        <v>0</v>
      </c>
      <c r="D44" s="41"/>
      <c r="E44" s="41"/>
      <c r="F44" s="118"/>
      <c r="G44" s="1591" t="str">
        <f>IF(SUMPRODUCT(--(CourseAims=Courses!$C38))=1,"",IF(AND($N$9=1,Courses!$C38&lt;&gt;""),"Row "&amp;Courses!A38&amp;" (invalid); ",""))</f>
        <v/>
      </c>
      <c r="H44" s="1592" t="str">
        <f>IF(AND($O$9=1,Courses!B38="",OR(Courses!F38&lt;&gt;"",Courses!H38&lt;&gt;"",Courses!J38&lt;&gt;"",Courses!K38&lt;&gt;"",Courses!L38&lt;&gt;"",Courses!M38&lt;&gt;0,Courses!N38&lt;&gt;0,Courses!O38&lt;&gt;0,Courses!P38&lt;&gt;0,Courses!Q38&lt;&gt;0,Courses!R38&lt;&gt;0,Courses!S38&lt;&gt;0,Courses!T38&lt;&gt;0,Courses!U38&lt;&gt;0,Courses!V38&lt;&gt;0,Courses!W38&lt;&gt;0,Courses!X38&lt;&gt;0,Courses!Y38&lt;&gt;0,Courses!Z38&lt;&gt;0,Courses!AA38&lt;&gt;0)),"Row "&amp;Courses!A38&amp;" (none); ","")</f>
        <v/>
      </c>
      <c r="I44" s="17"/>
      <c r="K44" s="1592" t="str">
        <f>Courses!B38&amp;Courses!K38&amp;Courses!L38</f>
        <v/>
      </c>
      <c r="L44" s="1592" t="str">
        <f>IF(AND($P$9=1,Courses!$B38&lt;&gt;"",COUNTIF(Dummy,Courses!$C38)&lt;&gt;1),IF(SUMPRODUCT(--($K$20:$K$219=$K44))&gt;1,"Row "&amp;Courses!$A38&amp;"; ",""),"")</f>
        <v/>
      </c>
      <c r="N44" s="118"/>
      <c r="O44" s="1593" t="str">
        <f>IF(AND($Q$9=1,Courses!E38&lt;&gt;"",Courses!F38=""),"Row "&amp;Courses!A38&amp;", "&amp;Courses!$E$10&amp;"; ","")</f>
        <v/>
      </c>
      <c r="P44" t="str">
        <f>IF(AND($Q$9=1,Courses!G38&lt;&gt;"",Courses!H38=""),"Row "&amp;Courses!A38&amp;", "&amp;Courses!$G$10&amp;"; ","")</f>
        <v/>
      </c>
      <c r="Q44" s="183" t="str">
        <f>IF(AND($Q$9=1,Courses!I38&lt;&gt;"",Courses!J38=""),"Row "&amp;Courses!A38&amp;", "&amp;Courses!$I$10&amp;"; ","")</f>
        <v/>
      </c>
      <c r="S44" s="17"/>
      <c r="T44" s="118"/>
      <c r="U44" s="1594" t="str">
        <f>IF(AND($R$9=1,Courses!B38&lt;&gt;"",Courses!E38&lt;&gt;"",Courses!G38="",Courses!I38="",Courses!F38&lt;&gt;1),"Row "&amp;Courses!A38&amp;"; ","")</f>
        <v/>
      </c>
      <c r="V44" t="str">
        <f>IF(AND($R$9=1,Courses!B38&lt;&gt;"",Courses!I38="",Courses!F38&lt;&gt;"",Courses!G38&lt;&gt;"",Courses!H38&lt;&gt;""),IF(OR((Courses!F38+Courses!H38)&lt;&gt;1),"Row "&amp;Courses!A38&amp;"; ",""),"")</f>
        <v/>
      </c>
      <c r="W44" s="183" t="str">
        <f>IF(AND($R$9=1,Courses!B38&lt;&gt;"",Courses!I38&lt;&gt;"",Courses!J38&lt;&gt;"",Courses!H38&lt;&gt;"",Courses!G38&lt;&gt;"",Courses!F38&lt;&gt;""),IF(OR((Courses!F38+Courses!H38+Courses!J38)&lt;&gt;1),"Row "&amp;Courses!A38&amp;"; ",""),"")</f>
        <v/>
      </c>
      <c r="Y44" s="1592" t="str">
        <f>IF(AND($R$9=1,Courses!E38&lt;&gt;"",U44="",V44="",W44="",SUM(Courses!F38,Courses!H38,Courses!J38)&lt;&gt;1),"Row "&amp;Courses!A38&amp;"; ","")</f>
        <v/>
      </c>
      <c r="Z44" s="17"/>
      <c r="AB44" s="1593" t="str">
        <f>IF(AND($S$9=1,Courses!B38&lt;&gt;"",Courses!E38&lt;&gt;"",Courses!F38&lt;&gt;""),IF((TRUNC(Courses!F38*100)&lt;&gt;Courses!F38*100),"Row "&amp;Courses!A38&amp;", "&amp;Courses!$F$10&amp;"; ",""),"")</f>
        <v/>
      </c>
      <c r="AC44" t="str">
        <f>IF(AND($S$9=1,Courses!B38&lt;&gt;"",Courses!G38&lt;&gt;"",Courses!H38&lt;&gt;""),IF((TRUNC(Courses!H38*100)&lt;&gt;Courses!H38*100),"Row "&amp;Courses!A38&amp;", "&amp;Courses!$H$10&amp;"; ",""),"")</f>
        <v/>
      </c>
      <c r="AD44" s="183" t="str">
        <f>IF(AND($S$9=1,Courses!B38&lt;&gt;"",Courses!I38&lt;&gt;"",Courses!J38&lt;&gt;""),IF((TRUNC(Courses!J38*100)&lt;&gt;Courses!J38*100),"Row "&amp;Courses!A38&amp;", "&amp;Courses!$J$10&amp;"; ",""),"")</f>
        <v/>
      </c>
      <c r="AF44" s="118"/>
      <c r="AG44" s="1592" t="str">
        <f>IF(AND($T$9=1,G44="",Courses!B38&lt;&gt;"",Courses!K38&lt;&gt;$B$9,Courses!K38&lt;&gt;$B$10,Courses!K38&lt;&gt;$B$11,Courses!K38&lt;&gt;$B$12,Courses!K38&lt;&gt;$B$13,Courses!K38&lt;&gt;$B$14),"Row "&amp;Courses!A38&amp;"; ","")</f>
        <v/>
      </c>
      <c r="AH44" s="1592" t="str">
        <f>IF(AND($U$9=1,G44="",Courses!B38&lt;&gt;"",Courses!L38&lt;&gt;"Standard",Courses!L38&lt;&gt;"Long"),"Row "&amp;Courses!A38&amp;"; ","")</f>
        <v/>
      </c>
      <c r="AJ44" s="118"/>
      <c r="AK44" s="3">
        <v>25</v>
      </c>
      <c r="AL44" s="1593" t="str">
        <f>IF(AND($V$9=1,(TRUNC(Courses!M38)&lt;&gt;Courses!M38)), "Row "&amp;Courses!$A38&amp;", "&amp;AL$9&amp;", "&amp;AL$10&amp;", "&amp;AL$11&amp;"; ","")</f>
        <v/>
      </c>
      <c r="AM44" t="str">
        <f>IF(AND($V$9=1,(TRUNC(Courses!N38)&lt;&gt;Courses!N38)), "Row "&amp;Courses!$A38&amp;", "&amp;AM$9&amp;", "&amp;AM$10&amp;", "&amp;AM$11&amp;"; ","")</f>
        <v/>
      </c>
      <c r="AN44" t="str">
        <f>IF(AND($V$9=1,(TRUNC(Courses!O38)&lt;&gt;Courses!O38)), "Row "&amp;Courses!$A38&amp;", "&amp;AN$9&amp;", "&amp;AN$10&amp;", "&amp;AN$11&amp;"; ","")</f>
        <v/>
      </c>
      <c r="AO44" t="str">
        <f>IF(AND($V$9=1,(TRUNC(Courses!P38)&lt;&gt;Courses!P38)), "Row "&amp;Courses!$A38&amp;", "&amp;AO$9&amp;", "&amp;AO$10&amp;", "&amp;AO$11&amp;"; ","")</f>
        <v/>
      </c>
      <c r="AP44" s="2120" t="str">
        <f>IF(AND($V$9=1,(TRUNC(Courses!Q38)&lt;&gt;Courses!Q38)), "Row "&amp;Courses!$A38&amp;", "&amp;AP$9&amp;", "&amp;AP$10&amp;"; ","")</f>
        <v/>
      </c>
      <c r="AQ44" s="1593" t="str">
        <f>IF(AND($V$9=1,(TRUNC(Courses!R38)&lt;&gt;Courses!R38)), "Row "&amp;Courses!$A38&amp;", "&amp;AQ$9&amp;", "&amp;AQ$10&amp;", "&amp;AQ$11&amp;"; ","")</f>
        <v/>
      </c>
      <c r="AR44" t="str">
        <f>IF(AND($V$9=1,(TRUNC(Courses!S38)&lt;&gt;Courses!S38)), "Row "&amp;Courses!$A38&amp;", "&amp;AR$9&amp;", "&amp;AR$10&amp;", "&amp;AR$11&amp;"; ","")</f>
        <v/>
      </c>
      <c r="AS44" t="str">
        <f>IF(AND($V$9=1,(TRUNC(Courses!T38)&lt;&gt;Courses!T38)), "Row "&amp;Courses!$A38&amp;", "&amp;AS$9&amp;", "&amp;AS$10&amp;", "&amp;AS$11&amp;"; ","")</f>
        <v/>
      </c>
      <c r="AT44" t="str">
        <f>IF(AND($V$9=1,(TRUNC(Courses!U38)&lt;&gt;Courses!U38)), "Row "&amp;Courses!$A38&amp;", "&amp;AT$9&amp;", "&amp;AT$10&amp;", "&amp;AT$11&amp;"; ","")</f>
        <v/>
      </c>
      <c r="AU44" s="2120" t="str">
        <f>IF(AND($V$9=1,(TRUNC(Courses!V38)&lt;&gt;Courses!V38)), "Row "&amp;Courses!$A38&amp;", "&amp;AU$9&amp;", "&amp;AU$10&amp;"; ","")</f>
        <v/>
      </c>
      <c r="AV44" s="1593" t="str">
        <f>IF(AND($V$9=1,(TRUNC(Courses!W38)&lt;&gt;Courses!W38)), "Row "&amp;Courses!$A38&amp;", "&amp;AV$9&amp;", "&amp;AV$10&amp;", "&amp;AV$11&amp;"; ","")</f>
        <v/>
      </c>
      <c r="AW44" t="str">
        <f>IF(AND($V$9=1,(TRUNC(Courses!X38)&lt;&gt;Courses!X38)), "Row "&amp;Courses!$A38&amp;", "&amp;AW$9&amp;", "&amp;AW$10&amp;", "&amp;AW$11&amp;"; ","")</f>
        <v/>
      </c>
      <c r="AX44" t="str">
        <f>IF(AND($V$9=1,(TRUNC(Courses!Y38)&lt;&gt;Courses!Y38)), "Row "&amp;Courses!$A38&amp;", "&amp;AX$9&amp;", "&amp;AX$10&amp;", "&amp;AX$11&amp;"; ","")</f>
        <v/>
      </c>
      <c r="AY44" t="str">
        <f>IF(AND($V$9=1,(TRUNC(Courses!Z38)&lt;&gt;Courses!Z38)), "Row "&amp;Courses!$A38&amp;", "&amp;AY$9&amp;", "&amp;AY$10&amp;", "&amp;AY$11&amp;"; ","")</f>
        <v/>
      </c>
      <c r="AZ44" s="2120" t="str">
        <f>IF(AND($V$9=1,(TRUNC(Courses!AA38)&lt;&gt;Courses!AA38)), "Row "&amp;Courses!$A38&amp;", "&amp;AZ$9&amp;", "&amp;AZ$10&amp;"; ","")</f>
        <v/>
      </c>
      <c r="BA44" s="17"/>
      <c r="BB44" s="118"/>
      <c r="BC44" s="3">
        <v>25</v>
      </c>
      <c r="BD44" s="1593" t="str">
        <f>IF(AND($W$9=1,Courses!M38&lt;0), "Row "&amp;Courses!$A38&amp;", "&amp;BD$9&amp;", "&amp;BD$10&amp;", "&amp;BD$11&amp;"; ","")</f>
        <v/>
      </c>
      <c r="BE44" t="str">
        <f>IF(AND($W$9=1,Courses!N38&lt;0), "Row "&amp;Courses!$A38&amp;", "&amp;BE$9&amp;", "&amp;BE$10&amp;", "&amp;BE$11&amp;"; ","")</f>
        <v/>
      </c>
      <c r="BF44" t="str">
        <f>IF(AND($W$9=1,Courses!O38&lt;0), "Row "&amp;Courses!$A38&amp;", "&amp;BF$9&amp;", "&amp;BF$10&amp;", "&amp;BF$11&amp;"; ","")</f>
        <v/>
      </c>
      <c r="BG44" t="str">
        <f>IF(AND($W$9=1,Courses!P38&lt;0), "Row "&amp;Courses!$A38&amp;", "&amp;BG$9&amp;", "&amp;BG$10&amp;", "&amp;BG$11&amp;"; ","")</f>
        <v/>
      </c>
      <c r="BH44" s="2120" t="str">
        <f>IF(AND($W$9=1,Courses!Q38&lt;0), "Row "&amp;Courses!$A38&amp;", "&amp;BH$9&amp;", "&amp;BH$10&amp;"; ","")</f>
        <v/>
      </c>
      <c r="BI44" s="1593" t="str">
        <f>IF(AND($W$9=1,Courses!R38&lt;0), "Row "&amp;Courses!$A38&amp;", "&amp;BI$9&amp;", "&amp;BI$10&amp;", "&amp;BI$11&amp;"; ","")</f>
        <v/>
      </c>
      <c r="BJ44" t="str">
        <f>IF(AND($W$9=1,Courses!S38&lt;0), "Row "&amp;Courses!$A38&amp;", "&amp;BJ$9&amp;", "&amp;BJ$10&amp;", "&amp;BJ$11&amp;"; ","")</f>
        <v/>
      </c>
      <c r="BK44" t="str">
        <f>IF(AND($W$9=1,Courses!T38&lt;0), "Row "&amp;Courses!$A38&amp;", "&amp;BK$9&amp;", "&amp;BK$10&amp;", "&amp;BK$11&amp;"; ","")</f>
        <v/>
      </c>
      <c r="BL44" t="str">
        <f>IF(AND($W$9=1,Courses!U38&lt;0), "Row "&amp;Courses!$A38&amp;", "&amp;BL$9&amp;", "&amp;BL$10&amp;", "&amp;BL$11&amp;"; ","")</f>
        <v/>
      </c>
      <c r="BM44" s="2120" t="str">
        <f>IF(AND($W$9=1,Courses!V38&lt;0), "Row "&amp;Courses!$A38&amp;", "&amp;BM$9&amp;", "&amp;BM$10&amp;"; ","")</f>
        <v/>
      </c>
      <c r="BN44" s="1593" t="str">
        <f>IF(AND($W$9=1,Courses!W38&lt;0), "Row "&amp;Courses!$A38&amp;", "&amp;BN$9&amp;", "&amp;BN$10&amp;", "&amp;BN$11&amp;"; ","")</f>
        <v/>
      </c>
      <c r="BO44" t="str">
        <f>IF(AND($W$9=1,Courses!X38&lt;0), "Row "&amp;Courses!$A38&amp;", "&amp;BO$9&amp;", "&amp;BO$10&amp;", "&amp;BO$11&amp;"; ","")</f>
        <v/>
      </c>
      <c r="BP44" t="str">
        <f>IF(AND($W$9=1,Courses!Y38&lt;0), "Row "&amp;Courses!$A38&amp;", "&amp;BP$9&amp;", "&amp;BP$10&amp;", "&amp;BP$11&amp;"; ","")</f>
        <v/>
      </c>
      <c r="BQ44" t="str">
        <f>IF(AND($W$9=1,Courses!Z38&lt;0), "Row "&amp;Courses!$A38&amp;", "&amp;BQ$9&amp;", "&amp;BQ$10&amp;", "&amp;BQ$11&amp;"; ","")</f>
        <v/>
      </c>
      <c r="BR44" s="2120" t="str">
        <f>IF(AND($W$9=1,Courses!AA38&lt;0), "Row "&amp;Courses!$A38&amp;", "&amp;BR$9&amp;", "&amp;BR$10&amp;"; ","")</f>
        <v/>
      </c>
      <c r="BT44" s="186">
        <v>25</v>
      </c>
      <c r="BU44" s="40">
        <f>IF(AND($X$9=1,Courses!B38="",Courses!F38="",Courses!H38="",Courses!J38="",Courses!K38="",Courses!L38="",Courses!M38=0,Courses!N38=0,Courses!O38=0,Courses!P38=0,Courses!Q38=0,Courses!R38=0,Courses!S38=0,Courses!T38=0,Courses!U38=0,Courses!V38=0,Courses!W38=0,Courses!X38=0,Courses!Y38=0,Courses!Z38=0,Courses!AA38=0),0,1)</f>
        <v>0</v>
      </c>
      <c r="BV44" s="40">
        <f>IF(AND(BU44=0,SUM(BU45:$BU$219)&gt;0),1,0)</f>
        <v>0</v>
      </c>
      <c r="BW44" s="1595" t="str">
        <f>IF(BV44=1,"Row "&amp;Courses!A38&amp;"; ","")</f>
        <v/>
      </c>
      <c r="BX44" s="17"/>
      <c r="BZ44" s="1592" t="str">
        <f>IF(AND($Y$9=1,Courses!B38&lt;&gt;"",SUM(Courses!M38:AA38)=0),"Row "&amp;Courses!A38&amp;"; ","")</f>
        <v/>
      </c>
      <c r="CA44" s="17"/>
      <c r="CC44" s="1592" t="str">
        <f>IF(AND($Z$9=1,Courses!AD38=1,(LEN(Courses!AB38)&gt;200)),"Row "&amp;Courses!A38&amp;"; ","")</f>
        <v/>
      </c>
      <c r="CE44" s="131"/>
      <c r="CG44" s="1593" t="str">
        <f>IF(AND($AD$9=1,Courses!E38&lt;&gt;"",Courses!F38&lt;&gt;"",Courses!F38=0,SUM(Courses!H38,Courses!J38)=1),"Row "&amp;Courses!A38&amp;", "&amp;Courses!$F$10&amp;"; ","")</f>
        <v/>
      </c>
      <c r="CH44" t="str">
        <f>IF(AND($AD$9=1,Courses!G38&lt;&gt;"",Courses!H38&lt;&gt;"",Courses!H38=0,SUM(Courses!J38,Courses!F38)=1),"Row "&amp;Courses!A38&amp;", "&amp;Courses!$H$10&amp;"; ","")</f>
        <v/>
      </c>
      <c r="CI44" s="183" t="str">
        <f>IF(AND($AD$9=1,Courses!I38&lt;&gt;"",Courses!J38&lt;&gt;"",Courses!J38=0, SUM(Courses!H38,Courses!F38)=1),"Row "&amp;Courses!A38&amp;", "&amp;Courses!$J$10&amp;"; ","")</f>
        <v/>
      </c>
      <c r="CJ44" s="180"/>
      <c r="CK44" s="181"/>
      <c r="CL44" s="1592" t="str">
        <f>IF(AND(Courses!B38&lt;&gt;"",ISNA(VLOOKUP(Courses!C38,CourseInfo,2,FALSE))=FALSE,COUNTIF(Dummy,Courses!C38)&lt;&gt;1),VLOOKUP(Courses!C38,CourseInfo,6,FALSE),"")</f>
        <v/>
      </c>
      <c r="CM44" s="1592" t="str">
        <f>IF(AND($AE$9=1,Courses!B38&lt;&gt;"",'Courses Valid'!AG44="",COUNTIF(Dummy,Courses!C38)&lt;&gt;1),IF(Courses!K38&lt;&gt;'Courses Valid'!CL44,"Row "&amp;Courses!A38&amp;", Level on LARS is "&amp;'Courses Valid'!CL44&amp;"; ",""),"")</f>
        <v/>
      </c>
      <c r="CN44" s="131"/>
    </row>
    <row r="45" spans="3:92" x14ac:dyDescent="0.35">
      <c r="C45" s="1591">
        <f t="shared" si="2"/>
        <v>0</v>
      </c>
      <c r="D45" s="41"/>
      <c r="E45" s="41"/>
      <c r="F45" s="118"/>
      <c r="G45" s="1591" t="str">
        <f>IF(SUMPRODUCT(--(CourseAims=Courses!$C39))=1,"",IF(AND($N$9=1,Courses!$C39&lt;&gt;""),"Row "&amp;Courses!A39&amp;" (invalid); ",""))</f>
        <v/>
      </c>
      <c r="H45" s="1592" t="str">
        <f>IF(AND($O$9=1,Courses!B39="",OR(Courses!F39&lt;&gt;"",Courses!H39&lt;&gt;"",Courses!J39&lt;&gt;"",Courses!K39&lt;&gt;"",Courses!L39&lt;&gt;"",Courses!M39&lt;&gt;0,Courses!N39&lt;&gt;0,Courses!O39&lt;&gt;0,Courses!P39&lt;&gt;0,Courses!Q39&lt;&gt;0,Courses!R39&lt;&gt;0,Courses!S39&lt;&gt;0,Courses!T39&lt;&gt;0,Courses!U39&lt;&gt;0,Courses!V39&lt;&gt;0,Courses!W39&lt;&gt;0,Courses!X39&lt;&gt;0,Courses!Y39&lt;&gt;0,Courses!Z39&lt;&gt;0,Courses!AA39&lt;&gt;0)),"Row "&amp;Courses!A39&amp;" (none); ","")</f>
        <v/>
      </c>
      <c r="I45" s="17"/>
      <c r="K45" s="1592" t="str">
        <f>Courses!B39&amp;Courses!K39&amp;Courses!L39</f>
        <v/>
      </c>
      <c r="L45" s="1592" t="str">
        <f>IF(AND($P$9=1,Courses!$B39&lt;&gt;"",COUNTIF(Dummy,Courses!$C39)&lt;&gt;1),IF(SUMPRODUCT(--($K$20:$K$219=$K45))&gt;1,"Row "&amp;Courses!$A39&amp;"; ",""),"")</f>
        <v/>
      </c>
      <c r="N45" s="118"/>
      <c r="O45" s="1593" t="str">
        <f>IF(AND($Q$9=1,Courses!E39&lt;&gt;"",Courses!F39=""),"Row "&amp;Courses!A39&amp;", "&amp;Courses!$E$10&amp;"; ","")</f>
        <v/>
      </c>
      <c r="P45" t="str">
        <f>IF(AND($Q$9=1,Courses!G39&lt;&gt;"",Courses!H39=""),"Row "&amp;Courses!A39&amp;", "&amp;Courses!$G$10&amp;"; ","")</f>
        <v/>
      </c>
      <c r="Q45" s="183" t="str">
        <f>IF(AND($Q$9=1,Courses!I39&lt;&gt;"",Courses!J39=""),"Row "&amp;Courses!A39&amp;", "&amp;Courses!$I$10&amp;"; ","")</f>
        <v/>
      </c>
      <c r="S45" s="17"/>
      <c r="T45" s="118"/>
      <c r="U45" s="1594" t="str">
        <f>IF(AND($R$9=1,Courses!B39&lt;&gt;"",Courses!E39&lt;&gt;"",Courses!G39="",Courses!I39="",Courses!F39&lt;&gt;1),"Row "&amp;Courses!A39&amp;"; ","")</f>
        <v/>
      </c>
      <c r="V45" t="str">
        <f>IF(AND($R$9=1,Courses!B39&lt;&gt;"",Courses!I39="",Courses!F39&lt;&gt;"",Courses!G39&lt;&gt;"",Courses!H39&lt;&gt;""),IF(OR((Courses!F39+Courses!H39)&lt;&gt;1),"Row "&amp;Courses!A39&amp;"; ",""),"")</f>
        <v/>
      </c>
      <c r="W45" s="183" t="str">
        <f>IF(AND($R$9=1,Courses!B39&lt;&gt;"",Courses!I39&lt;&gt;"",Courses!J39&lt;&gt;"",Courses!H39&lt;&gt;"",Courses!G39&lt;&gt;"",Courses!F39&lt;&gt;""),IF(OR((Courses!F39+Courses!H39+Courses!J39)&lt;&gt;1),"Row "&amp;Courses!A39&amp;"; ",""),"")</f>
        <v/>
      </c>
      <c r="Y45" s="1592" t="str">
        <f>IF(AND($R$9=1,Courses!E39&lt;&gt;"",U45="",V45="",W45="",SUM(Courses!F39,Courses!H39,Courses!J39)&lt;&gt;1),"Row "&amp;Courses!A39&amp;"; ","")</f>
        <v/>
      </c>
      <c r="Z45" s="17"/>
      <c r="AB45" s="1593" t="str">
        <f>IF(AND($S$9=1,Courses!B39&lt;&gt;"",Courses!E39&lt;&gt;"",Courses!F39&lt;&gt;""),IF((TRUNC(Courses!F39*100)&lt;&gt;Courses!F39*100),"Row "&amp;Courses!A39&amp;", "&amp;Courses!$F$10&amp;"; ",""),"")</f>
        <v/>
      </c>
      <c r="AC45" t="str">
        <f>IF(AND($S$9=1,Courses!B39&lt;&gt;"",Courses!G39&lt;&gt;"",Courses!H39&lt;&gt;""),IF((TRUNC(Courses!H39*100)&lt;&gt;Courses!H39*100),"Row "&amp;Courses!A39&amp;", "&amp;Courses!$H$10&amp;"; ",""),"")</f>
        <v/>
      </c>
      <c r="AD45" s="183" t="str">
        <f>IF(AND($S$9=1,Courses!B39&lt;&gt;"",Courses!I39&lt;&gt;"",Courses!J39&lt;&gt;""),IF((TRUNC(Courses!J39*100)&lt;&gt;Courses!J39*100),"Row "&amp;Courses!A39&amp;", "&amp;Courses!$J$10&amp;"; ",""),"")</f>
        <v/>
      </c>
      <c r="AF45" s="118"/>
      <c r="AG45" s="1592" t="str">
        <f>IF(AND($T$9=1,G45="",Courses!B39&lt;&gt;"",Courses!K39&lt;&gt;$B$9,Courses!K39&lt;&gt;$B$10,Courses!K39&lt;&gt;$B$11,Courses!K39&lt;&gt;$B$12,Courses!K39&lt;&gt;$B$13,Courses!K39&lt;&gt;$B$14),"Row "&amp;Courses!A39&amp;"; ","")</f>
        <v/>
      </c>
      <c r="AH45" s="1592" t="str">
        <f>IF(AND($U$9=1,G45="",Courses!B39&lt;&gt;"",Courses!L39&lt;&gt;"Standard",Courses!L39&lt;&gt;"Long"),"Row "&amp;Courses!A39&amp;"; ","")</f>
        <v/>
      </c>
      <c r="AJ45" s="118"/>
      <c r="AK45" s="3">
        <v>26</v>
      </c>
      <c r="AL45" s="1593" t="str">
        <f>IF(AND($V$9=1,(TRUNC(Courses!M39)&lt;&gt;Courses!M39)), "Row "&amp;Courses!$A39&amp;", "&amp;AL$9&amp;", "&amp;AL$10&amp;", "&amp;AL$11&amp;"; ","")</f>
        <v/>
      </c>
      <c r="AM45" t="str">
        <f>IF(AND($V$9=1,(TRUNC(Courses!N39)&lt;&gt;Courses!N39)), "Row "&amp;Courses!$A39&amp;", "&amp;AM$9&amp;", "&amp;AM$10&amp;", "&amp;AM$11&amp;"; ","")</f>
        <v/>
      </c>
      <c r="AN45" t="str">
        <f>IF(AND($V$9=1,(TRUNC(Courses!O39)&lt;&gt;Courses!O39)), "Row "&amp;Courses!$A39&amp;", "&amp;AN$9&amp;", "&amp;AN$10&amp;", "&amp;AN$11&amp;"; ","")</f>
        <v/>
      </c>
      <c r="AO45" t="str">
        <f>IF(AND($V$9=1,(TRUNC(Courses!P39)&lt;&gt;Courses!P39)), "Row "&amp;Courses!$A39&amp;", "&amp;AO$9&amp;", "&amp;AO$10&amp;", "&amp;AO$11&amp;"; ","")</f>
        <v/>
      </c>
      <c r="AP45" s="2120" t="str">
        <f>IF(AND($V$9=1,(TRUNC(Courses!Q39)&lt;&gt;Courses!Q39)), "Row "&amp;Courses!$A39&amp;", "&amp;AP$9&amp;", "&amp;AP$10&amp;"; ","")</f>
        <v/>
      </c>
      <c r="AQ45" s="1593" t="str">
        <f>IF(AND($V$9=1,(TRUNC(Courses!R39)&lt;&gt;Courses!R39)), "Row "&amp;Courses!$A39&amp;", "&amp;AQ$9&amp;", "&amp;AQ$10&amp;", "&amp;AQ$11&amp;"; ","")</f>
        <v/>
      </c>
      <c r="AR45" t="str">
        <f>IF(AND($V$9=1,(TRUNC(Courses!S39)&lt;&gt;Courses!S39)), "Row "&amp;Courses!$A39&amp;", "&amp;AR$9&amp;", "&amp;AR$10&amp;", "&amp;AR$11&amp;"; ","")</f>
        <v/>
      </c>
      <c r="AS45" t="str">
        <f>IF(AND($V$9=1,(TRUNC(Courses!T39)&lt;&gt;Courses!T39)), "Row "&amp;Courses!$A39&amp;", "&amp;AS$9&amp;", "&amp;AS$10&amp;", "&amp;AS$11&amp;"; ","")</f>
        <v/>
      </c>
      <c r="AT45" t="str">
        <f>IF(AND($V$9=1,(TRUNC(Courses!U39)&lt;&gt;Courses!U39)), "Row "&amp;Courses!$A39&amp;", "&amp;AT$9&amp;", "&amp;AT$10&amp;", "&amp;AT$11&amp;"; ","")</f>
        <v/>
      </c>
      <c r="AU45" s="2120" t="str">
        <f>IF(AND($V$9=1,(TRUNC(Courses!V39)&lt;&gt;Courses!V39)), "Row "&amp;Courses!$A39&amp;", "&amp;AU$9&amp;", "&amp;AU$10&amp;"; ","")</f>
        <v/>
      </c>
      <c r="AV45" s="1593" t="str">
        <f>IF(AND($V$9=1,(TRUNC(Courses!W39)&lt;&gt;Courses!W39)), "Row "&amp;Courses!$A39&amp;", "&amp;AV$9&amp;", "&amp;AV$10&amp;", "&amp;AV$11&amp;"; ","")</f>
        <v/>
      </c>
      <c r="AW45" t="str">
        <f>IF(AND($V$9=1,(TRUNC(Courses!X39)&lt;&gt;Courses!X39)), "Row "&amp;Courses!$A39&amp;", "&amp;AW$9&amp;", "&amp;AW$10&amp;", "&amp;AW$11&amp;"; ","")</f>
        <v/>
      </c>
      <c r="AX45" t="str">
        <f>IF(AND($V$9=1,(TRUNC(Courses!Y39)&lt;&gt;Courses!Y39)), "Row "&amp;Courses!$A39&amp;", "&amp;AX$9&amp;", "&amp;AX$10&amp;", "&amp;AX$11&amp;"; ","")</f>
        <v/>
      </c>
      <c r="AY45" t="str">
        <f>IF(AND($V$9=1,(TRUNC(Courses!Z39)&lt;&gt;Courses!Z39)), "Row "&amp;Courses!$A39&amp;", "&amp;AY$9&amp;", "&amp;AY$10&amp;", "&amp;AY$11&amp;"; ","")</f>
        <v/>
      </c>
      <c r="AZ45" s="2120" t="str">
        <f>IF(AND($V$9=1,(TRUNC(Courses!AA39)&lt;&gt;Courses!AA39)), "Row "&amp;Courses!$A39&amp;", "&amp;AZ$9&amp;", "&amp;AZ$10&amp;"; ","")</f>
        <v/>
      </c>
      <c r="BA45" s="17"/>
      <c r="BB45" s="118"/>
      <c r="BC45" s="3">
        <v>26</v>
      </c>
      <c r="BD45" s="1593" t="str">
        <f>IF(AND($W$9=1,Courses!M39&lt;0), "Row "&amp;Courses!$A39&amp;", "&amp;BD$9&amp;", "&amp;BD$10&amp;", "&amp;BD$11&amp;"; ","")</f>
        <v/>
      </c>
      <c r="BE45" t="str">
        <f>IF(AND($W$9=1,Courses!N39&lt;0), "Row "&amp;Courses!$A39&amp;", "&amp;BE$9&amp;", "&amp;BE$10&amp;", "&amp;BE$11&amp;"; ","")</f>
        <v/>
      </c>
      <c r="BF45" t="str">
        <f>IF(AND($W$9=1,Courses!O39&lt;0), "Row "&amp;Courses!$A39&amp;", "&amp;BF$9&amp;", "&amp;BF$10&amp;", "&amp;BF$11&amp;"; ","")</f>
        <v/>
      </c>
      <c r="BG45" t="str">
        <f>IF(AND($W$9=1,Courses!P39&lt;0), "Row "&amp;Courses!$A39&amp;", "&amp;BG$9&amp;", "&amp;BG$10&amp;", "&amp;BG$11&amp;"; ","")</f>
        <v/>
      </c>
      <c r="BH45" s="2120" t="str">
        <f>IF(AND($W$9=1,Courses!Q39&lt;0), "Row "&amp;Courses!$A39&amp;", "&amp;BH$9&amp;", "&amp;BH$10&amp;"; ","")</f>
        <v/>
      </c>
      <c r="BI45" s="1593" t="str">
        <f>IF(AND($W$9=1,Courses!R39&lt;0), "Row "&amp;Courses!$A39&amp;", "&amp;BI$9&amp;", "&amp;BI$10&amp;", "&amp;BI$11&amp;"; ","")</f>
        <v/>
      </c>
      <c r="BJ45" t="str">
        <f>IF(AND($W$9=1,Courses!S39&lt;0), "Row "&amp;Courses!$A39&amp;", "&amp;BJ$9&amp;", "&amp;BJ$10&amp;", "&amp;BJ$11&amp;"; ","")</f>
        <v/>
      </c>
      <c r="BK45" t="str">
        <f>IF(AND($W$9=1,Courses!T39&lt;0), "Row "&amp;Courses!$A39&amp;", "&amp;BK$9&amp;", "&amp;BK$10&amp;", "&amp;BK$11&amp;"; ","")</f>
        <v/>
      </c>
      <c r="BL45" t="str">
        <f>IF(AND($W$9=1,Courses!U39&lt;0), "Row "&amp;Courses!$A39&amp;", "&amp;BL$9&amp;", "&amp;BL$10&amp;", "&amp;BL$11&amp;"; ","")</f>
        <v/>
      </c>
      <c r="BM45" s="2120" t="str">
        <f>IF(AND($W$9=1,Courses!V39&lt;0), "Row "&amp;Courses!$A39&amp;", "&amp;BM$9&amp;", "&amp;BM$10&amp;"; ","")</f>
        <v/>
      </c>
      <c r="BN45" s="1593" t="str">
        <f>IF(AND($W$9=1,Courses!W39&lt;0), "Row "&amp;Courses!$A39&amp;", "&amp;BN$9&amp;", "&amp;BN$10&amp;", "&amp;BN$11&amp;"; ","")</f>
        <v/>
      </c>
      <c r="BO45" t="str">
        <f>IF(AND($W$9=1,Courses!X39&lt;0), "Row "&amp;Courses!$A39&amp;", "&amp;BO$9&amp;", "&amp;BO$10&amp;", "&amp;BO$11&amp;"; ","")</f>
        <v/>
      </c>
      <c r="BP45" t="str">
        <f>IF(AND($W$9=1,Courses!Y39&lt;0), "Row "&amp;Courses!$A39&amp;", "&amp;BP$9&amp;", "&amp;BP$10&amp;", "&amp;BP$11&amp;"; ","")</f>
        <v/>
      </c>
      <c r="BQ45" t="str">
        <f>IF(AND($W$9=1,Courses!Z39&lt;0), "Row "&amp;Courses!$A39&amp;", "&amp;BQ$9&amp;", "&amp;BQ$10&amp;", "&amp;BQ$11&amp;"; ","")</f>
        <v/>
      </c>
      <c r="BR45" s="2120" t="str">
        <f>IF(AND($W$9=1,Courses!AA39&lt;0), "Row "&amp;Courses!$A39&amp;", "&amp;BR$9&amp;", "&amp;BR$10&amp;"; ","")</f>
        <v/>
      </c>
      <c r="BT45" s="186">
        <v>26</v>
      </c>
      <c r="BU45" s="40">
        <f>IF(AND($X$9=1,Courses!B39="",Courses!F39="",Courses!H39="",Courses!J39="",Courses!K39="",Courses!L39="",Courses!M39=0,Courses!N39=0,Courses!O39=0,Courses!P39=0,Courses!Q39=0,Courses!R39=0,Courses!S39=0,Courses!T39=0,Courses!U39=0,Courses!V39=0,Courses!W39=0,Courses!X39=0,Courses!Y39=0,Courses!Z39=0,Courses!AA39=0),0,1)</f>
        <v>0</v>
      </c>
      <c r="BV45" s="40">
        <f>IF(AND(BU45=0,SUM(BU46:$BU$219)&gt;0),1,0)</f>
        <v>0</v>
      </c>
      <c r="BW45" s="1595" t="str">
        <f>IF(BV45=1,"Row "&amp;Courses!A39&amp;"; ","")</f>
        <v/>
      </c>
      <c r="BX45" s="17"/>
      <c r="BZ45" s="1592" t="str">
        <f>IF(AND($Y$9=1,Courses!B39&lt;&gt;"",SUM(Courses!M39:AA39)=0),"Row "&amp;Courses!A39&amp;"; ","")</f>
        <v/>
      </c>
      <c r="CA45" s="17"/>
      <c r="CC45" s="1592" t="str">
        <f>IF(AND($Z$9=1,Courses!AD39=1,(LEN(Courses!AB39)&gt;200)),"Row "&amp;Courses!A39&amp;"; ","")</f>
        <v/>
      </c>
      <c r="CE45" s="131"/>
      <c r="CG45" s="1593" t="str">
        <f>IF(AND($AD$9=1,Courses!E39&lt;&gt;"",Courses!F39&lt;&gt;"",Courses!F39=0,SUM(Courses!H39,Courses!J39)=1),"Row "&amp;Courses!A39&amp;", "&amp;Courses!$F$10&amp;"; ","")</f>
        <v/>
      </c>
      <c r="CH45" t="str">
        <f>IF(AND($AD$9=1,Courses!G39&lt;&gt;"",Courses!H39&lt;&gt;"",Courses!H39=0,SUM(Courses!J39,Courses!F39)=1),"Row "&amp;Courses!A39&amp;", "&amp;Courses!$H$10&amp;"; ","")</f>
        <v/>
      </c>
      <c r="CI45" s="183" t="str">
        <f>IF(AND($AD$9=1,Courses!I39&lt;&gt;"",Courses!J39&lt;&gt;"",Courses!J39=0, SUM(Courses!H39,Courses!F39)=1),"Row "&amp;Courses!A39&amp;", "&amp;Courses!$J$10&amp;"; ","")</f>
        <v/>
      </c>
      <c r="CJ45" s="180"/>
      <c r="CK45" s="181"/>
      <c r="CL45" s="1592" t="str">
        <f>IF(AND(Courses!B39&lt;&gt;"",ISNA(VLOOKUP(Courses!C39,CourseInfo,2,FALSE))=FALSE,COUNTIF(Dummy,Courses!C39)&lt;&gt;1),VLOOKUP(Courses!C39,CourseInfo,6,FALSE),"")</f>
        <v/>
      </c>
      <c r="CM45" s="1592" t="str">
        <f>IF(AND($AE$9=1,Courses!B39&lt;&gt;"",'Courses Valid'!AG45="",COUNTIF(Dummy,Courses!C39)&lt;&gt;1),IF(Courses!K39&lt;&gt;'Courses Valid'!CL45,"Row "&amp;Courses!A39&amp;", Level on LARS is "&amp;'Courses Valid'!CL45&amp;"; ",""),"")</f>
        <v/>
      </c>
      <c r="CN45" s="131"/>
    </row>
    <row r="46" spans="3:92" x14ac:dyDescent="0.35">
      <c r="C46" s="1591">
        <f t="shared" si="2"/>
        <v>0</v>
      </c>
      <c r="D46" s="41"/>
      <c r="E46" s="41"/>
      <c r="F46" s="118"/>
      <c r="G46" s="1591" t="str">
        <f>IF(SUMPRODUCT(--(CourseAims=Courses!$C40))=1,"",IF(AND($N$9=1,Courses!$C40&lt;&gt;""),"Row "&amp;Courses!A40&amp;" (invalid); ",""))</f>
        <v/>
      </c>
      <c r="H46" s="1592" t="str">
        <f>IF(AND($O$9=1,Courses!B40="",OR(Courses!F40&lt;&gt;"",Courses!H40&lt;&gt;"",Courses!J40&lt;&gt;"",Courses!K40&lt;&gt;"",Courses!L40&lt;&gt;"",Courses!M40&lt;&gt;0,Courses!N40&lt;&gt;0,Courses!O40&lt;&gt;0,Courses!P40&lt;&gt;0,Courses!Q40&lt;&gt;0,Courses!R40&lt;&gt;0,Courses!S40&lt;&gt;0,Courses!T40&lt;&gt;0,Courses!U40&lt;&gt;0,Courses!V40&lt;&gt;0,Courses!W40&lt;&gt;0,Courses!X40&lt;&gt;0,Courses!Y40&lt;&gt;0,Courses!Z40&lt;&gt;0,Courses!AA40&lt;&gt;0)),"Row "&amp;Courses!A40&amp;" (none); ","")</f>
        <v/>
      </c>
      <c r="I46" s="17"/>
      <c r="K46" s="1592" t="str">
        <f>Courses!B40&amp;Courses!K40&amp;Courses!L40</f>
        <v/>
      </c>
      <c r="L46" s="1592" t="str">
        <f>IF(AND($P$9=1,Courses!$B40&lt;&gt;"",COUNTIF(Dummy,Courses!$C40)&lt;&gt;1),IF(SUMPRODUCT(--($K$20:$K$219=$K46))&gt;1,"Row "&amp;Courses!$A40&amp;"; ",""),"")</f>
        <v/>
      </c>
      <c r="N46" s="118"/>
      <c r="O46" s="1593" t="str">
        <f>IF(AND($Q$9=1,Courses!E40&lt;&gt;"",Courses!F40=""),"Row "&amp;Courses!A40&amp;", "&amp;Courses!$E$10&amp;"; ","")</f>
        <v/>
      </c>
      <c r="P46" t="str">
        <f>IF(AND($Q$9=1,Courses!G40&lt;&gt;"",Courses!H40=""),"Row "&amp;Courses!A40&amp;", "&amp;Courses!$G$10&amp;"; ","")</f>
        <v/>
      </c>
      <c r="Q46" s="183" t="str">
        <f>IF(AND($Q$9=1,Courses!I40&lt;&gt;"",Courses!J40=""),"Row "&amp;Courses!A40&amp;", "&amp;Courses!$I$10&amp;"; ","")</f>
        <v/>
      </c>
      <c r="S46" s="17"/>
      <c r="T46" s="118"/>
      <c r="U46" s="1594" t="str">
        <f>IF(AND($R$9=1,Courses!B40&lt;&gt;"",Courses!E40&lt;&gt;"",Courses!G40="",Courses!I40="",Courses!F40&lt;&gt;1),"Row "&amp;Courses!A40&amp;"; ","")</f>
        <v/>
      </c>
      <c r="V46" t="str">
        <f>IF(AND($R$9=1,Courses!B40&lt;&gt;"",Courses!I40="",Courses!F40&lt;&gt;"",Courses!G40&lt;&gt;"",Courses!H40&lt;&gt;""),IF(OR((Courses!F40+Courses!H40)&lt;&gt;1),"Row "&amp;Courses!A40&amp;"; ",""),"")</f>
        <v/>
      </c>
      <c r="W46" s="183" t="str">
        <f>IF(AND($R$9=1,Courses!B40&lt;&gt;"",Courses!I40&lt;&gt;"",Courses!J40&lt;&gt;"",Courses!H40&lt;&gt;"",Courses!G40&lt;&gt;"",Courses!F40&lt;&gt;""),IF(OR((Courses!F40+Courses!H40+Courses!J40)&lt;&gt;1),"Row "&amp;Courses!A40&amp;"; ",""),"")</f>
        <v/>
      </c>
      <c r="Y46" s="1592" t="str">
        <f>IF(AND($R$9=1,Courses!E40&lt;&gt;"",U46="",V46="",W46="",SUM(Courses!F40,Courses!H40,Courses!J40)&lt;&gt;1),"Row "&amp;Courses!A40&amp;"; ","")</f>
        <v/>
      </c>
      <c r="Z46" s="17"/>
      <c r="AB46" s="1593" t="str">
        <f>IF(AND($S$9=1,Courses!B40&lt;&gt;"",Courses!E40&lt;&gt;"",Courses!F40&lt;&gt;""),IF((TRUNC(Courses!F40*100)&lt;&gt;Courses!F40*100),"Row "&amp;Courses!A40&amp;", "&amp;Courses!$F$10&amp;"; ",""),"")</f>
        <v/>
      </c>
      <c r="AC46" t="str">
        <f>IF(AND($S$9=1,Courses!B40&lt;&gt;"",Courses!G40&lt;&gt;"",Courses!H40&lt;&gt;""),IF((TRUNC(Courses!H40*100)&lt;&gt;Courses!H40*100),"Row "&amp;Courses!A40&amp;", "&amp;Courses!$H$10&amp;"; ",""),"")</f>
        <v/>
      </c>
      <c r="AD46" s="183" t="str">
        <f>IF(AND($S$9=1,Courses!B40&lt;&gt;"",Courses!I40&lt;&gt;"",Courses!J40&lt;&gt;""),IF((TRUNC(Courses!J40*100)&lt;&gt;Courses!J40*100),"Row "&amp;Courses!A40&amp;", "&amp;Courses!$J$10&amp;"; ",""),"")</f>
        <v/>
      </c>
      <c r="AF46" s="118"/>
      <c r="AG46" s="1592" t="str">
        <f>IF(AND($T$9=1,G46="",Courses!B40&lt;&gt;"",Courses!K40&lt;&gt;$B$9,Courses!K40&lt;&gt;$B$10,Courses!K40&lt;&gt;$B$11,Courses!K40&lt;&gt;$B$12,Courses!K40&lt;&gt;$B$13,Courses!K40&lt;&gt;$B$14),"Row "&amp;Courses!A40&amp;"; ","")</f>
        <v/>
      </c>
      <c r="AH46" s="1592" t="str">
        <f>IF(AND($U$9=1,G46="",Courses!B40&lt;&gt;"",Courses!L40&lt;&gt;"Standard",Courses!L40&lt;&gt;"Long"),"Row "&amp;Courses!A40&amp;"; ","")</f>
        <v/>
      </c>
      <c r="AJ46" s="118"/>
      <c r="AK46" s="3">
        <v>27</v>
      </c>
      <c r="AL46" s="1593" t="str">
        <f>IF(AND($V$9=1,(TRUNC(Courses!M40)&lt;&gt;Courses!M40)), "Row "&amp;Courses!$A40&amp;", "&amp;AL$9&amp;", "&amp;AL$10&amp;", "&amp;AL$11&amp;"; ","")</f>
        <v/>
      </c>
      <c r="AM46" t="str">
        <f>IF(AND($V$9=1,(TRUNC(Courses!N40)&lt;&gt;Courses!N40)), "Row "&amp;Courses!$A40&amp;", "&amp;AM$9&amp;", "&amp;AM$10&amp;", "&amp;AM$11&amp;"; ","")</f>
        <v/>
      </c>
      <c r="AN46" t="str">
        <f>IF(AND($V$9=1,(TRUNC(Courses!O40)&lt;&gt;Courses!O40)), "Row "&amp;Courses!$A40&amp;", "&amp;AN$9&amp;", "&amp;AN$10&amp;", "&amp;AN$11&amp;"; ","")</f>
        <v/>
      </c>
      <c r="AO46" t="str">
        <f>IF(AND($V$9=1,(TRUNC(Courses!P40)&lt;&gt;Courses!P40)), "Row "&amp;Courses!$A40&amp;", "&amp;AO$9&amp;", "&amp;AO$10&amp;", "&amp;AO$11&amp;"; ","")</f>
        <v/>
      </c>
      <c r="AP46" s="2120" t="str">
        <f>IF(AND($V$9=1,(TRUNC(Courses!Q40)&lt;&gt;Courses!Q40)), "Row "&amp;Courses!$A40&amp;", "&amp;AP$9&amp;", "&amp;AP$10&amp;"; ","")</f>
        <v/>
      </c>
      <c r="AQ46" s="1593" t="str">
        <f>IF(AND($V$9=1,(TRUNC(Courses!R40)&lt;&gt;Courses!R40)), "Row "&amp;Courses!$A40&amp;", "&amp;AQ$9&amp;", "&amp;AQ$10&amp;", "&amp;AQ$11&amp;"; ","")</f>
        <v/>
      </c>
      <c r="AR46" t="str">
        <f>IF(AND($V$9=1,(TRUNC(Courses!S40)&lt;&gt;Courses!S40)), "Row "&amp;Courses!$A40&amp;", "&amp;AR$9&amp;", "&amp;AR$10&amp;", "&amp;AR$11&amp;"; ","")</f>
        <v/>
      </c>
      <c r="AS46" t="str">
        <f>IF(AND($V$9=1,(TRUNC(Courses!T40)&lt;&gt;Courses!T40)), "Row "&amp;Courses!$A40&amp;", "&amp;AS$9&amp;", "&amp;AS$10&amp;", "&amp;AS$11&amp;"; ","")</f>
        <v/>
      </c>
      <c r="AT46" t="str">
        <f>IF(AND($V$9=1,(TRUNC(Courses!U40)&lt;&gt;Courses!U40)), "Row "&amp;Courses!$A40&amp;", "&amp;AT$9&amp;", "&amp;AT$10&amp;", "&amp;AT$11&amp;"; ","")</f>
        <v/>
      </c>
      <c r="AU46" s="2120" t="str">
        <f>IF(AND($V$9=1,(TRUNC(Courses!V40)&lt;&gt;Courses!V40)), "Row "&amp;Courses!$A40&amp;", "&amp;AU$9&amp;", "&amp;AU$10&amp;"; ","")</f>
        <v/>
      </c>
      <c r="AV46" s="1593" t="str">
        <f>IF(AND($V$9=1,(TRUNC(Courses!W40)&lt;&gt;Courses!W40)), "Row "&amp;Courses!$A40&amp;", "&amp;AV$9&amp;", "&amp;AV$10&amp;", "&amp;AV$11&amp;"; ","")</f>
        <v/>
      </c>
      <c r="AW46" t="str">
        <f>IF(AND($V$9=1,(TRUNC(Courses!X40)&lt;&gt;Courses!X40)), "Row "&amp;Courses!$A40&amp;", "&amp;AW$9&amp;", "&amp;AW$10&amp;", "&amp;AW$11&amp;"; ","")</f>
        <v/>
      </c>
      <c r="AX46" t="str">
        <f>IF(AND($V$9=1,(TRUNC(Courses!Y40)&lt;&gt;Courses!Y40)), "Row "&amp;Courses!$A40&amp;", "&amp;AX$9&amp;", "&amp;AX$10&amp;", "&amp;AX$11&amp;"; ","")</f>
        <v/>
      </c>
      <c r="AY46" t="str">
        <f>IF(AND($V$9=1,(TRUNC(Courses!Z40)&lt;&gt;Courses!Z40)), "Row "&amp;Courses!$A40&amp;", "&amp;AY$9&amp;", "&amp;AY$10&amp;", "&amp;AY$11&amp;"; ","")</f>
        <v/>
      </c>
      <c r="AZ46" s="2120" t="str">
        <f>IF(AND($V$9=1,(TRUNC(Courses!AA40)&lt;&gt;Courses!AA40)), "Row "&amp;Courses!$A40&amp;", "&amp;AZ$9&amp;", "&amp;AZ$10&amp;"; ","")</f>
        <v/>
      </c>
      <c r="BA46" s="17"/>
      <c r="BB46" s="118"/>
      <c r="BC46" s="3">
        <v>27</v>
      </c>
      <c r="BD46" s="1593" t="str">
        <f>IF(AND($W$9=1,Courses!M40&lt;0), "Row "&amp;Courses!$A40&amp;", "&amp;BD$9&amp;", "&amp;BD$10&amp;", "&amp;BD$11&amp;"; ","")</f>
        <v/>
      </c>
      <c r="BE46" t="str">
        <f>IF(AND($W$9=1,Courses!N40&lt;0), "Row "&amp;Courses!$A40&amp;", "&amp;BE$9&amp;", "&amp;BE$10&amp;", "&amp;BE$11&amp;"; ","")</f>
        <v/>
      </c>
      <c r="BF46" t="str">
        <f>IF(AND($W$9=1,Courses!O40&lt;0), "Row "&amp;Courses!$A40&amp;", "&amp;BF$9&amp;", "&amp;BF$10&amp;", "&amp;BF$11&amp;"; ","")</f>
        <v/>
      </c>
      <c r="BG46" t="str">
        <f>IF(AND($W$9=1,Courses!P40&lt;0), "Row "&amp;Courses!$A40&amp;", "&amp;BG$9&amp;", "&amp;BG$10&amp;", "&amp;BG$11&amp;"; ","")</f>
        <v/>
      </c>
      <c r="BH46" s="2120" t="str">
        <f>IF(AND($W$9=1,Courses!Q40&lt;0), "Row "&amp;Courses!$A40&amp;", "&amp;BH$9&amp;", "&amp;BH$10&amp;"; ","")</f>
        <v/>
      </c>
      <c r="BI46" s="1593" t="str">
        <f>IF(AND($W$9=1,Courses!R40&lt;0), "Row "&amp;Courses!$A40&amp;", "&amp;BI$9&amp;", "&amp;BI$10&amp;", "&amp;BI$11&amp;"; ","")</f>
        <v/>
      </c>
      <c r="BJ46" t="str">
        <f>IF(AND($W$9=1,Courses!S40&lt;0), "Row "&amp;Courses!$A40&amp;", "&amp;BJ$9&amp;", "&amp;BJ$10&amp;", "&amp;BJ$11&amp;"; ","")</f>
        <v/>
      </c>
      <c r="BK46" t="str">
        <f>IF(AND($W$9=1,Courses!T40&lt;0), "Row "&amp;Courses!$A40&amp;", "&amp;BK$9&amp;", "&amp;BK$10&amp;", "&amp;BK$11&amp;"; ","")</f>
        <v/>
      </c>
      <c r="BL46" t="str">
        <f>IF(AND($W$9=1,Courses!U40&lt;0), "Row "&amp;Courses!$A40&amp;", "&amp;BL$9&amp;", "&amp;BL$10&amp;", "&amp;BL$11&amp;"; ","")</f>
        <v/>
      </c>
      <c r="BM46" s="2120" t="str">
        <f>IF(AND($W$9=1,Courses!V40&lt;0), "Row "&amp;Courses!$A40&amp;", "&amp;BM$9&amp;", "&amp;BM$10&amp;"; ","")</f>
        <v/>
      </c>
      <c r="BN46" s="1593" t="str">
        <f>IF(AND($W$9=1,Courses!W40&lt;0), "Row "&amp;Courses!$A40&amp;", "&amp;BN$9&amp;", "&amp;BN$10&amp;", "&amp;BN$11&amp;"; ","")</f>
        <v/>
      </c>
      <c r="BO46" t="str">
        <f>IF(AND($W$9=1,Courses!X40&lt;0), "Row "&amp;Courses!$A40&amp;", "&amp;BO$9&amp;", "&amp;BO$10&amp;", "&amp;BO$11&amp;"; ","")</f>
        <v/>
      </c>
      <c r="BP46" t="str">
        <f>IF(AND($W$9=1,Courses!Y40&lt;0), "Row "&amp;Courses!$A40&amp;", "&amp;BP$9&amp;", "&amp;BP$10&amp;", "&amp;BP$11&amp;"; ","")</f>
        <v/>
      </c>
      <c r="BQ46" t="str">
        <f>IF(AND($W$9=1,Courses!Z40&lt;0), "Row "&amp;Courses!$A40&amp;", "&amp;BQ$9&amp;", "&amp;BQ$10&amp;", "&amp;BQ$11&amp;"; ","")</f>
        <v/>
      </c>
      <c r="BR46" s="2120" t="str">
        <f>IF(AND($W$9=1,Courses!AA40&lt;0), "Row "&amp;Courses!$A40&amp;", "&amp;BR$9&amp;", "&amp;BR$10&amp;"; ","")</f>
        <v/>
      </c>
      <c r="BT46" s="186">
        <v>27</v>
      </c>
      <c r="BU46" s="40">
        <f>IF(AND($X$9=1,Courses!B40="",Courses!F40="",Courses!H40="",Courses!J40="",Courses!K40="",Courses!L40="",Courses!M40=0,Courses!N40=0,Courses!O40=0,Courses!P40=0,Courses!Q40=0,Courses!R40=0,Courses!S40=0,Courses!T40=0,Courses!U40=0,Courses!V40=0,Courses!W40=0,Courses!X40=0,Courses!Y40=0,Courses!Z40=0,Courses!AA40=0),0,1)</f>
        <v>0</v>
      </c>
      <c r="BV46" s="40">
        <f>IF(AND(BU46=0,SUM(BU47:$BU$219)&gt;0),1,0)</f>
        <v>0</v>
      </c>
      <c r="BW46" s="1595" t="str">
        <f>IF(BV46=1,"Row "&amp;Courses!A40&amp;"; ","")</f>
        <v/>
      </c>
      <c r="BX46" s="17"/>
      <c r="BZ46" s="1592" t="str">
        <f>IF(AND($Y$9=1,Courses!B40&lt;&gt;"",SUM(Courses!M40:AA40)=0),"Row "&amp;Courses!A40&amp;"; ","")</f>
        <v/>
      </c>
      <c r="CA46" s="17"/>
      <c r="CC46" s="1592" t="str">
        <f>IF(AND($Z$9=1,Courses!AD40=1,(LEN(Courses!AB40)&gt;200)),"Row "&amp;Courses!A40&amp;"; ","")</f>
        <v/>
      </c>
      <c r="CE46" s="131"/>
      <c r="CG46" s="1593" t="str">
        <f>IF(AND($AD$9=1,Courses!E40&lt;&gt;"",Courses!F40&lt;&gt;"",Courses!F40=0,SUM(Courses!H40,Courses!J40)=1),"Row "&amp;Courses!A40&amp;", "&amp;Courses!$F$10&amp;"; ","")</f>
        <v/>
      </c>
      <c r="CH46" t="str">
        <f>IF(AND($AD$9=1,Courses!G40&lt;&gt;"",Courses!H40&lt;&gt;"",Courses!H40=0,SUM(Courses!J40,Courses!F40)=1),"Row "&amp;Courses!A40&amp;", "&amp;Courses!$H$10&amp;"; ","")</f>
        <v/>
      </c>
      <c r="CI46" s="183" t="str">
        <f>IF(AND($AD$9=1,Courses!I40&lt;&gt;"",Courses!J40&lt;&gt;"",Courses!J40=0, SUM(Courses!H40,Courses!F40)=1),"Row "&amp;Courses!A40&amp;", "&amp;Courses!$J$10&amp;"; ","")</f>
        <v/>
      </c>
      <c r="CJ46" s="180"/>
      <c r="CK46" s="181"/>
      <c r="CL46" s="1592" t="str">
        <f>IF(AND(Courses!B40&lt;&gt;"",ISNA(VLOOKUP(Courses!C40,CourseInfo,2,FALSE))=FALSE,COUNTIF(Dummy,Courses!C40)&lt;&gt;1),VLOOKUP(Courses!C40,CourseInfo,6,FALSE),"")</f>
        <v/>
      </c>
      <c r="CM46" s="1592" t="str">
        <f>IF(AND($AE$9=1,Courses!B40&lt;&gt;"",'Courses Valid'!AG46="",COUNTIF(Dummy,Courses!C40)&lt;&gt;1),IF(Courses!K40&lt;&gt;'Courses Valid'!CL46,"Row "&amp;Courses!A40&amp;", Level on LARS is "&amp;'Courses Valid'!CL46&amp;"; ",""),"")</f>
        <v/>
      </c>
      <c r="CN46" s="131"/>
    </row>
    <row r="47" spans="3:92" x14ac:dyDescent="0.35">
      <c r="C47" s="1591">
        <f t="shared" si="2"/>
        <v>0</v>
      </c>
      <c r="D47" s="41"/>
      <c r="E47" s="41"/>
      <c r="F47" s="118"/>
      <c r="G47" s="1591" t="str">
        <f>IF(SUMPRODUCT(--(CourseAims=Courses!$C41))=1,"",IF(AND($N$9=1,Courses!$C41&lt;&gt;""),"Row "&amp;Courses!A41&amp;" (invalid); ",""))</f>
        <v/>
      </c>
      <c r="H47" s="1592" t="str">
        <f>IF(AND($O$9=1,Courses!B41="",OR(Courses!F41&lt;&gt;"",Courses!H41&lt;&gt;"",Courses!J41&lt;&gt;"",Courses!K41&lt;&gt;"",Courses!L41&lt;&gt;"",Courses!M41&lt;&gt;0,Courses!N41&lt;&gt;0,Courses!O41&lt;&gt;0,Courses!P41&lt;&gt;0,Courses!Q41&lt;&gt;0,Courses!R41&lt;&gt;0,Courses!S41&lt;&gt;0,Courses!T41&lt;&gt;0,Courses!U41&lt;&gt;0,Courses!V41&lt;&gt;0,Courses!W41&lt;&gt;0,Courses!X41&lt;&gt;0,Courses!Y41&lt;&gt;0,Courses!Z41&lt;&gt;0,Courses!AA41&lt;&gt;0)),"Row "&amp;Courses!A41&amp;" (none); ","")</f>
        <v/>
      </c>
      <c r="I47" s="17"/>
      <c r="K47" s="1592" t="str">
        <f>Courses!B41&amp;Courses!K41&amp;Courses!L41</f>
        <v/>
      </c>
      <c r="L47" s="1592" t="str">
        <f>IF(AND($P$9=1,Courses!$B41&lt;&gt;"",COUNTIF(Dummy,Courses!$C41)&lt;&gt;1),IF(SUMPRODUCT(--($K$20:$K$219=$K47))&gt;1,"Row "&amp;Courses!$A41&amp;"; ",""),"")</f>
        <v/>
      </c>
      <c r="N47" s="118"/>
      <c r="O47" s="1593" t="str">
        <f>IF(AND($Q$9=1,Courses!E41&lt;&gt;"",Courses!F41=""),"Row "&amp;Courses!A41&amp;", "&amp;Courses!$E$10&amp;"; ","")</f>
        <v/>
      </c>
      <c r="P47" t="str">
        <f>IF(AND($Q$9=1,Courses!G41&lt;&gt;"",Courses!H41=""),"Row "&amp;Courses!A41&amp;", "&amp;Courses!$G$10&amp;"; ","")</f>
        <v/>
      </c>
      <c r="Q47" s="183" t="str">
        <f>IF(AND($Q$9=1,Courses!I41&lt;&gt;"",Courses!J41=""),"Row "&amp;Courses!A41&amp;", "&amp;Courses!$I$10&amp;"; ","")</f>
        <v/>
      </c>
      <c r="S47" s="17"/>
      <c r="T47" s="118"/>
      <c r="U47" s="1594" t="str">
        <f>IF(AND($R$9=1,Courses!B41&lt;&gt;"",Courses!E41&lt;&gt;"",Courses!G41="",Courses!I41="",Courses!F41&lt;&gt;1),"Row "&amp;Courses!A41&amp;"; ","")</f>
        <v/>
      </c>
      <c r="V47" t="str">
        <f>IF(AND($R$9=1,Courses!B41&lt;&gt;"",Courses!I41="",Courses!F41&lt;&gt;"",Courses!G41&lt;&gt;"",Courses!H41&lt;&gt;""),IF(OR((Courses!F41+Courses!H41)&lt;&gt;1),"Row "&amp;Courses!A41&amp;"; ",""),"")</f>
        <v/>
      </c>
      <c r="W47" s="183" t="str">
        <f>IF(AND($R$9=1,Courses!B41&lt;&gt;"",Courses!I41&lt;&gt;"",Courses!J41&lt;&gt;"",Courses!H41&lt;&gt;"",Courses!G41&lt;&gt;"",Courses!F41&lt;&gt;""),IF(OR((Courses!F41+Courses!H41+Courses!J41)&lt;&gt;1),"Row "&amp;Courses!A41&amp;"; ",""),"")</f>
        <v/>
      </c>
      <c r="Y47" s="1592" t="str">
        <f>IF(AND($R$9=1,Courses!E41&lt;&gt;"",U47="",V47="",W47="",SUM(Courses!F41,Courses!H41,Courses!J41)&lt;&gt;1),"Row "&amp;Courses!A41&amp;"; ","")</f>
        <v/>
      </c>
      <c r="Z47" s="17"/>
      <c r="AB47" s="1593" t="str">
        <f>IF(AND($S$9=1,Courses!B41&lt;&gt;"",Courses!E41&lt;&gt;"",Courses!F41&lt;&gt;""),IF((TRUNC(Courses!F41*100)&lt;&gt;Courses!F41*100),"Row "&amp;Courses!A41&amp;", "&amp;Courses!$F$10&amp;"; ",""),"")</f>
        <v/>
      </c>
      <c r="AC47" t="str">
        <f>IF(AND($S$9=1,Courses!B41&lt;&gt;"",Courses!G41&lt;&gt;"",Courses!H41&lt;&gt;""),IF((TRUNC(Courses!H41*100)&lt;&gt;Courses!H41*100),"Row "&amp;Courses!A41&amp;", "&amp;Courses!$H$10&amp;"; ",""),"")</f>
        <v/>
      </c>
      <c r="AD47" s="183" t="str">
        <f>IF(AND($S$9=1,Courses!B41&lt;&gt;"",Courses!I41&lt;&gt;"",Courses!J41&lt;&gt;""),IF((TRUNC(Courses!J41*100)&lt;&gt;Courses!J41*100),"Row "&amp;Courses!A41&amp;", "&amp;Courses!$J$10&amp;"; ",""),"")</f>
        <v/>
      </c>
      <c r="AF47" s="118"/>
      <c r="AG47" s="1592" t="str">
        <f>IF(AND($T$9=1,G47="",Courses!B41&lt;&gt;"",Courses!K41&lt;&gt;$B$9,Courses!K41&lt;&gt;$B$10,Courses!K41&lt;&gt;$B$11,Courses!K41&lt;&gt;$B$12,Courses!K41&lt;&gt;$B$13,Courses!K41&lt;&gt;$B$14),"Row "&amp;Courses!A41&amp;"; ","")</f>
        <v/>
      </c>
      <c r="AH47" s="1592" t="str">
        <f>IF(AND($U$9=1,G47="",Courses!B41&lt;&gt;"",Courses!L41&lt;&gt;"Standard",Courses!L41&lt;&gt;"Long"),"Row "&amp;Courses!A41&amp;"; ","")</f>
        <v/>
      </c>
      <c r="AJ47" s="118"/>
      <c r="AK47" s="3">
        <v>28</v>
      </c>
      <c r="AL47" s="1593" t="str">
        <f>IF(AND($V$9=1,(TRUNC(Courses!M41)&lt;&gt;Courses!M41)), "Row "&amp;Courses!$A41&amp;", "&amp;AL$9&amp;", "&amp;AL$10&amp;", "&amp;AL$11&amp;"; ","")</f>
        <v/>
      </c>
      <c r="AM47" t="str">
        <f>IF(AND($V$9=1,(TRUNC(Courses!N41)&lt;&gt;Courses!N41)), "Row "&amp;Courses!$A41&amp;", "&amp;AM$9&amp;", "&amp;AM$10&amp;", "&amp;AM$11&amp;"; ","")</f>
        <v/>
      </c>
      <c r="AN47" t="str">
        <f>IF(AND($V$9=1,(TRUNC(Courses!O41)&lt;&gt;Courses!O41)), "Row "&amp;Courses!$A41&amp;", "&amp;AN$9&amp;", "&amp;AN$10&amp;", "&amp;AN$11&amp;"; ","")</f>
        <v/>
      </c>
      <c r="AO47" t="str">
        <f>IF(AND($V$9=1,(TRUNC(Courses!P41)&lt;&gt;Courses!P41)), "Row "&amp;Courses!$A41&amp;", "&amp;AO$9&amp;", "&amp;AO$10&amp;", "&amp;AO$11&amp;"; ","")</f>
        <v/>
      </c>
      <c r="AP47" s="2120" t="str">
        <f>IF(AND($V$9=1,(TRUNC(Courses!Q41)&lt;&gt;Courses!Q41)), "Row "&amp;Courses!$A41&amp;", "&amp;AP$9&amp;", "&amp;AP$10&amp;"; ","")</f>
        <v/>
      </c>
      <c r="AQ47" s="1593" t="str">
        <f>IF(AND($V$9=1,(TRUNC(Courses!R41)&lt;&gt;Courses!R41)), "Row "&amp;Courses!$A41&amp;", "&amp;AQ$9&amp;", "&amp;AQ$10&amp;", "&amp;AQ$11&amp;"; ","")</f>
        <v/>
      </c>
      <c r="AR47" t="str">
        <f>IF(AND($V$9=1,(TRUNC(Courses!S41)&lt;&gt;Courses!S41)), "Row "&amp;Courses!$A41&amp;", "&amp;AR$9&amp;", "&amp;AR$10&amp;", "&amp;AR$11&amp;"; ","")</f>
        <v/>
      </c>
      <c r="AS47" t="str">
        <f>IF(AND($V$9=1,(TRUNC(Courses!T41)&lt;&gt;Courses!T41)), "Row "&amp;Courses!$A41&amp;", "&amp;AS$9&amp;", "&amp;AS$10&amp;", "&amp;AS$11&amp;"; ","")</f>
        <v/>
      </c>
      <c r="AT47" t="str">
        <f>IF(AND($V$9=1,(TRUNC(Courses!U41)&lt;&gt;Courses!U41)), "Row "&amp;Courses!$A41&amp;", "&amp;AT$9&amp;", "&amp;AT$10&amp;", "&amp;AT$11&amp;"; ","")</f>
        <v/>
      </c>
      <c r="AU47" s="2120" t="str">
        <f>IF(AND($V$9=1,(TRUNC(Courses!V41)&lt;&gt;Courses!V41)), "Row "&amp;Courses!$A41&amp;", "&amp;AU$9&amp;", "&amp;AU$10&amp;"; ","")</f>
        <v/>
      </c>
      <c r="AV47" s="1593" t="str">
        <f>IF(AND($V$9=1,(TRUNC(Courses!W41)&lt;&gt;Courses!W41)), "Row "&amp;Courses!$A41&amp;", "&amp;AV$9&amp;", "&amp;AV$10&amp;", "&amp;AV$11&amp;"; ","")</f>
        <v/>
      </c>
      <c r="AW47" t="str">
        <f>IF(AND($V$9=1,(TRUNC(Courses!X41)&lt;&gt;Courses!X41)), "Row "&amp;Courses!$A41&amp;", "&amp;AW$9&amp;", "&amp;AW$10&amp;", "&amp;AW$11&amp;"; ","")</f>
        <v/>
      </c>
      <c r="AX47" t="str">
        <f>IF(AND($V$9=1,(TRUNC(Courses!Y41)&lt;&gt;Courses!Y41)), "Row "&amp;Courses!$A41&amp;", "&amp;AX$9&amp;", "&amp;AX$10&amp;", "&amp;AX$11&amp;"; ","")</f>
        <v/>
      </c>
      <c r="AY47" t="str">
        <f>IF(AND($V$9=1,(TRUNC(Courses!Z41)&lt;&gt;Courses!Z41)), "Row "&amp;Courses!$A41&amp;", "&amp;AY$9&amp;", "&amp;AY$10&amp;", "&amp;AY$11&amp;"; ","")</f>
        <v/>
      </c>
      <c r="AZ47" s="2120" t="str">
        <f>IF(AND($V$9=1,(TRUNC(Courses!AA41)&lt;&gt;Courses!AA41)), "Row "&amp;Courses!$A41&amp;", "&amp;AZ$9&amp;", "&amp;AZ$10&amp;"; ","")</f>
        <v/>
      </c>
      <c r="BA47" s="17"/>
      <c r="BB47" s="118"/>
      <c r="BC47" s="3">
        <v>28</v>
      </c>
      <c r="BD47" s="1593" t="str">
        <f>IF(AND($W$9=1,Courses!M41&lt;0), "Row "&amp;Courses!$A41&amp;", "&amp;BD$9&amp;", "&amp;BD$10&amp;", "&amp;BD$11&amp;"; ","")</f>
        <v/>
      </c>
      <c r="BE47" t="str">
        <f>IF(AND($W$9=1,Courses!N41&lt;0), "Row "&amp;Courses!$A41&amp;", "&amp;BE$9&amp;", "&amp;BE$10&amp;", "&amp;BE$11&amp;"; ","")</f>
        <v/>
      </c>
      <c r="BF47" t="str">
        <f>IF(AND($W$9=1,Courses!O41&lt;0), "Row "&amp;Courses!$A41&amp;", "&amp;BF$9&amp;", "&amp;BF$10&amp;", "&amp;BF$11&amp;"; ","")</f>
        <v/>
      </c>
      <c r="BG47" t="str">
        <f>IF(AND($W$9=1,Courses!P41&lt;0), "Row "&amp;Courses!$A41&amp;", "&amp;BG$9&amp;", "&amp;BG$10&amp;", "&amp;BG$11&amp;"; ","")</f>
        <v/>
      </c>
      <c r="BH47" s="2120" t="str">
        <f>IF(AND($W$9=1,Courses!Q41&lt;0), "Row "&amp;Courses!$A41&amp;", "&amp;BH$9&amp;", "&amp;BH$10&amp;"; ","")</f>
        <v/>
      </c>
      <c r="BI47" s="1593" t="str">
        <f>IF(AND($W$9=1,Courses!R41&lt;0), "Row "&amp;Courses!$A41&amp;", "&amp;BI$9&amp;", "&amp;BI$10&amp;", "&amp;BI$11&amp;"; ","")</f>
        <v/>
      </c>
      <c r="BJ47" t="str">
        <f>IF(AND($W$9=1,Courses!S41&lt;0), "Row "&amp;Courses!$A41&amp;", "&amp;BJ$9&amp;", "&amp;BJ$10&amp;", "&amp;BJ$11&amp;"; ","")</f>
        <v/>
      </c>
      <c r="BK47" t="str">
        <f>IF(AND($W$9=1,Courses!T41&lt;0), "Row "&amp;Courses!$A41&amp;", "&amp;BK$9&amp;", "&amp;BK$10&amp;", "&amp;BK$11&amp;"; ","")</f>
        <v/>
      </c>
      <c r="BL47" t="str">
        <f>IF(AND($W$9=1,Courses!U41&lt;0), "Row "&amp;Courses!$A41&amp;", "&amp;BL$9&amp;", "&amp;BL$10&amp;", "&amp;BL$11&amp;"; ","")</f>
        <v/>
      </c>
      <c r="BM47" s="2120" t="str">
        <f>IF(AND($W$9=1,Courses!V41&lt;0), "Row "&amp;Courses!$A41&amp;", "&amp;BM$9&amp;", "&amp;BM$10&amp;"; ","")</f>
        <v/>
      </c>
      <c r="BN47" s="1593" t="str">
        <f>IF(AND($W$9=1,Courses!W41&lt;0), "Row "&amp;Courses!$A41&amp;", "&amp;BN$9&amp;", "&amp;BN$10&amp;", "&amp;BN$11&amp;"; ","")</f>
        <v/>
      </c>
      <c r="BO47" t="str">
        <f>IF(AND($W$9=1,Courses!X41&lt;0), "Row "&amp;Courses!$A41&amp;", "&amp;BO$9&amp;", "&amp;BO$10&amp;", "&amp;BO$11&amp;"; ","")</f>
        <v/>
      </c>
      <c r="BP47" t="str">
        <f>IF(AND($W$9=1,Courses!Y41&lt;0), "Row "&amp;Courses!$A41&amp;", "&amp;BP$9&amp;", "&amp;BP$10&amp;", "&amp;BP$11&amp;"; ","")</f>
        <v/>
      </c>
      <c r="BQ47" t="str">
        <f>IF(AND($W$9=1,Courses!Z41&lt;0), "Row "&amp;Courses!$A41&amp;", "&amp;BQ$9&amp;", "&amp;BQ$10&amp;", "&amp;BQ$11&amp;"; ","")</f>
        <v/>
      </c>
      <c r="BR47" s="2120" t="str">
        <f>IF(AND($W$9=1,Courses!AA41&lt;0), "Row "&amp;Courses!$A41&amp;", "&amp;BR$9&amp;", "&amp;BR$10&amp;"; ","")</f>
        <v/>
      </c>
      <c r="BT47" s="186">
        <v>28</v>
      </c>
      <c r="BU47" s="40">
        <f>IF(AND($X$9=1,Courses!B41="",Courses!F41="",Courses!H41="",Courses!J41="",Courses!K41="",Courses!L41="",Courses!M41=0,Courses!N41=0,Courses!O41=0,Courses!P41=0,Courses!Q41=0,Courses!R41=0,Courses!S41=0,Courses!T41=0,Courses!U41=0,Courses!V41=0,Courses!W41=0,Courses!X41=0,Courses!Y41=0,Courses!Z41=0,Courses!AA41=0),0,1)</f>
        <v>0</v>
      </c>
      <c r="BV47" s="40">
        <f>IF(AND(BU47=0,SUM(BU48:$BU$219)&gt;0),1,0)</f>
        <v>0</v>
      </c>
      <c r="BW47" s="1595" t="str">
        <f>IF(BV47=1,"Row "&amp;Courses!A41&amp;"; ","")</f>
        <v/>
      </c>
      <c r="BX47" s="17"/>
      <c r="BZ47" s="1592" t="str">
        <f>IF(AND($Y$9=1,Courses!B41&lt;&gt;"",SUM(Courses!M41:AA41)=0),"Row "&amp;Courses!A41&amp;"; ","")</f>
        <v/>
      </c>
      <c r="CA47" s="17"/>
      <c r="CC47" s="1592" t="str">
        <f>IF(AND($Z$9=1,Courses!AD41=1,(LEN(Courses!AB41)&gt;200)),"Row "&amp;Courses!A41&amp;"; ","")</f>
        <v/>
      </c>
      <c r="CE47" s="131"/>
      <c r="CG47" s="1593" t="str">
        <f>IF(AND($AD$9=1,Courses!E41&lt;&gt;"",Courses!F41&lt;&gt;"",Courses!F41=0,SUM(Courses!H41,Courses!J41)=1),"Row "&amp;Courses!A41&amp;", "&amp;Courses!$F$10&amp;"; ","")</f>
        <v/>
      </c>
      <c r="CH47" t="str">
        <f>IF(AND($AD$9=1,Courses!G41&lt;&gt;"",Courses!H41&lt;&gt;"",Courses!H41=0,SUM(Courses!J41,Courses!F41)=1),"Row "&amp;Courses!A41&amp;", "&amp;Courses!$H$10&amp;"; ","")</f>
        <v/>
      </c>
      <c r="CI47" s="183" t="str">
        <f>IF(AND($AD$9=1,Courses!I41&lt;&gt;"",Courses!J41&lt;&gt;"",Courses!J41=0, SUM(Courses!H41,Courses!F41)=1),"Row "&amp;Courses!A41&amp;", "&amp;Courses!$J$10&amp;"; ","")</f>
        <v/>
      </c>
      <c r="CJ47" s="180"/>
      <c r="CK47" s="181"/>
      <c r="CL47" s="1592" t="str">
        <f>IF(AND(Courses!B41&lt;&gt;"",ISNA(VLOOKUP(Courses!C41,CourseInfo,2,FALSE))=FALSE,COUNTIF(Dummy,Courses!C41)&lt;&gt;1),VLOOKUP(Courses!C41,CourseInfo,6,FALSE),"")</f>
        <v/>
      </c>
      <c r="CM47" s="1592" t="str">
        <f>IF(AND($AE$9=1,Courses!B41&lt;&gt;"",'Courses Valid'!AG47="",COUNTIF(Dummy,Courses!C41)&lt;&gt;1),IF(Courses!K41&lt;&gt;'Courses Valid'!CL47,"Row "&amp;Courses!A41&amp;", Level on LARS is "&amp;'Courses Valid'!CL47&amp;"; ",""),"")</f>
        <v/>
      </c>
      <c r="CN47" s="131"/>
    </row>
    <row r="48" spans="3:92" x14ac:dyDescent="0.35">
      <c r="C48" s="1591">
        <f t="shared" si="2"/>
        <v>0</v>
      </c>
      <c r="D48" s="41"/>
      <c r="E48" s="41"/>
      <c r="F48" s="118"/>
      <c r="G48" s="1591" t="str">
        <f>IF(SUMPRODUCT(--(CourseAims=Courses!$C42))=1,"",IF(AND($N$9=1,Courses!$C42&lt;&gt;""),"Row "&amp;Courses!A42&amp;" (invalid); ",""))</f>
        <v/>
      </c>
      <c r="H48" s="1592" t="str">
        <f>IF(AND($O$9=1,Courses!B42="",OR(Courses!F42&lt;&gt;"",Courses!H42&lt;&gt;"",Courses!J42&lt;&gt;"",Courses!K42&lt;&gt;"",Courses!L42&lt;&gt;"",Courses!M42&lt;&gt;0,Courses!N42&lt;&gt;0,Courses!O42&lt;&gt;0,Courses!P42&lt;&gt;0,Courses!Q42&lt;&gt;0,Courses!R42&lt;&gt;0,Courses!S42&lt;&gt;0,Courses!T42&lt;&gt;0,Courses!U42&lt;&gt;0,Courses!V42&lt;&gt;0,Courses!W42&lt;&gt;0,Courses!X42&lt;&gt;0,Courses!Y42&lt;&gt;0,Courses!Z42&lt;&gt;0,Courses!AA42&lt;&gt;0)),"Row "&amp;Courses!A42&amp;" (none); ","")</f>
        <v/>
      </c>
      <c r="I48" s="17"/>
      <c r="K48" s="1592" t="str">
        <f>Courses!B42&amp;Courses!K42&amp;Courses!L42</f>
        <v/>
      </c>
      <c r="L48" s="1592" t="str">
        <f>IF(AND($P$9=1,Courses!$B42&lt;&gt;"",COUNTIF(Dummy,Courses!$C42)&lt;&gt;1),IF(SUMPRODUCT(--($K$20:$K$219=$K48))&gt;1,"Row "&amp;Courses!$A42&amp;"; ",""),"")</f>
        <v/>
      </c>
      <c r="N48" s="118"/>
      <c r="O48" s="1593" t="str">
        <f>IF(AND($Q$9=1,Courses!E42&lt;&gt;"",Courses!F42=""),"Row "&amp;Courses!A42&amp;", "&amp;Courses!$E$10&amp;"; ","")</f>
        <v/>
      </c>
      <c r="P48" t="str">
        <f>IF(AND($Q$9=1,Courses!G42&lt;&gt;"",Courses!H42=""),"Row "&amp;Courses!A42&amp;", "&amp;Courses!$G$10&amp;"; ","")</f>
        <v/>
      </c>
      <c r="Q48" s="183" t="str">
        <f>IF(AND($Q$9=1,Courses!I42&lt;&gt;"",Courses!J42=""),"Row "&amp;Courses!A42&amp;", "&amp;Courses!$I$10&amp;"; ","")</f>
        <v/>
      </c>
      <c r="S48" s="17"/>
      <c r="T48" s="118"/>
      <c r="U48" s="1594" t="str">
        <f>IF(AND($R$9=1,Courses!B42&lt;&gt;"",Courses!E42&lt;&gt;"",Courses!G42="",Courses!I42="",Courses!F42&lt;&gt;1),"Row "&amp;Courses!A42&amp;"; ","")</f>
        <v/>
      </c>
      <c r="V48" t="str">
        <f>IF(AND($R$9=1,Courses!B42&lt;&gt;"",Courses!I42="",Courses!F42&lt;&gt;"",Courses!G42&lt;&gt;"",Courses!H42&lt;&gt;""),IF(OR((Courses!F42+Courses!H42)&lt;&gt;1),"Row "&amp;Courses!A42&amp;"; ",""),"")</f>
        <v/>
      </c>
      <c r="W48" s="183" t="str">
        <f>IF(AND($R$9=1,Courses!B42&lt;&gt;"",Courses!I42&lt;&gt;"",Courses!J42&lt;&gt;"",Courses!H42&lt;&gt;"",Courses!G42&lt;&gt;"",Courses!F42&lt;&gt;""),IF(OR((Courses!F42+Courses!H42+Courses!J42)&lt;&gt;1),"Row "&amp;Courses!A42&amp;"; ",""),"")</f>
        <v/>
      </c>
      <c r="Y48" s="1592" t="str">
        <f>IF(AND($R$9=1,Courses!E42&lt;&gt;"",U48="",V48="",W48="",SUM(Courses!F42,Courses!H42,Courses!J42)&lt;&gt;1),"Row "&amp;Courses!A42&amp;"; ","")</f>
        <v/>
      </c>
      <c r="Z48" s="17"/>
      <c r="AB48" s="1593" t="str">
        <f>IF(AND($S$9=1,Courses!B42&lt;&gt;"",Courses!E42&lt;&gt;"",Courses!F42&lt;&gt;""),IF((TRUNC(Courses!F42*100)&lt;&gt;Courses!F42*100),"Row "&amp;Courses!A42&amp;", "&amp;Courses!$F$10&amp;"; ",""),"")</f>
        <v/>
      </c>
      <c r="AC48" t="str">
        <f>IF(AND($S$9=1,Courses!B42&lt;&gt;"",Courses!G42&lt;&gt;"",Courses!H42&lt;&gt;""),IF((TRUNC(Courses!H42*100)&lt;&gt;Courses!H42*100),"Row "&amp;Courses!A42&amp;", "&amp;Courses!$H$10&amp;"; ",""),"")</f>
        <v/>
      </c>
      <c r="AD48" s="183" t="str">
        <f>IF(AND($S$9=1,Courses!B42&lt;&gt;"",Courses!I42&lt;&gt;"",Courses!J42&lt;&gt;""),IF((TRUNC(Courses!J42*100)&lt;&gt;Courses!J42*100),"Row "&amp;Courses!A42&amp;", "&amp;Courses!$J$10&amp;"; ",""),"")</f>
        <v/>
      </c>
      <c r="AF48" s="118"/>
      <c r="AG48" s="1592" t="str">
        <f>IF(AND($T$9=1,G48="",Courses!B42&lt;&gt;"",Courses!K42&lt;&gt;$B$9,Courses!K42&lt;&gt;$B$10,Courses!K42&lt;&gt;$B$11,Courses!K42&lt;&gt;$B$12,Courses!K42&lt;&gt;$B$13,Courses!K42&lt;&gt;$B$14),"Row "&amp;Courses!A42&amp;"; ","")</f>
        <v/>
      </c>
      <c r="AH48" s="1592" t="str">
        <f>IF(AND($U$9=1,G48="",Courses!B42&lt;&gt;"",Courses!L42&lt;&gt;"Standard",Courses!L42&lt;&gt;"Long"),"Row "&amp;Courses!A42&amp;"; ","")</f>
        <v/>
      </c>
      <c r="AJ48" s="118"/>
      <c r="AK48" s="3">
        <v>29</v>
      </c>
      <c r="AL48" s="1593" t="str">
        <f>IF(AND($V$9=1,(TRUNC(Courses!M42)&lt;&gt;Courses!M42)), "Row "&amp;Courses!$A42&amp;", "&amp;AL$9&amp;", "&amp;AL$10&amp;", "&amp;AL$11&amp;"; ","")</f>
        <v/>
      </c>
      <c r="AM48" t="str">
        <f>IF(AND($V$9=1,(TRUNC(Courses!N42)&lt;&gt;Courses!N42)), "Row "&amp;Courses!$A42&amp;", "&amp;AM$9&amp;", "&amp;AM$10&amp;", "&amp;AM$11&amp;"; ","")</f>
        <v/>
      </c>
      <c r="AN48" t="str">
        <f>IF(AND($V$9=1,(TRUNC(Courses!O42)&lt;&gt;Courses!O42)), "Row "&amp;Courses!$A42&amp;", "&amp;AN$9&amp;", "&amp;AN$10&amp;", "&amp;AN$11&amp;"; ","")</f>
        <v/>
      </c>
      <c r="AO48" t="str">
        <f>IF(AND($V$9=1,(TRUNC(Courses!P42)&lt;&gt;Courses!P42)), "Row "&amp;Courses!$A42&amp;", "&amp;AO$9&amp;", "&amp;AO$10&amp;", "&amp;AO$11&amp;"; ","")</f>
        <v/>
      </c>
      <c r="AP48" s="2120" t="str">
        <f>IF(AND($V$9=1,(TRUNC(Courses!Q42)&lt;&gt;Courses!Q42)), "Row "&amp;Courses!$A42&amp;", "&amp;AP$9&amp;", "&amp;AP$10&amp;"; ","")</f>
        <v/>
      </c>
      <c r="AQ48" s="1593" t="str">
        <f>IF(AND($V$9=1,(TRUNC(Courses!R42)&lt;&gt;Courses!R42)), "Row "&amp;Courses!$A42&amp;", "&amp;AQ$9&amp;", "&amp;AQ$10&amp;", "&amp;AQ$11&amp;"; ","")</f>
        <v/>
      </c>
      <c r="AR48" t="str">
        <f>IF(AND($V$9=1,(TRUNC(Courses!S42)&lt;&gt;Courses!S42)), "Row "&amp;Courses!$A42&amp;", "&amp;AR$9&amp;", "&amp;AR$10&amp;", "&amp;AR$11&amp;"; ","")</f>
        <v/>
      </c>
      <c r="AS48" t="str">
        <f>IF(AND($V$9=1,(TRUNC(Courses!T42)&lt;&gt;Courses!T42)), "Row "&amp;Courses!$A42&amp;", "&amp;AS$9&amp;", "&amp;AS$10&amp;", "&amp;AS$11&amp;"; ","")</f>
        <v/>
      </c>
      <c r="AT48" t="str">
        <f>IF(AND($V$9=1,(TRUNC(Courses!U42)&lt;&gt;Courses!U42)), "Row "&amp;Courses!$A42&amp;", "&amp;AT$9&amp;", "&amp;AT$10&amp;", "&amp;AT$11&amp;"; ","")</f>
        <v/>
      </c>
      <c r="AU48" s="2120" t="str">
        <f>IF(AND($V$9=1,(TRUNC(Courses!V42)&lt;&gt;Courses!V42)), "Row "&amp;Courses!$A42&amp;", "&amp;AU$9&amp;", "&amp;AU$10&amp;"; ","")</f>
        <v/>
      </c>
      <c r="AV48" s="1593" t="str">
        <f>IF(AND($V$9=1,(TRUNC(Courses!W42)&lt;&gt;Courses!W42)), "Row "&amp;Courses!$A42&amp;", "&amp;AV$9&amp;", "&amp;AV$10&amp;", "&amp;AV$11&amp;"; ","")</f>
        <v/>
      </c>
      <c r="AW48" t="str">
        <f>IF(AND($V$9=1,(TRUNC(Courses!X42)&lt;&gt;Courses!X42)), "Row "&amp;Courses!$A42&amp;", "&amp;AW$9&amp;", "&amp;AW$10&amp;", "&amp;AW$11&amp;"; ","")</f>
        <v/>
      </c>
      <c r="AX48" t="str">
        <f>IF(AND($V$9=1,(TRUNC(Courses!Y42)&lt;&gt;Courses!Y42)), "Row "&amp;Courses!$A42&amp;", "&amp;AX$9&amp;", "&amp;AX$10&amp;", "&amp;AX$11&amp;"; ","")</f>
        <v/>
      </c>
      <c r="AY48" t="str">
        <f>IF(AND($V$9=1,(TRUNC(Courses!Z42)&lt;&gt;Courses!Z42)), "Row "&amp;Courses!$A42&amp;", "&amp;AY$9&amp;", "&amp;AY$10&amp;", "&amp;AY$11&amp;"; ","")</f>
        <v/>
      </c>
      <c r="AZ48" s="2120" t="str">
        <f>IF(AND($V$9=1,(TRUNC(Courses!AA42)&lt;&gt;Courses!AA42)), "Row "&amp;Courses!$A42&amp;", "&amp;AZ$9&amp;", "&amp;AZ$10&amp;"; ","")</f>
        <v/>
      </c>
      <c r="BA48" s="17"/>
      <c r="BB48" s="118"/>
      <c r="BC48" s="3">
        <v>29</v>
      </c>
      <c r="BD48" s="1593" t="str">
        <f>IF(AND($W$9=1,Courses!M42&lt;0), "Row "&amp;Courses!$A42&amp;", "&amp;BD$9&amp;", "&amp;BD$10&amp;", "&amp;BD$11&amp;"; ","")</f>
        <v/>
      </c>
      <c r="BE48" t="str">
        <f>IF(AND($W$9=1,Courses!N42&lt;0), "Row "&amp;Courses!$A42&amp;", "&amp;BE$9&amp;", "&amp;BE$10&amp;", "&amp;BE$11&amp;"; ","")</f>
        <v/>
      </c>
      <c r="BF48" t="str">
        <f>IF(AND($W$9=1,Courses!O42&lt;0), "Row "&amp;Courses!$A42&amp;", "&amp;BF$9&amp;", "&amp;BF$10&amp;", "&amp;BF$11&amp;"; ","")</f>
        <v/>
      </c>
      <c r="BG48" t="str">
        <f>IF(AND($W$9=1,Courses!P42&lt;0), "Row "&amp;Courses!$A42&amp;", "&amp;BG$9&amp;", "&amp;BG$10&amp;", "&amp;BG$11&amp;"; ","")</f>
        <v/>
      </c>
      <c r="BH48" s="2120" t="str">
        <f>IF(AND($W$9=1,Courses!Q42&lt;0), "Row "&amp;Courses!$A42&amp;", "&amp;BH$9&amp;", "&amp;BH$10&amp;"; ","")</f>
        <v/>
      </c>
      <c r="BI48" s="1593" t="str">
        <f>IF(AND($W$9=1,Courses!R42&lt;0), "Row "&amp;Courses!$A42&amp;", "&amp;BI$9&amp;", "&amp;BI$10&amp;", "&amp;BI$11&amp;"; ","")</f>
        <v/>
      </c>
      <c r="BJ48" t="str">
        <f>IF(AND($W$9=1,Courses!S42&lt;0), "Row "&amp;Courses!$A42&amp;", "&amp;BJ$9&amp;", "&amp;BJ$10&amp;", "&amp;BJ$11&amp;"; ","")</f>
        <v/>
      </c>
      <c r="BK48" t="str">
        <f>IF(AND($W$9=1,Courses!T42&lt;0), "Row "&amp;Courses!$A42&amp;", "&amp;BK$9&amp;", "&amp;BK$10&amp;", "&amp;BK$11&amp;"; ","")</f>
        <v/>
      </c>
      <c r="BL48" t="str">
        <f>IF(AND($W$9=1,Courses!U42&lt;0), "Row "&amp;Courses!$A42&amp;", "&amp;BL$9&amp;", "&amp;BL$10&amp;", "&amp;BL$11&amp;"; ","")</f>
        <v/>
      </c>
      <c r="BM48" s="2120" t="str">
        <f>IF(AND($W$9=1,Courses!V42&lt;0), "Row "&amp;Courses!$A42&amp;", "&amp;BM$9&amp;", "&amp;BM$10&amp;"; ","")</f>
        <v/>
      </c>
      <c r="BN48" s="1593" t="str">
        <f>IF(AND($W$9=1,Courses!W42&lt;0), "Row "&amp;Courses!$A42&amp;", "&amp;BN$9&amp;", "&amp;BN$10&amp;", "&amp;BN$11&amp;"; ","")</f>
        <v/>
      </c>
      <c r="BO48" t="str">
        <f>IF(AND($W$9=1,Courses!X42&lt;0), "Row "&amp;Courses!$A42&amp;", "&amp;BO$9&amp;", "&amp;BO$10&amp;", "&amp;BO$11&amp;"; ","")</f>
        <v/>
      </c>
      <c r="BP48" t="str">
        <f>IF(AND($W$9=1,Courses!Y42&lt;0), "Row "&amp;Courses!$A42&amp;", "&amp;BP$9&amp;", "&amp;BP$10&amp;", "&amp;BP$11&amp;"; ","")</f>
        <v/>
      </c>
      <c r="BQ48" t="str">
        <f>IF(AND($W$9=1,Courses!Z42&lt;0), "Row "&amp;Courses!$A42&amp;", "&amp;BQ$9&amp;", "&amp;BQ$10&amp;", "&amp;BQ$11&amp;"; ","")</f>
        <v/>
      </c>
      <c r="BR48" s="2120" t="str">
        <f>IF(AND($W$9=1,Courses!AA42&lt;0), "Row "&amp;Courses!$A42&amp;", "&amp;BR$9&amp;", "&amp;BR$10&amp;"; ","")</f>
        <v/>
      </c>
      <c r="BT48" s="186">
        <v>29</v>
      </c>
      <c r="BU48" s="40">
        <f>IF(AND($X$9=1,Courses!B42="",Courses!F42="",Courses!H42="",Courses!J42="",Courses!K42="",Courses!L42="",Courses!M42=0,Courses!N42=0,Courses!O42=0,Courses!P42=0,Courses!Q42=0,Courses!R42=0,Courses!S42=0,Courses!T42=0,Courses!U42=0,Courses!V42=0,Courses!W42=0,Courses!X42=0,Courses!Y42=0,Courses!Z42=0,Courses!AA42=0),0,1)</f>
        <v>0</v>
      </c>
      <c r="BV48" s="40">
        <f>IF(AND(BU48=0,SUM(BU49:$BU$219)&gt;0),1,0)</f>
        <v>0</v>
      </c>
      <c r="BW48" s="1595" t="str">
        <f>IF(BV48=1,"Row "&amp;Courses!A42&amp;"; ","")</f>
        <v/>
      </c>
      <c r="BX48" s="17"/>
      <c r="BZ48" s="1592" t="str">
        <f>IF(AND($Y$9=1,Courses!B42&lt;&gt;"",SUM(Courses!M42:AA42)=0),"Row "&amp;Courses!A42&amp;"; ","")</f>
        <v/>
      </c>
      <c r="CA48" s="17"/>
      <c r="CC48" s="1592" t="str">
        <f>IF(AND($Z$9=1,Courses!AD42=1,(LEN(Courses!AB42)&gt;200)),"Row "&amp;Courses!A42&amp;"; ","")</f>
        <v/>
      </c>
      <c r="CE48" s="131"/>
      <c r="CG48" s="1593" t="str">
        <f>IF(AND($AD$9=1,Courses!E42&lt;&gt;"",Courses!F42&lt;&gt;"",Courses!F42=0,SUM(Courses!H42,Courses!J42)=1),"Row "&amp;Courses!A42&amp;", "&amp;Courses!$F$10&amp;"; ","")</f>
        <v/>
      </c>
      <c r="CH48" t="str">
        <f>IF(AND($AD$9=1,Courses!G42&lt;&gt;"",Courses!H42&lt;&gt;"",Courses!H42=0,SUM(Courses!J42,Courses!F42)=1),"Row "&amp;Courses!A42&amp;", "&amp;Courses!$H$10&amp;"; ","")</f>
        <v/>
      </c>
      <c r="CI48" s="183" t="str">
        <f>IF(AND($AD$9=1,Courses!I42&lt;&gt;"",Courses!J42&lt;&gt;"",Courses!J42=0, SUM(Courses!H42,Courses!F42)=1),"Row "&amp;Courses!A42&amp;", "&amp;Courses!$J$10&amp;"; ","")</f>
        <v/>
      </c>
      <c r="CJ48" s="180"/>
      <c r="CK48" s="181"/>
      <c r="CL48" s="1592" t="str">
        <f>IF(AND(Courses!B42&lt;&gt;"",ISNA(VLOOKUP(Courses!C42,CourseInfo,2,FALSE))=FALSE,COUNTIF(Dummy,Courses!C42)&lt;&gt;1),VLOOKUP(Courses!C42,CourseInfo,6,FALSE),"")</f>
        <v/>
      </c>
      <c r="CM48" s="1592" t="str">
        <f>IF(AND($AE$9=1,Courses!B42&lt;&gt;"",'Courses Valid'!AG48="",COUNTIF(Dummy,Courses!C42)&lt;&gt;1),IF(Courses!K42&lt;&gt;'Courses Valid'!CL48,"Row "&amp;Courses!A42&amp;", Level on LARS is "&amp;'Courses Valid'!CL48&amp;"; ",""),"")</f>
        <v/>
      </c>
      <c r="CN48" s="131"/>
    </row>
    <row r="49" spans="3:92" x14ac:dyDescent="0.35">
      <c r="C49" s="1591">
        <f t="shared" si="2"/>
        <v>0</v>
      </c>
      <c r="D49" s="41"/>
      <c r="E49" s="41"/>
      <c r="F49" s="118"/>
      <c r="G49" s="1591" t="str">
        <f>IF(SUMPRODUCT(--(CourseAims=Courses!$C43))=1,"",IF(AND($N$9=1,Courses!$C43&lt;&gt;""),"Row "&amp;Courses!A43&amp;" (invalid); ",""))</f>
        <v/>
      </c>
      <c r="H49" s="1592" t="str">
        <f>IF(AND($O$9=1,Courses!B43="",OR(Courses!F43&lt;&gt;"",Courses!H43&lt;&gt;"",Courses!J43&lt;&gt;"",Courses!K43&lt;&gt;"",Courses!L43&lt;&gt;"",Courses!M43&lt;&gt;0,Courses!N43&lt;&gt;0,Courses!O43&lt;&gt;0,Courses!P43&lt;&gt;0,Courses!Q43&lt;&gt;0,Courses!R43&lt;&gt;0,Courses!S43&lt;&gt;0,Courses!T43&lt;&gt;0,Courses!U43&lt;&gt;0,Courses!V43&lt;&gt;0,Courses!W43&lt;&gt;0,Courses!X43&lt;&gt;0,Courses!Y43&lt;&gt;0,Courses!Z43&lt;&gt;0,Courses!AA43&lt;&gt;0)),"Row "&amp;Courses!A43&amp;" (none); ","")</f>
        <v/>
      </c>
      <c r="I49" s="17"/>
      <c r="K49" s="1592" t="str">
        <f>Courses!B43&amp;Courses!K43&amp;Courses!L43</f>
        <v/>
      </c>
      <c r="L49" s="1592" t="str">
        <f>IF(AND($P$9=1,Courses!$B43&lt;&gt;"",COUNTIF(Dummy,Courses!$C43)&lt;&gt;1),IF(SUMPRODUCT(--($K$20:$K$219=$K49))&gt;1,"Row "&amp;Courses!$A43&amp;"; ",""),"")</f>
        <v/>
      </c>
      <c r="N49" s="118"/>
      <c r="O49" s="1593" t="str">
        <f>IF(AND($Q$9=1,Courses!E43&lt;&gt;"",Courses!F43=""),"Row "&amp;Courses!A43&amp;", "&amp;Courses!$E$10&amp;"; ","")</f>
        <v/>
      </c>
      <c r="P49" t="str">
        <f>IF(AND($Q$9=1,Courses!G43&lt;&gt;"",Courses!H43=""),"Row "&amp;Courses!A43&amp;", "&amp;Courses!$G$10&amp;"; ","")</f>
        <v/>
      </c>
      <c r="Q49" s="183" t="str">
        <f>IF(AND($Q$9=1,Courses!I43&lt;&gt;"",Courses!J43=""),"Row "&amp;Courses!A43&amp;", "&amp;Courses!$I$10&amp;"; ","")</f>
        <v/>
      </c>
      <c r="S49" s="17"/>
      <c r="T49" s="118"/>
      <c r="U49" s="1594" t="str">
        <f>IF(AND($R$9=1,Courses!B43&lt;&gt;"",Courses!E43&lt;&gt;"",Courses!G43="",Courses!I43="",Courses!F43&lt;&gt;1),"Row "&amp;Courses!A43&amp;"; ","")</f>
        <v/>
      </c>
      <c r="V49" t="str">
        <f>IF(AND($R$9=1,Courses!B43&lt;&gt;"",Courses!I43="",Courses!F43&lt;&gt;"",Courses!G43&lt;&gt;"",Courses!H43&lt;&gt;""),IF(OR((Courses!F43+Courses!H43)&lt;&gt;1),"Row "&amp;Courses!A43&amp;"; ",""),"")</f>
        <v/>
      </c>
      <c r="W49" s="183" t="str">
        <f>IF(AND($R$9=1,Courses!B43&lt;&gt;"",Courses!I43&lt;&gt;"",Courses!J43&lt;&gt;"",Courses!H43&lt;&gt;"",Courses!G43&lt;&gt;"",Courses!F43&lt;&gt;""),IF(OR((Courses!F43+Courses!H43+Courses!J43)&lt;&gt;1),"Row "&amp;Courses!A43&amp;"; ",""),"")</f>
        <v/>
      </c>
      <c r="Y49" s="1592" t="str">
        <f>IF(AND($R$9=1,Courses!E43&lt;&gt;"",U49="",V49="",W49="",SUM(Courses!F43,Courses!H43,Courses!J43)&lt;&gt;1),"Row "&amp;Courses!A43&amp;"; ","")</f>
        <v/>
      </c>
      <c r="Z49" s="17"/>
      <c r="AB49" s="1593" t="str">
        <f>IF(AND($S$9=1,Courses!B43&lt;&gt;"",Courses!E43&lt;&gt;"",Courses!F43&lt;&gt;""),IF((TRUNC(Courses!F43*100)&lt;&gt;Courses!F43*100),"Row "&amp;Courses!A43&amp;", "&amp;Courses!$F$10&amp;"; ",""),"")</f>
        <v/>
      </c>
      <c r="AC49" t="str">
        <f>IF(AND($S$9=1,Courses!B43&lt;&gt;"",Courses!G43&lt;&gt;"",Courses!H43&lt;&gt;""),IF((TRUNC(Courses!H43*100)&lt;&gt;Courses!H43*100),"Row "&amp;Courses!A43&amp;", "&amp;Courses!$H$10&amp;"; ",""),"")</f>
        <v/>
      </c>
      <c r="AD49" s="183" t="str">
        <f>IF(AND($S$9=1,Courses!B43&lt;&gt;"",Courses!I43&lt;&gt;"",Courses!J43&lt;&gt;""),IF((TRUNC(Courses!J43*100)&lt;&gt;Courses!J43*100),"Row "&amp;Courses!A43&amp;", "&amp;Courses!$J$10&amp;"; ",""),"")</f>
        <v/>
      </c>
      <c r="AF49" s="118"/>
      <c r="AG49" s="1592" t="str">
        <f>IF(AND($T$9=1,G49="",Courses!B43&lt;&gt;"",Courses!K43&lt;&gt;$B$9,Courses!K43&lt;&gt;$B$10,Courses!K43&lt;&gt;$B$11,Courses!K43&lt;&gt;$B$12,Courses!K43&lt;&gt;$B$13,Courses!K43&lt;&gt;$B$14),"Row "&amp;Courses!A43&amp;"; ","")</f>
        <v/>
      </c>
      <c r="AH49" s="1592" t="str">
        <f>IF(AND($U$9=1,G49="",Courses!B43&lt;&gt;"",Courses!L43&lt;&gt;"Standard",Courses!L43&lt;&gt;"Long"),"Row "&amp;Courses!A43&amp;"; ","")</f>
        <v/>
      </c>
      <c r="AJ49" s="118"/>
      <c r="AK49" s="3">
        <v>30</v>
      </c>
      <c r="AL49" s="1593" t="str">
        <f>IF(AND($V$9=1,(TRUNC(Courses!M43)&lt;&gt;Courses!M43)), "Row "&amp;Courses!$A43&amp;", "&amp;AL$9&amp;", "&amp;AL$10&amp;", "&amp;AL$11&amp;"; ","")</f>
        <v/>
      </c>
      <c r="AM49" t="str">
        <f>IF(AND($V$9=1,(TRUNC(Courses!N43)&lt;&gt;Courses!N43)), "Row "&amp;Courses!$A43&amp;", "&amp;AM$9&amp;", "&amp;AM$10&amp;", "&amp;AM$11&amp;"; ","")</f>
        <v/>
      </c>
      <c r="AN49" t="str">
        <f>IF(AND($V$9=1,(TRUNC(Courses!O43)&lt;&gt;Courses!O43)), "Row "&amp;Courses!$A43&amp;", "&amp;AN$9&amp;", "&amp;AN$10&amp;", "&amp;AN$11&amp;"; ","")</f>
        <v/>
      </c>
      <c r="AO49" t="str">
        <f>IF(AND($V$9=1,(TRUNC(Courses!P43)&lt;&gt;Courses!P43)), "Row "&amp;Courses!$A43&amp;", "&amp;AO$9&amp;", "&amp;AO$10&amp;", "&amp;AO$11&amp;"; ","")</f>
        <v/>
      </c>
      <c r="AP49" s="2120" t="str">
        <f>IF(AND($V$9=1,(TRUNC(Courses!Q43)&lt;&gt;Courses!Q43)), "Row "&amp;Courses!$A43&amp;", "&amp;AP$9&amp;", "&amp;AP$10&amp;"; ","")</f>
        <v/>
      </c>
      <c r="AQ49" s="1593" t="str">
        <f>IF(AND($V$9=1,(TRUNC(Courses!R43)&lt;&gt;Courses!R43)), "Row "&amp;Courses!$A43&amp;", "&amp;AQ$9&amp;", "&amp;AQ$10&amp;", "&amp;AQ$11&amp;"; ","")</f>
        <v/>
      </c>
      <c r="AR49" t="str">
        <f>IF(AND($V$9=1,(TRUNC(Courses!S43)&lt;&gt;Courses!S43)), "Row "&amp;Courses!$A43&amp;", "&amp;AR$9&amp;", "&amp;AR$10&amp;", "&amp;AR$11&amp;"; ","")</f>
        <v/>
      </c>
      <c r="AS49" t="str">
        <f>IF(AND($V$9=1,(TRUNC(Courses!T43)&lt;&gt;Courses!T43)), "Row "&amp;Courses!$A43&amp;", "&amp;AS$9&amp;", "&amp;AS$10&amp;", "&amp;AS$11&amp;"; ","")</f>
        <v/>
      </c>
      <c r="AT49" t="str">
        <f>IF(AND($V$9=1,(TRUNC(Courses!U43)&lt;&gt;Courses!U43)), "Row "&amp;Courses!$A43&amp;", "&amp;AT$9&amp;", "&amp;AT$10&amp;", "&amp;AT$11&amp;"; ","")</f>
        <v/>
      </c>
      <c r="AU49" s="2120" t="str">
        <f>IF(AND($V$9=1,(TRUNC(Courses!V43)&lt;&gt;Courses!V43)), "Row "&amp;Courses!$A43&amp;", "&amp;AU$9&amp;", "&amp;AU$10&amp;"; ","")</f>
        <v/>
      </c>
      <c r="AV49" s="1593" t="str">
        <f>IF(AND($V$9=1,(TRUNC(Courses!W43)&lt;&gt;Courses!W43)), "Row "&amp;Courses!$A43&amp;", "&amp;AV$9&amp;", "&amp;AV$10&amp;", "&amp;AV$11&amp;"; ","")</f>
        <v/>
      </c>
      <c r="AW49" t="str">
        <f>IF(AND($V$9=1,(TRUNC(Courses!X43)&lt;&gt;Courses!X43)), "Row "&amp;Courses!$A43&amp;", "&amp;AW$9&amp;", "&amp;AW$10&amp;", "&amp;AW$11&amp;"; ","")</f>
        <v/>
      </c>
      <c r="AX49" t="str">
        <f>IF(AND($V$9=1,(TRUNC(Courses!Y43)&lt;&gt;Courses!Y43)), "Row "&amp;Courses!$A43&amp;", "&amp;AX$9&amp;", "&amp;AX$10&amp;", "&amp;AX$11&amp;"; ","")</f>
        <v/>
      </c>
      <c r="AY49" t="str">
        <f>IF(AND($V$9=1,(TRUNC(Courses!Z43)&lt;&gt;Courses!Z43)), "Row "&amp;Courses!$A43&amp;", "&amp;AY$9&amp;", "&amp;AY$10&amp;", "&amp;AY$11&amp;"; ","")</f>
        <v/>
      </c>
      <c r="AZ49" s="2120" t="str">
        <f>IF(AND($V$9=1,(TRUNC(Courses!AA43)&lt;&gt;Courses!AA43)), "Row "&amp;Courses!$A43&amp;", "&amp;AZ$9&amp;", "&amp;AZ$10&amp;"; ","")</f>
        <v/>
      </c>
      <c r="BA49" s="17"/>
      <c r="BB49" s="118"/>
      <c r="BC49" s="3">
        <v>30</v>
      </c>
      <c r="BD49" s="1593" t="str">
        <f>IF(AND($W$9=1,Courses!M43&lt;0), "Row "&amp;Courses!$A43&amp;", "&amp;BD$9&amp;", "&amp;BD$10&amp;", "&amp;BD$11&amp;"; ","")</f>
        <v/>
      </c>
      <c r="BE49" t="str">
        <f>IF(AND($W$9=1,Courses!N43&lt;0), "Row "&amp;Courses!$A43&amp;", "&amp;BE$9&amp;", "&amp;BE$10&amp;", "&amp;BE$11&amp;"; ","")</f>
        <v/>
      </c>
      <c r="BF49" t="str">
        <f>IF(AND($W$9=1,Courses!O43&lt;0), "Row "&amp;Courses!$A43&amp;", "&amp;BF$9&amp;", "&amp;BF$10&amp;", "&amp;BF$11&amp;"; ","")</f>
        <v/>
      </c>
      <c r="BG49" t="str">
        <f>IF(AND($W$9=1,Courses!P43&lt;0), "Row "&amp;Courses!$A43&amp;", "&amp;BG$9&amp;", "&amp;BG$10&amp;", "&amp;BG$11&amp;"; ","")</f>
        <v/>
      </c>
      <c r="BH49" s="2120" t="str">
        <f>IF(AND($W$9=1,Courses!Q43&lt;0), "Row "&amp;Courses!$A43&amp;", "&amp;BH$9&amp;", "&amp;BH$10&amp;"; ","")</f>
        <v/>
      </c>
      <c r="BI49" s="1593" t="str">
        <f>IF(AND($W$9=1,Courses!R43&lt;0), "Row "&amp;Courses!$A43&amp;", "&amp;BI$9&amp;", "&amp;BI$10&amp;", "&amp;BI$11&amp;"; ","")</f>
        <v/>
      </c>
      <c r="BJ49" t="str">
        <f>IF(AND($W$9=1,Courses!S43&lt;0), "Row "&amp;Courses!$A43&amp;", "&amp;BJ$9&amp;", "&amp;BJ$10&amp;", "&amp;BJ$11&amp;"; ","")</f>
        <v/>
      </c>
      <c r="BK49" t="str">
        <f>IF(AND($W$9=1,Courses!T43&lt;0), "Row "&amp;Courses!$A43&amp;", "&amp;BK$9&amp;", "&amp;BK$10&amp;", "&amp;BK$11&amp;"; ","")</f>
        <v/>
      </c>
      <c r="BL49" t="str">
        <f>IF(AND($W$9=1,Courses!U43&lt;0), "Row "&amp;Courses!$A43&amp;", "&amp;BL$9&amp;", "&amp;BL$10&amp;", "&amp;BL$11&amp;"; ","")</f>
        <v/>
      </c>
      <c r="BM49" s="2120" t="str">
        <f>IF(AND($W$9=1,Courses!V43&lt;0), "Row "&amp;Courses!$A43&amp;", "&amp;BM$9&amp;", "&amp;BM$10&amp;"; ","")</f>
        <v/>
      </c>
      <c r="BN49" s="1593" t="str">
        <f>IF(AND($W$9=1,Courses!W43&lt;0), "Row "&amp;Courses!$A43&amp;", "&amp;BN$9&amp;", "&amp;BN$10&amp;", "&amp;BN$11&amp;"; ","")</f>
        <v/>
      </c>
      <c r="BO49" t="str">
        <f>IF(AND($W$9=1,Courses!X43&lt;0), "Row "&amp;Courses!$A43&amp;", "&amp;BO$9&amp;", "&amp;BO$10&amp;", "&amp;BO$11&amp;"; ","")</f>
        <v/>
      </c>
      <c r="BP49" t="str">
        <f>IF(AND($W$9=1,Courses!Y43&lt;0), "Row "&amp;Courses!$A43&amp;", "&amp;BP$9&amp;", "&amp;BP$10&amp;", "&amp;BP$11&amp;"; ","")</f>
        <v/>
      </c>
      <c r="BQ49" t="str">
        <f>IF(AND($W$9=1,Courses!Z43&lt;0), "Row "&amp;Courses!$A43&amp;", "&amp;BQ$9&amp;", "&amp;BQ$10&amp;", "&amp;BQ$11&amp;"; ","")</f>
        <v/>
      </c>
      <c r="BR49" s="2120" t="str">
        <f>IF(AND($W$9=1,Courses!AA43&lt;0), "Row "&amp;Courses!$A43&amp;", "&amp;BR$9&amp;", "&amp;BR$10&amp;"; ","")</f>
        <v/>
      </c>
      <c r="BT49" s="186">
        <v>30</v>
      </c>
      <c r="BU49" s="40">
        <f>IF(AND($X$9=1,Courses!B43="",Courses!F43="",Courses!H43="",Courses!J43="",Courses!K43="",Courses!L43="",Courses!M43=0,Courses!N43=0,Courses!O43=0,Courses!P43=0,Courses!Q43=0,Courses!R43=0,Courses!S43=0,Courses!T43=0,Courses!U43=0,Courses!V43=0,Courses!W43=0,Courses!X43=0,Courses!Y43=0,Courses!Z43=0,Courses!AA43=0),0,1)</f>
        <v>0</v>
      </c>
      <c r="BV49" s="40">
        <f>IF(AND(BU49=0,SUM(BU50:$BU$219)&gt;0),1,0)</f>
        <v>0</v>
      </c>
      <c r="BW49" s="1595" t="str">
        <f>IF(BV49=1,"Row "&amp;Courses!A43&amp;"; ","")</f>
        <v/>
      </c>
      <c r="BX49" s="17"/>
      <c r="BZ49" s="1592" t="str">
        <f>IF(AND($Y$9=1,Courses!B43&lt;&gt;"",SUM(Courses!M43:AA43)=0),"Row "&amp;Courses!A43&amp;"; ","")</f>
        <v/>
      </c>
      <c r="CA49" s="17"/>
      <c r="CC49" s="1592" t="str">
        <f>IF(AND($Z$9=1,Courses!AD43=1,(LEN(Courses!AB43)&gt;200)),"Row "&amp;Courses!A43&amp;"; ","")</f>
        <v/>
      </c>
      <c r="CE49" s="131"/>
      <c r="CG49" s="1593" t="str">
        <f>IF(AND($AD$9=1,Courses!E43&lt;&gt;"",Courses!F43&lt;&gt;"",Courses!F43=0,SUM(Courses!H43,Courses!J43)=1),"Row "&amp;Courses!A43&amp;", "&amp;Courses!$F$10&amp;"; ","")</f>
        <v/>
      </c>
      <c r="CH49" t="str">
        <f>IF(AND($AD$9=1,Courses!G43&lt;&gt;"",Courses!H43&lt;&gt;"",Courses!H43=0,SUM(Courses!J43,Courses!F43)=1),"Row "&amp;Courses!A43&amp;", "&amp;Courses!$H$10&amp;"; ","")</f>
        <v/>
      </c>
      <c r="CI49" s="183" t="str">
        <f>IF(AND($AD$9=1,Courses!I43&lt;&gt;"",Courses!J43&lt;&gt;"",Courses!J43=0, SUM(Courses!H43,Courses!F43)=1),"Row "&amp;Courses!A43&amp;", "&amp;Courses!$J$10&amp;"; ","")</f>
        <v/>
      </c>
      <c r="CJ49" s="180"/>
      <c r="CK49" s="181"/>
      <c r="CL49" s="1592" t="str">
        <f>IF(AND(Courses!B43&lt;&gt;"",ISNA(VLOOKUP(Courses!C43,CourseInfo,2,FALSE))=FALSE,COUNTIF(Dummy,Courses!C43)&lt;&gt;1),VLOOKUP(Courses!C43,CourseInfo,6,FALSE),"")</f>
        <v/>
      </c>
      <c r="CM49" s="1592" t="str">
        <f>IF(AND($AE$9=1,Courses!B43&lt;&gt;"",'Courses Valid'!AG49="",COUNTIF(Dummy,Courses!C43)&lt;&gt;1),IF(Courses!K43&lt;&gt;'Courses Valid'!CL49,"Row "&amp;Courses!A43&amp;", Level on LARS is "&amp;'Courses Valid'!CL49&amp;"; ",""),"")</f>
        <v/>
      </c>
      <c r="CN49" s="131"/>
    </row>
    <row r="50" spans="3:92" x14ac:dyDescent="0.35">
      <c r="C50" s="1591">
        <f t="shared" si="2"/>
        <v>0</v>
      </c>
      <c r="D50" s="41"/>
      <c r="E50" s="41"/>
      <c r="F50" s="118"/>
      <c r="G50" s="1591" t="str">
        <f>IF(SUMPRODUCT(--(CourseAims=Courses!$C44))=1,"",IF(AND($N$9=1,Courses!$C44&lt;&gt;""),"Row "&amp;Courses!A44&amp;" (invalid); ",""))</f>
        <v/>
      </c>
      <c r="H50" s="1592" t="str">
        <f>IF(AND($O$9=1,Courses!B44="",OR(Courses!F44&lt;&gt;"",Courses!H44&lt;&gt;"",Courses!J44&lt;&gt;"",Courses!K44&lt;&gt;"",Courses!L44&lt;&gt;"",Courses!M44&lt;&gt;0,Courses!N44&lt;&gt;0,Courses!O44&lt;&gt;0,Courses!P44&lt;&gt;0,Courses!Q44&lt;&gt;0,Courses!R44&lt;&gt;0,Courses!S44&lt;&gt;0,Courses!T44&lt;&gt;0,Courses!U44&lt;&gt;0,Courses!V44&lt;&gt;0,Courses!W44&lt;&gt;0,Courses!X44&lt;&gt;0,Courses!Y44&lt;&gt;0,Courses!Z44&lt;&gt;0,Courses!AA44&lt;&gt;0)),"Row "&amp;Courses!A44&amp;" (none); ","")</f>
        <v/>
      </c>
      <c r="I50" s="17"/>
      <c r="K50" s="1592" t="str">
        <f>Courses!B44&amp;Courses!K44&amp;Courses!L44</f>
        <v/>
      </c>
      <c r="L50" s="1592" t="str">
        <f>IF(AND($P$9=1,Courses!$B44&lt;&gt;"",COUNTIF(Dummy,Courses!$C44)&lt;&gt;1),IF(SUMPRODUCT(--($K$20:$K$219=$K50))&gt;1,"Row "&amp;Courses!$A44&amp;"; ",""),"")</f>
        <v/>
      </c>
      <c r="N50" s="118"/>
      <c r="O50" s="1593" t="str">
        <f>IF(AND($Q$9=1,Courses!E44&lt;&gt;"",Courses!F44=""),"Row "&amp;Courses!A44&amp;", "&amp;Courses!$E$10&amp;"; ","")</f>
        <v/>
      </c>
      <c r="P50" t="str">
        <f>IF(AND($Q$9=1,Courses!G44&lt;&gt;"",Courses!H44=""),"Row "&amp;Courses!A44&amp;", "&amp;Courses!$G$10&amp;"; ","")</f>
        <v/>
      </c>
      <c r="Q50" s="183" t="str">
        <f>IF(AND($Q$9=1,Courses!I44&lt;&gt;"",Courses!J44=""),"Row "&amp;Courses!A44&amp;", "&amp;Courses!$I$10&amp;"; ","")</f>
        <v/>
      </c>
      <c r="S50" s="17"/>
      <c r="T50" s="118"/>
      <c r="U50" s="1594" t="str">
        <f>IF(AND($R$9=1,Courses!B44&lt;&gt;"",Courses!E44&lt;&gt;"",Courses!G44="",Courses!I44="",Courses!F44&lt;&gt;1),"Row "&amp;Courses!A44&amp;"; ","")</f>
        <v/>
      </c>
      <c r="V50" t="str">
        <f>IF(AND($R$9=1,Courses!B44&lt;&gt;"",Courses!I44="",Courses!F44&lt;&gt;"",Courses!G44&lt;&gt;"",Courses!H44&lt;&gt;""),IF(OR((Courses!F44+Courses!H44)&lt;&gt;1),"Row "&amp;Courses!A44&amp;"; ",""),"")</f>
        <v/>
      </c>
      <c r="W50" s="183" t="str">
        <f>IF(AND($R$9=1,Courses!B44&lt;&gt;"",Courses!I44&lt;&gt;"",Courses!J44&lt;&gt;"",Courses!H44&lt;&gt;"",Courses!G44&lt;&gt;"",Courses!F44&lt;&gt;""),IF(OR((Courses!F44+Courses!H44+Courses!J44)&lt;&gt;1),"Row "&amp;Courses!A44&amp;"; ",""),"")</f>
        <v/>
      </c>
      <c r="Y50" s="1592" t="str">
        <f>IF(AND($R$9=1,Courses!E44&lt;&gt;"",U50="",V50="",W50="",SUM(Courses!F44,Courses!H44,Courses!J44)&lt;&gt;1),"Row "&amp;Courses!A44&amp;"; ","")</f>
        <v/>
      </c>
      <c r="Z50" s="17"/>
      <c r="AB50" s="1593" t="str">
        <f>IF(AND($S$9=1,Courses!B44&lt;&gt;"",Courses!E44&lt;&gt;"",Courses!F44&lt;&gt;""),IF((TRUNC(Courses!F44*100)&lt;&gt;Courses!F44*100),"Row "&amp;Courses!A44&amp;", "&amp;Courses!$F$10&amp;"; ",""),"")</f>
        <v/>
      </c>
      <c r="AC50" t="str">
        <f>IF(AND($S$9=1,Courses!B44&lt;&gt;"",Courses!G44&lt;&gt;"",Courses!H44&lt;&gt;""),IF((TRUNC(Courses!H44*100)&lt;&gt;Courses!H44*100),"Row "&amp;Courses!A44&amp;", "&amp;Courses!$H$10&amp;"; ",""),"")</f>
        <v/>
      </c>
      <c r="AD50" s="183" t="str">
        <f>IF(AND($S$9=1,Courses!B44&lt;&gt;"",Courses!I44&lt;&gt;"",Courses!J44&lt;&gt;""),IF((TRUNC(Courses!J44*100)&lt;&gt;Courses!J44*100),"Row "&amp;Courses!A44&amp;", "&amp;Courses!$J$10&amp;"; ",""),"")</f>
        <v/>
      </c>
      <c r="AF50" s="118"/>
      <c r="AG50" s="1592" t="str">
        <f>IF(AND($T$9=1,G50="",Courses!B44&lt;&gt;"",Courses!K44&lt;&gt;$B$9,Courses!K44&lt;&gt;$B$10,Courses!K44&lt;&gt;$B$11,Courses!K44&lt;&gt;$B$12,Courses!K44&lt;&gt;$B$13,Courses!K44&lt;&gt;$B$14),"Row "&amp;Courses!A44&amp;"; ","")</f>
        <v/>
      </c>
      <c r="AH50" s="1592" t="str">
        <f>IF(AND($U$9=1,G50="",Courses!B44&lt;&gt;"",Courses!L44&lt;&gt;"Standard",Courses!L44&lt;&gt;"Long"),"Row "&amp;Courses!A44&amp;"; ","")</f>
        <v/>
      </c>
      <c r="AJ50" s="118"/>
      <c r="AK50" s="3">
        <v>31</v>
      </c>
      <c r="AL50" s="1593" t="str">
        <f>IF(AND($V$9=1,(TRUNC(Courses!M44)&lt;&gt;Courses!M44)), "Row "&amp;Courses!$A44&amp;", "&amp;AL$9&amp;", "&amp;AL$10&amp;", "&amp;AL$11&amp;"; ","")</f>
        <v/>
      </c>
      <c r="AM50" t="str">
        <f>IF(AND($V$9=1,(TRUNC(Courses!N44)&lt;&gt;Courses!N44)), "Row "&amp;Courses!$A44&amp;", "&amp;AM$9&amp;", "&amp;AM$10&amp;", "&amp;AM$11&amp;"; ","")</f>
        <v/>
      </c>
      <c r="AN50" t="str">
        <f>IF(AND($V$9=1,(TRUNC(Courses!O44)&lt;&gt;Courses!O44)), "Row "&amp;Courses!$A44&amp;", "&amp;AN$9&amp;", "&amp;AN$10&amp;", "&amp;AN$11&amp;"; ","")</f>
        <v/>
      </c>
      <c r="AO50" t="str">
        <f>IF(AND($V$9=1,(TRUNC(Courses!P44)&lt;&gt;Courses!P44)), "Row "&amp;Courses!$A44&amp;", "&amp;AO$9&amp;", "&amp;AO$10&amp;", "&amp;AO$11&amp;"; ","")</f>
        <v/>
      </c>
      <c r="AP50" s="2120" t="str">
        <f>IF(AND($V$9=1,(TRUNC(Courses!Q44)&lt;&gt;Courses!Q44)), "Row "&amp;Courses!$A44&amp;", "&amp;AP$9&amp;", "&amp;AP$10&amp;"; ","")</f>
        <v/>
      </c>
      <c r="AQ50" s="1593" t="str">
        <f>IF(AND($V$9=1,(TRUNC(Courses!R44)&lt;&gt;Courses!R44)), "Row "&amp;Courses!$A44&amp;", "&amp;AQ$9&amp;", "&amp;AQ$10&amp;", "&amp;AQ$11&amp;"; ","")</f>
        <v/>
      </c>
      <c r="AR50" t="str">
        <f>IF(AND($V$9=1,(TRUNC(Courses!S44)&lt;&gt;Courses!S44)), "Row "&amp;Courses!$A44&amp;", "&amp;AR$9&amp;", "&amp;AR$10&amp;", "&amp;AR$11&amp;"; ","")</f>
        <v/>
      </c>
      <c r="AS50" t="str">
        <f>IF(AND($V$9=1,(TRUNC(Courses!T44)&lt;&gt;Courses!T44)), "Row "&amp;Courses!$A44&amp;", "&amp;AS$9&amp;", "&amp;AS$10&amp;", "&amp;AS$11&amp;"; ","")</f>
        <v/>
      </c>
      <c r="AT50" t="str">
        <f>IF(AND($V$9=1,(TRUNC(Courses!U44)&lt;&gt;Courses!U44)), "Row "&amp;Courses!$A44&amp;", "&amp;AT$9&amp;", "&amp;AT$10&amp;", "&amp;AT$11&amp;"; ","")</f>
        <v/>
      </c>
      <c r="AU50" s="2120" t="str">
        <f>IF(AND($V$9=1,(TRUNC(Courses!V44)&lt;&gt;Courses!V44)), "Row "&amp;Courses!$A44&amp;", "&amp;AU$9&amp;", "&amp;AU$10&amp;"; ","")</f>
        <v/>
      </c>
      <c r="AV50" s="1593" t="str">
        <f>IF(AND($V$9=1,(TRUNC(Courses!W44)&lt;&gt;Courses!W44)), "Row "&amp;Courses!$A44&amp;", "&amp;AV$9&amp;", "&amp;AV$10&amp;", "&amp;AV$11&amp;"; ","")</f>
        <v/>
      </c>
      <c r="AW50" t="str">
        <f>IF(AND($V$9=1,(TRUNC(Courses!X44)&lt;&gt;Courses!X44)), "Row "&amp;Courses!$A44&amp;", "&amp;AW$9&amp;", "&amp;AW$10&amp;", "&amp;AW$11&amp;"; ","")</f>
        <v/>
      </c>
      <c r="AX50" t="str">
        <f>IF(AND($V$9=1,(TRUNC(Courses!Y44)&lt;&gt;Courses!Y44)), "Row "&amp;Courses!$A44&amp;", "&amp;AX$9&amp;", "&amp;AX$10&amp;", "&amp;AX$11&amp;"; ","")</f>
        <v/>
      </c>
      <c r="AY50" t="str">
        <f>IF(AND($V$9=1,(TRUNC(Courses!Z44)&lt;&gt;Courses!Z44)), "Row "&amp;Courses!$A44&amp;", "&amp;AY$9&amp;", "&amp;AY$10&amp;", "&amp;AY$11&amp;"; ","")</f>
        <v/>
      </c>
      <c r="AZ50" s="2120" t="str">
        <f>IF(AND($V$9=1,(TRUNC(Courses!AA44)&lt;&gt;Courses!AA44)), "Row "&amp;Courses!$A44&amp;", "&amp;AZ$9&amp;", "&amp;AZ$10&amp;"; ","")</f>
        <v/>
      </c>
      <c r="BA50" s="17"/>
      <c r="BB50" s="118"/>
      <c r="BC50" s="3">
        <v>31</v>
      </c>
      <c r="BD50" s="1593" t="str">
        <f>IF(AND($W$9=1,Courses!M44&lt;0), "Row "&amp;Courses!$A44&amp;", "&amp;BD$9&amp;", "&amp;BD$10&amp;", "&amp;BD$11&amp;"; ","")</f>
        <v/>
      </c>
      <c r="BE50" t="str">
        <f>IF(AND($W$9=1,Courses!N44&lt;0), "Row "&amp;Courses!$A44&amp;", "&amp;BE$9&amp;", "&amp;BE$10&amp;", "&amp;BE$11&amp;"; ","")</f>
        <v/>
      </c>
      <c r="BF50" t="str">
        <f>IF(AND($W$9=1,Courses!O44&lt;0), "Row "&amp;Courses!$A44&amp;", "&amp;BF$9&amp;", "&amp;BF$10&amp;", "&amp;BF$11&amp;"; ","")</f>
        <v/>
      </c>
      <c r="BG50" t="str">
        <f>IF(AND($W$9=1,Courses!P44&lt;0), "Row "&amp;Courses!$A44&amp;", "&amp;BG$9&amp;", "&amp;BG$10&amp;", "&amp;BG$11&amp;"; ","")</f>
        <v/>
      </c>
      <c r="BH50" s="2120" t="str">
        <f>IF(AND($W$9=1,Courses!Q44&lt;0), "Row "&amp;Courses!$A44&amp;", "&amp;BH$9&amp;", "&amp;BH$10&amp;"; ","")</f>
        <v/>
      </c>
      <c r="BI50" s="1593" t="str">
        <f>IF(AND($W$9=1,Courses!R44&lt;0), "Row "&amp;Courses!$A44&amp;", "&amp;BI$9&amp;", "&amp;BI$10&amp;", "&amp;BI$11&amp;"; ","")</f>
        <v/>
      </c>
      <c r="BJ50" t="str">
        <f>IF(AND($W$9=1,Courses!S44&lt;0), "Row "&amp;Courses!$A44&amp;", "&amp;BJ$9&amp;", "&amp;BJ$10&amp;", "&amp;BJ$11&amp;"; ","")</f>
        <v/>
      </c>
      <c r="BK50" t="str">
        <f>IF(AND($W$9=1,Courses!T44&lt;0), "Row "&amp;Courses!$A44&amp;", "&amp;BK$9&amp;", "&amp;BK$10&amp;", "&amp;BK$11&amp;"; ","")</f>
        <v/>
      </c>
      <c r="BL50" t="str">
        <f>IF(AND($W$9=1,Courses!U44&lt;0), "Row "&amp;Courses!$A44&amp;", "&amp;BL$9&amp;", "&amp;BL$10&amp;", "&amp;BL$11&amp;"; ","")</f>
        <v/>
      </c>
      <c r="BM50" s="2120" t="str">
        <f>IF(AND($W$9=1,Courses!V44&lt;0), "Row "&amp;Courses!$A44&amp;", "&amp;BM$9&amp;", "&amp;BM$10&amp;"; ","")</f>
        <v/>
      </c>
      <c r="BN50" s="1593" t="str">
        <f>IF(AND($W$9=1,Courses!W44&lt;0), "Row "&amp;Courses!$A44&amp;", "&amp;BN$9&amp;", "&amp;BN$10&amp;", "&amp;BN$11&amp;"; ","")</f>
        <v/>
      </c>
      <c r="BO50" t="str">
        <f>IF(AND($W$9=1,Courses!X44&lt;0), "Row "&amp;Courses!$A44&amp;", "&amp;BO$9&amp;", "&amp;BO$10&amp;", "&amp;BO$11&amp;"; ","")</f>
        <v/>
      </c>
      <c r="BP50" t="str">
        <f>IF(AND($W$9=1,Courses!Y44&lt;0), "Row "&amp;Courses!$A44&amp;", "&amp;BP$9&amp;", "&amp;BP$10&amp;", "&amp;BP$11&amp;"; ","")</f>
        <v/>
      </c>
      <c r="BQ50" t="str">
        <f>IF(AND($W$9=1,Courses!Z44&lt;0), "Row "&amp;Courses!$A44&amp;", "&amp;BQ$9&amp;", "&amp;BQ$10&amp;", "&amp;BQ$11&amp;"; ","")</f>
        <v/>
      </c>
      <c r="BR50" s="2120" t="str">
        <f>IF(AND($W$9=1,Courses!AA44&lt;0), "Row "&amp;Courses!$A44&amp;", "&amp;BR$9&amp;", "&amp;BR$10&amp;"; ","")</f>
        <v/>
      </c>
      <c r="BT50" s="186">
        <v>31</v>
      </c>
      <c r="BU50" s="40">
        <f>IF(AND($X$9=1,Courses!B44="",Courses!F44="",Courses!H44="",Courses!J44="",Courses!K44="",Courses!L44="",Courses!M44=0,Courses!N44=0,Courses!O44=0,Courses!P44=0,Courses!Q44=0,Courses!R44=0,Courses!S44=0,Courses!T44=0,Courses!U44=0,Courses!V44=0,Courses!W44=0,Courses!X44=0,Courses!Y44=0,Courses!Z44=0,Courses!AA44=0),0,1)</f>
        <v>0</v>
      </c>
      <c r="BV50" s="40">
        <f>IF(AND(BU50=0,SUM(BU51:$BU$219)&gt;0),1,0)</f>
        <v>0</v>
      </c>
      <c r="BW50" s="1595" t="str">
        <f>IF(BV50=1,"Row "&amp;Courses!A44&amp;"; ","")</f>
        <v/>
      </c>
      <c r="BX50" s="17"/>
      <c r="BZ50" s="1592" t="str">
        <f>IF(AND($Y$9=1,Courses!B44&lt;&gt;"",SUM(Courses!M44:AA44)=0),"Row "&amp;Courses!A44&amp;"; ","")</f>
        <v/>
      </c>
      <c r="CA50" s="17"/>
      <c r="CC50" s="1592" t="str">
        <f>IF(AND($Z$9=1,Courses!AD44=1,(LEN(Courses!AB44)&gt;200)),"Row "&amp;Courses!A44&amp;"; ","")</f>
        <v/>
      </c>
      <c r="CE50" s="131"/>
      <c r="CG50" s="1593" t="str">
        <f>IF(AND($AD$9=1,Courses!E44&lt;&gt;"",Courses!F44&lt;&gt;"",Courses!F44=0,SUM(Courses!H44,Courses!J44)=1),"Row "&amp;Courses!A44&amp;", "&amp;Courses!$F$10&amp;"; ","")</f>
        <v/>
      </c>
      <c r="CH50" t="str">
        <f>IF(AND($AD$9=1,Courses!G44&lt;&gt;"",Courses!H44&lt;&gt;"",Courses!H44=0,SUM(Courses!J44,Courses!F44)=1),"Row "&amp;Courses!A44&amp;", "&amp;Courses!$H$10&amp;"; ","")</f>
        <v/>
      </c>
      <c r="CI50" s="183" t="str">
        <f>IF(AND($AD$9=1,Courses!I44&lt;&gt;"",Courses!J44&lt;&gt;"",Courses!J44=0, SUM(Courses!H44,Courses!F44)=1),"Row "&amp;Courses!A44&amp;", "&amp;Courses!$J$10&amp;"; ","")</f>
        <v/>
      </c>
      <c r="CJ50" s="180"/>
      <c r="CK50" s="181"/>
      <c r="CL50" s="1592" t="str">
        <f>IF(AND(Courses!B44&lt;&gt;"",ISNA(VLOOKUP(Courses!C44,CourseInfo,2,FALSE))=FALSE,COUNTIF(Dummy,Courses!C44)&lt;&gt;1),VLOOKUP(Courses!C44,CourseInfo,6,FALSE),"")</f>
        <v/>
      </c>
      <c r="CM50" s="1592" t="str">
        <f>IF(AND($AE$9=1,Courses!B44&lt;&gt;"",'Courses Valid'!AG50="",COUNTIF(Dummy,Courses!C44)&lt;&gt;1),IF(Courses!K44&lt;&gt;'Courses Valid'!CL50,"Row "&amp;Courses!A44&amp;", Level on LARS is "&amp;'Courses Valid'!CL50&amp;"; ",""),"")</f>
        <v/>
      </c>
      <c r="CN50" s="131"/>
    </row>
    <row r="51" spans="3:92" x14ac:dyDescent="0.35">
      <c r="C51" s="1591">
        <f t="shared" si="2"/>
        <v>0</v>
      </c>
      <c r="D51" s="41"/>
      <c r="E51" s="41"/>
      <c r="F51" s="118"/>
      <c r="G51" s="1591" t="str">
        <f>IF(SUMPRODUCT(--(CourseAims=Courses!$C45))=1,"",IF(AND($N$9=1,Courses!$C45&lt;&gt;""),"Row "&amp;Courses!A45&amp;" (invalid); ",""))</f>
        <v/>
      </c>
      <c r="H51" s="1592" t="str">
        <f>IF(AND($O$9=1,Courses!B45="",OR(Courses!F45&lt;&gt;"",Courses!H45&lt;&gt;"",Courses!J45&lt;&gt;"",Courses!K45&lt;&gt;"",Courses!L45&lt;&gt;"",Courses!M45&lt;&gt;0,Courses!N45&lt;&gt;0,Courses!O45&lt;&gt;0,Courses!P45&lt;&gt;0,Courses!Q45&lt;&gt;0,Courses!R45&lt;&gt;0,Courses!S45&lt;&gt;0,Courses!T45&lt;&gt;0,Courses!U45&lt;&gt;0,Courses!V45&lt;&gt;0,Courses!W45&lt;&gt;0,Courses!X45&lt;&gt;0,Courses!Y45&lt;&gt;0,Courses!Z45&lt;&gt;0,Courses!AA45&lt;&gt;0)),"Row "&amp;Courses!A45&amp;" (none); ","")</f>
        <v/>
      </c>
      <c r="I51" s="17"/>
      <c r="K51" s="1592" t="str">
        <f>Courses!B45&amp;Courses!K45&amp;Courses!L45</f>
        <v/>
      </c>
      <c r="L51" s="1592" t="str">
        <f>IF(AND($P$9=1,Courses!$B45&lt;&gt;"",COUNTIF(Dummy,Courses!$C45)&lt;&gt;1),IF(SUMPRODUCT(--($K$20:$K$219=$K51))&gt;1,"Row "&amp;Courses!$A45&amp;"; ",""),"")</f>
        <v/>
      </c>
      <c r="N51" s="118"/>
      <c r="O51" s="1593" t="str">
        <f>IF(AND($Q$9=1,Courses!E45&lt;&gt;"",Courses!F45=""),"Row "&amp;Courses!A45&amp;", "&amp;Courses!$E$10&amp;"; ","")</f>
        <v/>
      </c>
      <c r="P51" t="str">
        <f>IF(AND($Q$9=1,Courses!G45&lt;&gt;"",Courses!H45=""),"Row "&amp;Courses!A45&amp;", "&amp;Courses!$G$10&amp;"; ","")</f>
        <v/>
      </c>
      <c r="Q51" s="183" t="str">
        <f>IF(AND($Q$9=1,Courses!I45&lt;&gt;"",Courses!J45=""),"Row "&amp;Courses!A45&amp;", "&amp;Courses!$I$10&amp;"; ","")</f>
        <v/>
      </c>
      <c r="S51" s="17"/>
      <c r="T51" s="118"/>
      <c r="U51" s="1594" t="str">
        <f>IF(AND($R$9=1,Courses!B45&lt;&gt;"",Courses!E45&lt;&gt;"",Courses!G45="",Courses!I45="",Courses!F45&lt;&gt;1),"Row "&amp;Courses!A45&amp;"; ","")</f>
        <v/>
      </c>
      <c r="V51" t="str">
        <f>IF(AND($R$9=1,Courses!B45&lt;&gt;"",Courses!I45="",Courses!F45&lt;&gt;"",Courses!G45&lt;&gt;"",Courses!H45&lt;&gt;""),IF(OR((Courses!F45+Courses!H45)&lt;&gt;1),"Row "&amp;Courses!A45&amp;"; ",""),"")</f>
        <v/>
      </c>
      <c r="W51" s="183" t="str">
        <f>IF(AND($R$9=1,Courses!B45&lt;&gt;"",Courses!I45&lt;&gt;"",Courses!J45&lt;&gt;"",Courses!H45&lt;&gt;"",Courses!G45&lt;&gt;"",Courses!F45&lt;&gt;""),IF(OR((Courses!F45+Courses!H45+Courses!J45)&lt;&gt;1),"Row "&amp;Courses!A45&amp;"; ",""),"")</f>
        <v/>
      </c>
      <c r="Y51" s="1592" t="str">
        <f>IF(AND($R$9=1,Courses!E45&lt;&gt;"",U51="",V51="",W51="",SUM(Courses!F45,Courses!H45,Courses!J45)&lt;&gt;1),"Row "&amp;Courses!A45&amp;"; ","")</f>
        <v/>
      </c>
      <c r="Z51" s="17"/>
      <c r="AB51" s="1593" t="str">
        <f>IF(AND($S$9=1,Courses!B45&lt;&gt;"",Courses!E45&lt;&gt;"",Courses!F45&lt;&gt;""),IF((TRUNC(Courses!F45*100)&lt;&gt;Courses!F45*100),"Row "&amp;Courses!A45&amp;", "&amp;Courses!$F$10&amp;"; ",""),"")</f>
        <v/>
      </c>
      <c r="AC51" t="str">
        <f>IF(AND($S$9=1,Courses!B45&lt;&gt;"",Courses!G45&lt;&gt;"",Courses!H45&lt;&gt;""),IF((TRUNC(Courses!H45*100)&lt;&gt;Courses!H45*100),"Row "&amp;Courses!A45&amp;", "&amp;Courses!$H$10&amp;"; ",""),"")</f>
        <v/>
      </c>
      <c r="AD51" s="183" t="str">
        <f>IF(AND($S$9=1,Courses!B45&lt;&gt;"",Courses!I45&lt;&gt;"",Courses!J45&lt;&gt;""),IF((TRUNC(Courses!J45*100)&lt;&gt;Courses!J45*100),"Row "&amp;Courses!A45&amp;", "&amp;Courses!$J$10&amp;"; ",""),"")</f>
        <v/>
      </c>
      <c r="AF51" s="118"/>
      <c r="AG51" s="1592" t="str">
        <f>IF(AND($T$9=1,G51="",Courses!B45&lt;&gt;"",Courses!K45&lt;&gt;$B$9,Courses!K45&lt;&gt;$B$10,Courses!K45&lt;&gt;$B$11,Courses!K45&lt;&gt;$B$12,Courses!K45&lt;&gt;$B$13,Courses!K45&lt;&gt;$B$14),"Row "&amp;Courses!A45&amp;"; ","")</f>
        <v/>
      </c>
      <c r="AH51" s="1592" t="str">
        <f>IF(AND($U$9=1,G51="",Courses!B45&lt;&gt;"",Courses!L45&lt;&gt;"Standard",Courses!L45&lt;&gt;"Long"),"Row "&amp;Courses!A45&amp;"; ","")</f>
        <v/>
      </c>
      <c r="AJ51" s="118"/>
      <c r="AK51" s="3">
        <v>32</v>
      </c>
      <c r="AL51" s="1593" t="str">
        <f>IF(AND($V$9=1,(TRUNC(Courses!M45)&lt;&gt;Courses!M45)), "Row "&amp;Courses!$A45&amp;", "&amp;AL$9&amp;", "&amp;AL$10&amp;", "&amp;AL$11&amp;"; ","")</f>
        <v/>
      </c>
      <c r="AM51" t="str">
        <f>IF(AND($V$9=1,(TRUNC(Courses!N45)&lt;&gt;Courses!N45)), "Row "&amp;Courses!$A45&amp;", "&amp;AM$9&amp;", "&amp;AM$10&amp;", "&amp;AM$11&amp;"; ","")</f>
        <v/>
      </c>
      <c r="AN51" t="str">
        <f>IF(AND($V$9=1,(TRUNC(Courses!O45)&lt;&gt;Courses!O45)), "Row "&amp;Courses!$A45&amp;", "&amp;AN$9&amp;", "&amp;AN$10&amp;", "&amp;AN$11&amp;"; ","")</f>
        <v/>
      </c>
      <c r="AO51" t="str">
        <f>IF(AND($V$9=1,(TRUNC(Courses!P45)&lt;&gt;Courses!P45)), "Row "&amp;Courses!$A45&amp;", "&amp;AO$9&amp;", "&amp;AO$10&amp;", "&amp;AO$11&amp;"; ","")</f>
        <v/>
      </c>
      <c r="AP51" s="2120" t="str">
        <f>IF(AND($V$9=1,(TRUNC(Courses!Q45)&lt;&gt;Courses!Q45)), "Row "&amp;Courses!$A45&amp;", "&amp;AP$9&amp;", "&amp;AP$10&amp;"; ","")</f>
        <v/>
      </c>
      <c r="AQ51" s="1593" t="str">
        <f>IF(AND($V$9=1,(TRUNC(Courses!R45)&lt;&gt;Courses!R45)), "Row "&amp;Courses!$A45&amp;", "&amp;AQ$9&amp;", "&amp;AQ$10&amp;", "&amp;AQ$11&amp;"; ","")</f>
        <v/>
      </c>
      <c r="AR51" t="str">
        <f>IF(AND($V$9=1,(TRUNC(Courses!S45)&lt;&gt;Courses!S45)), "Row "&amp;Courses!$A45&amp;", "&amp;AR$9&amp;", "&amp;AR$10&amp;", "&amp;AR$11&amp;"; ","")</f>
        <v/>
      </c>
      <c r="AS51" t="str">
        <f>IF(AND($V$9=1,(TRUNC(Courses!T45)&lt;&gt;Courses!T45)), "Row "&amp;Courses!$A45&amp;", "&amp;AS$9&amp;", "&amp;AS$10&amp;", "&amp;AS$11&amp;"; ","")</f>
        <v/>
      </c>
      <c r="AT51" t="str">
        <f>IF(AND($V$9=1,(TRUNC(Courses!U45)&lt;&gt;Courses!U45)), "Row "&amp;Courses!$A45&amp;", "&amp;AT$9&amp;", "&amp;AT$10&amp;", "&amp;AT$11&amp;"; ","")</f>
        <v/>
      </c>
      <c r="AU51" s="2120" t="str">
        <f>IF(AND($V$9=1,(TRUNC(Courses!V45)&lt;&gt;Courses!V45)), "Row "&amp;Courses!$A45&amp;", "&amp;AU$9&amp;", "&amp;AU$10&amp;"; ","")</f>
        <v/>
      </c>
      <c r="AV51" s="1593" t="str">
        <f>IF(AND($V$9=1,(TRUNC(Courses!W45)&lt;&gt;Courses!W45)), "Row "&amp;Courses!$A45&amp;", "&amp;AV$9&amp;", "&amp;AV$10&amp;", "&amp;AV$11&amp;"; ","")</f>
        <v/>
      </c>
      <c r="AW51" t="str">
        <f>IF(AND($V$9=1,(TRUNC(Courses!X45)&lt;&gt;Courses!X45)), "Row "&amp;Courses!$A45&amp;", "&amp;AW$9&amp;", "&amp;AW$10&amp;", "&amp;AW$11&amp;"; ","")</f>
        <v/>
      </c>
      <c r="AX51" t="str">
        <f>IF(AND($V$9=1,(TRUNC(Courses!Y45)&lt;&gt;Courses!Y45)), "Row "&amp;Courses!$A45&amp;", "&amp;AX$9&amp;", "&amp;AX$10&amp;", "&amp;AX$11&amp;"; ","")</f>
        <v/>
      </c>
      <c r="AY51" t="str">
        <f>IF(AND($V$9=1,(TRUNC(Courses!Z45)&lt;&gt;Courses!Z45)), "Row "&amp;Courses!$A45&amp;", "&amp;AY$9&amp;", "&amp;AY$10&amp;", "&amp;AY$11&amp;"; ","")</f>
        <v/>
      </c>
      <c r="AZ51" s="2120" t="str">
        <f>IF(AND($V$9=1,(TRUNC(Courses!AA45)&lt;&gt;Courses!AA45)), "Row "&amp;Courses!$A45&amp;", "&amp;AZ$9&amp;", "&amp;AZ$10&amp;"; ","")</f>
        <v/>
      </c>
      <c r="BA51" s="17"/>
      <c r="BB51" s="118"/>
      <c r="BC51" s="3">
        <v>32</v>
      </c>
      <c r="BD51" s="1593" t="str">
        <f>IF(AND($W$9=1,Courses!M45&lt;0), "Row "&amp;Courses!$A45&amp;", "&amp;BD$9&amp;", "&amp;BD$10&amp;", "&amp;BD$11&amp;"; ","")</f>
        <v/>
      </c>
      <c r="BE51" t="str">
        <f>IF(AND($W$9=1,Courses!N45&lt;0), "Row "&amp;Courses!$A45&amp;", "&amp;BE$9&amp;", "&amp;BE$10&amp;", "&amp;BE$11&amp;"; ","")</f>
        <v/>
      </c>
      <c r="BF51" t="str">
        <f>IF(AND($W$9=1,Courses!O45&lt;0), "Row "&amp;Courses!$A45&amp;", "&amp;BF$9&amp;", "&amp;BF$10&amp;", "&amp;BF$11&amp;"; ","")</f>
        <v/>
      </c>
      <c r="BG51" t="str">
        <f>IF(AND($W$9=1,Courses!P45&lt;0), "Row "&amp;Courses!$A45&amp;", "&amp;BG$9&amp;", "&amp;BG$10&amp;", "&amp;BG$11&amp;"; ","")</f>
        <v/>
      </c>
      <c r="BH51" s="2120" t="str">
        <f>IF(AND($W$9=1,Courses!Q45&lt;0), "Row "&amp;Courses!$A45&amp;", "&amp;BH$9&amp;", "&amp;BH$10&amp;"; ","")</f>
        <v/>
      </c>
      <c r="BI51" s="1593" t="str">
        <f>IF(AND($W$9=1,Courses!R45&lt;0), "Row "&amp;Courses!$A45&amp;", "&amp;BI$9&amp;", "&amp;BI$10&amp;", "&amp;BI$11&amp;"; ","")</f>
        <v/>
      </c>
      <c r="BJ51" t="str">
        <f>IF(AND($W$9=1,Courses!S45&lt;0), "Row "&amp;Courses!$A45&amp;", "&amp;BJ$9&amp;", "&amp;BJ$10&amp;", "&amp;BJ$11&amp;"; ","")</f>
        <v/>
      </c>
      <c r="BK51" t="str">
        <f>IF(AND($W$9=1,Courses!T45&lt;0), "Row "&amp;Courses!$A45&amp;", "&amp;BK$9&amp;", "&amp;BK$10&amp;", "&amp;BK$11&amp;"; ","")</f>
        <v/>
      </c>
      <c r="BL51" t="str">
        <f>IF(AND($W$9=1,Courses!U45&lt;0), "Row "&amp;Courses!$A45&amp;", "&amp;BL$9&amp;", "&amp;BL$10&amp;", "&amp;BL$11&amp;"; ","")</f>
        <v/>
      </c>
      <c r="BM51" s="2120" t="str">
        <f>IF(AND($W$9=1,Courses!V45&lt;0), "Row "&amp;Courses!$A45&amp;", "&amp;BM$9&amp;", "&amp;BM$10&amp;"; ","")</f>
        <v/>
      </c>
      <c r="BN51" s="1593" t="str">
        <f>IF(AND($W$9=1,Courses!W45&lt;0), "Row "&amp;Courses!$A45&amp;", "&amp;BN$9&amp;", "&amp;BN$10&amp;", "&amp;BN$11&amp;"; ","")</f>
        <v/>
      </c>
      <c r="BO51" t="str">
        <f>IF(AND($W$9=1,Courses!X45&lt;0), "Row "&amp;Courses!$A45&amp;", "&amp;BO$9&amp;", "&amp;BO$10&amp;", "&amp;BO$11&amp;"; ","")</f>
        <v/>
      </c>
      <c r="BP51" t="str">
        <f>IF(AND($W$9=1,Courses!Y45&lt;0), "Row "&amp;Courses!$A45&amp;", "&amp;BP$9&amp;", "&amp;BP$10&amp;", "&amp;BP$11&amp;"; ","")</f>
        <v/>
      </c>
      <c r="BQ51" t="str">
        <f>IF(AND($W$9=1,Courses!Z45&lt;0), "Row "&amp;Courses!$A45&amp;", "&amp;BQ$9&amp;", "&amp;BQ$10&amp;", "&amp;BQ$11&amp;"; ","")</f>
        <v/>
      </c>
      <c r="BR51" s="2120" t="str">
        <f>IF(AND($W$9=1,Courses!AA45&lt;0), "Row "&amp;Courses!$A45&amp;", "&amp;BR$9&amp;", "&amp;BR$10&amp;"; ","")</f>
        <v/>
      </c>
      <c r="BT51" s="186">
        <v>32</v>
      </c>
      <c r="BU51" s="40">
        <f>IF(AND($X$9=1,Courses!B45="",Courses!F45="",Courses!H45="",Courses!J45="",Courses!K45="",Courses!L45="",Courses!M45=0,Courses!N45=0,Courses!O45=0,Courses!P45=0,Courses!Q45=0,Courses!R45=0,Courses!S45=0,Courses!T45=0,Courses!U45=0,Courses!V45=0,Courses!W45=0,Courses!X45=0,Courses!Y45=0,Courses!Z45=0,Courses!AA45=0),0,1)</f>
        <v>0</v>
      </c>
      <c r="BV51" s="40">
        <f>IF(AND(BU51=0,SUM(BU52:$BU$219)&gt;0),1,0)</f>
        <v>0</v>
      </c>
      <c r="BW51" s="1595" t="str">
        <f>IF(BV51=1,"Row "&amp;Courses!A45&amp;"; ","")</f>
        <v/>
      </c>
      <c r="BX51" s="17"/>
      <c r="BZ51" s="1592" t="str">
        <f>IF(AND($Y$9=1,Courses!B45&lt;&gt;"",SUM(Courses!M45:AA45)=0),"Row "&amp;Courses!A45&amp;"; ","")</f>
        <v/>
      </c>
      <c r="CA51" s="17"/>
      <c r="CC51" s="1592" t="str">
        <f>IF(AND($Z$9=1,Courses!AD45=1,(LEN(Courses!AB45)&gt;200)),"Row "&amp;Courses!A45&amp;"; ","")</f>
        <v/>
      </c>
      <c r="CE51" s="131"/>
      <c r="CG51" s="1593" t="str">
        <f>IF(AND($AD$9=1,Courses!E45&lt;&gt;"",Courses!F45&lt;&gt;"",Courses!F45=0,SUM(Courses!H45,Courses!J45)=1),"Row "&amp;Courses!A45&amp;", "&amp;Courses!$F$10&amp;"; ","")</f>
        <v/>
      </c>
      <c r="CH51" t="str">
        <f>IF(AND($AD$9=1,Courses!G45&lt;&gt;"",Courses!H45&lt;&gt;"",Courses!H45=0,SUM(Courses!J45,Courses!F45)=1),"Row "&amp;Courses!A45&amp;", "&amp;Courses!$H$10&amp;"; ","")</f>
        <v/>
      </c>
      <c r="CI51" s="183" t="str">
        <f>IF(AND($AD$9=1,Courses!I45&lt;&gt;"",Courses!J45&lt;&gt;"",Courses!J45=0, SUM(Courses!H45,Courses!F45)=1),"Row "&amp;Courses!A45&amp;", "&amp;Courses!$J$10&amp;"; ","")</f>
        <v/>
      </c>
      <c r="CJ51" s="180"/>
      <c r="CK51" s="181"/>
      <c r="CL51" s="1592" t="str">
        <f>IF(AND(Courses!B45&lt;&gt;"",ISNA(VLOOKUP(Courses!C45,CourseInfo,2,FALSE))=FALSE,COUNTIF(Dummy,Courses!C45)&lt;&gt;1),VLOOKUP(Courses!C45,CourseInfo,6,FALSE),"")</f>
        <v/>
      </c>
      <c r="CM51" s="1592" t="str">
        <f>IF(AND($AE$9=1,Courses!B45&lt;&gt;"",'Courses Valid'!AG51="",COUNTIF(Dummy,Courses!C45)&lt;&gt;1),IF(Courses!K45&lt;&gt;'Courses Valid'!CL51,"Row "&amp;Courses!A45&amp;", Level on LARS is "&amp;'Courses Valid'!CL51&amp;"; ",""),"")</f>
        <v/>
      </c>
      <c r="CN51" s="131"/>
    </row>
    <row r="52" spans="3:92" x14ac:dyDescent="0.35">
      <c r="C52" s="1591">
        <f t="shared" si="2"/>
        <v>0</v>
      </c>
      <c r="D52" s="41"/>
      <c r="E52" s="41"/>
      <c r="F52" s="118"/>
      <c r="G52" s="1591" t="str">
        <f>IF(SUMPRODUCT(--(CourseAims=Courses!$C46))=1,"",IF(AND($N$9=1,Courses!$C46&lt;&gt;""),"Row "&amp;Courses!A46&amp;" (invalid); ",""))</f>
        <v/>
      </c>
      <c r="H52" s="1592" t="str">
        <f>IF(AND($O$9=1,Courses!B46="",OR(Courses!F46&lt;&gt;"",Courses!H46&lt;&gt;"",Courses!J46&lt;&gt;"",Courses!K46&lt;&gt;"",Courses!L46&lt;&gt;"",Courses!M46&lt;&gt;0,Courses!N46&lt;&gt;0,Courses!O46&lt;&gt;0,Courses!P46&lt;&gt;0,Courses!Q46&lt;&gt;0,Courses!R46&lt;&gt;0,Courses!S46&lt;&gt;0,Courses!T46&lt;&gt;0,Courses!U46&lt;&gt;0,Courses!V46&lt;&gt;0,Courses!W46&lt;&gt;0,Courses!X46&lt;&gt;0,Courses!Y46&lt;&gt;0,Courses!Z46&lt;&gt;0,Courses!AA46&lt;&gt;0)),"Row "&amp;Courses!A46&amp;" (none); ","")</f>
        <v/>
      </c>
      <c r="I52" s="17"/>
      <c r="K52" s="1592" t="str">
        <f>Courses!B46&amp;Courses!K46&amp;Courses!L46</f>
        <v/>
      </c>
      <c r="L52" s="1592" t="str">
        <f>IF(AND($P$9=1,Courses!$B46&lt;&gt;"",COUNTIF(Dummy,Courses!$C46)&lt;&gt;1),IF(SUMPRODUCT(--($K$20:$K$219=$K52))&gt;1,"Row "&amp;Courses!$A46&amp;"; ",""),"")</f>
        <v/>
      </c>
      <c r="N52" s="118"/>
      <c r="O52" s="1593" t="str">
        <f>IF(AND($Q$9=1,Courses!E46&lt;&gt;"",Courses!F46=""),"Row "&amp;Courses!A46&amp;", "&amp;Courses!$E$10&amp;"; ","")</f>
        <v/>
      </c>
      <c r="P52" t="str">
        <f>IF(AND($Q$9=1,Courses!G46&lt;&gt;"",Courses!H46=""),"Row "&amp;Courses!A46&amp;", "&amp;Courses!$G$10&amp;"; ","")</f>
        <v/>
      </c>
      <c r="Q52" s="183" t="str">
        <f>IF(AND($Q$9=1,Courses!I46&lt;&gt;"",Courses!J46=""),"Row "&amp;Courses!A46&amp;", "&amp;Courses!$I$10&amp;"; ","")</f>
        <v/>
      </c>
      <c r="S52" s="17"/>
      <c r="T52" s="118"/>
      <c r="U52" s="1594" t="str">
        <f>IF(AND($R$9=1,Courses!B46&lt;&gt;"",Courses!E46&lt;&gt;"",Courses!G46="",Courses!I46="",Courses!F46&lt;&gt;1),"Row "&amp;Courses!A46&amp;"; ","")</f>
        <v/>
      </c>
      <c r="V52" t="str">
        <f>IF(AND($R$9=1,Courses!B46&lt;&gt;"",Courses!I46="",Courses!F46&lt;&gt;"",Courses!G46&lt;&gt;"",Courses!H46&lt;&gt;""),IF(OR((Courses!F46+Courses!H46)&lt;&gt;1),"Row "&amp;Courses!A46&amp;"; ",""),"")</f>
        <v/>
      </c>
      <c r="W52" s="183" t="str">
        <f>IF(AND($R$9=1,Courses!B46&lt;&gt;"",Courses!I46&lt;&gt;"",Courses!J46&lt;&gt;"",Courses!H46&lt;&gt;"",Courses!G46&lt;&gt;"",Courses!F46&lt;&gt;""),IF(OR((Courses!F46+Courses!H46+Courses!J46)&lt;&gt;1),"Row "&amp;Courses!A46&amp;"; ",""),"")</f>
        <v/>
      </c>
      <c r="Y52" s="1592" t="str">
        <f>IF(AND($R$9=1,Courses!E46&lt;&gt;"",U52="",V52="",W52="",SUM(Courses!F46,Courses!H46,Courses!J46)&lt;&gt;1),"Row "&amp;Courses!A46&amp;"; ","")</f>
        <v/>
      </c>
      <c r="Z52" s="17"/>
      <c r="AB52" s="1593" t="str">
        <f>IF(AND($S$9=1,Courses!B46&lt;&gt;"",Courses!E46&lt;&gt;"",Courses!F46&lt;&gt;""),IF((TRUNC(Courses!F46*100)&lt;&gt;Courses!F46*100),"Row "&amp;Courses!A46&amp;", "&amp;Courses!$F$10&amp;"; ",""),"")</f>
        <v/>
      </c>
      <c r="AC52" t="str">
        <f>IF(AND($S$9=1,Courses!B46&lt;&gt;"",Courses!G46&lt;&gt;"",Courses!H46&lt;&gt;""),IF((TRUNC(Courses!H46*100)&lt;&gt;Courses!H46*100),"Row "&amp;Courses!A46&amp;", "&amp;Courses!$H$10&amp;"; ",""),"")</f>
        <v/>
      </c>
      <c r="AD52" s="183" t="str">
        <f>IF(AND($S$9=1,Courses!B46&lt;&gt;"",Courses!I46&lt;&gt;"",Courses!J46&lt;&gt;""),IF((TRUNC(Courses!J46*100)&lt;&gt;Courses!J46*100),"Row "&amp;Courses!A46&amp;", "&amp;Courses!$J$10&amp;"; ",""),"")</f>
        <v/>
      </c>
      <c r="AF52" s="118"/>
      <c r="AG52" s="1592" t="str">
        <f>IF(AND($T$9=1,G52="",Courses!B46&lt;&gt;"",Courses!K46&lt;&gt;$B$9,Courses!K46&lt;&gt;$B$10,Courses!K46&lt;&gt;$B$11,Courses!K46&lt;&gt;$B$12,Courses!K46&lt;&gt;$B$13,Courses!K46&lt;&gt;$B$14),"Row "&amp;Courses!A46&amp;"; ","")</f>
        <v/>
      </c>
      <c r="AH52" s="1592" t="str">
        <f>IF(AND($U$9=1,G52="",Courses!B46&lt;&gt;"",Courses!L46&lt;&gt;"Standard",Courses!L46&lt;&gt;"Long"),"Row "&amp;Courses!A46&amp;"; ","")</f>
        <v/>
      </c>
      <c r="AJ52" s="118"/>
      <c r="AK52" s="3">
        <v>33</v>
      </c>
      <c r="AL52" s="1593" t="str">
        <f>IF(AND($V$9=1,(TRUNC(Courses!M46)&lt;&gt;Courses!M46)), "Row "&amp;Courses!$A46&amp;", "&amp;AL$9&amp;", "&amp;AL$10&amp;", "&amp;AL$11&amp;"; ","")</f>
        <v/>
      </c>
      <c r="AM52" t="str">
        <f>IF(AND($V$9=1,(TRUNC(Courses!N46)&lt;&gt;Courses!N46)), "Row "&amp;Courses!$A46&amp;", "&amp;AM$9&amp;", "&amp;AM$10&amp;", "&amp;AM$11&amp;"; ","")</f>
        <v/>
      </c>
      <c r="AN52" t="str">
        <f>IF(AND($V$9=1,(TRUNC(Courses!O46)&lt;&gt;Courses!O46)), "Row "&amp;Courses!$A46&amp;", "&amp;AN$9&amp;", "&amp;AN$10&amp;", "&amp;AN$11&amp;"; ","")</f>
        <v/>
      </c>
      <c r="AO52" t="str">
        <f>IF(AND($V$9=1,(TRUNC(Courses!P46)&lt;&gt;Courses!P46)), "Row "&amp;Courses!$A46&amp;", "&amp;AO$9&amp;", "&amp;AO$10&amp;", "&amp;AO$11&amp;"; ","")</f>
        <v/>
      </c>
      <c r="AP52" s="2120" t="str">
        <f>IF(AND($V$9=1,(TRUNC(Courses!Q46)&lt;&gt;Courses!Q46)), "Row "&amp;Courses!$A46&amp;", "&amp;AP$9&amp;", "&amp;AP$10&amp;"; ","")</f>
        <v/>
      </c>
      <c r="AQ52" s="1593" t="str">
        <f>IF(AND($V$9=1,(TRUNC(Courses!R46)&lt;&gt;Courses!R46)), "Row "&amp;Courses!$A46&amp;", "&amp;AQ$9&amp;", "&amp;AQ$10&amp;", "&amp;AQ$11&amp;"; ","")</f>
        <v/>
      </c>
      <c r="AR52" t="str">
        <f>IF(AND($V$9=1,(TRUNC(Courses!S46)&lt;&gt;Courses!S46)), "Row "&amp;Courses!$A46&amp;", "&amp;AR$9&amp;", "&amp;AR$10&amp;", "&amp;AR$11&amp;"; ","")</f>
        <v/>
      </c>
      <c r="AS52" t="str">
        <f>IF(AND($V$9=1,(TRUNC(Courses!T46)&lt;&gt;Courses!T46)), "Row "&amp;Courses!$A46&amp;", "&amp;AS$9&amp;", "&amp;AS$10&amp;", "&amp;AS$11&amp;"; ","")</f>
        <v/>
      </c>
      <c r="AT52" t="str">
        <f>IF(AND($V$9=1,(TRUNC(Courses!U46)&lt;&gt;Courses!U46)), "Row "&amp;Courses!$A46&amp;", "&amp;AT$9&amp;", "&amp;AT$10&amp;", "&amp;AT$11&amp;"; ","")</f>
        <v/>
      </c>
      <c r="AU52" s="2120" t="str">
        <f>IF(AND($V$9=1,(TRUNC(Courses!V46)&lt;&gt;Courses!V46)), "Row "&amp;Courses!$A46&amp;", "&amp;AU$9&amp;", "&amp;AU$10&amp;"; ","")</f>
        <v/>
      </c>
      <c r="AV52" s="1593" t="str">
        <f>IF(AND($V$9=1,(TRUNC(Courses!W46)&lt;&gt;Courses!W46)), "Row "&amp;Courses!$A46&amp;", "&amp;AV$9&amp;", "&amp;AV$10&amp;", "&amp;AV$11&amp;"; ","")</f>
        <v/>
      </c>
      <c r="AW52" t="str">
        <f>IF(AND($V$9=1,(TRUNC(Courses!X46)&lt;&gt;Courses!X46)), "Row "&amp;Courses!$A46&amp;", "&amp;AW$9&amp;", "&amp;AW$10&amp;", "&amp;AW$11&amp;"; ","")</f>
        <v/>
      </c>
      <c r="AX52" t="str">
        <f>IF(AND($V$9=1,(TRUNC(Courses!Y46)&lt;&gt;Courses!Y46)), "Row "&amp;Courses!$A46&amp;", "&amp;AX$9&amp;", "&amp;AX$10&amp;", "&amp;AX$11&amp;"; ","")</f>
        <v/>
      </c>
      <c r="AY52" t="str">
        <f>IF(AND($V$9=1,(TRUNC(Courses!Z46)&lt;&gt;Courses!Z46)), "Row "&amp;Courses!$A46&amp;", "&amp;AY$9&amp;", "&amp;AY$10&amp;", "&amp;AY$11&amp;"; ","")</f>
        <v/>
      </c>
      <c r="AZ52" s="2120" t="str">
        <f>IF(AND($V$9=1,(TRUNC(Courses!AA46)&lt;&gt;Courses!AA46)), "Row "&amp;Courses!$A46&amp;", "&amp;AZ$9&amp;", "&amp;AZ$10&amp;"; ","")</f>
        <v/>
      </c>
      <c r="BA52" s="17"/>
      <c r="BB52" s="118"/>
      <c r="BC52" s="3">
        <v>33</v>
      </c>
      <c r="BD52" s="1593" t="str">
        <f>IF(AND($W$9=1,Courses!M46&lt;0), "Row "&amp;Courses!$A46&amp;", "&amp;BD$9&amp;", "&amp;BD$10&amp;", "&amp;BD$11&amp;"; ","")</f>
        <v/>
      </c>
      <c r="BE52" t="str">
        <f>IF(AND($W$9=1,Courses!N46&lt;0), "Row "&amp;Courses!$A46&amp;", "&amp;BE$9&amp;", "&amp;BE$10&amp;", "&amp;BE$11&amp;"; ","")</f>
        <v/>
      </c>
      <c r="BF52" t="str">
        <f>IF(AND($W$9=1,Courses!O46&lt;0), "Row "&amp;Courses!$A46&amp;", "&amp;BF$9&amp;", "&amp;BF$10&amp;", "&amp;BF$11&amp;"; ","")</f>
        <v/>
      </c>
      <c r="BG52" t="str">
        <f>IF(AND($W$9=1,Courses!P46&lt;0), "Row "&amp;Courses!$A46&amp;", "&amp;BG$9&amp;", "&amp;BG$10&amp;", "&amp;BG$11&amp;"; ","")</f>
        <v/>
      </c>
      <c r="BH52" s="2120" t="str">
        <f>IF(AND($W$9=1,Courses!Q46&lt;0), "Row "&amp;Courses!$A46&amp;", "&amp;BH$9&amp;", "&amp;BH$10&amp;"; ","")</f>
        <v/>
      </c>
      <c r="BI52" s="1593" t="str">
        <f>IF(AND($W$9=1,Courses!R46&lt;0), "Row "&amp;Courses!$A46&amp;", "&amp;BI$9&amp;", "&amp;BI$10&amp;", "&amp;BI$11&amp;"; ","")</f>
        <v/>
      </c>
      <c r="BJ52" t="str">
        <f>IF(AND($W$9=1,Courses!S46&lt;0), "Row "&amp;Courses!$A46&amp;", "&amp;BJ$9&amp;", "&amp;BJ$10&amp;", "&amp;BJ$11&amp;"; ","")</f>
        <v/>
      </c>
      <c r="BK52" t="str">
        <f>IF(AND($W$9=1,Courses!T46&lt;0), "Row "&amp;Courses!$A46&amp;", "&amp;BK$9&amp;", "&amp;BK$10&amp;", "&amp;BK$11&amp;"; ","")</f>
        <v/>
      </c>
      <c r="BL52" t="str">
        <f>IF(AND($W$9=1,Courses!U46&lt;0), "Row "&amp;Courses!$A46&amp;", "&amp;BL$9&amp;", "&amp;BL$10&amp;", "&amp;BL$11&amp;"; ","")</f>
        <v/>
      </c>
      <c r="BM52" s="2120" t="str">
        <f>IF(AND($W$9=1,Courses!V46&lt;0), "Row "&amp;Courses!$A46&amp;", "&amp;BM$9&amp;", "&amp;BM$10&amp;"; ","")</f>
        <v/>
      </c>
      <c r="BN52" s="1593" t="str">
        <f>IF(AND($W$9=1,Courses!W46&lt;0), "Row "&amp;Courses!$A46&amp;", "&amp;BN$9&amp;", "&amp;BN$10&amp;", "&amp;BN$11&amp;"; ","")</f>
        <v/>
      </c>
      <c r="BO52" t="str">
        <f>IF(AND($W$9=1,Courses!X46&lt;0), "Row "&amp;Courses!$A46&amp;", "&amp;BO$9&amp;", "&amp;BO$10&amp;", "&amp;BO$11&amp;"; ","")</f>
        <v/>
      </c>
      <c r="BP52" t="str">
        <f>IF(AND($W$9=1,Courses!Y46&lt;0), "Row "&amp;Courses!$A46&amp;", "&amp;BP$9&amp;", "&amp;BP$10&amp;", "&amp;BP$11&amp;"; ","")</f>
        <v/>
      </c>
      <c r="BQ52" t="str">
        <f>IF(AND($W$9=1,Courses!Z46&lt;0), "Row "&amp;Courses!$A46&amp;", "&amp;BQ$9&amp;", "&amp;BQ$10&amp;", "&amp;BQ$11&amp;"; ","")</f>
        <v/>
      </c>
      <c r="BR52" s="2120" t="str">
        <f>IF(AND($W$9=1,Courses!AA46&lt;0), "Row "&amp;Courses!$A46&amp;", "&amp;BR$9&amp;", "&amp;BR$10&amp;"; ","")</f>
        <v/>
      </c>
      <c r="BT52" s="186">
        <v>33</v>
      </c>
      <c r="BU52" s="40">
        <f>IF(AND($X$9=1,Courses!B46="",Courses!F46="",Courses!H46="",Courses!J46="",Courses!K46="",Courses!L46="",Courses!M46=0,Courses!N46=0,Courses!O46=0,Courses!P46=0,Courses!Q46=0,Courses!R46=0,Courses!S46=0,Courses!T46=0,Courses!U46=0,Courses!V46=0,Courses!W46=0,Courses!X46=0,Courses!Y46=0,Courses!Z46=0,Courses!AA46=0),0,1)</f>
        <v>0</v>
      </c>
      <c r="BV52" s="40">
        <f>IF(AND(BU52=0,SUM(BU53:$BU$219)&gt;0),1,0)</f>
        <v>0</v>
      </c>
      <c r="BW52" s="1595" t="str">
        <f>IF(BV52=1,"Row "&amp;Courses!A46&amp;"; ","")</f>
        <v/>
      </c>
      <c r="BX52" s="17"/>
      <c r="BZ52" s="1592" t="str">
        <f>IF(AND($Y$9=1,Courses!B46&lt;&gt;"",SUM(Courses!M46:AA46)=0),"Row "&amp;Courses!A46&amp;"; ","")</f>
        <v/>
      </c>
      <c r="CA52" s="17"/>
      <c r="CC52" s="1592" t="str">
        <f>IF(AND($Z$9=1,Courses!AD46=1,(LEN(Courses!AB46)&gt;200)),"Row "&amp;Courses!A46&amp;"; ","")</f>
        <v/>
      </c>
      <c r="CE52" s="131"/>
      <c r="CG52" s="1593" t="str">
        <f>IF(AND($AD$9=1,Courses!E46&lt;&gt;"",Courses!F46&lt;&gt;"",Courses!F46=0,SUM(Courses!H46,Courses!J46)=1),"Row "&amp;Courses!A46&amp;", "&amp;Courses!$F$10&amp;"; ","")</f>
        <v/>
      </c>
      <c r="CH52" t="str">
        <f>IF(AND($AD$9=1,Courses!G46&lt;&gt;"",Courses!H46&lt;&gt;"",Courses!H46=0,SUM(Courses!J46,Courses!F46)=1),"Row "&amp;Courses!A46&amp;", "&amp;Courses!$H$10&amp;"; ","")</f>
        <v/>
      </c>
      <c r="CI52" s="183" t="str">
        <f>IF(AND($AD$9=1,Courses!I46&lt;&gt;"",Courses!J46&lt;&gt;"",Courses!J46=0, SUM(Courses!H46,Courses!F46)=1),"Row "&amp;Courses!A46&amp;", "&amp;Courses!$J$10&amp;"; ","")</f>
        <v/>
      </c>
      <c r="CJ52" s="180"/>
      <c r="CK52" s="181"/>
      <c r="CL52" s="1592" t="str">
        <f>IF(AND(Courses!B46&lt;&gt;"",ISNA(VLOOKUP(Courses!C46,CourseInfo,2,FALSE))=FALSE,COUNTIF(Dummy,Courses!C46)&lt;&gt;1),VLOOKUP(Courses!C46,CourseInfo,6,FALSE),"")</f>
        <v/>
      </c>
      <c r="CM52" s="1592" t="str">
        <f>IF(AND($AE$9=1,Courses!B46&lt;&gt;"",'Courses Valid'!AG52="",COUNTIF(Dummy,Courses!C46)&lt;&gt;1),IF(Courses!K46&lt;&gt;'Courses Valid'!CL52,"Row "&amp;Courses!A46&amp;", Level on LARS is "&amp;'Courses Valid'!CL52&amp;"; ",""),"")</f>
        <v/>
      </c>
      <c r="CN52" s="131"/>
    </row>
    <row r="53" spans="3:92" x14ac:dyDescent="0.35">
      <c r="C53" s="1591">
        <f t="shared" si="2"/>
        <v>0</v>
      </c>
      <c r="D53" s="41"/>
      <c r="E53" s="41"/>
      <c r="F53" s="118"/>
      <c r="G53" s="1591" t="str">
        <f>IF(SUMPRODUCT(--(CourseAims=Courses!$C47))=1,"",IF(AND($N$9=1,Courses!$C47&lt;&gt;""),"Row "&amp;Courses!A47&amp;" (invalid); ",""))</f>
        <v/>
      </c>
      <c r="H53" s="1592" t="str">
        <f>IF(AND($O$9=1,Courses!B47="",OR(Courses!F47&lt;&gt;"",Courses!H47&lt;&gt;"",Courses!J47&lt;&gt;"",Courses!K47&lt;&gt;"",Courses!L47&lt;&gt;"",Courses!M47&lt;&gt;0,Courses!N47&lt;&gt;0,Courses!O47&lt;&gt;0,Courses!P47&lt;&gt;0,Courses!Q47&lt;&gt;0,Courses!R47&lt;&gt;0,Courses!S47&lt;&gt;0,Courses!T47&lt;&gt;0,Courses!U47&lt;&gt;0,Courses!V47&lt;&gt;0,Courses!W47&lt;&gt;0,Courses!X47&lt;&gt;0,Courses!Y47&lt;&gt;0,Courses!Z47&lt;&gt;0,Courses!AA47&lt;&gt;0)),"Row "&amp;Courses!A47&amp;" (none); ","")</f>
        <v/>
      </c>
      <c r="I53" s="17"/>
      <c r="K53" s="1592" t="str">
        <f>Courses!B47&amp;Courses!K47&amp;Courses!L47</f>
        <v/>
      </c>
      <c r="L53" s="1592" t="str">
        <f>IF(AND($P$9=1,Courses!$B47&lt;&gt;"",COUNTIF(Dummy,Courses!$C47)&lt;&gt;1),IF(SUMPRODUCT(--($K$20:$K$219=$K53))&gt;1,"Row "&amp;Courses!$A47&amp;"; ",""),"")</f>
        <v/>
      </c>
      <c r="N53" s="118"/>
      <c r="O53" s="1593" t="str">
        <f>IF(AND($Q$9=1,Courses!E47&lt;&gt;"",Courses!F47=""),"Row "&amp;Courses!A47&amp;", "&amp;Courses!$E$10&amp;"; ","")</f>
        <v/>
      </c>
      <c r="P53" t="str">
        <f>IF(AND($Q$9=1,Courses!G47&lt;&gt;"",Courses!H47=""),"Row "&amp;Courses!A47&amp;", "&amp;Courses!$G$10&amp;"; ","")</f>
        <v/>
      </c>
      <c r="Q53" s="183" t="str">
        <f>IF(AND($Q$9=1,Courses!I47&lt;&gt;"",Courses!J47=""),"Row "&amp;Courses!A47&amp;", "&amp;Courses!$I$10&amp;"; ","")</f>
        <v/>
      </c>
      <c r="S53" s="17"/>
      <c r="T53" s="118"/>
      <c r="U53" s="1594" t="str">
        <f>IF(AND($R$9=1,Courses!B47&lt;&gt;"",Courses!E47&lt;&gt;"",Courses!G47="",Courses!I47="",Courses!F47&lt;&gt;1),"Row "&amp;Courses!A47&amp;"; ","")</f>
        <v/>
      </c>
      <c r="V53" t="str">
        <f>IF(AND($R$9=1,Courses!B47&lt;&gt;"",Courses!I47="",Courses!F47&lt;&gt;"",Courses!G47&lt;&gt;"",Courses!H47&lt;&gt;""),IF(OR((Courses!F47+Courses!H47)&lt;&gt;1),"Row "&amp;Courses!A47&amp;"; ",""),"")</f>
        <v/>
      </c>
      <c r="W53" s="183" t="str">
        <f>IF(AND($R$9=1,Courses!B47&lt;&gt;"",Courses!I47&lt;&gt;"",Courses!J47&lt;&gt;"",Courses!H47&lt;&gt;"",Courses!G47&lt;&gt;"",Courses!F47&lt;&gt;""),IF(OR((Courses!F47+Courses!H47+Courses!J47)&lt;&gt;1),"Row "&amp;Courses!A47&amp;"; ",""),"")</f>
        <v/>
      </c>
      <c r="Y53" s="1592" t="str">
        <f>IF(AND($R$9=1,Courses!E47&lt;&gt;"",U53="",V53="",W53="",SUM(Courses!F47,Courses!H47,Courses!J47)&lt;&gt;1),"Row "&amp;Courses!A47&amp;"; ","")</f>
        <v/>
      </c>
      <c r="Z53" s="17"/>
      <c r="AB53" s="1593" t="str">
        <f>IF(AND($S$9=1,Courses!B47&lt;&gt;"",Courses!E47&lt;&gt;"",Courses!F47&lt;&gt;""),IF((TRUNC(Courses!F47*100)&lt;&gt;Courses!F47*100),"Row "&amp;Courses!A47&amp;", "&amp;Courses!$F$10&amp;"; ",""),"")</f>
        <v/>
      </c>
      <c r="AC53" t="str">
        <f>IF(AND($S$9=1,Courses!B47&lt;&gt;"",Courses!G47&lt;&gt;"",Courses!H47&lt;&gt;""),IF((TRUNC(Courses!H47*100)&lt;&gt;Courses!H47*100),"Row "&amp;Courses!A47&amp;", "&amp;Courses!$H$10&amp;"; ",""),"")</f>
        <v/>
      </c>
      <c r="AD53" s="183" t="str">
        <f>IF(AND($S$9=1,Courses!B47&lt;&gt;"",Courses!I47&lt;&gt;"",Courses!J47&lt;&gt;""),IF((TRUNC(Courses!J47*100)&lt;&gt;Courses!J47*100),"Row "&amp;Courses!A47&amp;", "&amp;Courses!$J$10&amp;"; ",""),"")</f>
        <v/>
      </c>
      <c r="AF53" s="118"/>
      <c r="AG53" s="1592" t="str">
        <f>IF(AND($T$9=1,G53="",Courses!B47&lt;&gt;"",Courses!K47&lt;&gt;$B$9,Courses!K47&lt;&gt;$B$10,Courses!K47&lt;&gt;$B$11,Courses!K47&lt;&gt;$B$12,Courses!K47&lt;&gt;$B$13,Courses!K47&lt;&gt;$B$14),"Row "&amp;Courses!A47&amp;"; ","")</f>
        <v/>
      </c>
      <c r="AH53" s="1592" t="str">
        <f>IF(AND($U$9=1,G53="",Courses!B47&lt;&gt;"",Courses!L47&lt;&gt;"Standard",Courses!L47&lt;&gt;"Long"),"Row "&amp;Courses!A47&amp;"; ","")</f>
        <v/>
      </c>
      <c r="AJ53" s="118"/>
      <c r="AK53" s="3">
        <v>34</v>
      </c>
      <c r="AL53" s="1593" t="str">
        <f>IF(AND($V$9=1,(TRUNC(Courses!M47)&lt;&gt;Courses!M47)), "Row "&amp;Courses!$A47&amp;", "&amp;AL$9&amp;", "&amp;AL$10&amp;", "&amp;AL$11&amp;"; ","")</f>
        <v/>
      </c>
      <c r="AM53" t="str">
        <f>IF(AND($V$9=1,(TRUNC(Courses!N47)&lt;&gt;Courses!N47)), "Row "&amp;Courses!$A47&amp;", "&amp;AM$9&amp;", "&amp;AM$10&amp;", "&amp;AM$11&amp;"; ","")</f>
        <v/>
      </c>
      <c r="AN53" t="str">
        <f>IF(AND($V$9=1,(TRUNC(Courses!O47)&lt;&gt;Courses!O47)), "Row "&amp;Courses!$A47&amp;", "&amp;AN$9&amp;", "&amp;AN$10&amp;", "&amp;AN$11&amp;"; ","")</f>
        <v/>
      </c>
      <c r="AO53" t="str">
        <f>IF(AND($V$9=1,(TRUNC(Courses!P47)&lt;&gt;Courses!P47)), "Row "&amp;Courses!$A47&amp;", "&amp;AO$9&amp;", "&amp;AO$10&amp;", "&amp;AO$11&amp;"; ","")</f>
        <v/>
      </c>
      <c r="AP53" s="2120" t="str">
        <f>IF(AND($V$9=1,(TRUNC(Courses!Q47)&lt;&gt;Courses!Q47)), "Row "&amp;Courses!$A47&amp;", "&amp;AP$9&amp;", "&amp;AP$10&amp;"; ","")</f>
        <v/>
      </c>
      <c r="AQ53" s="1593" t="str">
        <f>IF(AND($V$9=1,(TRUNC(Courses!R47)&lt;&gt;Courses!R47)), "Row "&amp;Courses!$A47&amp;", "&amp;AQ$9&amp;", "&amp;AQ$10&amp;", "&amp;AQ$11&amp;"; ","")</f>
        <v/>
      </c>
      <c r="AR53" t="str">
        <f>IF(AND($V$9=1,(TRUNC(Courses!S47)&lt;&gt;Courses!S47)), "Row "&amp;Courses!$A47&amp;", "&amp;AR$9&amp;", "&amp;AR$10&amp;", "&amp;AR$11&amp;"; ","")</f>
        <v/>
      </c>
      <c r="AS53" t="str">
        <f>IF(AND($V$9=1,(TRUNC(Courses!T47)&lt;&gt;Courses!T47)), "Row "&amp;Courses!$A47&amp;", "&amp;AS$9&amp;", "&amp;AS$10&amp;", "&amp;AS$11&amp;"; ","")</f>
        <v/>
      </c>
      <c r="AT53" t="str">
        <f>IF(AND($V$9=1,(TRUNC(Courses!U47)&lt;&gt;Courses!U47)), "Row "&amp;Courses!$A47&amp;", "&amp;AT$9&amp;", "&amp;AT$10&amp;", "&amp;AT$11&amp;"; ","")</f>
        <v/>
      </c>
      <c r="AU53" s="2120" t="str">
        <f>IF(AND($V$9=1,(TRUNC(Courses!V47)&lt;&gt;Courses!V47)), "Row "&amp;Courses!$A47&amp;", "&amp;AU$9&amp;", "&amp;AU$10&amp;"; ","")</f>
        <v/>
      </c>
      <c r="AV53" s="1593" t="str">
        <f>IF(AND($V$9=1,(TRUNC(Courses!W47)&lt;&gt;Courses!W47)), "Row "&amp;Courses!$A47&amp;", "&amp;AV$9&amp;", "&amp;AV$10&amp;", "&amp;AV$11&amp;"; ","")</f>
        <v/>
      </c>
      <c r="AW53" t="str">
        <f>IF(AND($V$9=1,(TRUNC(Courses!X47)&lt;&gt;Courses!X47)), "Row "&amp;Courses!$A47&amp;", "&amp;AW$9&amp;", "&amp;AW$10&amp;", "&amp;AW$11&amp;"; ","")</f>
        <v/>
      </c>
      <c r="AX53" t="str">
        <f>IF(AND($V$9=1,(TRUNC(Courses!Y47)&lt;&gt;Courses!Y47)), "Row "&amp;Courses!$A47&amp;", "&amp;AX$9&amp;", "&amp;AX$10&amp;", "&amp;AX$11&amp;"; ","")</f>
        <v/>
      </c>
      <c r="AY53" t="str">
        <f>IF(AND($V$9=1,(TRUNC(Courses!Z47)&lt;&gt;Courses!Z47)), "Row "&amp;Courses!$A47&amp;", "&amp;AY$9&amp;", "&amp;AY$10&amp;", "&amp;AY$11&amp;"; ","")</f>
        <v/>
      </c>
      <c r="AZ53" s="2120" t="str">
        <f>IF(AND($V$9=1,(TRUNC(Courses!AA47)&lt;&gt;Courses!AA47)), "Row "&amp;Courses!$A47&amp;", "&amp;AZ$9&amp;", "&amp;AZ$10&amp;"; ","")</f>
        <v/>
      </c>
      <c r="BA53" s="17"/>
      <c r="BB53" s="118"/>
      <c r="BC53" s="3">
        <v>34</v>
      </c>
      <c r="BD53" s="1593" t="str">
        <f>IF(AND($W$9=1,Courses!M47&lt;0), "Row "&amp;Courses!$A47&amp;", "&amp;BD$9&amp;", "&amp;BD$10&amp;", "&amp;BD$11&amp;"; ","")</f>
        <v/>
      </c>
      <c r="BE53" t="str">
        <f>IF(AND($W$9=1,Courses!N47&lt;0), "Row "&amp;Courses!$A47&amp;", "&amp;BE$9&amp;", "&amp;BE$10&amp;", "&amp;BE$11&amp;"; ","")</f>
        <v/>
      </c>
      <c r="BF53" t="str">
        <f>IF(AND($W$9=1,Courses!O47&lt;0), "Row "&amp;Courses!$A47&amp;", "&amp;BF$9&amp;", "&amp;BF$10&amp;", "&amp;BF$11&amp;"; ","")</f>
        <v/>
      </c>
      <c r="BG53" t="str">
        <f>IF(AND($W$9=1,Courses!P47&lt;0), "Row "&amp;Courses!$A47&amp;", "&amp;BG$9&amp;", "&amp;BG$10&amp;", "&amp;BG$11&amp;"; ","")</f>
        <v/>
      </c>
      <c r="BH53" s="2120" t="str">
        <f>IF(AND($W$9=1,Courses!Q47&lt;0), "Row "&amp;Courses!$A47&amp;", "&amp;BH$9&amp;", "&amp;BH$10&amp;"; ","")</f>
        <v/>
      </c>
      <c r="BI53" s="1593" t="str">
        <f>IF(AND($W$9=1,Courses!R47&lt;0), "Row "&amp;Courses!$A47&amp;", "&amp;BI$9&amp;", "&amp;BI$10&amp;", "&amp;BI$11&amp;"; ","")</f>
        <v/>
      </c>
      <c r="BJ53" t="str">
        <f>IF(AND($W$9=1,Courses!S47&lt;0), "Row "&amp;Courses!$A47&amp;", "&amp;BJ$9&amp;", "&amp;BJ$10&amp;", "&amp;BJ$11&amp;"; ","")</f>
        <v/>
      </c>
      <c r="BK53" t="str">
        <f>IF(AND($W$9=1,Courses!T47&lt;0), "Row "&amp;Courses!$A47&amp;", "&amp;BK$9&amp;", "&amp;BK$10&amp;", "&amp;BK$11&amp;"; ","")</f>
        <v/>
      </c>
      <c r="BL53" t="str">
        <f>IF(AND($W$9=1,Courses!U47&lt;0), "Row "&amp;Courses!$A47&amp;", "&amp;BL$9&amp;", "&amp;BL$10&amp;", "&amp;BL$11&amp;"; ","")</f>
        <v/>
      </c>
      <c r="BM53" s="2120" t="str">
        <f>IF(AND($W$9=1,Courses!V47&lt;0), "Row "&amp;Courses!$A47&amp;", "&amp;BM$9&amp;", "&amp;BM$10&amp;"; ","")</f>
        <v/>
      </c>
      <c r="BN53" s="1593" t="str">
        <f>IF(AND($W$9=1,Courses!W47&lt;0), "Row "&amp;Courses!$A47&amp;", "&amp;BN$9&amp;", "&amp;BN$10&amp;", "&amp;BN$11&amp;"; ","")</f>
        <v/>
      </c>
      <c r="BO53" t="str">
        <f>IF(AND($W$9=1,Courses!X47&lt;0), "Row "&amp;Courses!$A47&amp;", "&amp;BO$9&amp;", "&amp;BO$10&amp;", "&amp;BO$11&amp;"; ","")</f>
        <v/>
      </c>
      <c r="BP53" t="str">
        <f>IF(AND($W$9=1,Courses!Y47&lt;0), "Row "&amp;Courses!$A47&amp;", "&amp;BP$9&amp;", "&amp;BP$10&amp;", "&amp;BP$11&amp;"; ","")</f>
        <v/>
      </c>
      <c r="BQ53" t="str">
        <f>IF(AND($W$9=1,Courses!Z47&lt;0), "Row "&amp;Courses!$A47&amp;", "&amp;BQ$9&amp;", "&amp;BQ$10&amp;", "&amp;BQ$11&amp;"; ","")</f>
        <v/>
      </c>
      <c r="BR53" s="2120" t="str">
        <f>IF(AND($W$9=1,Courses!AA47&lt;0), "Row "&amp;Courses!$A47&amp;", "&amp;BR$9&amp;", "&amp;BR$10&amp;"; ","")</f>
        <v/>
      </c>
      <c r="BT53" s="186">
        <v>34</v>
      </c>
      <c r="BU53" s="40">
        <f>IF(AND($X$9=1,Courses!B47="",Courses!F47="",Courses!H47="",Courses!J47="",Courses!K47="",Courses!L47="",Courses!M47=0,Courses!N47=0,Courses!O47=0,Courses!P47=0,Courses!Q47=0,Courses!R47=0,Courses!S47=0,Courses!T47=0,Courses!U47=0,Courses!V47=0,Courses!W47=0,Courses!X47=0,Courses!Y47=0,Courses!Z47=0,Courses!AA47=0),0,1)</f>
        <v>0</v>
      </c>
      <c r="BV53" s="40">
        <f>IF(AND(BU53=0,SUM(BU54:$BU$219)&gt;0),1,0)</f>
        <v>0</v>
      </c>
      <c r="BW53" s="1595" t="str">
        <f>IF(BV53=1,"Row "&amp;Courses!A47&amp;"; ","")</f>
        <v/>
      </c>
      <c r="BX53" s="17"/>
      <c r="BZ53" s="1592" t="str">
        <f>IF(AND($Y$9=1,Courses!B47&lt;&gt;"",SUM(Courses!M47:AA47)=0),"Row "&amp;Courses!A47&amp;"; ","")</f>
        <v/>
      </c>
      <c r="CA53" s="17"/>
      <c r="CC53" s="1592" t="str">
        <f>IF(AND($Z$9=1,Courses!AD47=1,(LEN(Courses!AB47)&gt;200)),"Row "&amp;Courses!A47&amp;"; ","")</f>
        <v/>
      </c>
      <c r="CE53" s="131"/>
      <c r="CG53" s="1593" t="str">
        <f>IF(AND($AD$9=1,Courses!E47&lt;&gt;"",Courses!F47&lt;&gt;"",Courses!F47=0,SUM(Courses!H47,Courses!J47)=1),"Row "&amp;Courses!A47&amp;", "&amp;Courses!$F$10&amp;"; ","")</f>
        <v/>
      </c>
      <c r="CH53" t="str">
        <f>IF(AND($AD$9=1,Courses!G47&lt;&gt;"",Courses!H47&lt;&gt;"",Courses!H47=0,SUM(Courses!J47,Courses!F47)=1),"Row "&amp;Courses!A47&amp;", "&amp;Courses!$H$10&amp;"; ","")</f>
        <v/>
      </c>
      <c r="CI53" s="183" t="str">
        <f>IF(AND($AD$9=1,Courses!I47&lt;&gt;"",Courses!J47&lt;&gt;"",Courses!J47=0, SUM(Courses!H47,Courses!F47)=1),"Row "&amp;Courses!A47&amp;", "&amp;Courses!$J$10&amp;"; ","")</f>
        <v/>
      </c>
      <c r="CJ53" s="180"/>
      <c r="CK53" s="181"/>
      <c r="CL53" s="1592" t="str">
        <f>IF(AND(Courses!B47&lt;&gt;"",ISNA(VLOOKUP(Courses!C47,CourseInfo,2,FALSE))=FALSE,COUNTIF(Dummy,Courses!C47)&lt;&gt;1),VLOOKUP(Courses!C47,CourseInfo,6,FALSE),"")</f>
        <v/>
      </c>
      <c r="CM53" s="1592" t="str">
        <f>IF(AND($AE$9=1,Courses!B47&lt;&gt;"",'Courses Valid'!AG53="",COUNTIF(Dummy,Courses!C47)&lt;&gt;1),IF(Courses!K47&lt;&gt;'Courses Valid'!CL53,"Row "&amp;Courses!A47&amp;", Level on LARS is "&amp;'Courses Valid'!CL53&amp;"; ",""),"")</f>
        <v/>
      </c>
      <c r="CN53" s="131"/>
    </row>
    <row r="54" spans="3:92" x14ac:dyDescent="0.35">
      <c r="C54" s="1591">
        <f t="shared" si="2"/>
        <v>0</v>
      </c>
      <c r="D54" s="41"/>
      <c r="E54" s="41"/>
      <c r="F54" s="118"/>
      <c r="G54" s="1591" t="str">
        <f>IF(SUMPRODUCT(--(CourseAims=Courses!$C48))=1,"",IF(AND($N$9=1,Courses!$C48&lt;&gt;""),"Row "&amp;Courses!A48&amp;" (invalid); ",""))</f>
        <v/>
      </c>
      <c r="H54" s="1592" t="str">
        <f>IF(AND($O$9=1,Courses!B48="",OR(Courses!F48&lt;&gt;"",Courses!H48&lt;&gt;"",Courses!J48&lt;&gt;"",Courses!K48&lt;&gt;"",Courses!L48&lt;&gt;"",Courses!M48&lt;&gt;0,Courses!N48&lt;&gt;0,Courses!O48&lt;&gt;0,Courses!P48&lt;&gt;0,Courses!Q48&lt;&gt;0,Courses!R48&lt;&gt;0,Courses!S48&lt;&gt;0,Courses!T48&lt;&gt;0,Courses!U48&lt;&gt;0,Courses!V48&lt;&gt;0,Courses!W48&lt;&gt;0,Courses!X48&lt;&gt;0,Courses!Y48&lt;&gt;0,Courses!Z48&lt;&gt;0,Courses!AA48&lt;&gt;0)),"Row "&amp;Courses!A48&amp;" (none); ","")</f>
        <v/>
      </c>
      <c r="I54" s="17"/>
      <c r="K54" s="1592" t="str">
        <f>Courses!B48&amp;Courses!K48&amp;Courses!L48</f>
        <v/>
      </c>
      <c r="L54" s="1592" t="str">
        <f>IF(AND($P$9=1,Courses!$B48&lt;&gt;"",COUNTIF(Dummy,Courses!$C48)&lt;&gt;1),IF(SUMPRODUCT(--($K$20:$K$219=$K54))&gt;1,"Row "&amp;Courses!$A48&amp;"; ",""),"")</f>
        <v/>
      </c>
      <c r="N54" s="118"/>
      <c r="O54" s="1593" t="str">
        <f>IF(AND($Q$9=1,Courses!E48&lt;&gt;"",Courses!F48=""),"Row "&amp;Courses!A48&amp;", "&amp;Courses!$E$10&amp;"; ","")</f>
        <v/>
      </c>
      <c r="P54" t="str">
        <f>IF(AND($Q$9=1,Courses!G48&lt;&gt;"",Courses!H48=""),"Row "&amp;Courses!A48&amp;", "&amp;Courses!$G$10&amp;"; ","")</f>
        <v/>
      </c>
      <c r="Q54" s="183" t="str">
        <f>IF(AND($Q$9=1,Courses!I48&lt;&gt;"",Courses!J48=""),"Row "&amp;Courses!A48&amp;", "&amp;Courses!$I$10&amp;"; ","")</f>
        <v/>
      </c>
      <c r="S54" s="17"/>
      <c r="T54" s="118"/>
      <c r="U54" s="1594" t="str">
        <f>IF(AND($R$9=1,Courses!B48&lt;&gt;"",Courses!E48&lt;&gt;"",Courses!G48="",Courses!I48="",Courses!F48&lt;&gt;1),"Row "&amp;Courses!A48&amp;"; ","")</f>
        <v/>
      </c>
      <c r="V54" t="str">
        <f>IF(AND($R$9=1,Courses!B48&lt;&gt;"",Courses!I48="",Courses!F48&lt;&gt;"",Courses!G48&lt;&gt;"",Courses!H48&lt;&gt;""),IF(OR((Courses!F48+Courses!H48)&lt;&gt;1),"Row "&amp;Courses!A48&amp;"; ",""),"")</f>
        <v/>
      </c>
      <c r="W54" s="183" t="str">
        <f>IF(AND($R$9=1,Courses!B48&lt;&gt;"",Courses!I48&lt;&gt;"",Courses!J48&lt;&gt;"",Courses!H48&lt;&gt;"",Courses!G48&lt;&gt;"",Courses!F48&lt;&gt;""),IF(OR((Courses!F48+Courses!H48+Courses!J48)&lt;&gt;1),"Row "&amp;Courses!A48&amp;"; ",""),"")</f>
        <v/>
      </c>
      <c r="Y54" s="1592" t="str">
        <f>IF(AND($R$9=1,Courses!E48&lt;&gt;"",U54="",V54="",W54="",SUM(Courses!F48,Courses!H48,Courses!J48)&lt;&gt;1),"Row "&amp;Courses!A48&amp;"; ","")</f>
        <v/>
      </c>
      <c r="Z54" s="17"/>
      <c r="AB54" s="1593" t="str">
        <f>IF(AND($S$9=1,Courses!B48&lt;&gt;"",Courses!E48&lt;&gt;"",Courses!F48&lt;&gt;""),IF((TRUNC(Courses!F48*100)&lt;&gt;Courses!F48*100),"Row "&amp;Courses!A48&amp;", "&amp;Courses!$F$10&amp;"; ",""),"")</f>
        <v/>
      </c>
      <c r="AC54" t="str">
        <f>IF(AND($S$9=1,Courses!B48&lt;&gt;"",Courses!G48&lt;&gt;"",Courses!H48&lt;&gt;""),IF((TRUNC(Courses!H48*100)&lt;&gt;Courses!H48*100),"Row "&amp;Courses!A48&amp;", "&amp;Courses!$H$10&amp;"; ",""),"")</f>
        <v/>
      </c>
      <c r="AD54" s="183" t="str">
        <f>IF(AND($S$9=1,Courses!B48&lt;&gt;"",Courses!I48&lt;&gt;"",Courses!J48&lt;&gt;""),IF((TRUNC(Courses!J48*100)&lt;&gt;Courses!J48*100),"Row "&amp;Courses!A48&amp;", "&amp;Courses!$J$10&amp;"; ",""),"")</f>
        <v/>
      </c>
      <c r="AF54" s="118"/>
      <c r="AG54" s="1592" t="str">
        <f>IF(AND($T$9=1,G54="",Courses!B48&lt;&gt;"",Courses!K48&lt;&gt;$B$9,Courses!K48&lt;&gt;$B$10,Courses!K48&lt;&gt;$B$11,Courses!K48&lt;&gt;$B$12,Courses!K48&lt;&gt;$B$13,Courses!K48&lt;&gt;$B$14),"Row "&amp;Courses!A48&amp;"; ","")</f>
        <v/>
      </c>
      <c r="AH54" s="1592" t="str">
        <f>IF(AND($U$9=1,G54="",Courses!B48&lt;&gt;"",Courses!L48&lt;&gt;"Standard",Courses!L48&lt;&gt;"Long"),"Row "&amp;Courses!A48&amp;"; ","")</f>
        <v/>
      </c>
      <c r="AJ54" s="118"/>
      <c r="AK54" s="3">
        <v>35</v>
      </c>
      <c r="AL54" s="1593" t="str">
        <f>IF(AND($V$9=1,(TRUNC(Courses!M48)&lt;&gt;Courses!M48)), "Row "&amp;Courses!$A48&amp;", "&amp;AL$9&amp;", "&amp;AL$10&amp;", "&amp;AL$11&amp;"; ","")</f>
        <v/>
      </c>
      <c r="AM54" t="str">
        <f>IF(AND($V$9=1,(TRUNC(Courses!N48)&lt;&gt;Courses!N48)), "Row "&amp;Courses!$A48&amp;", "&amp;AM$9&amp;", "&amp;AM$10&amp;", "&amp;AM$11&amp;"; ","")</f>
        <v/>
      </c>
      <c r="AN54" t="str">
        <f>IF(AND($V$9=1,(TRUNC(Courses!O48)&lt;&gt;Courses!O48)), "Row "&amp;Courses!$A48&amp;", "&amp;AN$9&amp;", "&amp;AN$10&amp;", "&amp;AN$11&amp;"; ","")</f>
        <v/>
      </c>
      <c r="AO54" t="str">
        <f>IF(AND($V$9=1,(TRUNC(Courses!P48)&lt;&gt;Courses!P48)), "Row "&amp;Courses!$A48&amp;", "&amp;AO$9&amp;", "&amp;AO$10&amp;", "&amp;AO$11&amp;"; ","")</f>
        <v/>
      </c>
      <c r="AP54" s="2120" t="str">
        <f>IF(AND($V$9=1,(TRUNC(Courses!Q48)&lt;&gt;Courses!Q48)), "Row "&amp;Courses!$A48&amp;", "&amp;AP$9&amp;", "&amp;AP$10&amp;"; ","")</f>
        <v/>
      </c>
      <c r="AQ54" s="1593" t="str">
        <f>IF(AND($V$9=1,(TRUNC(Courses!R48)&lt;&gt;Courses!R48)), "Row "&amp;Courses!$A48&amp;", "&amp;AQ$9&amp;", "&amp;AQ$10&amp;", "&amp;AQ$11&amp;"; ","")</f>
        <v/>
      </c>
      <c r="AR54" t="str">
        <f>IF(AND($V$9=1,(TRUNC(Courses!S48)&lt;&gt;Courses!S48)), "Row "&amp;Courses!$A48&amp;", "&amp;AR$9&amp;", "&amp;AR$10&amp;", "&amp;AR$11&amp;"; ","")</f>
        <v/>
      </c>
      <c r="AS54" t="str">
        <f>IF(AND($V$9=1,(TRUNC(Courses!T48)&lt;&gt;Courses!T48)), "Row "&amp;Courses!$A48&amp;", "&amp;AS$9&amp;", "&amp;AS$10&amp;", "&amp;AS$11&amp;"; ","")</f>
        <v/>
      </c>
      <c r="AT54" t="str">
        <f>IF(AND($V$9=1,(TRUNC(Courses!U48)&lt;&gt;Courses!U48)), "Row "&amp;Courses!$A48&amp;", "&amp;AT$9&amp;", "&amp;AT$10&amp;", "&amp;AT$11&amp;"; ","")</f>
        <v/>
      </c>
      <c r="AU54" s="2120" t="str">
        <f>IF(AND($V$9=1,(TRUNC(Courses!V48)&lt;&gt;Courses!V48)), "Row "&amp;Courses!$A48&amp;", "&amp;AU$9&amp;", "&amp;AU$10&amp;"; ","")</f>
        <v/>
      </c>
      <c r="AV54" s="1593" t="str">
        <f>IF(AND($V$9=1,(TRUNC(Courses!W48)&lt;&gt;Courses!W48)), "Row "&amp;Courses!$A48&amp;", "&amp;AV$9&amp;", "&amp;AV$10&amp;", "&amp;AV$11&amp;"; ","")</f>
        <v/>
      </c>
      <c r="AW54" t="str">
        <f>IF(AND($V$9=1,(TRUNC(Courses!X48)&lt;&gt;Courses!X48)), "Row "&amp;Courses!$A48&amp;", "&amp;AW$9&amp;", "&amp;AW$10&amp;", "&amp;AW$11&amp;"; ","")</f>
        <v/>
      </c>
      <c r="AX54" t="str">
        <f>IF(AND($V$9=1,(TRUNC(Courses!Y48)&lt;&gt;Courses!Y48)), "Row "&amp;Courses!$A48&amp;", "&amp;AX$9&amp;", "&amp;AX$10&amp;", "&amp;AX$11&amp;"; ","")</f>
        <v/>
      </c>
      <c r="AY54" t="str">
        <f>IF(AND($V$9=1,(TRUNC(Courses!Z48)&lt;&gt;Courses!Z48)), "Row "&amp;Courses!$A48&amp;", "&amp;AY$9&amp;", "&amp;AY$10&amp;", "&amp;AY$11&amp;"; ","")</f>
        <v/>
      </c>
      <c r="AZ54" s="2120" t="str">
        <f>IF(AND($V$9=1,(TRUNC(Courses!AA48)&lt;&gt;Courses!AA48)), "Row "&amp;Courses!$A48&amp;", "&amp;AZ$9&amp;", "&amp;AZ$10&amp;"; ","")</f>
        <v/>
      </c>
      <c r="BA54" s="17"/>
      <c r="BB54" s="118"/>
      <c r="BC54" s="3">
        <v>35</v>
      </c>
      <c r="BD54" s="1593" t="str">
        <f>IF(AND($W$9=1,Courses!M48&lt;0), "Row "&amp;Courses!$A48&amp;", "&amp;BD$9&amp;", "&amp;BD$10&amp;", "&amp;BD$11&amp;"; ","")</f>
        <v/>
      </c>
      <c r="BE54" t="str">
        <f>IF(AND($W$9=1,Courses!N48&lt;0), "Row "&amp;Courses!$A48&amp;", "&amp;BE$9&amp;", "&amp;BE$10&amp;", "&amp;BE$11&amp;"; ","")</f>
        <v/>
      </c>
      <c r="BF54" t="str">
        <f>IF(AND($W$9=1,Courses!O48&lt;0), "Row "&amp;Courses!$A48&amp;", "&amp;BF$9&amp;", "&amp;BF$10&amp;", "&amp;BF$11&amp;"; ","")</f>
        <v/>
      </c>
      <c r="BG54" t="str">
        <f>IF(AND($W$9=1,Courses!P48&lt;0), "Row "&amp;Courses!$A48&amp;", "&amp;BG$9&amp;", "&amp;BG$10&amp;", "&amp;BG$11&amp;"; ","")</f>
        <v/>
      </c>
      <c r="BH54" s="2120" t="str">
        <f>IF(AND($W$9=1,Courses!Q48&lt;0), "Row "&amp;Courses!$A48&amp;", "&amp;BH$9&amp;", "&amp;BH$10&amp;"; ","")</f>
        <v/>
      </c>
      <c r="BI54" s="1593" t="str">
        <f>IF(AND($W$9=1,Courses!R48&lt;0), "Row "&amp;Courses!$A48&amp;", "&amp;BI$9&amp;", "&amp;BI$10&amp;", "&amp;BI$11&amp;"; ","")</f>
        <v/>
      </c>
      <c r="BJ54" t="str">
        <f>IF(AND($W$9=1,Courses!S48&lt;0), "Row "&amp;Courses!$A48&amp;", "&amp;BJ$9&amp;", "&amp;BJ$10&amp;", "&amp;BJ$11&amp;"; ","")</f>
        <v/>
      </c>
      <c r="BK54" t="str">
        <f>IF(AND($W$9=1,Courses!T48&lt;0), "Row "&amp;Courses!$A48&amp;", "&amp;BK$9&amp;", "&amp;BK$10&amp;", "&amp;BK$11&amp;"; ","")</f>
        <v/>
      </c>
      <c r="BL54" t="str">
        <f>IF(AND($W$9=1,Courses!U48&lt;0), "Row "&amp;Courses!$A48&amp;", "&amp;BL$9&amp;", "&amp;BL$10&amp;", "&amp;BL$11&amp;"; ","")</f>
        <v/>
      </c>
      <c r="BM54" s="2120" t="str">
        <f>IF(AND($W$9=1,Courses!V48&lt;0), "Row "&amp;Courses!$A48&amp;", "&amp;BM$9&amp;", "&amp;BM$10&amp;"; ","")</f>
        <v/>
      </c>
      <c r="BN54" s="1593" t="str">
        <f>IF(AND($W$9=1,Courses!W48&lt;0), "Row "&amp;Courses!$A48&amp;", "&amp;BN$9&amp;", "&amp;BN$10&amp;", "&amp;BN$11&amp;"; ","")</f>
        <v/>
      </c>
      <c r="BO54" t="str">
        <f>IF(AND($W$9=1,Courses!X48&lt;0), "Row "&amp;Courses!$A48&amp;", "&amp;BO$9&amp;", "&amp;BO$10&amp;", "&amp;BO$11&amp;"; ","")</f>
        <v/>
      </c>
      <c r="BP54" t="str">
        <f>IF(AND($W$9=1,Courses!Y48&lt;0), "Row "&amp;Courses!$A48&amp;", "&amp;BP$9&amp;", "&amp;BP$10&amp;", "&amp;BP$11&amp;"; ","")</f>
        <v/>
      </c>
      <c r="BQ54" t="str">
        <f>IF(AND($W$9=1,Courses!Z48&lt;0), "Row "&amp;Courses!$A48&amp;", "&amp;BQ$9&amp;", "&amp;BQ$10&amp;", "&amp;BQ$11&amp;"; ","")</f>
        <v/>
      </c>
      <c r="BR54" s="2120" t="str">
        <f>IF(AND($W$9=1,Courses!AA48&lt;0), "Row "&amp;Courses!$A48&amp;", "&amp;BR$9&amp;", "&amp;BR$10&amp;"; ","")</f>
        <v/>
      </c>
      <c r="BT54" s="186">
        <v>35</v>
      </c>
      <c r="BU54" s="40">
        <f>IF(AND($X$9=1,Courses!B48="",Courses!F48="",Courses!H48="",Courses!J48="",Courses!K48="",Courses!L48="",Courses!M48=0,Courses!N48=0,Courses!O48=0,Courses!P48=0,Courses!Q48=0,Courses!R48=0,Courses!S48=0,Courses!T48=0,Courses!U48=0,Courses!V48=0,Courses!W48=0,Courses!X48=0,Courses!Y48=0,Courses!Z48=0,Courses!AA48=0),0,1)</f>
        <v>0</v>
      </c>
      <c r="BV54" s="40">
        <f>IF(AND(BU54=0,SUM(BU55:$BU$219)&gt;0),1,0)</f>
        <v>0</v>
      </c>
      <c r="BW54" s="1595" t="str">
        <f>IF(BV54=1,"Row "&amp;Courses!A48&amp;"; ","")</f>
        <v/>
      </c>
      <c r="BX54" s="17"/>
      <c r="BZ54" s="1592" t="str">
        <f>IF(AND($Y$9=1,Courses!B48&lt;&gt;"",SUM(Courses!M48:AA48)=0),"Row "&amp;Courses!A48&amp;"; ","")</f>
        <v/>
      </c>
      <c r="CA54" s="17"/>
      <c r="CC54" s="1592" t="str">
        <f>IF(AND($Z$9=1,Courses!AD48=1,(LEN(Courses!AB48)&gt;200)),"Row "&amp;Courses!A48&amp;"; ","")</f>
        <v/>
      </c>
      <c r="CE54" s="131"/>
      <c r="CG54" s="1593" t="str">
        <f>IF(AND($AD$9=1,Courses!E48&lt;&gt;"",Courses!F48&lt;&gt;"",Courses!F48=0,SUM(Courses!H48,Courses!J48)=1),"Row "&amp;Courses!A48&amp;", "&amp;Courses!$F$10&amp;"; ","")</f>
        <v/>
      </c>
      <c r="CH54" t="str">
        <f>IF(AND($AD$9=1,Courses!G48&lt;&gt;"",Courses!H48&lt;&gt;"",Courses!H48=0,SUM(Courses!J48,Courses!F48)=1),"Row "&amp;Courses!A48&amp;", "&amp;Courses!$H$10&amp;"; ","")</f>
        <v/>
      </c>
      <c r="CI54" s="183" t="str">
        <f>IF(AND($AD$9=1,Courses!I48&lt;&gt;"",Courses!J48&lt;&gt;"",Courses!J48=0, SUM(Courses!H48,Courses!F48)=1),"Row "&amp;Courses!A48&amp;", "&amp;Courses!$J$10&amp;"; ","")</f>
        <v/>
      </c>
      <c r="CJ54" s="180"/>
      <c r="CK54" s="181"/>
      <c r="CL54" s="1592" t="str">
        <f>IF(AND(Courses!B48&lt;&gt;"",ISNA(VLOOKUP(Courses!C48,CourseInfo,2,FALSE))=FALSE,COUNTIF(Dummy,Courses!C48)&lt;&gt;1),VLOOKUP(Courses!C48,CourseInfo,6,FALSE),"")</f>
        <v/>
      </c>
      <c r="CM54" s="1592" t="str">
        <f>IF(AND($AE$9=1,Courses!B48&lt;&gt;"",'Courses Valid'!AG54="",COUNTIF(Dummy,Courses!C48)&lt;&gt;1),IF(Courses!K48&lt;&gt;'Courses Valid'!CL54,"Row "&amp;Courses!A48&amp;", Level on LARS is "&amp;'Courses Valid'!CL54&amp;"; ",""),"")</f>
        <v/>
      </c>
      <c r="CN54" s="131"/>
    </row>
    <row r="55" spans="3:92" x14ac:dyDescent="0.35">
      <c r="C55" s="1591">
        <f t="shared" si="2"/>
        <v>0</v>
      </c>
      <c r="D55" s="41"/>
      <c r="E55" s="41"/>
      <c r="F55" s="118"/>
      <c r="G55" s="1591" t="str">
        <f>IF(SUMPRODUCT(--(CourseAims=Courses!$C49))=1,"",IF(AND($N$9=1,Courses!$C49&lt;&gt;""),"Row "&amp;Courses!A49&amp;" (invalid); ",""))</f>
        <v/>
      </c>
      <c r="H55" s="1592" t="str">
        <f>IF(AND($O$9=1,Courses!B49="",OR(Courses!F49&lt;&gt;"",Courses!H49&lt;&gt;"",Courses!J49&lt;&gt;"",Courses!K49&lt;&gt;"",Courses!L49&lt;&gt;"",Courses!M49&lt;&gt;0,Courses!N49&lt;&gt;0,Courses!O49&lt;&gt;0,Courses!P49&lt;&gt;0,Courses!Q49&lt;&gt;0,Courses!R49&lt;&gt;0,Courses!S49&lt;&gt;0,Courses!T49&lt;&gt;0,Courses!U49&lt;&gt;0,Courses!V49&lt;&gt;0,Courses!W49&lt;&gt;0,Courses!X49&lt;&gt;0,Courses!Y49&lt;&gt;0,Courses!Z49&lt;&gt;0,Courses!AA49&lt;&gt;0)),"Row "&amp;Courses!A49&amp;" (none); ","")</f>
        <v/>
      </c>
      <c r="I55" s="17"/>
      <c r="K55" s="1592" t="str">
        <f>Courses!B49&amp;Courses!K49&amp;Courses!L49</f>
        <v/>
      </c>
      <c r="L55" s="1592" t="str">
        <f>IF(AND($P$9=1,Courses!$B49&lt;&gt;"",COUNTIF(Dummy,Courses!$C49)&lt;&gt;1),IF(SUMPRODUCT(--($K$20:$K$219=$K55))&gt;1,"Row "&amp;Courses!$A49&amp;"; ",""),"")</f>
        <v/>
      </c>
      <c r="N55" s="118"/>
      <c r="O55" s="1593" t="str">
        <f>IF(AND($Q$9=1,Courses!E49&lt;&gt;"",Courses!F49=""),"Row "&amp;Courses!A49&amp;", "&amp;Courses!$E$10&amp;"; ","")</f>
        <v/>
      </c>
      <c r="P55" t="str">
        <f>IF(AND($Q$9=1,Courses!G49&lt;&gt;"",Courses!H49=""),"Row "&amp;Courses!A49&amp;", "&amp;Courses!$G$10&amp;"; ","")</f>
        <v/>
      </c>
      <c r="Q55" s="183" t="str">
        <f>IF(AND($Q$9=1,Courses!I49&lt;&gt;"",Courses!J49=""),"Row "&amp;Courses!A49&amp;", "&amp;Courses!$I$10&amp;"; ","")</f>
        <v/>
      </c>
      <c r="S55" s="17"/>
      <c r="T55" s="118"/>
      <c r="U55" s="1594" t="str">
        <f>IF(AND($R$9=1,Courses!B49&lt;&gt;"",Courses!E49&lt;&gt;"",Courses!G49="",Courses!I49="",Courses!F49&lt;&gt;1),"Row "&amp;Courses!A49&amp;"; ","")</f>
        <v/>
      </c>
      <c r="V55" t="str">
        <f>IF(AND($R$9=1,Courses!B49&lt;&gt;"",Courses!I49="",Courses!F49&lt;&gt;"",Courses!G49&lt;&gt;"",Courses!H49&lt;&gt;""),IF(OR((Courses!F49+Courses!H49)&lt;&gt;1),"Row "&amp;Courses!A49&amp;"; ",""),"")</f>
        <v/>
      </c>
      <c r="W55" s="183" t="str">
        <f>IF(AND($R$9=1,Courses!B49&lt;&gt;"",Courses!I49&lt;&gt;"",Courses!J49&lt;&gt;"",Courses!H49&lt;&gt;"",Courses!G49&lt;&gt;"",Courses!F49&lt;&gt;""),IF(OR((Courses!F49+Courses!H49+Courses!J49)&lt;&gt;1),"Row "&amp;Courses!A49&amp;"; ",""),"")</f>
        <v/>
      </c>
      <c r="Y55" s="1592" t="str">
        <f>IF(AND($R$9=1,Courses!E49&lt;&gt;"",U55="",V55="",W55="",SUM(Courses!F49,Courses!H49,Courses!J49)&lt;&gt;1),"Row "&amp;Courses!A49&amp;"; ","")</f>
        <v/>
      </c>
      <c r="Z55" s="17"/>
      <c r="AB55" s="1593" t="str">
        <f>IF(AND($S$9=1,Courses!B49&lt;&gt;"",Courses!E49&lt;&gt;"",Courses!F49&lt;&gt;""),IF((TRUNC(Courses!F49*100)&lt;&gt;Courses!F49*100),"Row "&amp;Courses!A49&amp;", "&amp;Courses!$F$10&amp;"; ",""),"")</f>
        <v/>
      </c>
      <c r="AC55" t="str">
        <f>IF(AND($S$9=1,Courses!B49&lt;&gt;"",Courses!G49&lt;&gt;"",Courses!H49&lt;&gt;""),IF((TRUNC(Courses!H49*100)&lt;&gt;Courses!H49*100),"Row "&amp;Courses!A49&amp;", "&amp;Courses!$H$10&amp;"; ",""),"")</f>
        <v/>
      </c>
      <c r="AD55" s="183" t="str">
        <f>IF(AND($S$9=1,Courses!B49&lt;&gt;"",Courses!I49&lt;&gt;"",Courses!J49&lt;&gt;""),IF((TRUNC(Courses!J49*100)&lt;&gt;Courses!J49*100),"Row "&amp;Courses!A49&amp;", "&amp;Courses!$J$10&amp;"; ",""),"")</f>
        <v/>
      </c>
      <c r="AF55" s="118"/>
      <c r="AG55" s="1592" t="str">
        <f>IF(AND($T$9=1,G55="",Courses!B49&lt;&gt;"",Courses!K49&lt;&gt;$B$9,Courses!K49&lt;&gt;$B$10,Courses!K49&lt;&gt;$B$11,Courses!K49&lt;&gt;$B$12,Courses!K49&lt;&gt;$B$13,Courses!K49&lt;&gt;$B$14),"Row "&amp;Courses!A49&amp;"; ","")</f>
        <v/>
      </c>
      <c r="AH55" s="1592" t="str">
        <f>IF(AND($U$9=1,G55="",Courses!B49&lt;&gt;"",Courses!L49&lt;&gt;"Standard",Courses!L49&lt;&gt;"Long"),"Row "&amp;Courses!A49&amp;"; ","")</f>
        <v/>
      </c>
      <c r="AJ55" s="118"/>
      <c r="AK55" s="3">
        <v>36</v>
      </c>
      <c r="AL55" s="1593" t="str">
        <f>IF(AND($V$9=1,(TRUNC(Courses!M49)&lt;&gt;Courses!M49)), "Row "&amp;Courses!$A49&amp;", "&amp;AL$9&amp;", "&amp;AL$10&amp;", "&amp;AL$11&amp;"; ","")</f>
        <v/>
      </c>
      <c r="AM55" t="str">
        <f>IF(AND($V$9=1,(TRUNC(Courses!N49)&lt;&gt;Courses!N49)), "Row "&amp;Courses!$A49&amp;", "&amp;AM$9&amp;", "&amp;AM$10&amp;", "&amp;AM$11&amp;"; ","")</f>
        <v/>
      </c>
      <c r="AN55" t="str">
        <f>IF(AND($V$9=1,(TRUNC(Courses!O49)&lt;&gt;Courses!O49)), "Row "&amp;Courses!$A49&amp;", "&amp;AN$9&amp;", "&amp;AN$10&amp;", "&amp;AN$11&amp;"; ","")</f>
        <v/>
      </c>
      <c r="AO55" t="str">
        <f>IF(AND($V$9=1,(TRUNC(Courses!P49)&lt;&gt;Courses!P49)), "Row "&amp;Courses!$A49&amp;", "&amp;AO$9&amp;", "&amp;AO$10&amp;", "&amp;AO$11&amp;"; ","")</f>
        <v/>
      </c>
      <c r="AP55" s="2120" t="str">
        <f>IF(AND($V$9=1,(TRUNC(Courses!Q49)&lt;&gt;Courses!Q49)), "Row "&amp;Courses!$A49&amp;", "&amp;AP$9&amp;", "&amp;AP$10&amp;"; ","")</f>
        <v/>
      </c>
      <c r="AQ55" s="1593" t="str">
        <f>IF(AND($V$9=1,(TRUNC(Courses!R49)&lt;&gt;Courses!R49)), "Row "&amp;Courses!$A49&amp;", "&amp;AQ$9&amp;", "&amp;AQ$10&amp;", "&amp;AQ$11&amp;"; ","")</f>
        <v/>
      </c>
      <c r="AR55" t="str">
        <f>IF(AND($V$9=1,(TRUNC(Courses!S49)&lt;&gt;Courses!S49)), "Row "&amp;Courses!$A49&amp;", "&amp;AR$9&amp;", "&amp;AR$10&amp;", "&amp;AR$11&amp;"; ","")</f>
        <v/>
      </c>
      <c r="AS55" t="str">
        <f>IF(AND($V$9=1,(TRUNC(Courses!T49)&lt;&gt;Courses!T49)), "Row "&amp;Courses!$A49&amp;", "&amp;AS$9&amp;", "&amp;AS$10&amp;", "&amp;AS$11&amp;"; ","")</f>
        <v/>
      </c>
      <c r="AT55" t="str">
        <f>IF(AND($V$9=1,(TRUNC(Courses!U49)&lt;&gt;Courses!U49)), "Row "&amp;Courses!$A49&amp;", "&amp;AT$9&amp;", "&amp;AT$10&amp;", "&amp;AT$11&amp;"; ","")</f>
        <v/>
      </c>
      <c r="AU55" s="2120" t="str">
        <f>IF(AND($V$9=1,(TRUNC(Courses!V49)&lt;&gt;Courses!V49)), "Row "&amp;Courses!$A49&amp;", "&amp;AU$9&amp;", "&amp;AU$10&amp;"; ","")</f>
        <v/>
      </c>
      <c r="AV55" s="1593" t="str">
        <f>IF(AND($V$9=1,(TRUNC(Courses!W49)&lt;&gt;Courses!W49)), "Row "&amp;Courses!$A49&amp;", "&amp;AV$9&amp;", "&amp;AV$10&amp;", "&amp;AV$11&amp;"; ","")</f>
        <v/>
      </c>
      <c r="AW55" t="str">
        <f>IF(AND($V$9=1,(TRUNC(Courses!X49)&lt;&gt;Courses!X49)), "Row "&amp;Courses!$A49&amp;", "&amp;AW$9&amp;", "&amp;AW$10&amp;", "&amp;AW$11&amp;"; ","")</f>
        <v/>
      </c>
      <c r="AX55" t="str">
        <f>IF(AND($V$9=1,(TRUNC(Courses!Y49)&lt;&gt;Courses!Y49)), "Row "&amp;Courses!$A49&amp;", "&amp;AX$9&amp;", "&amp;AX$10&amp;", "&amp;AX$11&amp;"; ","")</f>
        <v/>
      </c>
      <c r="AY55" t="str">
        <f>IF(AND($V$9=1,(TRUNC(Courses!Z49)&lt;&gt;Courses!Z49)), "Row "&amp;Courses!$A49&amp;", "&amp;AY$9&amp;", "&amp;AY$10&amp;", "&amp;AY$11&amp;"; ","")</f>
        <v/>
      </c>
      <c r="AZ55" s="2120" t="str">
        <f>IF(AND($V$9=1,(TRUNC(Courses!AA49)&lt;&gt;Courses!AA49)), "Row "&amp;Courses!$A49&amp;", "&amp;AZ$9&amp;", "&amp;AZ$10&amp;"; ","")</f>
        <v/>
      </c>
      <c r="BA55" s="17"/>
      <c r="BB55" s="118"/>
      <c r="BC55" s="3">
        <v>36</v>
      </c>
      <c r="BD55" s="1593" t="str">
        <f>IF(AND($W$9=1,Courses!M49&lt;0), "Row "&amp;Courses!$A49&amp;", "&amp;BD$9&amp;", "&amp;BD$10&amp;", "&amp;BD$11&amp;"; ","")</f>
        <v/>
      </c>
      <c r="BE55" t="str">
        <f>IF(AND($W$9=1,Courses!N49&lt;0), "Row "&amp;Courses!$A49&amp;", "&amp;BE$9&amp;", "&amp;BE$10&amp;", "&amp;BE$11&amp;"; ","")</f>
        <v/>
      </c>
      <c r="BF55" t="str">
        <f>IF(AND($W$9=1,Courses!O49&lt;0), "Row "&amp;Courses!$A49&amp;", "&amp;BF$9&amp;", "&amp;BF$10&amp;", "&amp;BF$11&amp;"; ","")</f>
        <v/>
      </c>
      <c r="BG55" t="str">
        <f>IF(AND($W$9=1,Courses!P49&lt;0), "Row "&amp;Courses!$A49&amp;", "&amp;BG$9&amp;", "&amp;BG$10&amp;", "&amp;BG$11&amp;"; ","")</f>
        <v/>
      </c>
      <c r="BH55" s="2120" t="str">
        <f>IF(AND($W$9=1,Courses!Q49&lt;0), "Row "&amp;Courses!$A49&amp;", "&amp;BH$9&amp;", "&amp;BH$10&amp;"; ","")</f>
        <v/>
      </c>
      <c r="BI55" s="1593" t="str">
        <f>IF(AND($W$9=1,Courses!R49&lt;0), "Row "&amp;Courses!$A49&amp;", "&amp;BI$9&amp;", "&amp;BI$10&amp;", "&amp;BI$11&amp;"; ","")</f>
        <v/>
      </c>
      <c r="BJ55" t="str">
        <f>IF(AND($W$9=1,Courses!S49&lt;0), "Row "&amp;Courses!$A49&amp;", "&amp;BJ$9&amp;", "&amp;BJ$10&amp;", "&amp;BJ$11&amp;"; ","")</f>
        <v/>
      </c>
      <c r="BK55" t="str">
        <f>IF(AND($W$9=1,Courses!T49&lt;0), "Row "&amp;Courses!$A49&amp;", "&amp;BK$9&amp;", "&amp;BK$10&amp;", "&amp;BK$11&amp;"; ","")</f>
        <v/>
      </c>
      <c r="BL55" t="str">
        <f>IF(AND($W$9=1,Courses!U49&lt;0), "Row "&amp;Courses!$A49&amp;", "&amp;BL$9&amp;", "&amp;BL$10&amp;", "&amp;BL$11&amp;"; ","")</f>
        <v/>
      </c>
      <c r="BM55" s="2120" t="str">
        <f>IF(AND($W$9=1,Courses!V49&lt;0), "Row "&amp;Courses!$A49&amp;", "&amp;BM$9&amp;", "&amp;BM$10&amp;"; ","")</f>
        <v/>
      </c>
      <c r="BN55" s="1593" t="str">
        <f>IF(AND($W$9=1,Courses!W49&lt;0), "Row "&amp;Courses!$A49&amp;", "&amp;BN$9&amp;", "&amp;BN$10&amp;", "&amp;BN$11&amp;"; ","")</f>
        <v/>
      </c>
      <c r="BO55" t="str">
        <f>IF(AND($W$9=1,Courses!X49&lt;0), "Row "&amp;Courses!$A49&amp;", "&amp;BO$9&amp;", "&amp;BO$10&amp;", "&amp;BO$11&amp;"; ","")</f>
        <v/>
      </c>
      <c r="BP55" t="str">
        <f>IF(AND($W$9=1,Courses!Y49&lt;0), "Row "&amp;Courses!$A49&amp;", "&amp;BP$9&amp;", "&amp;BP$10&amp;", "&amp;BP$11&amp;"; ","")</f>
        <v/>
      </c>
      <c r="BQ55" t="str">
        <f>IF(AND($W$9=1,Courses!Z49&lt;0), "Row "&amp;Courses!$A49&amp;", "&amp;BQ$9&amp;", "&amp;BQ$10&amp;", "&amp;BQ$11&amp;"; ","")</f>
        <v/>
      </c>
      <c r="BR55" s="2120" t="str">
        <f>IF(AND($W$9=1,Courses!AA49&lt;0), "Row "&amp;Courses!$A49&amp;", "&amp;BR$9&amp;", "&amp;BR$10&amp;"; ","")</f>
        <v/>
      </c>
      <c r="BT55" s="186">
        <v>36</v>
      </c>
      <c r="BU55" s="40">
        <f>IF(AND($X$9=1,Courses!B49="",Courses!F49="",Courses!H49="",Courses!J49="",Courses!K49="",Courses!L49="",Courses!M49=0,Courses!N49=0,Courses!O49=0,Courses!P49=0,Courses!Q49=0,Courses!R49=0,Courses!S49=0,Courses!T49=0,Courses!U49=0,Courses!V49=0,Courses!W49=0,Courses!X49=0,Courses!Y49=0,Courses!Z49=0,Courses!AA49=0),0,1)</f>
        <v>0</v>
      </c>
      <c r="BV55" s="40">
        <f>IF(AND(BU55=0,SUM(BU56:$BU$219)&gt;0),1,0)</f>
        <v>0</v>
      </c>
      <c r="BW55" s="1595" t="str">
        <f>IF(BV55=1,"Row "&amp;Courses!A49&amp;"; ","")</f>
        <v/>
      </c>
      <c r="BX55" s="17"/>
      <c r="BZ55" s="1592" t="str">
        <f>IF(AND($Y$9=1,Courses!B49&lt;&gt;"",SUM(Courses!M49:AA49)=0),"Row "&amp;Courses!A49&amp;"; ","")</f>
        <v/>
      </c>
      <c r="CA55" s="17"/>
      <c r="CC55" s="1592" t="str">
        <f>IF(AND($Z$9=1,Courses!AD49=1,(LEN(Courses!AB49)&gt;200)),"Row "&amp;Courses!A49&amp;"; ","")</f>
        <v/>
      </c>
      <c r="CE55" s="131"/>
      <c r="CG55" s="1593" t="str">
        <f>IF(AND($AD$9=1,Courses!E49&lt;&gt;"",Courses!F49&lt;&gt;"",Courses!F49=0,SUM(Courses!H49,Courses!J49)=1),"Row "&amp;Courses!A49&amp;", "&amp;Courses!$F$10&amp;"; ","")</f>
        <v/>
      </c>
      <c r="CH55" t="str">
        <f>IF(AND($AD$9=1,Courses!G49&lt;&gt;"",Courses!H49&lt;&gt;"",Courses!H49=0,SUM(Courses!J49,Courses!F49)=1),"Row "&amp;Courses!A49&amp;", "&amp;Courses!$H$10&amp;"; ","")</f>
        <v/>
      </c>
      <c r="CI55" s="183" t="str">
        <f>IF(AND($AD$9=1,Courses!I49&lt;&gt;"",Courses!J49&lt;&gt;"",Courses!J49=0, SUM(Courses!H49,Courses!F49)=1),"Row "&amp;Courses!A49&amp;", "&amp;Courses!$J$10&amp;"; ","")</f>
        <v/>
      </c>
      <c r="CJ55" s="180"/>
      <c r="CK55" s="181"/>
      <c r="CL55" s="1592" t="str">
        <f>IF(AND(Courses!B49&lt;&gt;"",ISNA(VLOOKUP(Courses!C49,CourseInfo,2,FALSE))=FALSE,COUNTIF(Dummy,Courses!C49)&lt;&gt;1),VLOOKUP(Courses!C49,CourseInfo,6,FALSE),"")</f>
        <v/>
      </c>
      <c r="CM55" s="1592" t="str">
        <f>IF(AND($AE$9=1,Courses!B49&lt;&gt;"",'Courses Valid'!AG55="",COUNTIF(Dummy,Courses!C49)&lt;&gt;1),IF(Courses!K49&lt;&gt;'Courses Valid'!CL55,"Row "&amp;Courses!A49&amp;", Level on LARS is "&amp;'Courses Valid'!CL55&amp;"; ",""),"")</f>
        <v/>
      </c>
      <c r="CN55" s="131"/>
    </row>
    <row r="56" spans="3:92" x14ac:dyDescent="0.35">
      <c r="C56" s="1591">
        <f t="shared" si="2"/>
        <v>0</v>
      </c>
      <c r="D56" s="41"/>
      <c r="E56" s="41"/>
      <c r="F56" s="118"/>
      <c r="G56" s="1591" t="str">
        <f>IF(SUMPRODUCT(--(CourseAims=Courses!$C50))=1,"",IF(AND($N$9=1,Courses!$C50&lt;&gt;""),"Row "&amp;Courses!A50&amp;" (invalid); ",""))</f>
        <v/>
      </c>
      <c r="H56" s="1592" t="str">
        <f>IF(AND($O$9=1,Courses!B50="",OR(Courses!F50&lt;&gt;"",Courses!H50&lt;&gt;"",Courses!J50&lt;&gt;"",Courses!K50&lt;&gt;"",Courses!L50&lt;&gt;"",Courses!M50&lt;&gt;0,Courses!N50&lt;&gt;0,Courses!O50&lt;&gt;0,Courses!P50&lt;&gt;0,Courses!Q50&lt;&gt;0,Courses!R50&lt;&gt;0,Courses!S50&lt;&gt;0,Courses!T50&lt;&gt;0,Courses!U50&lt;&gt;0,Courses!V50&lt;&gt;0,Courses!W50&lt;&gt;0,Courses!X50&lt;&gt;0,Courses!Y50&lt;&gt;0,Courses!Z50&lt;&gt;0,Courses!AA50&lt;&gt;0)),"Row "&amp;Courses!A50&amp;" (none); ","")</f>
        <v/>
      </c>
      <c r="I56" s="17"/>
      <c r="K56" s="1592" t="str">
        <f>Courses!B50&amp;Courses!K50&amp;Courses!L50</f>
        <v/>
      </c>
      <c r="L56" s="1592" t="str">
        <f>IF(AND($P$9=1,Courses!$B50&lt;&gt;"",COUNTIF(Dummy,Courses!$C50)&lt;&gt;1),IF(SUMPRODUCT(--($K$20:$K$219=$K56))&gt;1,"Row "&amp;Courses!$A50&amp;"; ",""),"")</f>
        <v/>
      </c>
      <c r="N56" s="118"/>
      <c r="O56" s="1593" t="str">
        <f>IF(AND($Q$9=1,Courses!E50&lt;&gt;"",Courses!F50=""),"Row "&amp;Courses!A50&amp;", "&amp;Courses!$E$10&amp;"; ","")</f>
        <v/>
      </c>
      <c r="P56" t="str">
        <f>IF(AND($Q$9=1,Courses!G50&lt;&gt;"",Courses!H50=""),"Row "&amp;Courses!A50&amp;", "&amp;Courses!$G$10&amp;"; ","")</f>
        <v/>
      </c>
      <c r="Q56" s="183" t="str">
        <f>IF(AND($Q$9=1,Courses!I50&lt;&gt;"",Courses!J50=""),"Row "&amp;Courses!A50&amp;", "&amp;Courses!$I$10&amp;"; ","")</f>
        <v/>
      </c>
      <c r="S56" s="17"/>
      <c r="T56" s="118"/>
      <c r="U56" s="1594" t="str">
        <f>IF(AND($R$9=1,Courses!B50&lt;&gt;"",Courses!E50&lt;&gt;"",Courses!G50="",Courses!I50="",Courses!F50&lt;&gt;1),"Row "&amp;Courses!A50&amp;"; ","")</f>
        <v/>
      </c>
      <c r="V56" t="str">
        <f>IF(AND($R$9=1,Courses!B50&lt;&gt;"",Courses!I50="",Courses!F50&lt;&gt;"",Courses!G50&lt;&gt;"",Courses!H50&lt;&gt;""),IF(OR((Courses!F50+Courses!H50)&lt;&gt;1),"Row "&amp;Courses!A50&amp;"; ",""),"")</f>
        <v/>
      </c>
      <c r="W56" s="183" t="str">
        <f>IF(AND($R$9=1,Courses!B50&lt;&gt;"",Courses!I50&lt;&gt;"",Courses!J50&lt;&gt;"",Courses!H50&lt;&gt;"",Courses!G50&lt;&gt;"",Courses!F50&lt;&gt;""),IF(OR((Courses!F50+Courses!H50+Courses!J50)&lt;&gt;1),"Row "&amp;Courses!A50&amp;"; ",""),"")</f>
        <v/>
      </c>
      <c r="Y56" s="1592" t="str">
        <f>IF(AND($R$9=1,Courses!E50&lt;&gt;"",U56="",V56="",W56="",SUM(Courses!F50,Courses!H50,Courses!J50)&lt;&gt;1),"Row "&amp;Courses!A50&amp;"; ","")</f>
        <v/>
      </c>
      <c r="Z56" s="17"/>
      <c r="AB56" s="1593" t="str">
        <f>IF(AND($S$9=1,Courses!B50&lt;&gt;"",Courses!E50&lt;&gt;"",Courses!F50&lt;&gt;""),IF((TRUNC(Courses!F50*100)&lt;&gt;Courses!F50*100),"Row "&amp;Courses!A50&amp;", "&amp;Courses!$F$10&amp;"; ",""),"")</f>
        <v/>
      </c>
      <c r="AC56" t="str">
        <f>IF(AND($S$9=1,Courses!B50&lt;&gt;"",Courses!G50&lt;&gt;"",Courses!H50&lt;&gt;""),IF((TRUNC(Courses!H50*100)&lt;&gt;Courses!H50*100),"Row "&amp;Courses!A50&amp;", "&amp;Courses!$H$10&amp;"; ",""),"")</f>
        <v/>
      </c>
      <c r="AD56" s="183" t="str">
        <f>IF(AND($S$9=1,Courses!B50&lt;&gt;"",Courses!I50&lt;&gt;"",Courses!J50&lt;&gt;""),IF((TRUNC(Courses!J50*100)&lt;&gt;Courses!J50*100),"Row "&amp;Courses!A50&amp;", "&amp;Courses!$J$10&amp;"; ",""),"")</f>
        <v/>
      </c>
      <c r="AF56" s="118"/>
      <c r="AG56" s="1592" t="str">
        <f>IF(AND($T$9=1,G56="",Courses!B50&lt;&gt;"",Courses!K50&lt;&gt;$B$9,Courses!K50&lt;&gt;$B$10,Courses!K50&lt;&gt;$B$11,Courses!K50&lt;&gt;$B$12,Courses!K50&lt;&gt;$B$13,Courses!K50&lt;&gt;$B$14),"Row "&amp;Courses!A50&amp;"; ","")</f>
        <v/>
      </c>
      <c r="AH56" s="1592" t="str">
        <f>IF(AND($U$9=1,G56="",Courses!B50&lt;&gt;"",Courses!L50&lt;&gt;"Standard",Courses!L50&lt;&gt;"Long"),"Row "&amp;Courses!A50&amp;"; ","")</f>
        <v/>
      </c>
      <c r="AJ56" s="118"/>
      <c r="AK56" s="3">
        <v>37</v>
      </c>
      <c r="AL56" s="1593" t="str">
        <f>IF(AND($V$9=1,(TRUNC(Courses!M50)&lt;&gt;Courses!M50)), "Row "&amp;Courses!$A50&amp;", "&amp;AL$9&amp;", "&amp;AL$10&amp;", "&amp;AL$11&amp;"; ","")</f>
        <v/>
      </c>
      <c r="AM56" t="str">
        <f>IF(AND($V$9=1,(TRUNC(Courses!N50)&lt;&gt;Courses!N50)), "Row "&amp;Courses!$A50&amp;", "&amp;AM$9&amp;", "&amp;AM$10&amp;", "&amp;AM$11&amp;"; ","")</f>
        <v/>
      </c>
      <c r="AN56" t="str">
        <f>IF(AND($V$9=1,(TRUNC(Courses!O50)&lt;&gt;Courses!O50)), "Row "&amp;Courses!$A50&amp;", "&amp;AN$9&amp;", "&amp;AN$10&amp;", "&amp;AN$11&amp;"; ","")</f>
        <v/>
      </c>
      <c r="AO56" t="str">
        <f>IF(AND($V$9=1,(TRUNC(Courses!P50)&lt;&gt;Courses!P50)), "Row "&amp;Courses!$A50&amp;", "&amp;AO$9&amp;", "&amp;AO$10&amp;", "&amp;AO$11&amp;"; ","")</f>
        <v/>
      </c>
      <c r="AP56" s="2120" t="str">
        <f>IF(AND($V$9=1,(TRUNC(Courses!Q50)&lt;&gt;Courses!Q50)), "Row "&amp;Courses!$A50&amp;", "&amp;AP$9&amp;", "&amp;AP$10&amp;"; ","")</f>
        <v/>
      </c>
      <c r="AQ56" s="1593" t="str">
        <f>IF(AND($V$9=1,(TRUNC(Courses!R50)&lt;&gt;Courses!R50)), "Row "&amp;Courses!$A50&amp;", "&amp;AQ$9&amp;", "&amp;AQ$10&amp;", "&amp;AQ$11&amp;"; ","")</f>
        <v/>
      </c>
      <c r="AR56" t="str">
        <f>IF(AND($V$9=1,(TRUNC(Courses!S50)&lt;&gt;Courses!S50)), "Row "&amp;Courses!$A50&amp;", "&amp;AR$9&amp;", "&amp;AR$10&amp;", "&amp;AR$11&amp;"; ","")</f>
        <v/>
      </c>
      <c r="AS56" t="str">
        <f>IF(AND($V$9=1,(TRUNC(Courses!T50)&lt;&gt;Courses!T50)), "Row "&amp;Courses!$A50&amp;", "&amp;AS$9&amp;", "&amp;AS$10&amp;", "&amp;AS$11&amp;"; ","")</f>
        <v/>
      </c>
      <c r="AT56" t="str">
        <f>IF(AND($V$9=1,(TRUNC(Courses!U50)&lt;&gt;Courses!U50)), "Row "&amp;Courses!$A50&amp;", "&amp;AT$9&amp;", "&amp;AT$10&amp;", "&amp;AT$11&amp;"; ","")</f>
        <v/>
      </c>
      <c r="AU56" s="2120" t="str">
        <f>IF(AND($V$9=1,(TRUNC(Courses!V50)&lt;&gt;Courses!V50)), "Row "&amp;Courses!$A50&amp;", "&amp;AU$9&amp;", "&amp;AU$10&amp;"; ","")</f>
        <v/>
      </c>
      <c r="AV56" s="1593" t="str">
        <f>IF(AND($V$9=1,(TRUNC(Courses!W50)&lt;&gt;Courses!W50)), "Row "&amp;Courses!$A50&amp;", "&amp;AV$9&amp;", "&amp;AV$10&amp;", "&amp;AV$11&amp;"; ","")</f>
        <v/>
      </c>
      <c r="AW56" t="str">
        <f>IF(AND($V$9=1,(TRUNC(Courses!X50)&lt;&gt;Courses!X50)), "Row "&amp;Courses!$A50&amp;", "&amp;AW$9&amp;", "&amp;AW$10&amp;", "&amp;AW$11&amp;"; ","")</f>
        <v/>
      </c>
      <c r="AX56" t="str">
        <f>IF(AND($V$9=1,(TRUNC(Courses!Y50)&lt;&gt;Courses!Y50)), "Row "&amp;Courses!$A50&amp;", "&amp;AX$9&amp;", "&amp;AX$10&amp;", "&amp;AX$11&amp;"; ","")</f>
        <v/>
      </c>
      <c r="AY56" t="str">
        <f>IF(AND($V$9=1,(TRUNC(Courses!Z50)&lt;&gt;Courses!Z50)), "Row "&amp;Courses!$A50&amp;", "&amp;AY$9&amp;", "&amp;AY$10&amp;", "&amp;AY$11&amp;"; ","")</f>
        <v/>
      </c>
      <c r="AZ56" s="2120" t="str">
        <f>IF(AND($V$9=1,(TRUNC(Courses!AA50)&lt;&gt;Courses!AA50)), "Row "&amp;Courses!$A50&amp;", "&amp;AZ$9&amp;", "&amp;AZ$10&amp;"; ","")</f>
        <v/>
      </c>
      <c r="BA56" s="17"/>
      <c r="BB56" s="118"/>
      <c r="BC56" s="3">
        <v>37</v>
      </c>
      <c r="BD56" s="1593" t="str">
        <f>IF(AND($W$9=1,Courses!M50&lt;0), "Row "&amp;Courses!$A50&amp;", "&amp;BD$9&amp;", "&amp;BD$10&amp;", "&amp;BD$11&amp;"; ","")</f>
        <v/>
      </c>
      <c r="BE56" t="str">
        <f>IF(AND($W$9=1,Courses!N50&lt;0), "Row "&amp;Courses!$A50&amp;", "&amp;BE$9&amp;", "&amp;BE$10&amp;", "&amp;BE$11&amp;"; ","")</f>
        <v/>
      </c>
      <c r="BF56" t="str">
        <f>IF(AND($W$9=1,Courses!O50&lt;0), "Row "&amp;Courses!$A50&amp;", "&amp;BF$9&amp;", "&amp;BF$10&amp;", "&amp;BF$11&amp;"; ","")</f>
        <v/>
      </c>
      <c r="BG56" t="str">
        <f>IF(AND($W$9=1,Courses!P50&lt;0), "Row "&amp;Courses!$A50&amp;", "&amp;BG$9&amp;", "&amp;BG$10&amp;", "&amp;BG$11&amp;"; ","")</f>
        <v/>
      </c>
      <c r="BH56" s="2120" t="str">
        <f>IF(AND($W$9=1,Courses!Q50&lt;0), "Row "&amp;Courses!$A50&amp;", "&amp;BH$9&amp;", "&amp;BH$10&amp;"; ","")</f>
        <v/>
      </c>
      <c r="BI56" s="1593" t="str">
        <f>IF(AND($W$9=1,Courses!R50&lt;0), "Row "&amp;Courses!$A50&amp;", "&amp;BI$9&amp;", "&amp;BI$10&amp;", "&amp;BI$11&amp;"; ","")</f>
        <v/>
      </c>
      <c r="BJ56" t="str">
        <f>IF(AND($W$9=1,Courses!S50&lt;0), "Row "&amp;Courses!$A50&amp;", "&amp;BJ$9&amp;", "&amp;BJ$10&amp;", "&amp;BJ$11&amp;"; ","")</f>
        <v/>
      </c>
      <c r="BK56" t="str">
        <f>IF(AND($W$9=1,Courses!T50&lt;0), "Row "&amp;Courses!$A50&amp;", "&amp;BK$9&amp;", "&amp;BK$10&amp;", "&amp;BK$11&amp;"; ","")</f>
        <v/>
      </c>
      <c r="BL56" t="str">
        <f>IF(AND($W$9=1,Courses!U50&lt;0), "Row "&amp;Courses!$A50&amp;", "&amp;BL$9&amp;", "&amp;BL$10&amp;", "&amp;BL$11&amp;"; ","")</f>
        <v/>
      </c>
      <c r="BM56" s="2120" t="str">
        <f>IF(AND($W$9=1,Courses!V50&lt;0), "Row "&amp;Courses!$A50&amp;", "&amp;BM$9&amp;", "&amp;BM$10&amp;"; ","")</f>
        <v/>
      </c>
      <c r="BN56" s="1593" t="str">
        <f>IF(AND($W$9=1,Courses!W50&lt;0), "Row "&amp;Courses!$A50&amp;", "&amp;BN$9&amp;", "&amp;BN$10&amp;", "&amp;BN$11&amp;"; ","")</f>
        <v/>
      </c>
      <c r="BO56" t="str">
        <f>IF(AND($W$9=1,Courses!X50&lt;0), "Row "&amp;Courses!$A50&amp;", "&amp;BO$9&amp;", "&amp;BO$10&amp;", "&amp;BO$11&amp;"; ","")</f>
        <v/>
      </c>
      <c r="BP56" t="str">
        <f>IF(AND($W$9=1,Courses!Y50&lt;0), "Row "&amp;Courses!$A50&amp;", "&amp;BP$9&amp;", "&amp;BP$10&amp;", "&amp;BP$11&amp;"; ","")</f>
        <v/>
      </c>
      <c r="BQ56" t="str">
        <f>IF(AND($W$9=1,Courses!Z50&lt;0), "Row "&amp;Courses!$A50&amp;", "&amp;BQ$9&amp;", "&amp;BQ$10&amp;", "&amp;BQ$11&amp;"; ","")</f>
        <v/>
      </c>
      <c r="BR56" s="2120" t="str">
        <f>IF(AND($W$9=1,Courses!AA50&lt;0), "Row "&amp;Courses!$A50&amp;", "&amp;BR$9&amp;", "&amp;BR$10&amp;"; ","")</f>
        <v/>
      </c>
      <c r="BT56" s="186">
        <v>37</v>
      </c>
      <c r="BU56" s="40">
        <f>IF(AND($X$9=1,Courses!B50="",Courses!F50="",Courses!H50="",Courses!J50="",Courses!K50="",Courses!L50="",Courses!M50=0,Courses!N50=0,Courses!O50=0,Courses!P50=0,Courses!Q50=0,Courses!R50=0,Courses!S50=0,Courses!T50=0,Courses!U50=0,Courses!V50=0,Courses!W50=0,Courses!X50=0,Courses!Y50=0,Courses!Z50=0,Courses!AA50=0),0,1)</f>
        <v>0</v>
      </c>
      <c r="BV56" s="40">
        <f>IF(AND(BU56=0,SUM(BU57:$BU$219)&gt;0),1,0)</f>
        <v>0</v>
      </c>
      <c r="BW56" s="1595" t="str">
        <f>IF(BV56=1,"Row "&amp;Courses!A50&amp;"; ","")</f>
        <v/>
      </c>
      <c r="BX56" s="17"/>
      <c r="BZ56" s="1592" t="str">
        <f>IF(AND($Y$9=1,Courses!B50&lt;&gt;"",SUM(Courses!M50:AA50)=0),"Row "&amp;Courses!A50&amp;"; ","")</f>
        <v/>
      </c>
      <c r="CA56" s="17"/>
      <c r="CC56" s="1592" t="str">
        <f>IF(AND($Z$9=1,Courses!AD50=1,(LEN(Courses!AB50)&gt;200)),"Row "&amp;Courses!A50&amp;"; ","")</f>
        <v/>
      </c>
      <c r="CE56" s="131"/>
      <c r="CG56" s="1593" t="str">
        <f>IF(AND($AD$9=1,Courses!E50&lt;&gt;"",Courses!F50&lt;&gt;"",Courses!F50=0,SUM(Courses!H50,Courses!J50)=1),"Row "&amp;Courses!A50&amp;", "&amp;Courses!$F$10&amp;"; ","")</f>
        <v/>
      </c>
      <c r="CH56" t="str">
        <f>IF(AND($AD$9=1,Courses!G50&lt;&gt;"",Courses!H50&lt;&gt;"",Courses!H50=0,SUM(Courses!J50,Courses!F50)=1),"Row "&amp;Courses!A50&amp;", "&amp;Courses!$H$10&amp;"; ","")</f>
        <v/>
      </c>
      <c r="CI56" s="183" t="str">
        <f>IF(AND($AD$9=1,Courses!I50&lt;&gt;"",Courses!J50&lt;&gt;"",Courses!J50=0, SUM(Courses!H50,Courses!F50)=1),"Row "&amp;Courses!A50&amp;", "&amp;Courses!$J$10&amp;"; ","")</f>
        <v/>
      </c>
      <c r="CJ56" s="180"/>
      <c r="CK56" s="181"/>
      <c r="CL56" s="1592" t="str">
        <f>IF(AND(Courses!B50&lt;&gt;"",ISNA(VLOOKUP(Courses!C50,CourseInfo,2,FALSE))=FALSE,COUNTIF(Dummy,Courses!C50)&lt;&gt;1),VLOOKUP(Courses!C50,CourseInfo,6,FALSE),"")</f>
        <v/>
      </c>
      <c r="CM56" s="1592" t="str">
        <f>IF(AND($AE$9=1,Courses!B50&lt;&gt;"",'Courses Valid'!AG56="",COUNTIF(Dummy,Courses!C50)&lt;&gt;1),IF(Courses!K50&lt;&gt;'Courses Valid'!CL56,"Row "&amp;Courses!A50&amp;", Level on LARS is "&amp;'Courses Valid'!CL56&amp;"; ",""),"")</f>
        <v/>
      </c>
      <c r="CN56" s="131"/>
    </row>
    <row r="57" spans="3:92" x14ac:dyDescent="0.35">
      <c r="C57" s="1591">
        <f t="shared" si="2"/>
        <v>0</v>
      </c>
      <c r="D57" s="41"/>
      <c r="E57" s="41"/>
      <c r="F57" s="118"/>
      <c r="G57" s="1591" t="str">
        <f>IF(SUMPRODUCT(--(CourseAims=Courses!$C51))=1,"",IF(AND($N$9=1,Courses!$C51&lt;&gt;""),"Row "&amp;Courses!A51&amp;" (invalid); ",""))</f>
        <v/>
      </c>
      <c r="H57" s="1592" t="str">
        <f>IF(AND($O$9=1,Courses!B51="",OR(Courses!F51&lt;&gt;"",Courses!H51&lt;&gt;"",Courses!J51&lt;&gt;"",Courses!K51&lt;&gt;"",Courses!L51&lt;&gt;"",Courses!M51&lt;&gt;0,Courses!N51&lt;&gt;0,Courses!O51&lt;&gt;0,Courses!P51&lt;&gt;0,Courses!Q51&lt;&gt;0,Courses!R51&lt;&gt;0,Courses!S51&lt;&gt;0,Courses!T51&lt;&gt;0,Courses!U51&lt;&gt;0,Courses!V51&lt;&gt;0,Courses!W51&lt;&gt;0,Courses!X51&lt;&gt;0,Courses!Y51&lt;&gt;0,Courses!Z51&lt;&gt;0,Courses!AA51&lt;&gt;0)),"Row "&amp;Courses!A51&amp;" (none); ","")</f>
        <v/>
      </c>
      <c r="I57" s="17"/>
      <c r="K57" s="1592" t="str">
        <f>Courses!B51&amp;Courses!K51&amp;Courses!L51</f>
        <v/>
      </c>
      <c r="L57" s="1592" t="str">
        <f>IF(AND($P$9=1,Courses!$B51&lt;&gt;"",COUNTIF(Dummy,Courses!$C51)&lt;&gt;1),IF(SUMPRODUCT(--($K$20:$K$219=$K57))&gt;1,"Row "&amp;Courses!$A51&amp;"; ",""),"")</f>
        <v/>
      </c>
      <c r="N57" s="118"/>
      <c r="O57" s="1593" t="str">
        <f>IF(AND($Q$9=1,Courses!E51&lt;&gt;"",Courses!F51=""),"Row "&amp;Courses!A51&amp;", "&amp;Courses!$E$10&amp;"; ","")</f>
        <v/>
      </c>
      <c r="P57" t="str">
        <f>IF(AND($Q$9=1,Courses!G51&lt;&gt;"",Courses!H51=""),"Row "&amp;Courses!A51&amp;", "&amp;Courses!$G$10&amp;"; ","")</f>
        <v/>
      </c>
      <c r="Q57" s="183" t="str">
        <f>IF(AND($Q$9=1,Courses!I51&lt;&gt;"",Courses!J51=""),"Row "&amp;Courses!A51&amp;", "&amp;Courses!$I$10&amp;"; ","")</f>
        <v/>
      </c>
      <c r="S57" s="17"/>
      <c r="T57" s="118"/>
      <c r="U57" s="1594" t="str">
        <f>IF(AND($R$9=1,Courses!B51&lt;&gt;"",Courses!E51&lt;&gt;"",Courses!G51="",Courses!I51="",Courses!F51&lt;&gt;1),"Row "&amp;Courses!A51&amp;"; ","")</f>
        <v/>
      </c>
      <c r="V57" t="str">
        <f>IF(AND($R$9=1,Courses!B51&lt;&gt;"",Courses!I51="",Courses!F51&lt;&gt;"",Courses!G51&lt;&gt;"",Courses!H51&lt;&gt;""),IF(OR((Courses!F51+Courses!H51)&lt;&gt;1),"Row "&amp;Courses!A51&amp;"; ",""),"")</f>
        <v/>
      </c>
      <c r="W57" s="183" t="str">
        <f>IF(AND($R$9=1,Courses!B51&lt;&gt;"",Courses!I51&lt;&gt;"",Courses!J51&lt;&gt;"",Courses!H51&lt;&gt;"",Courses!G51&lt;&gt;"",Courses!F51&lt;&gt;""),IF(OR((Courses!F51+Courses!H51+Courses!J51)&lt;&gt;1),"Row "&amp;Courses!A51&amp;"; ",""),"")</f>
        <v/>
      </c>
      <c r="Y57" s="1592" t="str">
        <f>IF(AND($R$9=1,Courses!E51&lt;&gt;"",U57="",V57="",W57="",SUM(Courses!F51,Courses!H51,Courses!J51)&lt;&gt;1),"Row "&amp;Courses!A51&amp;"; ","")</f>
        <v/>
      </c>
      <c r="Z57" s="17"/>
      <c r="AB57" s="1593" t="str">
        <f>IF(AND($S$9=1,Courses!B51&lt;&gt;"",Courses!E51&lt;&gt;"",Courses!F51&lt;&gt;""),IF((TRUNC(Courses!F51*100)&lt;&gt;Courses!F51*100),"Row "&amp;Courses!A51&amp;", "&amp;Courses!$F$10&amp;"; ",""),"")</f>
        <v/>
      </c>
      <c r="AC57" t="str">
        <f>IF(AND($S$9=1,Courses!B51&lt;&gt;"",Courses!G51&lt;&gt;"",Courses!H51&lt;&gt;""),IF((TRUNC(Courses!H51*100)&lt;&gt;Courses!H51*100),"Row "&amp;Courses!A51&amp;", "&amp;Courses!$H$10&amp;"; ",""),"")</f>
        <v/>
      </c>
      <c r="AD57" s="183" t="str">
        <f>IF(AND($S$9=1,Courses!B51&lt;&gt;"",Courses!I51&lt;&gt;"",Courses!J51&lt;&gt;""),IF((TRUNC(Courses!J51*100)&lt;&gt;Courses!J51*100),"Row "&amp;Courses!A51&amp;", "&amp;Courses!$J$10&amp;"; ",""),"")</f>
        <v/>
      </c>
      <c r="AF57" s="118"/>
      <c r="AG57" s="1592" t="str">
        <f>IF(AND($T$9=1,G57="",Courses!B51&lt;&gt;"",Courses!K51&lt;&gt;$B$9,Courses!K51&lt;&gt;$B$10,Courses!K51&lt;&gt;$B$11,Courses!K51&lt;&gt;$B$12,Courses!K51&lt;&gt;$B$13,Courses!K51&lt;&gt;$B$14),"Row "&amp;Courses!A51&amp;"; ","")</f>
        <v/>
      </c>
      <c r="AH57" s="1592" t="str">
        <f>IF(AND($U$9=1,G57="",Courses!B51&lt;&gt;"",Courses!L51&lt;&gt;"Standard",Courses!L51&lt;&gt;"Long"),"Row "&amp;Courses!A51&amp;"; ","")</f>
        <v/>
      </c>
      <c r="AJ57" s="118"/>
      <c r="AK57" s="3">
        <v>38</v>
      </c>
      <c r="AL57" s="1593" t="str">
        <f>IF(AND($V$9=1,(TRUNC(Courses!M51)&lt;&gt;Courses!M51)), "Row "&amp;Courses!$A51&amp;", "&amp;AL$9&amp;", "&amp;AL$10&amp;", "&amp;AL$11&amp;"; ","")</f>
        <v/>
      </c>
      <c r="AM57" t="str">
        <f>IF(AND($V$9=1,(TRUNC(Courses!N51)&lt;&gt;Courses!N51)), "Row "&amp;Courses!$A51&amp;", "&amp;AM$9&amp;", "&amp;AM$10&amp;", "&amp;AM$11&amp;"; ","")</f>
        <v/>
      </c>
      <c r="AN57" t="str">
        <f>IF(AND($V$9=1,(TRUNC(Courses!O51)&lt;&gt;Courses!O51)), "Row "&amp;Courses!$A51&amp;", "&amp;AN$9&amp;", "&amp;AN$10&amp;", "&amp;AN$11&amp;"; ","")</f>
        <v/>
      </c>
      <c r="AO57" t="str">
        <f>IF(AND($V$9=1,(TRUNC(Courses!P51)&lt;&gt;Courses!P51)), "Row "&amp;Courses!$A51&amp;", "&amp;AO$9&amp;", "&amp;AO$10&amp;", "&amp;AO$11&amp;"; ","")</f>
        <v/>
      </c>
      <c r="AP57" s="2120" t="str">
        <f>IF(AND($V$9=1,(TRUNC(Courses!Q51)&lt;&gt;Courses!Q51)), "Row "&amp;Courses!$A51&amp;", "&amp;AP$9&amp;", "&amp;AP$10&amp;"; ","")</f>
        <v/>
      </c>
      <c r="AQ57" s="1593" t="str">
        <f>IF(AND($V$9=1,(TRUNC(Courses!R51)&lt;&gt;Courses!R51)), "Row "&amp;Courses!$A51&amp;", "&amp;AQ$9&amp;", "&amp;AQ$10&amp;", "&amp;AQ$11&amp;"; ","")</f>
        <v/>
      </c>
      <c r="AR57" t="str">
        <f>IF(AND($V$9=1,(TRUNC(Courses!S51)&lt;&gt;Courses!S51)), "Row "&amp;Courses!$A51&amp;", "&amp;AR$9&amp;", "&amp;AR$10&amp;", "&amp;AR$11&amp;"; ","")</f>
        <v/>
      </c>
      <c r="AS57" t="str">
        <f>IF(AND($V$9=1,(TRUNC(Courses!T51)&lt;&gt;Courses!T51)), "Row "&amp;Courses!$A51&amp;", "&amp;AS$9&amp;", "&amp;AS$10&amp;", "&amp;AS$11&amp;"; ","")</f>
        <v/>
      </c>
      <c r="AT57" t="str">
        <f>IF(AND($V$9=1,(TRUNC(Courses!U51)&lt;&gt;Courses!U51)), "Row "&amp;Courses!$A51&amp;", "&amp;AT$9&amp;", "&amp;AT$10&amp;", "&amp;AT$11&amp;"; ","")</f>
        <v/>
      </c>
      <c r="AU57" s="2120" t="str">
        <f>IF(AND($V$9=1,(TRUNC(Courses!V51)&lt;&gt;Courses!V51)), "Row "&amp;Courses!$A51&amp;", "&amp;AU$9&amp;", "&amp;AU$10&amp;"; ","")</f>
        <v/>
      </c>
      <c r="AV57" s="1593" t="str">
        <f>IF(AND($V$9=1,(TRUNC(Courses!W51)&lt;&gt;Courses!W51)), "Row "&amp;Courses!$A51&amp;", "&amp;AV$9&amp;", "&amp;AV$10&amp;", "&amp;AV$11&amp;"; ","")</f>
        <v/>
      </c>
      <c r="AW57" t="str">
        <f>IF(AND($V$9=1,(TRUNC(Courses!X51)&lt;&gt;Courses!X51)), "Row "&amp;Courses!$A51&amp;", "&amp;AW$9&amp;", "&amp;AW$10&amp;", "&amp;AW$11&amp;"; ","")</f>
        <v/>
      </c>
      <c r="AX57" t="str">
        <f>IF(AND($V$9=1,(TRUNC(Courses!Y51)&lt;&gt;Courses!Y51)), "Row "&amp;Courses!$A51&amp;", "&amp;AX$9&amp;", "&amp;AX$10&amp;", "&amp;AX$11&amp;"; ","")</f>
        <v/>
      </c>
      <c r="AY57" t="str">
        <f>IF(AND($V$9=1,(TRUNC(Courses!Z51)&lt;&gt;Courses!Z51)), "Row "&amp;Courses!$A51&amp;", "&amp;AY$9&amp;", "&amp;AY$10&amp;", "&amp;AY$11&amp;"; ","")</f>
        <v/>
      </c>
      <c r="AZ57" s="2120" t="str">
        <f>IF(AND($V$9=1,(TRUNC(Courses!AA51)&lt;&gt;Courses!AA51)), "Row "&amp;Courses!$A51&amp;", "&amp;AZ$9&amp;", "&amp;AZ$10&amp;"; ","")</f>
        <v/>
      </c>
      <c r="BA57" s="17"/>
      <c r="BB57" s="118"/>
      <c r="BC57" s="3">
        <v>38</v>
      </c>
      <c r="BD57" s="1593" t="str">
        <f>IF(AND($W$9=1,Courses!M51&lt;0), "Row "&amp;Courses!$A51&amp;", "&amp;BD$9&amp;", "&amp;BD$10&amp;", "&amp;BD$11&amp;"; ","")</f>
        <v/>
      </c>
      <c r="BE57" t="str">
        <f>IF(AND($W$9=1,Courses!N51&lt;0), "Row "&amp;Courses!$A51&amp;", "&amp;BE$9&amp;", "&amp;BE$10&amp;", "&amp;BE$11&amp;"; ","")</f>
        <v/>
      </c>
      <c r="BF57" t="str">
        <f>IF(AND($W$9=1,Courses!O51&lt;0), "Row "&amp;Courses!$A51&amp;", "&amp;BF$9&amp;", "&amp;BF$10&amp;", "&amp;BF$11&amp;"; ","")</f>
        <v/>
      </c>
      <c r="BG57" t="str">
        <f>IF(AND($W$9=1,Courses!P51&lt;0), "Row "&amp;Courses!$A51&amp;", "&amp;BG$9&amp;", "&amp;BG$10&amp;", "&amp;BG$11&amp;"; ","")</f>
        <v/>
      </c>
      <c r="BH57" s="2120" t="str">
        <f>IF(AND($W$9=1,Courses!Q51&lt;0), "Row "&amp;Courses!$A51&amp;", "&amp;BH$9&amp;", "&amp;BH$10&amp;"; ","")</f>
        <v/>
      </c>
      <c r="BI57" s="1593" t="str">
        <f>IF(AND($W$9=1,Courses!R51&lt;0), "Row "&amp;Courses!$A51&amp;", "&amp;BI$9&amp;", "&amp;BI$10&amp;", "&amp;BI$11&amp;"; ","")</f>
        <v/>
      </c>
      <c r="BJ57" t="str">
        <f>IF(AND($W$9=1,Courses!S51&lt;0), "Row "&amp;Courses!$A51&amp;", "&amp;BJ$9&amp;", "&amp;BJ$10&amp;", "&amp;BJ$11&amp;"; ","")</f>
        <v/>
      </c>
      <c r="BK57" t="str">
        <f>IF(AND($W$9=1,Courses!T51&lt;0), "Row "&amp;Courses!$A51&amp;", "&amp;BK$9&amp;", "&amp;BK$10&amp;", "&amp;BK$11&amp;"; ","")</f>
        <v/>
      </c>
      <c r="BL57" t="str">
        <f>IF(AND($W$9=1,Courses!U51&lt;0), "Row "&amp;Courses!$A51&amp;", "&amp;BL$9&amp;", "&amp;BL$10&amp;", "&amp;BL$11&amp;"; ","")</f>
        <v/>
      </c>
      <c r="BM57" s="2120" t="str">
        <f>IF(AND($W$9=1,Courses!V51&lt;0), "Row "&amp;Courses!$A51&amp;", "&amp;BM$9&amp;", "&amp;BM$10&amp;"; ","")</f>
        <v/>
      </c>
      <c r="BN57" s="1593" t="str">
        <f>IF(AND($W$9=1,Courses!W51&lt;0), "Row "&amp;Courses!$A51&amp;", "&amp;BN$9&amp;", "&amp;BN$10&amp;", "&amp;BN$11&amp;"; ","")</f>
        <v/>
      </c>
      <c r="BO57" t="str">
        <f>IF(AND($W$9=1,Courses!X51&lt;0), "Row "&amp;Courses!$A51&amp;", "&amp;BO$9&amp;", "&amp;BO$10&amp;", "&amp;BO$11&amp;"; ","")</f>
        <v/>
      </c>
      <c r="BP57" t="str">
        <f>IF(AND($W$9=1,Courses!Y51&lt;0), "Row "&amp;Courses!$A51&amp;", "&amp;BP$9&amp;", "&amp;BP$10&amp;", "&amp;BP$11&amp;"; ","")</f>
        <v/>
      </c>
      <c r="BQ57" t="str">
        <f>IF(AND($W$9=1,Courses!Z51&lt;0), "Row "&amp;Courses!$A51&amp;", "&amp;BQ$9&amp;", "&amp;BQ$10&amp;", "&amp;BQ$11&amp;"; ","")</f>
        <v/>
      </c>
      <c r="BR57" s="2120" t="str">
        <f>IF(AND($W$9=1,Courses!AA51&lt;0), "Row "&amp;Courses!$A51&amp;", "&amp;BR$9&amp;", "&amp;BR$10&amp;"; ","")</f>
        <v/>
      </c>
      <c r="BT57" s="186">
        <v>38</v>
      </c>
      <c r="BU57" s="40">
        <f>IF(AND($X$9=1,Courses!B51="",Courses!F51="",Courses!H51="",Courses!J51="",Courses!K51="",Courses!L51="",Courses!M51=0,Courses!N51=0,Courses!O51=0,Courses!P51=0,Courses!Q51=0,Courses!R51=0,Courses!S51=0,Courses!T51=0,Courses!U51=0,Courses!V51=0,Courses!W51=0,Courses!X51=0,Courses!Y51=0,Courses!Z51=0,Courses!AA51=0),0,1)</f>
        <v>0</v>
      </c>
      <c r="BV57" s="40">
        <f>IF(AND(BU57=0,SUM(BU58:$BU$219)&gt;0),1,0)</f>
        <v>0</v>
      </c>
      <c r="BW57" s="1595" t="str">
        <f>IF(BV57=1,"Row "&amp;Courses!A51&amp;"; ","")</f>
        <v/>
      </c>
      <c r="BX57" s="17"/>
      <c r="BZ57" s="1592" t="str">
        <f>IF(AND($Y$9=1,Courses!B51&lt;&gt;"",SUM(Courses!M51:AA51)=0),"Row "&amp;Courses!A51&amp;"; ","")</f>
        <v/>
      </c>
      <c r="CA57" s="17"/>
      <c r="CC57" s="1592" t="str">
        <f>IF(AND($Z$9=1,Courses!AD51=1,(LEN(Courses!AB51)&gt;200)),"Row "&amp;Courses!A51&amp;"; ","")</f>
        <v/>
      </c>
      <c r="CE57" s="131"/>
      <c r="CG57" s="1593" t="str">
        <f>IF(AND($AD$9=1,Courses!E51&lt;&gt;"",Courses!F51&lt;&gt;"",Courses!F51=0,SUM(Courses!H51,Courses!J51)=1),"Row "&amp;Courses!A51&amp;", "&amp;Courses!$F$10&amp;"; ","")</f>
        <v/>
      </c>
      <c r="CH57" t="str">
        <f>IF(AND($AD$9=1,Courses!G51&lt;&gt;"",Courses!H51&lt;&gt;"",Courses!H51=0,SUM(Courses!J51,Courses!F51)=1),"Row "&amp;Courses!A51&amp;", "&amp;Courses!$H$10&amp;"; ","")</f>
        <v/>
      </c>
      <c r="CI57" s="183" t="str">
        <f>IF(AND($AD$9=1,Courses!I51&lt;&gt;"",Courses!J51&lt;&gt;"",Courses!J51=0, SUM(Courses!H51,Courses!F51)=1),"Row "&amp;Courses!A51&amp;", "&amp;Courses!$J$10&amp;"; ","")</f>
        <v/>
      </c>
      <c r="CJ57" s="180"/>
      <c r="CK57" s="181"/>
      <c r="CL57" s="1592" t="str">
        <f>IF(AND(Courses!B51&lt;&gt;"",ISNA(VLOOKUP(Courses!C51,CourseInfo,2,FALSE))=FALSE,COUNTIF(Dummy,Courses!C51)&lt;&gt;1),VLOOKUP(Courses!C51,CourseInfo,6,FALSE),"")</f>
        <v/>
      </c>
      <c r="CM57" s="1592" t="str">
        <f>IF(AND($AE$9=1,Courses!B51&lt;&gt;"",'Courses Valid'!AG57="",COUNTIF(Dummy,Courses!C51)&lt;&gt;1),IF(Courses!K51&lt;&gt;'Courses Valid'!CL57,"Row "&amp;Courses!A51&amp;", Level on LARS is "&amp;'Courses Valid'!CL57&amp;"; ",""),"")</f>
        <v/>
      </c>
      <c r="CN57" s="131"/>
    </row>
    <row r="58" spans="3:92" x14ac:dyDescent="0.35">
      <c r="C58" s="1591">
        <f t="shared" si="2"/>
        <v>0</v>
      </c>
      <c r="D58" s="41"/>
      <c r="E58" s="41"/>
      <c r="F58" s="118"/>
      <c r="G58" s="1591" t="str">
        <f>IF(SUMPRODUCT(--(CourseAims=Courses!$C52))=1,"",IF(AND($N$9=1,Courses!$C52&lt;&gt;""),"Row "&amp;Courses!A52&amp;" (invalid); ",""))</f>
        <v/>
      </c>
      <c r="H58" s="1592" t="str">
        <f>IF(AND($O$9=1,Courses!B52="",OR(Courses!F52&lt;&gt;"",Courses!H52&lt;&gt;"",Courses!J52&lt;&gt;"",Courses!K52&lt;&gt;"",Courses!L52&lt;&gt;"",Courses!M52&lt;&gt;0,Courses!N52&lt;&gt;0,Courses!O52&lt;&gt;0,Courses!P52&lt;&gt;0,Courses!Q52&lt;&gt;0,Courses!R52&lt;&gt;0,Courses!S52&lt;&gt;0,Courses!T52&lt;&gt;0,Courses!U52&lt;&gt;0,Courses!V52&lt;&gt;0,Courses!W52&lt;&gt;0,Courses!X52&lt;&gt;0,Courses!Y52&lt;&gt;0,Courses!Z52&lt;&gt;0,Courses!AA52&lt;&gt;0)),"Row "&amp;Courses!A52&amp;" (none); ","")</f>
        <v/>
      </c>
      <c r="I58" s="17"/>
      <c r="K58" s="1592" t="str">
        <f>Courses!B52&amp;Courses!K52&amp;Courses!L52</f>
        <v/>
      </c>
      <c r="L58" s="1592" t="str">
        <f>IF(AND($P$9=1,Courses!$B52&lt;&gt;"",COUNTIF(Dummy,Courses!$C52)&lt;&gt;1),IF(SUMPRODUCT(--($K$20:$K$219=$K58))&gt;1,"Row "&amp;Courses!$A52&amp;"; ",""),"")</f>
        <v/>
      </c>
      <c r="N58" s="118"/>
      <c r="O58" s="1593" t="str">
        <f>IF(AND($Q$9=1,Courses!E52&lt;&gt;"",Courses!F52=""),"Row "&amp;Courses!A52&amp;", "&amp;Courses!$E$10&amp;"; ","")</f>
        <v/>
      </c>
      <c r="P58" t="str">
        <f>IF(AND($Q$9=1,Courses!G52&lt;&gt;"",Courses!H52=""),"Row "&amp;Courses!A52&amp;", "&amp;Courses!$G$10&amp;"; ","")</f>
        <v/>
      </c>
      <c r="Q58" s="183" t="str">
        <f>IF(AND($Q$9=1,Courses!I52&lt;&gt;"",Courses!J52=""),"Row "&amp;Courses!A52&amp;", "&amp;Courses!$I$10&amp;"; ","")</f>
        <v/>
      </c>
      <c r="S58" s="17"/>
      <c r="T58" s="118"/>
      <c r="U58" s="1594" t="str">
        <f>IF(AND($R$9=1,Courses!B52&lt;&gt;"",Courses!E52&lt;&gt;"",Courses!G52="",Courses!I52="",Courses!F52&lt;&gt;1),"Row "&amp;Courses!A52&amp;"; ","")</f>
        <v/>
      </c>
      <c r="V58" t="str">
        <f>IF(AND($R$9=1,Courses!B52&lt;&gt;"",Courses!I52="",Courses!F52&lt;&gt;"",Courses!G52&lt;&gt;"",Courses!H52&lt;&gt;""),IF(OR((Courses!F52+Courses!H52)&lt;&gt;1),"Row "&amp;Courses!A52&amp;"; ",""),"")</f>
        <v/>
      </c>
      <c r="W58" s="183" t="str">
        <f>IF(AND($R$9=1,Courses!B52&lt;&gt;"",Courses!I52&lt;&gt;"",Courses!J52&lt;&gt;"",Courses!H52&lt;&gt;"",Courses!G52&lt;&gt;"",Courses!F52&lt;&gt;""),IF(OR((Courses!F52+Courses!H52+Courses!J52)&lt;&gt;1),"Row "&amp;Courses!A52&amp;"; ",""),"")</f>
        <v/>
      </c>
      <c r="Y58" s="1592" t="str">
        <f>IF(AND($R$9=1,Courses!E52&lt;&gt;"",U58="",V58="",W58="",SUM(Courses!F52,Courses!H52,Courses!J52)&lt;&gt;1),"Row "&amp;Courses!A52&amp;"; ","")</f>
        <v/>
      </c>
      <c r="Z58" s="17"/>
      <c r="AB58" s="1593" t="str">
        <f>IF(AND($S$9=1,Courses!B52&lt;&gt;"",Courses!E52&lt;&gt;"",Courses!F52&lt;&gt;""),IF((TRUNC(Courses!F52*100)&lt;&gt;Courses!F52*100),"Row "&amp;Courses!A52&amp;", "&amp;Courses!$F$10&amp;"; ",""),"")</f>
        <v/>
      </c>
      <c r="AC58" t="str">
        <f>IF(AND($S$9=1,Courses!B52&lt;&gt;"",Courses!G52&lt;&gt;"",Courses!H52&lt;&gt;""),IF((TRUNC(Courses!H52*100)&lt;&gt;Courses!H52*100),"Row "&amp;Courses!A52&amp;", "&amp;Courses!$H$10&amp;"; ",""),"")</f>
        <v/>
      </c>
      <c r="AD58" s="183" t="str">
        <f>IF(AND($S$9=1,Courses!B52&lt;&gt;"",Courses!I52&lt;&gt;"",Courses!J52&lt;&gt;""),IF((TRUNC(Courses!J52*100)&lt;&gt;Courses!J52*100),"Row "&amp;Courses!A52&amp;", "&amp;Courses!$J$10&amp;"; ",""),"")</f>
        <v/>
      </c>
      <c r="AF58" s="118"/>
      <c r="AG58" s="1592" t="str">
        <f>IF(AND($T$9=1,G58="",Courses!B52&lt;&gt;"",Courses!K52&lt;&gt;$B$9,Courses!K52&lt;&gt;$B$10,Courses!K52&lt;&gt;$B$11,Courses!K52&lt;&gt;$B$12,Courses!K52&lt;&gt;$B$13,Courses!K52&lt;&gt;$B$14),"Row "&amp;Courses!A52&amp;"; ","")</f>
        <v/>
      </c>
      <c r="AH58" s="1592" t="str">
        <f>IF(AND($U$9=1,G58="",Courses!B52&lt;&gt;"",Courses!L52&lt;&gt;"Standard",Courses!L52&lt;&gt;"Long"),"Row "&amp;Courses!A52&amp;"; ","")</f>
        <v/>
      </c>
      <c r="AJ58" s="118"/>
      <c r="AK58" s="3">
        <v>39</v>
      </c>
      <c r="AL58" s="1593" t="str">
        <f>IF(AND($V$9=1,(TRUNC(Courses!M52)&lt;&gt;Courses!M52)), "Row "&amp;Courses!$A52&amp;", "&amp;AL$9&amp;", "&amp;AL$10&amp;", "&amp;AL$11&amp;"; ","")</f>
        <v/>
      </c>
      <c r="AM58" t="str">
        <f>IF(AND($V$9=1,(TRUNC(Courses!N52)&lt;&gt;Courses!N52)), "Row "&amp;Courses!$A52&amp;", "&amp;AM$9&amp;", "&amp;AM$10&amp;", "&amp;AM$11&amp;"; ","")</f>
        <v/>
      </c>
      <c r="AN58" t="str">
        <f>IF(AND($V$9=1,(TRUNC(Courses!O52)&lt;&gt;Courses!O52)), "Row "&amp;Courses!$A52&amp;", "&amp;AN$9&amp;", "&amp;AN$10&amp;", "&amp;AN$11&amp;"; ","")</f>
        <v/>
      </c>
      <c r="AO58" t="str">
        <f>IF(AND($V$9=1,(TRUNC(Courses!P52)&lt;&gt;Courses!P52)), "Row "&amp;Courses!$A52&amp;", "&amp;AO$9&amp;", "&amp;AO$10&amp;", "&amp;AO$11&amp;"; ","")</f>
        <v/>
      </c>
      <c r="AP58" s="2120" t="str">
        <f>IF(AND($V$9=1,(TRUNC(Courses!Q52)&lt;&gt;Courses!Q52)), "Row "&amp;Courses!$A52&amp;", "&amp;AP$9&amp;", "&amp;AP$10&amp;"; ","")</f>
        <v/>
      </c>
      <c r="AQ58" s="1593" t="str">
        <f>IF(AND($V$9=1,(TRUNC(Courses!R52)&lt;&gt;Courses!R52)), "Row "&amp;Courses!$A52&amp;", "&amp;AQ$9&amp;", "&amp;AQ$10&amp;", "&amp;AQ$11&amp;"; ","")</f>
        <v/>
      </c>
      <c r="AR58" t="str">
        <f>IF(AND($V$9=1,(TRUNC(Courses!S52)&lt;&gt;Courses!S52)), "Row "&amp;Courses!$A52&amp;", "&amp;AR$9&amp;", "&amp;AR$10&amp;", "&amp;AR$11&amp;"; ","")</f>
        <v/>
      </c>
      <c r="AS58" t="str">
        <f>IF(AND($V$9=1,(TRUNC(Courses!T52)&lt;&gt;Courses!T52)), "Row "&amp;Courses!$A52&amp;", "&amp;AS$9&amp;", "&amp;AS$10&amp;", "&amp;AS$11&amp;"; ","")</f>
        <v/>
      </c>
      <c r="AT58" t="str">
        <f>IF(AND($V$9=1,(TRUNC(Courses!U52)&lt;&gt;Courses!U52)), "Row "&amp;Courses!$A52&amp;", "&amp;AT$9&amp;", "&amp;AT$10&amp;", "&amp;AT$11&amp;"; ","")</f>
        <v/>
      </c>
      <c r="AU58" s="2120" t="str">
        <f>IF(AND($V$9=1,(TRUNC(Courses!V52)&lt;&gt;Courses!V52)), "Row "&amp;Courses!$A52&amp;", "&amp;AU$9&amp;", "&amp;AU$10&amp;"; ","")</f>
        <v/>
      </c>
      <c r="AV58" s="1593" t="str">
        <f>IF(AND($V$9=1,(TRUNC(Courses!W52)&lt;&gt;Courses!W52)), "Row "&amp;Courses!$A52&amp;", "&amp;AV$9&amp;", "&amp;AV$10&amp;", "&amp;AV$11&amp;"; ","")</f>
        <v/>
      </c>
      <c r="AW58" t="str">
        <f>IF(AND($V$9=1,(TRUNC(Courses!X52)&lt;&gt;Courses!X52)), "Row "&amp;Courses!$A52&amp;", "&amp;AW$9&amp;", "&amp;AW$10&amp;", "&amp;AW$11&amp;"; ","")</f>
        <v/>
      </c>
      <c r="AX58" t="str">
        <f>IF(AND($V$9=1,(TRUNC(Courses!Y52)&lt;&gt;Courses!Y52)), "Row "&amp;Courses!$A52&amp;", "&amp;AX$9&amp;", "&amp;AX$10&amp;", "&amp;AX$11&amp;"; ","")</f>
        <v/>
      </c>
      <c r="AY58" t="str">
        <f>IF(AND($V$9=1,(TRUNC(Courses!Z52)&lt;&gt;Courses!Z52)), "Row "&amp;Courses!$A52&amp;", "&amp;AY$9&amp;", "&amp;AY$10&amp;", "&amp;AY$11&amp;"; ","")</f>
        <v/>
      </c>
      <c r="AZ58" s="2120" t="str">
        <f>IF(AND($V$9=1,(TRUNC(Courses!AA52)&lt;&gt;Courses!AA52)), "Row "&amp;Courses!$A52&amp;", "&amp;AZ$9&amp;", "&amp;AZ$10&amp;"; ","")</f>
        <v/>
      </c>
      <c r="BA58" s="17"/>
      <c r="BB58" s="118"/>
      <c r="BC58" s="3">
        <v>39</v>
      </c>
      <c r="BD58" s="1593" t="str">
        <f>IF(AND($W$9=1,Courses!M52&lt;0), "Row "&amp;Courses!$A52&amp;", "&amp;BD$9&amp;", "&amp;BD$10&amp;", "&amp;BD$11&amp;"; ","")</f>
        <v/>
      </c>
      <c r="BE58" t="str">
        <f>IF(AND($W$9=1,Courses!N52&lt;0), "Row "&amp;Courses!$A52&amp;", "&amp;BE$9&amp;", "&amp;BE$10&amp;", "&amp;BE$11&amp;"; ","")</f>
        <v/>
      </c>
      <c r="BF58" t="str">
        <f>IF(AND($W$9=1,Courses!O52&lt;0), "Row "&amp;Courses!$A52&amp;", "&amp;BF$9&amp;", "&amp;BF$10&amp;", "&amp;BF$11&amp;"; ","")</f>
        <v/>
      </c>
      <c r="BG58" t="str">
        <f>IF(AND($W$9=1,Courses!P52&lt;0), "Row "&amp;Courses!$A52&amp;", "&amp;BG$9&amp;", "&amp;BG$10&amp;", "&amp;BG$11&amp;"; ","")</f>
        <v/>
      </c>
      <c r="BH58" s="2120" t="str">
        <f>IF(AND($W$9=1,Courses!Q52&lt;0), "Row "&amp;Courses!$A52&amp;", "&amp;BH$9&amp;", "&amp;BH$10&amp;"; ","")</f>
        <v/>
      </c>
      <c r="BI58" s="1593" t="str">
        <f>IF(AND($W$9=1,Courses!R52&lt;0), "Row "&amp;Courses!$A52&amp;", "&amp;BI$9&amp;", "&amp;BI$10&amp;", "&amp;BI$11&amp;"; ","")</f>
        <v/>
      </c>
      <c r="BJ58" t="str">
        <f>IF(AND($W$9=1,Courses!S52&lt;0), "Row "&amp;Courses!$A52&amp;", "&amp;BJ$9&amp;", "&amp;BJ$10&amp;", "&amp;BJ$11&amp;"; ","")</f>
        <v/>
      </c>
      <c r="BK58" t="str">
        <f>IF(AND($W$9=1,Courses!T52&lt;0), "Row "&amp;Courses!$A52&amp;", "&amp;BK$9&amp;", "&amp;BK$10&amp;", "&amp;BK$11&amp;"; ","")</f>
        <v/>
      </c>
      <c r="BL58" t="str">
        <f>IF(AND($W$9=1,Courses!U52&lt;0), "Row "&amp;Courses!$A52&amp;", "&amp;BL$9&amp;", "&amp;BL$10&amp;", "&amp;BL$11&amp;"; ","")</f>
        <v/>
      </c>
      <c r="BM58" s="2120" t="str">
        <f>IF(AND($W$9=1,Courses!V52&lt;0), "Row "&amp;Courses!$A52&amp;", "&amp;BM$9&amp;", "&amp;BM$10&amp;"; ","")</f>
        <v/>
      </c>
      <c r="BN58" s="1593" t="str">
        <f>IF(AND($W$9=1,Courses!W52&lt;0), "Row "&amp;Courses!$A52&amp;", "&amp;BN$9&amp;", "&amp;BN$10&amp;", "&amp;BN$11&amp;"; ","")</f>
        <v/>
      </c>
      <c r="BO58" t="str">
        <f>IF(AND($W$9=1,Courses!X52&lt;0), "Row "&amp;Courses!$A52&amp;", "&amp;BO$9&amp;", "&amp;BO$10&amp;", "&amp;BO$11&amp;"; ","")</f>
        <v/>
      </c>
      <c r="BP58" t="str">
        <f>IF(AND($W$9=1,Courses!Y52&lt;0), "Row "&amp;Courses!$A52&amp;", "&amp;BP$9&amp;", "&amp;BP$10&amp;", "&amp;BP$11&amp;"; ","")</f>
        <v/>
      </c>
      <c r="BQ58" t="str">
        <f>IF(AND($W$9=1,Courses!Z52&lt;0), "Row "&amp;Courses!$A52&amp;", "&amp;BQ$9&amp;", "&amp;BQ$10&amp;", "&amp;BQ$11&amp;"; ","")</f>
        <v/>
      </c>
      <c r="BR58" s="2120" t="str">
        <f>IF(AND($W$9=1,Courses!AA52&lt;0), "Row "&amp;Courses!$A52&amp;", "&amp;BR$9&amp;", "&amp;BR$10&amp;"; ","")</f>
        <v/>
      </c>
      <c r="BT58" s="186">
        <v>39</v>
      </c>
      <c r="BU58" s="40">
        <f>IF(AND($X$9=1,Courses!B52="",Courses!F52="",Courses!H52="",Courses!J52="",Courses!K52="",Courses!L52="",Courses!M52=0,Courses!N52=0,Courses!O52=0,Courses!P52=0,Courses!Q52=0,Courses!R52=0,Courses!S52=0,Courses!T52=0,Courses!U52=0,Courses!V52=0,Courses!W52=0,Courses!X52=0,Courses!Y52=0,Courses!Z52=0,Courses!AA52=0),0,1)</f>
        <v>0</v>
      </c>
      <c r="BV58" s="40">
        <f>IF(AND(BU58=0,SUM(BU59:$BU$219)&gt;0),1,0)</f>
        <v>0</v>
      </c>
      <c r="BW58" s="1595" t="str">
        <f>IF(BV58=1,"Row "&amp;Courses!A52&amp;"; ","")</f>
        <v/>
      </c>
      <c r="BX58" s="17"/>
      <c r="BZ58" s="1592" t="str">
        <f>IF(AND($Y$9=1,Courses!B52&lt;&gt;"",SUM(Courses!M52:AA52)=0),"Row "&amp;Courses!A52&amp;"; ","")</f>
        <v/>
      </c>
      <c r="CA58" s="17"/>
      <c r="CC58" s="1592" t="str">
        <f>IF(AND($Z$9=1,Courses!AD52=1,(LEN(Courses!AB52)&gt;200)),"Row "&amp;Courses!A52&amp;"; ","")</f>
        <v/>
      </c>
      <c r="CE58" s="131"/>
      <c r="CG58" s="1593" t="str">
        <f>IF(AND($AD$9=1,Courses!E52&lt;&gt;"",Courses!F52&lt;&gt;"",Courses!F52=0,SUM(Courses!H52,Courses!J52)=1),"Row "&amp;Courses!A52&amp;", "&amp;Courses!$F$10&amp;"; ","")</f>
        <v/>
      </c>
      <c r="CH58" t="str">
        <f>IF(AND($AD$9=1,Courses!G52&lt;&gt;"",Courses!H52&lt;&gt;"",Courses!H52=0,SUM(Courses!J52,Courses!F52)=1),"Row "&amp;Courses!A52&amp;", "&amp;Courses!$H$10&amp;"; ","")</f>
        <v/>
      </c>
      <c r="CI58" s="183" t="str">
        <f>IF(AND($AD$9=1,Courses!I52&lt;&gt;"",Courses!J52&lt;&gt;"",Courses!J52=0, SUM(Courses!H52,Courses!F52)=1),"Row "&amp;Courses!A52&amp;", "&amp;Courses!$J$10&amp;"; ","")</f>
        <v/>
      </c>
      <c r="CJ58" s="180"/>
      <c r="CK58" s="181"/>
      <c r="CL58" s="1592" t="str">
        <f>IF(AND(Courses!B52&lt;&gt;"",ISNA(VLOOKUP(Courses!C52,CourseInfo,2,FALSE))=FALSE,COUNTIF(Dummy,Courses!C52)&lt;&gt;1),VLOOKUP(Courses!C52,CourseInfo,6,FALSE),"")</f>
        <v/>
      </c>
      <c r="CM58" s="1592" t="str">
        <f>IF(AND($AE$9=1,Courses!B52&lt;&gt;"",'Courses Valid'!AG58="",COUNTIF(Dummy,Courses!C52)&lt;&gt;1),IF(Courses!K52&lt;&gt;'Courses Valid'!CL58,"Row "&amp;Courses!A52&amp;", Level on LARS is "&amp;'Courses Valid'!CL58&amp;"; ",""),"")</f>
        <v/>
      </c>
      <c r="CN58" s="131"/>
    </row>
    <row r="59" spans="3:92" x14ac:dyDescent="0.35">
      <c r="C59" s="1591">
        <f t="shared" si="2"/>
        <v>0</v>
      </c>
      <c r="D59" s="41"/>
      <c r="E59" s="41"/>
      <c r="F59" s="118"/>
      <c r="G59" s="1591" t="str">
        <f>IF(SUMPRODUCT(--(CourseAims=Courses!$C53))=1,"",IF(AND($N$9=1,Courses!$C53&lt;&gt;""),"Row "&amp;Courses!A53&amp;" (invalid); ",""))</f>
        <v/>
      </c>
      <c r="H59" s="1592" t="str">
        <f>IF(AND($O$9=1,Courses!B53="",OR(Courses!F53&lt;&gt;"",Courses!H53&lt;&gt;"",Courses!J53&lt;&gt;"",Courses!K53&lt;&gt;"",Courses!L53&lt;&gt;"",Courses!M53&lt;&gt;0,Courses!N53&lt;&gt;0,Courses!O53&lt;&gt;0,Courses!P53&lt;&gt;0,Courses!Q53&lt;&gt;0,Courses!R53&lt;&gt;0,Courses!S53&lt;&gt;0,Courses!T53&lt;&gt;0,Courses!U53&lt;&gt;0,Courses!V53&lt;&gt;0,Courses!W53&lt;&gt;0,Courses!X53&lt;&gt;0,Courses!Y53&lt;&gt;0,Courses!Z53&lt;&gt;0,Courses!AA53&lt;&gt;0)),"Row "&amp;Courses!A53&amp;" (none); ","")</f>
        <v/>
      </c>
      <c r="I59" s="17"/>
      <c r="K59" s="1592" t="str">
        <f>Courses!B53&amp;Courses!K53&amp;Courses!L53</f>
        <v/>
      </c>
      <c r="L59" s="1592" t="str">
        <f>IF(AND($P$9=1,Courses!$B53&lt;&gt;"",COUNTIF(Dummy,Courses!$C53)&lt;&gt;1),IF(SUMPRODUCT(--($K$20:$K$219=$K59))&gt;1,"Row "&amp;Courses!$A53&amp;"; ",""),"")</f>
        <v/>
      </c>
      <c r="N59" s="118"/>
      <c r="O59" s="1593" t="str">
        <f>IF(AND($Q$9=1,Courses!E53&lt;&gt;"",Courses!F53=""),"Row "&amp;Courses!A53&amp;", "&amp;Courses!$E$10&amp;"; ","")</f>
        <v/>
      </c>
      <c r="P59" t="str">
        <f>IF(AND($Q$9=1,Courses!G53&lt;&gt;"",Courses!H53=""),"Row "&amp;Courses!A53&amp;", "&amp;Courses!$G$10&amp;"; ","")</f>
        <v/>
      </c>
      <c r="Q59" s="183" t="str">
        <f>IF(AND($Q$9=1,Courses!I53&lt;&gt;"",Courses!J53=""),"Row "&amp;Courses!A53&amp;", "&amp;Courses!$I$10&amp;"; ","")</f>
        <v/>
      </c>
      <c r="S59" s="17"/>
      <c r="T59" s="118"/>
      <c r="U59" s="1594" t="str">
        <f>IF(AND($R$9=1,Courses!B53&lt;&gt;"",Courses!E53&lt;&gt;"",Courses!G53="",Courses!I53="",Courses!F53&lt;&gt;1),"Row "&amp;Courses!A53&amp;"; ","")</f>
        <v/>
      </c>
      <c r="V59" t="str">
        <f>IF(AND($R$9=1,Courses!B53&lt;&gt;"",Courses!I53="",Courses!F53&lt;&gt;"",Courses!G53&lt;&gt;"",Courses!H53&lt;&gt;""),IF(OR((Courses!F53+Courses!H53)&lt;&gt;1),"Row "&amp;Courses!A53&amp;"; ",""),"")</f>
        <v/>
      </c>
      <c r="W59" s="183" t="str">
        <f>IF(AND($R$9=1,Courses!B53&lt;&gt;"",Courses!I53&lt;&gt;"",Courses!J53&lt;&gt;"",Courses!H53&lt;&gt;"",Courses!G53&lt;&gt;"",Courses!F53&lt;&gt;""),IF(OR((Courses!F53+Courses!H53+Courses!J53)&lt;&gt;1),"Row "&amp;Courses!A53&amp;"; ",""),"")</f>
        <v/>
      </c>
      <c r="Y59" s="1592" t="str">
        <f>IF(AND($R$9=1,Courses!E53&lt;&gt;"",U59="",V59="",W59="",SUM(Courses!F53,Courses!H53,Courses!J53)&lt;&gt;1),"Row "&amp;Courses!A53&amp;"; ","")</f>
        <v/>
      </c>
      <c r="Z59" s="17"/>
      <c r="AB59" s="1593" t="str">
        <f>IF(AND($S$9=1,Courses!B53&lt;&gt;"",Courses!E53&lt;&gt;"",Courses!F53&lt;&gt;""),IF((TRUNC(Courses!F53*100)&lt;&gt;Courses!F53*100),"Row "&amp;Courses!A53&amp;", "&amp;Courses!$F$10&amp;"; ",""),"")</f>
        <v/>
      </c>
      <c r="AC59" t="str">
        <f>IF(AND($S$9=1,Courses!B53&lt;&gt;"",Courses!G53&lt;&gt;"",Courses!H53&lt;&gt;""),IF((TRUNC(Courses!H53*100)&lt;&gt;Courses!H53*100),"Row "&amp;Courses!A53&amp;", "&amp;Courses!$H$10&amp;"; ",""),"")</f>
        <v/>
      </c>
      <c r="AD59" s="183" t="str">
        <f>IF(AND($S$9=1,Courses!B53&lt;&gt;"",Courses!I53&lt;&gt;"",Courses!J53&lt;&gt;""),IF((TRUNC(Courses!J53*100)&lt;&gt;Courses!J53*100),"Row "&amp;Courses!A53&amp;", "&amp;Courses!$J$10&amp;"; ",""),"")</f>
        <v/>
      </c>
      <c r="AF59" s="118"/>
      <c r="AG59" s="1592" t="str">
        <f>IF(AND($T$9=1,G59="",Courses!B53&lt;&gt;"",Courses!K53&lt;&gt;$B$9,Courses!K53&lt;&gt;$B$10,Courses!K53&lt;&gt;$B$11,Courses!K53&lt;&gt;$B$12,Courses!K53&lt;&gt;$B$13,Courses!K53&lt;&gt;$B$14),"Row "&amp;Courses!A53&amp;"; ","")</f>
        <v/>
      </c>
      <c r="AH59" s="1592" t="str">
        <f>IF(AND($U$9=1,G59="",Courses!B53&lt;&gt;"",Courses!L53&lt;&gt;"Standard",Courses!L53&lt;&gt;"Long"),"Row "&amp;Courses!A53&amp;"; ","")</f>
        <v/>
      </c>
      <c r="AJ59" s="118"/>
      <c r="AK59" s="3">
        <v>40</v>
      </c>
      <c r="AL59" s="1593" t="str">
        <f>IF(AND($V$9=1,(TRUNC(Courses!M53)&lt;&gt;Courses!M53)), "Row "&amp;Courses!$A53&amp;", "&amp;AL$9&amp;", "&amp;AL$10&amp;", "&amp;AL$11&amp;"; ","")</f>
        <v/>
      </c>
      <c r="AM59" t="str">
        <f>IF(AND($V$9=1,(TRUNC(Courses!N53)&lt;&gt;Courses!N53)), "Row "&amp;Courses!$A53&amp;", "&amp;AM$9&amp;", "&amp;AM$10&amp;", "&amp;AM$11&amp;"; ","")</f>
        <v/>
      </c>
      <c r="AN59" t="str">
        <f>IF(AND($V$9=1,(TRUNC(Courses!O53)&lt;&gt;Courses!O53)), "Row "&amp;Courses!$A53&amp;", "&amp;AN$9&amp;", "&amp;AN$10&amp;", "&amp;AN$11&amp;"; ","")</f>
        <v/>
      </c>
      <c r="AO59" t="str">
        <f>IF(AND($V$9=1,(TRUNC(Courses!P53)&lt;&gt;Courses!P53)), "Row "&amp;Courses!$A53&amp;", "&amp;AO$9&amp;", "&amp;AO$10&amp;", "&amp;AO$11&amp;"; ","")</f>
        <v/>
      </c>
      <c r="AP59" s="2120" t="str">
        <f>IF(AND($V$9=1,(TRUNC(Courses!Q53)&lt;&gt;Courses!Q53)), "Row "&amp;Courses!$A53&amp;", "&amp;AP$9&amp;", "&amp;AP$10&amp;"; ","")</f>
        <v/>
      </c>
      <c r="AQ59" s="1593" t="str">
        <f>IF(AND($V$9=1,(TRUNC(Courses!R53)&lt;&gt;Courses!R53)), "Row "&amp;Courses!$A53&amp;", "&amp;AQ$9&amp;", "&amp;AQ$10&amp;", "&amp;AQ$11&amp;"; ","")</f>
        <v/>
      </c>
      <c r="AR59" t="str">
        <f>IF(AND($V$9=1,(TRUNC(Courses!S53)&lt;&gt;Courses!S53)), "Row "&amp;Courses!$A53&amp;", "&amp;AR$9&amp;", "&amp;AR$10&amp;", "&amp;AR$11&amp;"; ","")</f>
        <v/>
      </c>
      <c r="AS59" t="str">
        <f>IF(AND($V$9=1,(TRUNC(Courses!T53)&lt;&gt;Courses!T53)), "Row "&amp;Courses!$A53&amp;", "&amp;AS$9&amp;", "&amp;AS$10&amp;", "&amp;AS$11&amp;"; ","")</f>
        <v/>
      </c>
      <c r="AT59" t="str">
        <f>IF(AND($V$9=1,(TRUNC(Courses!U53)&lt;&gt;Courses!U53)), "Row "&amp;Courses!$A53&amp;", "&amp;AT$9&amp;", "&amp;AT$10&amp;", "&amp;AT$11&amp;"; ","")</f>
        <v/>
      </c>
      <c r="AU59" s="2120" t="str">
        <f>IF(AND($V$9=1,(TRUNC(Courses!V53)&lt;&gt;Courses!V53)), "Row "&amp;Courses!$A53&amp;", "&amp;AU$9&amp;", "&amp;AU$10&amp;"; ","")</f>
        <v/>
      </c>
      <c r="AV59" s="1593" t="str">
        <f>IF(AND($V$9=1,(TRUNC(Courses!W53)&lt;&gt;Courses!W53)), "Row "&amp;Courses!$A53&amp;", "&amp;AV$9&amp;", "&amp;AV$10&amp;", "&amp;AV$11&amp;"; ","")</f>
        <v/>
      </c>
      <c r="AW59" t="str">
        <f>IF(AND($V$9=1,(TRUNC(Courses!X53)&lt;&gt;Courses!X53)), "Row "&amp;Courses!$A53&amp;", "&amp;AW$9&amp;", "&amp;AW$10&amp;", "&amp;AW$11&amp;"; ","")</f>
        <v/>
      </c>
      <c r="AX59" t="str">
        <f>IF(AND($V$9=1,(TRUNC(Courses!Y53)&lt;&gt;Courses!Y53)), "Row "&amp;Courses!$A53&amp;", "&amp;AX$9&amp;", "&amp;AX$10&amp;", "&amp;AX$11&amp;"; ","")</f>
        <v/>
      </c>
      <c r="AY59" t="str">
        <f>IF(AND($V$9=1,(TRUNC(Courses!Z53)&lt;&gt;Courses!Z53)), "Row "&amp;Courses!$A53&amp;", "&amp;AY$9&amp;", "&amp;AY$10&amp;", "&amp;AY$11&amp;"; ","")</f>
        <v/>
      </c>
      <c r="AZ59" s="2120" t="str">
        <f>IF(AND($V$9=1,(TRUNC(Courses!AA53)&lt;&gt;Courses!AA53)), "Row "&amp;Courses!$A53&amp;", "&amp;AZ$9&amp;", "&amp;AZ$10&amp;"; ","")</f>
        <v/>
      </c>
      <c r="BA59" s="17"/>
      <c r="BB59" s="118"/>
      <c r="BC59" s="3">
        <v>40</v>
      </c>
      <c r="BD59" s="1593" t="str">
        <f>IF(AND($W$9=1,Courses!M53&lt;0), "Row "&amp;Courses!$A53&amp;", "&amp;BD$9&amp;", "&amp;BD$10&amp;", "&amp;BD$11&amp;"; ","")</f>
        <v/>
      </c>
      <c r="BE59" t="str">
        <f>IF(AND($W$9=1,Courses!N53&lt;0), "Row "&amp;Courses!$A53&amp;", "&amp;BE$9&amp;", "&amp;BE$10&amp;", "&amp;BE$11&amp;"; ","")</f>
        <v/>
      </c>
      <c r="BF59" t="str">
        <f>IF(AND($W$9=1,Courses!O53&lt;0), "Row "&amp;Courses!$A53&amp;", "&amp;BF$9&amp;", "&amp;BF$10&amp;", "&amp;BF$11&amp;"; ","")</f>
        <v/>
      </c>
      <c r="BG59" t="str">
        <f>IF(AND($W$9=1,Courses!P53&lt;0), "Row "&amp;Courses!$A53&amp;", "&amp;BG$9&amp;", "&amp;BG$10&amp;", "&amp;BG$11&amp;"; ","")</f>
        <v/>
      </c>
      <c r="BH59" s="2120" t="str">
        <f>IF(AND($W$9=1,Courses!Q53&lt;0), "Row "&amp;Courses!$A53&amp;", "&amp;BH$9&amp;", "&amp;BH$10&amp;"; ","")</f>
        <v/>
      </c>
      <c r="BI59" s="1593" t="str">
        <f>IF(AND($W$9=1,Courses!R53&lt;0), "Row "&amp;Courses!$A53&amp;", "&amp;BI$9&amp;", "&amp;BI$10&amp;", "&amp;BI$11&amp;"; ","")</f>
        <v/>
      </c>
      <c r="BJ59" t="str">
        <f>IF(AND($W$9=1,Courses!S53&lt;0), "Row "&amp;Courses!$A53&amp;", "&amp;BJ$9&amp;", "&amp;BJ$10&amp;", "&amp;BJ$11&amp;"; ","")</f>
        <v/>
      </c>
      <c r="BK59" t="str">
        <f>IF(AND($W$9=1,Courses!T53&lt;0), "Row "&amp;Courses!$A53&amp;", "&amp;BK$9&amp;", "&amp;BK$10&amp;", "&amp;BK$11&amp;"; ","")</f>
        <v/>
      </c>
      <c r="BL59" t="str">
        <f>IF(AND($W$9=1,Courses!U53&lt;0), "Row "&amp;Courses!$A53&amp;", "&amp;BL$9&amp;", "&amp;BL$10&amp;", "&amp;BL$11&amp;"; ","")</f>
        <v/>
      </c>
      <c r="BM59" s="2120" t="str">
        <f>IF(AND($W$9=1,Courses!V53&lt;0), "Row "&amp;Courses!$A53&amp;", "&amp;BM$9&amp;", "&amp;BM$10&amp;"; ","")</f>
        <v/>
      </c>
      <c r="BN59" s="1593" t="str">
        <f>IF(AND($W$9=1,Courses!W53&lt;0), "Row "&amp;Courses!$A53&amp;", "&amp;BN$9&amp;", "&amp;BN$10&amp;", "&amp;BN$11&amp;"; ","")</f>
        <v/>
      </c>
      <c r="BO59" t="str">
        <f>IF(AND($W$9=1,Courses!X53&lt;0), "Row "&amp;Courses!$A53&amp;", "&amp;BO$9&amp;", "&amp;BO$10&amp;", "&amp;BO$11&amp;"; ","")</f>
        <v/>
      </c>
      <c r="BP59" t="str">
        <f>IF(AND($W$9=1,Courses!Y53&lt;0), "Row "&amp;Courses!$A53&amp;", "&amp;BP$9&amp;", "&amp;BP$10&amp;", "&amp;BP$11&amp;"; ","")</f>
        <v/>
      </c>
      <c r="BQ59" t="str">
        <f>IF(AND($W$9=1,Courses!Z53&lt;0), "Row "&amp;Courses!$A53&amp;", "&amp;BQ$9&amp;", "&amp;BQ$10&amp;", "&amp;BQ$11&amp;"; ","")</f>
        <v/>
      </c>
      <c r="BR59" s="2120" t="str">
        <f>IF(AND($W$9=1,Courses!AA53&lt;0), "Row "&amp;Courses!$A53&amp;", "&amp;BR$9&amp;", "&amp;BR$10&amp;"; ","")</f>
        <v/>
      </c>
      <c r="BT59" s="186">
        <v>40</v>
      </c>
      <c r="BU59" s="40">
        <f>IF(AND($X$9=1,Courses!B53="",Courses!F53="",Courses!H53="",Courses!J53="",Courses!K53="",Courses!L53="",Courses!M53=0,Courses!N53=0,Courses!O53=0,Courses!P53=0,Courses!Q53=0,Courses!R53=0,Courses!S53=0,Courses!T53=0,Courses!U53=0,Courses!V53=0,Courses!W53=0,Courses!X53=0,Courses!Y53=0,Courses!Z53=0,Courses!AA53=0),0,1)</f>
        <v>0</v>
      </c>
      <c r="BV59" s="40">
        <f>IF(AND(BU59=0,SUM(BU60:$BU$219)&gt;0),1,0)</f>
        <v>0</v>
      </c>
      <c r="BW59" s="1595" t="str">
        <f>IF(BV59=1,"Row "&amp;Courses!A53&amp;"; ","")</f>
        <v/>
      </c>
      <c r="BX59" s="17"/>
      <c r="BZ59" s="1592" t="str">
        <f>IF(AND($Y$9=1,Courses!B53&lt;&gt;"",SUM(Courses!M53:AA53)=0),"Row "&amp;Courses!A53&amp;"; ","")</f>
        <v/>
      </c>
      <c r="CA59" s="17"/>
      <c r="CC59" s="1592" t="str">
        <f>IF(AND($Z$9=1,Courses!AD53=1,(LEN(Courses!AB53)&gt;200)),"Row "&amp;Courses!A53&amp;"; ","")</f>
        <v/>
      </c>
      <c r="CE59" s="131"/>
      <c r="CG59" s="1593" t="str">
        <f>IF(AND($AD$9=1,Courses!E53&lt;&gt;"",Courses!F53&lt;&gt;"",Courses!F53=0,SUM(Courses!H53,Courses!J53)=1),"Row "&amp;Courses!A53&amp;", "&amp;Courses!$F$10&amp;"; ","")</f>
        <v/>
      </c>
      <c r="CH59" t="str">
        <f>IF(AND($AD$9=1,Courses!G53&lt;&gt;"",Courses!H53&lt;&gt;"",Courses!H53=0,SUM(Courses!J53,Courses!F53)=1),"Row "&amp;Courses!A53&amp;", "&amp;Courses!$H$10&amp;"; ","")</f>
        <v/>
      </c>
      <c r="CI59" s="183" t="str">
        <f>IF(AND($AD$9=1,Courses!I53&lt;&gt;"",Courses!J53&lt;&gt;"",Courses!J53=0, SUM(Courses!H53,Courses!F53)=1),"Row "&amp;Courses!A53&amp;", "&amp;Courses!$J$10&amp;"; ","")</f>
        <v/>
      </c>
      <c r="CJ59" s="180"/>
      <c r="CK59" s="181"/>
      <c r="CL59" s="1592" t="str">
        <f>IF(AND(Courses!B53&lt;&gt;"",ISNA(VLOOKUP(Courses!C53,CourseInfo,2,FALSE))=FALSE,COUNTIF(Dummy,Courses!C53)&lt;&gt;1),VLOOKUP(Courses!C53,CourseInfo,6,FALSE),"")</f>
        <v/>
      </c>
      <c r="CM59" s="1592" t="str">
        <f>IF(AND($AE$9=1,Courses!B53&lt;&gt;"",'Courses Valid'!AG59="",COUNTIF(Dummy,Courses!C53)&lt;&gt;1),IF(Courses!K53&lt;&gt;'Courses Valid'!CL59,"Row "&amp;Courses!A53&amp;", Level on LARS is "&amp;'Courses Valid'!CL59&amp;"; ",""),"")</f>
        <v/>
      </c>
      <c r="CN59" s="131"/>
    </row>
    <row r="60" spans="3:92" x14ac:dyDescent="0.35">
      <c r="C60" s="1591">
        <f t="shared" si="2"/>
        <v>0</v>
      </c>
      <c r="D60" s="41"/>
      <c r="E60" s="41"/>
      <c r="F60" s="118"/>
      <c r="G60" s="1591" t="str">
        <f>IF(SUMPRODUCT(--(CourseAims=Courses!$C54))=1,"",IF(AND($N$9=1,Courses!$C54&lt;&gt;""),"Row "&amp;Courses!A54&amp;" (invalid); ",""))</f>
        <v/>
      </c>
      <c r="H60" s="1592" t="str">
        <f>IF(AND($O$9=1,Courses!B54="",OR(Courses!F54&lt;&gt;"",Courses!H54&lt;&gt;"",Courses!J54&lt;&gt;"",Courses!K54&lt;&gt;"",Courses!L54&lt;&gt;"",Courses!M54&lt;&gt;0,Courses!N54&lt;&gt;0,Courses!O54&lt;&gt;0,Courses!P54&lt;&gt;0,Courses!Q54&lt;&gt;0,Courses!R54&lt;&gt;0,Courses!S54&lt;&gt;0,Courses!T54&lt;&gt;0,Courses!U54&lt;&gt;0,Courses!V54&lt;&gt;0,Courses!W54&lt;&gt;0,Courses!X54&lt;&gt;0,Courses!Y54&lt;&gt;0,Courses!Z54&lt;&gt;0,Courses!AA54&lt;&gt;0)),"Row "&amp;Courses!A54&amp;" (none); ","")</f>
        <v/>
      </c>
      <c r="I60" s="17"/>
      <c r="K60" s="1592" t="str">
        <f>Courses!B54&amp;Courses!K54&amp;Courses!L54</f>
        <v/>
      </c>
      <c r="L60" s="1592" t="str">
        <f>IF(AND($P$9=1,Courses!$B54&lt;&gt;"",COUNTIF(Dummy,Courses!$C54)&lt;&gt;1),IF(SUMPRODUCT(--($K$20:$K$219=$K60))&gt;1,"Row "&amp;Courses!$A54&amp;"; ",""),"")</f>
        <v/>
      </c>
      <c r="N60" s="118"/>
      <c r="O60" s="1593" t="str">
        <f>IF(AND($Q$9=1,Courses!E54&lt;&gt;"",Courses!F54=""),"Row "&amp;Courses!A54&amp;", "&amp;Courses!$E$10&amp;"; ","")</f>
        <v/>
      </c>
      <c r="P60" t="str">
        <f>IF(AND($Q$9=1,Courses!G54&lt;&gt;"",Courses!H54=""),"Row "&amp;Courses!A54&amp;", "&amp;Courses!$G$10&amp;"; ","")</f>
        <v/>
      </c>
      <c r="Q60" s="183" t="str">
        <f>IF(AND($Q$9=1,Courses!I54&lt;&gt;"",Courses!J54=""),"Row "&amp;Courses!A54&amp;", "&amp;Courses!$I$10&amp;"; ","")</f>
        <v/>
      </c>
      <c r="S60" s="17"/>
      <c r="T60" s="118"/>
      <c r="U60" s="1594" t="str">
        <f>IF(AND($R$9=1,Courses!B54&lt;&gt;"",Courses!E54&lt;&gt;"",Courses!G54="",Courses!I54="",Courses!F54&lt;&gt;1),"Row "&amp;Courses!A54&amp;"; ","")</f>
        <v/>
      </c>
      <c r="V60" t="str">
        <f>IF(AND($R$9=1,Courses!B54&lt;&gt;"",Courses!I54="",Courses!F54&lt;&gt;"",Courses!G54&lt;&gt;"",Courses!H54&lt;&gt;""),IF(OR((Courses!F54+Courses!H54)&lt;&gt;1),"Row "&amp;Courses!A54&amp;"; ",""),"")</f>
        <v/>
      </c>
      <c r="W60" s="183" t="str">
        <f>IF(AND($R$9=1,Courses!B54&lt;&gt;"",Courses!I54&lt;&gt;"",Courses!J54&lt;&gt;"",Courses!H54&lt;&gt;"",Courses!G54&lt;&gt;"",Courses!F54&lt;&gt;""),IF(OR((Courses!F54+Courses!H54+Courses!J54)&lt;&gt;1),"Row "&amp;Courses!A54&amp;"; ",""),"")</f>
        <v/>
      </c>
      <c r="Y60" s="1592" t="str">
        <f>IF(AND($R$9=1,Courses!E54&lt;&gt;"",U60="",V60="",W60="",SUM(Courses!F54,Courses!H54,Courses!J54)&lt;&gt;1),"Row "&amp;Courses!A54&amp;"; ","")</f>
        <v/>
      </c>
      <c r="Z60" s="17"/>
      <c r="AB60" s="1593" t="str">
        <f>IF(AND($S$9=1,Courses!B54&lt;&gt;"",Courses!E54&lt;&gt;"",Courses!F54&lt;&gt;""),IF((TRUNC(Courses!F54*100)&lt;&gt;Courses!F54*100),"Row "&amp;Courses!A54&amp;", "&amp;Courses!$F$10&amp;"; ",""),"")</f>
        <v/>
      </c>
      <c r="AC60" t="str">
        <f>IF(AND($S$9=1,Courses!B54&lt;&gt;"",Courses!G54&lt;&gt;"",Courses!H54&lt;&gt;""),IF((TRUNC(Courses!H54*100)&lt;&gt;Courses!H54*100),"Row "&amp;Courses!A54&amp;", "&amp;Courses!$H$10&amp;"; ",""),"")</f>
        <v/>
      </c>
      <c r="AD60" s="183" t="str">
        <f>IF(AND($S$9=1,Courses!B54&lt;&gt;"",Courses!I54&lt;&gt;"",Courses!J54&lt;&gt;""),IF((TRUNC(Courses!J54*100)&lt;&gt;Courses!J54*100),"Row "&amp;Courses!A54&amp;", "&amp;Courses!$J$10&amp;"; ",""),"")</f>
        <v/>
      </c>
      <c r="AF60" s="118"/>
      <c r="AG60" s="1592" t="str">
        <f>IF(AND($T$9=1,G60="",Courses!B54&lt;&gt;"",Courses!K54&lt;&gt;$B$9,Courses!K54&lt;&gt;$B$10,Courses!K54&lt;&gt;$B$11,Courses!K54&lt;&gt;$B$12,Courses!K54&lt;&gt;$B$13,Courses!K54&lt;&gt;$B$14),"Row "&amp;Courses!A54&amp;"; ","")</f>
        <v/>
      </c>
      <c r="AH60" s="1592" t="str">
        <f>IF(AND($U$9=1,G60="",Courses!B54&lt;&gt;"",Courses!L54&lt;&gt;"Standard",Courses!L54&lt;&gt;"Long"),"Row "&amp;Courses!A54&amp;"; ","")</f>
        <v/>
      </c>
      <c r="AJ60" s="118"/>
      <c r="AK60" s="3">
        <v>41</v>
      </c>
      <c r="AL60" s="1593" t="str">
        <f>IF(AND($V$9=1,(TRUNC(Courses!M54)&lt;&gt;Courses!M54)), "Row "&amp;Courses!$A54&amp;", "&amp;AL$9&amp;", "&amp;AL$10&amp;", "&amp;AL$11&amp;"; ","")</f>
        <v/>
      </c>
      <c r="AM60" t="str">
        <f>IF(AND($V$9=1,(TRUNC(Courses!N54)&lt;&gt;Courses!N54)), "Row "&amp;Courses!$A54&amp;", "&amp;AM$9&amp;", "&amp;AM$10&amp;", "&amp;AM$11&amp;"; ","")</f>
        <v/>
      </c>
      <c r="AN60" t="str">
        <f>IF(AND($V$9=1,(TRUNC(Courses!O54)&lt;&gt;Courses!O54)), "Row "&amp;Courses!$A54&amp;", "&amp;AN$9&amp;", "&amp;AN$10&amp;", "&amp;AN$11&amp;"; ","")</f>
        <v/>
      </c>
      <c r="AO60" t="str">
        <f>IF(AND($V$9=1,(TRUNC(Courses!P54)&lt;&gt;Courses!P54)), "Row "&amp;Courses!$A54&amp;", "&amp;AO$9&amp;", "&amp;AO$10&amp;", "&amp;AO$11&amp;"; ","")</f>
        <v/>
      </c>
      <c r="AP60" s="2120" t="str">
        <f>IF(AND($V$9=1,(TRUNC(Courses!Q54)&lt;&gt;Courses!Q54)), "Row "&amp;Courses!$A54&amp;", "&amp;AP$9&amp;", "&amp;AP$10&amp;"; ","")</f>
        <v/>
      </c>
      <c r="AQ60" s="1593" t="str">
        <f>IF(AND($V$9=1,(TRUNC(Courses!R54)&lt;&gt;Courses!R54)), "Row "&amp;Courses!$A54&amp;", "&amp;AQ$9&amp;", "&amp;AQ$10&amp;", "&amp;AQ$11&amp;"; ","")</f>
        <v/>
      </c>
      <c r="AR60" t="str">
        <f>IF(AND($V$9=1,(TRUNC(Courses!S54)&lt;&gt;Courses!S54)), "Row "&amp;Courses!$A54&amp;", "&amp;AR$9&amp;", "&amp;AR$10&amp;", "&amp;AR$11&amp;"; ","")</f>
        <v/>
      </c>
      <c r="AS60" t="str">
        <f>IF(AND($V$9=1,(TRUNC(Courses!T54)&lt;&gt;Courses!T54)), "Row "&amp;Courses!$A54&amp;", "&amp;AS$9&amp;", "&amp;AS$10&amp;", "&amp;AS$11&amp;"; ","")</f>
        <v/>
      </c>
      <c r="AT60" t="str">
        <f>IF(AND($V$9=1,(TRUNC(Courses!U54)&lt;&gt;Courses!U54)), "Row "&amp;Courses!$A54&amp;", "&amp;AT$9&amp;", "&amp;AT$10&amp;", "&amp;AT$11&amp;"; ","")</f>
        <v/>
      </c>
      <c r="AU60" s="2120" t="str">
        <f>IF(AND($V$9=1,(TRUNC(Courses!V54)&lt;&gt;Courses!V54)), "Row "&amp;Courses!$A54&amp;", "&amp;AU$9&amp;", "&amp;AU$10&amp;"; ","")</f>
        <v/>
      </c>
      <c r="AV60" s="1593" t="str">
        <f>IF(AND($V$9=1,(TRUNC(Courses!W54)&lt;&gt;Courses!W54)), "Row "&amp;Courses!$A54&amp;", "&amp;AV$9&amp;", "&amp;AV$10&amp;", "&amp;AV$11&amp;"; ","")</f>
        <v/>
      </c>
      <c r="AW60" t="str">
        <f>IF(AND($V$9=1,(TRUNC(Courses!X54)&lt;&gt;Courses!X54)), "Row "&amp;Courses!$A54&amp;", "&amp;AW$9&amp;", "&amp;AW$10&amp;", "&amp;AW$11&amp;"; ","")</f>
        <v/>
      </c>
      <c r="AX60" t="str">
        <f>IF(AND($V$9=1,(TRUNC(Courses!Y54)&lt;&gt;Courses!Y54)), "Row "&amp;Courses!$A54&amp;", "&amp;AX$9&amp;", "&amp;AX$10&amp;", "&amp;AX$11&amp;"; ","")</f>
        <v/>
      </c>
      <c r="AY60" t="str">
        <f>IF(AND($V$9=1,(TRUNC(Courses!Z54)&lt;&gt;Courses!Z54)), "Row "&amp;Courses!$A54&amp;", "&amp;AY$9&amp;", "&amp;AY$10&amp;", "&amp;AY$11&amp;"; ","")</f>
        <v/>
      </c>
      <c r="AZ60" s="2120" t="str">
        <f>IF(AND($V$9=1,(TRUNC(Courses!AA54)&lt;&gt;Courses!AA54)), "Row "&amp;Courses!$A54&amp;", "&amp;AZ$9&amp;", "&amp;AZ$10&amp;"; ","")</f>
        <v/>
      </c>
      <c r="BA60" s="17"/>
      <c r="BB60" s="118"/>
      <c r="BC60" s="3">
        <v>41</v>
      </c>
      <c r="BD60" s="1593" t="str">
        <f>IF(AND($W$9=1,Courses!M54&lt;0), "Row "&amp;Courses!$A54&amp;", "&amp;BD$9&amp;", "&amp;BD$10&amp;", "&amp;BD$11&amp;"; ","")</f>
        <v/>
      </c>
      <c r="BE60" t="str">
        <f>IF(AND($W$9=1,Courses!N54&lt;0), "Row "&amp;Courses!$A54&amp;", "&amp;BE$9&amp;", "&amp;BE$10&amp;", "&amp;BE$11&amp;"; ","")</f>
        <v/>
      </c>
      <c r="BF60" t="str">
        <f>IF(AND($W$9=1,Courses!O54&lt;0), "Row "&amp;Courses!$A54&amp;", "&amp;BF$9&amp;", "&amp;BF$10&amp;", "&amp;BF$11&amp;"; ","")</f>
        <v/>
      </c>
      <c r="BG60" t="str">
        <f>IF(AND($W$9=1,Courses!P54&lt;0), "Row "&amp;Courses!$A54&amp;", "&amp;BG$9&amp;", "&amp;BG$10&amp;", "&amp;BG$11&amp;"; ","")</f>
        <v/>
      </c>
      <c r="BH60" s="2120" t="str">
        <f>IF(AND($W$9=1,Courses!Q54&lt;0), "Row "&amp;Courses!$A54&amp;", "&amp;BH$9&amp;", "&amp;BH$10&amp;"; ","")</f>
        <v/>
      </c>
      <c r="BI60" s="1593" t="str">
        <f>IF(AND($W$9=1,Courses!R54&lt;0), "Row "&amp;Courses!$A54&amp;", "&amp;BI$9&amp;", "&amp;BI$10&amp;", "&amp;BI$11&amp;"; ","")</f>
        <v/>
      </c>
      <c r="BJ60" t="str">
        <f>IF(AND($W$9=1,Courses!S54&lt;0), "Row "&amp;Courses!$A54&amp;", "&amp;BJ$9&amp;", "&amp;BJ$10&amp;", "&amp;BJ$11&amp;"; ","")</f>
        <v/>
      </c>
      <c r="BK60" t="str">
        <f>IF(AND($W$9=1,Courses!T54&lt;0), "Row "&amp;Courses!$A54&amp;", "&amp;BK$9&amp;", "&amp;BK$10&amp;", "&amp;BK$11&amp;"; ","")</f>
        <v/>
      </c>
      <c r="BL60" t="str">
        <f>IF(AND($W$9=1,Courses!U54&lt;0), "Row "&amp;Courses!$A54&amp;", "&amp;BL$9&amp;", "&amp;BL$10&amp;", "&amp;BL$11&amp;"; ","")</f>
        <v/>
      </c>
      <c r="BM60" s="2120" t="str">
        <f>IF(AND($W$9=1,Courses!V54&lt;0), "Row "&amp;Courses!$A54&amp;", "&amp;BM$9&amp;", "&amp;BM$10&amp;"; ","")</f>
        <v/>
      </c>
      <c r="BN60" s="1593" t="str">
        <f>IF(AND($W$9=1,Courses!W54&lt;0), "Row "&amp;Courses!$A54&amp;", "&amp;BN$9&amp;", "&amp;BN$10&amp;", "&amp;BN$11&amp;"; ","")</f>
        <v/>
      </c>
      <c r="BO60" t="str">
        <f>IF(AND($W$9=1,Courses!X54&lt;0), "Row "&amp;Courses!$A54&amp;", "&amp;BO$9&amp;", "&amp;BO$10&amp;", "&amp;BO$11&amp;"; ","")</f>
        <v/>
      </c>
      <c r="BP60" t="str">
        <f>IF(AND($W$9=1,Courses!Y54&lt;0), "Row "&amp;Courses!$A54&amp;", "&amp;BP$9&amp;", "&amp;BP$10&amp;", "&amp;BP$11&amp;"; ","")</f>
        <v/>
      </c>
      <c r="BQ60" t="str">
        <f>IF(AND($W$9=1,Courses!Z54&lt;0), "Row "&amp;Courses!$A54&amp;", "&amp;BQ$9&amp;", "&amp;BQ$10&amp;", "&amp;BQ$11&amp;"; ","")</f>
        <v/>
      </c>
      <c r="BR60" s="2120" t="str">
        <f>IF(AND($W$9=1,Courses!AA54&lt;0), "Row "&amp;Courses!$A54&amp;", "&amp;BR$9&amp;", "&amp;BR$10&amp;"; ","")</f>
        <v/>
      </c>
      <c r="BT60" s="186">
        <v>41</v>
      </c>
      <c r="BU60" s="40">
        <f>IF(AND($X$9=1,Courses!B54="",Courses!F54="",Courses!H54="",Courses!J54="",Courses!K54="",Courses!L54="",Courses!M54=0,Courses!N54=0,Courses!O54=0,Courses!P54=0,Courses!Q54=0,Courses!R54=0,Courses!S54=0,Courses!T54=0,Courses!U54=0,Courses!V54=0,Courses!W54=0,Courses!X54=0,Courses!Y54=0,Courses!Z54=0,Courses!AA54=0),0,1)</f>
        <v>0</v>
      </c>
      <c r="BV60" s="40">
        <f>IF(AND(BU60=0,SUM(BU61:$BU$219)&gt;0),1,0)</f>
        <v>0</v>
      </c>
      <c r="BW60" s="1595" t="str">
        <f>IF(BV60=1,"Row "&amp;Courses!A54&amp;"; ","")</f>
        <v/>
      </c>
      <c r="BX60" s="17"/>
      <c r="BZ60" s="1592" t="str">
        <f>IF(AND($Y$9=1,Courses!B54&lt;&gt;"",SUM(Courses!M54:AA54)=0),"Row "&amp;Courses!A54&amp;"; ","")</f>
        <v/>
      </c>
      <c r="CA60" s="17"/>
      <c r="CC60" s="1592" t="str">
        <f>IF(AND($Z$9=1,Courses!AD54=1,(LEN(Courses!AB54)&gt;200)),"Row "&amp;Courses!A54&amp;"; ","")</f>
        <v/>
      </c>
      <c r="CE60" s="131"/>
      <c r="CG60" s="1593" t="str">
        <f>IF(AND($AD$9=1,Courses!E54&lt;&gt;"",Courses!F54&lt;&gt;"",Courses!F54=0,SUM(Courses!H54,Courses!J54)=1),"Row "&amp;Courses!A54&amp;", "&amp;Courses!$F$10&amp;"; ","")</f>
        <v/>
      </c>
      <c r="CH60" t="str">
        <f>IF(AND($AD$9=1,Courses!G54&lt;&gt;"",Courses!H54&lt;&gt;"",Courses!H54=0,SUM(Courses!J54,Courses!F54)=1),"Row "&amp;Courses!A54&amp;", "&amp;Courses!$H$10&amp;"; ","")</f>
        <v/>
      </c>
      <c r="CI60" s="183" t="str">
        <f>IF(AND($AD$9=1,Courses!I54&lt;&gt;"",Courses!J54&lt;&gt;"",Courses!J54=0, SUM(Courses!H54,Courses!F54)=1),"Row "&amp;Courses!A54&amp;", "&amp;Courses!$J$10&amp;"; ","")</f>
        <v/>
      </c>
      <c r="CJ60" s="180"/>
      <c r="CK60" s="181"/>
      <c r="CL60" s="1592" t="str">
        <f>IF(AND(Courses!B54&lt;&gt;"",ISNA(VLOOKUP(Courses!C54,CourseInfo,2,FALSE))=FALSE,COUNTIF(Dummy,Courses!C54)&lt;&gt;1),VLOOKUP(Courses!C54,CourseInfo,6,FALSE),"")</f>
        <v/>
      </c>
      <c r="CM60" s="1592" t="str">
        <f>IF(AND($AE$9=1,Courses!B54&lt;&gt;"",'Courses Valid'!AG60="",COUNTIF(Dummy,Courses!C54)&lt;&gt;1),IF(Courses!K54&lt;&gt;'Courses Valid'!CL60,"Row "&amp;Courses!A54&amp;", Level on LARS is "&amp;'Courses Valid'!CL60&amp;"; ",""),"")</f>
        <v/>
      </c>
      <c r="CN60" s="131"/>
    </row>
    <row r="61" spans="3:92" x14ac:dyDescent="0.35">
      <c r="C61" s="1591">
        <f t="shared" si="2"/>
        <v>0</v>
      </c>
      <c r="D61" s="41"/>
      <c r="E61" s="41"/>
      <c r="F61" s="118"/>
      <c r="G61" s="1591" t="str">
        <f>IF(SUMPRODUCT(--(CourseAims=Courses!$C55))=1,"",IF(AND($N$9=1,Courses!$C55&lt;&gt;""),"Row "&amp;Courses!A55&amp;" (invalid); ",""))</f>
        <v/>
      </c>
      <c r="H61" s="1592" t="str">
        <f>IF(AND($O$9=1,Courses!B55="",OR(Courses!F55&lt;&gt;"",Courses!H55&lt;&gt;"",Courses!J55&lt;&gt;"",Courses!K55&lt;&gt;"",Courses!L55&lt;&gt;"",Courses!M55&lt;&gt;0,Courses!N55&lt;&gt;0,Courses!O55&lt;&gt;0,Courses!P55&lt;&gt;0,Courses!Q55&lt;&gt;0,Courses!R55&lt;&gt;0,Courses!S55&lt;&gt;0,Courses!T55&lt;&gt;0,Courses!U55&lt;&gt;0,Courses!V55&lt;&gt;0,Courses!W55&lt;&gt;0,Courses!X55&lt;&gt;0,Courses!Y55&lt;&gt;0,Courses!Z55&lt;&gt;0,Courses!AA55&lt;&gt;0)),"Row "&amp;Courses!A55&amp;" (none); ","")</f>
        <v/>
      </c>
      <c r="I61" s="17"/>
      <c r="K61" s="1592" t="str">
        <f>Courses!B55&amp;Courses!K55&amp;Courses!L55</f>
        <v/>
      </c>
      <c r="L61" s="1592" t="str">
        <f>IF(AND($P$9=1,Courses!$B55&lt;&gt;"",COUNTIF(Dummy,Courses!$C55)&lt;&gt;1),IF(SUMPRODUCT(--($K$20:$K$219=$K61))&gt;1,"Row "&amp;Courses!$A55&amp;"; ",""),"")</f>
        <v/>
      </c>
      <c r="N61" s="118"/>
      <c r="O61" s="1593" t="str">
        <f>IF(AND($Q$9=1,Courses!E55&lt;&gt;"",Courses!F55=""),"Row "&amp;Courses!A55&amp;", "&amp;Courses!$E$10&amp;"; ","")</f>
        <v/>
      </c>
      <c r="P61" t="str">
        <f>IF(AND($Q$9=1,Courses!G55&lt;&gt;"",Courses!H55=""),"Row "&amp;Courses!A55&amp;", "&amp;Courses!$G$10&amp;"; ","")</f>
        <v/>
      </c>
      <c r="Q61" s="183" t="str">
        <f>IF(AND($Q$9=1,Courses!I55&lt;&gt;"",Courses!J55=""),"Row "&amp;Courses!A55&amp;", "&amp;Courses!$I$10&amp;"; ","")</f>
        <v/>
      </c>
      <c r="S61" s="17"/>
      <c r="T61" s="118"/>
      <c r="U61" s="1594" t="str">
        <f>IF(AND($R$9=1,Courses!B55&lt;&gt;"",Courses!E55&lt;&gt;"",Courses!G55="",Courses!I55="",Courses!F55&lt;&gt;1),"Row "&amp;Courses!A55&amp;"; ","")</f>
        <v/>
      </c>
      <c r="V61" t="str">
        <f>IF(AND($R$9=1,Courses!B55&lt;&gt;"",Courses!I55="",Courses!F55&lt;&gt;"",Courses!G55&lt;&gt;"",Courses!H55&lt;&gt;""),IF(OR((Courses!F55+Courses!H55)&lt;&gt;1),"Row "&amp;Courses!A55&amp;"; ",""),"")</f>
        <v/>
      </c>
      <c r="W61" s="183" t="str">
        <f>IF(AND($R$9=1,Courses!B55&lt;&gt;"",Courses!I55&lt;&gt;"",Courses!J55&lt;&gt;"",Courses!H55&lt;&gt;"",Courses!G55&lt;&gt;"",Courses!F55&lt;&gt;""),IF(OR((Courses!F55+Courses!H55+Courses!J55)&lt;&gt;1),"Row "&amp;Courses!A55&amp;"; ",""),"")</f>
        <v/>
      </c>
      <c r="Y61" s="1592" t="str">
        <f>IF(AND($R$9=1,Courses!E55&lt;&gt;"",U61="",V61="",W61="",SUM(Courses!F55,Courses!H55,Courses!J55)&lt;&gt;1),"Row "&amp;Courses!A55&amp;"; ","")</f>
        <v/>
      </c>
      <c r="Z61" s="17"/>
      <c r="AB61" s="1593" t="str">
        <f>IF(AND($S$9=1,Courses!B55&lt;&gt;"",Courses!E55&lt;&gt;"",Courses!F55&lt;&gt;""),IF((TRUNC(Courses!F55*100)&lt;&gt;Courses!F55*100),"Row "&amp;Courses!A55&amp;", "&amp;Courses!$F$10&amp;"; ",""),"")</f>
        <v/>
      </c>
      <c r="AC61" t="str">
        <f>IF(AND($S$9=1,Courses!B55&lt;&gt;"",Courses!G55&lt;&gt;"",Courses!H55&lt;&gt;""),IF((TRUNC(Courses!H55*100)&lt;&gt;Courses!H55*100),"Row "&amp;Courses!A55&amp;", "&amp;Courses!$H$10&amp;"; ",""),"")</f>
        <v/>
      </c>
      <c r="AD61" s="183" t="str">
        <f>IF(AND($S$9=1,Courses!B55&lt;&gt;"",Courses!I55&lt;&gt;"",Courses!J55&lt;&gt;""),IF((TRUNC(Courses!J55*100)&lt;&gt;Courses!J55*100),"Row "&amp;Courses!A55&amp;", "&amp;Courses!$J$10&amp;"; ",""),"")</f>
        <v/>
      </c>
      <c r="AF61" s="118"/>
      <c r="AG61" s="1592" t="str">
        <f>IF(AND($T$9=1,G61="",Courses!B55&lt;&gt;"",Courses!K55&lt;&gt;$B$9,Courses!K55&lt;&gt;$B$10,Courses!K55&lt;&gt;$B$11,Courses!K55&lt;&gt;$B$12,Courses!K55&lt;&gt;$B$13,Courses!K55&lt;&gt;$B$14),"Row "&amp;Courses!A55&amp;"; ","")</f>
        <v/>
      </c>
      <c r="AH61" s="1592" t="str">
        <f>IF(AND($U$9=1,G61="",Courses!B55&lt;&gt;"",Courses!L55&lt;&gt;"Standard",Courses!L55&lt;&gt;"Long"),"Row "&amp;Courses!A55&amp;"; ","")</f>
        <v/>
      </c>
      <c r="AJ61" s="118"/>
      <c r="AK61" s="3">
        <v>42</v>
      </c>
      <c r="AL61" s="1593" t="str">
        <f>IF(AND($V$9=1,(TRUNC(Courses!M55)&lt;&gt;Courses!M55)), "Row "&amp;Courses!$A55&amp;", "&amp;AL$9&amp;", "&amp;AL$10&amp;", "&amp;AL$11&amp;"; ","")</f>
        <v/>
      </c>
      <c r="AM61" t="str">
        <f>IF(AND($V$9=1,(TRUNC(Courses!N55)&lt;&gt;Courses!N55)), "Row "&amp;Courses!$A55&amp;", "&amp;AM$9&amp;", "&amp;AM$10&amp;", "&amp;AM$11&amp;"; ","")</f>
        <v/>
      </c>
      <c r="AN61" t="str">
        <f>IF(AND($V$9=1,(TRUNC(Courses!O55)&lt;&gt;Courses!O55)), "Row "&amp;Courses!$A55&amp;", "&amp;AN$9&amp;", "&amp;AN$10&amp;", "&amp;AN$11&amp;"; ","")</f>
        <v/>
      </c>
      <c r="AO61" t="str">
        <f>IF(AND($V$9=1,(TRUNC(Courses!P55)&lt;&gt;Courses!P55)), "Row "&amp;Courses!$A55&amp;", "&amp;AO$9&amp;", "&amp;AO$10&amp;", "&amp;AO$11&amp;"; ","")</f>
        <v/>
      </c>
      <c r="AP61" s="2120" t="str">
        <f>IF(AND($V$9=1,(TRUNC(Courses!Q55)&lt;&gt;Courses!Q55)), "Row "&amp;Courses!$A55&amp;", "&amp;AP$9&amp;", "&amp;AP$10&amp;"; ","")</f>
        <v/>
      </c>
      <c r="AQ61" s="1593" t="str">
        <f>IF(AND($V$9=1,(TRUNC(Courses!R55)&lt;&gt;Courses!R55)), "Row "&amp;Courses!$A55&amp;", "&amp;AQ$9&amp;", "&amp;AQ$10&amp;", "&amp;AQ$11&amp;"; ","")</f>
        <v/>
      </c>
      <c r="AR61" t="str">
        <f>IF(AND($V$9=1,(TRUNC(Courses!S55)&lt;&gt;Courses!S55)), "Row "&amp;Courses!$A55&amp;", "&amp;AR$9&amp;", "&amp;AR$10&amp;", "&amp;AR$11&amp;"; ","")</f>
        <v/>
      </c>
      <c r="AS61" t="str">
        <f>IF(AND($V$9=1,(TRUNC(Courses!T55)&lt;&gt;Courses!T55)), "Row "&amp;Courses!$A55&amp;", "&amp;AS$9&amp;", "&amp;AS$10&amp;", "&amp;AS$11&amp;"; ","")</f>
        <v/>
      </c>
      <c r="AT61" t="str">
        <f>IF(AND($V$9=1,(TRUNC(Courses!U55)&lt;&gt;Courses!U55)), "Row "&amp;Courses!$A55&amp;", "&amp;AT$9&amp;", "&amp;AT$10&amp;", "&amp;AT$11&amp;"; ","")</f>
        <v/>
      </c>
      <c r="AU61" s="2120" t="str">
        <f>IF(AND($V$9=1,(TRUNC(Courses!V55)&lt;&gt;Courses!V55)), "Row "&amp;Courses!$A55&amp;", "&amp;AU$9&amp;", "&amp;AU$10&amp;"; ","")</f>
        <v/>
      </c>
      <c r="AV61" s="1593" t="str">
        <f>IF(AND($V$9=1,(TRUNC(Courses!W55)&lt;&gt;Courses!W55)), "Row "&amp;Courses!$A55&amp;", "&amp;AV$9&amp;", "&amp;AV$10&amp;", "&amp;AV$11&amp;"; ","")</f>
        <v/>
      </c>
      <c r="AW61" t="str">
        <f>IF(AND($V$9=1,(TRUNC(Courses!X55)&lt;&gt;Courses!X55)), "Row "&amp;Courses!$A55&amp;", "&amp;AW$9&amp;", "&amp;AW$10&amp;", "&amp;AW$11&amp;"; ","")</f>
        <v/>
      </c>
      <c r="AX61" t="str">
        <f>IF(AND($V$9=1,(TRUNC(Courses!Y55)&lt;&gt;Courses!Y55)), "Row "&amp;Courses!$A55&amp;", "&amp;AX$9&amp;", "&amp;AX$10&amp;", "&amp;AX$11&amp;"; ","")</f>
        <v/>
      </c>
      <c r="AY61" t="str">
        <f>IF(AND($V$9=1,(TRUNC(Courses!Z55)&lt;&gt;Courses!Z55)), "Row "&amp;Courses!$A55&amp;", "&amp;AY$9&amp;", "&amp;AY$10&amp;", "&amp;AY$11&amp;"; ","")</f>
        <v/>
      </c>
      <c r="AZ61" s="2120" t="str">
        <f>IF(AND($V$9=1,(TRUNC(Courses!AA55)&lt;&gt;Courses!AA55)), "Row "&amp;Courses!$A55&amp;", "&amp;AZ$9&amp;", "&amp;AZ$10&amp;"; ","")</f>
        <v/>
      </c>
      <c r="BA61" s="17"/>
      <c r="BB61" s="118"/>
      <c r="BC61" s="3">
        <v>42</v>
      </c>
      <c r="BD61" s="1593" t="str">
        <f>IF(AND($W$9=1,Courses!M55&lt;0), "Row "&amp;Courses!$A55&amp;", "&amp;BD$9&amp;", "&amp;BD$10&amp;", "&amp;BD$11&amp;"; ","")</f>
        <v/>
      </c>
      <c r="BE61" t="str">
        <f>IF(AND($W$9=1,Courses!N55&lt;0), "Row "&amp;Courses!$A55&amp;", "&amp;BE$9&amp;", "&amp;BE$10&amp;", "&amp;BE$11&amp;"; ","")</f>
        <v/>
      </c>
      <c r="BF61" t="str">
        <f>IF(AND($W$9=1,Courses!O55&lt;0), "Row "&amp;Courses!$A55&amp;", "&amp;BF$9&amp;", "&amp;BF$10&amp;", "&amp;BF$11&amp;"; ","")</f>
        <v/>
      </c>
      <c r="BG61" t="str">
        <f>IF(AND($W$9=1,Courses!P55&lt;0), "Row "&amp;Courses!$A55&amp;", "&amp;BG$9&amp;", "&amp;BG$10&amp;", "&amp;BG$11&amp;"; ","")</f>
        <v/>
      </c>
      <c r="BH61" s="2120" t="str">
        <f>IF(AND($W$9=1,Courses!Q55&lt;0), "Row "&amp;Courses!$A55&amp;", "&amp;BH$9&amp;", "&amp;BH$10&amp;"; ","")</f>
        <v/>
      </c>
      <c r="BI61" s="1593" t="str">
        <f>IF(AND($W$9=1,Courses!R55&lt;0), "Row "&amp;Courses!$A55&amp;", "&amp;BI$9&amp;", "&amp;BI$10&amp;", "&amp;BI$11&amp;"; ","")</f>
        <v/>
      </c>
      <c r="BJ61" t="str">
        <f>IF(AND($W$9=1,Courses!S55&lt;0), "Row "&amp;Courses!$A55&amp;", "&amp;BJ$9&amp;", "&amp;BJ$10&amp;", "&amp;BJ$11&amp;"; ","")</f>
        <v/>
      </c>
      <c r="BK61" t="str">
        <f>IF(AND($W$9=1,Courses!T55&lt;0), "Row "&amp;Courses!$A55&amp;", "&amp;BK$9&amp;", "&amp;BK$10&amp;", "&amp;BK$11&amp;"; ","")</f>
        <v/>
      </c>
      <c r="BL61" t="str">
        <f>IF(AND($W$9=1,Courses!U55&lt;0), "Row "&amp;Courses!$A55&amp;", "&amp;BL$9&amp;", "&amp;BL$10&amp;", "&amp;BL$11&amp;"; ","")</f>
        <v/>
      </c>
      <c r="BM61" s="2120" t="str">
        <f>IF(AND($W$9=1,Courses!V55&lt;0), "Row "&amp;Courses!$A55&amp;", "&amp;BM$9&amp;", "&amp;BM$10&amp;"; ","")</f>
        <v/>
      </c>
      <c r="BN61" s="1593" t="str">
        <f>IF(AND($W$9=1,Courses!W55&lt;0), "Row "&amp;Courses!$A55&amp;", "&amp;BN$9&amp;", "&amp;BN$10&amp;", "&amp;BN$11&amp;"; ","")</f>
        <v/>
      </c>
      <c r="BO61" t="str">
        <f>IF(AND($W$9=1,Courses!X55&lt;0), "Row "&amp;Courses!$A55&amp;", "&amp;BO$9&amp;", "&amp;BO$10&amp;", "&amp;BO$11&amp;"; ","")</f>
        <v/>
      </c>
      <c r="BP61" t="str">
        <f>IF(AND($W$9=1,Courses!Y55&lt;0), "Row "&amp;Courses!$A55&amp;", "&amp;BP$9&amp;", "&amp;BP$10&amp;", "&amp;BP$11&amp;"; ","")</f>
        <v/>
      </c>
      <c r="BQ61" t="str">
        <f>IF(AND($W$9=1,Courses!Z55&lt;0), "Row "&amp;Courses!$A55&amp;", "&amp;BQ$9&amp;", "&amp;BQ$10&amp;", "&amp;BQ$11&amp;"; ","")</f>
        <v/>
      </c>
      <c r="BR61" s="2120" t="str">
        <f>IF(AND($W$9=1,Courses!AA55&lt;0), "Row "&amp;Courses!$A55&amp;", "&amp;BR$9&amp;", "&amp;BR$10&amp;"; ","")</f>
        <v/>
      </c>
      <c r="BT61" s="186">
        <v>42</v>
      </c>
      <c r="BU61" s="40">
        <f>IF(AND($X$9=1,Courses!B55="",Courses!F55="",Courses!H55="",Courses!J55="",Courses!K55="",Courses!L55="",Courses!M55=0,Courses!N55=0,Courses!O55=0,Courses!P55=0,Courses!Q55=0,Courses!R55=0,Courses!S55=0,Courses!T55=0,Courses!U55=0,Courses!V55=0,Courses!W55=0,Courses!X55=0,Courses!Y55=0,Courses!Z55=0,Courses!AA55=0),0,1)</f>
        <v>0</v>
      </c>
      <c r="BV61" s="40">
        <f>IF(AND(BU61=0,SUM(BU62:$BU$219)&gt;0),1,0)</f>
        <v>0</v>
      </c>
      <c r="BW61" s="1595" t="str">
        <f>IF(BV61=1,"Row "&amp;Courses!A55&amp;"; ","")</f>
        <v/>
      </c>
      <c r="BX61" s="17"/>
      <c r="BZ61" s="1592" t="str">
        <f>IF(AND($Y$9=1,Courses!B55&lt;&gt;"",SUM(Courses!M55:AA55)=0),"Row "&amp;Courses!A55&amp;"; ","")</f>
        <v/>
      </c>
      <c r="CA61" s="17"/>
      <c r="CC61" s="1592" t="str">
        <f>IF(AND($Z$9=1,Courses!AD55=1,(LEN(Courses!AB55)&gt;200)),"Row "&amp;Courses!A55&amp;"; ","")</f>
        <v/>
      </c>
      <c r="CE61" s="131"/>
      <c r="CG61" s="1593" t="str">
        <f>IF(AND($AD$9=1,Courses!E55&lt;&gt;"",Courses!F55&lt;&gt;"",Courses!F55=0,SUM(Courses!H55,Courses!J55)=1),"Row "&amp;Courses!A55&amp;", "&amp;Courses!$F$10&amp;"; ","")</f>
        <v/>
      </c>
      <c r="CH61" t="str">
        <f>IF(AND($AD$9=1,Courses!G55&lt;&gt;"",Courses!H55&lt;&gt;"",Courses!H55=0,SUM(Courses!J55,Courses!F55)=1),"Row "&amp;Courses!A55&amp;", "&amp;Courses!$H$10&amp;"; ","")</f>
        <v/>
      </c>
      <c r="CI61" s="183" t="str">
        <f>IF(AND($AD$9=1,Courses!I55&lt;&gt;"",Courses!J55&lt;&gt;"",Courses!J55=0, SUM(Courses!H55,Courses!F55)=1),"Row "&amp;Courses!A55&amp;", "&amp;Courses!$J$10&amp;"; ","")</f>
        <v/>
      </c>
      <c r="CJ61" s="180"/>
      <c r="CK61" s="181"/>
      <c r="CL61" s="1592" t="str">
        <f>IF(AND(Courses!B55&lt;&gt;"",ISNA(VLOOKUP(Courses!C55,CourseInfo,2,FALSE))=FALSE,COUNTIF(Dummy,Courses!C55)&lt;&gt;1),VLOOKUP(Courses!C55,CourseInfo,6,FALSE),"")</f>
        <v/>
      </c>
      <c r="CM61" s="1592" t="str">
        <f>IF(AND($AE$9=1,Courses!B55&lt;&gt;"",'Courses Valid'!AG61="",COUNTIF(Dummy,Courses!C55)&lt;&gt;1),IF(Courses!K55&lt;&gt;'Courses Valid'!CL61,"Row "&amp;Courses!A55&amp;", Level on LARS is "&amp;'Courses Valid'!CL61&amp;"; ",""),"")</f>
        <v/>
      </c>
      <c r="CN61" s="131"/>
    </row>
    <row r="62" spans="3:92" x14ac:dyDescent="0.35">
      <c r="C62" s="1591">
        <f t="shared" si="2"/>
        <v>0</v>
      </c>
      <c r="D62" s="41"/>
      <c r="E62" s="41"/>
      <c r="F62" s="118"/>
      <c r="G62" s="1591" t="str">
        <f>IF(SUMPRODUCT(--(CourseAims=Courses!$C56))=1,"",IF(AND($N$9=1,Courses!$C56&lt;&gt;""),"Row "&amp;Courses!A56&amp;" (invalid); ",""))</f>
        <v/>
      </c>
      <c r="H62" s="1592" t="str">
        <f>IF(AND($O$9=1,Courses!B56="",OR(Courses!F56&lt;&gt;"",Courses!H56&lt;&gt;"",Courses!J56&lt;&gt;"",Courses!K56&lt;&gt;"",Courses!L56&lt;&gt;"",Courses!M56&lt;&gt;0,Courses!N56&lt;&gt;0,Courses!O56&lt;&gt;0,Courses!P56&lt;&gt;0,Courses!Q56&lt;&gt;0,Courses!R56&lt;&gt;0,Courses!S56&lt;&gt;0,Courses!T56&lt;&gt;0,Courses!U56&lt;&gt;0,Courses!V56&lt;&gt;0,Courses!W56&lt;&gt;0,Courses!X56&lt;&gt;0,Courses!Y56&lt;&gt;0,Courses!Z56&lt;&gt;0,Courses!AA56&lt;&gt;0)),"Row "&amp;Courses!A56&amp;" (none); ","")</f>
        <v/>
      </c>
      <c r="I62" s="17"/>
      <c r="K62" s="1592" t="str">
        <f>Courses!B56&amp;Courses!K56&amp;Courses!L56</f>
        <v/>
      </c>
      <c r="L62" s="1592" t="str">
        <f>IF(AND($P$9=1,Courses!$B56&lt;&gt;"",COUNTIF(Dummy,Courses!$C56)&lt;&gt;1),IF(SUMPRODUCT(--($K$20:$K$219=$K62))&gt;1,"Row "&amp;Courses!$A56&amp;"; ",""),"")</f>
        <v/>
      </c>
      <c r="N62" s="118"/>
      <c r="O62" s="1593" t="str">
        <f>IF(AND($Q$9=1,Courses!E56&lt;&gt;"",Courses!F56=""),"Row "&amp;Courses!A56&amp;", "&amp;Courses!$E$10&amp;"; ","")</f>
        <v/>
      </c>
      <c r="P62" t="str">
        <f>IF(AND($Q$9=1,Courses!G56&lt;&gt;"",Courses!H56=""),"Row "&amp;Courses!A56&amp;", "&amp;Courses!$G$10&amp;"; ","")</f>
        <v/>
      </c>
      <c r="Q62" s="183" t="str">
        <f>IF(AND($Q$9=1,Courses!I56&lt;&gt;"",Courses!J56=""),"Row "&amp;Courses!A56&amp;", "&amp;Courses!$I$10&amp;"; ","")</f>
        <v/>
      </c>
      <c r="S62" s="17"/>
      <c r="T62" s="118"/>
      <c r="U62" s="1594" t="str">
        <f>IF(AND($R$9=1,Courses!B56&lt;&gt;"",Courses!E56&lt;&gt;"",Courses!G56="",Courses!I56="",Courses!F56&lt;&gt;1),"Row "&amp;Courses!A56&amp;"; ","")</f>
        <v/>
      </c>
      <c r="V62" t="str">
        <f>IF(AND($R$9=1,Courses!B56&lt;&gt;"",Courses!I56="",Courses!F56&lt;&gt;"",Courses!G56&lt;&gt;"",Courses!H56&lt;&gt;""),IF(OR((Courses!F56+Courses!H56)&lt;&gt;1),"Row "&amp;Courses!A56&amp;"; ",""),"")</f>
        <v/>
      </c>
      <c r="W62" s="183" t="str">
        <f>IF(AND($R$9=1,Courses!B56&lt;&gt;"",Courses!I56&lt;&gt;"",Courses!J56&lt;&gt;"",Courses!H56&lt;&gt;"",Courses!G56&lt;&gt;"",Courses!F56&lt;&gt;""),IF(OR((Courses!F56+Courses!H56+Courses!J56)&lt;&gt;1),"Row "&amp;Courses!A56&amp;"; ",""),"")</f>
        <v/>
      </c>
      <c r="Y62" s="1592" t="str">
        <f>IF(AND($R$9=1,Courses!E56&lt;&gt;"",U62="",V62="",W62="",SUM(Courses!F56,Courses!H56,Courses!J56)&lt;&gt;1),"Row "&amp;Courses!A56&amp;"; ","")</f>
        <v/>
      </c>
      <c r="Z62" s="17"/>
      <c r="AB62" s="1593" t="str">
        <f>IF(AND($S$9=1,Courses!B56&lt;&gt;"",Courses!E56&lt;&gt;"",Courses!F56&lt;&gt;""),IF((TRUNC(Courses!F56*100)&lt;&gt;Courses!F56*100),"Row "&amp;Courses!A56&amp;", "&amp;Courses!$F$10&amp;"; ",""),"")</f>
        <v/>
      </c>
      <c r="AC62" t="str">
        <f>IF(AND($S$9=1,Courses!B56&lt;&gt;"",Courses!G56&lt;&gt;"",Courses!H56&lt;&gt;""),IF((TRUNC(Courses!H56*100)&lt;&gt;Courses!H56*100),"Row "&amp;Courses!A56&amp;", "&amp;Courses!$H$10&amp;"; ",""),"")</f>
        <v/>
      </c>
      <c r="AD62" s="183" t="str">
        <f>IF(AND($S$9=1,Courses!B56&lt;&gt;"",Courses!I56&lt;&gt;"",Courses!J56&lt;&gt;""),IF((TRUNC(Courses!J56*100)&lt;&gt;Courses!J56*100),"Row "&amp;Courses!A56&amp;", "&amp;Courses!$J$10&amp;"; ",""),"")</f>
        <v/>
      </c>
      <c r="AF62" s="118"/>
      <c r="AG62" s="1592" t="str">
        <f>IF(AND($T$9=1,G62="",Courses!B56&lt;&gt;"",Courses!K56&lt;&gt;$B$9,Courses!K56&lt;&gt;$B$10,Courses!K56&lt;&gt;$B$11,Courses!K56&lt;&gt;$B$12,Courses!K56&lt;&gt;$B$13,Courses!K56&lt;&gt;$B$14),"Row "&amp;Courses!A56&amp;"; ","")</f>
        <v/>
      </c>
      <c r="AH62" s="1592" t="str">
        <f>IF(AND($U$9=1,G62="",Courses!B56&lt;&gt;"",Courses!L56&lt;&gt;"Standard",Courses!L56&lt;&gt;"Long"),"Row "&amp;Courses!A56&amp;"; ","")</f>
        <v/>
      </c>
      <c r="AJ62" s="118"/>
      <c r="AK62" s="3">
        <v>43</v>
      </c>
      <c r="AL62" s="1593" t="str">
        <f>IF(AND($V$9=1,(TRUNC(Courses!M56)&lt;&gt;Courses!M56)), "Row "&amp;Courses!$A56&amp;", "&amp;AL$9&amp;", "&amp;AL$10&amp;", "&amp;AL$11&amp;"; ","")</f>
        <v/>
      </c>
      <c r="AM62" t="str">
        <f>IF(AND($V$9=1,(TRUNC(Courses!N56)&lt;&gt;Courses!N56)), "Row "&amp;Courses!$A56&amp;", "&amp;AM$9&amp;", "&amp;AM$10&amp;", "&amp;AM$11&amp;"; ","")</f>
        <v/>
      </c>
      <c r="AN62" t="str">
        <f>IF(AND($V$9=1,(TRUNC(Courses!O56)&lt;&gt;Courses!O56)), "Row "&amp;Courses!$A56&amp;", "&amp;AN$9&amp;", "&amp;AN$10&amp;", "&amp;AN$11&amp;"; ","")</f>
        <v/>
      </c>
      <c r="AO62" t="str">
        <f>IF(AND($V$9=1,(TRUNC(Courses!P56)&lt;&gt;Courses!P56)), "Row "&amp;Courses!$A56&amp;", "&amp;AO$9&amp;", "&amp;AO$10&amp;", "&amp;AO$11&amp;"; ","")</f>
        <v/>
      </c>
      <c r="AP62" s="2120" t="str">
        <f>IF(AND($V$9=1,(TRUNC(Courses!Q56)&lt;&gt;Courses!Q56)), "Row "&amp;Courses!$A56&amp;", "&amp;AP$9&amp;", "&amp;AP$10&amp;"; ","")</f>
        <v/>
      </c>
      <c r="AQ62" s="1593" t="str">
        <f>IF(AND($V$9=1,(TRUNC(Courses!R56)&lt;&gt;Courses!R56)), "Row "&amp;Courses!$A56&amp;", "&amp;AQ$9&amp;", "&amp;AQ$10&amp;", "&amp;AQ$11&amp;"; ","")</f>
        <v/>
      </c>
      <c r="AR62" t="str">
        <f>IF(AND($V$9=1,(TRUNC(Courses!S56)&lt;&gt;Courses!S56)), "Row "&amp;Courses!$A56&amp;", "&amp;AR$9&amp;", "&amp;AR$10&amp;", "&amp;AR$11&amp;"; ","")</f>
        <v/>
      </c>
      <c r="AS62" t="str">
        <f>IF(AND($V$9=1,(TRUNC(Courses!T56)&lt;&gt;Courses!T56)), "Row "&amp;Courses!$A56&amp;", "&amp;AS$9&amp;", "&amp;AS$10&amp;", "&amp;AS$11&amp;"; ","")</f>
        <v/>
      </c>
      <c r="AT62" t="str">
        <f>IF(AND($V$9=1,(TRUNC(Courses!U56)&lt;&gt;Courses!U56)), "Row "&amp;Courses!$A56&amp;", "&amp;AT$9&amp;", "&amp;AT$10&amp;", "&amp;AT$11&amp;"; ","")</f>
        <v/>
      </c>
      <c r="AU62" s="2120" t="str">
        <f>IF(AND($V$9=1,(TRUNC(Courses!V56)&lt;&gt;Courses!V56)), "Row "&amp;Courses!$A56&amp;", "&amp;AU$9&amp;", "&amp;AU$10&amp;"; ","")</f>
        <v/>
      </c>
      <c r="AV62" s="1593" t="str">
        <f>IF(AND($V$9=1,(TRUNC(Courses!W56)&lt;&gt;Courses!W56)), "Row "&amp;Courses!$A56&amp;", "&amp;AV$9&amp;", "&amp;AV$10&amp;", "&amp;AV$11&amp;"; ","")</f>
        <v/>
      </c>
      <c r="AW62" t="str">
        <f>IF(AND($V$9=1,(TRUNC(Courses!X56)&lt;&gt;Courses!X56)), "Row "&amp;Courses!$A56&amp;", "&amp;AW$9&amp;", "&amp;AW$10&amp;", "&amp;AW$11&amp;"; ","")</f>
        <v/>
      </c>
      <c r="AX62" t="str">
        <f>IF(AND($V$9=1,(TRUNC(Courses!Y56)&lt;&gt;Courses!Y56)), "Row "&amp;Courses!$A56&amp;", "&amp;AX$9&amp;", "&amp;AX$10&amp;", "&amp;AX$11&amp;"; ","")</f>
        <v/>
      </c>
      <c r="AY62" t="str">
        <f>IF(AND($V$9=1,(TRUNC(Courses!Z56)&lt;&gt;Courses!Z56)), "Row "&amp;Courses!$A56&amp;", "&amp;AY$9&amp;", "&amp;AY$10&amp;", "&amp;AY$11&amp;"; ","")</f>
        <v/>
      </c>
      <c r="AZ62" s="2120" t="str">
        <f>IF(AND($V$9=1,(TRUNC(Courses!AA56)&lt;&gt;Courses!AA56)), "Row "&amp;Courses!$A56&amp;", "&amp;AZ$9&amp;", "&amp;AZ$10&amp;"; ","")</f>
        <v/>
      </c>
      <c r="BA62" s="17"/>
      <c r="BB62" s="118"/>
      <c r="BC62" s="3">
        <v>43</v>
      </c>
      <c r="BD62" s="1593" t="str">
        <f>IF(AND($W$9=1,Courses!M56&lt;0), "Row "&amp;Courses!$A56&amp;", "&amp;BD$9&amp;", "&amp;BD$10&amp;", "&amp;BD$11&amp;"; ","")</f>
        <v/>
      </c>
      <c r="BE62" t="str">
        <f>IF(AND($W$9=1,Courses!N56&lt;0), "Row "&amp;Courses!$A56&amp;", "&amp;BE$9&amp;", "&amp;BE$10&amp;", "&amp;BE$11&amp;"; ","")</f>
        <v/>
      </c>
      <c r="BF62" t="str">
        <f>IF(AND($W$9=1,Courses!O56&lt;0), "Row "&amp;Courses!$A56&amp;", "&amp;BF$9&amp;", "&amp;BF$10&amp;", "&amp;BF$11&amp;"; ","")</f>
        <v/>
      </c>
      <c r="BG62" t="str">
        <f>IF(AND($W$9=1,Courses!P56&lt;0), "Row "&amp;Courses!$A56&amp;", "&amp;BG$9&amp;", "&amp;BG$10&amp;", "&amp;BG$11&amp;"; ","")</f>
        <v/>
      </c>
      <c r="BH62" s="2120" t="str">
        <f>IF(AND($W$9=1,Courses!Q56&lt;0), "Row "&amp;Courses!$A56&amp;", "&amp;BH$9&amp;", "&amp;BH$10&amp;"; ","")</f>
        <v/>
      </c>
      <c r="BI62" s="1593" t="str">
        <f>IF(AND($W$9=1,Courses!R56&lt;0), "Row "&amp;Courses!$A56&amp;", "&amp;BI$9&amp;", "&amp;BI$10&amp;", "&amp;BI$11&amp;"; ","")</f>
        <v/>
      </c>
      <c r="BJ62" t="str">
        <f>IF(AND($W$9=1,Courses!S56&lt;0), "Row "&amp;Courses!$A56&amp;", "&amp;BJ$9&amp;", "&amp;BJ$10&amp;", "&amp;BJ$11&amp;"; ","")</f>
        <v/>
      </c>
      <c r="BK62" t="str">
        <f>IF(AND($W$9=1,Courses!T56&lt;0), "Row "&amp;Courses!$A56&amp;", "&amp;BK$9&amp;", "&amp;BK$10&amp;", "&amp;BK$11&amp;"; ","")</f>
        <v/>
      </c>
      <c r="BL62" t="str">
        <f>IF(AND($W$9=1,Courses!U56&lt;0), "Row "&amp;Courses!$A56&amp;", "&amp;BL$9&amp;", "&amp;BL$10&amp;", "&amp;BL$11&amp;"; ","")</f>
        <v/>
      </c>
      <c r="BM62" s="2120" t="str">
        <f>IF(AND($W$9=1,Courses!V56&lt;0), "Row "&amp;Courses!$A56&amp;", "&amp;BM$9&amp;", "&amp;BM$10&amp;"; ","")</f>
        <v/>
      </c>
      <c r="BN62" s="1593" t="str">
        <f>IF(AND($W$9=1,Courses!W56&lt;0), "Row "&amp;Courses!$A56&amp;", "&amp;BN$9&amp;", "&amp;BN$10&amp;", "&amp;BN$11&amp;"; ","")</f>
        <v/>
      </c>
      <c r="BO62" t="str">
        <f>IF(AND($W$9=1,Courses!X56&lt;0), "Row "&amp;Courses!$A56&amp;", "&amp;BO$9&amp;", "&amp;BO$10&amp;", "&amp;BO$11&amp;"; ","")</f>
        <v/>
      </c>
      <c r="BP62" t="str">
        <f>IF(AND($W$9=1,Courses!Y56&lt;0), "Row "&amp;Courses!$A56&amp;", "&amp;BP$9&amp;", "&amp;BP$10&amp;", "&amp;BP$11&amp;"; ","")</f>
        <v/>
      </c>
      <c r="BQ62" t="str">
        <f>IF(AND($W$9=1,Courses!Z56&lt;0), "Row "&amp;Courses!$A56&amp;", "&amp;BQ$9&amp;", "&amp;BQ$10&amp;", "&amp;BQ$11&amp;"; ","")</f>
        <v/>
      </c>
      <c r="BR62" s="2120" t="str">
        <f>IF(AND($W$9=1,Courses!AA56&lt;0), "Row "&amp;Courses!$A56&amp;", "&amp;BR$9&amp;", "&amp;BR$10&amp;"; ","")</f>
        <v/>
      </c>
      <c r="BT62" s="186">
        <v>43</v>
      </c>
      <c r="BU62" s="40">
        <f>IF(AND($X$9=1,Courses!B56="",Courses!F56="",Courses!H56="",Courses!J56="",Courses!K56="",Courses!L56="",Courses!M56=0,Courses!N56=0,Courses!O56=0,Courses!P56=0,Courses!Q56=0,Courses!R56=0,Courses!S56=0,Courses!T56=0,Courses!U56=0,Courses!V56=0,Courses!W56=0,Courses!X56=0,Courses!Y56=0,Courses!Z56=0,Courses!AA56=0),0,1)</f>
        <v>0</v>
      </c>
      <c r="BV62" s="40">
        <f>IF(AND(BU62=0,SUM(BU63:$BU$219)&gt;0),1,0)</f>
        <v>0</v>
      </c>
      <c r="BW62" s="1595" t="str">
        <f>IF(BV62=1,"Row "&amp;Courses!A56&amp;"; ","")</f>
        <v/>
      </c>
      <c r="BX62" s="17"/>
      <c r="BZ62" s="1592" t="str">
        <f>IF(AND($Y$9=1,Courses!B56&lt;&gt;"",SUM(Courses!M56:AA56)=0),"Row "&amp;Courses!A56&amp;"; ","")</f>
        <v/>
      </c>
      <c r="CA62" s="17"/>
      <c r="CC62" s="1592" t="str">
        <f>IF(AND($Z$9=1,Courses!AD56=1,(LEN(Courses!AB56)&gt;200)),"Row "&amp;Courses!A56&amp;"; ","")</f>
        <v/>
      </c>
      <c r="CE62" s="131"/>
      <c r="CG62" s="1593" t="str">
        <f>IF(AND($AD$9=1,Courses!E56&lt;&gt;"",Courses!F56&lt;&gt;"",Courses!F56=0,SUM(Courses!H56,Courses!J56)=1),"Row "&amp;Courses!A56&amp;", "&amp;Courses!$F$10&amp;"; ","")</f>
        <v/>
      </c>
      <c r="CH62" t="str">
        <f>IF(AND($AD$9=1,Courses!G56&lt;&gt;"",Courses!H56&lt;&gt;"",Courses!H56=0,SUM(Courses!J56,Courses!F56)=1),"Row "&amp;Courses!A56&amp;", "&amp;Courses!$H$10&amp;"; ","")</f>
        <v/>
      </c>
      <c r="CI62" s="183" t="str">
        <f>IF(AND($AD$9=1,Courses!I56&lt;&gt;"",Courses!J56&lt;&gt;"",Courses!J56=0, SUM(Courses!H56,Courses!F56)=1),"Row "&amp;Courses!A56&amp;", "&amp;Courses!$J$10&amp;"; ","")</f>
        <v/>
      </c>
      <c r="CJ62" s="180"/>
      <c r="CK62" s="181"/>
      <c r="CL62" s="1592" t="str">
        <f>IF(AND(Courses!B56&lt;&gt;"",ISNA(VLOOKUP(Courses!C56,CourseInfo,2,FALSE))=FALSE,COUNTIF(Dummy,Courses!C56)&lt;&gt;1),VLOOKUP(Courses!C56,CourseInfo,6,FALSE),"")</f>
        <v/>
      </c>
      <c r="CM62" s="1592" t="str">
        <f>IF(AND($AE$9=1,Courses!B56&lt;&gt;"",'Courses Valid'!AG62="",COUNTIF(Dummy,Courses!C56)&lt;&gt;1),IF(Courses!K56&lt;&gt;'Courses Valid'!CL62,"Row "&amp;Courses!A56&amp;", Level on LARS is "&amp;'Courses Valid'!CL62&amp;"; ",""),"")</f>
        <v/>
      </c>
      <c r="CN62" s="131"/>
    </row>
    <row r="63" spans="3:92" x14ac:dyDescent="0.35">
      <c r="C63" s="1591">
        <f t="shared" si="2"/>
        <v>0</v>
      </c>
      <c r="D63" s="41"/>
      <c r="E63" s="41"/>
      <c r="F63" s="118"/>
      <c r="G63" s="1591" t="str">
        <f>IF(SUMPRODUCT(--(CourseAims=Courses!$C57))=1,"",IF(AND($N$9=1,Courses!$C57&lt;&gt;""),"Row "&amp;Courses!A57&amp;" (invalid); ",""))</f>
        <v/>
      </c>
      <c r="H63" s="1592" t="str">
        <f>IF(AND($O$9=1,Courses!B57="",OR(Courses!F57&lt;&gt;"",Courses!H57&lt;&gt;"",Courses!J57&lt;&gt;"",Courses!K57&lt;&gt;"",Courses!L57&lt;&gt;"",Courses!M57&lt;&gt;0,Courses!N57&lt;&gt;0,Courses!O57&lt;&gt;0,Courses!P57&lt;&gt;0,Courses!Q57&lt;&gt;0,Courses!R57&lt;&gt;0,Courses!S57&lt;&gt;0,Courses!T57&lt;&gt;0,Courses!U57&lt;&gt;0,Courses!V57&lt;&gt;0,Courses!W57&lt;&gt;0,Courses!X57&lt;&gt;0,Courses!Y57&lt;&gt;0,Courses!Z57&lt;&gt;0,Courses!AA57&lt;&gt;0)),"Row "&amp;Courses!A57&amp;" (none); ","")</f>
        <v/>
      </c>
      <c r="I63" s="17"/>
      <c r="K63" s="1592" t="str">
        <f>Courses!B57&amp;Courses!K57&amp;Courses!L57</f>
        <v/>
      </c>
      <c r="L63" s="1592" t="str">
        <f>IF(AND($P$9=1,Courses!$B57&lt;&gt;"",COUNTIF(Dummy,Courses!$C57)&lt;&gt;1),IF(SUMPRODUCT(--($K$20:$K$219=$K63))&gt;1,"Row "&amp;Courses!$A57&amp;"; ",""),"")</f>
        <v/>
      </c>
      <c r="N63" s="118"/>
      <c r="O63" s="1593" t="str">
        <f>IF(AND($Q$9=1,Courses!E57&lt;&gt;"",Courses!F57=""),"Row "&amp;Courses!A57&amp;", "&amp;Courses!$E$10&amp;"; ","")</f>
        <v/>
      </c>
      <c r="P63" t="str">
        <f>IF(AND($Q$9=1,Courses!G57&lt;&gt;"",Courses!H57=""),"Row "&amp;Courses!A57&amp;", "&amp;Courses!$G$10&amp;"; ","")</f>
        <v/>
      </c>
      <c r="Q63" s="183" t="str">
        <f>IF(AND($Q$9=1,Courses!I57&lt;&gt;"",Courses!J57=""),"Row "&amp;Courses!A57&amp;", "&amp;Courses!$I$10&amp;"; ","")</f>
        <v/>
      </c>
      <c r="S63" s="17"/>
      <c r="T63" s="118"/>
      <c r="U63" s="1594" t="str">
        <f>IF(AND($R$9=1,Courses!B57&lt;&gt;"",Courses!E57&lt;&gt;"",Courses!G57="",Courses!I57="",Courses!F57&lt;&gt;1),"Row "&amp;Courses!A57&amp;"; ","")</f>
        <v/>
      </c>
      <c r="V63" t="str">
        <f>IF(AND($R$9=1,Courses!B57&lt;&gt;"",Courses!I57="",Courses!F57&lt;&gt;"",Courses!G57&lt;&gt;"",Courses!H57&lt;&gt;""),IF(OR((Courses!F57+Courses!H57)&lt;&gt;1),"Row "&amp;Courses!A57&amp;"; ",""),"")</f>
        <v/>
      </c>
      <c r="W63" s="183" t="str">
        <f>IF(AND($R$9=1,Courses!B57&lt;&gt;"",Courses!I57&lt;&gt;"",Courses!J57&lt;&gt;"",Courses!H57&lt;&gt;"",Courses!G57&lt;&gt;"",Courses!F57&lt;&gt;""),IF(OR((Courses!F57+Courses!H57+Courses!J57)&lt;&gt;1),"Row "&amp;Courses!A57&amp;"; ",""),"")</f>
        <v/>
      </c>
      <c r="Y63" s="1592" t="str">
        <f>IF(AND($R$9=1,Courses!E57&lt;&gt;"",U63="",V63="",W63="",SUM(Courses!F57,Courses!H57,Courses!J57)&lt;&gt;1),"Row "&amp;Courses!A57&amp;"; ","")</f>
        <v/>
      </c>
      <c r="Z63" s="17"/>
      <c r="AB63" s="1593" t="str">
        <f>IF(AND($S$9=1,Courses!B57&lt;&gt;"",Courses!E57&lt;&gt;"",Courses!F57&lt;&gt;""),IF((TRUNC(Courses!F57*100)&lt;&gt;Courses!F57*100),"Row "&amp;Courses!A57&amp;", "&amp;Courses!$F$10&amp;"; ",""),"")</f>
        <v/>
      </c>
      <c r="AC63" t="str">
        <f>IF(AND($S$9=1,Courses!B57&lt;&gt;"",Courses!G57&lt;&gt;"",Courses!H57&lt;&gt;""),IF((TRUNC(Courses!H57*100)&lt;&gt;Courses!H57*100),"Row "&amp;Courses!A57&amp;", "&amp;Courses!$H$10&amp;"; ",""),"")</f>
        <v/>
      </c>
      <c r="AD63" s="183" t="str">
        <f>IF(AND($S$9=1,Courses!B57&lt;&gt;"",Courses!I57&lt;&gt;"",Courses!J57&lt;&gt;""),IF((TRUNC(Courses!J57*100)&lt;&gt;Courses!J57*100),"Row "&amp;Courses!A57&amp;", "&amp;Courses!$J$10&amp;"; ",""),"")</f>
        <v/>
      </c>
      <c r="AF63" s="118"/>
      <c r="AG63" s="1592" t="str">
        <f>IF(AND($T$9=1,G63="",Courses!B57&lt;&gt;"",Courses!K57&lt;&gt;$B$9,Courses!K57&lt;&gt;$B$10,Courses!K57&lt;&gt;$B$11,Courses!K57&lt;&gt;$B$12,Courses!K57&lt;&gt;$B$13,Courses!K57&lt;&gt;$B$14),"Row "&amp;Courses!A57&amp;"; ","")</f>
        <v/>
      </c>
      <c r="AH63" s="1592" t="str">
        <f>IF(AND($U$9=1,G63="",Courses!B57&lt;&gt;"",Courses!L57&lt;&gt;"Standard",Courses!L57&lt;&gt;"Long"),"Row "&amp;Courses!A57&amp;"; ","")</f>
        <v/>
      </c>
      <c r="AJ63" s="118"/>
      <c r="AK63" s="3">
        <v>44</v>
      </c>
      <c r="AL63" s="1593" t="str">
        <f>IF(AND($V$9=1,(TRUNC(Courses!M57)&lt;&gt;Courses!M57)), "Row "&amp;Courses!$A57&amp;", "&amp;AL$9&amp;", "&amp;AL$10&amp;", "&amp;AL$11&amp;"; ","")</f>
        <v/>
      </c>
      <c r="AM63" t="str">
        <f>IF(AND($V$9=1,(TRUNC(Courses!N57)&lt;&gt;Courses!N57)), "Row "&amp;Courses!$A57&amp;", "&amp;AM$9&amp;", "&amp;AM$10&amp;", "&amp;AM$11&amp;"; ","")</f>
        <v/>
      </c>
      <c r="AN63" t="str">
        <f>IF(AND($V$9=1,(TRUNC(Courses!O57)&lt;&gt;Courses!O57)), "Row "&amp;Courses!$A57&amp;", "&amp;AN$9&amp;", "&amp;AN$10&amp;", "&amp;AN$11&amp;"; ","")</f>
        <v/>
      </c>
      <c r="AO63" t="str">
        <f>IF(AND($V$9=1,(TRUNC(Courses!P57)&lt;&gt;Courses!P57)), "Row "&amp;Courses!$A57&amp;", "&amp;AO$9&amp;", "&amp;AO$10&amp;", "&amp;AO$11&amp;"; ","")</f>
        <v/>
      </c>
      <c r="AP63" s="2120" t="str">
        <f>IF(AND($V$9=1,(TRUNC(Courses!Q57)&lt;&gt;Courses!Q57)), "Row "&amp;Courses!$A57&amp;", "&amp;AP$9&amp;", "&amp;AP$10&amp;"; ","")</f>
        <v/>
      </c>
      <c r="AQ63" s="1593" t="str">
        <f>IF(AND($V$9=1,(TRUNC(Courses!R57)&lt;&gt;Courses!R57)), "Row "&amp;Courses!$A57&amp;", "&amp;AQ$9&amp;", "&amp;AQ$10&amp;", "&amp;AQ$11&amp;"; ","")</f>
        <v/>
      </c>
      <c r="AR63" t="str">
        <f>IF(AND($V$9=1,(TRUNC(Courses!S57)&lt;&gt;Courses!S57)), "Row "&amp;Courses!$A57&amp;", "&amp;AR$9&amp;", "&amp;AR$10&amp;", "&amp;AR$11&amp;"; ","")</f>
        <v/>
      </c>
      <c r="AS63" t="str">
        <f>IF(AND($V$9=1,(TRUNC(Courses!T57)&lt;&gt;Courses!T57)), "Row "&amp;Courses!$A57&amp;", "&amp;AS$9&amp;", "&amp;AS$10&amp;", "&amp;AS$11&amp;"; ","")</f>
        <v/>
      </c>
      <c r="AT63" t="str">
        <f>IF(AND($V$9=1,(TRUNC(Courses!U57)&lt;&gt;Courses!U57)), "Row "&amp;Courses!$A57&amp;", "&amp;AT$9&amp;", "&amp;AT$10&amp;", "&amp;AT$11&amp;"; ","")</f>
        <v/>
      </c>
      <c r="AU63" s="2120" t="str">
        <f>IF(AND($V$9=1,(TRUNC(Courses!V57)&lt;&gt;Courses!V57)), "Row "&amp;Courses!$A57&amp;", "&amp;AU$9&amp;", "&amp;AU$10&amp;"; ","")</f>
        <v/>
      </c>
      <c r="AV63" s="1593" t="str">
        <f>IF(AND($V$9=1,(TRUNC(Courses!W57)&lt;&gt;Courses!W57)), "Row "&amp;Courses!$A57&amp;", "&amp;AV$9&amp;", "&amp;AV$10&amp;", "&amp;AV$11&amp;"; ","")</f>
        <v/>
      </c>
      <c r="AW63" t="str">
        <f>IF(AND($V$9=1,(TRUNC(Courses!X57)&lt;&gt;Courses!X57)), "Row "&amp;Courses!$A57&amp;", "&amp;AW$9&amp;", "&amp;AW$10&amp;", "&amp;AW$11&amp;"; ","")</f>
        <v/>
      </c>
      <c r="AX63" t="str">
        <f>IF(AND($V$9=1,(TRUNC(Courses!Y57)&lt;&gt;Courses!Y57)), "Row "&amp;Courses!$A57&amp;", "&amp;AX$9&amp;", "&amp;AX$10&amp;", "&amp;AX$11&amp;"; ","")</f>
        <v/>
      </c>
      <c r="AY63" t="str">
        <f>IF(AND($V$9=1,(TRUNC(Courses!Z57)&lt;&gt;Courses!Z57)), "Row "&amp;Courses!$A57&amp;", "&amp;AY$9&amp;", "&amp;AY$10&amp;", "&amp;AY$11&amp;"; ","")</f>
        <v/>
      </c>
      <c r="AZ63" s="2120" t="str">
        <f>IF(AND($V$9=1,(TRUNC(Courses!AA57)&lt;&gt;Courses!AA57)), "Row "&amp;Courses!$A57&amp;", "&amp;AZ$9&amp;", "&amp;AZ$10&amp;"; ","")</f>
        <v/>
      </c>
      <c r="BA63" s="17"/>
      <c r="BB63" s="118"/>
      <c r="BC63" s="3">
        <v>44</v>
      </c>
      <c r="BD63" s="1593" t="str">
        <f>IF(AND($W$9=1,Courses!M57&lt;0), "Row "&amp;Courses!$A57&amp;", "&amp;BD$9&amp;", "&amp;BD$10&amp;", "&amp;BD$11&amp;"; ","")</f>
        <v/>
      </c>
      <c r="BE63" t="str">
        <f>IF(AND($W$9=1,Courses!N57&lt;0), "Row "&amp;Courses!$A57&amp;", "&amp;BE$9&amp;", "&amp;BE$10&amp;", "&amp;BE$11&amp;"; ","")</f>
        <v/>
      </c>
      <c r="BF63" t="str">
        <f>IF(AND($W$9=1,Courses!O57&lt;0), "Row "&amp;Courses!$A57&amp;", "&amp;BF$9&amp;", "&amp;BF$10&amp;", "&amp;BF$11&amp;"; ","")</f>
        <v/>
      </c>
      <c r="BG63" t="str">
        <f>IF(AND($W$9=1,Courses!P57&lt;0), "Row "&amp;Courses!$A57&amp;", "&amp;BG$9&amp;", "&amp;BG$10&amp;", "&amp;BG$11&amp;"; ","")</f>
        <v/>
      </c>
      <c r="BH63" s="2120" t="str">
        <f>IF(AND($W$9=1,Courses!Q57&lt;0), "Row "&amp;Courses!$A57&amp;", "&amp;BH$9&amp;", "&amp;BH$10&amp;"; ","")</f>
        <v/>
      </c>
      <c r="BI63" s="1593" t="str">
        <f>IF(AND($W$9=1,Courses!R57&lt;0), "Row "&amp;Courses!$A57&amp;", "&amp;BI$9&amp;", "&amp;BI$10&amp;", "&amp;BI$11&amp;"; ","")</f>
        <v/>
      </c>
      <c r="BJ63" t="str">
        <f>IF(AND($W$9=1,Courses!S57&lt;0), "Row "&amp;Courses!$A57&amp;", "&amp;BJ$9&amp;", "&amp;BJ$10&amp;", "&amp;BJ$11&amp;"; ","")</f>
        <v/>
      </c>
      <c r="BK63" t="str">
        <f>IF(AND($W$9=1,Courses!T57&lt;0), "Row "&amp;Courses!$A57&amp;", "&amp;BK$9&amp;", "&amp;BK$10&amp;", "&amp;BK$11&amp;"; ","")</f>
        <v/>
      </c>
      <c r="BL63" t="str">
        <f>IF(AND($W$9=1,Courses!U57&lt;0), "Row "&amp;Courses!$A57&amp;", "&amp;BL$9&amp;", "&amp;BL$10&amp;", "&amp;BL$11&amp;"; ","")</f>
        <v/>
      </c>
      <c r="BM63" s="2120" t="str">
        <f>IF(AND($W$9=1,Courses!V57&lt;0), "Row "&amp;Courses!$A57&amp;", "&amp;BM$9&amp;", "&amp;BM$10&amp;"; ","")</f>
        <v/>
      </c>
      <c r="BN63" s="1593" t="str">
        <f>IF(AND($W$9=1,Courses!W57&lt;0), "Row "&amp;Courses!$A57&amp;", "&amp;BN$9&amp;", "&amp;BN$10&amp;", "&amp;BN$11&amp;"; ","")</f>
        <v/>
      </c>
      <c r="BO63" t="str">
        <f>IF(AND($W$9=1,Courses!X57&lt;0), "Row "&amp;Courses!$A57&amp;", "&amp;BO$9&amp;", "&amp;BO$10&amp;", "&amp;BO$11&amp;"; ","")</f>
        <v/>
      </c>
      <c r="BP63" t="str">
        <f>IF(AND($W$9=1,Courses!Y57&lt;0), "Row "&amp;Courses!$A57&amp;", "&amp;BP$9&amp;", "&amp;BP$10&amp;", "&amp;BP$11&amp;"; ","")</f>
        <v/>
      </c>
      <c r="BQ63" t="str">
        <f>IF(AND($W$9=1,Courses!Z57&lt;0), "Row "&amp;Courses!$A57&amp;", "&amp;BQ$9&amp;", "&amp;BQ$10&amp;", "&amp;BQ$11&amp;"; ","")</f>
        <v/>
      </c>
      <c r="BR63" s="2120" t="str">
        <f>IF(AND($W$9=1,Courses!AA57&lt;0), "Row "&amp;Courses!$A57&amp;", "&amp;BR$9&amp;", "&amp;BR$10&amp;"; ","")</f>
        <v/>
      </c>
      <c r="BT63" s="186">
        <v>44</v>
      </c>
      <c r="BU63" s="40">
        <f>IF(AND($X$9=1,Courses!B57="",Courses!F57="",Courses!H57="",Courses!J57="",Courses!K57="",Courses!L57="",Courses!M57=0,Courses!N57=0,Courses!O57=0,Courses!P57=0,Courses!Q57=0,Courses!R57=0,Courses!S57=0,Courses!T57=0,Courses!U57=0,Courses!V57=0,Courses!W57=0,Courses!X57=0,Courses!Y57=0,Courses!Z57=0,Courses!AA57=0),0,1)</f>
        <v>0</v>
      </c>
      <c r="BV63" s="40">
        <f>IF(AND(BU63=0,SUM(BU64:$BU$219)&gt;0),1,0)</f>
        <v>0</v>
      </c>
      <c r="BW63" s="1595" t="str">
        <f>IF(BV63=1,"Row "&amp;Courses!A57&amp;"; ","")</f>
        <v/>
      </c>
      <c r="BX63" s="17"/>
      <c r="BZ63" s="1592" t="str">
        <f>IF(AND($Y$9=1,Courses!B57&lt;&gt;"",SUM(Courses!M57:AA57)=0),"Row "&amp;Courses!A57&amp;"; ","")</f>
        <v/>
      </c>
      <c r="CA63" s="17"/>
      <c r="CC63" s="1592" t="str">
        <f>IF(AND($Z$9=1,Courses!AD57=1,(LEN(Courses!AB57)&gt;200)),"Row "&amp;Courses!A57&amp;"; ","")</f>
        <v/>
      </c>
      <c r="CE63" s="131"/>
      <c r="CG63" s="1593" t="str">
        <f>IF(AND($AD$9=1,Courses!E57&lt;&gt;"",Courses!F57&lt;&gt;"",Courses!F57=0,SUM(Courses!H57,Courses!J57)=1),"Row "&amp;Courses!A57&amp;", "&amp;Courses!$F$10&amp;"; ","")</f>
        <v/>
      </c>
      <c r="CH63" t="str">
        <f>IF(AND($AD$9=1,Courses!G57&lt;&gt;"",Courses!H57&lt;&gt;"",Courses!H57=0,SUM(Courses!J57,Courses!F57)=1),"Row "&amp;Courses!A57&amp;", "&amp;Courses!$H$10&amp;"; ","")</f>
        <v/>
      </c>
      <c r="CI63" s="183" t="str">
        <f>IF(AND($AD$9=1,Courses!I57&lt;&gt;"",Courses!J57&lt;&gt;"",Courses!J57=0, SUM(Courses!H57,Courses!F57)=1),"Row "&amp;Courses!A57&amp;", "&amp;Courses!$J$10&amp;"; ","")</f>
        <v/>
      </c>
      <c r="CJ63" s="180"/>
      <c r="CK63" s="181"/>
      <c r="CL63" s="1592" t="str">
        <f>IF(AND(Courses!B57&lt;&gt;"",ISNA(VLOOKUP(Courses!C57,CourseInfo,2,FALSE))=FALSE,COUNTIF(Dummy,Courses!C57)&lt;&gt;1),VLOOKUP(Courses!C57,CourseInfo,6,FALSE),"")</f>
        <v/>
      </c>
      <c r="CM63" s="1592" t="str">
        <f>IF(AND($AE$9=1,Courses!B57&lt;&gt;"",'Courses Valid'!AG63="",COUNTIF(Dummy,Courses!C57)&lt;&gt;1),IF(Courses!K57&lt;&gt;'Courses Valid'!CL63,"Row "&amp;Courses!A57&amp;", Level on LARS is "&amp;'Courses Valid'!CL63&amp;"; ",""),"")</f>
        <v/>
      </c>
      <c r="CN63" s="131"/>
    </row>
    <row r="64" spans="3:92" x14ac:dyDescent="0.35">
      <c r="C64" s="1591">
        <f t="shared" si="2"/>
        <v>0</v>
      </c>
      <c r="D64" s="41"/>
      <c r="E64" s="41"/>
      <c r="F64" s="118"/>
      <c r="G64" s="1591" t="str">
        <f>IF(SUMPRODUCT(--(CourseAims=Courses!$C58))=1,"",IF(AND($N$9=1,Courses!$C58&lt;&gt;""),"Row "&amp;Courses!A58&amp;" (invalid); ",""))</f>
        <v/>
      </c>
      <c r="H64" s="1592" t="str">
        <f>IF(AND($O$9=1,Courses!B58="",OR(Courses!F58&lt;&gt;"",Courses!H58&lt;&gt;"",Courses!J58&lt;&gt;"",Courses!K58&lt;&gt;"",Courses!L58&lt;&gt;"",Courses!M58&lt;&gt;0,Courses!N58&lt;&gt;0,Courses!O58&lt;&gt;0,Courses!P58&lt;&gt;0,Courses!Q58&lt;&gt;0,Courses!R58&lt;&gt;0,Courses!S58&lt;&gt;0,Courses!T58&lt;&gt;0,Courses!U58&lt;&gt;0,Courses!V58&lt;&gt;0,Courses!W58&lt;&gt;0,Courses!X58&lt;&gt;0,Courses!Y58&lt;&gt;0,Courses!Z58&lt;&gt;0,Courses!AA58&lt;&gt;0)),"Row "&amp;Courses!A58&amp;" (none); ","")</f>
        <v/>
      </c>
      <c r="I64" s="17"/>
      <c r="K64" s="1592" t="str">
        <f>Courses!B58&amp;Courses!K58&amp;Courses!L58</f>
        <v/>
      </c>
      <c r="L64" s="1592" t="str">
        <f>IF(AND($P$9=1,Courses!$B58&lt;&gt;"",COUNTIF(Dummy,Courses!$C58)&lt;&gt;1),IF(SUMPRODUCT(--($K$20:$K$219=$K64))&gt;1,"Row "&amp;Courses!$A58&amp;"; ",""),"")</f>
        <v/>
      </c>
      <c r="N64" s="118"/>
      <c r="O64" s="1593" t="str">
        <f>IF(AND($Q$9=1,Courses!E58&lt;&gt;"",Courses!F58=""),"Row "&amp;Courses!A58&amp;", "&amp;Courses!$E$10&amp;"; ","")</f>
        <v/>
      </c>
      <c r="P64" t="str">
        <f>IF(AND($Q$9=1,Courses!G58&lt;&gt;"",Courses!H58=""),"Row "&amp;Courses!A58&amp;", "&amp;Courses!$G$10&amp;"; ","")</f>
        <v/>
      </c>
      <c r="Q64" s="183" t="str">
        <f>IF(AND($Q$9=1,Courses!I58&lt;&gt;"",Courses!J58=""),"Row "&amp;Courses!A58&amp;", "&amp;Courses!$I$10&amp;"; ","")</f>
        <v/>
      </c>
      <c r="S64" s="17"/>
      <c r="T64" s="118"/>
      <c r="U64" s="1594" t="str">
        <f>IF(AND($R$9=1,Courses!B58&lt;&gt;"",Courses!E58&lt;&gt;"",Courses!G58="",Courses!I58="",Courses!F58&lt;&gt;1),"Row "&amp;Courses!A58&amp;"; ","")</f>
        <v/>
      </c>
      <c r="V64" t="str">
        <f>IF(AND($R$9=1,Courses!B58&lt;&gt;"",Courses!I58="",Courses!F58&lt;&gt;"",Courses!G58&lt;&gt;"",Courses!H58&lt;&gt;""),IF(OR((Courses!F58+Courses!H58)&lt;&gt;1),"Row "&amp;Courses!A58&amp;"; ",""),"")</f>
        <v/>
      </c>
      <c r="W64" s="183" t="str">
        <f>IF(AND($R$9=1,Courses!B58&lt;&gt;"",Courses!I58&lt;&gt;"",Courses!J58&lt;&gt;"",Courses!H58&lt;&gt;"",Courses!G58&lt;&gt;"",Courses!F58&lt;&gt;""),IF(OR((Courses!F58+Courses!H58+Courses!J58)&lt;&gt;1),"Row "&amp;Courses!A58&amp;"; ",""),"")</f>
        <v/>
      </c>
      <c r="Y64" s="1592" t="str">
        <f>IF(AND($R$9=1,Courses!E58&lt;&gt;"",U64="",V64="",W64="",SUM(Courses!F58,Courses!H58,Courses!J58)&lt;&gt;1),"Row "&amp;Courses!A58&amp;"; ","")</f>
        <v/>
      </c>
      <c r="Z64" s="17"/>
      <c r="AB64" s="1593" t="str">
        <f>IF(AND($S$9=1,Courses!B58&lt;&gt;"",Courses!E58&lt;&gt;"",Courses!F58&lt;&gt;""),IF((TRUNC(Courses!F58*100)&lt;&gt;Courses!F58*100),"Row "&amp;Courses!A58&amp;", "&amp;Courses!$F$10&amp;"; ",""),"")</f>
        <v/>
      </c>
      <c r="AC64" t="str">
        <f>IF(AND($S$9=1,Courses!B58&lt;&gt;"",Courses!G58&lt;&gt;"",Courses!H58&lt;&gt;""),IF((TRUNC(Courses!H58*100)&lt;&gt;Courses!H58*100),"Row "&amp;Courses!A58&amp;", "&amp;Courses!$H$10&amp;"; ",""),"")</f>
        <v/>
      </c>
      <c r="AD64" s="183" t="str">
        <f>IF(AND($S$9=1,Courses!B58&lt;&gt;"",Courses!I58&lt;&gt;"",Courses!J58&lt;&gt;""),IF((TRUNC(Courses!J58*100)&lt;&gt;Courses!J58*100),"Row "&amp;Courses!A58&amp;", "&amp;Courses!$J$10&amp;"; ",""),"")</f>
        <v/>
      </c>
      <c r="AF64" s="118"/>
      <c r="AG64" s="1592" t="str">
        <f>IF(AND($T$9=1,G64="",Courses!B58&lt;&gt;"",Courses!K58&lt;&gt;$B$9,Courses!K58&lt;&gt;$B$10,Courses!K58&lt;&gt;$B$11,Courses!K58&lt;&gt;$B$12,Courses!K58&lt;&gt;$B$13,Courses!K58&lt;&gt;$B$14),"Row "&amp;Courses!A58&amp;"; ","")</f>
        <v/>
      </c>
      <c r="AH64" s="1592" t="str">
        <f>IF(AND($U$9=1,G64="",Courses!B58&lt;&gt;"",Courses!L58&lt;&gt;"Standard",Courses!L58&lt;&gt;"Long"),"Row "&amp;Courses!A58&amp;"; ","")</f>
        <v/>
      </c>
      <c r="AJ64" s="118"/>
      <c r="AK64" s="3">
        <v>45</v>
      </c>
      <c r="AL64" s="1593" t="str">
        <f>IF(AND($V$9=1,(TRUNC(Courses!M58)&lt;&gt;Courses!M58)), "Row "&amp;Courses!$A58&amp;", "&amp;AL$9&amp;", "&amp;AL$10&amp;", "&amp;AL$11&amp;"; ","")</f>
        <v/>
      </c>
      <c r="AM64" t="str">
        <f>IF(AND($V$9=1,(TRUNC(Courses!N58)&lt;&gt;Courses!N58)), "Row "&amp;Courses!$A58&amp;", "&amp;AM$9&amp;", "&amp;AM$10&amp;", "&amp;AM$11&amp;"; ","")</f>
        <v/>
      </c>
      <c r="AN64" t="str">
        <f>IF(AND($V$9=1,(TRUNC(Courses!O58)&lt;&gt;Courses!O58)), "Row "&amp;Courses!$A58&amp;", "&amp;AN$9&amp;", "&amp;AN$10&amp;", "&amp;AN$11&amp;"; ","")</f>
        <v/>
      </c>
      <c r="AO64" t="str">
        <f>IF(AND($V$9=1,(TRUNC(Courses!P58)&lt;&gt;Courses!P58)), "Row "&amp;Courses!$A58&amp;", "&amp;AO$9&amp;", "&amp;AO$10&amp;", "&amp;AO$11&amp;"; ","")</f>
        <v/>
      </c>
      <c r="AP64" s="2120" t="str">
        <f>IF(AND($V$9=1,(TRUNC(Courses!Q58)&lt;&gt;Courses!Q58)), "Row "&amp;Courses!$A58&amp;", "&amp;AP$9&amp;", "&amp;AP$10&amp;"; ","")</f>
        <v/>
      </c>
      <c r="AQ64" s="1593" t="str">
        <f>IF(AND($V$9=1,(TRUNC(Courses!R58)&lt;&gt;Courses!R58)), "Row "&amp;Courses!$A58&amp;", "&amp;AQ$9&amp;", "&amp;AQ$10&amp;", "&amp;AQ$11&amp;"; ","")</f>
        <v/>
      </c>
      <c r="AR64" t="str">
        <f>IF(AND($V$9=1,(TRUNC(Courses!S58)&lt;&gt;Courses!S58)), "Row "&amp;Courses!$A58&amp;", "&amp;AR$9&amp;", "&amp;AR$10&amp;", "&amp;AR$11&amp;"; ","")</f>
        <v/>
      </c>
      <c r="AS64" t="str">
        <f>IF(AND($V$9=1,(TRUNC(Courses!T58)&lt;&gt;Courses!T58)), "Row "&amp;Courses!$A58&amp;", "&amp;AS$9&amp;", "&amp;AS$10&amp;", "&amp;AS$11&amp;"; ","")</f>
        <v/>
      </c>
      <c r="AT64" t="str">
        <f>IF(AND($V$9=1,(TRUNC(Courses!U58)&lt;&gt;Courses!U58)), "Row "&amp;Courses!$A58&amp;", "&amp;AT$9&amp;", "&amp;AT$10&amp;", "&amp;AT$11&amp;"; ","")</f>
        <v/>
      </c>
      <c r="AU64" s="2120" t="str">
        <f>IF(AND($V$9=1,(TRUNC(Courses!V58)&lt;&gt;Courses!V58)), "Row "&amp;Courses!$A58&amp;", "&amp;AU$9&amp;", "&amp;AU$10&amp;"; ","")</f>
        <v/>
      </c>
      <c r="AV64" s="1593" t="str">
        <f>IF(AND($V$9=1,(TRUNC(Courses!W58)&lt;&gt;Courses!W58)), "Row "&amp;Courses!$A58&amp;", "&amp;AV$9&amp;", "&amp;AV$10&amp;", "&amp;AV$11&amp;"; ","")</f>
        <v/>
      </c>
      <c r="AW64" t="str">
        <f>IF(AND($V$9=1,(TRUNC(Courses!X58)&lt;&gt;Courses!X58)), "Row "&amp;Courses!$A58&amp;", "&amp;AW$9&amp;", "&amp;AW$10&amp;", "&amp;AW$11&amp;"; ","")</f>
        <v/>
      </c>
      <c r="AX64" t="str">
        <f>IF(AND($V$9=1,(TRUNC(Courses!Y58)&lt;&gt;Courses!Y58)), "Row "&amp;Courses!$A58&amp;", "&amp;AX$9&amp;", "&amp;AX$10&amp;", "&amp;AX$11&amp;"; ","")</f>
        <v/>
      </c>
      <c r="AY64" t="str">
        <f>IF(AND($V$9=1,(TRUNC(Courses!Z58)&lt;&gt;Courses!Z58)), "Row "&amp;Courses!$A58&amp;", "&amp;AY$9&amp;", "&amp;AY$10&amp;", "&amp;AY$11&amp;"; ","")</f>
        <v/>
      </c>
      <c r="AZ64" s="2120" t="str">
        <f>IF(AND($V$9=1,(TRUNC(Courses!AA58)&lt;&gt;Courses!AA58)), "Row "&amp;Courses!$A58&amp;", "&amp;AZ$9&amp;", "&amp;AZ$10&amp;"; ","")</f>
        <v/>
      </c>
      <c r="BA64" s="17"/>
      <c r="BB64" s="118"/>
      <c r="BC64" s="3">
        <v>45</v>
      </c>
      <c r="BD64" s="1593" t="str">
        <f>IF(AND($W$9=1,Courses!M58&lt;0), "Row "&amp;Courses!$A58&amp;", "&amp;BD$9&amp;", "&amp;BD$10&amp;", "&amp;BD$11&amp;"; ","")</f>
        <v/>
      </c>
      <c r="BE64" t="str">
        <f>IF(AND($W$9=1,Courses!N58&lt;0), "Row "&amp;Courses!$A58&amp;", "&amp;BE$9&amp;", "&amp;BE$10&amp;", "&amp;BE$11&amp;"; ","")</f>
        <v/>
      </c>
      <c r="BF64" t="str">
        <f>IF(AND($W$9=1,Courses!O58&lt;0), "Row "&amp;Courses!$A58&amp;", "&amp;BF$9&amp;", "&amp;BF$10&amp;", "&amp;BF$11&amp;"; ","")</f>
        <v/>
      </c>
      <c r="BG64" t="str">
        <f>IF(AND($W$9=1,Courses!P58&lt;0), "Row "&amp;Courses!$A58&amp;", "&amp;BG$9&amp;", "&amp;BG$10&amp;", "&amp;BG$11&amp;"; ","")</f>
        <v/>
      </c>
      <c r="BH64" s="2120" t="str">
        <f>IF(AND($W$9=1,Courses!Q58&lt;0), "Row "&amp;Courses!$A58&amp;", "&amp;BH$9&amp;", "&amp;BH$10&amp;"; ","")</f>
        <v/>
      </c>
      <c r="BI64" s="1593" t="str">
        <f>IF(AND($W$9=1,Courses!R58&lt;0), "Row "&amp;Courses!$A58&amp;", "&amp;BI$9&amp;", "&amp;BI$10&amp;", "&amp;BI$11&amp;"; ","")</f>
        <v/>
      </c>
      <c r="BJ64" t="str">
        <f>IF(AND($W$9=1,Courses!S58&lt;0), "Row "&amp;Courses!$A58&amp;", "&amp;BJ$9&amp;", "&amp;BJ$10&amp;", "&amp;BJ$11&amp;"; ","")</f>
        <v/>
      </c>
      <c r="BK64" t="str">
        <f>IF(AND($W$9=1,Courses!T58&lt;0), "Row "&amp;Courses!$A58&amp;", "&amp;BK$9&amp;", "&amp;BK$10&amp;", "&amp;BK$11&amp;"; ","")</f>
        <v/>
      </c>
      <c r="BL64" t="str">
        <f>IF(AND($W$9=1,Courses!U58&lt;0), "Row "&amp;Courses!$A58&amp;", "&amp;BL$9&amp;", "&amp;BL$10&amp;", "&amp;BL$11&amp;"; ","")</f>
        <v/>
      </c>
      <c r="BM64" s="2120" t="str">
        <f>IF(AND($W$9=1,Courses!V58&lt;0), "Row "&amp;Courses!$A58&amp;", "&amp;BM$9&amp;", "&amp;BM$10&amp;"; ","")</f>
        <v/>
      </c>
      <c r="BN64" s="1593" t="str">
        <f>IF(AND($W$9=1,Courses!W58&lt;0), "Row "&amp;Courses!$A58&amp;", "&amp;BN$9&amp;", "&amp;BN$10&amp;", "&amp;BN$11&amp;"; ","")</f>
        <v/>
      </c>
      <c r="BO64" t="str">
        <f>IF(AND($W$9=1,Courses!X58&lt;0), "Row "&amp;Courses!$A58&amp;", "&amp;BO$9&amp;", "&amp;BO$10&amp;", "&amp;BO$11&amp;"; ","")</f>
        <v/>
      </c>
      <c r="BP64" t="str">
        <f>IF(AND($W$9=1,Courses!Y58&lt;0), "Row "&amp;Courses!$A58&amp;", "&amp;BP$9&amp;", "&amp;BP$10&amp;", "&amp;BP$11&amp;"; ","")</f>
        <v/>
      </c>
      <c r="BQ64" t="str">
        <f>IF(AND($W$9=1,Courses!Z58&lt;0), "Row "&amp;Courses!$A58&amp;", "&amp;BQ$9&amp;", "&amp;BQ$10&amp;", "&amp;BQ$11&amp;"; ","")</f>
        <v/>
      </c>
      <c r="BR64" s="2120" t="str">
        <f>IF(AND($W$9=1,Courses!AA58&lt;0), "Row "&amp;Courses!$A58&amp;", "&amp;BR$9&amp;", "&amp;BR$10&amp;"; ","")</f>
        <v/>
      </c>
      <c r="BT64" s="186">
        <v>45</v>
      </c>
      <c r="BU64" s="40">
        <f>IF(AND($X$9=1,Courses!B58="",Courses!F58="",Courses!H58="",Courses!J58="",Courses!K58="",Courses!L58="",Courses!M58=0,Courses!N58=0,Courses!O58=0,Courses!P58=0,Courses!Q58=0,Courses!R58=0,Courses!S58=0,Courses!T58=0,Courses!U58=0,Courses!V58=0,Courses!W58=0,Courses!X58=0,Courses!Y58=0,Courses!Z58=0,Courses!AA58=0),0,1)</f>
        <v>0</v>
      </c>
      <c r="BV64" s="40">
        <f>IF(AND(BU64=0,SUM(BU65:$BU$219)&gt;0),1,0)</f>
        <v>0</v>
      </c>
      <c r="BW64" s="1595" t="str">
        <f>IF(BV64=1,"Row "&amp;Courses!A58&amp;"; ","")</f>
        <v/>
      </c>
      <c r="BX64" s="17"/>
      <c r="BZ64" s="1592" t="str">
        <f>IF(AND($Y$9=1,Courses!B58&lt;&gt;"",SUM(Courses!M58:AA58)=0),"Row "&amp;Courses!A58&amp;"; ","")</f>
        <v/>
      </c>
      <c r="CA64" s="17"/>
      <c r="CC64" s="1592" t="str">
        <f>IF(AND($Z$9=1,Courses!AD58=1,(LEN(Courses!AB58)&gt;200)),"Row "&amp;Courses!A58&amp;"; ","")</f>
        <v/>
      </c>
      <c r="CE64" s="131"/>
      <c r="CG64" s="1593" t="str">
        <f>IF(AND($AD$9=1,Courses!E58&lt;&gt;"",Courses!F58&lt;&gt;"",Courses!F58=0,SUM(Courses!H58,Courses!J58)=1),"Row "&amp;Courses!A58&amp;", "&amp;Courses!$F$10&amp;"; ","")</f>
        <v/>
      </c>
      <c r="CH64" t="str">
        <f>IF(AND($AD$9=1,Courses!G58&lt;&gt;"",Courses!H58&lt;&gt;"",Courses!H58=0,SUM(Courses!J58,Courses!F58)=1),"Row "&amp;Courses!A58&amp;", "&amp;Courses!$H$10&amp;"; ","")</f>
        <v/>
      </c>
      <c r="CI64" s="183" t="str">
        <f>IF(AND($AD$9=1,Courses!I58&lt;&gt;"",Courses!J58&lt;&gt;"",Courses!J58=0, SUM(Courses!H58,Courses!F58)=1),"Row "&amp;Courses!A58&amp;", "&amp;Courses!$J$10&amp;"; ","")</f>
        <v/>
      </c>
      <c r="CJ64" s="180"/>
      <c r="CK64" s="181"/>
      <c r="CL64" s="1592" t="str">
        <f>IF(AND(Courses!B58&lt;&gt;"",ISNA(VLOOKUP(Courses!C58,CourseInfo,2,FALSE))=FALSE,COUNTIF(Dummy,Courses!C58)&lt;&gt;1),VLOOKUP(Courses!C58,CourseInfo,6,FALSE),"")</f>
        <v/>
      </c>
      <c r="CM64" s="1592" t="str">
        <f>IF(AND($AE$9=1,Courses!B58&lt;&gt;"",'Courses Valid'!AG64="",COUNTIF(Dummy,Courses!C58)&lt;&gt;1),IF(Courses!K58&lt;&gt;'Courses Valid'!CL64,"Row "&amp;Courses!A58&amp;", Level on LARS is "&amp;'Courses Valid'!CL64&amp;"; ",""),"")</f>
        <v/>
      </c>
      <c r="CN64" s="131"/>
    </row>
    <row r="65" spans="3:92" x14ac:dyDescent="0.35">
      <c r="C65" s="1591">
        <f t="shared" si="2"/>
        <v>0</v>
      </c>
      <c r="D65" s="41"/>
      <c r="E65" s="41"/>
      <c r="F65" s="118"/>
      <c r="G65" s="1591" t="str">
        <f>IF(SUMPRODUCT(--(CourseAims=Courses!$C59))=1,"",IF(AND($N$9=1,Courses!$C59&lt;&gt;""),"Row "&amp;Courses!A59&amp;" (invalid); ",""))</f>
        <v/>
      </c>
      <c r="H65" s="1592" t="str">
        <f>IF(AND($O$9=1,Courses!B59="",OR(Courses!F59&lt;&gt;"",Courses!H59&lt;&gt;"",Courses!J59&lt;&gt;"",Courses!K59&lt;&gt;"",Courses!L59&lt;&gt;"",Courses!M59&lt;&gt;0,Courses!N59&lt;&gt;0,Courses!O59&lt;&gt;0,Courses!P59&lt;&gt;0,Courses!Q59&lt;&gt;0,Courses!R59&lt;&gt;0,Courses!S59&lt;&gt;0,Courses!T59&lt;&gt;0,Courses!U59&lt;&gt;0,Courses!V59&lt;&gt;0,Courses!W59&lt;&gt;0,Courses!X59&lt;&gt;0,Courses!Y59&lt;&gt;0,Courses!Z59&lt;&gt;0,Courses!AA59&lt;&gt;0)),"Row "&amp;Courses!A59&amp;" (none); ","")</f>
        <v/>
      </c>
      <c r="I65" s="17"/>
      <c r="K65" s="1592" t="str">
        <f>Courses!B59&amp;Courses!K59&amp;Courses!L59</f>
        <v/>
      </c>
      <c r="L65" s="1592" t="str">
        <f>IF(AND($P$9=1,Courses!$B59&lt;&gt;"",COUNTIF(Dummy,Courses!$C59)&lt;&gt;1),IF(SUMPRODUCT(--($K$20:$K$219=$K65))&gt;1,"Row "&amp;Courses!$A59&amp;"; ",""),"")</f>
        <v/>
      </c>
      <c r="N65" s="118"/>
      <c r="O65" s="1593" t="str">
        <f>IF(AND($Q$9=1,Courses!E59&lt;&gt;"",Courses!F59=""),"Row "&amp;Courses!A59&amp;", "&amp;Courses!$E$10&amp;"; ","")</f>
        <v/>
      </c>
      <c r="P65" t="str">
        <f>IF(AND($Q$9=1,Courses!G59&lt;&gt;"",Courses!H59=""),"Row "&amp;Courses!A59&amp;", "&amp;Courses!$G$10&amp;"; ","")</f>
        <v/>
      </c>
      <c r="Q65" s="183" t="str">
        <f>IF(AND($Q$9=1,Courses!I59&lt;&gt;"",Courses!J59=""),"Row "&amp;Courses!A59&amp;", "&amp;Courses!$I$10&amp;"; ","")</f>
        <v/>
      </c>
      <c r="S65" s="17"/>
      <c r="T65" s="118"/>
      <c r="U65" s="1594" t="str">
        <f>IF(AND($R$9=1,Courses!B59&lt;&gt;"",Courses!E59&lt;&gt;"",Courses!G59="",Courses!I59="",Courses!F59&lt;&gt;1),"Row "&amp;Courses!A59&amp;"; ","")</f>
        <v/>
      </c>
      <c r="V65" t="str">
        <f>IF(AND($R$9=1,Courses!B59&lt;&gt;"",Courses!I59="",Courses!F59&lt;&gt;"",Courses!G59&lt;&gt;"",Courses!H59&lt;&gt;""),IF(OR((Courses!F59+Courses!H59)&lt;&gt;1),"Row "&amp;Courses!A59&amp;"; ",""),"")</f>
        <v/>
      </c>
      <c r="W65" s="183" t="str">
        <f>IF(AND($R$9=1,Courses!B59&lt;&gt;"",Courses!I59&lt;&gt;"",Courses!J59&lt;&gt;"",Courses!H59&lt;&gt;"",Courses!G59&lt;&gt;"",Courses!F59&lt;&gt;""),IF(OR((Courses!F59+Courses!H59+Courses!J59)&lt;&gt;1),"Row "&amp;Courses!A59&amp;"; ",""),"")</f>
        <v/>
      </c>
      <c r="Y65" s="1592" t="str">
        <f>IF(AND($R$9=1,Courses!E59&lt;&gt;"",U65="",V65="",W65="",SUM(Courses!F59,Courses!H59,Courses!J59)&lt;&gt;1),"Row "&amp;Courses!A59&amp;"; ","")</f>
        <v/>
      </c>
      <c r="Z65" s="17"/>
      <c r="AB65" s="1593" t="str">
        <f>IF(AND($S$9=1,Courses!B59&lt;&gt;"",Courses!E59&lt;&gt;"",Courses!F59&lt;&gt;""),IF((TRUNC(Courses!F59*100)&lt;&gt;Courses!F59*100),"Row "&amp;Courses!A59&amp;", "&amp;Courses!$F$10&amp;"; ",""),"")</f>
        <v/>
      </c>
      <c r="AC65" t="str">
        <f>IF(AND($S$9=1,Courses!B59&lt;&gt;"",Courses!G59&lt;&gt;"",Courses!H59&lt;&gt;""),IF((TRUNC(Courses!H59*100)&lt;&gt;Courses!H59*100),"Row "&amp;Courses!A59&amp;", "&amp;Courses!$H$10&amp;"; ",""),"")</f>
        <v/>
      </c>
      <c r="AD65" s="183" t="str">
        <f>IF(AND($S$9=1,Courses!B59&lt;&gt;"",Courses!I59&lt;&gt;"",Courses!J59&lt;&gt;""),IF((TRUNC(Courses!J59*100)&lt;&gt;Courses!J59*100),"Row "&amp;Courses!A59&amp;", "&amp;Courses!$J$10&amp;"; ",""),"")</f>
        <v/>
      </c>
      <c r="AF65" s="118"/>
      <c r="AG65" s="1592" t="str">
        <f>IF(AND($T$9=1,G65="",Courses!B59&lt;&gt;"",Courses!K59&lt;&gt;$B$9,Courses!K59&lt;&gt;$B$10,Courses!K59&lt;&gt;$B$11,Courses!K59&lt;&gt;$B$12,Courses!K59&lt;&gt;$B$13,Courses!K59&lt;&gt;$B$14),"Row "&amp;Courses!A59&amp;"; ","")</f>
        <v/>
      </c>
      <c r="AH65" s="1592" t="str">
        <f>IF(AND($U$9=1,G65="",Courses!B59&lt;&gt;"",Courses!L59&lt;&gt;"Standard",Courses!L59&lt;&gt;"Long"),"Row "&amp;Courses!A59&amp;"; ","")</f>
        <v/>
      </c>
      <c r="AJ65" s="118"/>
      <c r="AK65" s="3">
        <v>46</v>
      </c>
      <c r="AL65" s="1593" t="str">
        <f>IF(AND($V$9=1,(TRUNC(Courses!M59)&lt;&gt;Courses!M59)), "Row "&amp;Courses!$A59&amp;", "&amp;AL$9&amp;", "&amp;AL$10&amp;", "&amp;AL$11&amp;"; ","")</f>
        <v/>
      </c>
      <c r="AM65" t="str">
        <f>IF(AND($V$9=1,(TRUNC(Courses!N59)&lt;&gt;Courses!N59)), "Row "&amp;Courses!$A59&amp;", "&amp;AM$9&amp;", "&amp;AM$10&amp;", "&amp;AM$11&amp;"; ","")</f>
        <v/>
      </c>
      <c r="AN65" t="str">
        <f>IF(AND($V$9=1,(TRUNC(Courses!O59)&lt;&gt;Courses!O59)), "Row "&amp;Courses!$A59&amp;", "&amp;AN$9&amp;", "&amp;AN$10&amp;", "&amp;AN$11&amp;"; ","")</f>
        <v/>
      </c>
      <c r="AO65" t="str">
        <f>IF(AND($V$9=1,(TRUNC(Courses!P59)&lt;&gt;Courses!P59)), "Row "&amp;Courses!$A59&amp;", "&amp;AO$9&amp;", "&amp;AO$10&amp;", "&amp;AO$11&amp;"; ","")</f>
        <v/>
      </c>
      <c r="AP65" s="2120" t="str">
        <f>IF(AND($V$9=1,(TRUNC(Courses!Q59)&lt;&gt;Courses!Q59)), "Row "&amp;Courses!$A59&amp;", "&amp;AP$9&amp;", "&amp;AP$10&amp;"; ","")</f>
        <v/>
      </c>
      <c r="AQ65" s="1593" t="str">
        <f>IF(AND($V$9=1,(TRUNC(Courses!R59)&lt;&gt;Courses!R59)), "Row "&amp;Courses!$A59&amp;", "&amp;AQ$9&amp;", "&amp;AQ$10&amp;", "&amp;AQ$11&amp;"; ","")</f>
        <v/>
      </c>
      <c r="AR65" t="str">
        <f>IF(AND($V$9=1,(TRUNC(Courses!S59)&lt;&gt;Courses!S59)), "Row "&amp;Courses!$A59&amp;", "&amp;AR$9&amp;", "&amp;AR$10&amp;", "&amp;AR$11&amp;"; ","")</f>
        <v/>
      </c>
      <c r="AS65" t="str">
        <f>IF(AND($V$9=1,(TRUNC(Courses!T59)&lt;&gt;Courses!T59)), "Row "&amp;Courses!$A59&amp;", "&amp;AS$9&amp;", "&amp;AS$10&amp;", "&amp;AS$11&amp;"; ","")</f>
        <v/>
      </c>
      <c r="AT65" t="str">
        <f>IF(AND($V$9=1,(TRUNC(Courses!U59)&lt;&gt;Courses!U59)), "Row "&amp;Courses!$A59&amp;", "&amp;AT$9&amp;", "&amp;AT$10&amp;", "&amp;AT$11&amp;"; ","")</f>
        <v/>
      </c>
      <c r="AU65" s="2120" t="str">
        <f>IF(AND($V$9=1,(TRUNC(Courses!V59)&lt;&gt;Courses!V59)), "Row "&amp;Courses!$A59&amp;", "&amp;AU$9&amp;", "&amp;AU$10&amp;"; ","")</f>
        <v/>
      </c>
      <c r="AV65" s="1593" t="str">
        <f>IF(AND($V$9=1,(TRUNC(Courses!W59)&lt;&gt;Courses!W59)), "Row "&amp;Courses!$A59&amp;", "&amp;AV$9&amp;", "&amp;AV$10&amp;", "&amp;AV$11&amp;"; ","")</f>
        <v/>
      </c>
      <c r="AW65" t="str">
        <f>IF(AND($V$9=1,(TRUNC(Courses!X59)&lt;&gt;Courses!X59)), "Row "&amp;Courses!$A59&amp;", "&amp;AW$9&amp;", "&amp;AW$10&amp;", "&amp;AW$11&amp;"; ","")</f>
        <v/>
      </c>
      <c r="AX65" t="str">
        <f>IF(AND($V$9=1,(TRUNC(Courses!Y59)&lt;&gt;Courses!Y59)), "Row "&amp;Courses!$A59&amp;", "&amp;AX$9&amp;", "&amp;AX$10&amp;", "&amp;AX$11&amp;"; ","")</f>
        <v/>
      </c>
      <c r="AY65" t="str">
        <f>IF(AND($V$9=1,(TRUNC(Courses!Z59)&lt;&gt;Courses!Z59)), "Row "&amp;Courses!$A59&amp;", "&amp;AY$9&amp;", "&amp;AY$10&amp;", "&amp;AY$11&amp;"; ","")</f>
        <v/>
      </c>
      <c r="AZ65" s="2120" t="str">
        <f>IF(AND($V$9=1,(TRUNC(Courses!AA59)&lt;&gt;Courses!AA59)), "Row "&amp;Courses!$A59&amp;", "&amp;AZ$9&amp;", "&amp;AZ$10&amp;"; ","")</f>
        <v/>
      </c>
      <c r="BA65" s="17"/>
      <c r="BB65" s="118"/>
      <c r="BC65" s="3">
        <v>46</v>
      </c>
      <c r="BD65" s="1593" t="str">
        <f>IF(AND($W$9=1,Courses!M59&lt;0), "Row "&amp;Courses!$A59&amp;", "&amp;BD$9&amp;", "&amp;BD$10&amp;", "&amp;BD$11&amp;"; ","")</f>
        <v/>
      </c>
      <c r="BE65" t="str">
        <f>IF(AND($W$9=1,Courses!N59&lt;0), "Row "&amp;Courses!$A59&amp;", "&amp;BE$9&amp;", "&amp;BE$10&amp;", "&amp;BE$11&amp;"; ","")</f>
        <v/>
      </c>
      <c r="BF65" t="str">
        <f>IF(AND($W$9=1,Courses!O59&lt;0), "Row "&amp;Courses!$A59&amp;", "&amp;BF$9&amp;", "&amp;BF$10&amp;", "&amp;BF$11&amp;"; ","")</f>
        <v/>
      </c>
      <c r="BG65" t="str">
        <f>IF(AND($W$9=1,Courses!P59&lt;0), "Row "&amp;Courses!$A59&amp;", "&amp;BG$9&amp;", "&amp;BG$10&amp;", "&amp;BG$11&amp;"; ","")</f>
        <v/>
      </c>
      <c r="BH65" s="2120" t="str">
        <f>IF(AND($W$9=1,Courses!Q59&lt;0), "Row "&amp;Courses!$A59&amp;", "&amp;BH$9&amp;", "&amp;BH$10&amp;"; ","")</f>
        <v/>
      </c>
      <c r="BI65" s="1593" t="str">
        <f>IF(AND($W$9=1,Courses!R59&lt;0), "Row "&amp;Courses!$A59&amp;", "&amp;BI$9&amp;", "&amp;BI$10&amp;", "&amp;BI$11&amp;"; ","")</f>
        <v/>
      </c>
      <c r="BJ65" t="str">
        <f>IF(AND($W$9=1,Courses!S59&lt;0), "Row "&amp;Courses!$A59&amp;", "&amp;BJ$9&amp;", "&amp;BJ$10&amp;", "&amp;BJ$11&amp;"; ","")</f>
        <v/>
      </c>
      <c r="BK65" t="str">
        <f>IF(AND($W$9=1,Courses!T59&lt;0), "Row "&amp;Courses!$A59&amp;", "&amp;BK$9&amp;", "&amp;BK$10&amp;", "&amp;BK$11&amp;"; ","")</f>
        <v/>
      </c>
      <c r="BL65" t="str">
        <f>IF(AND($W$9=1,Courses!U59&lt;0), "Row "&amp;Courses!$A59&amp;", "&amp;BL$9&amp;", "&amp;BL$10&amp;", "&amp;BL$11&amp;"; ","")</f>
        <v/>
      </c>
      <c r="BM65" s="2120" t="str">
        <f>IF(AND($W$9=1,Courses!V59&lt;0), "Row "&amp;Courses!$A59&amp;", "&amp;BM$9&amp;", "&amp;BM$10&amp;"; ","")</f>
        <v/>
      </c>
      <c r="BN65" s="1593" t="str">
        <f>IF(AND($W$9=1,Courses!W59&lt;0), "Row "&amp;Courses!$A59&amp;", "&amp;BN$9&amp;", "&amp;BN$10&amp;", "&amp;BN$11&amp;"; ","")</f>
        <v/>
      </c>
      <c r="BO65" t="str">
        <f>IF(AND($W$9=1,Courses!X59&lt;0), "Row "&amp;Courses!$A59&amp;", "&amp;BO$9&amp;", "&amp;BO$10&amp;", "&amp;BO$11&amp;"; ","")</f>
        <v/>
      </c>
      <c r="BP65" t="str">
        <f>IF(AND($W$9=1,Courses!Y59&lt;0), "Row "&amp;Courses!$A59&amp;", "&amp;BP$9&amp;", "&amp;BP$10&amp;", "&amp;BP$11&amp;"; ","")</f>
        <v/>
      </c>
      <c r="BQ65" t="str">
        <f>IF(AND($W$9=1,Courses!Z59&lt;0), "Row "&amp;Courses!$A59&amp;", "&amp;BQ$9&amp;", "&amp;BQ$10&amp;", "&amp;BQ$11&amp;"; ","")</f>
        <v/>
      </c>
      <c r="BR65" s="2120" t="str">
        <f>IF(AND($W$9=1,Courses!AA59&lt;0), "Row "&amp;Courses!$A59&amp;", "&amp;BR$9&amp;", "&amp;BR$10&amp;"; ","")</f>
        <v/>
      </c>
      <c r="BT65" s="186">
        <v>46</v>
      </c>
      <c r="BU65" s="40">
        <f>IF(AND($X$9=1,Courses!B59="",Courses!F59="",Courses!H59="",Courses!J59="",Courses!K59="",Courses!L59="",Courses!M59=0,Courses!N59=0,Courses!O59=0,Courses!P59=0,Courses!Q59=0,Courses!R59=0,Courses!S59=0,Courses!T59=0,Courses!U59=0,Courses!V59=0,Courses!W59=0,Courses!X59=0,Courses!Y59=0,Courses!Z59=0,Courses!AA59=0),0,1)</f>
        <v>0</v>
      </c>
      <c r="BV65" s="40">
        <f>IF(AND(BU65=0,SUM(BU66:$BU$219)&gt;0),1,0)</f>
        <v>0</v>
      </c>
      <c r="BW65" s="1595" t="str">
        <f>IF(BV65=1,"Row "&amp;Courses!A59&amp;"; ","")</f>
        <v/>
      </c>
      <c r="BX65" s="17"/>
      <c r="BZ65" s="1592" t="str">
        <f>IF(AND($Y$9=1,Courses!B59&lt;&gt;"",SUM(Courses!M59:AA59)=0),"Row "&amp;Courses!A59&amp;"; ","")</f>
        <v/>
      </c>
      <c r="CA65" s="17"/>
      <c r="CC65" s="1592" t="str">
        <f>IF(AND($Z$9=1,Courses!AD59=1,(LEN(Courses!AB59)&gt;200)),"Row "&amp;Courses!A59&amp;"; ","")</f>
        <v/>
      </c>
      <c r="CE65" s="131"/>
      <c r="CG65" s="1593" t="str">
        <f>IF(AND($AD$9=1,Courses!E59&lt;&gt;"",Courses!F59&lt;&gt;"",Courses!F59=0,SUM(Courses!H59,Courses!J59)=1),"Row "&amp;Courses!A59&amp;", "&amp;Courses!$F$10&amp;"; ","")</f>
        <v/>
      </c>
      <c r="CH65" t="str">
        <f>IF(AND($AD$9=1,Courses!G59&lt;&gt;"",Courses!H59&lt;&gt;"",Courses!H59=0,SUM(Courses!J59,Courses!F59)=1),"Row "&amp;Courses!A59&amp;", "&amp;Courses!$H$10&amp;"; ","")</f>
        <v/>
      </c>
      <c r="CI65" s="183" t="str">
        <f>IF(AND($AD$9=1,Courses!I59&lt;&gt;"",Courses!J59&lt;&gt;"",Courses!J59=0, SUM(Courses!H59,Courses!F59)=1),"Row "&amp;Courses!A59&amp;", "&amp;Courses!$J$10&amp;"; ","")</f>
        <v/>
      </c>
      <c r="CJ65" s="180"/>
      <c r="CK65" s="181"/>
      <c r="CL65" s="1592" t="str">
        <f>IF(AND(Courses!B59&lt;&gt;"",ISNA(VLOOKUP(Courses!C59,CourseInfo,2,FALSE))=FALSE,COUNTIF(Dummy,Courses!C59)&lt;&gt;1),VLOOKUP(Courses!C59,CourseInfo,6,FALSE),"")</f>
        <v/>
      </c>
      <c r="CM65" s="1592" t="str">
        <f>IF(AND($AE$9=1,Courses!B59&lt;&gt;"",'Courses Valid'!AG65="",COUNTIF(Dummy,Courses!C59)&lt;&gt;1),IF(Courses!K59&lt;&gt;'Courses Valid'!CL65,"Row "&amp;Courses!A59&amp;", Level on LARS is "&amp;'Courses Valid'!CL65&amp;"; ",""),"")</f>
        <v/>
      </c>
      <c r="CN65" s="131"/>
    </row>
    <row r="66" spans="3:92" x14ac:dyDescent="0.35">
      <c r="C66" s="1591">
        <f t="shared" si="2"/>
        <v>0</v>
      </c>
      <c r="D66" s="41"/>
      <c r="E66" s="41"/>
      <c r="F66" s="118"/>
      <c r="G66" s="1591" t="str">
        <f>IF(SUMPRODUCT(--(CourseAims=Courses!$C60))=1,"",IF(AND($N$9=1,Courses!$C60&lt;&gt;""),"Row "&amp;Courses!A60&amp;" (invalid); ",""))</f>
        <v/>
      </c>
      <c r="H66" s="1592" t="str">
        <f>IF(AND($O$9=1,Courses!B60="",OR(Courses!F60&lt;&gt;"",Courses!H60&lt;&gt;"",Courses!J60&lt;&gt;"",Courses!K60&lt;&gt;"",Courses!L60&lt;&gt;"",Courses!M60&lt;&gt;0,Courses!N60&lt;&gt;0,Courses!O60&lt;&gt;0,Courses!P60&lt;&gt;0,Courses!Q60&lt;&gt;0,Courses!R60&lt;&gt;0,Courses!S60&lt;&gt;0,Courses!T60&lt;&gt;0,Courses!U60&lt;&gt;0,Courses!V60&lt;&gt;0,Courses!W60&lt;&gt;0,Courses!X60&lt;&gt;0,Courses!Y60&lt;&gt;0,Courses!Z60&lt;&gt;0,Courses!AA60&lt;&gt;0)),"Row "&amp;Courses!A60&amp;" (none); ","")</f>
        <v/>
      </c>
      <c r="I66" s="17"/>
      <c r="K66" s="1592" t="str">
        <f>Courses!B60&amp;Courses!K60&amp;Courses!L60</f>
        <v/>
      </c>
      <c r="L66" s="1592" t="str">
        <f>IF(AND($P$9=1,Courses!$B60&lt;&gt;"",COUNTIF(Dummy,Courses!$C60)&lt;&gt;1),IF(SUMPRODUCT(--($K$20:$K$219=$K66))&gt;1,"Row "&amp;Courses!$A60&amp;"; ",""),"")</f>
        <v/>
      </c>
      <c r="N66" s="118"/>
      <c r="O66" s="1593" t="str">
        <f>IF(AND($Q$9=1,Courses!E60&lt;&gt;"",Courses!F60=""),"Row "&amp;Courses!A60&amp;", "&amp;Courses!$E$10&amp;"; ","")</f>
        <v/>
      </c>
      <c r="P66" t="str">
        <f>IF(AND($Q$9=1,Courses!G60&lt;&gt;"",Courses!H60=""),"Row "&amp;Courses!A60&amp;", "&amp;Courses!$G$10&amp;"; ","")</f>
        <v/>
      </c>
      <c r="Q66" s="183" t="str">
        <f>IF(AND($Q$9=1,Courses!I60&lt;&gt;"",Courses!J60=""),"Row "&amp;Courses!A60&amp;", "&amp;Courses!$I$10&amp;"; ","")</f>
        <v/>
      </c>
      <c r="S66" s="17"/>
      <c r="T66" s="118"/>
      <c r="U66" s="1594" t="str">
        <f>IF(AND($R$9=1,Courses!B60&lt;&gt;"",Courses!E60&lt;&gt;"",Courses!G60="",Courses!I60="",Courses!F60&lt;&gt;1),"Row "&amp;Courses!A60&amp;"; ","")</f>
        <v/>
      </c>
      <c r="V66" t="str">
        <f>IF(AND($R$9=1,Courses!B60&lt;&gt;"",Courses!I60="",Courses!F60&lt;&gt;"",Courses!G60&lt;&gt;"",Courses!H60&lt;&gt;""),IF(OR((Courses!F60+Courses!H60)&lt;&gt;1),"Row "&amp;Courses!A60&amp;"; ",""),"")</f>
        <v/>
      </c>
      <c r="W66" s="183" t="str">
        <f>IF(AND($R$9=1,Courses!B60&lt;&gt;"",Courses!I60&lt;&gt;"",Courses!J60&lt;&gt;"",Courses!H60&lt;&gt;"",Courses!G60&lt;&gt;"",Courses!F60&lt;&gt;""),IF(OR((Courses!F60+Courses!H60+Courses!J60)&lt;&gt;1),"Row "&amp;Courses!A60&amp;"; ",""),"")</f>
        <v/>
      </c>
      <c r="Y66" s="1592" t="str">
        <f>IF(AND($R$9=1,Courses!E60&lt;&gt;"",U66="",V66="",W66="",SUM(Courses!F60,Courses!H60,Courses!J60)&lt;&gt;1),"Row "&amp;Courses!A60&amp;"; ","")</f>
        <v/>
      </c>
      <c r="Z66" s="17"/>
      <c r="AB66" s="1593" t="str">
        <f>IF(AND($S$9=1,Courses!B60&lt;&gt;"",Courses!E60&lt;&gt;"",Courses!F60&lt;&gt;""),IF((TRUNC(Courses!F60*100)&lt;&gt;Courses!F60*100),"Row "&amp;Courses!A60&amp;", "&amp;Courses!$F$10&amp;"; ",""),"")</f>
        <v/>
      </c>
      <c r="AC66" t="str">
        <f>IF(AND($S$9=1,Courses!B60&lt;&gt;"",Courses!G60&lt;&gt;"",Courses!H60&lt;&gt;""),IF((TRUNC(Courses!H60*100)&lt;&gt;Courses!H60*100),"Row "&amp;Courses!A60&amp;", "&amp;Courses!$H$10&amp;"; ",""),"")</f>
        <v/>
      </c>
      <c r="AD66" s="183" t="str">
        <f>IF(AND($S$9=1,Courses!B60&lt;&gt;"",Courses!I60&lt;&gt;"",Courses!J60&lt;&gt;""),IF((TRUNC(Courses!J60*100)&lt;&gt;Courses!J60*100),"Row "&amp;Courses!A60&amp;", "&amp;Courses!$J$10&amp;"; ",""),"")</f>
        <v/>
      </c>
      <c r="AF66" s="118"/>
      <c r="AG66" s="1592" t="str">
        <f>IF(AND($T$9=1,G66="",Courses!B60&lt;&gt;"",Courses!K60&lt;&gt;$B$9,Courses!K60&lt;&gt;$B$10,Courses!K60&lt;&gt;$B$11,Courses!K60&lt;&gt;$B$12,Courses!K60&lt;&gt;$B$13,Courses!K60&lt;&gt;$B$14),"Row "&amp;Courses!A60&amp;"; ","")</f>
        <v/>
      </c>
      <c r="AH66" s="1592" t="str">
        <f>IF(AND($U$9=1,G66="",Courses!B60&lt;&gt;"",Courses!L60&lt;&gt;"Standard",Courses!L60&lt;&gt;"Long"),"Row "&amp;Courses!A60&amp;"; ","")</f>
        <v/>
      </c>
      <c r="AJ66" s="118"/>
      <c r="AK66" s="3">
        <v>47</v>
      </c>
      <c r="AL66" s="1593" t="str">
        <f>IF(AND($V$9=1,(TRUNC(Courses!M60)&lt;&gt;Courses!M60)), "Row "&amp;Courses!$A60&amp;", "&amp;AL$9&amp;", "&amp;AL$10&amp;", "&amp;AL$11&amp;"; ","")</f>
        <v/>
      </c>
      <c r="AM66" t="str">
        <f>IF(AND($V$9=1,(TRUNC(Courses!N60)&lt;&gt;Courses!N60)), "Row "&amp;Courses!$A60&amp;", "&amp;AM$9&amp;", "&amp;AM$10&amp;", "&amp;AM$11&amp;"; ","")</f>
        <v/>
      </c>
      <c r="AN66" t="str">
        <f>IF(AND($V$9=1,(TRUNC(Courses!O60)&lt;&gt;Courses!O60)), "Row "&amp;Courses!$A60&amp;", "&amp;AN$9&amp;", "&amp;AN$10&amp;", "&amp;AN$11&amp;"; ","")</f>
        <v/>
      </c>
      <c r="AO66" t="str">
        <f>IF(AND($V$9=1,(TRUNC(Courses!P60)&lt;&gt;Courses!P60)), "Row "&amp;Courses!$A60&amp;", "&amp;AO$9&amp;", "&amp;AO$10&amp;", "&amp;AO$11&amp;"; ","")</f>
        <v/>
      </c>
      <c r="AP66" s="2120" t="str">
        <f>IF(AND($V$9=1,(TRUNC(Courses!Q60)&lt;&gt;Courses!Q60)), "Row "&amp;Courses!$A60&amp;", "&amp;AP$9&amp;", "&amp;AP$10&amp;"; ","")</f>
        <v/>
      </c>
      <c r="AQ66" s="1593" t="str">
        <f>IF(AND($V$9=1,(TRUNC(Courses!R60)&lt;&gt;Courses!R60)), "Row "&amp;Courses!$A60&amp;", "&amp;AQ$9&amp;", "&amp;AQ$10&amp;", "&amp;AQ$11&amp;"; ","")</f>
        <v/>
      </c>
      <c r="AR66" t="str">
        <f>IF(AND($V$9=1,(TRUNC(Courses!S60)&lt;&gt;Courses!S60)), "Row "&amp;Courses!$A60&amp;", "&amp;AR$9&amp;", "&amp;AR$10&amp;", "&amp;AR$11&amp;"; ","")</f>
        <v/>
      </c>
      <c r="AS66" t="str">
        <f>IF(AND($V$9=1,(TRUNC(Courses!T60)&lt;&gt;Courses!T60)), "Row "&amp;Courses!$A60&amp;", "&amp;AS$9&amp;", "&amp;AS$10&amp;", "&amp;AS$11&amp;"; ","")</f>
        <v/>
      </c>
      <c r="AT66" t="str">
        <f>IF(AND($V$9=1,(TRUNC(Courses!U60)&lt;&gt;Courses!U60)), "Row "&amp;Courses!$A60&amp;", "&amp;AT$9&amp;", "&amp;AT$10&amp;", "&amp;AT$11&amp;"; ","")</f>
        <v/>
      </c>
      <c r="AU66" s="2120" t="str">
        <f>IF(AND($V$9=1,(TRUNC(Courses!V60)&lt;&gt;Courses!V60)), "Row "&amp;Courses!$A60&amp;", "&amp;AU$9&amp;", "&amp;AU$10&amp;"; ","")</f>
        <v/>
      </c>
      <c r="AV66" s="1593" t="str">
        <f>IF(AND($V$9=1,(TRUNC(Courses!W60)&lt;&gt;Courses!W60)), "Row "&amp;Courses!$A60&amp;", "&amp;AV$9&amp;", "&amp;AV$10&amp;", "&amp;AV$11&amp;"; ","")</f>
        <v/>
      </c>
      <c r="AW66" t="str">
        <f>IF(AND($V$9=1,(TRUNC(Courses!X60)&lt;&gt;Courses!X60)), "Row "&amp;Courses!$A60&amp;", "&amp;AW$9&amp;", "&amp;AW$10&amp;", "&amp;AW$11&amp;"; ","")</f>
        <v/>
      </c>
      <c r="AX66" t="str">
        <f>IF(AND($V$9=1,(TRUNC(Courses!Y60)&lt;&gt;Courses!Y60)), "Row "&amp;Courses!$A60&amp;", "&amp;AX$9&amp;", "&amp;AX$10&amp;", "&amp;AX$11&amp;"; ","")</f>
        <v/>
      </c>
      <c r="AY66" t="str">
        <f>IF(AND($V$9=1,(TRUNC(Courses!Z60)&lt;&gt;Courses!Z60)), "Row "&amp;Courses!$A60&amp;", "&amp;AY$9&amp;", "&amp;AY$10&amp;", "&amp;AY$11&amp;"; ","")</f>
        <v/>
      </c>
      <c r="AZ66" s="2120" t="str">
        <f>IF(AND($V$9=1,(TRUNC(Courses!AA60)&lt;&gt;Courses!AA60)), "Row "&amp;Courses!$A60&amp;", "&amp;AZ$9&amp;", "&amp;AZ$10&amp;"; ","")</f>
        <v/>
      </c>
      <c r="BA66" s="17"/>
      <c r="BB66" s="118"/>
      <c r="BC66" s="3">
        <v>47</v>
      </c>
      <c r="BD66" s="1593" t="str">
        <f>IF(AND($W$9=1,Courses!M60&lt;0), "Row "&amp;Courses!$A60&amp;", "&amp;BD$9&amp;", "&amp;BD$10&amp;", "&amp;BD$11&amp;"; ","")</f>
        <v/>
      </c>
      <c r="BE66" t="str">
        <f>IF(AND($W$9=1,Courses!N60&lt;0), "Row "&amp;Courses!$A60&amp;", "&amp;BE$9&amp;", "&amp;BE$10&amp;", "&amp;BE$11&amp;"; ","")</f>
        <v/>
      </c>
      <c r="BF66" t="str">
        <f>IF(AND($W$9=1,Courses!O60&lt;0), "Row "&amp;Courses!$A60&amp;", "&amp;BF$9&amp;", "&amp;BF$10&amp;", "&amp;BF$11&amp;"; ","")</f>
        <v/>
      </c>
      <c r="BG66" t="str">
        <f>IF(AND($W$9=1,Courses!P60&lt;0), "Row "&amp;Courses!$A60&amp;", "&amp;BG$9&amp;", "&amp;BG$10&amp;", "&amp;BG$11&amp;"; ","")</f>
        <v/>
      </c>
      <c r="BH66" s="2120" t="str">
        <f>IF(AND($W$9=1,Courses!Q60&lt;0), "Row "&amp;Courses!$A60&amp;", "&amp;BH$9&amp;", "&amp;BH$10&amp;"; ","")</f>
        <v/>
      </c>
      <c r="BI66" s="1593" t="str">
        <f>IF(AND($W$9=1,Courses!R60&lt;0), "Row "&amp;Courses!$A60&amp;", "&amp;BI$9&amp;", "&amp;BI$10&amp;", "&amp;BI$11&amp;"; ","")</f>
        <v/>
      </c>
      <c r="BJ66" t="str">
        <f>IF(AND($W$9=1,Courses!S60&lt;0), "Row "&amp;Courses!$A60&amp;", "&amp;BJ$9&amp;", "&amp;BJ$10&amp;", "&amp;BJ$11&amp;"; ","")</f>
        <v/>
      </c>
      <c r="BK66" t="str">
        <f>IF(AND($W$9=1,Courses!T60&lt;0), "Row "&amp;Courses!$A60&amp;", "&amp;BK$9&amp;", "&amp;BK$10&amp;", "&amp;BK$11&amp;"; ","")</f>
        <v/>
      </c>
      <c r="BL66" t="str">
        <f>IF(AND($W$9=1,Courses!U60&lt;0), "Row "&amp;Courses!$A60&amp;", "&amp;BL$9&amp;", "&amp;BL$10&amp;", "&amp;BL$11&amp;"; ","")</f>
        <v/>
      </c>
      <c r="BM66" s="2120" t="str">
        <f>IF(AND($W$9=1,Courses!V60&lt;0), "Row "&amp;Courses!$A60&amp;", "&amp;BM$9&amp;", "&amp;BM$10&amp;"; ","")</f>
        <v/>
      </c>
      <c r="BN66" s="1593" t="str">
        <f>IF(AND($W$9=1,Courses!W60&lt;0), "Row "&amp;Courses!$A60&amp;", "&amp;BN$9&amp;", "&amp;BN$10&amp;", "&amp;BN$11&amp;"; ","")</f>
        <v/>
      </c>
      <c r="BO66" t="str">
        <f>IF(AND($W$9=1,Courses!X60&lt;0), "Row "&amp;Courses!$A60&amp;", "&amp;BO$9&amp;", "&amp;BO$10&amp;", "&amp;BO$11&amp;"; ","")</f>
        <v/>
      </c>
      <c r="BP66" t="str">
        <f>IF(AND($W$9=1,Courses!Y60&lt;0), "Row "&amp;Courses!$A60&amp;", "&amp;BP$9&amp;", "&amp;BP$10&amp;", "&amp;BP$11&amp;"; ","")</f>
        <v/>
      </c>
      <c r="BQ66" t="str">
        <f>IF(AND($W$9=1,Courses!Z60&lt;0), "Row "&amp;Courses!$A60&amp;", "&amp;BQ$9&amp;", "&amp;BQ$10&amp;", "&amp;BQ$11&amp;"; ","")</f>
        <v/>
      </c>
      <c r="BR66" s="2120" t="str">
        <f>IF(AND($W$9=1,Courses!AA60&lt;0), "Row "&amp;Courses!$A60&amp;", "&amp;BR$9&amp;", "&amp;BR$10&amp;"; ","")</f>
        <v/>
      </c>
      <c r="BT66" s="186">
        <v>47</v>
      </c>
      <c r="BU66" s="40">
        <f>IF(AND($X$9=1,Courses!B60="",Courses!F60="",Courses!H60="",Courses!J60="",Courses!K60="",Courses!L60="",Courses!M60=0,Courses!N60=0,Courses!O60=0,Courses!P60=0,Courses!Q60=0,Courses!R60=0,Courses!S60=0,Courses!T60=0,Courses!U60=0,Courses!V60=0,Courses!W60=0,Courses!X60=0,Courses!Y60=0,Courses!Z60=0,Courses!AA60=0),0,1)</f>
        <v>0</v>
      </c>
      <c r="BV66" s="40">
        <f>IF(AND(BU66=0,SUM(BU67:$BU$219)&gt;0),1,0)</f>
        <v>0</v>
      </c>
      <c r="BW66" s="1595" t="str">
        <f>IF(BV66=1,"Row "&amp;Courses!A60&amp;"; ","")</f>
        <v/>
      </c>
      <c r="BX66" s="17"/>
      <c r="BZ66" s="1592" t="str">
        <f>IF(AND($Y$9=1,Courses!B60&lt;&gt;"",SUM(Courses!M60:AA60)=0),"Row "&amp;Courses!A60&amp;"; ","")</f>
        <v/>
      </c>
      <c r="CA66" s="17"/>
      <c r="CC66" s="1592" t="str">
        <f>IF(AND($Z$9=1,Courses!AD60=1,(LEN(Courses!AB60)&gt;200)),"Row "&amp;Courses!A60&amp;"; ","")</f>
        <v/>
      </c>
      <c r="CE66" s="131"/>
      <c r="CG66" s="1593" t="str">
        <f>IF(AND($AD$9=1,Courses!E60&lt;&gt;"",Courses!F60&lt;&gt;"",Courses!F60=0,SUM(Courses!H60,Courses!J60)=1),"Row "&amp;Courses!A60&amp;", "&amp;Courses!$F$10&amp;"; ","")</f>
        <v/>
      </c>
      <c r="CH66" t="str">
        <f>IF(AND($AD$9=1,Courses!G60&lt;&gt;"",Courses!H60&lt;&gt;"",Courses!H60=0,SUM(Courses!J60,Courses!F60)=1),"Row "&amp;Courses!A60&amp;", "&amp;Courses!$H$10&amp;"; ","")</f>
        <v/>
      </c>
      <c r="CI66" s="183" t="str">
        <f>IF(AND($AD$9=1,Courses!I60&lt;&gt;"",Courses!J60&lt;&gt;"",Courses!J60=0, SUM(Courses!H60,Courses!F60)=1),"Row "&amp;Courses!A60&amp;", "&amp;Courses!$J$10&amp;"; ","")</f>
        <v/>
      </c>
      <c r="CJ66" s="180"/>
      <c r="CK66" s="181"/>
      <c r="CL66" s="1592" t="str">
        <f>IF(AND(Courses!B60&lt;&gt;"",ISNA(VLOOKUP(Courses!C60,CourseInfo,2,FALSE))=FALSE,COUNTIF(Dummy,Courses!C60)&lt;&gt;1),VLOOKUP(Courses!C60,CourseInfo,6,FALSE),"")</f>
        <v/>
      </c>
      <c r="CM66" s="1592" t="str">
        <f>IF(AND($AE$9=1,Courses!B60&lt;&gt;"",'Courses Valid'!AG66="",COUNTIF(Dummy,Courses!C60)&lt;&gt;1),IF(Courses!K60&lt;&gt;'Courses Valid'!CL66,"Row "&amp;Courses!A60&amp;", Level on LARS is "&amp;'Courses Valid'!CL66&amp;"; ",""),"")</f>
        <v/>
      </c>
      <c r="CN66" s="131"/>
    </row>
    <row r="67" spans="3:92" x14ac:dyDescent="0.35">
      <c r="C67" s="1591">
        <f t="shared" si="2"/>
        <v>0</v>
      </c>
      <c r="D67" s="41"/>
      <c r="E67" s="41"/>
      <c r="F67" s="118"/>
      <c r="G67" s="1591" t="str">
        <f>IF(SUMPRODUCT(--(CourseAims=Courses!$C61))=1,"",IF(AND($N$9=1,Courses!$C61&lt;&gt;""),"Row "&amp;Courses!A61&amp;" (invalid); ",""))</f>
        <v/>
      </c>
      <c r="H67" s="1592" t="str">
        <f>IF(AND($O$9=1,Courses!B61="",OR(Courses!F61&lt;&gt;"",Courses!H61&lt;&gt;"",Courses!J61&lt;&gt;"",Courses!K61&lt;&gt;"",Courses!L61&lt;&gt;"",Courses!M61&lt;&gt;0,Courses!N61&lt;&gt;0,Courses!O61&lt;&gt;0,Courses!P61&lt;&gt;0,Courses!Q61&lt;&gt;0,Courses!R61&lt;&gt;0,Courses!S61&lt;&gt;0,Courses!T61&lt;&gt;0,Courses!U61&lt;&gt;0,Courses!V61&lt;&gt;0,Courses!W61&lt;&gt;0,Courses!X61&lt;&gt;0,Courses!Y61&lt;&gt;0,Courses!Z61&lt;&gt;0,Courses!AA61&lt;&gt;0)),"Row "&amp;Courses!A61&amp;" (none); ","")</f>
        <v/>
      </c>
      <c r="I67" s="17"/>
      <c r="K67" s="1592" t="str">
        <f>Courses!B61&amp;Courses!K61&amp;Courses!L61</f>
        <v/>
      </c>
      <c r="L67" s="1592" t="str">
        <f>IF(AND($P$9=1,Courses!$B61&lt;&gt;"",COUNTIF(Dummy,Courses!$C61)&lt;&gt;1),IF(SUMPRODUCT(--($K$20:$K$219=$K67))&gt;1,"Row "&amp;Courses!$A61&amp;"; ",""),"")</f>
        <v/>
      </c>
      <c r="N67" s="118"/>
      <c r="O67" s="1593" t="str">
        <f>IF(AND($Q$9=1,Courses!E61&lt;&gt;"",Courses!F61=""),"Row "&amp;Courses!A61&amp;", "&amp;Courses!$E$10&amp;"; ","")</f>
        <v/>
      </c>
      <c r="P67" t="str">
        <f>IF(AND($Q$9=1,Courses!G61&lt;&gt;"",Courses!H61=""),"Row "&amp;Courses!A61&amp;", "&amp;Courses!$G$10&amp;"; ","")</f>
        <v/>
      </c>
      <c r="Q67" s="183" t="str">
        <f>IF(AND($Q$9=1,Courses!I61&lt;&gt;"",Courses!J61=""),"Row "&amp;Courses!A61&amp;", "&amp;Courses!$I$10&amp;"; ","")</f>
        <v/>
      </c>
      <c r="S67" s="17"/>
      <c r="T67" s="118"/>
      <c r="U67" s="1594" t="str">
        <f>IF(AND($R$9=1,Courses!B61&lt;&gt;"",Courses!E61&lt;&gt;"",Courses!G61="",Courses!I61="",Courses!F61&lt;&gt;1),"Row "&amp;Courses!A61&amp;"; ","")</f>
        <v/>
      </c>
      <c r="V67" t="str">
        <f>IF(AND($R$9=1,Courses!B61&lt;&gt;"",Courses!I61="",Courses!F61&lt;&gt;"",Courses!G61&lt;&gt;"",Courses!H61&lt;&gt;""),IF(OR((Courses!F61+Courses!H61)&lt;&gt;1),"Row "&amp;Courses!A61&amp;"; ",""),"")</f>
        <v/>
      </c>
      <c r="W67" s="183" t="str">
        <f>IF(AND($R$9=1,Courses!B61&lt;&gt;"",Courses!I61&lt;&gt;"",Courses!J61&lt;&gt;"",Courses!H61&lt;&gt;"",Courses!G61&lt;&gt;"",Courses!F61&lt;&gt;""),IF(OR((Courses!F61+Courses!H61+Courses!J61)&lt;&gt;1),"Row "&amp;Courses!A61&amp;"; ",""),"")</f>
        <v/>
      </c>
      <c r="Y67" s="1592" t="str">
        <f>IF(AND($R$9=1,Courses!E61&lt;&gt;"",U67="",V67="",W67="",SUM(Courses!F61,Courses!H61,Courses!J61)&lt;&gt;1),"Row "&amp;Courses!A61&amp;"; ","")</f>
        <v/>
      </c>
      <c r="Z67" s="17"/>
      <c r="AB67" s="1593" t="str">
        <f>IF(AND($S$9=1,Courses!B61&lt;&gt;"",Courses!E61&lt;&gt;"",Courses!F61&lt;&gt;""),IF((TRUNC(Courses!F61*100)&lt;&gt;Courses!F61*100),"Row "&amp;Courses!A61&amp;", "&amp;Courses!$F$10&amp;"; ",""),"")</f>
        <v/>
      </c>
      <c r="AC67" t="str">
        <f>IF(AND($S$9=1,Courses!B61&lt;&gt;"",Courses!G61&lt;&gt;"",Courses!H61&lt;&gt;""),IF((TRUNC(Courses!H61*100)&lt;&gt;Courses!H61*100),"Row "&amp;Courses!A61&amp;", "&amp;Courses!$H$10&amp;"; ",""),"")</f>
        <v/>
      </c>
      <c r="AD67" s="183" t="str">
        <f>IF(AND($S$9=1,Courses!B61&lt;&gt;"",Courses!I61&lt;&gt;"",Courses!J61&lt;&gt;""),IF((TRUNC(Courses!J61*100)&lt;&gt;Courses!J61*100),"Row "&amp;Courses!A61&amp;", "&amp;Courses!$J$10&amp;"; ",""),"")</f>
        <v/>
      </c>
      <c r="AF67" s="118"/>
      <c r="AG67" s="1592" t="str">
        <f>IF(AND($T$9=1,G67="",Courses!B61&lt;&gt;"",Courses!K61&lt;&gt;$B$9,Courses!K61&lt;&gt;$B$10,Courses!K61&lt;&gt;$B$11,Courses!K61&lt;&gt;$B$12,Courses!K61&lt;&gt;$B$13,Courses!K61&lt;&gt;$B$14),"Row "&amp;Courses!A61&amp;"; ","")</f>
        <v/>
      </c>
      <c r="AH67" s="1592" t="str">
        <f>IF(AND($U$9=1,G67="",Courses!B61&lt;&gt;"",Courses!L61&lt;&gt;"Standard",Courses!L61&lt;&gt;"Long"),"Row "&amp;Courses!A61&amp;"; ","")</f>
        <v/>
      </c>
      <c r="AJ67" s="118"/>
      <c r="AK67" s="3">
        <v>48</v>
      </c>
      <c r="AL67" s="1593" t="str">
        <f>IF(AND($V$9=1,(TRUNC(Courses!M61)&lt;&gt;Courses!M61)), "Row "&amp;Courses!$A61&amp;", "&amp;AL$9&amp;", "&amp;AL$10&amp;", "&amp;AL$11&amp;"; ","")</f>
        <v/>
      </c>
      <c r="AM67" t="str">
        <f>IF(AND($V$9=1,(TRUNC(Courses!N61)&lt;&gt;Courses!N61)), "Row "&amp;Courses!$A61&amp;", "&amp;AM$9&amp;", "&amp;AM$10&amp;", "&amp;AM$11&amp;"; ","")</f>
        <v/>
      </c>
      <c r="AN67" t="str">
        <f>IF(AND($V$9=1,(TRUNC(Courses!O61)&lt;&gt;Courses!O61)), "Row "&amp;Courses!$A61&amp;", "&amp;AN$9&amp;", "&amp;AN$10&amp;", "&amp;AN$11&amp;"; ","")</f>
        <v/>
      </c>
      <c r="AO67" t="str">
        <f>IF(AND($V$9=1,(TRUNC(Courses!P61)&lt;&gt;Courses!P61)), "Row "&amp;Courses!$A61&amp;", "&amp;AO$9&amp;", "&amp;AO$10&amp;", "&amp;AO$11&amp;"; ","")</f>
        <v/>
      </c>
      <c r="AP67" s="2120" t="str">
        <f>IF(AND($V$9=1,(TRUNC(Courses!Q61)&lt;&gt;Courses!Q61)), "Row "&amp;Courses!$A61&amp;", "&amp;AP$9&amp;", "&amp;AP$10&amp;"; ","")</f>
        <v/>
      </c>
      <c r="AQ67" s="1593" t="str">
        <f>IF(AND($V$9=1,(TRUNC(Courses!R61)&lt;&gt;Courses!R61)), "Row "&amp;Courses!$A61&amp;", "&amp;AQ$9&amp;", "&amp;AQ$10&amp;", "&amp;AQ$11&amp;"; ","")</f>
        <v/>
      </c>
      <c r="AR67" t="str">
        <f>IF(AND($V$9=1,(TRUNC(Courses!S61)&lt;&gt;Courses!S61)), "Row "&amp;Courses!$A61&amp;", "&amp;AR$9&amp;", "&amp;AR$10&amp;", "&amp;AR$11&amp;"; ","")</f>
        <v/>
      </c>
      <c r="AS67" t="str">
        <f>IF(AND($V$9=1,(TRUNC(Courses!T61)&lt;&gt;Courses!T61)), "Row "&amp;Courses!$A61&amp;", "&amp;AS$9&amp;", "&amp;AS$10&amp;", "&amp;AS$11&amp;"; ","")</f>
        <v/>
      </c>
      <c r="AT67" t="str">
        <f>IF(AND($V$9=1,(TRUNC(Courses!U61)&lt;&gt;Courses!U61)), "Row "&amp;Courses!$A61&amp;", "&amp;AT$9&amp;", "&amp;AT$10&amp;", "&amp;AT$11&amp;"; ","")</f>
        <v/>
      </c>
      <c r="AU67" s="2120" t="str">
        <f>IF(AND($V$9=1,(TRUNC(Courses!V61)&lt;&gt;Courses!V61)), "Row "&amp;Courses!$A61&amp;", "&amp;AU$9&amp;", "&amp;AU$10&amp;"; ","")</f>
        <v/>
      </c>
      <c r="AV67" s="1593" t="str">
        <f>IF(AND($V$9=1,(TRUNC(Courses!W61)&lt;&gt;Courses!W61)), "Row "&amp;Courses!$A61&amp;", "&amp;AV$9&amp;", "&amp;AV$10&amp;", "&amp;AV$11&amp;"; ","")</f>
        <v/>
      </c>
      <c r="AW67" t="str">
        <f>IF(AND($V$9=1,(TRUNC(Courses!X61)&lt;&gt;Courses!X61)), "Row "&amp;Courses!$A61&amp;", "&amp;AW$9&amp;", "&amp;AW$10&amp;", "&amp;AW$11&amp;"; ","")</f>
        <v/>
      </c>
      <c r="AX67" t="str">
        <f>IF(AND($V$9=1,(TRUNC(Courses!Y61)&lt;&gt;Courses!Y61)), "Row "&amp;Courses!$A61&amp;", "&amp;AX$9&amp;", "&amp;AX$10&amp;", "&amp;AX$11&amp;"; ","")</f>
        <v/>
      </c>
      <c r="AY67" t="str">
        <f>IF(AND($V$9=1,(TRUNC(Courses!Z61)&lt;&gt;Courses!Z61)), "Row "&amp;Courses!$A61&amp;", "&amp;AY$9&amp;", "&amp;AY$10&amp;", "&amp;AY$11&amp;"; ","")</f>
        <v/>
      </c>
      <c r="AZ67" s="2120" t="str">
        <f>IF(AND($V$9=1,(TRUNC(Courses!AA61)&lt;&gt;Courses!AA61)), "Row "&amp;Courses!$A61&amp;", "&amp;AZ$9&amp;", "&amp;AZ$10&amp;"; ","")</f>
        <v/>
      </c>
      <c r="BA67" s="17"/>
      <c r="BB67" s="118"/>
      <c r="BC67" s="3">
        <v>48</v>
      </c>
      <c r="BD67" s="1593" t="str">
        <f>IF(AND($W$9=1,Courses!M61&lt;0), "Row "&amp;Courses!$A61&amp;", "&amp;BD$9&amp;", "&amp;BD$10&amp;", "&amp;BD$11&amp;"; ","")</f>
        <v/>
      </c>
      <c r="BE67" t="str">
        <f>IF(AND($W$9=1,Courses!N61&lt;0), "Row "&amp;Courses!$A61&amp;", "&amp;BE$9&amp;", "&amp;BE$10&amp;", "&amp;BE$11&amp;"; ","")</f>
        <v/>
      </c>
      <c r="BF67" t="str">
        <f>IF(AND($W$9=1,Courses!O61&lt;0), "Row "&amp;Courses!$A61&amp;", "&amp;BF$9&amp;", "&amp;BF$10&amp;", "&amp;BF$11&amp;"; ","")</f>
        <v/>
      </c>
      <c r="BG67" t="str">
        <f>IF(AND($W$9=1,Courses!P61&lt;0), "Row "&amp;Courses!$A61&amp;", "&amp;BG$9&amp;", "&amp;BG$10&amp;", "&amp;BG$11&amp;"; ","")</f>
        <v/>
      </c>
      <c r="BH67" s="2120" t="str">
        <f>IF(AND($W$9=1,Courses!Q61&lt;0), "Row "&amp;Courses!$A61&amp;", "&amp;BH$9&amp;", "&amp;BH$10&amp;"; ","")</f>
        <v/>
      </c>
      <c r="BI67" s="1593" t="str">
        <f>IF(AND($W$9=1,Courses!R61&lt;0), "Row "&amp;Courses!$A61&amp;", "&amp;BI$9&amp;", "&amp;BI$10&amp;", "&amp;BI$11&amp;"; ","")</f>
        <v/>
      </c>
      <c r="BJ67" t="str">
        <f>IF(AND($W$9=1,Courses!S61&lt;0), "Row "&amp;Courses!$A61&amp;", "&amp;BJ$9&amp;", "&amp;BJ$10&amp;", "&amp;BJ$11&amp;"; ","")</f>
        <v/>
      </c>
      <c r="BK67" t="str">
        <f>IF(AND($W$9=1,Courses!T61&lt;0), "Row "&amp;Courses!$A61&amp;", "&amp;BK$9&amp;", "&amp;BK$10&amp;", "&amp;BK$11&amp;"; ","")</f>
        <v/>
      </c>
      <c r="BL67" t="str">
        <f>IF(AND($W$9=1,Courses!U61&lt;0), "Row "&amp;Courses!$A61&amp;", "&amp;BL$9&amp;", "&amp;BL$10&amp;", "&amp;BL$11&amp;"; ","")</f>
        <v/>
      </c>
      <c r="BM67" s="2120" t="str">
        <f>IF(AND($W$9=1,Courses!V61&lt;0), "Row "&amp;Courses!$A61&amp;", "&amp;BM$9&amp;", "&amp;BM$10&amp;"; ","")</f>
        <v/>
      </c>
      <c r="BN67" s="1593" t="str">
        <f>IF(AND($W$9=1,Courses!W61&lt;0), "Row "&amp;Courses!$A61&amp;", "&amp;BN$9&amp;", "&amp;BN$10&amp;", "&amp;BN$11&amp;"; ","")</f>
        <v/>
      </c>
      <c r="BO67" t="str">
        <f>IF(AND($W$9=1,Courses!X61&lt;0), "Row "&amp;Courses!$A61&amp;", "&amp;BO$9&amp;", "&amp;BO$10&amp;", "&amp;BO$11&amp;"; ","")</f>
        <v/>
      </c>
      <c r="BP67" t="str">
        <f>IF(AND($W$9=1,Courses!Y61&lt;0), "Row "&amp;Courses!$A61&amp;", "&amp;BP$9&amp;", "&amp;BP$10&amp;", "&amp;BP$11&amp;"; ","")</f>
        <v/>
      </c>
      <c r="BQ67" t="str">
        <f>IF(AND($W$9=1,Courses!Z61&lt;0), "Row "&amp;Courses!$A61&amp;", "&amp;BQ$9&amp;", "&amp;BQ$10&amp;", "&amp;BQ$11&amp;"; ","")</f>
        <v/>
      </c>
      <c r="BR67" s="2120" t="str">
        <f>IF(AND($W$9=1,Courses!AA61&lt;0), "Row "&amp;Courses!$A61&amp;", "&amp;BR$9&amp;", "&amp;BR$10&amp;"; ","")</f>
        <v/>
      </c>
      <c r="BT67" s="186">
        <v>48</v>
      </c>
      <c r="BU67" s="40">
        <f>IF(AND($X$9=1,Courses!B61="",Courses!F61="",Courses!H61="",Courses!J61="",Courses!K61="",Courses!L61="",Courses!M61=0,Courses!N61=0,Courses!O61=0,Courses!P61=0,Courses!Q61=0,Courses!R61=0,Courses!S61=0,Courses!T61=0,Courses!U61=0,Courses!V61=0,Courses!W61=0,Courses!X61=0,Courses!Y61=0,Courses!Z61=0,Courses!AA61=0),0,1)</f>
        <v>0</v>
      </c>
      <c r="BV67" s="40">
        <f>IF(AND(BU67=0,SUM(BU68:$BU$219)&gt;0),1,0)</f>
        <v>0</v>
      </c>
      <c r="BW67" s="1595" t="str">
        <f>IF(BV67=1,"Row "&amp;Courses!A61&amp;"; ","")</f>
        <v/>
      </c>
      <c r="BX67" s="17"/>
      <c r="BZ67" s="1592" t="str">
        <f>IF(AND($Y$9=1,Courses!B61&lt;&gt;"",SUM(Courses!M61:AA61)=0),"Row "&amp;Courses!A61&amp;"; ","")</f>
        <v/>
      </c>
      <c r="CA67" s="17"/>
      <c r="CC67" s="1592" t="str">
        <f>IF(AND($Z$9=1,Courses!AD61=1,(LEN(Courses!AB61)&gt;200)),"Row "&amp;Courses!A61&amp;"; ","")</f>
        <v/>
      </c>
      <c r="CE67" s="131"/>
      <c r="CG67" s="1593" t="str">
        <f>IF(AND($AD$9=1,Courses!E61&lt;&gt;"",Courses!F61&lt;&gt;"",Courses!F61=0,SUM(Courses!H61,Courses!J61)=1),"Row "&amp;Courses!A61&amp;", "&amp;Courses!$F$10&amp;"; ","")</f>
        <v/>
      </c>
      <c r="CH67" t="str">
        <f>IF(AND($AD$9=1,Courses!G61&lt;&gt;"",Courses!H61&lt;&gt;"",Courses!H61=0,SUM(Courses!J61,Courses!F61)=1),"Row "&amp;Courses!A61&amp;", "&amp;Courses!$H$10&amp;"; ","")</f>
        <v/>
      </c>
      <c r="CI67" s="183" t="str">
        <f>IF(AND($AD$9=1,Courses!I61&lt;&gt;"",Courses!J61&lt;&gt;"",Courses!J61=0, SUM(Courses!H61,Courses!F61)=1),"Row "&amp;Courses!A61&amp;", "&amp;Courses!$J$10&amp;"; ","")</f>
        <v/>
      </c>
      <c r="CJ67" s="180"/>
      <c r="CK67" s="181"/>
      <c r="CL67" s="1592" t="str">
        <f>IF(AND(Courses!B61&lt;&gt;"",ISNA(VLOOKUP(Courses!C61,CourseInfo,2,FALSE))=FALSE,COUNTIF(Dummy,Courses!C61)&lt;&gt;1),VLOOKUP(Courses!C61,CourseInfo,6,FALSE),"")</f>
        <v/>
      </c>
      <c r="CM67" s="1592" t="str">
        <f>IF(AND($AE$9=1,Courses!B61&lt;&gt;"",'Courses Valid'!AG67="",COUNTIF(Dummy,Courses!C61)&lt;&gt;1),IF(Courses!K61&lt;&gt;'Courses Valid'!CL67,"Row "&amp;Courses!A61&amp;", Level on LARS is "&amp;'Courses Valid'!CL67&amp;"; ",""),"")</f>
        <v/>
      </c>
      <c r="CN67" s="131"/>
    </row>
    <row r="68" spans="3:92" x14ac:dyDescent="0.35">
      <c r="C68" s="1591">
        <f t="shared" si="2"/>
        <v>0</v>
      </c>
      <c r="D68" s="41"/>
      <c r="E68" s="41"/>
      <c r="F68" s="118"/>
      <c r="G68" s="1591" t="str">
        <f>IF(SUMPRODUCT(--(CourseAims=Courses!$C62))=1,"",IF(AND($N$9=1,Courses!$C62&lt;&gt;""),"Row "&amp;Courses!A62&amp;" (invalid); ",""))</f>
        <v/>
      </c>
      <c r="H68" s="1592" t="str">
        <f>IF(AND($O$9=1,Courses!B62="",OR(Courses!F62&lt;&gt;"",Courses!H62&lt;&gt;"",Courses!J62&lt;&gt;"",Courses!K62&lt;&gt;"",Courses!L62&lt;&gt;"",Courses!M62&lt;&gt;0,Courses!N62&lt;&gt;0,Courses!O62&lt;&gt;0,Courses!P62&lt;&gt;0,Courses!Q62&lt;&gt;0,Courses!R62&lt;&gt;0,Courses!S62&lt;&gt;0,Courses!T62&lt;&gt;0,Courses!U62&lt;&gt;0,Courses!V62&lt;&gt;0,Courses!W62&lt;&gt;0,Courses!X62&lt;&gt;0,Courses!Y62&lt;&gt;0,Courses!Z62&lt;&gt;0,Courses!AA62&lt;&gt;0)),"Row "&amp;Courses!A62&amp;" (none); ","")</f>
        <v/>
      </c>
      <c r="I68" s="17"/>
      <c r="K68" s="1592" t="str">
        <f>Courses!B62&amp;Courses!K62&amp;Courses!L62</f>
        <v/>
      </c>
      <c r="L68" s="1592" t="str">
        <f>IF(AND($P$9=1,Courses!$B62&lt;&gt;"",COUNTIF(Dummy,Courses!$C62)&lt;&gt;1),IF(SUMPRODUCT(--($K$20:$K$219=$K68))&gt;1,"Row "&amp;Courses!$A62&amp;"; ",""),"")</f>
        <v/>
      </c>
      <c r="N68" s="118"/>
      <c r="O68" s="1593" t="str">
        <f>IF(AND($Q$9=1,Courses!E62&lt;&gt;"",Courses!F62=""),"Row "&amp;Courses!A62&amp;", "&amp;Courses!$E$10&amp;"; ","")</f>
        <v/>
      </c>
      <c r="P68" t="str">
        <f>IF(AND($Q$9=1,Courses!G62&lt;&gt;"",Courses!H62=""),"Row "&amp;Courses!A62&amp;", "&amp;Courses!$G$10&amp;"; ","")</f>
        <v/>
      </c>
      <c r="Q68" s="183" t="str">
        <f>IF(AND($Q$9=1,Courses!I62&lt;&gt;"",Courses!J62=""),"Row "&amp;Courses!A62&amp;", "&amp;Courses!$I$10&amp;"; ","")</f>
        <v/>
      </c>
      <c r="S68" s="17"/>
      <c r="T68" s="118"/>
      <c r="U68" s="1594" t="str">
        <f>IF(AND($R$9=1,Courses!B62&lt;&gt;"",Courses!E62&lt;&gt;"",Courses!G62="",Courses!I62="",Courses!F62&lt;&gt;1),"Row "&amp;Courses!A62&amp;"; ","")</f>
        <v/>
      </c>
      <c r="V68" t="str">
        <f>IF(AND($R$9=1,Courses!B62&lt;&gt;"",Courses!I62="",Courses!F62&lt;&gt;"",Courses!G62&lt;&gt;"",Courses!H62&lt;&gt;""),IF(OR((Courses!F62+Courses!H62)&lt;&gt;1),"Row "&amp;Courses!A62&amp;"; ",""),"")</f>
        <v/>
      </c>
      <c r="W68" s="183" t="str">
        <f>IF(AND($R$9=1,Courses!B62&lt;&gt;"",Courses!I62&lt;&gt;"",Courses!J62&lt;&gt;"",Courses!H62&lt;&gt;"",Courses!G62&lt;&gt;"",Courses!F62&lt;&gt;""),IF(OR((Courses!F62+Courses!H62+Courses!J62)&lt;&gt;1),"Row "&amp;Courses!A62&amp;"; ",""),"")</f>
        <v/>
      </c>
      <c r="Y68" s="1592" t="str">
        <f>IF(AND($R$9=1,Courses!E62&lt;&gt;"",U68="",V68="",W68="",SUM(Courses!F62,Courses!H62,Courses!J62)&lt;&gt;1),"Row "&amp;Courses!A62&amp;"; ","")</f>
        <v/>
      </c>
      <c r="Z68" s="17"/>
      <c r="AB68" s="1593" t="str">
        <f>IF(AND($S$9=1,Courses!B62&lt;&gt;"",Courses!E62&lt;&gt;"",Courses!F62&lt;&gt;""),IF((TRUNC(Courses!F62*100)&lt;&gt;Courses!F62*100),"Row "&amp;Courses!A62&amp;", "&amp;Courses!$F$10&amp;"; ",""),"")</f>
        <v/>
      </c>
      <c r="AC68" t="str">
        <f>IF(AND($S$9=1,Courses!B62&lt;&gt;"",Courses!G62&lt;&gt;"",Courses!H62&lt;&gt;""),IF((TRUNC(Courses!H62*100)&lt;&gt;Courses!H62*100),"Row "&amp;Courses!A62&amp;", "&amp;Courses!$H$10&amp;"; ",""),"")</f>
        <v/>
      </c>
      <c r="AD68" s="183" t="str">
        <f>IF(AND($S$9=1,Courses!B62&lt;&gt;"",Courses!I62&lt;&gt;"",Courses!J62&lt;&gt;""),IF((TRUNC(Courses!J62*100)&lt;&gt;Courses!J62*100),"Row "&amp;Courses!A62&amp;", "&amp;Courses!$J$10&amp;"; ",""),"")</f>
        <v/>
      </c>
      <c r="AF68" s="118"/>
      <c r="AG68" s="1592" t="str">
        <f>IF(AND($T$9=1,G68="",Courses!B62&lt;&gt;"",Courses!K62&lt;&gt;$B$9,Courses!K62&lt;&gt;$B$10,Courses!K62&lt;&gt;$B$11,Courses!K62&lt;&gt;$B$12,Courses!K62&lt;&gt;$B$13,Courses!K62&lt;&gt;$B$14),"Row "&amp;Courses!A62&amp;"; ","")</f>
        <v/>
      </c>
      <c r="AH68" s="1592" t="str">
        <f>IF(AND($U$9=1,G68="",Courses!B62&lt;&gt;"",Courses!L62&lt;&gt;"Standard",Courses!L62&lt;&gt;"Long"),"Row "&amp;Courses!A62&amp;"; ","")</f>
        <v/>
      </c>
      <c r="AJ68" s="118"/>
      <c r="AK68" s="3">
        <v>49</v>
      </c>
      <c r="AL68" s="1593" t="str">
        <f>IF(AND($V$9=1,(TRUNC(Courses!M62)&lt;&gt;Courses!M62)), "Row "&amp;Courses!$A62&amp;", "&amp;AL$9&amp;", "&amp;AL$10&amp;", "&amp;AL$11&amp;"; ","")</f>
        <v/>
      </c>
      <c r="AM68" t="str">
        <f>IF(AND($V$9=1,(TRUNC(Courses!N62)&lt;&gt;Courses!N62)), "Row "&amp;Courses!$A62&amp;", "&amp;AM$9&amp;", "&amp;AM$10&amp;", "&amp;AM$11&amp;"; ","")</f>
        <v/>
      </c>
      <c r="AN68" t="str">
        <f>IF(AND($V$9=1,(TRUNC(Courses!O62)&lt;&gt;Courses!O62)), "Row "&amp;Courses!$A62&amp;", "&amp;AN$9&amp;", "&amp;AN$10&amp;", "&amp;AN$11&amp;"; ","")</f>
        <v/>
      </c>
      <c r="AO68" t="str">
        <f>IF(AND($V$9=1,(TRUNC(Courses!P62)&lt;&gt;Courses!P62)), "Row "&amp;Courses!$A62&amp;", "&amp;AO$9&amp;", "&amp;AO$10&amp;", "&amp;AO$11&amp;"; ","")</f>
        <v/>
      </c>
      <c r="AP68" s="2120" t="str">
        <f>IF(AND($V$9=1,(TRUNC(Courses!Q62)&lt;&gt;Courses!Q62)), "Row "&amp;Courses!$A62&amp;", "&amp;AP$9&amp;", "&amp;AP$10&amp;"; ","")</f>
        <v/>
      </c>
      <c r="AQ68" s="1593" t="str">
        <f>IF(AND($V$9=1,(TRUNC(Courses!R62)&lt;&gt;Courses!R62)), "Row "&amp;Courses!$A62&amp;", "&amp;AQ$9&amp;", "&amp;AQ$10&amp;", "&amp;AQ$11&amp;"; ","")</f>
        <v/>
      </c>
      <c r="AR68" t="str">
        <f>IF(AND($V$9=1,(TRUNC(Courses!S62)&lt;&gt;Courses!S62)), "Row "&amp;Courses!$A62&amp;", "&amp;AR$9&amp;", "&amp;AR$10&amp;", "&amp;AR$11&amp;"; ","")</f>
        <v/>
      </c>
      <c r="AS68" t="str">
        <f>IF(AND($V$9=1,(TRUNC(Courses!T62)&lt;&gt;Courses!T62)), "Row "&amp;Courses!$A62&amp;", "&amp;AS$9&amp;", "&amp;AS$10&amp;", "&amp;AS$11&amp;"; ","")</f>
        <v/>
      </c>
      <c r="AT68" t="str">
        <f>IF(AND($V$9=1,(TRUNC(Courses!U62)&lt;&gt;Courses!U62)), "Row "&amp;Courses!$A62&amp;", "&amp;AT$9&amp;", "&amp;AT$10&amp;", "&amp;AT$11&amp;"; ","")</f>
        <v/>
      </c>
      <c r="AU68" s="2120" t="str">
        <f>IF(AND($V$9=1,(TRUNC(Courses!V62)&lt;&gt;Courses!V62)), "Row "&amp;Courses!$A62&amp;", "&amp;AU$9&amp;", "&amp;AU$10&amp;"; ","")</f>
        <v/>
      </c>
      <c r="AV68" s="1593" t="str">
        <f>IF(AND($V$9=1,(TRUNC(Courses!W62)&lt;&gt;Courses!W62)), "Row "&amp;Courses!$A62&amp;", "&amp;AV$9&amp;", "&amp;AV$10&amp;", "&amp;AV$11&amp;"; ","")</f>
        <v/>
      </c>
      <c r="AW68" t="str">
        <f>IF(AND($V$9=1,(TRUNC(Courses!X62)&lt;&gt;Courses!X62)), "Row "&amp;Courses!$A62&amp;", "&amp;AW$9&amp;", "&amp;AW$10&amp;", "&amp;AW$11&amp;"; ","")</f>
        <v/>
      </c>
      <c r="AX68" t="str">
        <f>IF(AND($V$9=1,(TRUNC(Courses!Y62)&lt;&gt;Courses!Y62)), "Row "&amp;Courses!$A62&amp;", "&amp;AX$9&amp;", "&amp;AX$10&amp;", "&amp;AX$11&amp;"; ","")</f>
        <v/>
      </c>
      <c r="AY68" t="str">
        <f>IF(AND($V$9=1,(TRUNC(Courses!Z62)&lt;&gt;Courses!Z62)), "Row "&amp;Courses!$A62&amp;", "&amp;AY$9&amp;", "&amp;AY$10&amp;", "&amp;AY$11&amp;"; ","")</f>
        <v/>
      </c>
      <c r="AZ68" s="2120" t="str">
        <f>IF(AND($V$9=1,(TRUNC(Courses!AA62)&lt;&gt;Courses!AA62)), "Row "&amp;Courses!$A62&amp;", "&amp;AZ$9&amp;", "&amp;AZ$10&amp;"; ","")</f>
        <v/>
      </c>
      <c r="BA68" s="17"/>
      <c r="BB68" s="118"/>
      <c r="BC68" s="3">
        <v>49</v>
      </c>
      <c r="BD68" s="1593" t="str">
        <f>IF(AND($W$9=1,Courses!M62&lt;0), "Row "&amp;Courses!$A62&amp;", "&amp;BD$9&amp;", "&amp;BD$10&amp;", "&amp;BD$11&amp;"; ","")</f>
        <v/>
      </c>
      <c r="BE68" t="str">
        <f>IF(AND($W$9=1,Courses!N62&lt;0), "Row "&amp;Courses!$A62&amp;", "&amp;BE$9&amp;", "&amp;BE$10&amp;", "&amp;BE$11&amp;"; ","")</f>
        <v/>
      </c>
      <c r="BF68" t="str">
        <f>IF(AND($W$9=1,Courses!O62&lt;0), "Row "&amp;Courses!$A62&amp;", "&amp;BF$9&amp;", "&amp;BF$10&amp;", "&amp;BF$11&amp;"; ","")</f>
        <v/>
      </c>
      <c r="BG68" t="str">
        <f>IF(AND($W$9=1,Courses!P62&lt;0), "Row "&amp;Courses!$A62&amp;", "&amp;BG$9&amp;", "&amp;BG$10&amp;", "&amp;BG$11&amp;"; ","")</f>
        <v/>
      </c>
      <c r="BH68" s="2120" t="str">
        <f>IF(AND($W$9=1,Courses!Q62&lt;0), "Row "&amp;Courses!$A62&amp;", "&amp;BH$9&amp;", "&amp;BH$10&amp;"; ","")</f>
        <v/>
      </c>
      <c r="BI68" s="1593" t="str">
        <f>IF(AND($W$9=1,Courses!R62&lt;0), "Row "&amp;Courses!$A62&amp;", "&amp;BI$9&amp;", "&amp;BI$10&amp;", "&amp;BI$11&amp;"; ","")</f>
        <v/>
      </c>
      <c r="BJ68" t="str">
        <f>IF(AND($W$9=1,Courses!S62&lt;0), "Row "&amp;Courses!$A62&amp;", "&amp;BJ$9&amp;", "&amp;BJ$10&amp;", "&amp;BJ$11&amp;"; ","")</f>
        <v/>
      </c>
      <c r="BK68" t="str">
        <f>IF(AND($W$9=1,Courses!T62&lt;0), "Row "&amp;Courses!$A62&amp;", "&amp;BK$9&amp;", "&amp;BK$10&amp;", "&amp;BK$11&amp;"; ","")</f>
        <v/>
      </c>
      <c r="BL68" t="str">
        <f>IF(AND($W$9=1,Courses!U62&lt;0), "Row "&amp;Courses!$A62&amp;", "&amp;BL$9&amp;", "&amp;BL$10&amp;", "&amp;BL$11&amp;"; ","")</f>
        <v/>
      </c>
      <c r="BM68" s="2120" t="str">
        <f>IF(AND($W$9=1,Courses!V62&lt;0), "Row "&amp;Courses!$A62&amp;", "&amp;BM$9&amp;", "&amp;BM$10&amp;"; ","")</f>
        <v/>
      </c>
      <c r="BN68" s="1593" t="str">
        <f>IF(AND($W$9=1,Courses!W62&lt;0), "Row "&amp;Courses!$A62&amp;", "&amp;BN$9&amp;", "&amp;BN$10&amp;", "&amp;BN$11&amp;"; ","")</f>
        <v/>
      </c>
      <c r="BO68" t="str">
        <f>IF(AND($W$9=1,Courses!X62&lt;0), "Row "&amp;Courses!$A62&amp;", "&amp;BO$9&amp;", "&amp;BO$10&amp;", "&amp;BO$11&amp;"; ","")</f>
        <v/>
      </c>
      <c r="BP68" t="str">
        <f>IF(AND($W$9=1,Courses!Y62&lt;0), "Row "&amp;Courses!$A62&amp;", "&amp;BP$9&amp;", "&amp;BP$10&amp;", "&amp;BP$11&amp;"; ","")</f>
        <v/>
      </c>
      <c r="BQ68" t="str">
        <f>IF(AND($W$9=1,Courses!Z62&lt;0), "Row "&amp;Courses!$A62&amp;", "&amp;BQ$9&amp;", "&amp;BQ$10&amp;", "&amp;BQ$11&amp;"; ","")</f>
        <v/>
      </c>
      <c r="BR68" s="2120" t="str">
        <f>IF(AND($W$9=1,Courses!AA62&lt;0), "Row "&amp;Courses!$A62&amp;", "&amp;BR$9&amp;", "&amp;BR$10&amp;"; ","")</f>
        <v/>
      </c>
      <c r="BT68" s="186">
        <v>49</v>
      </c>
      <c r="BU68" s="40">
        <f>IF(AND($X$9=1,Courses!B62="",Courses!F62="",Courses!H62="",Courses!J62="",Courses!K62="",Courses!L62="",Courses!M62=0,Courses!N62=0,Courses!O62=0,Courses!P62=0,Courses!Q62=0,Courses!R62=0,Courses!S62=0,Courses!T62=0,Courses!U62=0,Courses!V62=0,Courses!W62=0,Courses!X62=0,Courses!Y62=0,Courses!Z62=0,Courses!AA62=0),0,1)</f>
        <v>0</v>
      </c>
      <c r="BV68" s="40">
        <f>IF(AND(BU68=0,SUM(BU69:$BU$219)&gt;0),1,0)</f>
        <v>0</v>
      </c>
      <c r="BW68" s="1595" t="str">
        <f>IF(BV68=1,"Row "&amp;Courses!A62&amp;"; ","")</f>
        <v/>
      </c>
      <c r="BX68" s="17"/>
      <c r="BZ68" s="1592" t="str">
        <f>IF(AND($Y$9=1,Courses!B62&lt;&gt;"",SUM(Courses!M62:AA62)=0),"Row "&amp;Courses!A62&amp;"; ","")</f>
        <v/>
      </c>
      <c r="CA68" s="17"/>
      <c r="CC68" s="1592" t="str">
        <f>IF(AND($Z$9=1,Courses!AD62=1,(LEN(Courses!AB62)&gt;200)),"Row "&amp;Courses!A62&amp;"; ","")</f>
        <v/>
      </c>
      <c r="CE68" s="131"/>
      <c r="CG68" s="1593" t="str">
        <f>IF(AND($AD$9=1,Courses!E62&lt;&gt;"",Courses!F62&lt;&gt;"",Courses!F62=0,SUM(Courses!H62,Courses!J62)=1),"Row "&amp;Courses!A62&amp;", "&amp;Courses!$F$10&amp;"; ","")</f>
        <v/>
      </c>
      <c r="CH68" t="str">
        <f>IF(AND($AD$9=1,Courses!G62&lt;&gt;"",Courses!H62&lt;&gt;"",Courses!H62=0,SUM(Courses!J62,Courses!F62)=1),"Row "&amp;Courses!A62&amp;", "&amp;Courses!$H$10&amp;"; ","")</f>
        <v/>
      </c>
      <c r="CI68" s="183" t="str">
        <f>IF(AND($AD$9=1,Courses!I62&lt;&gt;"",Courses!J62&lt;&gt;"",Courses!J62=0, SUM(Courses!H62,Courses!F62)=1),"Row "&amp;Courses!A62&amp;", "&amp;Courses!$J$10&amp;"; ","")</f>
        <v/>
      </c>
      <c r="CJ68" s="180"/>
      <c r="CK68" s="181"/>
      <c r="CL68" s="1592" t="str">
        <f>IF(AND(Courses!B62&lt;&gt;"",ISNA(VLOOKUP(Courses!C62,CourseInfo,2,FALSE))=FALSE,COUNTIF(Dummy,Courses!C62)&lt;&gt;1),VLOOKUP(Courses!C62,CourseInfo,6,FALSE),"")</f>
        <v/>
      </c>
      <c r="CM68" s="1592" t="str">
        <f>IF(AND($AE$9=1,Courses!B62&lt;&gt;"",'Courses Valid'!AG68="",COUNTIF(Dummy,Courses!C62)&lt;&gt;1),IF(Courses!K62&lt;&gt;'Courses Valid'!CL68,"Row "&amp;Courses!A62&amp;", Level on LARS is "&amp;'Courses Valid'!CL68&amp;"; ",""),"")</f>
        <v/>
      </c>
      <c r="CN68" s="131"/>
    </row>
    <row r="69" spans="3:92" x14ac:dyDescent="0.35">
      <c r="C69" s="1591">
        <f t="shared" si="2"/>
        <v>0</v>
      </c>
      <c r="D69" s="41"/>
      <c r="E69" s="41"/>
      <c r="F69" s="118"/>
      <c r="G69" s="1591" t="str">
        <f>IF(SUMPRODUCT(--(CourseAims=Courses!$C63))=1,"",IF(AND($N$9=1,Courses!$C63&lt;&gt;""),"Row "&amp;Courses!A63&amp;" (invalid); ",""))</f>
        <v/>
      </c>
      <c r="H69" s="1592" t="str">
        <f>IF(AND($O$9=1,Courses!B63="",OR(Courses!F63&lt;&gt;"",Courses!H63&lt;&gt;"",Courses!J63&lt;&gt;"",Courses!K63&lt;&gt;"",Courses!L63&lt;&gt;"",Courses!M63&lt;&gt;0,Courses!N63&lt;&gt;0,Courses!O63&lt;&gt;0,Courses!P63&lt;&gt;0,Courses!Q63&lt;&gt;0,Courses!R63&lt;&gt;0,Courses!S63&lt;&gt;0,Courses!T63&lt;&gt;0,Courses!U63&lt;&gt;0,Courses!V63&lt;&gt;0,Courses!W63&lt;&gt;0,Courses!X63&lt;&gt;0,Courses!Y63&lt;&gt;0,Courses!Z63&lt;&gt;0,Courses!AA63&lt;&gt;0)),"Row "&amp;Courses!A63&amp;" (none); ","")</f>
        <v/>
      </c>
      <c r="I69" s="17"/>
      <c r="K69" s="1592" t="str">
        <f>Courses!B63&amp;Courses!K63&amp;Courses!L63</f>
        <v/>
      </c>
      <c r="L69" s="1592" t="str">
        <f>IF(AND($P$9=1,Courses!$B63&lt;&gt;"",COUNTIF(Dummy,Courses!$C63)&lt;&gt;1),IF(SUMPRODUCT(--($K$20:$K$219=$K69))&gt;1,"Row "&amp;Courses!$A63&amp;"; ",""),"")</f>
        <v/>
      </c>
      <c r="N69" s="118"/>
      <c r="O69" s="1593" t="str">
        <f>IF(AND($Q$9=1,Courses!E63&lt;&gt;"",Courses!F63=""),"Row "&amp;Courses!A63&amp;", "&amp;Courses!$E$10&amp;"; ","")</f>
        <v/>
      </c>
      <c r="P69" t="str">
        <f>IF(AND($Q$9=1,Courses!G63&lt;&gt;"",Courses!H63=""),"Row "&amp;Courses!A63&amp;", "&amp;Courses!$G$10&amp;"; ","")</f>
        <v/>
      </c>
      <c r="Q69" s="183" t="str">
        <f>IF(AND($Q$9=1,Courses!I63&lt;&gt;"",Courses!J63=""),"Row "&amp;Courses!A63&amp;", "&amp;Courses!$I$10&amp;"; ","")</f>
        <v/>
      </c>
      <c r="S69" s="17"/>
      <c r="T69" s="118"/>
      <c r="U69" s="1594" t="str">
        <f>IF(AND($R$9=1,Courses!B63&lt;&gt;"",Courses!E63&lt;&gt;"",Courses!G63="",Courses!I63="",Courses!F63&lt;&gt;1),"Row "&amp;Courses!A63&amp;"; ","")</f>
        <v/>
      </c>
      <c r="V69" t="str">
        <f>IF(AND($R$9=1,Courses!B63&lt;&gt;"",Courses!I63="",Courses!F63&lt;&gt;"",Courses!G63&lt;&gt;"",Courses!H63&lt;&gt;""),IF(OR((Courses!F63+Courses!H63)&lt;&gt;1),"Row "&amp;Courses!A63&amp;"; ",""),"")</f>
        <v/>
      </c>
      <c r="W69" s="183" t="str">
        <f>IF(AND($R$9=1,Courses!B63&lt;&gt;"",Courses!I63&lt;&gt;"",Courses!J63&lt;&gt;"",Courses!H63&lt;&gt;"",Courses!G63&lt;&gt;"",Courses!F63&lt;&gt;""),IF(OR((Courses!F63+Courses!H63+Courses!J63)&lt;&gt;1),"Row "&amp;Courses!A63&amp;"; ",""),"")</f>
        <v/>
      </c>
      <c r="Y69" s="1592" t="str">
        <f>IF(AND($R$9=1,Courses!E63&lt;&gt;"",U69="",V69="",W69="",SUM(Courses!F63,Courses!H63,Courses!J63)&lt;&gt;1),"Row "&amp;Courses!A63&amp;"; ","")</f>
        <v/>
      </c>
      <c r="Z69" s="17"/>
      <c r="AB69" s="1593" t="str">
        <f>IF(AND($S$9=1,Courses!B63&lt;&gt;"",Courses!E63&lt;&gt;"",Courses!F63&lt;&gt;""),IF((TRUNC(Courses!F63*100)&lt;&gt;Courses!F63*100),"Row "&amp;Courses!A63&amp;", "&amp;Courses!$F$10&amp;"; ",""),"")</f>
        <v/>
      </c>
      <c r="AC69" t="str">
        <f>IF(AND($S$9=1,Courses!B63&lt;&gt;"",Courses!G63&lt;&gt;"",Courses!H63&lt;&gt;""),IF((TRUNC(Courses!H63*100)&lt;&gt;Courses!H63*100),"Row "&amp;Courses!A63&amp;", "&amp;Courses!$H$10&amp;"; ",""),"")</f>
        <v/>
      </c>
      <c r="AD69" s="183" t="str">
        <f>IF(AND($S$9=1,Courses!B63&lt;&gt;"",Courses!I63&lt;&gt;"",Courses!J63&lt;&gt;""),IF((TRUNC(Courses!J63*100)&lt;&gt;Courses!J63*100),"Row "&amp;Courses!A63&amp;", "&amp;Courses!$J$10&amp;"; ",""),"")</f>
        <v/>
      </c>
      <c r="AF69" s="118"/>
      <c r="AG69" s="1592" t="str">
        <f>IF(AND($T$9=1,G69="",Courses!B63&lt;&gt;"",Courses!K63&lt;&gt;$B$9,Courses!K63&lt;&gt;$B$10,Courses!K63&lt;&gt;$B$11,Courses!K63&lt;&gt;$B$12,Courses!K63&lt;&gt;$B$13,Courses!K63&lt;&gt;$B$14),"Row "&amp;Courses!A63&amp;"; ","")</f>
        <v/>
      </c>
      <c r="AH69" s="1592" t="str">
        <f>IF(AND($U$9=1,G69="",Courses!B63&lt;&gt;"",Courses!L63&lt;&gt;"Standard",Courses!L63&lt;&gt;"Long"),"Row "&amp;Courses!A63&amp;"; ","")</f>
        <v/>
      </c>
      <c r="AJ69" s="118"/>
      <c r="AK69" s="3">
        <v>50</v>
      </c>
      <c r="AL69" s="1593" t="str">
        <f>IF(AND($V$9=1,(TRUNC(Courses!M63)&lt;&gt;Courses!M63)), "Row "&amp;Courses!$A63&amp;", "&amp;AL$9&amp;", "&amp;AL$10&amp;", "&amp;AL$11&amp;"; ","")</f>
        <v/>
      </c>
      <c r="AM69" t="str">
        <f>IF(AND($V$9=1,(TRUNC(Courses!N63)&lt;&gt;Courses!N63)), "Row "&amp;Courses!$A63&amp;", "&amp;AM$9&amp;", "&amp;AM$10&amp;", "&amp;AM$11&amp;"; ","")</f>
        <v/>
      </c>
      <c r="AN69" t="str">
        <f>IF(AND($V$9=1,(TRUNC(Courses!O63)&lt;&gt;Courses!O63)), "Row "&amp;Courses!$A63&amp;", "&amp;AN$9&amp;", "&amp;AN$10&amp;", "&amp;AN$11&amp;"; ","")</f>
        <v/>
      </c>
      <c r="AO69" t="str">
        <f>IF(AND($V$9=1,(TRUNC(Courses!P63)&lt;&gt;Courses!P63)), "Row "&amp;Courses!$A63&amp;", "&amp;AO$9&amp;", "&amp;AO$10&amp;", "&amp;AO$11&amp;"; ","")</f>
        <v/>
      </c>
      <c r="AP69" s="2120" t="str">
        <f>IF(AND($V$9=1,(TRUNC(Courses!Q63)&lt;&gt;Courses!Q63)), "Row "&amp;Courses!$A63&amp;", "&amp;AP$9&amp;", "&amp;AP$10&amp;"; ","")</f>
        <v/>
      </c>
      <c r="AQ69" s="1593" t="str">
        <f>IF(AND($V$9=1,(TRUNC(Courses!R63)&lt;&gt;Courses!R63)), "Row "&amp;Courses!$A63&amp;", "&amp;AQ$9&amp;", "&amp;AQ$10&amp;", "&amp;AQ$11&amp;"; ","")</f>
        <v/>
      </c>
      <c r="AR69" t="str">
        <f>IF(AND($V$9=1,(TRUNC(Courses!S63)&lt;&gt;Courses!S63)), "Row "&amp;Courses!$A63&amp;", "&amp;AR$9&amp;", "&amp;AR$10&amp;", "&amp;AR$11&amp;"; ","")</f>
        <v/>
      </c>
      <c r="AS69" t="str">
        <f>IF(AND($V$9=1,(TRUNC(Courses!T63)&lt;&gt;Courses!T63)), "Row "&amp;Courses!$A63&amp;", "&amp;AS$9&amp;", "&amp;AS$10&amp;", "&amp;AS$11&amp;"; ","")</f>
        <v/>
      </c>
      <c r="AT69" t="str">
        <f>IF(AND($V$9=1,(TRUNC(Courses!U63)&lt;&gt;Courses!U63)), "Row "&amp;Courses!$A63&amp;", "&amp;AT$9&amp;", "&amp;AT$10&amp;", "&amp;AT$11&amp;"; ","")</f>
        <v/>
      </c>
      <c r="AU69" s="2120" t="str">
        <f>IF(AND($V$9=1,(TRUNC(Courses!V63)&lt;&gt;Courses!V63)), "Row "&amp;Courses!$A63&amp;", "&amp;AU$9&amp;", "&amp;AU$10&amp;"; ","")</f>
        <v/>
      </c>
      <c r="AV69" s="1593" t="str">
        <f>IF(AND($V$9=1,(TRUNC(Courses!W63)&lt;&gt;Courses!W63)), "Row "&amp;Courses!$A63&amp;", "&amp;AV$9&amp;", "&amp;AV$10&amp;", "&amp;AV$11&amp;"; ","")</f>
        <v/>
      </c>
      <c r="AW69" t="str">
        <f>IF(AND($V$9=1,(TRUNC(Courses!X63)&lt;&gt;Courses!X63)), "Row "&amp;Courses!$A63&amp;", "&amp;AW$9&amp;", "&amp;AW$10&amp;", "&amp;AW$11&amp;"; ","")</f>
        <v/>
      </c>
      <c r="AX69" t="str">
        <f>IF(AND($V$9=1,(TRUNC(Courses!Y63)&lt;&gt;Courses!Y63)), "Row "&amp;Courses!$A63&amp;", "&amp;AX$9&amp;", "&amp;AX$10&amp;", "&amp;AX$11&amp;"; ","")</f>
        <v/>
      </c>
      <c r="AY69" t="str">
        <f>IF(AND($V$9=1,(TRUNC(Courses!Z63)&lt;&gt;Courses!Z63)), "Row "&amp;Courses!$A63&amp;", "&amp;AY$9&amp;", "&amp;AY$10&amp;", "&amp;AY$11&amp;"; ","")</f>
        <v/>
      </c>
      <c r="AZ69" s="2120" t="str">
        <f>IF(AND($V$9=1,(TRUNC(Courses!AA63)&lt;&gt;Courses!AA63)), "Row "&amp;Courses!$A63&amp;", "&amp;AZ$9&amp;", "&amp;AZ$10&amp;"; ","")</f>
        <v/>
      </c>
      <c r="BA69" s="17"/>
      <c r="BB69" s="118"/>
      <c r="BC69" s="3">
        <v>50</v>
      </c>
      <c r="BD69" s="1593" t="str">
        <f>IF(AND($W$9=1,Courses!M63&lt;0), "Row "&amp;Courses!$A63&amp;", "&amp;BD$9&amp;", "&amp;BD$10&amp;", "&amp;BD$11&amp;"; ","")</f>
        <v/>
      </c>
      <c r="BE69" t="str">
        <f>IF(AND($W$9=1,Courses!N63&lt;0), "Row "&amp;Courses!$A63&amp;", "&amp;BE$9&amp;", "&amp;BE$10&amp;", "&amp;BE$11&amp;"; ","")</f>
        <v/>
      </c>
      <c r="BF69" t="str">
        <f>IF(AND($W$9=1,Courses!O63&lt;0), "Row "&amp;Courses!$A63&amp;", "&amp;BF$9&amp;", "&amp;BF$10&amp;", "&amp;BF$11&amp;"; ","")</f>
        <v/>
      </c>
      <c r="BG69" t="str">
        <f>IF(AND($W$9=1,Courses!P63&lt;0), "Row "&amp;Courses!$A63&amp;", "&amp;BG$9&amp;", "&amp;BG$10&amp;", "&amp;BG$11&amp;"; ","")</f>
        <v/>
      </c>
      <c r="BH69" s="2120" t="str">
        <f>IF(AND($W$9=1,Courses!Q63&lt;0), "Row "&amp;Courses!$A63&amp;", "&amp;BH$9&amp;", "&amp;BH$10&amp;"; ","")</f>
        <v/>
      </c>
      <c r="BI69" s="1593" t="str">
        <f>IF(AND($W$9=1,Courses!R63&lt;0), "Row "&amp;Courses!$A63&amp;", "&amp;BI$9&amp;", "&amp;BI$10&amp;", "&amp;BI$11&amp;"; ","")</f>
        <v/>
      </c>
      <c r="BJ69" t="str">
        <f>IF(AND($W$9=1,Courses!S63&lt;0), "Row "&amp;Courses!$A63&amp;", "&amp;BJ$9&amp;", "&amp;BJ$10&amp;", "&amp;BJ$11&amp;"; ","")</f>
        <v/>
      </c>
      <c r="BK69" t="str">
        <f>IF(AND($W$9=1,Courses!T63&lt;0), "Row "&amp;Courses!$A63&amp;", "&amp;BK$9&amp;", "&amp;BK$10&amp;", "&amp;BK$11&amp;"; ","")</f>
        <v/>
      </c>
      <c r="BL69" t="str">
        <f>IF(AND($W$9=1,Courses!U63&lt;0), "Row "&amp;Courses!$A63&amp;", "&amp;BL$9&amp;", "&amp;BL$10&amp;", "&amp;BL$11&amp;"; ","")</f>
        <v/>
      </c>
      <c r="BM69" s="2120" t="str">
        <f>IF(AND($W$9=1,Courses!V63&lt;0), "Row "&amp;Courses!$A63&amp;", "&amp;BM$9&amp;", "&amp;BM$10&amp;"; ","")</f>
        <v/>
      </c>
      <c r="BN69" s="1593" t="str">
        <f>IF(AND($W$9=1,Courses!W63&lt;0), "Row "&amp;Courses!$A63&amp;", "&amp;BN$9&amp;", "&amp;BN$10&amp;", "&amp;BN$11&amp;"; ","")</f>
        <v/>
      </c>
      <c r="BO69" t="str">
        <f>IF(AND($W$9=1,Courses!X63&lt;0), "Row "&amp;Courses!$A63&amp;", "&amp;BO$9&amp;", "&amp;BO$10&amp;", "&amp;BO$11&amp;"; ","")</f>
        <v/>
      </c>
      <c r="BP69" t="str">
        <f>IF(AND($W$9=1,Courses!Y63&lt;0), "Row "&amp;Courses!$A63&amp;", "&amp;BP$9&amp;", "&amp;BP$10&amp;", "&amp;BP$11&amp;"; ","")</f>
        <v/>
      </c>
      <c r="BQ69" t="str">
        <f>IF(AND($W$9=1,Courses!Z63&lt;0), "Row "&amp;Courses!$A63&amp;", "&amp;BQ$9&amp;", "&amp;BQ$10&amp;", "&amp;BQ$11&amp;"; ","")</f>
        <v/>
      </c>
      <c r="BR69" s="2120" t="str">
        <f>IF(AND($W$9=1,Courses!AA63&lt;0), "Row "&amp;Courses!$A63&amp;", "&amp;BR$9&amp;", "&amp;BR$10&amp;"; ","")</f>
        <v/>
      </c>
      <c r="BT69" s="186">
        <v>50</v>
      </c>
      <c r="BU69" s="40">
        <f>IF(AND($X$9=1,Courses!B63="",Courses!F63="",Courses!H63="",Courses!J63="",Courses!K63="",Courses!L63="",Courses!M63=0,Courses!N63=0,Courses!O63=0,Courses!P63=0,Courses!Q63=0,Courses!R63=0,Courses!S63=0,Courses!T63=0,Courses!U63=0,Courses!V63=0,Courses!W63=0,Courses!X63=0,Courses!Y63=0,Courses!Z63=0,Courses!AA63=0),0,1)</f>
        <v>0</v>
      </c>
      <c r="BV69" s="40">
        <f>IF(AND(BU69=0,SUM(BU70:$BU$219)&gt;0),1,0)</f>
        <v>0</v>
      </c>
      <c r="BW69" s="1595" t="str">
        <f>IF(BV69=1,"Row "&amp;Courses!A63&amp;"; ","")</f>
        <v/>
      </c>
      <c r="BX69" s="17"/>
      <c r="BZ69" s="1592" t="str">
        <f>IF(AND($Y$9=1,Courses!B63&lt;&gt;"",SUM(Courses!M63:AA63)=0),"Row "&amp;Courses!A63&amp;"; ","")</f>
        <v/>
      </c>
      <c r="CA69" s="17"/>
      <c r="CC69" s="1592" t="str">
        <f>IF(AND($Z$9=1,Courses!AD63=1,(LEN(Courses!AB63)&gt;200)),"Row "&amp;Courses!A63&amp;"; ","")</f>
        <v/>
      </c>
      <c r="CE69" s="131"/>
      <c r="CG69" s="1593" t="str">
        <f>IF(AND($AD$9=1,Courses!E63&lt;&gt;"",Courses!F63&lt;&gt;"",Courses!F63=0,SUM(Courses!H63,Courses!J63)=1),"Row "&amp;Courses!A63&amp;", "&amp;Courses!$F$10&amp;"; ","")</f>
        <v/>
      </c>
      <c r="CH69" t="str">
        <f>IF(AND($AD$9=1,Courses!G63&lt;&gt;"",Courses!H63&lt;&gt;"",Courses!H63=0,SUM(Courses!J63,Courses!F63)=1),"Row "&amp;Courses!A63&amp;", "&amp;Courses!$H$10&amp;"; ","")</f>
        <v/>
      </c>
      <c r="CI69" s="183" t="str">
        <f>IF(AND($AD$9=1,Courses!I63&lt;&gt;"",Courses!J63&lt;&gt;"",Courses!J63=0, SUM(Courses!H63,Courses!F63)=1),"Row "&amp;Courses!A63&amp;", "&amp;Courses!$J$10&amp;"; ","")</f>
        <v/>
      </c>
      <c r="CJ69" s="180"/>
      <c r="CK69" s="181"/>
      <c r="CL69" s="1592" t="str">
        <f>IF(AND(Courses!B63&lt;&gt;"",ISNA(VLOOKUP(Courses!C63,CourseInfo,2,FALSE))=FALSE,COUNTIF(Dummy,Courses!C63)&lt;&gt;1),VLOOKUP(Courses!C63,CourseInfo,6,FALSE),"")</f>
        <v/>
      </c>
      <c r="CM69" s="1592" t="str">
        <f>IF(AND($AE$9=1,Courses!B63&lt;&gt;"",'Courses Valid'!AG69="",COUNTIF(Dummy,Courses!C63)&lt;&gt;1),IF(Courses!K63&lt;&gt;'Courses Valid'!CL69,"Row "&amp;Courses!A63&amp;", Level on LARS is "&amp;'Courses Valid'!CL69&amp;"; ",""),"")</f>
        <v/>
      </c>
      <c r="CN69" s="131"/>
    </row>
    <row r="70" spans="3:92" x14ac:dyDescent="0.35">
      <c r="C70" s="1591">
        <f t="shared" si="2"/>
        <v>0</v>
      </c>
      <c r="D70" s="41"/>
      <c r="E70" s="41"/>
      <c r="F70" s="118"/>
      <c r="G70" s="1591" t="str">
        <f>IF(SUMPRODUCT(--(CourseAims=Courses!$C64))=1,"",IF(AND($N$9=1,Courses!$C64&lt;&gt;""),"Row "&amp;Courses!A64&amp;" (invalid); ",""))</f>
        <v/>
      </c>
      <c r="H70" s="1592" t="str">
        <f>IF(AND($O$9=1,Courses!B64="",OR(Courses!F64&lt;&gt;"",Courses!H64&lt;&gt;"",Courses!J64&lt;&gt;"",Courses!K64&lt;&gt;"",Courses!L64&lt;&gt;"",Courses!M64&lt;&gt;0,Courses!N64&lt;&gt;0,Courses!O64&lt;&gt;0,Courses!P64&lt;&gt;0,Courses!Q64&lt;&gt;0,Courses!R64&lt;&gt;0,Courses!S64&lt;&gt;0,Courses!T64&lt;&gt;0,Courses!U64&lt;&gt;0,Courses!V64&lt;&gt;0,Courses!W64&lt;&gt;0,Courses!X64&lt;&gt;0,Courses!Y64&lt;&gt;0,Courses!Z64&lt;&gt;0,Courses!AA64&lt;&gt;0)),"Row "&amp;Courses!A64&amp;" (none); ","")</f>
        <v/>
      </c>
      <c r="I70" s="17"/>
      <c r="K70" s="1592" t="str">
        <f>Courses!B64&amp;Courses!K64&amp;Courses!L64</f>
        <v/>
      </c>
      <c r="L70" s="1592" t="str">
        <f>IF(AND($P$9=1,Courses!$B64&lt;&gt;"",COUNTIF(Dummy,Courses!$C64)&lt;&gt;1),IF(SUMPRODUCT(--($K$20:$K$219=$K70))&gt;1,"Row "&amp;Courses!$A64&amp;"; ",""),"")</f>
        <v/>
      </c>
      <c r="N70" s="118"/>
      <c r="O70" s="1593" t="str">
        <f>IF(AND($Q$9=1,Courses!E64&lt;&gt;"",Courses!F64=""),"Row "&amp;Courses!A64&amp;", "&amp;Courses!$E$10&amp;"; ","")</f>
        <v/>
      </c>
      <c r="P70" t="str">
        <f>IF(AND($Q$9=1,Courses!G64&lt;&gt;"",Courses!H64=""),"Row "&amp;Courses!A64&amp;", "&amp;Courses!$G$10&amp;"; ","")</f>
        <v/>
      </c>
      <c r="Q70" s="183" t="str">
        <f>IF(AND($Q$9=1,Courses!I64&lt;&gt;"",Courses!J64=""),"Row "&amp;Courses!A64&amp;", "&amp;Courses!$I$10&amp;"; ","")</f>
        <v/>
      </c>
      <c r="S70" s="17"/>
      <c r="T70" s="118"/>
      <c r="U70" s="1594" t="str">
        <f>IF(AND($R$9=1,Courses!B64&lt;&gt;"",Courses!E64&lt;&gt;"",Courses!G64="",Courses!I64="",Courses!F64&lt;&gt;1),"Row "&amp;Courses!A64&amp;"; ","")</f>
        <v/>
      </c>
      <c r="V70" t="str">
        <f>IF(AND($R$9=1,Courses!B64&lt;&gt;"",Courses!I64="",Courses!F64&lt;&gt;"",Courses!G64&lt;&gt;"",Courses!H64&lt;&gt;""),IF(OR((Courses!F64+Courses!H64)&lt;&gt;1),"Row "&amp;Courses!A64&amp;"; ",""),"")</f>
        <v/>
      </c>
      <c r="W70" s="183" t="str">
        <f>IF(AND($R$9=1,Courses!B64&lt;&gt;"",Courses!I64&lt;&gt;"",Courses!J64&lt;&gt;"",Courses!H64&lt;&gt;"",Courses!G64&lt;&gt;"",Courses!F64&lt;&gt;""),IF(OR((Courses!F64+Courses!H64+Courses!J64)&lt;&gt;1),"Row "&amp;Courses!A64&amp;"; ",""),"")</f>
        <v/>
      </c>
      <c r="Y70" s="1592" t="str">
        <f>IF(AND($R$9=1,Courses!E64&lt;&gt;"",U70="",V70="",W70="",SUM(Courses!F64,Courses!H64,Courses!J64)&lt;&gt;1),"Row "&amp;Courses!A64&amp;"; ","")</f>
        <v/>
      </c>
      <c r="Z70" s="17"/>
      <c r="AB70" s="1593" t="str">
        <f>IF(AND($S$9=1,Courses!B64&lt;&gt;"",Courses!E64&lt;&gt;"",Courses!F64&lt;&gt;""),IF((TRUNC(Courses!F64*100)&lt;&gt;Courses!F64*100),"Row "&amp;Courses!A64&amp;", "&amp;Courses!$F$10&amp;"; ",""),"")</f>
        <v/>
      </c>
      <c r="AC70" t="str">
        <f>IF(AND($S$9=1,Courses!B64&lt;&gt;"",Courses!G64&lt;&gt;"",Courses!H64&lt;&gt;""),IF((TRUNC(Courses!H64*100)&lt;&gt;Courses!H64*100),"Row "&amp;Courses!A64&amp;", "&amp;Courses!$H$10&amp;"; ",""),"")</f>
        <v/>
      </c>
      <c r="AD70" s="183" t="str">
        <f>IF(AND($S$9=1,Courses!B64&lt;&gt;"",Courses!I64&lt;&gt;"",Courses!J64&lt;&gt;""),IF((TRUNC(Courses!J64*100)&lt;&gt;Courses!J64*100),"Row "&amp;Courses!A64&amp;", "&amp;Courses!$J$10&amp;"; ",""),"")</f>
        <v/>
      </c>
      <c r="AF70" s="118"/>
      <c r="AG70" s="1592" t="str">
        <f>IF(AND($T$9=1,G70="",Courses!B64&lt;&gt;"",Courses!K64&lt;&gt;$B$9,Courses!K64&lt;&gt;$B$10,Courses!K64&lt;&gt;$B$11,Courses!K64&lt;&gt;$B$12,Courses!K64&lt;&gt;$B$13,Courses!K64&lt;&gt;$B$14),"Row "&amp;Courses!A64&amp;"; ","")</f>
        <v/>
      </c>
      <c r="AH70" s="1592" t="str">
        <f>IF(AND($U$9=1,G70="",Courses!B64&lt;&gt;"",Courses!L64&lt;&gt;"Standard",Courses!L64&lt;&gt;"Long"),"Row "&amp;Courses!A64&amp;"; ","")</f>
        <v/>
      </c>
      <c r="AJ70" s="118"/>
      <c r="AK70" s="3">
        <v>51</v>
      </c>
      <c r="AL70" s="1593" t="str">
        <f>IF(AND($V$9=1,(TRUNC(Courses!M64)&lt;&gt;Courses!M64)), "Row "&amp;Courses!$A64&amp;", "&amp;AL$9&amp;", "&amp;AL$10&amp;", "&amp;AL$11&amp;"; ","")</f>
        <v/>
      </c>
      <c r="AM70" t="str">
        <f>IF(AND($V$9=1,(TRUNC(Courses!N64)&lt;&gt;Courses!N64)), "Row "&amp;Courses!$A64&amp;", "&amp;AM$9&amp;", "&amp;AM$10&amp;", "&amp;AM$11&amp;"; ","")</f>
        <v/>
      </c>
      <c r="AN70" t="str">
        <f>IF(AND($V$9=1,(TRUNC(Courses!O64)&lt;&gt;Courses!O64)), "Row "&amp;Courses!$A64&amp;", "&amp;AN$9&amp;", "&amp;AN$10&amp;", "&amp;AN$11&amp;"; ","")</f>
        <v/>
      </c>
      <c r="AO70" t="str">
        <f>IF(AND($V$9=1,(TRUNC(Courses!P64)&lt;&gt;Courses!P64)), "Row "&amp;Courses!$A64&amp;", "&amp;AO$9&amp;", "&amp;AO$10&amp;", "&amp;AO$11&amp;"; ","")</f>
        <v/>
      </c>
      <c r="AP70" s="2120" t="str">
        <f>IF(AND($V$9=1,(TRUNC(Courses!Q64)&lt;&gt;Courses!Q64)), "Row "&amp;Courses!$A64&amp;", "&amp;AP$9&amp;", "&amp;AP$10&amp;"; ","")</f>
        <v/>
      </c>
      <c r="AQ70" s="1593" t="str">
        <f>IF(AND($V$9=1,(TRUNC(Courses!R64)&lt;&gt;Courses!R64)), "Row "&amp;Courses!$A64&amp;", "&amp;AQ$9&amp;", "&amp;AQ$10&amp;", "&amp;AQ$11&amp;"; ","")</f>
        <v/>
      </c>
      <c r="AR70" t="str">
        <f>IF(AND($V$9=1,(TRUNC(Courses!S64)&lt;&gt;Courses!S64)), "Row "&amp;Courses!$A64&amp;", "&amp;AR$9&amp;", "&amp;AR$10&amp;", "&amp;AR$11&amp;"; ","")</f>
        <v/>
      </c>
      <c r="AS70" t="str">
        <f>IF(AND($V$9=1,(TRUNC(Courses!T64)&lt;&gt;Courses!T64)), "Row "&amp;Courses!$A64&amp;", "&amp;AS$9&amp;", "&amp;AS$10&amp;", "&amp;AS$11&amp;"; ","")</f>
        <v/>
      </c>
      <c r="AT70" t="str">
        <f>IF(AND($V$9=1,(TRUNC(Courses!U64)&lt;&gt;Courses!U64)), "Row "&amp;Courses!$A64&amp;", "&amp;AT$9&amp;", "&amp;AT$10&amp;", "&amp;AT$11&amp;"; ","")</f>
        <v/>
      </c>
      <c r="AU70" s="2120" t="str">
        <f>IF(AND($V$9=1,(TRUNC(Courses!V64)&lt;&gt;Courses!V64)), "Row "&amp;Courses!$A64&amp;", "&amp;AU$9&amp;", "&amp;AU$10&amp;"; ","")</f>
        <v/>
      </c>
      <c r="AV70" s="1593" t="str">
        <f>IF(AND($V$9=1,(TRUNC(Courses!W64)&lt;&gt;Courses!W64)), "Row "&amp;Courses!$A64&amp;", "&amp;AV$9&amp;", "&amp;AV$10&amp;", "&amp;AV$11&amp;"; ","")</f>
        <v/>
      </c>
      <c r="AW70" t="str">
        <f>IF(AND($V$9=1,(TRUNC(Courses!X64)&lt;&gt;Courses!X64)), "Row "&amp;Courses!$A64&amp;", "&amp;AW$9&amp;", "&amp;AW$10&amp;", "&amp;AW$11&amp;"; ","")</f>
        <v/>
      </c>
      <c r="AX70" t="str">
        <f>IF(AND($V$9=1,(TRUNC(Courses!Y64)&lt;&gt;Courses!Y64)), "Row "&amp;Courses!$A64&amp;", "&amp;AX$9&amp;", "&amp;AX$10&amp;", "&amp;AX$11&amp;"; ","")</f>
        <v/>
      </c>
      <c r="AY70" t="str">
        <f>IF(AND($V$9=1,(TRUNC(Courses!Z64)&lt;&gt;Courses!Z64)), "Row "&amp;Courses!$A64&amp;", "&amp;AY$9&amp;", "&amp;AY$10&amp;", "&amp;AY$11&amp;"; ","")</f>
        <v/>
      </c>
      <c r="AZ70" s="2120" t="str">
        <f>IF(AND($V$9=1,(TRUNC(Courses!AA64)&lt;&gt;Courses!AA64)), "Row "&amp;Courses!$A64&amp;", "&amp;AZ$9&amp;", "&amp;AZ$10&amp;"; ","")</f>
        <v/>
      </c>
      <c r="BA70" s="17"/>
      <c r="BB70" s="118"/>
      <c r="BC70" s="3">
        <v>51</v>
      </c>
      <c r="BD70" s="1593" t="str">
        <f>IF(AND($W$9=1,Courses!M64&lt;0), "Row "&amp;Courses!$A64&amp;", "&amp;BD$9&amp;", "&amp;BD$10&amp;", "&amp;BD$11&amp;"; ","")</f>
        <v/>
      </c>
      <c r="BE70" t="str">
        <f>IF(AND($W$9=1,Courses!N64&lt;0), "Row "&amp;Courses!$A64&amp;", "&amp;BE$9&amp;", "&amp;BE$10&amp;", "&amp;BE$11&amp;"; ","")</f>
        <v/>
      </c>
      <c r="BF70" t="str">
        <f>IF(AND($W$9=1,Courses!O64&lt;0), "Row "&amp;Courses!$A64&amp;", "&amp;BF$9&amp;", "&amp;BF$10&amp;", "&amp;BF$11&amp;"; ","")</f>
        <v/>
      </c>
      <c r="BG70" t="str">
        <f>IF(AND($W$9=1,Courses!P64&lt;0), "Row "&amp;Courses!$A64&amp;", "&amp;BG$9&amp;", "&amp;BG$10&amp;", "&amp;BG$11&amp;"; ","")</f>
        <v/>
      </c>
      <c r="BH70" s="2120" t="str">
        <f>IF(AND($W$9=1,Courses!Q64&lt;0), "Row "&amp;Courses!$A64&amp;", "&amp;BH$9&amp;", "&amp;BH$10&amp;"; ","")</f>
        <v/>
      </c>
      <c r="BI70" s="1593" t="str">
        <f>IF(AND($W$9=1,Courses!R64&lt;0), "Row "&amp;Courses!$A64&amp;", "&amp;BI$9&amp;", "&amp;BI$10&amp;", "&amp;BI$11&amp;"; ","")</f>
        <v/>
      </c>
      <c r="BJ70" t="str">
        <f>IF(AND($W$9=1,Courses!S64&lt;0), "Row "&amp;Courses!$A64&amp;", "&amp;BJ$9&amp;", "&amp;BJ$10&amp;", "&amp;BJ$11&amp;"; ","")</f>
        <v/>
      </c>
      <c r="BK70" t="str">
        <f>IF(AND($W$9=1,Courses!T64&lt;0), "Row "&amp;Courses!$A64&amp;", "&amp;BK$9&amp;", "&amp;BK$10&amp;", "&amp;BK$11&amp;"; ","")</f>
        <v/>
      </c>
      <c r="BL70" t="str">
        <f>IF(AND($W$9=1,Courses!U64&lt;0), "Row "&amp;Courses!$A64&amp;", "&amp;BL$9&amp;", "&amp;BL$10&amp;", "&amp;BL$11&amp;"; ","")</f>
        <v/>
      </c>
      <c r="BM70" s="2120" t="str">
        <f>IF(AND($W$9=1,Courses!V64&lt;0), "Row "&amp;Courses!$A64&amp;", "&amp;BM$9&amp;", "&amp;BM$10&amp;"; ","")</f>
        <v/>
      </c>
      <c r="BN70" s="1593" t="str">
        <f>IF(AND($W$9=1,Courses!W64&lt;0), "Row "&amp;Courses!$A64&amp;", "&amp;BN$9&amp;", "&amp;BN$10&amp;", "&amp;BN$11&amp;"; ","")</f>
        <v/>
      </c>
      <c r="BO70" t="str">
        <f>IF(AND($W$9=1,Courses!X64&lt;0), "Row "&amp;Courses!$A64&amp;", "&amp;BO$9&amp;", "&amp;BO$10&amp;", "&amp;BO$11&amp;"; ","")</f>
        <v/>
      </c>
      <c r="BP70" t="str">
        <f>IF(AND($W$9=1,Courses!Y64&lt;0), "Row "&amp;Courses!$A64&amp;", "&amp;BP$9&amp;", "&amp;BP$10&amp;", "&amp;BP$11&amp;"; ","")</f>
        <v/>
      </c>
      <c r="BQ70" t="str">
        <f>IF(AND($W$9=1,Courses!Z64&lt;0), "Row "&amp;Courses!$A64&amp;", "&amp;BQ$9&amp;", "&amp;BQ$10&amp;", "&amp;BQ$11&amp;"; ","")</f>
        <v/>
      </c>
      <c r="BR70" s="2120" t="str">
        <f>IF(AND($W$9=1,Courses!AA64&lt;0), "Row "&amp;Courses!$A64&amp;", "&amp;BR$9&amp;", "&amp;BR$10&amp;"; ","")</f>
        <v/>
      </c>
      <c r="BT70" s="186">
        <v>51</v>
      </c>
      <c r="BU70" s="40">
        <f>IF(AND($X$9=1,Courses!B64="",Courses!F64="",Courses!H64="",Courses!J64="",Courses!K64="",Courses!L64="",Courses!M64=0,Courses!N64=0,Courses!O64=0,Courses!P64=0,Courses!Q64=0,Courses!R64=0,Courses!S64=0,Courses!T64=0,Courses!U64=0,Courses!V64=0,Courses!W64=0,Courses!X64=0,Courses!Y64=0,Courses!Z64=0,Courses!AA64=0),0,1)</f>
        <v>0</v>
      </c>
      <c r="BV70" s="40">
        <f>IF(AND(BU70=0,SUM(BU71:$BU$219)&gt;0),1,0)</f>
        <v>0</v>
      </c>
      <c r="BW70" s="1595" t="str">
        <f>IF(BV70=1,"Row "&amp;Courses!A64&amp;"; ","")</f>
        <v/>
      </c>
      <c r="BX70" s="17"/>
      <c r="BZ70" s="1592" t="str">
        <f>IF(AND($Y$9=1,Courses!B64&lt;&gt;"",SUM(Courses!M64:AA64)=0),"Row "&amp;Courses!A64&amp;"; ","")</f>
        <v/>
      </c>
      <c r="CA70" s="17"/>
      <c r="CC70" s="1592" t="str">
        <f>IF(AND($Z$9=1,Courses!AD64=1,(LEN(Courses!AB64)&gt;200)),"Row "&amp;Courses!A64&amp;"; ","")</f>
        <v/>
      </c>
      <c r="CE70" s="131"/>
      <c r="CG70" s="1593" t="str">
        <f>IF(AND($AD$9=1,Courses!E64&lt;&gt;"",Courses!F64&lt;&gt;"",Courses!F64=0,SUM(Courses!H64,Courses!J64)=1),"Row "&amp;Courses!A64&amp;", "&amp;Courses!$F$10&amp;"; ","")</f>
        <v/>
      </c>
      <c r="CH70" t="str">
        <f>IF(AND($AD$9=1,Courses!G64&lt;&gt;"",Courses!H64&lt;&gt;"",Courses!H64=0,SUM(Courses!J64,Courses!F64)=1),"Row "&amp;Courses!A64&amp;", "&amp;Courses!$H$10&amp;"; ","")</f>
        <v/>
      </c>
      <c r="CI70" s="183" t="str">
        <f>IF(AND($AD$9=1,Courses!I64&lt;&gt;"",Courses!J64&lt;&gt;"",Courses!J64=0, SUM(Courses!H64,Courses!F64)=1),"Row "&amp;Courses!A64&amp;", "&amp;Courses!$J$10&amp;"; ","")</f>
        <v/>
      </c>
      <c r="CJ70" s="180"/>
      <c r="CK70" s="181"/>
      <c r="CL70" s="1592" t="str">
        <f>IF(AND(Courses!B64&lt;&gt;"",ISNA(VLOOKUP(Courses!C64,CourseInfo,2,FALSE))=FALSE,COUNTIF(Dummy,Courses!C64)&lt;&gt;1),VLOOKUP(Courses!C64,CourseInfo,6,FALSE),"")</f>
        <v/>
      </c>
      <c r="CM70" s="1592" t="str">
        <f>IF(AND($AE$9=1,Courses!B64&lt;&gt;"",'Courses Valid'!AG70="",COUNTIF(Dummy,Courses!C64)&lt;&gt;1),IF(Courses!K64&lt;&gt;'Courses Valid'!CL70,"Row "&amp;Courses!A64&amp;", Level on LARS is "&amp;'Courses Valid'!CL70&amp;"; ",""),"")</f>
        <v/>
      </c>
      <c r="CN70" s="131"/>
    </row>
    <row r="71" spans="3:92" x14ac:dyDescent="0.35">
      <c r="C71" s="1591">
        <f t="shared" si="2"/>
        <v>0</v>
      </c>
      <c r="D71" s="41"/>
      <c r="E71" s="41"/>
      <c r="F71" s="118"/>
      <c r="G71" s="1591" t="str">
        <f>IF(SUMPRODUCT(--(CourseAims=Courses!$C65))=1,"",IF(AND($N$9=1,Courses!$C65&lt;&gt;""),"Row "&amp;Courses!A65&amp;" (invalid); ",""))</f>
        <v/>
      </c>
      <c r="H71" s="1592" t="str">
        <f>IF(AND($O$9=1,Courses!B65="",OR(Courses!F65&lt;&gt;"",Courses!H65&lt;&gt;"",Courses!J65&lt;&gt;"",Courses!K65&lt;&gt;"",Courses!L65&lt;&gt;"",Courses!M65&lt;&gt;0,Courses!N65&lt;&gt;0,Courses!O65&lt;&gt;0,Courses!P65&lt;&gt;0,Courses!Q65&lt;&gt;0,Courses!R65&lt;&gt;0,Courses!S65&lt;&gt;0,Courses!T65&lt;&gt;0,Courses!U65&lt;&gt;0,Courses!V65&lt;&gt;0,Courses!W65&lt;&gt;0,Courses!X65&lt;&gt;0,Courses!Y65&lt;&gt;0,Courses!Z65&lt;&gt;0,Courses!AA65&lt;&gt;0)),"Row "&amp;Courses!A65&amp;" (none); ","")</f>
        <v/>
      </c>
      <c r="I71" s="17"/>
      <c r="K71" s="1592" t="str">
        <f>Courses!B65&amp;Courses!K65&amp;Courses!L65</f>
        <v/>
      </c>
      <c r="L71" s="1592" t="str">
        <f>IF(AND($P$9=1,Courses!$B65&lt;&gt;"",COUNTIF(Dummy,Courses!$C65)&lt;&gt;1),IF(SUMPRODUCT(--($K$20:$K$219=$K71))&gt;1,"Row "&amp;Courses!$A65&amp;"; ",""),"")</f>
        <v/>
      </c>
      <c r="N71" s="118"/>
      <c r="O71" s="1593" t="str">
        <f>IF(AND($Q$9=1,Courses!E65&lt;&gt;"",Courses!F65=""),"Row "&amp;Courses!A65&amp;", "&amp;Courses!$E$10&amp;"; ","")</f>
        <v/>
      </c>
      <c r="P71" t="str">
        <f>IF(AND($Q$9=1,Courses!G65&lt;&gt;"",Courses!H65=""),"Row "&amp;Courses!A65&amp;", "&amp;Courses!$G$10&amp;"; ","")</f>
        <v/>
      </c>
      <c r="Q71" s="183" t="str">
        <f>IF(AND($Q$9=1,Courses!I65&lt;&gt;"",Courses!J65=""),"Row "&amp;Courses!A65&amp;", "&amp;Courses!$I$10&amp;"; ","")</f>
        <v/>
      </c>
      <c r="S71" s="17"/>
      <c r="T71" s="118"/>
      <c r="U71" s="1594" t="str">
        <f>IF(AND($R$9=1,Courses!B65&lt;&gt;"",Courses!E65&lt;&gt;"",Courses!G65="",Courses!I65="",Courses!F65&lt;&gt;1),"Row "&amp;Courses!A65&amp;"; ","")</f>
        <v/>
      </c>
      <c r="V71" t="str">
        <f>IF(AND($R$9=1,Courses!B65&lt;&gt;"",Courses!I65="",Courses!F65&lt;&gt;"",Courses!G65&lt;&gt;"",Courses!H65&lt;&gt;""),IF(OR((Courses!F65+Courses!H65)&lt;&gt;1),"Row "&amp;Courses!A65&amp;"; ",""),"")</f>
        <v/>
      </c>
      <c r="W71" s="183" t="str">
        <f>IF(AND($R$9=1,Courses!B65&lt;&gt;"",Courses!I65&lt;&gt;"",Courses!J65&lt;&gt;"",Courses!H65&lt;&gt;"",Courses!G65&lt;&gt;"",Courses!F65&lt;&gt;""),IF(OR((Courses!F65+Courses!H65+Courses!J65)&lt;&gt;1),"Row "&amp;Courses!A65&amp;"; ",""),"")</f>
        <v/>
      </c>
      <c r="Y71" s="1592" t="str">
        <f>IF(AND($R$9=1,Courses!E65&lt;&gt;"",U71="",V71="",W71="",SUM(Courses!F65,Courses!H65,Courses!J65)&lt;&gt;1),"Row "&amp;Courses!A65&amp;"; ","")</f>
        <v/>
      </c>
      <c r="Z71" s="17"/>
      <c r="AB71" s="1593" t="str">
        <f>IF(AND($S$9=1,Courses!B65&lt;&gt;"",Courses!E65&lt;&gt;"",Courses!F65&lt;&gt;""),IF((TRUNC(Courses!F65*100)&lt;&gt;Courses!F65*100),"Row "&amp;Courses!A65&amp;", "&amp;Courses!$F$10&amp;"; ",""),"")</f>
        <v/>
      </c>
      <c r="AC71" t="str">
        <f>IF(AND($S$9=1,Courses!B65&lt;&gt;"",Courses!G65&lt;&gt;"",Courses!H65&lt;&gt;""),IF((TRUNC(Courses!H65*100)&lt;&gt;Courses!H65*100),"Row "&amp;Courses!A65&amp;", "&amp;Courses!$H$10&amp;"; ",""),"")</f>
        <v/>
      </c>
      <c r="AD71" s="183" t="str">
        <f>IF(AND($S$9=1,Courses!B65&lt;&gt;"",Courses!I65&lt;&gt;"",Courses!J65&lt;&gt;""),IF((TRUNC(Courses!J65*100)&lt;&gt;Courses!J65*100),"Row "&amp;Courses!A65&amp;", "&amp;Courses!$J$10&amp;"; ",""),"")</f>
        <v/>
      </c>
      <c r="AF71" s="118"/>
      <c r="AG71" s="1592" t="str">
        <f>IF(AND($T$9=1,G71="",Courses!B65&lt;&gt;"",Courses!K65&lt;&gt;$B$9,Courses!K65&lt;&gt;$B$10,Courses!K65&lt;&gt;$B$11,Courses!K65&lt;&gt;$B$12,Courses!K65&lt;&gt;$B$13,Courses!K65&lt;&gt;$B$14),"Row "&amp;Courses!A65&amp;"; ","")</f>
        <v/>
      </c>
      <c r="AH71" s="1592" t="str">
        <f>IF(AND($U$9=1,G71="",Courses!B65&lt;&gt;"",Courses!L65&lt;&gt;"Standard",Courses!L65&lt;&gt;"Long"),"Row "&amp;Courses!A65&amp;"; ","")</f>
        <v/>
      </c>
      <c r="AJ71" s="118"/>
      <c r="AK71" s="3">
        <v>52</v>
      </c>
      <c r="AL71" s="1593" t="str">
        <f>IF(AND($V$9=1,(TRUNC(Courses!M65)&lt;&gt;Courses!M65)), "Row "&amp;Courses!$A65&amp;", "&amp;AL$9&amp;", "&amp;AL$10&amp;", "&amp;AL$11&amp;"; ","")</f>
        <v/>
      </c>
      <c r="AM71" t="str">
        <f>IF(AND($V$9=1,(TRUNC(Courses!N65)&lt;&gt;Courses!N65)), "Row "&amp;Courses!$A65&amp;", "&amp;AM$9&amp;", "&amp;AM$10&amp;", "&amp;AM$11&amp;"; ","")</f>
        <v/>
      </c>
      <c r="AN71" t="str">
        <f>IF(AND($V$9=1,(TRUNC(Courses!O65)&lt;&gt;Courses!O65)), "Row "&amp;Courses!$A65&amp;", "&amp;AN$9&amp;", "&amp;AN$10&amp;", "&amp;AN$11&amp;"; ","")</f>
        <v/>
      </c>
      <c r="AO71" t="str">
        <f>IF(AND($V$9=1,(TRUNC(Courses!P65)&lt;&gt;Courses!P65)), "Row "&amp;Courses!$A65&amp;", "&amp;AO$9&amp;", "&amp;AO$10&amp;", "&amp;AO$11&amp;"; ","")</f>
        <v/>
      </c>
      <c r="AP71" s="2120" t="str">
        <f>IF(AND($V$9=1,(TRUNC(Courses!Q65)&lt;&gt;Courses!Q65)), "Row "&amp;Courses!$A65&amp;", "&amp;AP$9&amp;", "&amp;AP$10&amp;"; ","")</f>
        <v/>
      </c>
      <c r="AQ71" s="1593" t="str">
        <f>IF(AND($V$9=1,(TRUNC(Courses!R65)&lt;&gt;Courses!R65)), "Row "&amp;Courses!$A65&amp;", "&amp;AQ$9&amp;", "&amp;AQ$10&amp;", "&amp;AQ$11&amp;"; ","")</f>
        <v/>
      </c>
      <c r="AR71" t="str">
        <f>IF(AND($V$9=1,(TRUNC(Courses!S65)&lt;&gt;Courses!S65)), "Row "&amp;Courses!$A65&amp;", "&amp;AR$9&amp;", "&amp;AR$10&amp;", "&amp;AR$11&amp;"; ","")</f>
        <v/>
      </c>
      <c r="AS71" t="str">
        <f>IF(AND($V$9=1,(TRUNC(Courses!T65)&lt;&gt;Courses!T65)), "Row "&amp;Courses!$A65&amp;", "&amp;AS$9&amp;", "&amp;AS$10&amp;", "&amp;AS$11&amp;"; ","")</f>
        <v/>
      </c>
      <c r="AT71" t="str">
        <f>IF(AND($V$9=1,(TRUNC(Courses!U65)&lt;&gt;Courses!U65)), "Row "&amp;Courses!$A65&amp;", "&amp;AT$9&amp;", "&amp;AT$10&amp;", "&amp;AT$11&amp;"; ","")</f>
        <v/>
      </c>
      <c r="AU71" s="2120" t="str">
        <f>IF(AND($V$9=1,(TRUNC(Courses!V65)&lt;&gt;Courses!V65)), "Row "&amp;Courses!$A65&amp;", "&amp;AU$9&amp;", "&amp;AU$10&amp;"; ","")</f>
        <v/>
      </c>
      <c r="AV71" s="1593" t="str">
        <f>IF(AND($V$9=1,(TRUNC(Courses!W65)&lt;&gt;Courses!W65)), "Row "&amp;Courses!$A65&amp;", "&amp;AV$9&amp;", "&amp;AV$10&amp;", "&amp;AV$11&amp;"; ","")</f>
        <v/>
      </c>
      <c r="AW71" t="str">
        <f>IF(AND($V$9=1,(TRUNC(Courses!X65)&lt;&gt;Courses!X65)), "Row "&amp;Courses!$A65&amp;", "&amp;AW$9&amp;", "&amp;AW$10&amp;", "&amp;AW$11&amp;"; ","")</f>
        <v/>
      </c>
      <c r="AX71" t="str">
        <f>IF(AND($V$9=1,(TRUNC(Courses!Y65)&lt;&gt;Courses!Y65)), "Row "&amp;Courses!$A65&amp;", "&amp;AX$9&amp;", "&amp;AX$10&amp;", "&amp;AX$11&amp;"; ","")</f>
        <v/>
      </c>
      <c r="AY71" t="str">
        <f>IF(AND($V$9=1,(TRUNC(Courses!Z65)&lt;&gt;Courses!Z65)), "Row "&amp;Courses!$A65&amp;", "&amp;AY$9&amp;", "&amp;AY$10&amp;", "&amp;AY$11&amp;"; ","")</f>
        <v/>
      </c>
      <c r="AZ71" s="2120" t="str">
        <f>IF(AND($V$9=1,(TRUNC(Courses!AA65)&lt;&gt;Courses!AA65)), "Row "&amp;Courses!$A65&amp;", "&amp;AZ$9&amp;", "&amp;AZ$10&amp;"; ","")</f>
        <v/>
      </c>
      <c r="BA71" s="17"/>
      <c r="BB71" s="118"/>
      <c r="BC71" s="3">
        <v>52</v>
      </c>
      <c r="BD71" s="1593" t="str">
        <f>IF(AND($W$9=1,Courses!M65&lt;0), "Row "&amp;Courses!$A65&amp;", "&amp;BD$9&amp;", "&amp;BD$10&amp;", "&amp;BD$11&amp;"; ","")</f>
        <v/>
      </c>
      <c r="BE71" t="str">
        <f>IF(AND($W$9=1,Courses!N65&lt;0), "Row "&amp;Courses!$A65&amp;", "&amp;BE$9&amp;", "&amp;BE$10&amp;", "&amp;BE$11&amp;"; ","")</f>
        <v/>
      </c>
      <c r="BF71" t="str">
        <f>IF(AND($W$9=1,Courses!O65&lt;0), "Row "&amp;Courses!$A65&amp;", "&amp;BF$9&amp;", "&amp;BF$10&amp;", "&amp;BF$11&amp;"; ","")</f>
        <v/>
      </c>
      <c r="BG71" t="str">
        <f>IF(AND($W$9=1,Courses!P65&lt;0), "Row "&amp;Courses!$A65&amp;", "&amp;BG$9&amp;", "&amp;BG$10&amp;", "&amp;BG$11&amp;"; ","")</f>
        <v/>
      </c>
      <c r="BH71" s="2120" t="str">
        <f>IF(AND($W$9=1,Courses!Q65&lt;0), "Row "&amp;Courses!$A65&amp;", "&amp;BH$9&amp;", "&amp;BH$10&amp;"; ","")</f>
        <v/>
      </c>
      <c r="BI71" s="1593" t="str">
        <f>IF(AND($W$9=1,Courses!R65&lt;0), "Row "&amp;Courses!$A65&amp;", "&amp;BI$9&amp;", "&amp;BI$10&amp;", "&amp;BI$11&amp;"; ","")</f>
        <v/>
      </c>
      <c r="BJ71" t="str">
        <f>IF(AND($W$9=1,Courses!S65&lt;0), "Row "&amp;Courses!$A65&amp;", "&amp;BJ$9&amp;", "&amp;BJ$10&amp;", "&amp;BJ$11&amp;"; ","")</f>
        <v/>
      </c>
      <c r="BK71" t="str">
        <f>IF(AND($W$9=1,Courses!T65&lt;0), "Row "&amp;Courses!$A65&amp;", "&amp;BK$9&amp;", "&amp;BK$10&amp;", "&amp;BK$11&amp;"; ","")</f>
        <v/>
      </c>
      <c r="BL71" t="str">
        <f>IF(AND($W$9=1,Courses!U65&lt;0), "Row "&amp;Courses!$A65&amp;", "&amp;BL$9&amp;", "&amp;BL$10&amp;", "&amp;BL$11&amp;"; ","")</f>
        <v/>
      </c>
      <c r="BM71" s="2120" t="str">
        <f>IF(AND($W$9=1,Courses!V65&lt;0), "Row "&amp;Courses!$A65&amp;", "&amp;BM$9&amp;", "&amp;BM$10&amp;"; ","")</f>
        <v/>
      </c>
      <c r="BN71" s="1593" t="str">
        <f>IF(AND($W$9=1,Courses!W65&lt;0), "Row "&amp;Courses!$A65&amp;", "&amp;BN$9&amp;", "&amp;BN$10&amp;", "&amp;BN$11&amp;"; ","")</f>
        <v/>
      </c>
      <c r="BO71" t="str">
        <f>IF(AND($W$9=1,Courses!X65&lt;0), "Row "&amp;Courses!$A65&amp;", "&amp;BO$9&amp;", "&amp;BO$10&amp;", "&amp;BO$11&amp;"; ","")</f>
        <v/>
      </c>
      <c r="BP71" t="str">
        <f>IF(AND($W$9=1,Courses!Y65&lt;0), "Row "&amp;Courses!$A65&amp;", "&amp;BP$9&amp;", "&amp;BP$10&amp;", "&amp;BP$11&amp;"; ","")</f>
        <v/>
      </c>
      <c r="BQ71" t="str">
        <f>IF(AND($W$9=1,Courses!Z65&lt;0), "Row "&amp;Courses!$A65&amp;", "&amp;BQ$9&amp;", "&amp;BQ$10&amp;", "&amp;BQ$11&amp;"; ","")</f>
        <v/>
      </c>
      <c r="BR71" s="2120" t="str">
        <f>IF(AND($W$9=1,Courses!AA65&lt;0), "Row "&amp;Courses!$A65&amp;", "&amp;BR$9&amp;", "&amp;BR$10&amp;"; ","")</f>
        <v/>
      </c>
      <c r="BT71" s="186">
        <v>52</v>
      </c>
      <c r="BU71" s="40">
        <f>IF(AND($X$9=1,Courses!B65="",Courses!F65="",Courses!H65="",Courses!J65="",Courses!K65="",Courses!L65="",Courses!M65=0,Courses!N65=0,Courses!O65=0,Courses!P65=0,Courses!Q65=0,Courses!R65=0,Courses!S65=0,Courses!T65=0,Courses!U65=0,Courses!V65=0,Courses!W65=0,Courses!X65=0,Courses!Y65=0,Courses!Z65=0,Courses!AA65=0),0,1)</f>
        <v>0</v>
      </c>
      <c r="BV71" s="40">
        <f>IF(AND(BU71=0,SUM(BU72:$BU$219)&gt;0),1,0)</f>
        <v>0</v>
      </c>
      <c r="BW71" s="1595" t="str">
        <f>IF(BV71=1,"Row "&amp;Courses!A65&amp;"; ","")</f>
        <v/>
      </c>
      <c r="BX71" s="17"/>
      <c r="BZ71" s="1592" t="str">
        <f>IF(AND($Y$9=1,Courses!B65&lt;&gt;"",SUM(Courses!M65:AA65)=0),"Row "&amp;Courses!A65&amp;"; ","")</f>
        <v/>
      </c>
      <c r="CA71" s="17"/>
      <c r="CC71" s="1592" t="str">
        <f>IF(AND($Z$9=1,Courses!AD65=1,(LEN(Courses!AB65)&gt;200)),"Row "&amp;Courses!A65&amp;"; ","")</f>
        <v/>
      </c>
      <c r="CE71" s="131"/>
      <c r="CG71" s="1593" t="str">
        <f>IF(AND($AD$9=1,Courses!E65&lt;&gt;"",Courses!F65&lt;&gt;"",Courses!F65=0,SUM(Courses!H65,Courses!J65)=1),"Row "&amp;Courses!A65&amp;", "&amp;Courses!$F$10&amp;"; ","")</f>
        <v/>
      </c>
      <c r="CH71" t="str">
        <f>IF(AND($AD$9=1,Courses!G65&lt;&gt;"",Courses!H65&lt;&gt;"",Courses!H65=0,SUM(Courses!J65,Courses!F65)=1),"Row "&amp;Courses!A65&amp;", "&amp;Courses!$H$10&amp;"; ","")</f>
        <v/>
      </c>
      <c r="CI71" s="183" t="str">
        <f>IF(AND($AD$9=1,Courses!I65&lt;&gt;"",Courses!J65&lt;&gt;"",Courses!J65=0, SUM(Courses!H65,Courses!F65)=1),"Row "&amp;Courses!A65&amp;", "&amp;Courses!$J$10&amp;"; ","")</f>
        <v/>
      </c>
      <c r="CJ71" s="180"/>
      <c r="CK71" s="181"/>
      <c r="CL71" s="1592" t="str">
        <f>IF(AND(Courses!B65&lt;&gt;"",ISNA(VLOOKUP(Courses!C65,CourseInfo,2,FALSE))=FALSE,COUNTIF(Dummy,Courses!C65)&lt;&gt;1),VLOOKUP(Courses!C65,CourseInfo,6,FALSE),"")</f>
        <v/>
      </c>
      <c r="CM71" s="1592" t="str">
        <f>IF(AND($AE$9=1,Courses!B65&lt;&gt;"",'Courses Valid'!AG71="",COUNTIF(Dummy,Courses!C65)&lt;&gt;1),IF(Courses!K65&lt;&gt;'Courses Valid'!CL71,"Row "&amp;Courses!A65&amp;", Level on LARS is "&amp;'Courses Valid'!CL71&amp;"; ",""),"")</f>
        <v/>
      </c>
      <c r="CN71" s="131"/>
    </row>
    <row r="72" spans="3:92" x14ac:dyDescent="0.35">
      <c r="C72" s="1591">
        <f t="shared" si="2"/>
        <v>0</v>
      </c>
      <c r="D72" s="41"/>
      <c r="E72" s="41"/>
      <c r="F72" s="118"/>
      <c r="G72" s="1591" t="str">
        <f>IF(SUMPRODUCT(--(CourseAims=Courses!$C66))=1,"",IF(AND($N$9=1,Courses!$C66&lt;&gt;""),"Row "&amp;Courses!A66&amp;" (invalid); ",""))</f>
        <v/>
      </c>
      <c r="H72" s="1592" t="str">
        <f>IF(AND($O$9=1,Courses!B66="",OR(Courses!F66&lt;&gt;"",Courses!H66&lt;&gt;"",Courses!J66&lt;&gt;"",Courses!K66&lt;&gt;"",Courses!L66&lt;&gt;"",Courses!M66&lt;&gt;0,Courses!N66&lt;&gt;0,Courses!O66&lt;&gt;0,Courses!P66&lt;&gt;0,Courses!Q66&lt;&gt;0,Courses!R66&lt;&gt;0,Courses!S66&lt;&gt;0,Courses!T66&lt;&gt;0,Courses!U66&lt;&gt;0,Courses!V66&lt;&gt;0,Courses!W66&lt;&gt;0,Courses!X66&lt;&gt;0,Courses!Y66&lt;&gt;0,Courses!Z66&lt;&gt;0,Courses!AA66&lt;&gt;0)),"Row "&amp;Courses!A66&amp;" (none); ","")</f>
        <v/>
      </c>
      <c r="I72" s="17"/>
      <c r="K72" s="1592" t="str">
        <f>Courses!B66&amp;Courses!K66&amp;Courses!L66</f>
        <v/>
      </c>
      <c r="L72" s="1592" t="str">
        <f>IF(AND($P$9=1,Courses!$B66&lt;&gt;"",COUNTIF(Dummy,Courses!$C66)&lt;&gt;1),IF(SUMPRODUCT(--($K$20:$K$219=$K72))&gt;1,"Row "&amp;Courses!$A66&amp;"; ",""),"")</f>
        <v/>
      </c>
      <c r="N72" s="118"/>
      <c r="O72" s="1593" t="str">
        <f>IF(AND($Q$9=1,Courses!E66&lt;&gt;"",Courses!F66=""),"Row "&amp;Courses!A66&amp;", "&amp;Courses!$E$10&amp;"; ","")</f>
        <v/>
      </c>
      <c r="P72" t="str">
        <f>IF(AND($Q$9=1,Courses!G66&lt;&gt;"",Courses!H66=""),"Row "&amp;Courses!A66&amp;", "&amp;Courses!$G$10&amp;"; ","")</f>
        <v/>
      </c>
      <c r="Q72" s="183" t="str">
        <f>IF(AND($Q$9=1,Courses!I66&lt;&gt;"",Courses!J66=""),"Row "&amp;Courses!A66&amp;", "&amp;Courses!$I$10&amp;"; ","")</f>
        <v/>
      </c>
      <c r="S72" s="17"/>
      <c r="T72" s="118"/>
      <c r="U72" s="1594" t="str">
        <f>IF(AND($R$9=1,Courses!B66&lt;&gt;"",Courses!E66&lt;&gt;"",Courses!G66="",Courses!I66="",Courses!F66&lt;&gt;1),"Row "&amp;Courses!A66&amp;"; ","")</f>
        <v/>
      </c>
      <c r="V72" t="str">
        <f>IF(AND($R$9=1,Courses!B66&lt;&gt;"",Courses!I66="",Courses!F66&lt;&gt;"",Courses!G66&lt;&gt;"",Courses!H66&lt;&gt;""),IF(OR((Courses!F66+Courses!H66)&lt;&gt;1),"Row "&amp;Courses!A66&amp;"; ",""),"")</f>
        <v/>
      </c>
      <c r="W72" s="183" t="str">
        <f>IF(AND($R$9=1,Courses!B66&lt;&gt;"",Courses!I66&lt;&gt;"",Courses!J66&lt;&gt;"",Courses!H66&lt;&gt;"",Courses!G66&lt;&gt;"",Courses!F66&lt;&gt;""),IF(OR((Courses!F66+Courses!H66+Courses!J66)&lt;&gt;1),"Row "&amp;Courses!A66&amp;"; ",""),"")</f>
        <v/>
      </c>
      <c r="Y72" s="1592" t="str">
        <f>IF(AND($R$9=1,Courses!E66&lt;&gt;"",U72="",V72="",W72="",SUM(Courses!F66,Courses!H66,Courses!J66)&lt;&gt;1),"Row "&amp;Courses!A66&amp;"; ","")</f>
        <v/>
      </c>
      <c r="Z72" s="17"/>
      <c r="AB72" s="1593" t="str">
        <f>IF(AND($S$9=1,Courses!B66&lt;&gt;"",Courses!E66&lt;&gt;"",Courses!F66&lt;&gt;""),IF((TRUNC(Courses!F66*100)&lt;&gt;Courses!F66*100),"Row "&amp;Courses!A66&amp;", "&amp;Courses!$F$10&amp;"; ",""),"")</f>
        <v/>
      </c>
      <c r="AC72" t="str">
        <f>IF(AND($S$9=1,Courses!B66&lt;&gt;"",Courses!G66&lt;&gt;"",Courses!H66&lt;&gt;""),IF((TRUNC(Courses!H66*100)&lt;&gt;Courses!H66*100),"Row "&amp;Courses!A66&amp;", "&amp;Courses!$H$10&amp;"; ",""),"")</f>
        <v/>
      </c>
      <c r="AD72" s="183" t="str">
        <f>IF(AND($S$9=1,Courses!B66&lt;&gt;"",Courses!I66&lt;&gt;"",Courses!J66&lt;&gt;""),IF((TRUNC(Courses!J66*100)&lt;&gt;Courses!J66*100),"Row "&amp;Courses!A66&amp;", "&amp;Courses!$J$10&amp;"; ",""),"")</f>
        <v/>
      </c>
      <c r="AF72" s="118"/>
      <c r="AG72" s="1592" t="str">
        <f>IF(AND($T$9=1,G72="",Courses!B66&lt;&gt;"",Courses!K66&lt;&gt;$B$9,Courses!K66&lt;&gt;$B$10,Courses!K66&lt;&gt;$B$11,Courses!K66&lt;&gt;$B$12,Courses!K66&lt;&gt;$B$13,Courses!K66&lt;&gt;$B$14),"Row "&amp;Courses!A66&amp;"; ","")</f>
        <v/>
      </c>
      <c r="AH72" s="1592" t="str">
        <f>IF(AND($U$9=1,G72="",Courses!B66&lt;&gt;"",Courses!L66&lt;&gt;"Standard",Courses!L66&lt;&gt;"Long"),"Row "&amp;Courses!A66&amp;"; ","")</f>
        <v/>
      </c>
      <c r="AJ72" s="118"/>
      <c r="AK72" s="3">
        <v>53</v>
      </c>
      <c r="AL72" s="1593" t="str">
        <f>IF(AND($V$9=1,(TRUNC(Courses!M66)&lt;&gt;Courses!M66)), "Row "&amp;Courses!$A66&amp;", "&amp;AL$9&amp;", "&amp;AL$10&amp;", "&amp;AL$11&amp;"; ","")</f>
        <v/>
      </c>
      <c r="AM72" t="str">
        <f>IF(AND($V$9=1,(TRUNC(Courses!N66)&lt;&gt;Courses!N66)), "Row "&amp;Courses!$A66&amp;", "&amp;AM$9&amp;", "&amp;AM$10&amp;", "&amp;AM$11&amp;"; ","")</f>
        <v/>
      </c>
      <c r="AN72" t="str">
        <f>IF(AND($V$9=1,(TRUNC(Courses!O66)&lt;&gt;Courses!O66)), "Row "&amp;Courses!$A66&amp;", "&amp;AN$9&amp;", "&amp;AN$10&amp;", "&amp;AN$11&amp;"; ","")</f>
        <v/>
      </c>
      <c r="AO72" t="str">
        <f>IF(AND($V$9=1,(TRUNC(Courses!P66)&lt;&gt;Courses!P66)), "Row "&amp;Courses!$A66&amp;", "&amp;AO$9&amp;", "&amp;AO$10&amp;", "&amp;AO$11&amp;"; ","")</f>
        <v/>
      </c>
      <c r="AP72" s="2120" t="str">
        <f>IF(AND($V$9=1,(TRUNC(Courses!Q66)&lt;&gt;Courses!Q66)), "Row "&amp;Courses!$A66&amp;", "&amp;AP$9&amp;", "&amp;AP$10&amp;"; ","")</f>
        <v/>
      </c>
      <c r="AQ72" s="1593" t="str">
        <f>IF(AND($V$9=1,(TRUNC(Courses!R66)&lt;&gt;Courses!R66)), "Row "&amp;Courses!$A66&amp;", "&amp;AQ$9&amp;", "&amp;AQ$10&amp;", "&amp;AQ$11&amp;"; ","")</f>
        <v/>
      </c>
      <c r="AR72" t="str">
        <f>IF(AND($V$9=1,(TRUNC(Courses!S66)&lt;&gt;Courses!S66)), "Row "&amp;Courses!$A66&amp;", "&amp;AR$9&amp;", "&amp;AR$10&amp;", "&amp;AR$11&amp;"; ","")</f>
        <v/>
      </c>
      <c r="AS72" t="str">
        <f>IF(AND($V$9=1,(TRUNC(Courses!T66)&lt;&gt;Courses!T66)), "Row "&amp;Courses!$A66&amp;", "&amp;AS$9&amp;", "&amp;AS$10&amp;", "&amp;AS$11&amp;"; ","")</f>
        <v/>
      </c>
      <c r="AT72" t="str">
        <f>IF(AND($V$9=1,(TRUNC(Courses!U66)&lt;&gt;Courses!U66)), "Row "&amp;Courses!$A66&amp;", "&amp;AT$9&amp;", "&amp;AT$10&amp;", "&amp;AT$11&amp;"; ","")</f>
        <v/>
      </c>
      <c r="AU72" s="2120" t="str">
        <f>IF(AND($V$9=1,(TRUNC(Courses!V66)&lt;&gt;Courses!V66)), "Row "&amp;Courses!$A66&amp;", "&amp;AU$9&amp;", "&amp;AU$10&amp;"; ","")</f>
        <v/>
      </c>
      <c r="AV72" s="1593" t="str">
        <f>IF(AND($V$9=1,(TRUNC(Courses!W66)&lt;&gt;Courses!W66)), "Row "&amp;Courses!$A66&amp;", "&amp;AV$9&amp;", "&amp;AV$10&amp;", "&amp;AV$11&amp;"; ","")</f>
        <v/>
      </c>
      <c r="AW72" t="str">
        <f>IF(AND($V$9=1,(TRUNC(Courses!X66)&lt;&gt;Courses!X66)), "Row "&amp;Courses!$A66&amp;", "&amp;AW$9&amp;", "&amp;AW$10&amp;", "&amp;AW$11&amp;"; ","")</f>
        <v/>
      </c>
      <c r="AX72" t="str">
        <f>IF(AND($V$9=1,(TRUNC(Courses!Y66)&lt;&gt;Courses!Y66)), "Row "&amp;Courses!$A66&amp;", "&amp;AX$9&amp;", "&amp;AX$10&amp;", "&amp;AX$11&amp;"; ","")</f>
        <v/>
      </c>
      <c r="AY72" t="str">
        <f>IF(AND($V$9=1,(TRUNC(Courses!Z66)&lt;&gt;Courses!Z66)), "Row "&amp;Courses!$A66&amp;", "&amp;AY$9&amp;", "&amp;AY$10&amp;", "&amp;AY$11&amp;"; ","")</f>
        <v/>
      </c>
      <c r="AZ72" s="2120" t="str">
        <f>IF(AND($V$9=1,(TRUNC(Courses!AA66)&lt;&gt;Courses!AA66)), "Row "&amp;Courses!$A66&amp;", "&amp;AZ$9&amp;", "&amp;AZ$10&amp;"; ","")</f>
        <v/>
      </c>
      <c r="BA72" s="17"/>
      <c r="BB72" s="118"/>
      <c r="BC72" s="3">
        <v>53</v>
      </c>
      <c r="BD72" s="1593" t="str">
        <f>IF(AND($W$9=1,Courses!M66&lt;0), "Row "&amp;Courses!$A66&amp;", "&amp;BD$9&amp;", "&amp;BD$10&amp;", "&amp;BD$11&amp;"; ","")</f>
        <v/>
      </c>
      <c r="BE72" t="str">
        <f>IF(AND($W$9=1,Courses!N66&lt;0), "Row "&amp;Courses!$A66&amp;", "&amp;BE$9&amp;", "&amp;BE$10&amp;", "&amp;BE$11&amp;"; ","")</f>
        <v/>
      </c>
      <c r="BF72" t="str">
        <f>IF(AND($W$9=1,Courses!O66&lt;0), "Row "&amp;Courses!$A66&amp;", "&amp;BF$9&amp;", "&amp;BF$10&amp;", "&amp;BF$11&amp;"; ","")</f>
        <v/>
      </c>
      <c r="BG72" t="str">
        <f>IF(AND($W$9=1,Courses!P66&lt;0), "Row "&amp;Courses!$A66&amp;", "&amp;BG$9&amp;", "&amp;BG$10&amp;", "&amp;BG$11&amp;"; ","")</f>
        <v/>
      </c>
      <c r="BH72" s="2120" t="str">
        <f>IF(AND($W$9=1,Courses!Q66&lt;0), "Row "&amp;Courses!$A66&amp;", "&amp;BH$9&amp;", "&amp;BH$10&amp;"; ","")</f>
        <v/>
      </c>
      <c r="BI72" s="1593" t="str">
        <f>IF(AND($W$9=1,Courses!R66&lt;0), "Row "&amp;Courses!$A66&amp;", "&amp;BI$9&amp;", "&amp;BI$10&amp;", "&amp;BI$11&amp;"; ","")</f>
        <v/>
      </c>
      <c r="BJ72" t="str">
        <f>IF(AND($W$9=1,Courses!S66&lt;0), "Row "&amp;Courses!$A66&amp;", "&amp;BJ$9&amp;", "&amp;BJ$10&amp;", "&amp;BJ$11&amp;"; ","")</f>
        <v/>
      </c>
      <c r="BK72" t="str">
        <f>IF(AND($W$9=1,Courses!T66&lt;0), "Row "&amp;Courses!$A66&amp;", "&amp;BK$9&amp;", "&amp;BK$10&amp;", "&amp;BK$11&amp;"; ","")</f>
        <v/>
      </c>
      <c r="BL72" t="str">
        <f>IF(AND($W$9=1,Courses!U66&lt;0), "Row "&amp;Courses!$A66&amp;", "&amp;BL$9&amp;", "&amp;BL$10&amp;", "&amp;BL$11&amp;"; ","")</f>
        <v/>
      </c>
      <c r="BM72" s="2120" t="str">
        <f>IF(AND($W$9=1,Courses!V66&lt;0), "Row "&amp;Courses!$A66&amp;", "&amp;BM$9&amp;", "&amp;BM$10&amp;"; ","")</f>
        <v/>
      </c>
      <c r="BN72" s="1593" t="str">
        <f>IF(AND($W$9=1,Courses!W66&lt;0), "Row "&amp;Courses!$A66&amp;", "&amp;BN$9&amp;", "&amp;BN$10&amp;", "&amp;BN$11&amp;"; ","")</f>
        <v/>
      </c>
      <c r="BO72" t="str">
        <f>IF(AND($W$9=1,Courses!X66&lt;0), "Row "&amp;Courses!$A66&amp;", "&amp;BO$9&amp;", "&amp;BO$10&amp;", "&amp;BO$11&amp;"; ","")</f>
        <v/>
      </c>
      <c r="BP72" t="str">
        <f>IF(AND($W$9=1,Courses!Y66&lt;0), "Row "&amp;Courses!$A66&amp;", "&amp;BP$9&amp;", "&amp;BP$10&amp;", "&amp;BP$11&amp;"; ","")</f>
        <v/>
      </c>
      <c r="BQ72" t="str">
        <f>IF(AND($W$9=1,Courses!Z66&lt;0), "Row "&amp;Courses!$A66&amp;", "&amp;BQ$9&amp;", "&amp;BQ$10&amp;", "&amp;BQ$11&amp;"; ","")</f>
        <v/>
      </c>
      <c r="BR72" s="2120" t="str">
        <f>IF(AND($W$9=1,Courses!AA66&lt;0), "Row "&amp;Courses!$A66&amp;", "&amp;BR$9&amp;", "&amp;BR$10&amp;"; ","")</f>
        <v/>
      </c>
      <c r="BT72" s="186">
        <v>53</v>
      </c>
      <c r="BU72" s="40">
        <f>IF(AND($X$9=1,Courses!B66="",Courses!F66="",Courses!H66="",Courses!J66="",Courses!K66="",Courses!L66="",Courses!M66=0,Courses!N66=0,Courses!O66=0,Courses!P66=0,Courses!Q66=0,Courses!R66=0,Courses!S66=0,Courses!T66=0,Courses!U66=0,Courses!V66=0,Courses!W66=0,Courses!X66=0,Courses!Y66=0,Courses!Z66=0,Courses!AA66=0),0,1)</f>
        <v>0</v>
      </c>
      <c r="BV72" s="40">
        <f>IF(AND(BU72=0,SUM(BU73:$BU$219)&gt;0),1,0)</f>
        <v>0</v>
      </c>
      <c r="BW72" s="1595" t="str">
        <f>IF(BV72=1,"Row "&amp;Courses!A66&amp;"; ","")</f>
        <v/>
      </c>
      <c r="BX72" s="17"/>
      <c r="BZ72" s="1592" t="str">
        <f>IF(AND($Y$9=1,Courses!B66&lt;&gt;"",SUM(Courses!M66:AA66)=0),"Row "&amp;Courses!A66&amp;"; ","")</f>
        <v/>
      </c>
      <c r="CA72" s="17"/>
      <c r="CC72" s="1592" t="str">
        <f>IF(AND($Z$9=1,Courses!AD66=1,(LEN(Courses!AB66)&gt;200)),"Row "&amp;Courses!A66&amp;"; ","")</f>
        <v/>
      </c>
      <c r="CE72" s="131"/>
      <c r="CG72" s="1593" t="str">
        <f>IF(AND($AD$9=1,Courses!E66&lt;&gt;"",Courses!F66&lt;&gt;"",Courses!F66=0,SUM(Courses!H66,Courses!J66)=1),"Row "&amp;Courses!A66&amp;", "&amp;Courses!$F$10&amp;"; ","")</f>
        <v/>
      </c>
      <c r="CH72" t="str">
        <f>IF(AND($AD$9=1,Courses!G66&lt;&gt;"",Courses!H66&lt;&gt;"",Courses!H66=0,SUM(Courses!J66,Courses!F66)=1),"Row "&amp;Courses!A66&amp;", "&amp;Courses!$H$10&amp;"; ","")</f>
        <v/>
      </c>
      <c r="CI72" s="183" t="str">
        <f>IF(AND($AD$9=1,Courses!I66&lt;&gt;"",Courses!J66&lt;&gt;"",Courses!J66=0, SUM(Courses!H66,Courses!F66)=1),"Row "&amp;Courses!A66&amp;", "&amp;Courses!$J$10&amp;"; ","")</f>
        <v/>
      </c>
      <c r="CJ72" s="180"/>
      <c r="CK72" s="181"/>
      <c r="CL72" s="1592" t="str">
        <f>IF(AND(Courses!B66&lt;&gt;"",ISNA(VLOOKUP(Courses!C66,CourseInfo,2,FALSE))=FALSE,COUNTIF(Dummy,Courses!C66)&lt;&gt;1),VLOOKUP(Courses!C66,CourseInfo,6,FALSE),"")</f>
        <v/>
      </c>
      <c r="CM72" s="1592" t="str">
        <f>IF(AND($AE$9=1,Courses!B66&lt;&gt;"",'Courses Valid'!AG72="",COUNTIF(Dummy,Courses!C66)&lt;&gt;1),IF(Courses!K66&lt;&gt;'Courses Valid'!CL72,"Row "&amp;Courses!A66&amp;", Level on LARS is "&amp;'Courses Valid'!CL72&amp;"; ",""),"")</f>
        <v/>
      </c>
      <c r="CN72" s="131"/>
    </row>
    <row r="73" spans="3:92" x14ac:dyDescent="0.35">
      <c r="C73" s="1591">
        <f t="shared" si="2"/>
        <v>0</v>
      </c>
      <c r="D73" s="41"/>
      <c r="E73" s="41"/>
      <c r="F73" s="118"/>
      <c r="G73" s="1591" t="str">
        <f>IF(SUMPRODUCT(--(CourseAims=Courses!$C67))=1,"",IF(AND($N$9=1,Courses!$C67&lt;&gt;""),"Row "&amp;Courses!A67&amp;" (invalid); ",""))</f>
        <v/>
      </c>
      <c r="H73" s="1592" t="str">
        <f>IF(AND($O$9=1,Courses!B67="",OR(Courses!F67&lt;&gt;"",Courses!H67&lt;&gt;"",Courses!J67&lt;&gt;"",Courses!K67&lt;&gt;"",Courses!L67&lt;&gt;"",Courses!M67&lt;&gt;0,Courses!N67&lt;&gt;0,Courses!O67&lt;&gt;0,Courses!P67&lt;&gt;0,Courses!Q67&lt;&gt;0,Courses!R67&lt;&gt;0,Courses!S67&lt;&gt;0,Courses!T67&lt;&gt;0,Courses!U67&lt;&gt;0,Courses!V67&lt;&gt;0,Courses!W67&lt;&gt;0,Courses!X67&lt;&gt;0,Courses!Y67&lt;&gt;0,Courses!Z67&lt;&gt;0,Courses!AA67&lt;&gt;0)),"Row "&amp;Courses!A67&amp;" (none); ","")</f>
        <v/>
      </c>
      <c r="I73" s="17"/>
      <c r="K73" s="1592" t="str">
        <f>Courses!B67&amp;Courses!K67&amp;Courses!L67</f>
        <v/>
      </c>
      <c r="L73" s="1592" t="str">
        <f>IF(AND($P$9=1,Courses!$B67&lt;&gt;"",COUNTIF(Dummy,Courses!$C67)&lt;&gt;1),IF(SUMPRODUCT(--($K$20:$K$219=$K73))&gt;1,"Row "&amp;Courses!$A67&amp;"; ",""),"")</f>
        <v/>
      </c>
      <c r="N73" s="118"/>
      <c r="O73" s="1593" t="str">
        <f>IF(AND($Q$9=1,Courses!E67&lt;&gt;"",Courses!F67=""),"Row "&amp;Courses!A67&amp;", "&amp;Courses!$E$10&amp;"; ","")</f>
        <v/>
      </c>
      <c r="P73" t="str">
        <f>IF(AND($Q$9=1,Courses!G67&lt;&gt;"",Courses!H67=""),"Row "&amp;Courses!A67&amp;", "&amp;Courses!$G$10&amp;"; ","")</f>
        <v/>
      </c>
      <c r="Q73" s="183" t="str">
        <f>IF(AND($Q$9=1,Courses!I67&lt;&gt;"",Courses!J67=""),"Row "&amp;Courses!A67&amp;", "&amp;Courses!$I$10&amp;"; ","")</f>
        <v/>
      </c>
      <c r="S73" s="17"/>
      <c r="T73" s="118"/>
      <c r="U73" s="1594" t="str">
        <f>IF(AND($R$9=1,Courses!B67&lt;&gt;"",Courses!E67&lt;&gt;"",Courses!G67="",Courses!I67="",Courses!F67&lt;&gt;1),"Row "&amp;Courses!A67&amp;"; ","")</f>
        <v/>
      </c>
      <c r="V73" t="str">
        <f>IF(AND($R$9=1,Courses!B67&lt;&gt;"",Courses!I67="",Courses!F67&lt;&gt;"",Courses!G67&lt;&gt;"",Courses!H67&lt;&gt;""),IF(OR((Courses!F67+Courses!H67)&lt;&gt;1),"Row "&amp;Courses!A67&amp;"; ",""),"")</f>
        <v/>
      </c>
      <c r="W73" s="183" t="str">
        <f>IF(AND($R$9=1,Courses!B67&lt;&gt;"",Courses!I67&lt;&gt;"",Courses!J67&lt;&gt;"",Courses!H67&lt;&gt;"",Courses!G67&lt;&gt;"",Courses!F67&lt;&gt;""),IF(OR((Courses!F67+Courses!H67+Courses!J67)&lt;&gt;1),"Row "&amp;Courses!A67&amp;"; ",""),"")</f>
        <v/>
      </c>
      <c r="Y73" s="1592" t="str">
        <f>IF(AND($R$9=1,Courses!E67&lt;&gt;"",U73="",V73="",W73="",SUM(Courses!F67,Courses!H67,Courses!J67)&lt;&gt;1),"Row "&amp;Courses!A67&amp;"; ","")</f>
        <v/>
      </c>
      <c r="Z73" s="17"/>
      <c r="AB73" s="1593" t="str">
        <f>IF(AND($S$9=1,Courses!B67&lt;&gt;"",Courses!E67&lt;&gt;"",Courses!F67&lt;&gt;""),IF((TRUNC(Courses!F67*100)&lt;&gt;Courses!F67*100),"Row "&amp;Courses!A67&amp;", "&amp;Courses!$F$10&amp;"; ",""),"")</f>
        <v/>
      </c>
      <c r="AC73" t="str">
        <f>IF(AND($S$9=1,Courses!B67&lt;&gt;"",Courses!G67&lt;&gt;"",Courses!H67&lt;&gt;""),IF((TRUNC(Courses!H67*100)&lt;&gt;Courses!H67*100),"Row "&amp;Courses!A67&amp;", "&amp;Courses!$H$10&amp;"; ",""),"")</f>
        <v/>
      </c>
      <c r="AD73" s="183" t="str">
        <f>IF(AND($S$9=1,Courses!B67&lt;&gt;"",Courses!I67&lt;&gt;"",Courses!J67&lt;&gt;""),IF((TRUNC(Courses!J67*100)&lt;&gt;Courses!J67*100),"Row "&amp;Courses!A67&amp;", "&amp;Courses!$J$10&amp;"; ",""),"")</f>
        <v/>
      </c>
      <c r="AF73" s="118"/>
      <c r="AG73" s="1592" t="str">
        <f>IF(AND($T$9=1,G73="",Courses!B67&lt;&gt;"",Courses!K67&lt;&gt;$B$9,Courses!K67&lt;&gt;$B$10,Courses!K67&lt;&gt;$B$11,Courses!K67&lt;&gt;$B$12,Courses!K67&lt;&gt;$B$13,Courses!K67&lt;&gt;$B$14),"Row "&amp;Courses!A67&amp;"; ","")</f>
        <v/>
      </c>
      <c r="AH73" s="1592" t="str">
        <f>IF(AND($U$9=1,G73="",Courses!B67&lt;&gt;"",Courses!L67&lt;&gt;"Standard",Courses!L67&lt;&gt;"Long"),"Row "&amp;Courses!A67&amp;"; ","")</f>
        <v/>
      </c>
      <c r="AJ73" s="118"/>
      <c r="AK73" s="3">
        <v>54</v>
      </c>
      <c r="AL73" s="1593" t="str">
        <f>IF(AND($V$9=1,(TRUNC(Courses!M67)&lt;&gt;Courses!M67)), "Row "&amp;Courses!$A67&amp;", "&amp;AL$9&amp;", "&amp;AL$10&amp;", "&amp;AL$11&amp;"; ","")</f>
        <v/>
      </c>
      <c r="AM73" t="str">
        <f>IF(AND($V$9=1,(TRUNC(Courses!N67)&lt;&gt;Courses!N67)), "Row "&amp;Courses!$A67&amp;", "&amp;AM$9&amp;", "&amp;AM$10&amp;", "&amp;AM$11&amp;"; ","")</f>
        <v/>
      </c>
      <c r="AN73" t="str">
        <f>IF(AND($V$9=1,(TRUNC(Courses!O67)&lt;&gt;Courses!O67)), "Row "&amp;Courses!$A67&amp;", "&amp;AN$9&amp;", "&amp;AN$10&amp;", "&amp;AN$11&amp;"; ","")</f>
        <v/>
      </c>
      <c r="AO73" t="str">
        <f>IF(AND($V$9=1,(TRUNC(Courses!P67)&lt;&gt;Courses!P67)), "Row "&amp;Courses!$A67&amp;", "&amp;AO$9&amp;", "&amp;AO$10&amp;", "&amp;AO$11&amp;"; ","")</f>
        <v/>
      </c>
      <c r="AP73" s="2120" t="str">
        <f>IF(AND($V$9=1,(TRUNC(Courses!Q67)&lt;&gt;Courses!Q67)), "Row "&amp;Courses!$A67&amp;", "&amp;AP$9&amp;", "&amp;AP$10&amp;"; ","")</f>
        <v/>
      </c>
      <c r="AQ73" s="1593" t="str">
        <f>IF(AND($V$9=1,(TRUNC(Courses!R67)&lt;&gt;Courses!R67)), "Row "&amp;Courses!$A67&amp;", "&amp;AQ$9&amp;", "&amp;AQ$10&amp;", "&amp;AQ$11&amp;"; ","")</f>
        <v/>
      </c>
      <c r="AR73" t="str">
        <f>IF(AND($V$9=1,(TRUNC(Courses!S67)&lt;&gt;Courses!S67)), "Row "&amp;Courses!$A67&amp;", "&amp;AR$9&amp;", "&amp;AR$10&amp;", "&amp;AR$11&amp;"; ","")</f>
        <v/>
      </c>
      <c r="AS73" t="str">
        <f>IF(AND($V$9=1,(TRUNC(Courses!T67)&lt;&gt;Courses!T67)), "Row "&amp;Courses!$A67&amp;", "&amp;AS$9&amp;", "&amp;AS$10&amp;", "&amp;AS$11&amp;"; ","")</f>
        <v/>
      </c>
      <c r="AT73" t="str">
        <f>IF(AND($V$9=1,(TRUNC(Courses!U67)&lt;&gt;Courses!U67)), "Row "&amp;Courses!$A67&amp;", "&amp;AT$9&amp;", "&amp;AT$10&amp;", "&amp;AT$11&amp;"; ","")</f>
        <v/>
      </c>
      <c r="AU73" s="2120" t="str">
        <f>IF(AND($V$9=1,(TRUNC(Courses!V67)&lt;&gt;Courses!V67)), "Row "&amp;Courses!$A67&amp;", "&amp;AU$9&amp;", "&amp;AU$10&amp;"; ","")</f>
        <v/>
      </c>
      <c r="AV73" s="1593" t="str">
        <f>IF(AND($V$9=1,(TRUNC(Courses!W67)&lt;&gt;Courses!W67)), "Row "&amp;Courses!$A67&amp;", "&amp;AV$9&amp;", "&amp;AV$10&amp;", "&amp;AV$11&amp;"; ","")</f>
        <v/>
      </c>
      <c r="AW73" t="str">
        <f>IF(AND($V$9=1,(TRUNC(Courses!X67)&lt;&gt;Courses!X67)), "Row "&amp;Courses!$A67&amp;", "&amp;AW$9&amp;", "&amp;AW$10&amp;", "&amp;AW$11&amp;"; ","")</f>
        <v/>
      </c>
      <c r="AX73" t="str">
        <f>IF(AND($V$9=1,(TRUNC(Courses!Y67)&lt;&gt;Courses!Y67)), "Row "&amp;Courses!$A67&amp;", "&amp;AX$9&amp;", "&amp;AX$10&amp;", "&amp;AX$11&amp;"; ","")</f>
        <v/>
      </c>
      <c r="AY73" t="str">
        <f>IF(AND($V$9=1,(TRUNC(Courses!Z67)&lt;&gt;Courses!Z67)), "Row "&amp;Courses!$A67&amp;", "&amp;AY$9&amp;", "&amp;AY$10&amp;", "&amp;AY$11&amp;"; ","")</f>
        <v/>
      </c>
      <c r="AZ73" s="2120" t="str">
        <f>IF(AND($V$9=1,(TRUNC(Courses!AA67)&lt;&gt;Courses!AA67)), "Row "&amp;Courses!$A67&amp;", "&amp;AZ$9&amp;", "&amp;AZ$10&amp;"; ","")</f>
        <v/>
      </c>
      <c r="BA73" s="17"/>
      <c r="BB73" s="118"/>
      <c r="BC73" s="3">
        <v>54</v>
      </c>
      <c r="BD73" s="1593" t="str">
        <f>IF(AND($W$9=1,Courses!M67&lt;0), "Row "&amp;Courses!$A67&amp;", "&amp;BD$9&amp;", "&amp;BD$10&amp;", "&amp;BD$11&amp;"; ","")</f>
        <v/>
      </c>
      <c r="BE73" t="str">
        <f>IF(AND($W$9=1,Courses!N67&lt;0), "Row "&amp;Courses!$A67&amp;", "&amp;BE$9&amp;", "&amp;BE$10&amp;", "&amp;BE$11&amp;"; ","")</f>
        <v/>
      </c>
      <c r="BF73" t="str">
        <f>IF(AND($W$9=1,Courses!O67&lt;0), "Row "&amp;Courses!$A67&amp;", "&amp;BF$9&amp;", "&amp;BF$10&amp;", "&amp;BF$11&amp;"; ","")</f>
        <v/>
      </c>
      <c r="BG73" t="str">
        <f>IF(AND($W$9=1,Courses!P67&lt;0), "Row "&amp;Courses!$A67&amp;", "&amp;BG$9&amp;", "&amp;BG$10&amp;", "&amp;BG$11&amp;"; ","")</f>
        <v/>
      </c>
      <c r="BH73" s="2120" t="str">
        <f>IF(AND($W$9=1,Courses!Q67&lt;0), "Row "&amp;Courses!$A67&amp;", "&amp;BH$9&amp;", "&amp;BH$10&amp;"; ","")</f>
        <v/>
      </c>
      <c r="BI73" s="1593" t="str">
        <f>IF(AND($W$9=1,Courses!R67&lt;0), "Row "&amp;Courses!$A67&amp;", "&amp;BI$9&amp;", "&amp;BI$10&amp;", "&amp;BI$11&amp;"; ","")</f>
        <v/>
      </c>
      <c r="BJ73" t="str">
        <f>IF(AND($W$9=1,Courses!S67&lt;0), "Row "&amp;Courses!$A67&amp;", "&amp;BJ$9&amp;", "&amp;BJ$10&amp;", "&amp;BJ$11&amp;"; ","")</f>
        <v/>
      </c>
      <c r="BK73" t="str">
        <f>IF(AND($W$9=1,Courses!T67&lt;0), "Row "&amp;Courses!$A67&amp;", "&amp;BK$9&amp;", "&amp;BK$10&amp;", "&amp;BK$11&amp;"; ","")</f>
        <v/>
      </c>
      <c r="BL73" t="str">
        <f>IF(AND($W$9=1,Courses!U67&lt;0), "Row "&amp;Courses!$A67&amp;", "&amp;BL$9&amp;", "&amp;BL$10&amp;", "&amp;BL$11&amp;"; ","")</f>
        <v/>
      </c>
      <c r="BM73" s="2120" t="str">
        <f>IF(AND($W$9=1,Courses!V67&lt;0), "Row "&amp;Courses!$A67&amp;", "&amp;BM$9&amp;", "&amp;BM$10&amp;"; ","")</f>
        <v/>
      </c>
      <c r="BN73" s="1593" t="str">
        <f>IF(AND($W$9=1,Courses!W67&lt;0), "Row "&amp;Courses!$A67&amp;", "&amp;BN$9&amp;", "&amp;BN$10&amp;", "&amp;BN$11&amp;"; ","")</f>
        <v/>
      </c>
      <c r="BO73" t="str">
        <f>IF(AND($W$9=1,Courses!X67&lt;0), "Row "&amp;Courses!$A67&amp;", "&amp;BO$9&amp;", "&amp;BO$10&amp;", "&amp;BO$11&amp;"; ","")</f>
        <v/>
      </c>
      <c r="BP73" t="str">
        <f>IF(AND($W$9=1,Courses!Y67&lt;0), "Row "&amp;Courses!$A67&amp;", "&amp;BP$9&amp;", "&amp;BP$10&amp;", "&amp;BP$11&amp;"; ","")</f>
        <v/>
      </c>
      <c r="BQ73" t="str">
        <f>IF(AND($W$9=1,Courses!Z67&lt;0), "Row "&amp;Courses!$A67&amp;", "&amp;BQ$9&amp;", "&amp;BQ$10&amp;", "&amp;BQ$11&amp;"; ","")</f>
        <v/>
      </c>
      <c r="BR73" s="2120" t="str">
        <f>IF(AND($W$9=1,Courses!AA67&lt;0), "Row "&amp;Courses!$A67&amp;", "&amp;BR$9&amp;", "&amp;BR$10&amp;"; ","")</f>
        <v/>
      </c>
      <c r="BT73" s="186">
        <v>54</v>
      </c>
      <c r="BU73" s="40">
        <f>IF(AND($X$9=1,Courses!B67="",Courses!F67="",Courses!H67="",Courses!J67="",Courses!K67="",Courses!L67="",Courses!M67=0,Courses!N67=0,Courses!O67=0,Courses!P67=0,Courses!Q67=0,Courses!R67=0,Courses!S67=0,Courses!T67=0,Courses!U67=0,Courses!V67=0,Courses!W67=0,Courses!X67=0,Courses!Y67=0,Courses!Z67=0,Courses!AA67=0),0,1)</f>
        <v>0</v>
      </c>
      <c r="BV73" s="40">
        <f>IF(AND(BU73=0,SUM(BU74:$BU$219)&gt;0),1,0)</f>
        <v>0</v>
      </c>
      <c r="BW73" s="1595" t="str">
        <f>IF(BV73=1,"Row "&amp;Courses!A67&amp;"; ","")</f>
        <v/>
      </c>
      <c r="BX73" s="17"/>
      <c r="BZ73" s="1592" t="str">
        <f>IF(AND($Y$9=1,Courses!B67&lt;&gt;"",SUM(Courses!M67:AA67)=0),"Row "&amp;Courses!A67&amp;"; ","")</f>
        <v/>
      </c>
      <c r="CA73" s="17"/>
      <c r="CC73" s="1592" t="str">
        <f>IF(AND($Z$9=1,Courses!AD67=1,(LEN(Courses!AB67)&gt;200)),"Row "&amp;Courses!A67&amp;"; ","")</f>
        <v/>
      </c>
      <c r="CE73" s="131"/>
      <c r="CG73" s="1593" t="str">
        <f>IF(AND($AD$9=1,Courses!E67&lt;&gt;"",Courses!F67&lt;&gt;"",Courses!F67=0,SUM(Courses!H67,Courses!J67)=1),"Row "&amp;Courses!A67&amp;", "&amp;Courses!$F$10&amp;"; ","")</f>
        <v/>
      </c>
      <c r="CH73" t="str">
        <f>IF(AND($AD$9=1,Courses!G67&lt;&gt;"",Courses!H67&lt;&gt;"",Courses!H67=0,SUM(Courses!J67,Courses!F67)=1),"Row "&amp;Courses!A67&amp;", "&amp;Courses!$H$10&amp;"; ","")</f>
        <v/>
      </c>
      <c r="CI73" s="183" t="str">
        <f>IF(AND($AD$9=1,Courses!I67&lt;&gt;"",Courses!J67&lt;&gt;"",Courses!J67=0, SUM(Courses!H67,Courses!F67)=1),"Row "&amp;Courses!A67&amp;", "&amp;Courses!$J$10&amp;"; ","")</f>
        <v/>
      </c>
      <c r="CJ73" s="180"/>
      <c r="CK73" s="181"/>
      <c r="CL73" s="1592" t="str">
        <f>IF(AND(Courses!B67&lt;&gt;"",ISNA(VLOOKUP(Courses!C67,CourseInfo,2,FALSE))=FALSE,COUNTIF(Dummy,Courses!C67)&lt;&gt;1),VLOOKUP(Courses!C67,CourseInfo,6,FALSE),"")</f>
        <v/>
      </c>
      <c r="CM73" s="1592" t="str">
        <f>IF(AND($AE$9=1,Courses!B67&lt;&gt;"",'Courses Valid'!AG73="",COUNTIF(Dummy,Courses!C67)&lt;&gt;1),IF(Courses!K67&lt;&gt;'Courses Valid'!CL73,"Row "&amp;Courses!A67&amp;", Level on LARS is "&amp;'Courses Valid'!CL73&amp;"; ",""),"")</f>
        <v/>
      </c>
      <c r="CN73" s="131"/>
    </row>
    <row r="74" spans="3:92" x14ac:dyDescent="0.35">
      <c r="C74" s="1591">
        <f t="shared" si="2"/>
        <v>0</v>
      </c>
      <c r="D74" s="41"/>
      <c r="E74" s="41"/>
      <c r="F74" s="118"/>
      <c r="G74" s="1591" t="str">
        <f>IF(SUMPRODUCT(--(CourseAims=Courses!$C68))=1,"",IF(AND($N$9=1,Courses!$C68&lt;&gt;""),"Row "&amp;Courses!A68&amp;" (invalid); ",""))</f>
        <v/>
      </c>
      <c r="H74" s="1592" t="str">
        <f>IF(AND($O$9=1,Courses!B68="",OR(Courses!F68&lt;&gt;"",Courses!H68&lt;&gt;"",Courses!J68&lt;&gt;"",Courses!K68&lt;&gt;"",Courses!L68&lt;&gt;"",Courses!M68&lt;&gt;0,Courses!N68&lt;&gt;0,Courses!O68&lt;&gt;0,Courses!P68&lt;&gt;0,Courses!Q68&lt;&gt;0,Courses!R68&lt;&gt;0,Courses!S68&lt;&gt;0,Courses!T68&lt;&gt;0,Courses!U68&lt;&gt;0,Courses!V68&lt;&gt;0,Courses!W68&lt;&gt;0,Courses!X68&lt;&gt;0,Courses!Y68&lt;&gt;0,Courses!Z68&lt;&gt;0,Courses!AA68&lt;&gt;0)),"Row "&amp;Courses!A68&amp;" (none); ","")</f>
        <v/>
      </c>
      <c r="I74" s="17"/>
      <c r="K74" s="1592" t="str">
        <f>Courses!B68&amp;Courses!K68&amp;Courses!L68</f>
        <v/>
      </c>
      <c r="L74" s="1592" t="str">
        <f>IF(AND($P$9=1,Courses!$B68&lt;&gt;"",COUNTIF(Dummy,Courses!$C68)&lt;&gt;1),IF(SUMPRODUCT(--($K$20:$K$219=$K74))&gt;1,"Row "&amp;Courses!$A68&amp;"; ",""),"")</f>
        <v/>
      </c>
      <c r="N74" s="118"/>
      <c r="O74" s="1593" t="str">
        <f>IF(AND($Q$9=1,Courses!E68&lt;&gt;"",Courses!F68=""),"Row "&amp;Courses!A68&amp;", "&amp;Courses!$E$10&amp;"; ","")</f>
        <v/>
      </c>
      <c r="P74" t="str">
        <f>IF(AND($Q$9=1,Courses!G68&lt;&gt;"",Courses!H68=""),"Row "&amp;Courses!A68&amp;", "&amp;Courses!$G$10&amp;"; ","")</f>
        <v/>
      </c>
      <c r="Q74" s="183" t="str">
        <f>IF(AND($Q$9=1,Courses!I68&lt;&gt;"",Courses!J68=""),"Row "&amp;Courses!A68&amp;", "&amp;Courses!$I$10&amp;"; ","")</f>
        <v/>
      </c>
      <c r="S74" s="17"/>
      <c r="T74" s="118"/>
      <c r="U74" s="1594" t="str">
        <f>IF(AND($R$9=1,Courses!B68&lt;&gt;"",Courses!E68&lt;&gt;"",Courses!G68="",Courses!I68="",Courses!F68&lt;&gt;1),"Row "&amp;Courses!A68&amp;"; ","")</f>
        <v/>
      </c>
      <c r="V74" t="str">
        <f>IF(AND($R$9=1,Courses!B68&lt;&gt;"",Courses!I68="",Courses!F68&lt;&gt;"",Courses!G68&lt;&gt;"",Courses!H68&lt;&gt;""),IF(OR((Courses!F68+Courses!H68)&lt;&gt;1),"Row "&amp;Courses!A68&amp;"; ",""),"")</f>
        <v/>
      </c>
      <c r="W74" s="183" t="str">
        <f>IF(AND($R$9=1,Courses!B68&lt;&gt;"",Courses!I68&lt;&gt;"",Courses!J68&lt;&gt;"",Courses!H68&lt;&gt;"",Courses!G68&lt;&gt;"",Courses!F68&lt;&gt;""),IF(OR((Courses!F68+Courses!H68+Courses!J68)&lt;&gt;1),"Row "&amp;Courses!A68&amp;"; ",""),"")</f>
        <v/>
      </c>
      <c r="Y74" s="1592" t="str">
        <f>IF(AND($R$9=1,Courses!E68&lt;&gt;"",U74="",V74="",W74="",SUM(Courses!F68,Courses!H68,Courses!J68)&lt;&gt;1),"Row "&amp;Courses!A68&amp;"; ","")</f>
        <v/>
      </c>
      <c r="Z74" s="17"/>
      <c r="AB74" s="1593" t="str">
        <f>IF(AND($S$9=1,Courses!B68&lt;&gt;"",Courses!E68&lt;&gt;"",Courses!F68&lt;&gt;""),IF((TRUNC(Courses!F68*100)&lt;&gt;Courses!F68*100),"Row "&amp;Courses!A68&amp;", "&amp;Courses!$F$10&amp;"; ",""),"")</f>
        <v/>
      </c>
      <c r="AC74" t="str">
        <f>IF(AND($S$9=1,Courses!B68&lt;&gt;"",Courses!G68&lt;&gt;"",Courses!H68&lt;&gt;""),IF((TRUNC(Courses!H68*100)&lt;&gt;Courses!H68*100),"Row "&amp;Courses!A68&amp;", "&amp;Courses!$H$10&amp;"; ",""),"")</f>
        <v/>
      </c>
      <c r="AD74" s="183" t="str">
        <f>IF(AND($S$9=1,Courses!B68&lt;&gt;"",Courses!I68&lt;&gt;"",Courses!J68&lt;&gt;""),IF((TRUNC(Courses!J68*100)&lt;&gt;Courses!J68*100),"Row "&amp;Courses!A68&amp;", "&amp;Courses!$J$10&amp;"; ",""),"")</f>
        <v/>
      </c>
      <c r="AF74" s="118"/>
      <c r="AG74" s="1592" t="str">
        <f>IF(AND($T$9=1,G74="",Courses!B68&lt;&gt;"",Courses!K68&lt;&gt;$B$9,Courses!K68&lt;&gt;$B$10,Courses!K68&lt;&gt;$B$11,Courses!K68&lt;&gt;$B$12,Courses!K68&lt;&gt;$B$13,Courses!K68&lt;&gt;$B$14),"Row "&amp;Courses!A68&amp;"; ","")</f>
        <v/>
      </c>
      <c r="AH74" s="1592" t="str">
        <f>IF(AND($U$9=1,G74="",Courses!B68&lt;&gt;"",Courses!L68&lt;&gt;"Standard",Courses!L68&lt;&gt;"Long"),"Row "&amp;Courses!A68&amp;"; ","")</f>
        <v/>
      </c>
      <c r="AJ74" s="118"/>
      <c r="AK74" s="3">
        <v>55</v>
      </c>
      <c r="AL74" s="1593" t="str">
        <f>IF(AND($V$9=1,(TRUNC(Courses!M68)&lt;&gt;Courses!M68)), "Row "&amp;Courses!$A68&amp;", "&amp;AL$9&amp;", "&amp;AL$10&amp;", "&amp;AL$11&amp;"; ","")</f>
        <v/>
      </c>
      <c r="AM74" t="str">
        <f>IF(AND($V$9=1,(TRUNC(Courses!N68)&lt;&gt;Courses!N68)), "Row "&amp;Courses!$A68&amp;", "&amp;AM$9&amp;", "&amp;AM$10&amp;", "&amp;AM$11&amp;"; ","")</f>
        <v/>
      </c>
      <c r="AN74" t="str">
        <f>IF(AND($V$9=1,(TRUNC(Courses!O68)&lt;&gt;Courses!O68)), "Row "&amp;Courses!$A68&amp;", "&amp;AN$9&amp;", "&amp;AN$10&amp;", "&amp;AN$11&amp;"; ","")</f>
        <v/>
      </c>
      <c r="AO74" t="str">
        <f>IF(AND($V$9=1,(TRUNC(Courses!P68)&lt;&gt;Courses!P68)), "Row "&amp;Courses!$A68&amp;", "&amp;AO$9&amp;", "&amp;AO$10&amp;", "&amp;AO$11&amp;"; ","")</f>
        <v/>
      </c>
      <c r="AP74" s="2120" t="str">
        <f>IF(AND($V$9=1,(TRUNC(Courses!Q68)&lt;&gt;Courses!Q68)), "Row "&amp;Courses!$A68&amp;", "&amp;AP$9&amp;", "&amp;AP$10&amp;"; ","")</f>
        <v/>
      </c>
      <c r="AQ74" s="1593" t="str">
        <f>IF(AND($V$9=1,(TRUNC(Courses!R68)&lt;&gt;Courses!R68)), "Row "&amp;Courses!$A68&amp;", "&amp;AQ$9&amp;", "&amp;AQ$10&amp;", "&amp;AQ$11&amp;"; ","")</f>
        <v/>
      </c>
      <c r="AR74" t="str">
        <f>IF(AND($V$9=1,(TRUNC(Courses!S68)&lt;&gt;Courses!S68)), "Row "&amp;Courses!$A68&amp;", "&amp;AR$9&amp;", "&amp;AR$10&amp;", "&amp;AR$11&amp;"; ","")</f>
        <v/>
      </c>
      <c r="AS74" t="str">
        <f>IF(AND($V$9=1,(TRUNC(Courses!T68)&lt;&gt;Courses!T68)), "Row "&amp;Courses!$A68&amp;", "&amp;AS$9&amp;", "&amp;AS$10&amp;", "&amp;AS$11&amp;"; ","")</f>
        <v/>
      </c>
      <c r="AT74" t="str">
        <f>IF(AND($V$9=1,(TRUNC(Courses!U68)&lt;&gt;Courses!U68)), "Row "&amp;Courses!$A68&amp;", "&amp;AT$9&amp;", "&amp;AT$10&amp;", "&amp;AT$11&amp;"; ","")</f>
        <v/>
      </c>
      <c r="AU74" s="2120" t="str">
        <f>IF(AND($V$9=1,(TRUNC(Courses!V68)&lt;&gt;Courses!V68)), "Row "&amp;Courses!$A68&amp;", "&amp;AU$9&amp;", "&amp;AU$10&amp;"; ","")</f>
        <v/>
      </c>
      <c r="AV74" s="1593" t="str">
        <f>IF(AND($V$9=1,(TRUNC(Courses!W68)&lt;&gt;Courses!W68)), "Row "&amp;Courses!$A68&amp;", "&amp;AV$9&amp;", "&amp;AV$10&amp;", "&amp;AV$11&amp;"; ","")</f>
        <v/>
      </c>
      <c r="AW74" t="str">
        <f>IF(AND($V$9=1,(TRUNC(Courses!X68)&lt;&gt;Courses!X68)), "Row "&amp;Courses!$A68&amp;", "&amp;AW$9&amp;", "&amp;AW$10&amp;", "&amp;AW$11&amp;"; ","")</f>
        <v/>
      </c>
      <c r="AX74" t="str">
        <f>IF(AND($V$9=1,(TRUNC(Courses!Y68)&lt;&gt;Courses!Y68)), "Row "&amp;Courses!$A68&amp;", "&amp;AX$9&amp;", "&amp;AX$10&amp;", "&amp;AX$11&amp;"; ","")</f>
        <v/>
      </c>
      <c r="AY74" t="str">
        <f>IF(AND($V$9=1,(TRUNC(Courses!Z68)&lt;&gt;Courses!Z68)), "Row "&amp;Courses!$A68&amp;", "&amp;AY$9&amp;", "&amp;AY$10&amp;", "&amp;AY$11&amp;"; ","")</f>
        <v/>
      </c>
      <c r="AZ74" s="2120" t="str">
        <f>IF(AND($V$9=1,(TRUNC(Courses!AA68)&lt;&gt;Courses!AA68)), "Row "&amp;Courses!$A68&amp;", "&amp;AZ$9&amp;", "&amp;AZ$10&amp;"; ","")</f>
        <v/>
      </c>
      <c r="BA74" s="17"/>
      <c r="BB74" s="118"/>
      <c r="BC74" s="3">
        <v>55</v>
      </c>
      <c r="BD74" s="1593" t="str">
        <f>IF(AND($W$9=1,Courses!M68&lt;0), "Row "&amp;Courses!$A68&amp;", "&amp;BD$9&amp;", "&amp;BD$10&amp;", "&amp;BD$11&amp;"; ","")</f>
        <v/>
      </c>
      <c r="BE74" t="str">
        <f>IF(AND($W$9=1,Courses!N68&lt;0), "Row "&amp;Courses!$A68&amp;", "&amp;BE$9&amp;", "&amp;BE$10&amp;", "&amp;BE$11&amp;"; ","")</f>
        <v/>
      </c>
      <c r="BF74" t="str">
        <f>IF(AND($W$9=1,Courses!O68&lt;0), "Row "&amp;Courses!$A68&amp;", "&amp;BF$9&amp;", "&amp;BF$10&amp;", "&amp;BF$11&amp;"; ","")</f>
        <v/>
      </c>
      <c r="BG74" t="str">
        <f>IF(AND($W$9=1,Courses!P68&lt;0), "Row "&amp;Courses!$A68&amp;", "&amp;BG$9&amp;", "&amp;BG$10&amp;", "&amp;BG$11&amp;"; ","")</f>
        <v/>
      </c>
      <c r="BH74" s="2120" t="str">
        <f>IF(AND($W$9=1,Courses!Q68&lt;0), "Row "&amp;Courses!$A68&amp;", "&amp;BH$9&amp;", "&amp;BH$10&amp;"; ","")</f>
        <v/>
      </c>
      <c r="BI74" s="1593" t="str">
        <f>IF(AND($W$9=1,Courses!R68&lt;0), "Row "&amp;Courses!$A68&amp;", "&amp;BI$9&amp;", "&amp;BI$10&amp;", "&amp;BI$11&amp;"; ","")</f>
        <v/>
      </c>
      <c r="BJ74" t="str">
        <f>IF(AND($W$9=1,Courses!S68&lt;0), "Row "&amp;Courses!$A68&amp;", "&amp;BJ$9&amp;", "&amp;BJ$10&amp;", "&amp;BJ$11&amp;"; ","")</f>
        <v/>
      </c>
      <c r="BK74" t="str">
        <f>IF(AND($W$9=1,Courses!T68&lt;0), "Row "&amp;Courses!$A68&amp;", "&amp;BK$9&amp;", "&amp;BK$10&amp;", "&amp;BK$11&amp;"; ","")</f>
        <v/>
      </c>
      <c r="BL74" t="str">
        <f>IF(AND($W$9=1,Courses!U68&lt;0), "Row "&amp;Courses!$A68&amp;", "&amp;BL$9&amp;", "&amp;BL$10&amp;", "&amp;BL$11&amp;"; ","")</f>
        <v/>
      </c>
      <c r="BM74" s="2120" t="str">
        <f>IF(AND($W$9=1,Courses!V68&lt;0), "Row "&amp;Courses!$A68&amp;", "&amp;BM$9&amp;", "&amp;BM$10&amp;"; ","")</f>
        <v/>
      </c>
      <c r="BN74" s="1593" t="str">
        <f>IF(AND($W$9=1,Courses!W68&lt;0), "Row "&amp;Courses!$A68&amp;", "&amp;BN$9&amp;", "&amp;BN$10&amp;", "&amp;BN$11&amp;"; ","")</f>
        <v/>
      </c>
      <c r="BO74" t="str">
        <f>IF(AND($W$9=1,Courses!X68&lt;0), "Row "&amp;Courses!$A68&amp;", "&amp;BO$9&amp;", "&amp;BO$10&amp;", "&amp;BO$11&amp;"; ","")</f>
        <v/>
      </c>
      <c r="BP74" t="str">
        <f>IF(AND($W$9=1,Courses!Y68&lt;0), "Row "&amp;Courses!$A68&amp;", "&amp;BP$9&amp;", "&amp;BP$10&amp;", "&amp;BP$11&amp;"; ","")</f>
        <v/>
      </c>
      <c r="BQ74" t="str">
        <f>IF(AND($W$9=1,Courses!Z68&lt;0), "Row "&amp;Courses!$A68&amp;", "&amp;BQ$9&amp;", "&amp;BQ$10&amp;", "&amp;BQ$11&amp;"; ","")</f>
        <v/>
      </c>
      <c r="BR74" s="2120" t="str">
        <f>IF(AND($W$9=1,Courses!AA68&lt;0), "Row "&amp;Courses!$A68&amp;", "&amp;BR$9&amp;", "&amp;BR$10&amp;"; ","")</f>
        <v/>
      </c>
      <c r="BT74" s="186">
        <v>55</v>
      </c>
      <c r="BU74" s="40">
        <f>IF(AND($X$9=1,Courses!B68="",Courses!F68="",Courses!H68="",Courses!J68="",Courses!K68="",Courses!L68="",Courses!M68=0,Courses!N68=0,Courses!O68=0,Courses!P68=0,Courses!Q68=0,Courses!R68=0,Courses!S68=0,Courses!T68=0,Courses!U68=0,Courses!V68=0,Courses!W68=0,Courses!X68=0,Courses!Y68=0,Courses!Z68=0,Courses!AA68=0),0,1)</f>
        <v>0</v>
      </c>
      <c r="BV74" s="40">
        <f>IF(AND(BU74=0,SUM(BU75:$BU$219)&gt;0),1,0)</f>
        <v>0</v>
      </c>
      <c r="BW74" s="1595" t="str">
        <f>IF(BV74=1,"Row "&amp;Courses!A68&amp;"; ","")</f>
        <v/>
      </c>
      <c r="BX74" s="17"/>
      <c r="BZ74" s="1592" t="str">
        <f>IF(AND($Y$9=1,Courses!B68&lt;&gt;"",SUM(Courses!M68:AA68)=0),"Row "&amp;Courses!A68&amp;"; ","")</f>
        <v/>
      </c>
      <c r="CA74" s="17"/>
      <c r="CC74" s="1592" t="str">
        <f>IF(AND($Z$9=1,Courses!AD68=1,(LEN(Courses!AB68)&gt;200)),"Row "&amp;Courses!A68&amp;"; ","")</f>
        <v/>
      </c>
      <c r="CE74" s="131"/>
      <c r="CG74" s="1593" t="str">
        <f>IF(AND($AD$9=1,Courses!E68&lt;&gt;"",Courses!F68&lt;&gt;"",Courses!F68=0,SUM(Courses!H68,Courses!J68)=1),"Row "&amp;Courses!A68&amp;", "&amp;Courses!$F$10&amp;"; ","")</f>
        <v/>
      </c>
      <c r="CH74" t="str">
        <f>IF(AND($AD$9=1,Courses!G68&lt;&gt;"",Courses!H68&lt;&gt;"",Courses!H68=0,SUM(Courses!J68,Courses!F68)=1),"Row "&amp;Courses!A68&amp;", "&amp;Courses!$H$10&amp;"; ","")</f>
        <v/>
      </c>
      <c r="CI74" s="183" t="str">
        <f>IF(AND($AD$9=1,Courses!I68&lt;&gt;"",Courses!J68&lt;&gt;"",Courses!J68=0, SUM(Courses!H68,Courses!F68)=1),"Row "&amp;Courses!A68&amp;", "&amp;Courses!$J$10&amp;"; ","")</f>
        <v/>
      </c>
      <c r="CJ74" s="180"/>
      <c r="CK74" s="181"/>
      <c r="CL74" s="1592" t="str">
        <f>IF(AND(Courses!B68&lt;&gt;"",ISNA(VLOOKUP(Courses!C68,CourseInfo,2,FALSE))=FALSE,COUNTIF(Dummy,Courses!C68)&lt;&gt;1),VLOOKUP(Courses!C68,CourseInfo,6,FALSE),"")</f>
        <v/>
      </c>
      <c r="CM74" s="1592" t="str">
        <f>IF(AND($AE$9=1,Courses!B68&lt;&gt;"",'Courses Valid'!AG74="",COUNTIF(Dummy,Courses!C68)&lt;&gt;1),IF(Courses!K68&lt;&gt;'Courses Valid'!CL74,"Row "&amp;Courses!A68&amp;", Level on LARS is "&amp;'Courses Valid'!CL74&amp;"; ",""),"")</f>
        <v/>
      </c>
      <c r="CN74" s="131"/>
    </row>
    <row r="75" spans="3:92" x14ac:dyDescent="0.35">
      <c r="C75" s="1591">
        <f t="shared" si="2"/>
        <v>0</v>
      </c>
      <c r="D75" s="41"/>
      <c r="E75" s="41"/>
      <c r="F75" s="118"/>
      <c r="G75" s="1591" t="str">
        <f>IF(SUMPRODUCT(--(CourseAims=Courses!$C69))=1,"",IF(AND($N$9=1,Courses!$C69&lt;&gt;""),"Row "&amp;Courses!A69&amp;" (invalid); ",""))</f>
        <v/>
      </c>
      <c r="H75" s="1592" t="str">
        <f>IF(AND($O$9=1,Courses!B69="",OR(Courses!F69&lt;&gt;"",Courses!H69&lt;&gt;"",Courses!J69&lt;&gt;"",Courses!K69&lt;&gt;"",Courses!L69&lt;&gt;"",Courses!M69&lt;&gt;0,Courses!N69&lt;&gt;0,Courses!O69&lt;&gt;0,Courses!P69&lt;&gt;0,Courses!Q69&lt;&gt;0,Courses!R69&lt;&gt;0,Courses!S69&lt;&gt;0,Courses!T69&lt;&gt;0,Courses!U69&lt;&gt;0,Courses!V69&lt;&gt;0,Courses!W69&lt;&gt;0,Courses!X69&lt;&gt;0,Courses!Y69&lt;&gt;0,Courses!Z69&lt;&gt;0,Courses!AA69&lt;&gt;0)),"Row "&amp;Courses!A69&amp;" (none); ","")</f>
        <v/>
      </c>
      <c r="I75" s="17"/>
      <c r="K75" s="1592" t="str">
        <f>Courses!B69&amp;Courses!K69&amp;Courses!L69</f>
        <v/>
      </c>
      <c r="L75" s="1592" t="str">
        <f>IF(AND($P$9=1,Courses!$B69&lt;&gt;"",COUNTIF(Dummy,Courses!$C69)&lt;&gt;1),IF(SUMPRODUCT(--($K$20:$K$219=$K75))&gt;1,"Row "&amp;Courses!$A69&amp;"; ",""),"")</f>
        <v/>
      </c>
      <c r="N75" s="118"/>
      <c r="O75" s="1593" t="str">
        <f>IF(AND($Q$9=1,Courses!E69&lt;&gt;"",Courses!F69=""),"Row "&amp;Courses!A69&amp;", "&amp;Courses!$E$10&amp;"; ","")</f>
        <v/>
      </c>
      <c r="P75" t="str">
        <f>IF(AND($Q$9=1,Courses!G69&lt;&gt;"",Courses!H69=""),"Row "&amp;Courses!A69&amp;", "&amp;Courses!$G$10&amp;"; ","")</f>
        <v/>
      </c>
      <c r="Q75" s="183" t="str">
        <f>IF(AND($Q$9=1,Courses!I69&lt;&gt;"",Courses!J69=""),"Row "&amp;Courses!A69&amp;", "&amp;Courses!$I$10&amp;"; ","")</f>
        <v/>
      </c>
      <c r="S75" s="17"/>
      <c r="T75" s="118"/>
      <c r="U75" s="1594" t="str">
        <f>IF(AND($R$9=1,Courses!B69&lt;&gt;"",Courses!E69&lt;&gt;"",Courses!G69="",Courses!I69="",Courses!F69&lt;&gt;1),"Row "&amp;Courses!A69&amp;"; ","")</f>
        <v/>
      </c>
      <c r="V75" t="str">
        <f>IF(AND($R$9=1,Courses!B69&lt;&gt;"",Courses!I69="",Courses!F69&lt;&gt;"",Courses!G69&lt;&gt;"",Courses!H69&lt;&gt;""),IF(OR((Courses!F69+Courses!H69)&lt;&gt;1),"Row "&amp;Courses!A69&amp;"; ",""),"")</f>
        <v/>
      </c>
      <c r="W75" s="183" t="str">
        <f>IF(AND($R$9=1,Courses!B69&lt;&gt;"",Courses!I69&lt;&gt;"",Courses!J69&lt;&gt;"",Courses!H69&lt;&gt;"",Courses!G69&lt;&gt;"",Courses!F69&lt;&gt;""),IF(OR((Courses!F69+Courses!H69+Courses!J69)&lt;&gt;1),"Row "&amp;Courses!A69&amp;"; ",""),"")</f>
        <v/>
      </c>
      <c r="Y75" s="1592" t="str">
        <f>IF(AND($R$9=1,Courses!E69&lt;&gt;"",U75="",V75="",W75="",SUM(Courses!F69,Courses!H69,Courses!J69)&lt;&gt;1),"Row "&amp;Courses!A69&amp;"; ","")</f>
        <v/>
      </c>
      <c r="Z75" s="17"/>
      <c r="AB75" s="1593" t="str">
        <f>IF(AND($S$9=1,Courses!B69&lt;&gt;"",Courses!E69&lt;&gt;"",Courses!F69&lt;&gt;""),IF((TRUNC(Courses!F69*100)&lt;&gt;Courses!F69*100),"Row "&amp;Courses!A69&amp;", "&amp;Courses!$F$10&amp;"; ",""),"")</f>
        <v/>
      </c>
      <c r="AC75" t="str">
        <f>IF(AND($S$9=1,Courses!B69&lt;&gt;"",Courses!G69&lt;&gt;"",Courses!H69&lt;&gt;""),IF((TRUNC(Courses!H69*100)&lt;&gt;Courses!H69*100),"Row "&amp;Courses!A69&amp;", "&amp;Courses!$H$10&amp;"; ",""),"")</f>
        <v/>
      </c>
      <c r="AD75" s="183" t="str">
        <f>IF(AND($S$9=1,Courses!B69&lt;&gt;"",Courses!I69&lt;&gt;"",Courses!J69&lt;&gt;""),IF((TRUNC(Courses!J69*100)&lt;&gt;Courses!J69*100),"Row "&amp;Courses!A69&amp;", "&amp;Courses!$J$10&amp;"; ",""),"")</f>
        <v/>
      </c>
      <c r="AF75" s="118"/>
      <c r="AG75" s="1592" t="str">
        <f>IF(AND($T$9=1,G75="",Courses!B69&lt;&gt;"",Courses!K69&lt;&gt;$B$9,Courses!K69&lt;&gt;$B$10,Courses!K69&lt;&gt;$B$11,Courses!K69&lt;&gt;$B$12,Courses!K69&lt;&gt;$B$13,Courses!K69&lt;&gt;$B$14),"Row "&amp;Courses!A69&amp;"; ","")</f>
        <v/>
      </c>
      <c r="AH75" s="1592" t="str">
        <f>IF(AND($U$9=1,G75="",Courses!B69&lt;&gt;"",Courses!L69&lt;&gt;"Standard",Courses!L69&lt;&gt;"Long"),"Row "&amp;Courses!A69&amp;"; ","")</f>
        <v/>
      </c>
      <c r="AJ75" s="118"/>
      <c r="AK75" s="3">
        <v>56</v>
      </c>
      <c r="AL75" s="1593" t="str">
        <f>IF(AND($V$9=1,(TRUNC(Courses!M69)&lt;&gt;Courses!M69)), "Row "&amp;Courses!$A69&amp;", "&amp;AL$9&amp;", "&amp;AL$10&amp;", "&amp;AL$11&amp;"; ","")</f>
        <v/>
      </c>
      <c r="AM75" t="str">
        <f>IF(AND($V$9=1,(TRUNC(Courses!N69)&lt;&gt;Courses!N69)), "Row "&amp;Courses!$A69&amp;", "&amp;AM$9&amp;", "&amp;AM$10&amp;", "&amp;AM$11&amp;"; ","")</f>
        <v/>
      </c>
      <c r="AN75" t="str">
        <f>IF(AND($V$9=1,(TRUNC(Courses!O69)&lt;&gt;Courses!O69)), "Row "&amp;Courses!$A69&amp;", "&amp;AN$9&amp;", "&amp;AN$10&amp;", "&amp;AN$11&amp;"; ","")</f>
        <v/>
      </c>
      <c r="AO75" t="str">
        <f>IF(AND($V$9=1,(TRUNC(Courses!P69)&lt;&gt;Courses!P69)), "Row "&amp;Courses!$A69&amp;", "&amp;AO$9&amp;", "&amp;AO$10&amp;", "&amp;AO$11&amp;"; ","")</f>
        <v/>
      </c>
      <c r="AP75" s="2120" t="str">
        <f>IF(AND($V$9=1,(TRUNC(Courses!Q69)&lt;&gt;Courses!Q69)), "Row "&amp;Courses!$A69&amp;", "&amp;AP$9&amp;", "&amp;AP$10&amp;"; ","")</f>
        <v/>
      </c>
      <c r="AQ75" s="1593" t="str">
        <f>IF(AND($V$9=1,(TRUNC(Courses!R69)&lt;&gt;Courses!R69)), "Row "&amp;Courses!$A69&amp;", "&amp;AQ$9&amp;", "&amp;AQ$10&amp;", "&amp;AQ$11&amp;"; ","")</f>
        <v/>
      </c>
      <c r="AR75" t="str">
        <f>IF(AND($V$9=1,(TRUNC(Courses!S69)&lt;&gt;Courses!S69)), "Row "&amp;Courses!$A69&amp;", "&amp;AR$9&amp;", "&amp;AR$10&amp;", "&amp;AR$11&amp;"; ","")</f>
        <v/>
      </c>
      <c r="AS75" t="str">
        <f>IF(AND($V$9=1,(TRUNC(Courses!T69)&lt;&gt;Courses!T69)), "Row "&amp;Courses!$A69&amp;", "&amp;AS$9&amp;", "&amp;AS$10&amp;", "&amp;AS$11&amp;"; ","")</f>
        <v/>
      </c>
      <c r="AT75" t="str">
        <f>IF(AND($V$9=1,(TRUNC(Courses!U69)&lt;&gt;Courses!U69)), "Row "&amp;Courses!$A69&amp;", "&amp;AT$9&amp;", "&amp;AT$10&amp;", "&amp;AT$11&amp;"; ","")</f>
        <v/>
      </c>
      <c r="AU75" s="2120" t="str">
        <f>IF(AND($V$9=1,(TRUNC(Courses!V69)&lt;&gt;Courses!V69)), "Row "&amp;Courses!$A69&amp;", "&amp;AU$9&amp;", "&amp;AU$10&amp;"; ","")</f>
        <v/>
      </c>
      <c r="AV75" s="1593" t="str">
        <f>IF(AND($V$9=1,(TRUNC(Courses!W69)&lt;&gt;Courses!W69)), "Row "&amp;Courses!$A69&amp;", "&amp;AV$9&amp;", "&amp;AV$10&amp;", "&amp;AV$11&amp;"; ","")</f>
        <v/>
      </c>
      <c r="AW75" t="str">
        <f>IF(AND($V$9=1,(TRUNC(Courses!X69)&lt;&gt;Courses!X69)), "Row "&amp;Courses!$A69&amp;", "&amp;AW$9&amp;", "&amp;AW$10&amp;", "&amp;AW$11&amp;"; ","")</f>
        <v/>
      </c>
      <c r="AX75" t="str">
        <f>IF(AND($V$9=1,(TRUNC(Courses!Y69)&lt;&gt;Courses!Y69)), "Row "&amp;Courses!$A69&amp;", "&amp;AX$9&amp;", "&amp;AX$10&amp;", "&amp;AX$11&amp;"; ","")</f>
        <v/>
      </c>
      <c r="AY75" t="str">
        <f>IF(AND($V$9=1,(TRUNC(Courses!Z69)&lt;&gt;Courses!Z69)), "Row "&amp;Courses!$A69&amp;", "&amp;AY$9&amp;", "&amp;AY$10&amp;", "&amp;AY$11&amp;"; ","")</f>
        <v/>
      </c>
      <c r="AZ75" s="2120" t="str">
        <f>IF(AND($V$9=1,(TRUNC(Courses!AA69)&lt;&gt;Courses!AA69)), "Row "&amp;Courses!$A69&amp;", "&amp;AZ$9&amp;", "&amp;AZ$10&amp;"; ","")</f>
        <v/>
      </c>
      <c r="BA75" s="17"/>
      <c r="BB75" s="118"/>
      <c r="BC75" s="3">
        <v>56</v>
      </c>
      <c r="BD75" s="1593" t="str">
        <f>IF(AND($W$9=1,Courses!M69&lt;0), "Row "&amp;Courses!$A69&amp;", "&amp;BD$9&amp;", "&amp;BD$10&amp;", "&amp;BD$11&amp;"; ","")</f>
        <v/>
      </c>
      <c r="BE75" t="str">
        <f>IF(AND($W$9=1,Courses!N69&lt;0), "Row "&amp;Courses!$A69&amp;", "&amp;BE$9&amp;", "&amp;BE$10&amp;", "&amp;BE$11&amp;"; ","")</f>
        <v/>
      </c>
      <c r="BF75" t="str">
        <f>IF(AND($W$9=1,Courses!O69&lt;0), "Row "&amp;Courses!$A69&amp;", "&amp;BF$9&amp;", "&amp;BF$10&amp;", "&amp;BF$11&amp;"; ","")</f>
        <v/>
      </c>
      <c r="BG75" t="str">
        <f>IF(AND($W$9=1,Courses!P69&lt;0), "Row "&amp;Courses!$A69&amp;", "&amp;BG$9&amp;", "&amp;BG$10&amp;", "&amp;BG$11&amp;"; ","")</f>
        <v/>
      </c>
      <c r="BH75" s="2120" t="str">
        <f>IF(AND($W$9=1,Courses!Q69&lt;0), "Row "&amp;Courses!$A69&amp;", "&amp;BH$9&amp;", "&amp;BH$10&amp;"; ","")</f>
        <v/>
      </c>
      <c r="BI75" s="1593" t="str">
        <f>IF(AND($W$9=1,Courses!R69&lt;0), "Row "&amp;Courses!$A69&amp;", "&amp;BI$9&amp;", "&amp;BI$10&amp;", "&amp;BI$11&amp;"; ","")</f>
        <v/>
      </c>
      <c r="BJ75" t="str">
        <f>IF(AND($W$9=1,Courses!S69&lt;0), "Row "&amp;Courses!$A69&amp;", "&amp;BJ$9&amp;", "&amp;BJ$10&amp;", "&amp;BJ$11&amp;"; ","")</f>
        <v/>
      </c>
      <c r="BK75" t="str">
        <f>IF(AND($W$9=1,Courses!T69&lt;0), "Row "&amp;Courses!$A69&amp;", "&amp;BK$9&amp;", "&amp;BK$10&amp;", "&amp;BK$11&amp;"; ","")</f>
        <v/>
      </c>
      <c r="BL75" t="str">
        <f>IF(AND($W$9=1,Courses!U69&lt;0), "Row "&amp;Courses!$A69&amp;", "&amp;BL$9&amp;", "&amp;BL$10&amp;", "&amp;BL$11&amp;"; ","")</f>
        <v/>
      </c>
      <c r="BM75" s="2120" t="str">
        <f>IF(AND($W$9=1,Courses!V69&lt;0), "Row "&amp;Courses!$A69&amp;", "&amp;BM$9&amp;", "&amp;BM$10&amp;"; ","")</f>
        <v/>
      </c>
      <c r="BN75" s="1593" t="str">
        <f>IF(AND($W$9=1,Courses!W69&lt;0), "Row "&amp;Courses!$A69&amp;", "&amp;BN$9&amp;", "&amp;BN$10&amp;", "&amp;BN$11&amp;"; ","")</f>
        <v/>
      </c>
      <c r="BO75" t="str">
        <f>IF(AND($W$9=1,Courses!X69&lt;0), "Row "&amp;Courses!$A69&amp;", "&amp;BO$9&amp;", "&amp;BO$10&amp;", "&amp;BO$11&amp;"; ","")</f>
        <v/>
      </c>
      <c r="BP75" t="str">
        <f>IF(AND($W$9=1,Courses!Y69&lt;0), "Row "&amp;Courses!$A69&amp;", "&amp;BP$9&amp;", "&amp;BP$10&amp;", "&amp;BP$11&amp;"; ","")</f>
        <v/>
      </c>
      <c r="BQ75" t="str">
        <f>IF(AND($W$9=1,Courses!Z69&lt;0), "Row "&amp;Courses!$A69&amp;", "&amp;BQ$9&amp;", "&amp;BQ$10&amp;", "&amp;BQ$11&amp;"; ","")</f>
        <v/>
      </c>
      <c r="BR75" s="2120" t="str">
        <f>IF(AND($W$9=1,Courses!AA69&lt;0), "Row "&amp;Courses!$A69&amp;", "&amp;BR$9&amp;", "&amp;BR$10&amp;"; ","")</f>
        <v/>
      </c>
      <c r="BT75" s="186">
        <v>56</v>
      </c>
      <c r="BU75" s="40">
        <f>IF(AND($X$9=1,Courses!B69="",Courses!F69="",Courses!H69="",Courses!J69="",Courses!K69="",Courses!L69="",Courses!M69=0,Courses!N69=0,Courses!O69=0,Courses!P69=0,Courses!Q69=0,Courses!R69=0,Courses!S69=0,Courses!T69=0,Courses!U69=0,Courses!V69=0,Courses!W69=0,Courses!X69=0,Courses!Y69=0,Courses!Z69=0,Courses!AA69=0),0,1)</f>
        <v>0</v>
      </c>
      <c r="BV75" s="40">
        <f>IF(AND(BU75=0,SUM(BU76:$BU$219)&gt;0),1,0)</f>
        <v>0</v>
      </c>
      <c r="BW75" s="1595" t="str">
        <f>IF(BV75=1,"Row "&amp;Courses!A69&amp;"; ","")</f>
        <v/>
      </c>
      <c r="BX75" s="17"/>
      <c r="BZ75" s="1592" t="str">
        <f>IF(AND($Y$9=1,Courses!B69&lt;&gt;"",SUM(Courses!M69:AA69)=0),"Row "&amp;Courses!A69&amp;"; ","")</f>
        <v/>
      </c>
      <c r="CA75" s="17"/>
      <c r="CC75" s="1592" t="str">
        <f>IF(AND($Z$9=1,Courses!AD69=1,(LEN(Courses!AB69)&gt;200)),"Row "&amp;Courses!A69&amp;"; ","")</f>
        <v/>
      </c>
      <c r="CE75" s="131"/>
      <c r="CG75" s="1593" t="str">
        <f>IF(AND($AD$9=1,Courses!E69&lt;&gt;"",Courses!F69&lt;&gt;"",Courses!F69=0,SUM(Courses!H69,Courses!J69)=1),"Row "&amp;Courses!A69&amp;", "&amp;Courses!$F$10&amp;"; ","")</f>
        <v/>
      </c>
      <c r="CH75" t="str">
        <f>IF(AND($AD$9=1,Courses!G69&lt;&gt;"",Courses!H69&lt;&gt;"",Courses!H69=0,SUM(Courses!J69,Courses!F69)=1),"Row "&amp;Courses!A69&amp;", "&amp;Courses!$H$10&amp;"; ","")</f>
        <v/>
      </c>
      <c r="CI75" s="183" t="str">
        <f>IF(AND($AD$9=1,Courses!I69&lt;&gt;"",Courses!J69&lt;&gt;"",Courses!J69=0, SUM(Courses!H69,Courses!F69)=1),"Row "&amp;Courses!A69&amp;", "&amp;Courses!$J$10&amp;"; ","")</f>
        <v/>
      </c>
      <c r="CJ75" s="180"/>
      <c r="CK75" s="181"/>
      <c r="CL75" s="1592" t="str">
        <f>IF(AND(Courses!B69&lt;&gt;"",ISNA(VLOOKUP(Courses!C69,CourseInfo,2,FALSE))=FALSE,COUNTIF(Dummy,Courses!C69)&lt;&gt;1),VLOOKUP(Courses!C69,CourseInfo,6,FALSE),"")</f>
        <v/>
      </c>
      <c r="CM75" s="1592" t="str">
        <f>IF(AND($AE$9=1,Courses!B69&lt;&gt;"",'Courses Valid'!AG75="",COUNTIF(Dummy,Courses!C69)&lt;&gt;1),IF(Courses!K69&lt;&gt;'Courses Valid'!CL75,"Row "&amp;Courses!A69&amp;", Level on LARS is "&amp;'Courses Valid'!CL75&amp;"; ",""),"")</f>
        <v/>
      </c>
      <c r="CN75" s="131"/>
    </row>
    <row r="76" spans="3:92" x14ac:dyDescent="0.35">
      <c r="C76" s="1591">
        <f t="shared" si="2"/>
        <v>0</v>
      </c>
      <c r="D76" s="41"/>
      <c r="E76" s="41"/>
      <c r="F76" s="118"/>
      <c r="G76" s="1591" t="str">
        <f>IF(SUMPRODUCT(--(CourseAims=Courses!$C70))=1,"",IF(AND($N$9=1,Courses!$C70&lt;&gt;""),"Row "&amp;Courses!A70&amp;" (invalid); ",""))</f>
        <v/>
      </c>
      <c r="H76" s="1592" t="str">
        <f>IF(AND($O$9=1,Courses!B70="",OR(Courses!F70&lt;&gt;"",Courses!H70&lt;&gt;"",Courses!J70&lt;&gt;"",Courses!K70&lt;&gt;"",Courses!L70&lt;&gt;"",Courses!M70&lt;&gt;0,Courses!N70&lt;&gt;0,Courses!O70&lt;&gt;0,Courses!P70&lt;&gt;0,Courses!Q70&lt;&gt;0,Courses!R70&lt;&gt;0,Courses!S70&lt;&gt;0,Courses!T70&lt;&gt;0,Courses!U70&lt;&gt;0,Courses!V70&lt;&gt;0,Courses!W70&lt;&gt;0,Courses!X70&lt;&gt;0,Courses!Y70&lt;&gt;0,Courses!Z70&lt;&gt;0,Courses!AA70&lt;&gt;0)),"Row "&amp;Courses!A70&amp;" (none); ","")</f>
        <v/>
      </c>
      <c r="I76" s="17"/>
      <c r="K76" s="1592" t="str">
        <f>Courses!B70&amp;Courses!K70&amp;Courses!L70</f>
        <v/>
      </c>
      <c r="L76" s="1592" t="str">
        <f>IF(AND($P$9=1,Courses!$B70&lt;&gt;"",COUNTIF(Dummy,Courses!$C70)&lt;&gt;1),IF(SUMPRODUCT(--($K$20:$K$219=$K76))&gt;1,"Row "&amp;Courses!$A70&amp;"; ",""),"")</f>
        <v/>
      </c>
      <c r="N76" s="118"/>
      <c r="O76" s="1593" t="str">
        <f>IF(AND($Q$9=1,Courses!E70&lt;&gt;"",Courses!F70=""),"Row "&amp;Courses!A70&amp;", "&amp;Courses!$E$10&amp;"; ","")</f>
        <v/>
      </c>
      <c r="P76" t="str">
        <f>IF(AND($Q$9=1,Courses!G70&lt;&gt;"",Courses!H70=""),"Row "&amp;Courses!A70&amp;", "&amp;Courses!$G$10&amp;"; ","")</f>
        <v/>
      </c>
      <c r="Q76" s="183" t="str">
        <f>IF(AND($Q$9=1,Courses!I70&lt;&gt;"",Courses!J70=""),"Row "&amp;Courses!A70&amp;", "&amp;Courses!$I$10&amp;"; ","")</f>
        <v/>
      </c>
      <c r="S76" s="17"/>
      <c r="T76" s="118"/>
      <c r="U76" s="1594" t="str">
        <f>IF(AND($R$9=1,Courses!B70&lt;&gt;"",Courses!E70&lt;&gt;"",Courses!G70="",Courses!I70="",Courses!F70&lt;&gt;1),"Row "&amp;Courses!A70&amp;"; ","")</f>
        <v/>
      </c>
      <c r="V76" t="str">
        <f>IF(AND($R$9=1,Courses!B70&lt;&gt;"",Courses!I70="",Courses!F70&lt;&gt;"",Courses!G70&lt;&gt;"",Courses!H70&lt;&gt;""),IF(OR((Courses!F70+Courses!H70)&lt;&gt;1),"Row "&amp;Courses!A70&amp;"; ",""),"")</f>
        <v/>
      </c>
      <c r="W76" s="183" t="str">
        <f>IF(AND($R$9=1,Courses!B70&lt;&gt;"",Courses!I70&lt;&gt;"",Courses!J70&lt;&gt;"",Courses!H70&lt;&gt;"",Courses!G70&lt;&gt;"",Courses!F70&lt;&gt;""),IF(OR((Courses!F70+Courses!H70+Courses!J70)&lt;&gt;1),"Row "&amp;Courses!A70&amp;"; ",""),"")</f>
        <v/>
      </c>
      <c r="Y76" s="1592" t="str">
        <f>IF(AND($R$9=1,Courses!E70&lt;&gt;"",U76="",V76="",W76="",SUM(Courses!F70,Courses!H70,Courses!J70)&lt;&gt;1),"Row "&amp;Courses!A70&amp;"; ","")</f>
        <v/>
      </c>
      <c r="Z76" s="17"/>
      <c r="AB76" s="1593" t="str">
        <f>IF(AND($S$9=1,Courses!B70&lt;&gt;"",Courses!E70&lt;&gt;"",Courses!F70&lt;&gt;""),IF((TRUNC(Courses!F70*100)&lt;&gt;Courses!F70*100),"Row "&amp;Courses!A70&amp;", "&amp;Courses!$F$10&amp;"; ",""),"")</f>
        <v/>
      </c>
      <c r="AC76" t="str">
        <f>IF(AND($S$9=1,Courses!B70&lt;&gt;"",Courses!G70&lt;&gt;"",Courses!H70&lt;&gt;""),IF((TRUNC(Courses!H70*100)&lt;&gt;Courses!H70*100),"Row "&amp;Courses!A70&amp;", "&amp;Courses!$H$10&amp;"; ",""),"")</f>
        <v/>
      </c>
      <c r="AD76" s="183" t="str">
        <f>IF(AND($S$9=1,Courses!B70&lt;&gt;"",Courses!I70&lt;&gt;"",Courses!J70&lt;&gt;""),IF((TRUNC(Courses!J70*100)&lt;&gt;Courses!J70*100),"Row "&amp;Courses!A70&amp;", "&amp;Courses!$J$10&amp;"; ",""),"")</f>
        <v/>
      </c>
      <c r="AF76" s="118"/>
      <c r="AG76" s="1592" t="str">
        <f>IF(AND($T$9=1,G76="",Courses!B70&lt;&gt;"",Courses!K70&lt;&gt;$B$9,Courses!K70&lt;&gt;$B$10,Courses!K70&lt;&gt;$B$11,Courses!K70&lt;&gt;$B$12,Courses!K70&lt;&gt;$B$13,Courses!K70&lt;&gt;$B$14),"Row "&amp;Courses!A70&amp;"; ","")</f>
        <v/>
      </c>
      <c r="AH76" s="1592" t="str">
        <f>IF(AND($U$9=1,G76="",Courses!B70&lt;&gt;"",Courses!L70&lt;&gt;"Standard",Courses!L70&lt;&gt;"Long"),"Row "&amp;Courses!A70&amp;"; ","")</f>
        <v/>
      </c>
      <c r="AJ76" s="118"/>
      <c r="AK76" s="3">
        <v>57</v>
      </c>
      <c r="AL76" s="1593" t="str">
        <f>IF(AND($V$9=1,(TRUNC(Courses!M70)&lt;&gt;Courses!M70)), "Row "&amp;Courses!$A70&amp;", "&amp;AL$9&amp;", "&amp;AL$10&amp;", "&amp;AL$11&amp;"; ","")</f>
        <v/>
      </c>
      <c r="AM76" t="str">
        <f>IF(AND($V$9=1,(TRUNC(Courses!N70)&lt;&gt;Courses!N70)), "Row "&amp;Courses!$A70&amp;", "&amp;AM$9&amp;", "&amp;AM$10&amp;", "&amp;AM$11&amp;"; ","")</f>
        <v/>
      </c>
      <c r="AN76" t="str">
        <f>IF(AND($V$9=1,(TRUNC(Courses!O70)&lt;&gt;Courses!O70)), "Row "&amp;Courses!$A70&amp;", "&amp;AN$9&amp;", "&amp;AN$10&amp;", "&amp;AN$11&amp;"; ","")</f>
        <v/>
      </c>
      <c r="AO76" t="str">
        <f>IF(AND($V$9=1,(TRUNC(Courses!P70)&lt;&gt;Courses!P70)), "Row "&amp;Courses!$A70&amp;", "&amp;AO$9&amp;", "&amp;AO$10&amp;", "&amp;AO$11&amp;"; ","")</f>
        <v/>
      </c>
      <c r="AP76" s="2120" t="str">
        <f>IF(AND($V$9=1,(TRUNC(Courses!Q70)&lt;&gt;Courses!Q70)), "Row "&amp;Courses!$A70&amp;", "&amp;AP$9&amp;", "&amp;AP$10&amp;"; ","")</f>
        <v/>
      </c>
      <c r="AQ76" s="1593" t="str">
        <f>IF(AND($V$9=1,(TRUNC(Courses!R70)&lt;&gt;Courses!R70)), "Row "&amp;Courses!$A70&amp;", "&amp;AQ$9&amp;", "&amp;AQ$10&amp;", "&amp;AQ$11&amp;"; ","")</f>
        <v/>
      </c>
      <c r="AR76" t="str">
        <f>IF(AND($V$9=1,(TRUNC(Courses!S70)&lt;&gt;Courses!S70)), "Row "&amp;Courses!$A70&amp;", "&amp;AR$9&amp;", "&amp;AR$10&amp;", "&amp;AR$11&amp;"; ","")</f>
        <v/>
      </c>
      <c r="AS76" t="str">
        <f>IF(AND($V$9=1,(TRUNC(Courses!T70)&lt;&gt;Courses!T70)), "Row "&amp;Courses!$A70&amp;", "&amp;AS$9&amp;", "&amp;AS$10&amp;", "&amp;AS$11&amp;"; ","")</f>
        <v/>
      </c>
      <c r="AT76" t="str">
        <f>IF(AND($V$9=1,(TRUNC(Courses!U70)&lt;&gt;Courses!U70)), "Row "&amp;Courses!$A70&amp;", "&amp;AT$9&amp;", "&amp;AT$10&amp;", "&amp;AT$11&amp;"; ","")</f>
        <v/>
      </c>
      <c r="AU76" s="2120" t="str">
        <f>IF(AND($V$9=1,(TRUNC(Courses!V70)&lt;&gt;Courses!V70)), "Row "&amp;Courses!$A70&amp;", "&amp;AU$9&amp;", "&amp;AU$10&amp;"; ","")</f>
        <v/>
      </c>
      <c r="AV76" s="1593" t="str">
        <f>IF(AND($V$9=1,(TRUNC(Courses!W70)&lt;&gt;Courses!W70)), "Row "&amp;Courses!$A70&amp;", "&amp;AV$9&amp;", "&amp;AV$10&amp;", "&amp;AV$11&amp;"; ","")</f>
        <v/>
      </c>
      <c r="AW76" t="str">
        <f>IF(AND($V$9=1,(TRUNC(Courses!X70)&lt;&gt;Courses!X70)), "Row "&amp;Courses!$A70&amp;", "&amp;AW$9&amp;", "&amp;AW$10&amp;", "&amp;AW$11&amp;"; ","")</f>
        <v/>
      </c>
      <c r="AX76" t="str">
        <f>IF(AND($V$9=1,(TRUNC(Courses!Y70)&lt;&gt;Courses!Y70)), "Row "&amp;Courses!$A70&amp;", "&amp;AX$9&amp;", "&amp;AX$10&amp;", "&amp;AX$11&amp;"; ","")</f>
        <v/>
      </c>
      <c r="AY76" t="str">
        <f>IF(AND($V$9=1,(TRUNC(Courses!Z70)&lt;&gt;Courses!Z70)), "Row "&amp;Courses!$A70&amp;", "&amp;AY$9&amp;", "&amp;AY$10&amp;", "&amp;AY$11&amp;"; ","")</f>
        <v/>
      </c>
      <c r="AZ76" s="2120" t="str">
        <f>IF(AND($V$9=1,(TRUNC(Courses!AA70)&lt;&gt;Courses!AA70)), "Row "&amp;Courses!$A70&amp;", "&amp;AZ$9&amp;", "&amp;AZ$10&amp;"; ","")</f>
        <v/>
      </c>
      <c r="BA76" s="17"/>
      <c r="BB76" s="118"/>
      <c r="BC76" s="3">
        <v>57</v>
      </c>
      <c r="BD76" s="1593" t="str">
        <f>IF(AND($W$9=1,Courses!M70&lt;0), "Row "&amp;Courses!$A70&amp;", "&amp;BD$9&amp;", "&amp;BD$10&amp;", "&amp;BD$11&amp;"; ","")</f>
        <v/>
      </c>
      <c r="BE76" t="str">
        <f>IF(AND($W$9=1,Courses!N70&lt;0), "Row "&amp;Courses!$A70&amp;", "&amp;BE$9&amp;", "&amp;BE$10&amp;", "&amp;BE$11&amp;"; ","")</f>
        <v/>
      </c>
      <c r="BF76" t="str">
        <f>IF(AND($W$9=1,Courses!O70&lt;0), "Row "&amp;Courses!$A70&amp;", "&amp;BF$9&amp;", "&amp;BF$10&amp;", "&amp;BF$11&amp;"; ","")</f>
        <v/>
      </c>
      <c r="BG76" t="str">
        <f>IF(AND($W$9=1,Courses!P70&lt;0), "Row "&amp;Courses!$A70&amp;", "&amp;BG$9&amp;", "&amp;BG$10&amp;", "&amp;BG$11&amp;"; ","")</f>
        <v/>
      </c>
      <c r="BH76" s="2120" t="str">
        <f>IF(AND($W$9=1,Courses!Q70&lt;0), "Row "&amp;Courses!$A70&amp;", "&amp;BH$9&amp;", "&amp;BH$10&amp;"; ","")</f>
        <v/>
      </c>
      <c r="BI76" s="1593" t="str">
        <f>IF(AND($W$9=1,Courses!R70&lt;0), "Row "&amp;Courses!$A70&amp;", "&amp;BI$9&amp;", "&amp;BI$10&amp;", "&amp;BI$11&amp;"; ","")</f>
        <v/>
      </c>
      <c r="BJ76" t="str">
        <f>IF(AND($W$9=1,Courses!S70&lt;0), "Row "&amp;Courses!$A70&amp;", "&amp;BJ$9&amp;", "&amp;BJ$10&amp;", "&amp;BJ$11&amp;"; ","")</f>
        <v/>
      </c>
      <c r="BK76" t="str">
        <f>IF(AND($W$9=1,Courses!T70&lt;0), "Row "&amp;Courses!$A70&amp;", "&amp;BK$9&amp;", "&amp;BK$10&amp;", "&amp;BK$11&amp;"; ","")</f>
        <v/>
      </c>
      <c r="BL76" t="str">
        <f>IF(AND($W$9=1,Courses!U70&lt;0), "Row "&amp;Courses!$A70&amp;", "&amp;BL$9&amp;", "&amp;BL$10&amp;", "&amp;BL$11&amp;"; ","")</f>
        <v/>
      </c>
      <c r="BM76" s="2120" t="str">
        <f>IF(AND($W$9=1,Courses!V70&lt;0), "Row "&amp;Courses!$A70&amp;", "&amp;BM$9&amp;", "&amp;BM$10&amp;"; ","")</f>
        <v/>
      </c>
      <c r="BN76" s="1593" t="str">
        <f>IF(AND($W$9=1,Courses!W70&lt;0), "Row "&amp;Courses!$A70&amp;", "&amp;BN$9&amp;", "&amp;BN$10&amp;", "&amp;BN$11&amp;"; ","")</f>
        <v/>
      </c>
      <c r="BO76" t="str">
        <f>IF(AND($W$9=1,Courses!X70&lt;0), "Row "&amp;Courses!$A70&amp;", "&amp;BO$9&amp;", "&amp;BO$10&amp;", "&amp;BO$11&amp;"; ","")</f>
        <v/>
      </c>
      <c r="BP76" t="str">
        <f>IF(AND($W$9=1,Courses!Y70&lt;0), "Row "&amp;Courses!$A70&amp;", "&amp;BP$9&amp;", "&amp;BP$10&amp;", "&amp;BP$11&amp;"; ","")</f>
        <v/>
      </c>
      <c r="BQ76" t="str">
        <f>IF(AND($W$9=1,Courses!Z70&lt;0), "Row "&amp;Courses!$A70&amp;", "&amp;BQ$9&amp;", "&amp;BQ$10&amp;", "&amp;BQ$11&amp;"; ","")</f>
        <v/>
      </c>
      <c r="BR76" s="2120" t="str">
        <f>IF(AND($W$9=1,Courses!AA70&lt;0), "Row "&amp;Courses!$A70&amp;", "&amp;BR$9&amp;", "&amp;BR$10&amp;"; ","")</f>
        <v/>
      </c>
      <c r="BT76" s="186">
        <v>57</v>
      </c>
      <c r="BU76" s="40">
        <f>IF(AND($X$9=1,Courses!B70="",Courses!F70="",Courses!H70="",Courses!J70="",Courses!K70="",Courses!L70="",Courses!M70=0,Courses!N70=0,Courses!O70=0,Courses!P70=0,Courses!Q70=0,Courses!R70=0,Courses!S70=0,Courses!T70=0,Courses!U70=0,Courses!V70=0,Courses!W70=0,Courses!X70=0,Courses!Y70=0,Courses!Z70=0,Courses!AA70=0),0,1)</f>
        <v>0</v>
      </c>
      <c r="BV76" s="40">
        <f>IF(AND(BU76=0,SUM(BU77:$BU$219)&gt;0),1,0)</f>
        <v>0</v>
      </c>
      <c r="BW76" s="1595" t="str">
        <f>IF(BV76=1,"Row "&amp;Courses!A70&amp;"; ","")</f>
        <v/>
      </c>
      <c r="BX76" s="17"/>
      <c r="BZ76" s="1592" t="str">
        <f>IF(AND($Y$9=1,Courses!B70&lt;&gt;"",SUM(Courses!M70:AA70)=0),"Row "&amp;Courses!A70&amp;"; ","")</f>
        <v/>
      </c>
      <c r="CA76" s="17"/>
      <c r="CC76" s="1592" t="str">
        <f>IF(AND($Z$9=1,Courses!AD70=1,(LEN(Courses!AB70)&gt;200)),"Row "&amp;Courses!A70&amp;"; ","")</f>
        <v/>
      </c>
      <c r="CE76" s="131"/>
      <c r="CG76" s="1593" t="str">
        <f>IF(AND($AD$9=1,Courses!E70&lt;&gt;"",Courses!F70&lt;&gt;"",Courses!F70=0,SUM(Courses!H70,Courses!J70)=1),"Row "&amp;Courses!A70&amp;", "&amp;Courses!$F$10&amp;"; ","")</f>
        <v/>
      </c>
      <c r="CH76" t="str">
        <f>IF(AND($AD$9=1,Courses!G70&lt;&gt;"",Courses!H70&lt;&gt;"",Courses!H70=0,SUM(Courses!J70,Courses!F70)=1),"Row "&amp;Courses!A70&amp;", "&amp;Courses!$H$10&amp;"; ","")</f>
        <v/>
      </c>
      <c r="CI76" s="183" t="str">
        <f>IF(AND($AD$9=1,Courses!I70&lt;&gt;"",Courses!J70&lt;&gt;"",Courses!J70=0, SUM(Courses!H70,Courses!F70)=1),"Row "&amp;Courses!A70&amp;", "&amp;Courses!$J$10&amp;"; ","")</f>
        <v/>
      </c>
      <c r="CJ76" s="180"/>
      <c r="CK76" s="181"/>
      <c r="CL76" s="1592" t="str">
        <f>IF(AND(Courses!B70&lt;&gt;"",ISNA(VLOOKUP(Courses!C70,CourseInfo,2,FALSE))=FALSE,COUNTIF(Dummy,Courses!C70)&lt;&gt;1),VLOOKUP(Courses!C70,CourseInfo,6,FALSE),"")</f>
        <v/>
      </c>
      <c r="CM76" s="1592" t="str">
        <f>IF(AND($AE$9=1,Courses!B70&lt;&gt;"",'Courses Valid'!AG76="",COUNTIF(Dummy,Courses!C70)&lt;&gt;1),IF(Courses!K70&lt;&gt;'Courses Valid'!CL76,"Row "&amp;Courses!A70&amp;", Level on LARS is "&amp;'Courses Valid'!CL76&amp;"; ",""),"")</f>
        <v/>
      </c>
      <c r="CN76" s="131"/>
    </row>
    <row r="77" spans="3:92" x14ac:dyDescent="0.35">
      <c r="C77" s="1591">
        <f t="shared" si="2"/>
        <v>0</v>
      </c>
      <c r="D77" s="41"/>
      <c r="E77" s="41"/>
      <c r="F77" s="118"/>
      <c r="G77" s="1591" t="str">
        <f>IF(SUMPRODUCT(--(CourseAims=Courses!$C71))=1,"",IF(AND($N$9=1,Courses!$C71&lt;&gt;""),"Row "&amp;Courses!A71&amp;" (invalid); ",""))</f>
        <v/>
      </c>
      <c r="H77" s="1592" t="str">
        <f>IF(AND($O$9=1,Courses!B71="",OR(Courses!F71&lt;&gt;"",Courses!H71&lt;&gt;"",Courses!J71&lt;&gt;"",Courses!K71&lt;&gt;"",Courses!L71&lt;&gt;"",Courses!M71&lt;&gt;0,Courses!N71&lt;&gt;0,Courses!O71&lt;&gt;0,Courses!P71&lt;&gt;0,Courses!Q71&lt;&gt;0,Courses!R71&lt;&gt;0,Courses!S71&lt;&gt;0,Courses!T71&lt;&gt;0,Courses!U71&lt;&gt;0,Courses!V71&lt;&gt;0,Courses!W71&lt;&gt;0,Courses!X71&lt;&gt;0,Courses!Y71&lt;&gt;0,Courses!Z71&lt;&gt;0,Courses!AA71&lt;&gt;0)),"Row "&amp;Courses!A71&amp;" (none); ","")</f>
        <v/>
      </c>
      <c r="I77" s="17"/>
      <c r="K77" s="1592" t="str">
        <f>Courses!B71&amp;Courses!K71&amp;Courses!L71</f>
        <v/>
      </c>
      <c r="L77" s="1592" t="str">
        <f>IF(AND($P$9=1,Courses!$B71&lt;&gt;"",COUNTIF(Dummy,Courses!$C71)&lt;&gt;1),IF(SUMPRODUCT(--($K$20:$K$219=$K77))&gt;1,"Row "&amp;Courses!$A71&amp;"; ",""),"")</f>
        <v/>
      </c>
      <c r="N77" s="118"/>
      <c r="O77" s="1593" t="str">
        <f>IF(AND($Q$9=1,Courses!E71&lt;&gt;"",Courses!F71=""),"Row "&amp;Courses!A71&amp;", "&amp;Courses!$E$10&amp;"; ","")</f>
        <v/>
      </c>
      <c r="P77" t="str">
        <f>IF(AND($Q$9=1,Courses!G71&lt;&gt;"",Courses!H71=""),"Row "&amp;Courses!A71&amp;", "&amp;Courses!$G$10&amp;"; ","")</f>
        <v/>
      </c>
      <c r="Q77" s="183" t="str">
        <f>IF(AND($Q$9=1,Courses!I71&lt;&gt;"",Courses!J71=""),"Row "&amp;Courses!A71&amp;", "&amp;Courses!$I$10&amp;"; ","")</f>
        <v/>
      </c>
      <c r="S77" s="17"/>
      <c r="T77" s="118"/>
      <c r="U77" s="1594" t="str">
        <f>IF(AND($R$9=1,Courses!B71&lt;&gt;"",Courses!E71&lt;&gt;"",Courses!G71="",Courses!I71="",Courses!F71&lt;&gt;1),"Row "&amp;Courses!A71&amp;"; ","")</f>
        <v/>
      </c>
      <c r="V77" t="str">
        <f>IF(AND($R$9=1,Courses!B71&lt;&gt;"",Courses!I71="",Courses!F71&lt;&gt;"",Courses!G71&lt;&gt;"",Courses!H71&lt;&gt;""),IF(OR((Courses!F71+Courses!H71)&lt;&gt;1),"Row "&amp;Courses!A71&amp;"; ",""),"")</f>
        <v/>
      </c>
      <c r="W77" s="183" t="str">
        <f>IF(AND($R$9=1,Courses!B71&lt;&gt;"",Courses!I71&lt;&gt;"",Courses!J71&lt;&gt;"",Courses!H71&lt;&gt;"",Courses!G71&lt;&gt;"",Courses!F71&lt;&gt;""),IF(OR((Courses!F71+Courses!H71+Courses!J71)&lt;&gt;1),"Row "&amp;Courses!A71&amp;"; ",""),"")</f>
        <v/>
      </c>
      <c r="Y77" s="1592" t="str">
        <f>IF(AND($R$9=1,Courses!E71&lt;&gt;"",U77="",V77="",W77="",SUM(Courses!F71,Courses!H71,Courses!J71)&lt;&gt;1),"Row "&amp;Courses!A71&amp;"; ","")</f>
        <v/>
      </c>
      <c r="Z77" s="17"/>
      <c r="AB77" s="1593" t="str">
        <f>IF(AND($S$9=1,Courses!B71&lt;&gt;"",Courses!E71&lt;&gt;"",Courses!F71&lt;&gt;""),IF((TRUNC(Courses!F71*100)&lt;&gt;Courses!F71*100),"Row "&amp;Courses!A71&amp;", "&amp;Courses!$F$10&amp;"; ",""),"")</f>
        <v/>
      </c>
      <c r="AC77" t="str">
        <f>IF(AND($S$9=1,Courses!B71&lt;&gt;"",Courses!G71&lt;&gt;"",Courses!H71&lt;&gt;""),IF((TRUNC(Courses!H71*100)&lt;&gt;Courses!H71*100),"Row "&amp;Courses!A71&amp;", "&amp;Courses!$H$10&amp;"; ",""),"")</f>
        <v/>
      </c>
      <c r="AD77" s="183" t="str">
        <f>IF(AND($S$9=1,Courses!B71&lt;&gt;"",Courses!I71&lt;&gt;"",Courses!J71&lt;&gt;""),IF((TRUNC(Courses!J71*100)&lt;&gt;Courses!J71*100),"Row "&amp;Courses!A71&amp;", "&amp;Courses!$J$10&amp;"; ",""),"")</f>
        <v/>
      </c>
      <c r="AF77" s="118"/>
      <c r="AG77" s="1592" t="str">
        <f>IF(AND($T$9=1,G77="",Courses!B71&lt;&gt;"",Courses!K71&lt;&gt;$B$9,Courses!K71&lt;&gt;$B$10,Courses!K71&lt;&gt;$B$11,Courses!K71&lt;&gt;$B$12,Courses!K71&lt;&gt;$B$13,Courses!K71&lt;&gt;$B$14),"Row "&amp;Courses!A71&amp;"; ","")</f>
        <v/>
      </c>
      <c r="AH77" s="1592" t="str">
        <f>IF(AND($U$9=1,G77="",Courses!B71&lt;&gt;"",Courses!L71&lt;&gt;"Standard",Courses!L71&lt;&gt;"Long"),"Row "&amp;Courses!A71&amp;"; ","")</f>
        <v/>
      </c>
      <c r="AJ77" s="118"/>
      <c r="AK77" s="3">
        <v>58</v>
      </c>
      <c r="AL77" s="1593" t="str">
        <f>IF(AND($V$9=1,(TRUNC(Courses!M71)&lt;&gt;Courses!M71)), "Row "&amp;Courses!$A71&amp;", "&amp;AL$9&amp;", "&amp;AL$10&amp;", "&amp;AL$11&amp;"; ","")</f>
        <v/>
      </c>
      <c r="AM77" t="str">
        <f>IF(AND($V$9=1,(TRUNC(Courses!N71)&lt;&gt;Courses!N71)), "Row "&amp;Courses!$A71&amp;", "&amp;AM$9&amp;", "&amp;AM$10&amp;", "&amp;AM$11&amp;"; ","")</f>
        <v/>
      </c>
      <c r="AN77" t="str">
        <f>IF(AND($V$9=1,(TRUNC(Courses!O71)&lt;&gt;Courses!O71)), "Row "&amp;Courses!$A71&amp;", "&amp;AN$9&amp;", "&amp;AN$10&amp;", "&amp;AN$11&amp;"; ","")</f>
        <v/>
      </c>
      <c r="AO77" t="str">
        <f>IF(AND($V$9=1,(TRUNC(Courses!P71)&lt;&gt;Courses!P71)), "Row "&amp;Courses!$A71&amp;", "&amp;AO$9&amp;", "&amp;AO$10&amp;", "&amp;AO$11&amp;"; ","")</f>
        <v/>
      </c>
      <c r="AP77" s="2120" t="str">
        <f>IF(AND($V$9=1,(TRUNC(Courses!Q71)&lt;&gt;Courses!Q71)), "Row "&amp;Courses!$A71&amp;", "&amp;AP$9&amp;", "&amp;AP$10&amp;"; ","")</f>
        <v/>
      </c>
      <c r="AQ77" s="1593" t="str">
        <f>IF(AND($V$9=1,(TRUNC(Courses!R71)&lt;&gt;Courses!R71)), "Row "&amp;Courses!$A71&amp;", "&amp;AQ$9&amp;", "&amp;AQ$10&amp;", "&amp;AQ$11&amp;"; ","")</f>
        <v/>
      </c>
      <c r="AR77" t="str">
        <f>IF(AND($V$9=1,(TRUNC(Courses!S71)&lt;&gt;Courses!S71)), "Row "&amp;Courses!$A71&amp;", "&amp;AR$9&amp;", "&amp;AR$10&amp;", "&amp;AR$11&amp;"; ","")</f>
        <v/>
      </c>
      <c r="AS77" t="str">
        <f>IF(AND($V$9=1,(TRUNC(Courses!T71)&lt;&gt;Courses!T71)), "Row "&amp;Courses!$A71&amp;", "&amp;AS$9&amp;", "&amp;AS$10&amp;", "&amp;AS$11&amp;"; ","")</f>
        <v/>
      </c>
      <c r="AT77" t="str">
        <f>IF(AND($V$9=1,(TRUNC(Courses!U71)&lt;&gt;Courses!U71)), "Row "&amp;Courses!$A71&amp;", "&amp;AT$9&amp;", "&amp;AT$10&amp;", "&amp;AT$11&amp;"; ","")</f>
        <v/>
      </c>
      <c r="AU77" s="2120" t="str">
        <f>IF(AND($V$9=1,(TRUNC(Courses!V71)&lt;&gt;Courses!V71)), "Row "&amp;Courses!$A71&amp;", "&amp;AU$9&amp;", "&amp;AU$10&amp;"; ","")</f>
        <v/>
      </c>
      <c r="AV77" s="1593" t="str">
        <f>IF(AND($V$9=1,(TRUNC(Courses!W71)&lt;&gt;Courses!W71)), "Row "&amp;Courses!$A71&amp;", "&amp;AV$9&amp;", "&amp;AV$10&amp;", "&amp;AV$11&amp;"; ","")</f>
        <v/>
      </c>
      <c r="AW77" t="str">
        <f>IF(AND($V$9=1,(TRUNC(Courses!X71)&lt;&gt;Courses!X71)), "Row "&amp;Courses!$A71&amp;", "&amp;AW$9&amp;", "&amp;AW$10&amp;", "&amp;AW$11&amp;"; ","")</f>
        <v/>
      </c>
      <c r="AX77" t="str">
        <f>IF(AND($V$9=1,(TRUNC(Courses!Y71)&lt;&gt;Courses!Y71)), "Row "&amp;Courses!$A71&amp;", "&amp;AX$9&amp;", "&amp;AX$10&amp;", "&amp;AX$11&amp;"; ","")</f>
        <v/>
      </c>
      <c r="AY77" t="str">
        <f>IF(AND($V$9=1,(TRUNC(Courses!Z71)&lt;&gt;Courses!Z71)), "Row "&amp;Courses!$A71&amp;", "&amp;AY$9&amp;", "&amp;AY$10&amp;", "&amp;AY$11&amp;"; ","")</f>
        <v/>
      </c>
      <c r="AZ77" s="2120" t="str">
        <f>IF(AND($V$9=1,(TRUNC(Courses!AA71)&lt;&gt;Courses!AA71)), "Row "&amp;Courses!$A71&amp;", "&amp;AZ$9&amp;", "&amp;AZ$10&amp;"; ","")</f>
        <v/>
      </c>
      <c r="BA77" s="17"/>
      <c r="BB77" s="118"/>
      <c r="BC77" s="3">
        <v>58</v>
      </c>
      <c r="BD77" s="1593" t="str">
        <f>IF(AND($W$9=1,Courses!M71&lt;0), "Row "&amp;Courses!$A71&amp;", "&amp;BD$9&amp;", "&amp;BD$10&amp;", "&amp;BD$11&amp;"; ","")</f>
        <v/>
      </c>
      <c r="BE77" t="str">
        <f>IF(AND($W$9=1,Courses!N71&lt;0), "Row "&amp;Courses!$A71&amp;", "&amp;BE$9&amp;", "&amp;BE$10&amp;", "&amp;BE$11&amp;"; ","")</f>
        <v/>
      </c>
      <c r="BF77" t="str">
        <f>IF(AND($W$9=1,Courses!O71&lt;0), "Row "&amp;Courses!$A71&amp;", "&amp;BF$9&amp;", "&amp;BF$10&amp;", "&amp;BF$11&amp;"; ","")</f>
        <v/>
      </c>
      <c r="BG77" t="str">
        <f>IF(AND($W$9=1,Courses!P71&lt;0), "Row "&amp;Courses!$A71&amp;", "&amp;BG$9&amp;", "&amp;BG$10&amp;", "&amp;BG$11&amp;"; ","")</f>
        <v/>
      </c>
      <c r="BH77" s="2120" t="str">
        <f>IF(AND($W$9=1,Courses!Q71&lt;0), "Row "&amp;Courses!$A71&amp;", "&amp;BH$9&amp;", "&amp;BH$10&amp;"; ","")</f>
        <v/>
      </c>
      <c r="BI77" s="1593" t="str">
        <f>IF(AND($W$9=1,Courses!R71&lt;0), "Row "&amp;Courses!$A71&amp;", "&amp;BI$9&amp;", "&amp;BI$10&amp;", "&amp;BI$11&amp;"; ","")</f>
        <v/>
      </c>
      <c r="BJ77" t="str">
        <f>IF(AND($W$9=1,Courses!S71&lt;0), "Row "&amp;Courses!$A71&amp;", "&amp;BJ$9&amp;", "&amp;BJ$10&amp;", "&amp;BJ$11&amp;"; ","")</f>
        <v/>
      </c>
      <c r="BK77" t="str">
        <f>IF(AND($W$9=1,Courses!T71&lt;0), "Row "&amp;Courses!$A71&amp;", "&amp;BK$9&amp;", "&amp;BK$10&amp;", "&amp;BK$11&amp;"; ","")</f>
        <v/>
      </c>
      <c r="BL77" t="str">
        <f>IF(AND($W$9=1,Courses!U71&lt;0), "Row "&amp;Courses!$A71&amp;", "&amp;BL$9&amp;", "&amp;BL$10&amp;", "&amp;BL$11&amp;"; ","")</f>
        <v/>
      </c>
      <c r="BM77" s="2120" t="str">
        <f>IF(AND($W$9=1,Courses!V71&lt;0), "Row "&amp;Courses!$A71&amp;", "&amp;BM$9&amp;", "&amp;BM$10&amp;"; ","")</f>
        <v/>
      </c>
      <c r="BN77" s="1593" t="str">
        <f>IF(AND($W$9=1,Courses!W71&lt;0), "Row "&amp;Courses!$A71&amp;", "&amp;BN$9&amp;", "&amp;BN$10&amp;", "&amp;BN$11&amp;"; ","")</f>
        <v/>
      </c>
      <c r="BO77" t="str">
        <f>IF(AND($W$9=1,Courses!X71&lt;0), "Row "&amp;Courses!$A71&amp;", "&amp;BO$9&amp;", "&amp;BO$10&amp;", "&amp;BO$11&amp;"; ","")</f>
        <v/>
      </c>
      <c r="BP77" t="str">
        <f>IF(AND($W$9=1,Courses!Y71&lt;0), "Row "&amp;Courses!$A71&amp;", "&amp;BP$9&amp;", "&amp;BP$10&amp;", "&amp;BP$11&amp;"; ","")</f>
        <v/>
      </c>
      <c r="BQ77" t="str">
        <f>IF(AND($W$9=1,Courses!Z71&lt;0), "Row "&amp;Courses!$A71&amp;", "&amp;BQ$9&amp;", "&amp;BQ$10&amp;", "&amp;BQ$11&amp;"; ","")</f>
        <v/>
      </c>
      <c r="BR77" s="2120" t="str">
        <f>IF(AND($W$9=1,Courses!AA71&lt;0), "Row "&amp;Courses!$A71&amp;", "&amp;BR$9&amp;", "&amp;BR$10&amp;"; ","")</f>
        <v/>
      </c>
      <c r="BT77" s="186">
        <v>58</v>
      </c>
      <c r="BU77" s="40">
        <f>IF(AND($X$9=1,Courses!B71="",Courses!F71="",Courses!H71="",Courses!J71="",Courses!K71="",Courses!L71="",Courses!M71=0,Courses!N71=0,Courses!O71=0,Courses!P71=0,Courses!Q71=0,Courses!R71=0,Courses!S71=0,Courses!T71=0,Courses!U71=0,Courses!V71=0,Courses!W71=0,Courses!X71=0,Courses!Y71=0,Courses!Z71=0,Courses!AA71=0),0,1)</f>
        <v>0</v>
      </c>
      <c r="BV77" s="40">
        <f>IF(AND(BU77=0,SUM(BU78:$BU$219)&gt;0),1,0)</f>
        <v>0</v>
      </c>
      <c r="BW77" s="1595" t="str">
        <f>IF(BV77=1,"Row "&amp;Courses!A71&amp;"; ","")</f>
        <v/>
      </c>
      <c r="BX77" s="17"/>
      <c r="BZ77" s="1592" t="str">
        <f>IF(AND($Y$9=1,Courses!B71&lt;&gt;"",SUM(Courses!M71:AA71)=0),"Row "&amp;Courses!A71&amp;"; ","")</f>
        <v/>
      </c>
      <c r="CA77" s="17"/>
      <c r="CC77" s="1592" t="str">
        <f>IF(AND($Z$9=1,Courses!AD71=1,(LEN(Courses!AB71)&gt;200)),"Row "&amp;Courses!A71&amp;"; ","")</f>
        <v/>
      </c>
      <c r="CE77" s="131"/>
      <c r="CG77" s="1593" t="str">
        <f>IF(AND($AD$9=1,Courses!E71&lt;&gt;"",Courses!F71&lt;&gt;"",Courses!F71=0,SUM(Courses!H71,Courses!J71)=1),"Row "&amp;Courses!A71&amp;", "&amp;Courses!$F$10&amp;"; ","")</f>
        <v/>
      </c>
      <c r="CH77" t="str">
        <f>IF(AND($AD$9=1,Courses!G71&lt;&gt;"",Courses!H71&lt;&gt;"",Courses!H71=0,SUM(Courses!J71,Courses!F71)=1),"Row "&amp;Courses!A71&amp;", "&amp;Courses!$H$10&amp;"; ","")</f>
        <v/>
      </c>
      <c r="CI77" s="183" t="str">
        <f>IF(AND($AD$9=1,Courses!I71&lt;&gt;"",Courses!J71&lt;&gt;"",Courses!J71=0, SUM(Courses!H71,Courses!F71)=1),"Row "&amp;Courses!A71&amp;", "&amp;Courses!$J$10&amp;"; ","")</f>
        <v/>
      </c>
      <c r="CJ77" s="180"/>
      <c r="CK77" s="181"/>
      <c r="CL77" s="1592" t="str">
        <f>IF(AND(Courses!B71&lt;&gt;"",ISNA(VLOOKUP(Courses!C71,CourseInfo,2,FALSE))=FALSE,COUNTIF(Dummy,Courses!C71)&lt;&gt;1),VLOOKUP(Courses!C71,CourseInfo,6,FALSE),"")</f>
        <v/>
      </c>
      <c r="CM77" s="1592" t="str">
        <f>IF(AND($AE$9=1,Courses!B71&lt;&gt;"",'Courses Valid'!AG77="",COUNTIF(Dummy,Courses!C71)&lt;&gt;1),IF(Courses!K71&lt;&gt;'Courses Valid'!CL77,"Row "&amp;Courses!A71&amp;", Level on LARS is "&amp;'Courses Valid'!CL77&amp;"; ",""),"")</f>
        <v/>
      </c>
      <c r="CN77" s="131"/>
    </row>
    <row r="78" spans="3:92" x14ac:dyDescent="0.35">
      <c r="C78" s="1591">
        <f t="shared" si="2"/>
        <v>0</v>
      </c>
      <c r="D78" s="41"/>
      <c r="E78" s="41"/>
      <c r="F78" s="118"/>
      <c r="G78" s="1591" t="str">
        <f>IF(SUMPRODUCT(--(CourseAims=Courses!$C72))=1,"",IF(AND($N$9=1,Courses!$C72&lt;&gt;""),"Row "&amp;Courses!A72&amp;" (invalid); ",""))</f>
        <v/>
      </c>
      <c r="H78" s="1592" t="str">
        <f>IF(AND($O$9=1,Courses!B72="",OR(Courses!F72&lt;&gt;"",Courses!H72&lt;&gt;"",Courses!J72&lt;&gt;"",Courses!K72&lt;&gt;"",Courses!L72&lt;&gt;"",Courses!M72&lt;&gt;0,Courses!N72&lt;&gt;0,Courses!O72&lt;&gt;0,Courses!P72&lt;&gt;0,Courses!Q72&lt;&gt;0,Courses!R72&lt;&gt;0,Courses!S72&lt;&gt;0,Courses!T72&lt;&gt;0,Courses!U72&lt;&gt;0,Courses!V72&lt;&gt;0,Courses!W72&lt;&gt;0,Courses!X72&lt;&gt;0,Courses!Y72&lt;&gt;0,Courses!Z72&lt;&gt;0,Courses!AA72&lt;&gt;0)),"Row "&amp;Courses!A72&amp;" (none); ","")</f>
        <v/>
      </c>
      <c r="I78" s="17"/>
      <c r="K78" s="1592" t="str">
        <f>Courses!B72&amp;Courses!K72&amp;Courses!L72</f>
        <v/>
      </c>
      <c r="L78" s="1592" t="str">
        <f>IF(AND($P$9=1,Courses!$B72&lt;&gt;"",COUNTIF(Dummy,Courses!$C72)&lt;&gt;1),IF(SUMPRODUCT(--($K$20:$K$219=$K78))&gt;1,"Row "&amp;Courses!$A72&amp;"; ",""),"")</f>
        <v/>
      </c>
      <c r="N78" s="118"/>
      <c r="O78" s="1593" t="str">
        <f>IF(AND($Q$9=1,Courses!E72&lt;&gt;"",Courses!F72=""),"Row "&amp;Courses!A72&amp;", "&amp;Courses!$E$10&amp;"; ","")</f>
        <v/>
      </c>
      <c r="P78" t="str">
        <f>IF(AND($Q$9=1,Courses!G72&lt;&gt;"",Courses!H72=""),"Row "&amp;Courses!A72&amp;", "&amp;Courses!$G$10&amp;"; ","")</f>
        <v/>
      </c>
      <c r="Q78" s="183" t="str">
        <f>IF(AND($Q$9=1,Courses!I72&lt;&gt;"",Courses!J72=""),"Row "&amp;Courses!A72&amp;", "&amp;Courses!$I$10&amp;"; ","")</f>
        <v/>
      </c>
      <c r="S78" s="17"/>
      <c r="T78" s="118"/>
      <c r="U78" s="1594" t="str">
        <f>IF(AND($R$9=1,Courses!B72&lt;&gt;"",Courses!E72&lt;&gt;"",Courses!G72="",Courses!I72="",Courses!F72&lt;&gt;1),"Row "&amp;Courses!A72&amp;"; ","")</f>
        <v/>
      </c>
      <c r="V78" t="str">
        <f>IF(AND($R$9=1,Courses!B72&lt;&gt;"",Courses!I72="",Courses!F72&lt;&gt;"",Courses!G72&lt;&gt;"",Courses!H72&lt;&gt;""),IF(OR((Courses!F72+Courses!H72)&lt;&gt;1),"Row "&amp;Courses!A72&amp;"; ",""),"")</f>
        <v/>
      </c>
      <c r="W78" s="183" t="str">
        <f>IF(AND($R$9=1,Courses!B72&lt;&gt;"",Courses!I72&lt;&gt;"",Courses!J72&lt;&gt;"",Courses!H72&lt;&gt;"",Courses!G72&lt;&gt;"",Courses!F72&lt;&gt;""),IF(OR((Courses!F72+Courses!H72+Courses!J72)&lt;&gt;1),"Row "&amp;Courses!A72&amp;"; ",""),"")</f>
        <v/>
      </c>
      <c r="Y78" s="1592" t="str">
        <f>IF(AND($R$9=1,Courses!E72&lt;&gt;"",U78="",V78="",W78="",SUM(Courses!F72,Courses!H72,Courses!J72)&lt;&gt;1),"Row "&amp;Courses!A72&amp;"; ","")</f>
        <v/>
      </c>
      <c r="Z78" s="17"/>
      <c r="AB78" s="1593" t="str">
        <f>IF(AND($S$9=1,Courses!B72&lt;&gt;"",Courses!E72&lt;&gt;"",Courses!F72&lt;&gt;""),IF((TRUNC(Courses!F72*100)&lt;&gt;Courses!F72*100),"Row "&amp;Courses!A72&amp;", "&amp;Courses!$F$10&amp;"; ",""),"")</f>
        <v/>
      </c>
      <c r="AC78" t="str">
        <f>IF(AND($S$9=1,Courses!B72&lt;&gt;"",Courses!G72&lt;&gt;"",Courses!H72&lt;&gt;""),IF((TRUNC(Courses!H72*100)&lt;&gt;Courses!H72*100),"Row "&amp;Courses!A72&amp;", "&amp;Courses!$H$10&amp;"; ",""),"")</f>
        <v/>
      </c>
      <c r="AD78" s="183" t="str">
        <f>IF(AND($S$9=1,Courses!B72&lt;&gt;"",Courses!I72&lt;&gt;"",Courses!J72&lt;&gt;""),IF((TRUNC(Courses!J72*100)&lt;&gt;Courses!J72*100),"Row "&amp;Courses!A72&amp;", "&amp;Courses!$J$10&amp;"; ",""),"")</f>
        <v/>
      </c>
      <c r="AF78" s="118"/>
      <c r="AG78" s="1592" t="str">
        <f>IF(AND($T$9=1,G78="",Courses!B72&lt;&gt;"",Courses!K72&lt;&gt;$B$9,Courses!K72&lt;&gt;$B$10,Courses!K72&lt;&gt;$B$11,Courses!K72&lt;&gt;$B$12,Courses!K72&lt;&gt;$B$13,Courses!K72&lt;&gt;$B$14),"Row "&amp;Courses!A72&amp;"; ","")</f>
        <v/>
      </c>
      <c r="AH78" s="1592" t="str">
        <f>IF(AND($U$9=1,G78="",Courses!B72&lt;&gt;"",Courses!L72&lt;&gt;"Standard",Courses!L72&lt;&gt;"Long"),"Row "&amp;Courses!A72&amp;"; ","")</f>
        <v/>
      </c>
      <c r="AJ78" s="118"/>
      <c r="AK78" s="3">
        <v>59</v>
      </c>
      <c r="AL78" s="1593" t="str">
        <f>IF(AND($V$9=1,(TRUNC(Courses!M72)&lt;&gt;Courses!M72)), "Row "&amp;Courses!$A72&amp;", "&amp;AL$9&amp;", "&amp;AL$10&amp;", "&amp;AL$11&amp;"; ","")</f>
        <v/>
      </c>
      <c r="AM78" t="str">
        <f>IF(AND($V$9=1,(TRUNC(Courses!N72)&lt;&gt;Courses!N72)), "Row "&amp;Courses!$A72&amp;", "&amp;AM$9&amp;", "&amp;AM$10&amp;", "&amp;AM$11&amp;"; ","")</f>
        <v/>
      </c>
      <c r="AN78" t="str">
        <f>IF(AND($V$9=1,(TRUNC(Courses!O72)&lt;&gt;Courses!O72)), "Row "&amp;Courses!$A72&amp;", "&amp;AN$9&amp;", "&amp;AN$10&amp;", "&amp;AN$11&amp;"; ","")</f>
        <v/>
      </c>
      <c r="AO78" t="str">
        <f>IF(AND($V$9=1,(TRUNC(Courses!P72)&lt;&gt;Courses!P72)), "Row "&amp;Courses!$A72&amp;", "&amp;AO$9&amp;", "&amp;AO$10&amp;", "&amp;AO$11&amp;"; ","")</f>
        <v/>
      </c>
      <c r="AP78" s="2120" t="str">
        <f>IF(AND($V$9=1,(TRUNC(Courses!Q72)&lt;&gt;Courses!Q72)), "Row "&amp;Courses!$A72&amp;", "&amp;AP$9&amp;", "&amp;AP$10&amp;"; ","")</f>
        <v/>
      </c>
      <c r="AQ78" s="1593" t="str">
        <f>IF(AND($V$9=1,(TRUNC(Courses!R72)&lt;&gt;Courses!R72)), "Row "&amp;Courses!$A72&amp;", "&amp;AQ$9&amp;", "&amp;AQ$10&amp;", "&amp;AQ$11&amp;"; ","")</f>
        <v/>
      </c>
      <c r="AR78" t="str">
        <f>IF(AND($V$9=1,(TRUNC(Courses!S72)&lt;&gt;Courses!S72)), "Row "&amp;Courses!$A72&amp;", "&amp;AR$9&amp;", "&amp;AR$10&amp;", "&amp;AR$11&amp;"; ","")</f>
        <v/>
      </c>
      <c r="AS78" t="str">
        <f>IF(AND($V$9=1,(TRUNC(Courses!T72)&lt;&gt;Courses!T72)), "Row "&amp;Courses!$A72&amp;", "&amp;AS$9&amp;", "&amp;AS$10&amp;", "&amp;AS$11&amp;"; ","")</f>
        <v/>
      </c>
      <c r="AT78" t="str">
        <f>IF(AND($V$9=1,(TRUNC(Courses!U72)&lt;&gt;Courses!U72)), "Row "&amp;Courses!$A72&amp;", "&amp;AT$9&amp;", "&amp;AT$10&amp;", "&amp;AT$11&amp;"; ","")</f>
        <v/>
      </c>
      <c r="AU78" s="2120" t="str">
        <f>IF(AND($V$9=1,(TRUNC(Courses!V72)&lt;&gt;Courses!V72)), "Row "&amp;Courses!$A72&amp;", "&amp;AU$9&amp;", "&amp;AU$10&amp;"; ","")</f>
        <v/>
      </c>
      <c r="AV78" s="1593" t="str">
        <f>IF(AND($V$9=1,(TRUNC(Courses!W72)&lt;&gt;Courses!W72)), "Row "&amp;Courses!$A72&amp;", "&amp;AV$9&amp;", "&amp;AV$10&amp;", "&amp;AV$11&amp;"; ","")</f>
        <v/>
      </c>
      <c r="AW78" t="str">
        <f>IF(AND($V$9=1,(TRUNC(Courses!X72)&lt;&gt;Courses!X72)), "Row "&amp;Courses!$A72&amp;", "&amp;AW$9&amp;", "&amp;AW$10&amp;", "&amp;AW$11&amp;"; ","")</f>
        <v/>
      </c>
      <c r="AX78" t="str">
        <f>IF(AND($V$9=1,(TRUNC(Courses!Y72)&lt;&gt;Courses!Y72)), "Row "&amp;Courses!$A72&amp;", "&amp;AX$9&amp;", "&amp;AX$10&amp;", "&amp;AX$11&amp;"; ","")</f>
        <v/>
      </c>
      <c r="AY78" t="str">
        <f>IF(AND($V$9=1,(TRUNC(Courses!Z72)&lt;&gt;Courses!Z72)), "Row "&amp;Courses!$A72&amp;", "&amp;AY$9&amp;", "&amp;AY$10&amp;", "&amp;AY$11&amp;"; ","")</f>
        <v/>
      </c>
      <c r="AZ78" s="2120" t="str">
        <f>IF(AND($V$9=1,(TRUNC(Courses!AA72)&lt;&gt;Courses!AA72)), "Row "&amp;Courses!$A72&amp;", "&amp;AZ$9&amp;", "&amp;AZ$10&amp;"; ","")</f>
        <v/>
      </c>
      <c r="BA78" s="17"/>
      <c r="BB78" s="118"/>
      <c r="BC78" s="3">
        <v>59</v>
      </c>
      <c r="BD78" s="1593" t="str">
        <f>IF(AND($W$9=1,Courses!M72&lt;0), "Row "&amp;Courses!$A72&amp;", "&amp;BD$9&amp;", "&amp;BD$10&amp;", "&amp;BD$11&amp;"; ","")</f>
        <v/>
      </c>
      <c r="BE78" t="str">
        <f>IF(AND($W$9=1,Courses!N72&lt;0), "Row "&amp;Courses!$A72&amp;", "&amp;BE$9&amp;", "&amp;BE$10&amp;", "&amp;BE$11&amp;"; ","")</f>
        <v/>
      </c>
      <c r="BF78" t="str">
        <f>IF(AND($W$9=1,Courses!O72&lt;0), "Row "&amp;Courses!$A72&amp;", "&amp;BF$9&amp;", "&amp;BF$10&amp;", "&amp;BF$11&amp;"; ","")</f>
        <v/>
      </c>
      <c r="BG78" t="str">
        <f>IF(AND($W$9=1,Courses!P72&lt;0), "Row "&amp;Courses!$A72&amp;", "&amp;BG$9&amp;", "&amp;BG$10&amp;", "&amp;BG$11&amp;"; ","")</f>
        <v/>
      </c>
      <c r="BH78" s="2120" t="str">
        <f>IF(AND($W$9=1,Courses!Q72&lt;0), "Row "&amp;Courses!$A72&amp;", "&amp;BH$9&amp;", "&amp;BH$10&amp;"; ","")</f>
        <v/>
      </c>
      <c r="BI78" s="1593" t="str">
        <f>IF(AND($W$9=1,Courses!R72&lt;0), "Row "&amp;Courses!$A72&amp;", "&amp;BI$9&amp;", "&amp;BI$10&amp;", "&amp;BI$11&amp;"; ","")</f>
        <v/>
      </c>
      <c r="BJ78" t="str">
        <f>IF(AND($W$9=1,Courses!S72&lt;0), "Row "&amp;Courses!$A72&amp;", "&amp;BJ$9&amp;", "&amp;BJ$10&amp;", "&amp;BJ$11&amp;"; ","")</f>
        <v/>
      </c>
      <c r="BK78" t="str">
        <f>IF(AND($W$9=1,Courses!T72&lt;0), "Row "&amp;Courses!$A72&amp;", "&amp;BK$9&amp;", "&amp;BK$10&amp;", "&amp;BK$11&amp;"; ","")</f>
        <v/>
      </c>
      <c r="BL78" t="str">
        <f>IF(AND($W$9=1,Courses!U72&lt;0), "Row "&amp;Courses!$A72&amp;", "&amp;BL$9&amp;", "&amp;BL$10&amp;", "&amp;BL$11&amp;"; ","")</f>
        <v/>
      </c>
      <c r="BM78" s="2120" t="str">
        <f>IF(AND($W$9=1,Courses!V72&lt;0), "Row "&amp;Courses!$A72&amp;", "&amp;BM$9&amp;", "&amp;BM$10&amp;"; ","")</f>
        <v/>
      </c>
      <c r="BN78" s="1593" t="str">
        <f>IF(AND($W$9=1,Courses!W72&lt;0), "Row "&amp;Courses!$A72&amp;", "&amp;BN$9&amp;", "&amp;BN$10&amp;", "&amp;BN$11&amp;"; ","")</f>
        <v/>
      </c>
      <c r="BO78" t="str">
        <f>IF(AND($W$9=1,Courses!X72&lt;0), "Row "&amp;Courses!$A72&amp;", "&amp;BO$9&amp;", "&amp;BO$10&amp;", "&amp;BO$11&amp;"; ","")</f>
        <v/>
      </c>
      <c r="BP78" t="str">
        <f>IF(AND($W$9=1,Courses!Y72&lt;0), "Row "&amp;Courses!$A72&amp;", "&amp;BP$9&amp;", "&amp;BP$10&amp;", "&amp;BP$11&amp;"; ","")</f>
        <v/>
      </c>
      <c r="BQ78" t="str">
        <f>IF(AND($W$9=1,Courses!Z72&lt;0), "Row "&amp;Courses!$A72&amp;", "&amp;BQ$9&amp;", "&amp;BQ$10&amp;", "&amp;BQ$11&amp;"; ","")</f>
        <v/>
      </c>
      <c r="BR78" s="2120" t="str">
        <f>IF(AND($W$9=1,Courses!AA72&lt;0), "Row "&amp;Courses!$A72&amp;", "&amp;BR$9&amp;", "&amp;BR$10&amp;"; ","")</f>
        <v/>
      </c>
      <c r="BT78" s="186">
        <v>59</v>
      </c>
      <c r="BU78" s="40">
        <f>IF(AND($X$9=1,Courses!B72="",Courses!F72="",Courses!H72="",Courses!J72="",Courses!K72="",Courses!L72="",Courses!M72=0,Courses!N72=0,Courses!O72=0,Courses!P72=0,Courses!Q72=0,Courses!R72=0,Courses!S72=0,Courses!T72=0,Courses!U72=0,Courses!V72=0,Courses!W72=0,Courses!X72=0,Courses!Y72=0,Courses!Z72=0,Courses!AA72=0),0,1)</f>
        <v>0</v>
      </c>
      <c r="BV78" s="40">
        <f>IF(AND(BU78=0,SUM(BU79:$BU$219)&gt;0),1,0)</f>
        <v>0</v>
      </c>
      <c r="BW78" s="1595" t="str">
        <f>IF(BV78=1,"Row "&amp;Courses!A72&amp;"; ","")</f>
        <v/>
      </c>
      <c r="BX78" s="17"/>
      <c r="BZ78" s="1592" t="str">
        <f>IF(AND($Y$9=1,Courses!B72&lt;&gt;"",SUM(Courses!M72:AA72)=0),"Row "&amp;Courses!A72&amp;"; ","")</f>
        <v/>
      </c>
      <c r="CA78" s="17"/>
      <c r="CC78" s="1592" t="str">
        <f>IF(AND($Z$9=1,Courses!AD72=1,(LEN(Courses!AB72)&gt;200)),"Row "&amp;Courses!A72&amp;"; ","")</f>
        <v/>
      </c>
      <c r="CE78" s="131"/>
      <c r="CG78" s="1593" t="str">
        <f>IF(AND($AD$9=1,Courses!E72&lt;&gt;"",Courses!F72&lt;&gt;"",Courses!F72=0,SUM(Courses!H72,Courses!J72)=1),"Row "&amp;Courses!A72&amp;", "&amp;Courses!$F$10&amp;"; ","")</f>
        <v/>
      </c>
      <c r="CH78" t="str">
        <f>IF(AND($AD$9=1,Courses!G72&lt;&gt;"",Courses!H72&lt;&gt;"",Courses!H72=0,SUM(Courses!J72,Courses!F72)=1),"Row "&amp;Courses!A72&amp;", "&amp;Courses!$H$10&amp;"; ","")</f>
        <v/>
      </c>
      <c r="CI78" s="183" t="str">
        <f>IF(AND($AD$9=1,Courses!I72&lt;&gt;"",Courses!J72&lt;&gt;"",Courses!J72=0, SUM(Courses!H72,Courses!F72)=1),"Row "&amp;Courses!A72&amp;", "&amp;Courses!$J$10&amp;"; ","")</f>
        <v/>
      </c>
      <c r="CJ78" s="180"/>
      <c r="CK78" s="181"/>
      <c r="CL78" s="1592" t="str">
        <f>IF(AND(Courses!B72&lt;&gt;"",ISNA(VLOOKUP(Courses!C72,CourseInfo,2,FALSE))=FALSE,COUNTIF(Dummy,Courses!C72)&lt;&gt;1),VLOOKUP(Courses!C72,CourseInfo,6,FALSE),"")</f>
        <v/>
      </c>
      <c r="CM78" s="1592" t="str">
        <f>IF(AND($AE$9=1,Courses!B72&lt;&gt;"",'Courses Valid'!AG78="",COUNTIF(Dummy,Courses!C72)&lt;&gt;1),IF(Courses!K72&lt;&gt;'Courses Valid'!CL78,"Row "&amp;Courses!A72&amp;", Level on LARS is "&amp;'Courses Valid'!CL78&amp;"; ",""),"")</f>
        <v/>
      </c>
      <c r="CN78" s="131"/>
    </row>
    <row r="79" spans="3:92" x14ac:dyDescent="0.35">
      <c r="C79" s="1591">
        <f t="shared" si="2"/>
        <v>0</v>
      </c>
      <c r="D79" s="41"/>
      <c r="E79" s="41"/>
      <c r="F79" s="118"/>
      <c r="G79" s="1591" t="str">
        <f>IF(SUMPRODUCT(--(CourseAims=Courses!$C73))=1,"",IF(AND($N$9=1,Courses!$C73&lt;&gt;""),"Row "&amp;Courses!A73&amp;" (invalid); ",""))</f>
        <v/>
      </c>
      <c r="H79" s="1592" t="str">
        <f>IF(AND($O$9=1,Courses!B73="",OR(Courses!F73&lt;&gt;"",Courses!H73&lt;&gt;"",Courses!J73&lt;&gt;"",Courses!K73&lt;&gt;"",Courses!L73&lt;&gt;"",Courses!M73&lt;&gt;0,Courses!N73&lt;&gt;0,Courses!O73&lt;&gt;0,Courses!P73&lt;&gt;0,Courses!Q73&lt;&gt;0,Courses!R73&lt;&gt;0,Courses!S73&lt;&gt;0,Courses!T73&lt;&gt;0,Courses!U73&lt;&gt;0,Courses!V73&lt;&gt;0,Courses!W73&lt;&gt;0,Courses!X73&lt;&gt;0,Courses!Y73&lt;&gt;0,Courses!Z73&lt;&gt;0,Courses!AA73&lt;&gt;0)),"Row "&amp;Courses!A73&amp;" (none); ","")</f>
        <v/>
      </c>
      <c r="I79" s="17"/>
      <c r="K79" s="1592" t="str">
        <f>Courses!B73&amp;Courses!K73&amp;Courses!L73</f>
        <v/>
      </c>
      <c r="L79" s="1592" t="str">
        <f>IF(AND($P$9=1,Courses!$B73&lt;&gt;"",COUNTIF(Dummy,Courses!$C73)&lt;&gt;1),IF(SUMPRODUCT(--($K$20:$K$219=$K79))&gt;1,"Row "&amp;Courses!$A73&amp;"; ",""),"")</f>
        <v/>
      </c>
      <c r="N79" s="118"/>
      <c r="O79" s="1593" t="str">
        <f>IF(AND($Q$9=1,Courses!E73&lt;&gt;"",Courses!F73=""),"Row "&amp;Courses!A73&amp;", "&amp;Courses!$E$10&amp;"; ","")</f>
        <v/>
      </c>
      <c r="P79" t="str">
        <f>IF(AND($Q$9=1,Courses!G73&lt;&gt;"",Courses!H73=""),"Row "&amp;Courses!A73&amp;", "&amp;Courses!$G$10&amp;"; ","")</f>
        <v/>
      </c>
      <c r="Q79" s="183" t="str">
        <f>IF(AND($Q$9=1,Courses!I73&lt;&gt;"",Courses!J73=""),"Row "&amp;Courses!A73&amp;", "&amp;Courses!$I$10&amp;"; ","")</f>
        <v/>
      </c>
      <c r="S79" s="17"/>
      <c r="T79" s="118"/>
      <c r="U79" s="1594" t="str">
        <f>IF(AND($R$9=1,Courses!B73&lt;&gt;"",Courses!E73&lt;&gt;"",Courses!G73="",Courses!I73="",Courses!F73&lt;&gt;1),"Row "&amp;Courses!A73&amp;"; ","")</f>
        <v/>
      </c>
      <c r="V79" t="str">
        <f>IF(AND($R$9=1,Courses!B73&lt;&gt;"",Courses!I73="",Courses!F73&lt;&gt;"",Courses!G73&lt;&gt;"",Courses!H73&lt;&gt;""),IF(OR((Courses!F73+Courses!H73)&lt;&gt;1),"Row "&amp;Courses!A73&amp;"; ",""),"")</f>
        <v/>
      </c>
      <c r="W79" s="183" t="str">
        <f>IF(AND($R$9=1,Courses!B73&lt;&gt;"",Courses!I73&lt;&gt;"",Courses!J73&lt;&gt;"",Courses!H73&lt;&gt;"",Courses!G73&lt;&gt;"",Courses!F73&lt;&gt;""),IF(OR((Courses!F73+Courses!H73+Courses!J73)&lt;&gt;1),"Row "&amp;Courses!A73&amp;"; ",""),"")</f>
        <v/>
      </c>
      <c r="Y79" s="1592" t="str">
        <f>IF(AND($R$9=1,Courses!E73&lt;&gt;"",U79="",V79="",W79="",SUM(Courses!F73,Courses!H73,Courses!J73)&lt;&gt;1),"Row "&amp;Courses!A73&amp;"; ","")</f>
        <v/>
      </c>
      <c r="Z79" s="17"/>
      <c r="AB79" s="1593" t="str">
        <f>IF(AND($S$9=1,Courses!B73&lt;&gt;"",Courses!E73&lt;&gt;"",Courses!F73&lt;&gt;""),IF((TRUNC(Courses!F73*100)&lt;&gt;Courses!F73*100),"Row "&amp;Courses!A73&amp;", "&amp;Courses!$F$10&amp;"; ",""),"")</f>
        <v/>
      </c>
      <c r="AC79" t="str">
        <f>IF(AND($S$9=1,Courses!B73&lt;&gt;"",Courses!G73&lt;&gt;"",Courses!H73&lt;&gt;""),IF((TRUNC(Courses!H73*100)&lt;&gt;Courses!H73*100),"Row "&amp;Courses!A73&amp;", "&amp;Courses!$H$10&amp;"; ",""),"")</f>
        <v/>
      </c>
      <c r="AD79" s="183" t="str">
        <f>IF(AND($S$9=1,Courses!B73&lt;&gt;"",Courses!I73&lt;&gt;"",Courses!J73&lt;&gt;""),IF((TRUNC(Courses!J73*100)&lt;&gt;Courses!J73*100),"Row "&amp;Courses!A73&amp;", "&amp;Courses!$J$10&amp;"; ",""),"")</f>
        <v/>
      </c>
      <c r="AF79" s="118"/>
      <c r="AG79" s="1592" t="str">
        <f>IF(AND($T$9=1,G79="",Courses!B73&lt;&gt;"",Courses!K73&lt;&gt;$B$9,Courses!K73&lt;&gt;$B$10,Courses!K73&lt;&gt;$B$11,Courses!K73&lt;&gt;$B$12,Courses!K73&lt;&gt;$B$13,Courses!K73&lt;&gt;$B$14),"Row "&amp;Courses!A73&amp;"; ","")</f>
        <v/>
      </c>
      <c r="AH79" s="1592" t="str">
        <f>IF(AND($U$9=1,G79="",Courses!B73&lt;&gt;"",Courses!L73&lt;&gt;"Standard",Courses!L73&lt;&gt;"Long"),"Row "&amp;Courses!A73&amp;"; ","")</f>
        <v/>
      </c>
      <c r="AJ79" s="118"/>
      <c r="AK79" s="3">
        <v>60</v>
      </c>
      <c r="AL79" s="1593" t="str">
        <f>IF(AND($V$9=1,(TRUNC(Courses!M73)&lt;&gt;Courses!M73)), "Row "&amp;Courses!$A73&amp;", "&amp;AL$9&amp;", "&amp;AL$10&amp;", "&amp;AL$11&amp;"; ","")</f>
        <v/>
      </c>
      <c r="AM79" t="str">
        <f>IF(AND($V$9=1,(TRUNC(Courses!N73)&lt;&gt;Courses!N73)), "Row "&amp;Courses!$A73&amp;", "&amp;AM$9&amp;", "&amp;AM$10&amp;", "&amp;AM$11&amp;"; ","")</f>
        <v/>
      </c>
      <c r="AN79" t="str">
        <f>IF(AND($V$9=1,(TRUNC(Courses!O73)&lt;&gt;Courses!O73)), "Row "&amp;Courses!$A73&amp;", "&amp;AN$9&amp;", "&amp;AN$10&amp;", "&amp;AN$11&amp;"; ","")</f>
        <v/>
      </c>
      <c r="AO79" t="str">
        <f>IF(AND($V$9=1,(TRUNC(Courses!P73)&lt;&gt;Courses!P73)), "Row "&amp;Courses!$A73&amp;", "&amp;AO$9&amp;", "&amp;AO$10&amp;", "&amp;AO$11&amp;"; ","")</f>
        <v/>
      </c>
      <c r="AP79" s="2120" t="str">
        <f>IF(AND($V$9=1,(TRUNC(Courses!Q73)&lt;&gt;Courses!Q73)), "Row "&amp;Courses!$A73&amp;", "&amp;AP$9&amp;", "&amp;AP$10&amp;"; ","")</f>
        <v/>
      </c>
      <c r="AQ79" s="1593" t="str">
        <f>IF(AND($V$9=1,(TRUNC(Courses!R73)&lt;&gt;Courses!R73)), "Row "&amp;Courses!$A73&amp;", "&amp;AQ$9&amp;", "&amp;AQ$10&amp;", "&amp;AQ$11&amp;"; ","")</f>
        <v/>
      </c>
      <c r="AR79" t="str">
        <f>IF(AND($V$9=1,(TRUNC(Courses!S73)&lt;&gt;Courses!S73)), "Row "&amp;Courses!$A73&amp;", "&amp;AR$9&amp;", "&amp;AR$10&amp;", "&amp;AR$11&amp;"; ","")</f>
        <v/>
      </c>
      <c r="AS79" t="str">
        <f>IF(AND($V$9=1,(TRUNC(Courses!T73)&lt;&gt;Courses!T73)), "Row "&amp;Courses!$A73&amp;", "&amp;AS$9&amp;", "&amp;AS$10&amp;", "&amp;AS$11&amp;"; ","")</f>
        <v/>
      </c>
      <c r="AT79" t="str">
        <f>IF(AND($V$9=1,(TRUNC(Courses!U73)&lt;&gt;Courses!U73)), "Row "&amp;Courses!$A73&amp;", "&amp;AT$9&amp;", "&amp;AT$10&amp;", "&amp;AT$11&amp;"; ","")</f>
        <v/>
      </c>
      <c r="AU79" s="2120" t="str">
        <f>IF(AND($V$9=1,(TRUNC(Courses!V73)&lt;&gt;Courses!V73)), "Row "&amp;Courses!$A73&amp;", "&amp;AU$9&amp;", "&amp;AU$10&amp;"; ","")</f>
        <v/>
      </c>
      <c r="AV79" s="1593" t="str">
        <f>IF(AND($V$9=1,(TRUNC(Courses!W73)&lt;&gt;Courses!W73)), "Row "&amp;Courses!$A73&amp;", "&amp;AV$9&amp;", "&amp;AV$10&amp;", "&amp;AV$11&amp;"; ","")</f>
        <v/>
      </c>
      <c r="AW79" t="str">
        <f>IF(AND($V$9=1,(TRUNC(Courses!X73)&lt;&gt;Courses!X73)), "Row "&amp;Courses!$A73&amp;", "&amp;AW$9&amp;", "&amp;AW$10&amp;", "&amp;AW$11&amp;"; ","")</f>
        <v/>
      </c>
      <c r="AX79" t="str">
        <f>IF(AND($V$9=1,(TRUNC(Courses!Y73)&lt;&gt;Courses!Y73)), "Row "&amp;Courses!$A73&amp;", "&amp;AX$9&amp;", "&amp;AX$10&amp;", "&amp;AX$11&amp;"; ","")</f>
        <v/>
      </c>
      <c r="AY79" t="str">
        <f>IF(AND($V$9=1,(TRUNC(Courses!Z73)&lt;&gt;Courses!Z73)), "Row "&amp;Courses!$A73&amp;", "&amp;AY$9&amp;", "&amp;AY$10&amp;", "&amp;AY$11&amp;"; ","")</f>
        <v/>
      </c>
      <c r="AZ79" s="2120" t="str">
        <f>IF(AND($V$9=1,(TRUNC(Courses!AA73)&lt;&gt;Courses!AA73)), "Row "&amp;Courses!$A73&amp;", "&amp;AZ$9&amp;", "&amp;AZ$10&amp;"; ","")</f>
        <v/>
      </c>
      <c r="BA79" s="17"/>
      <c r="BB79" s="118"/>
      <c r="BC79" s="3">
        <v>60</v>
      </c>
      <c r="BD79" s="1593" t="str">
        <f>IF(AND($W$9=1,Courses!M73&lt;0), "Row "&amp;Courses!$A73&amp;", "&amp;BD$9&amp;", "&amp;BD$10&amp;", "&amp;BD$11&amp;"; ","")</f>
        <v/>
      </c>
      <c r="BE79" t="str">
        <f>IF(AND($W$9=1,Courses!N73&lt;0), "Row "&amp;Courses!$A73&amp;", "&amp;BE$9&amp;", "&amp;BE$10&amp;", "&amp;BE$11&amp;"; ","")</f>
        <v/>
      </c>
      <c r="BF79" t="str">
        <f>IF(AND($W$9=1,Courses!O73&lt;0), "Row "&amp;Courses!$A73&amp;", "&amp;BF$9&amp;", "&amp;BF$10&amp;", "&amp;BF$11&amp;"; ","")</f>
        <v/>
      </c>
      <c r="BG79" t="str">
        <f>IF(AND($W$9=1,Courses!P73&lt;0), "Row "&amp;Courses!$A73&amp;", "&amp;BG$9&amp;", "&amp;BG$10&amp;", "&amp;BG$11&amp;"; ","")</f>
        <v/>
      </c>
      <c r="BH79" s="2120" t="str">
        <f>IF(AND($W$9=1,Courses!Q73&lt;0), "Row "&amp;Courses!$A73&amp;", "&amp;BH$9&amp;", "&amp;BH$10&amp;"; ","")</f>
        <v/>
      </c>
      <c r="BI79" s="1593" t="str">
        <f>IF(AND($W$9=1,Courses!R73&lt;0), "Row "&amp;Courses!$A73&amp;", "&amp;BI$9&amp;", "&amp;BI$10&amp;", "&amp;BI$11&amp;"; ","")</f>
        <v/>
      </c>
      <c r="BJ79" t="str">
        <f>IF(AND($W$9=1,Courses!S73&lt;0), "Row "&amp;Courses!$A73&amp;", "&amp;BJ$9&amp;", "&amp;BJ$10&amp;", "&amp;BJ$11&amp;"; ","")</f>
        <v/>
      </c>
      <c r="BK79" t="str">
        <f>IF(AND($W$9=1,Courses!T73&lt;0), "Row "&amp;Courses!$A73&amp;", "&amp;BK$9&amp;", "&amp;BK$10&amp;", "&amp;BK$11&amp;"; ","")</f>
        <v/>
      </c>
      <c r="BL79" t="str">
        <f>IF(AND($W$9=1,Courses!U73&lt;0), "Row "&amp;Courses!$A73&amp;", "&amp;BL$9&amp;", "&amp;BL$10&amp;", "&amp;BL$11&amp;"; ","")</f>
        <v/>
      </c>
      <c r="BM79" s="2120" t="str">
        <f>IF(AND($W$9=1,Courses!V73&lt;0), "Row "&amp;Courses!$A73&amp;", "&amp;BM$9&amp;", "&amp;BM$10&amp;"; ","")</f>
        <v/>
      </c>
      <c r="BN79" s="1593" t="str">
        <f>IF(AND($W$9=1,Courses!W73&lt;0), "Row "&amp;Courses!$A73&amp;", "&amp;BN$9&amp;", "&amp;BN$10&amp;", "&amp;BN$11&amp;"; ","")</f>
        <v/>
      </c>
      <c r="BO79" t="str">
        <f>IF(AND($W$9=1,Courses!X73&lt;0), "Row "&amp;Courses!$A73&amp;", "&amp;BO$9&amp;", "&amp;BO$10&amp;", "&amp;BO$11&amp;"; ","")</f>
        <v/>
      </c>
      <c r="BP79" t="str">
        <f>IF(AND($W$9=1,Courses!Y73&lt;0), "Row "&amp;Courses!$A73&amp;", "&amp;BP$9&amp;", "&amp;BP$10&amp;", "&amp;BP$11&amp;"; ","")</f>
        <v/>
      </c>
      <c r="BQ79" t="str">
        <f>IF(AND($W$9=1,Courses!Z73&lt;0), "Row "&amp;Courses!$A73&amp;", "&amp;BQ$9&amp;", "&amp;BQ$10&amp;", "&amp;BQ$11&amp;"; ","")</f>
        <v/>
      </c>
      <c r="BR79" s="2120" t="str">
        <f>IF(AND($W$9=1,Courses!AA73&lt;0), "Row "&amp;Courses!$A73&amp;", "&amp;BR$9&amp;", "&amp;BR$10&amp;"; ","")</f>
        <v/>
      </c>
      <c r="BT79" s="186">
        <v>60</v>
      </c>
      <c r="BU79" s="40">
        <f>IF(AND($X$9=1,Courses!B73="",Courses!F73="",Courses!H73="",Courses!J73="",Courses!K73="",Courses!L73="",Courses!M73=0,Courses!N73=0,Courses!O73=0,Courses!P73=0,Courses!Q73=0,Courses!R73=0,Courses!S73=0,Courses!T73=0,Courses!U73=0,Courses!V73=0,Courses!W73=0,Courses!X73=0,Courses!Y73=0,Courses!Z73=0,Courses!AA73=0),0,1)</f>
        <v>0</v>
      </c>
      <c r="BV79" s="40">
        <f>IF(AND(BU79=0,SUM(BU80:$BU$219)&gt;0),1,0)</f>
        <v>0</v>
      </c>
      <c r="BW79" s="1595" t="str">
        <f>IF(BV79=1,"Row "&amp;Courses!A73&amp;"; ","")</f>
        <v/>
      </c>
      <c r="BX79" s="17"/>
      <c r="BZ79" s="1592" t="str">
        <f>IF(AND($Y$9=1,Courses!B73&lt;&gt;"",SUM(Courses!M73:AA73)=0),"Row "&amp;Courses!A73&amp;"; ","")</f>
        <v/>
      </c>
      <c r="CA79" s="17"/>
      <c r="CC79" s="1592" t="str">
        <f>IF(AND($Z$9=1,Courses!AD73=1,(LEN(Courses!AB73)&gt;200)),"Row "&amp;Courses!A73&amp;"; ","")</f>
        <v/>
      </c>
      <c r="CE79" s="131"/>
      <c r="CG79" s="1593" t="str">
        <f>IF(AND($AD$9=1,Courses!E73&lt;&gt;"",Courses!F73&lt;&gt;"",Courses!F73=0,SUM(Courses!H73,Courses!J73)=1),"Row "&amp;Courses!A73&amp;", "&amp;Courses!$F$10&amp;"; ","")</f>
        <v/>
      </c>
      <c r="CH79" t="str">
        <f>IF(AND($AD$9=1,Courses!G73&lt;&gt;"",Courses!H73&lt;&gt;"",Courses!H73=0,SUM(Courses!J73,Courses!F73)=1),"Row "&amp;Courses!A73&amp;", "&amp;Courses!$H$10&amp;"; ","")</f>
        <v/>
      </c>
      <c r="CI79" s="183" t="str">
        <f>IF(AND($AD$9=1,Courses!I73&lt;&gt;"",Courses!J73&lt;&gt;"",Courses!J73=0, SUM(Courses!H73,Courses!F73)=1),"Row "&amp;Courses!A73&amp;", "&amp;Courses!$J$10&amp;"; ","")</f>
        <v/>
      </c>
      <c r="CJ79" s="180"/>
      <c r="CK79" s="181"/>
      <c r="CL79" s="1592" t="str">
        <f>IF(AND(Courses!B73&lt;&gt;"",ISNA(VLOOKUP(Courses!C73,CourseInfo,2,FALSE))=FALSE,COUNTIF(Dummy,Courses!C73)&lt;&gt;1),VLOOKUP(Courses!C73,CourseInfo,6,FALSE),"")</f>
        <v/>
      </c>
      <c r="CM79" s="1592" t="str">
        <f>IF(AND($AE$9=1,Courses!B73&lt;&gt;"",'Courses Valid'!AG79="",COUNTIF(Dummy,Courses!C73)&lt;&gt;1),IF(Courses!K73&lt;&gt;'Courses Valid'!CL79,"Row "&amp;Courses!A73&amp;", Level on LARS is "&amp;'Courses Valid'!CL79&amp;"; ",""),"")</f>
        <v/>
      </c>
      <c r="CN79" s="131"/>
    </row>
    <row r="80" spans="3:92" x14ac:dyDescent="0.35">
      <c r="C80" s="1591">
        <f t="shared" si="2"/>
        <v>0</v>
      </c>
      <c r="D80" s="41"/>
      <c r="E80" s="41"/>
      <c r="F80" s="118"/>
      <c r="G80" s="1591" t="str">
        <f>IF(SUMPRODUCT(--(CourseAims=Courses!$C74))=1,"",IF(AND($N$9=1,Courses!$C74&lt;&gt;""),"Row "&amp;Courses!A74&amp;" (invalid); ",""))</f>
        <v/>
      </c>
      <c r="H80" s="1592" t="str">
        <f>IF(AND($O$9=1,Courses!B74="",OR(Courses!F74&lt;&gt;"",Courses!H74&lt;&gt;"",Courses!J74&lt;&gt;"",Courses!K74&lt;&gt;"",Courses!L74&lt;&gt;"",Courses!M74&lt;&gt;0,Courses!N74&lt;&gt;0,Courses!O74&lt;&gt;0,Courses!P74&lt;&gt;0,Courses!Q74&lt;&gt;0,Courses!R74&lt;&gt;0,Courses!S74&lt;&gt;0,Courses!T74&lt;&gt;0,Courses!U74&lt;&gt;0,Courses!V74&lt;&gt;0,Courses!W74&lt;&gt;0,Courses!X74&lt;&gt;0,Courses!Y74&lt;&gt;0,Courses!Z74&lt;&gt;0,Courses!AA74&lt;&gt;0)),"Row "&amp;Courses!A74&amp;" (none); ","")</f>
        <v/>
      </c>
      <c r="I80" s="17"/>
      <c r="K80" s="1592" t="str">
        <f>Courses!B74&amp;Courses!K74&amp;Courses!L74</f>
        <v/>
      </c>
      <c r="L80" s="1592" t="str">
        <f>IF(AND($P$9=1,Courses!$B74&lt;&gt;"",COUNTIF(Dummy,Courses!$C74)&lt;&gt;1),IF(SUMPRODUCT(--($K$20:$K$219=$K80))&gt;1,"Row "&amp;Courses!$A74&amp;"; ",""),"")</f>
        <v/>
      </c>
      <c r="N80" s="118"/>
      <c r="O80" s="1593" t="str">
        <f>IF(AND($Q$9=1,Courses!E74&lt;&gt;"",Courses!F74=""),"Row "&amp;Courses!A74&amp;", "&amp;Courses!$E$10&amp;"; ","")</f>
        <v/>
      </c>
      <c r="P80" t="str">
        <f>IF(AND($Q$9=1,Courses!G74&lt;&gt;"",Courses!H74=""),"Row "&amp;Courses!A74&amp;", "&amp;Courses!$G$10&amp;"; ","")</f>
        <v/>
      </c>
      <c r="Q80" s="183" t="str">
        <f>IF(AND($Q$9=1,Courses!I74&lt;&gt;"",Courses!J74=""),"Row "&amp;Courses!A74&amp;", "&amp;Courses!$I$10&amp;"; ","")</f>
        <v/>
      </c>
      <c r="S80" s="17"/>
      <c r="T80" s="118"/>
      <c r="U80" s="1594" t="str">
        <f>IF(AND($R$9=1,Courses!B74&lt;&gt;"",Courses!E74&lt;&gt;"",Courses!G74="",Courses!I74="",Courses!F74&lt;&gt;1),"Row "&amp;Courses!A74&amp;"; ","")</f>
        <v/>
      </c>
      <c r="V80" t="str">
        <f>IF(AND($R$9=1,Courses!B74&lt;&gt;"",Courses!I74="",Courses!F74&lt;&gt;"",Courses!G74&lt;&gt;"",Courses!H74&lt;&gt;""),IF(OR((Courses!F74+Courses!H74)&lt;&gt;1),"Row "&amp;Courses!A74&amp;"; ",""),"")</f>
        <v/>
      </c>
      <c r="W80" s="183" t="str">
        <f>IF(AND($R$9=1,Courses!B74&lt;&gt;"",Courses!I74&lt;&gt;"",Courses!J74&lt;&gt;"",Courses!H74&lt;&gt;"",Courses!G74&lt;&gt;"",Courses!F74&lt;&gt;""),IF(OR((Courses!F74+Courses!H74+Courses!J74)&lt;&gt;1),"Row "&amp;Courses!A74&amp;"; ",""),"")</f>
        <v/>
      </c>
      <c r="Y80" s="1592" t="str">
        <f>IF(AND($R$9=1,Courses!E74&lt;&gt;"",U80="",V80="",W80="",SUM(Courses!F74,Courses!H74,Courses!J74)&lt;&gt;1),"Row "&amp;Courses!A74&amp;"; ","")</f>
        <v/>
      </c>
      <c r="Z80" s="17"/>
      <c r="AB80" s="1593" t="str">
        <f>IF(AND($S$9=1,Courses!B74&lt;&gt;"",Courses!E74&lt;&gt;"",Courses!F74&lt;&gt;""),IF((TRUNC(Courses!F74*100)&lt;&gt;Courses!F74*100),"Row "&amp;Courses!A74&amp;", "&amp;Courses!$F$10&amp;"; ",""),"")</f>
        <v/>
      </c>
      <c r="AC80" t="str">
        <f>IF(AND($S$9=1,Courses!B74&lt;&gt;"",Courses!G74&lt;&gt;"",Courses!H74&lt;&gt;""),IF((TRUNC(Courses!H74*100)&lt;&gt;Courses!H74*100),"Row "&amp;Courses!A74&amp;", "&amp;Courses!$H$10&amp;"; ",""),"")</f>
        <v/>
      </c>
      <c r="AD80" s="183" t="str">
        <f>IF(AND($S$9=1,Courses!B74&lt;&gt;"",Courses!I74&lt;&gt;"",Courses!J74&lt;&gt;""),IF((TRUNC(Courses!J74*100)&lt;&gt;Courses!J74*100),"Row "&amp;Courses!A74&amp;", "&amp;Courses!$J$10&amp;"; ",""),"")</f>
        <v/>
      </c>
      <c r="AF80" s="118"/>
      <c r="AG80" s="1592" t="str">
        <f>IF(AND($T$9=1,G80="",Courses!B74&lt;&gt;"",Courses!K74&lt;&gt;$B$9,Courses!K74&lt;&gt;$B$10,Courses!K74&lt;&gt;$B$11,Courses!K74&lt;&gt;$B$12,Courses!K74&lt;&gt;$B$13,Courses!K74&lt;&gt;$B$14),"Row "&amp;Courses!A74&amp;"; ","")</f>
        <v/>
      </c>
      <c r="AH80" s="1592" t="str">
        <f>IF(AND($U$9=1,G80="",Courses!B74&lt;&gt;"",Courses!L74&lt;&gt;"Standard",Courses!L74&lt;&gt;"Long"),"Row "&amp;Courses!A74&amp;"; ","")</f>
        <v/>
      </c>
      <c r="AJ80" s="118"/>
      <c r="AK80" s="3">
        <v>61</v>
      </c>
      <c r="AL80" s="1593" t="str">
        <f>IF(AND($V$9=1,(TRUNC(Courses!M74)&lt;&gt;Courses!M74)), "Row "&amp;Courses!$A74&amp;", "&amp;AL$9&amp;", "&amp;AL$10&amp;", "&amp;AL$11&amp;"; ","")</f>
        <v/>
      </c>
      <c r="AM80" t="str">
        <f>IF(AND($V$9=1,(TRUNC(Courses!N74)&lt;&gt;Courses!N74)), "Row "&amp;Courses!$A74&amp;", "&amp;AM$9&amp;", "&amp;AM$10&amp;", "&amp;AM$11&amp;"; ","")</f>
        <v/>
      </c>
      <c r="AN80" t="str">
        <f>IF(AND($V$9=1,(TRUNC(Courses!O74)&lt;&gt;Courses!O74)), "Row "&amp;Courses!$A74&amp;", "&amp;AN$9&amp;", "&amp;AN$10&amp;", "&amp;AN$11&amp;"; ","")</f>
        <v/>
      </c>
      <c r="AO80" t="str">
        <f>IF(AND($V$9=1,(TRUNC(Courses!P74)&lt;&gt;Courses!P74)), "Row "&amp;Courses!$A74&amp;", "&amp;AO$9&amp;", "&amp;AO$10&amp;", "&amp;AO$11&amp;"; ","")</f>
        <v/>
      </c>
      <c r="AP80" s="2120" t="str">
        <f>IF(AND($V$9=1,(TRUNC(Courses!Q74)&lt;&gt;Courses!Q74)), "Row "&amp;Courses!$A74&amp;", "&amp;AP$9&amp;", "&amp;AP$10&amp;"; ","")</f>
        <v/>
      </c>
      <c r="AQ80" s="1593" t="str">
        <f>IF(AND($V$9=1,(TRUNC(Courses!R74)&lt;&gt;Courses!R74)), "Row "&amp;Courses!$A74&amp;", "&amp;AQ$9&amp;", "&amp;AQ$10&amp;", "&amp;AQ$11&amp;"; ","")</f>
        <v/>
      </c>
      <c r="AR80" t="str">
        <f>IF(AND($V$9=1,(TRUNC(Courses!S74)&lt;&gt;Courses!S74)), "Row "&amp;Courses!$A74&amp;", "&amp;AR$9&amp;", "&amp;AR$10&amp;", "&amp;AR$11&amp;"; ","")</f>
        <v/>
      </c>
      <c r="AS80" t="str">
        <f>IF(AND($V$9=1,(TRUNC(Courses!T74)&lt;&gt;Courses!T74)), "Row "&amp;Courses!$A74&amp;", "&amp;AS$9&amp;", "&amp;AS$10&amp;", "&amp;AS$11&amp;"; ","")</f>
        <v/>
      </c>
      <c r="AT80" t="str">
        <f>IF(AND($V$9=1,(TRUNC(Courses!U74)&lt;&gt;Courses!U74)), "Row "&amp;Courses!$A74&amp;", "&amp;AT$9&amp;", "&amp;AT$10&amp;", "&amp;AT$11&amp;"; ","")</f>
        <v/>
      </c>
      <c r="AU80" s="2120" t="str">
        <f>IF(AND($V$9=1,(TRUNC(Courses!V74)&lt;&gt;Courses!V74)), "Row "&amp;Courses!$A74&amp;", "&amp;AU$9&amp;", "&amp;AU$10&amp;"; ","")</f>
        <v/>
      </c>
      <c r="AV80" s="1593" t="str">
        <f>IF(AND($V$9=1,(TRUNC(Courses!W74)&lt;&gt;Courses!W74)), "Row "&amp;Courses!$A74&amp;", "&amp;AV$9&amp;", "&amp;AV$10&amp;", "&amp;AV$11&amp;"; ","")</f>
        <v/>
      </c>
      <c r="AW80" t="str">
        <f>IF(AND($V$9=1,(TRUNC(Courses!X74)&lt;&gt;Courses!X74)), "Row "&amp;Courses!$A74&amp;", "&amp;AW$9&amp;", "&amp;AW$10&amp;", "&amp;AW$11&amp;"; ","")</f>
        <v/>
      </c>
      <c r="AX80" t="str">
        <f>IF(AND($V$9=1,(TRUNC(Courses!Y74)&lt;&gt;Courses!Y74)), "Row "&amp;Courses!$A74&amp;", "&amp;AX$9&amp;", "&amp;AX$10&amp;", "&amp;AX$11&amp;"; ","")</f>
        <v/>
      </c>
      <c r="AY80" t="str">
        <f>IF(AND($V$9=1,(TRUNC(Courses!Z74)&lt;&gt;Courses!Z74)), "Row "&amp;Courses!$A74&amp;", "&amp;AY$9&amp;", "&amp;AY$10&amp;", "&amp;AY$11&amp;"; ","")</f>
        <v/>
      </c>
      <c r="AZ80" s="2120" t="str">
        <f>IF(AND($V$9=1,(TRUNC(Courses!AA74)&lt;&gt;Courses!AA74)), "Row "&amp;Courses!$A74&amp;", "&amp;AZ$9&amp;", "&amp;AZ$10&amp;"; ","")</f>
        <v/>
      </c>
      <c r="BA80" s="17"/>
      <c r="BB80" s="118"/>
      <c r="BC80" s="3">
        <v>61</v>
      </c>
      <c r="BD80" s="1593" t="str">
        <f>IF(AND($W$9=1,Courses!M74&lt;0), "Row "&amp;Courses!$A74&amp;", "&amp;BD$9&amp;", "&amp;BD$10&amp;", "&amp;BD$11&amp;"; ","")</f>
        <v/>
      </c>
      <c r="BE80" t="str">
        <f>IF(AND($W$9=1,Courses!N74&lt;0), "Row "&amp;Courses!$A74&amp;", "&amp;BE$9&amp;", "&amp;BE$10&amp;", "&amp;BE$11&amp;"; ","")</f>
        <v/>
      </c>
      <c r="BF80" t="str">
        <f>IF(AND($W$9=1,Courses!O74&lt;0), "Row "&amp;Courses!$A74&amp;", "&amp;BF$9&amp;", "&amp;BF$10&amp;", "&amp;BF$11&amp;"; ","")</f>
        <v/>
      </c>
      <c r="BG80" t="str">
        <f>IF(AND($W$9=1,Courses!P74&lt;0), "Row "&amp;Courses!$A74&amp;", "&amp;BG$9&amp;", "&amp;BG$10&amp;", "&amp;BG$11&amp;"; ","")</f>
        <v/>
      </c>
      <c r="BH80" s="2120" t="str">
        <f>IF(AND($W$9=1,Courses!Q74&lt;0), "Row "&amp;Courses!$A74&amp;", "&amp;BH$9&amp;", "&amp;BH$10&amp;"; ","")</f>
        <v/>
      </c>
      <c r="BI80" s="1593" t="str">
        <f>IF(AND($W$9=1,Courses!R74&lt;0), "Row "&amp;Courses!$A74&amp;", "&amp;BI$9&amp;", "&amp;BI$10&amp;", "&amp;BI$11&amp;"; ","")</f>
        <v/>
      </c>
      <c r="BJ80" t="str">
        <f>IF(AND($W$9=1,Courses!S74&lt;0), "Row "&amp;Courses!$A74&amp;", "&amp;BJ$9&amp;", "&amp;BJ$10&amp;", "&amp;BJ$11&amp;"; ","")</f>
        <v/>
      </c>
      <c r="BK80" t="str">
        <f>IF(AND($W$9=1,Courses!T74&lt;0), "Row "&amp;Courses!$A74&amp;", "&amp;BK$9&amp;", "&amp;BK$10&amp;", "&amp;BK$11&amp;"; ","")</f>
        <v/>
      </c>
      <c r="BL80" t="str">
        <f>IF(AND($W$9=1,Courses!U74&lt;0), "Row "&amp;Courses!$A74&amp;", "&amp;BL$9&amp;", "&amp;BL$10&amp;", "&amp;BL$11&amp;"; ","")</f>
        <v/>
      </c>
      <c r="BM80" s="2120" t="str">
        <f>IF(AND($W$9=1,Courses!V74&lt;0), "Row "&amp;Courses!$A74&amp;", "&amp;BM$9&amp;", "&amp;BM$10&amp;"; ","")</f>
        <v/>
      </c>
      <c r="BN80" s="1593" t="str">
        <f>IF(AND($W$9=1,Courses!W74&lt;0), "Row "&amp;Courses!$A74&amp;", "&amp;BN$9&amp;", "&amp;BN$10&amp;", "&amp;BN$11&amp;"; ","")</f>
        <v/>
      </c>
      <c r="BO80" t="str">
        <f>IF(AND($W$9=1,Courses!X74&lt;0), "Row "&amp;Courses!$A74&amp;", "&amp;BO$9&amp;", "&amp;BO$10&amp;", "&amp;BO$11&amp;"; ","")</f>
        <v/>
      </c>
      <c r="BP80" t="str">
        <f>IF(AND($W$9=1,Courses!Y74&lt;0), "Row "&amp;Courses!$A74&amp;", "&amp;BP$9&amp;", "&amp;BP$10&amp;", "&amp;BP$11&amp;"; ","")</f>
        <v/>
      </c>
      <c r="BQ80" t="str">
        <f>IF(AND($W$9=1,Courses!Z74&lt;0), "Row "&amp;Courses!$A74&amp;", "&amp;BQ$9&amp;", "&amp;BQ$10&amp;", "&amp;BQ$11&amp;"; ","")</f>
        <v/>
      </c>
      <c r="BR80" s="2120" t="str">
        <f>IF(AND($W$9=1,Courses!AA74&lt;0), "Row "&amp;Courses!$A74&amp;", "&amp;BR$9&amp;", "&amp;BR$10&amp;"; ","")</f>
        <v/>
      </c>
      <c r="BT80" s="186">
        <v>61</v>
      </c>
      <c r="BU80" s="40">
        <f>IF(AND($X$9=1,Courses!B74="",Courses!F74="",Courses!H74="",Courses!J74="",Courses!K74="",Courses!L74="",Courses!M74=0,Courses!N74=0,Courses!O74=0,Courses!P74=0,Courses!Q74=0,Courses!R74=0,Courses!S74=0,Courses!T74=0,Courses!U74=0,Courses!V74=0,Courses!W74=0,Courses!X74=0,Courses!Y74=0,Courses!Z74=0,Courses!AA74=0),0,1)</f>
        <v>0</v>
      </c>
      <c r="BV80" s="40">
        <f>IF(AND(BU80=0,SUM(BU81:$BU$219)&gt;0),1,0)</f>
        <v>0</v>
      </c>
      <c r="BW80" s="1595" t="str">
        <f>IF(BV80=1,"Row "&amp;Courses!A74&amp;"; ","")</f>
        <v/>
      </c>
      <c r="BX80" s="17"/>
      <c r="BZ80" s="1592" t="str">
        <f>IF(AND($Y$9=1,Courses!B74&lt;&gt;"",SUM(Courses!M74:AA74)=0),"Row "&amp;Courses!A74&amp;"; ","")</f>
        <v/>
      </c>
      <c r="CA80" s="17"/>
      <c r="CC80" s="1592" t="str">
        <f>IF(AND($Z$9=1,Courses!AD74=1,(LEN(Courses!AB74)&gt;200)),"Row "&amp;Courses!A74&amp;"; ","")</f>
        <v/>
      </c>
      <c r="CE80" s="131"/>
      <c r="CG80" s="1593" t="str">
        <f>IF(AND($AD$9=1,Courses!E74&lt;&gt;"",Courses!F74&lt;&gt;"",Courses!F74=0,SUM(Courses!H74,Courses!J74)=1),"Row "&amp;Courses!A74&amp;", "&amp;Courses!$F$10&amp;"; ","")</f>
        <v/>
      </c>
      <c r="CH80" t="str">
        <f>IF(AND($AD$9=1,Courses!G74&lt;&gt;"",Courses!H74&lt;&gt;"",Courses!H74=0,SUM(Courses!J74,Courses!F74)=1),"Row "&amp;Courses!A74&amp;", "&amp;Courses!$H$10&amp;"; ","")</f>
        <v/>
      </c>
      <c r="CI80" s="183" t="str">
        <f>IF(AND($AD$9=1,Courses!I74&lt;&gt;"",Courses!J74&lt;&gt;"",Courses!J74=0, SUM(Courses!H74,Courses!F74)=1),"Row "&amp;Courses!A74&amp;", "&amp;Courses!$J$10&amp;"; ","")</f>
        <v/>
      </c>
      <c r="CJ80" s="180"/>
      <c r="CK80" s="181"/>
      <c r="CL80" s="1592" t="str">
        <f>IF(AND(Courses!B74&lt;&gt;"",ISNA(VLOOKUP(Courses!C74,CourseInfo,2,FALSE))=FALSE,COUNTIF(Dummy,Courses!C74)&lt;&gt;1),VLOOKUP(Courses!C74,CourseInfo,6,FALSE),"")</f>
        <v/>
      </c>
      <c r="CM80" s="1592" t="str">
        <f>IF(AND($AE$9=1,Courses!B74&lt;&gt;"",'Courses Valid'!AG80="",COUNTIF(Dummy,Courses!C74)&lt;&gt;1),IF(Courses!K74&lt;&gt;'Courses Valid'!CL80,"Row "&amp;Courses!A74&amp;", Level on LARS is "&amp;'Courses Valid'!CL80&amp;"; ",""),"")</f>
        <v/>
      </c>
      <c r="CN80" s="131"/>
    </row>
    <row r="81" spans="3:92" x14ac:dyDescent="0.35">
      <c r="C81" s="1591">
        <f t="shared" si="2"/>
        <v>0</v>
      </c>
      <c r="D81" s="41"/>
      <c r="E81" s="41"/>
      <c r="F81" s="118"/>
      <c r="G81" s="1591" t="str">
        <f>IF(SUMPRODUCT(--(CourseAims=Courses!$C75))=1,"",IF(AND($N$9=1,Courses!$C75&lt;&gt;""),"Row "&amp;Courses!A75&amp;" (invalid); ",""))</f>
        <v/>
      </c>
      <c r="H81" s="1592" t="str">
        <f>IF(AND($O$9=1,Courses!B75="",OR(Courses!F75&lt;&gt;"",Courses!H75&lt;&gt;"",Courses!J75&lt;&gt;"",Courses!K75&lt;&gt;"",Courses!L75&lt;&gt;"",Courses!M75&lt;&gt;0,Courses!N75&lt;&gt;0,Courses!O75&lt;&gt;0,Courses!P75&lt;&gt;0,Courses!Q75&lt;&gt;0,Courses!R75&lt;&gt;0,Courses!S75&lt;&gt;0,Courses!T75&lt;&gt;0,Courses!U75&lt;&gt;0,Courses!V75&lt;&gt;0,Courses!W75&lt;&gt;0,Courses!X75&lt;&gt;0,Courses!Y75&lt;&gt;0,Courses!Z75&lt;&gt;0,Courses!AA75&lt;&gt;0)),"Row "&amp;Courses!A75&amp;" (none); ","")</f>
        <v/>
      </c>
      <c r="I81" s="17"/>
      <c r="K81" s="1592" t="str">
        <f>Courses!B75&amp;Courses!K75&amp;Courses!L75</f>
        <v/>
      </c>
      <c r="L81" s="1592" t="str">
        <f>IF(AND($P$9=1,Courses!$B75&lt;&gt;"",COUNTIF(Dummy,Courses!$C75)&lt;&gt;1),IF(SUMPRODUCT(--($K$20:$K$219=$K81))&gt;1,"Row "&amp;Courses!$A75&amp;"; ",""),"")</f>
        <v/>
      </c>
      <c r="N81" s="118"/>
      <c r="O81" s="1593" t="str">
        <f>IF(AND($Q$9=1,Courses!E75&lt;&gt;"",Courses!F75=""),"Row "&amp;Courses!A75&amp;", "&amp;Courses!$E$10&amp;"; ","")</f>
        <v/>
      </c>
      <c r="P81" t="str">
        <f>IF(AND($Q$9=1,Courses!G75&lt;&gt;"",Courses!H75=""),"Row "&amp;Courses!A75&amp;", "&amp;Courses!$G$10&amp;"; ","")</f>
        <v/>
      </c>
      <c r="Q81" s="183" t="str">
        <f>IF(AND($Q$9=1,Courses!I75&lt;&gt;"",Courses!J75=""),"Row "&amp;Courses!A75&amp;", "&amp;Courses!$I$10&amp;"; ","")</f>
        <v/>
      </c>
      <c r="S81" s="17"/>
      <c r="T81" s="118"/>
      <c r="U81" s="1594" t="str">
        <f>IF(AND($R$9=1,Courses!B75&lt;&gt;"",Courses!E75&lt;&gt;"",Courses!G75="",Courses!I75="",Courses!F75&lt;&gt;1),"Row "&amp;Courses!A75&amp;"; ","")</f>
        <v/>
      </c>
      <c r="V81" t="str">
        <f>IF(AND($R$9=1,Courses!B75&lt;&gt;"",Courses!I75="",Courses!F75&lt;&gt;"",Courses!G75&lt;&gt;"",Courses!H75&lt;&gt;""),IF(OR((Courses!F75+Courses!H75)&lt;&gt;1),"Row "&amp;Courses!A75&amp;"; ",""),"")</f>
        <v/>
      </c>
      <c r="W81" s="183" t="str">
        <f>IF(AND($R$9=1,Courses!B75&lt;&gt;"",Courses!I75&lt;&gt;"",Courses!J75&lt;&gt;"",Courses!H75&lt;&gt;"",Courses!G75&lt;&gt;"",Courses!F75&lt;&gt;""),IF(OR((Courses!F75+Courses!H75+Courses!J75)&lt;&gt;1),"Row "&amp;Courses!A75&amp;"; ",""),"")</f>
        <v/>
      </c>
      <c r="Y81" s="1592" t="str">
        <f>IF(AND($R$9=1,Courses!E75&lt;&gt;"",U81="",V81="",W81="",SUM(Courses!F75,Courses!H75,Courses!J75)&lt;&gt;1),"Row "&amp;Courses!A75&amp;"; ","")</f>
        <v/>
      </c>
      <c r="Z81" s="17"/>
      <c r="AB81" s="1593" t="str">
        <f>IF(AND($S$9=1,Courses!B75&lt;&gt;"",Courses!E75&lt;&gt;"",Courses!F75&lt;&gt;""),IF((TRUNC(Courses!F75*100)&lt;&gt;Courses!F75*100),"Row "&amp;Courses!A75&amp;", "&amp;Courses!$F$10&amp;"; ",""),"")</f>
        <v/>
      </c>
      <c r="AC81" t="str">
        <f>IF(AND($S$9=1,Courses!B75&lt;&gt;"",Courses!G75&lt;&gt;"",Courses!H75&lt;&gt;""),IF((TRUNC(Courses!H75*100)&lt;&gt;Courses!H75*100),"Row "&amp;Courses!A75&amp;", "&amp;Courses!$H$10&amp;"; ",""),"")</f>
        <v/>
      </c>
      <c r="AD81" s="183" t="str">
        <f>IF(AND($S$9=1,Courses!B75&lt;&gt;"",Courses!I75&lt;&gt;"",Courses!J75&lt;&gt;""),IF((TRUNC(Courses!J75*100)&lt;&gt;Courses!J75*100),"Row "&amp;Courses!A75&amp;", "&amp;Courses!$J$10&amp;"; ",""),"")</f>
        <v/>
      </c>
      <c r="AF81" s="118"/>
      <c r="AG81" s="1592" t="str">
        <f>IF(AND($T$9=1,G81="",Courses!B75&lt;&gt;"",Courses!K75&lt;&gt;$B$9,Courses!K75&lt;&gt;$B$10,Courses!K75&lt;&gt;$B$11,Courses!K75&lt;&gt;$B$12,Courses!K75&lt;&gt;$B$13,Courses!K75&lt;&gt;$B$14),"Row "&amp;Courses!A75&amp;"; ","")</f>
        <v/>
      </c>
      <c r="AH81" s="1592" t="str">
        <f>IF(AND($U$9=1,G81="",Courses!B75&lt;&gt;"",Courses!L75&lt;&gt;"Standard",Courses!L75&lt;&gt;"Long"),"Row "&amp;Courses!A75&amp;"; ","")</f>
        <v/>
      </c>
      <c r="AJ81" s="118"/>
      <c r="AK81" s="3">
        <v>62</v>
      </c>
      <c r="AL81" s="1593" t="str">
        <f>IF(AND($V$9=1,(TRUNC(Courses!M75)&lt;&gt;Courses!M75)), "Row "&amp;Courses!$A75&amp;", "&amp;AL$9&amp;", "&amp;AL$10&amp;", "&amp;AL$11&amp;"; ","")</f>
        <v/>
      </c>
      <c r="AM81" t="str">
        <f>IF(AND($V$9=1,(TRUNC(Courses!N75)&lt;&gt;Courses!N75)), "Row "&amp;Courses!$A75&amp;", "&amp;AM$9&amp;", "&amp;AM$10&amp;", "&amp;AM$11&amp;"; ","")</f>
        <v/>
      </c>
      <c r="AN81" t="str">
        <f>IF(AND($V$9=1,(TRUNC(Courses!O75)&lt;&gt;Courses!O75)), "Row "&amp;Courses!$A75&amp;", "&amp;AN$9&amp;", "&amp;AN$10&amp;", "&amp;AN$11&amp;"; ","")</f>
        <v/>
      </c>
      <c r="AO81" t="str">
        <f>IF(AND($V$9=1,(TRUNC(Courses!P75)&lt;&gt;Courses!P75)), "Row "&amp;Courses!$A75&amp;", "&amp;AO$9&amp;", "&amp;AO$10&amp;", "&amp;AO$11&amp;"; ","")</f>
        <v/>
      </c>
      <c r="AP81" s="2120" t="str">
        <f>IF(AND($V$9=1,(TRUNC(Courses!Q75)&lt;&gt;Courses!Q75)), "Row "&amp;Courses!$A75&amp;", "&amp;AP$9&amp;", "&amp;AP$10&amp;"; ","")</f>
        <v/>
      </c>
      <c r="AQ81" s="1593" t="str">
        <f>IF(AND($V$9=1,(TRUNC(Courses!R75)&lt;&gt;Courses!R75)), "Row "&amp;Courses!$A75&amp;", "&amp;AQ$9&amp;", "&amp;AQ$10&amp;", "&amp;AQ$11&amp;"; ","")</f>
        <v/>
      </c>
      <c r="AR81" t="str">
        <f>IF(AND($V$9=1,(TRUNC(Courses!S75)&lt;&gt;Courses!S75)), "Row "&amp;Courses!$A75&amp;", "&amp;AR$9&amp;", "&amp;AR$10&amp;", "&amp;AR$11&amp;"; ","")</f>
        <v/>
      </c>
      <c r="AS81" t="str">
        <f>IF(AND($V$9=1,(TRUNC(Courses!T75)&lt;&gt;Courses!T75)), "Row "&amp;Courses!$A75&amp;", "&amp;AS$9&amp;", "&amp;AS$10&amp;", "&amp;AS$11&amp;"; ","")</f>
        <v/>
      </c>
      <c r="AT81" t="str">
        <f>IF(AND($V$9=1,(TRUNC(Courses!U75)&lt;&gt;Courses!U75)), "Row "&amp;Courses!$A75&amp;", "&amp;AT$9&amp;", "&amp;AT$10&amp;", "&amp;AT$11&amp;"; ","")</f>
        <v/>
      </c>
      <c r="AU81" s="2120" t="str">
        <f>IF(AND($V$9=1,(TRUNC(Courses!V75)&lt;&gt;Courses!V75)), "Row "&amp;Courses!$A75&amp;", "&amp;AU$9&amp;", "&amp;AU$10&amp;"; ","")</f>
        <v/>
      </c>
      <c r="AV81" s="1593" t="str">
        <f>IF(AND($V$9=1,(TRUNC(Courses!W75)&lt;&gt;Courses!W75)), "Row "&amp;Courses!$A75&amp;", "&amp;AV$9&amp;", "&amp;AV$10&amp;", "&amp;AV$11&amp;"; ","")</f>
        <v/>
      </c>
      <c r="AW81" t="str">
        <f>IF(AND($V$9=1,(TRUNC(Courses!X75)&lt;&gt;Courses!X75)), "Row "&amp;Courses!$A75&amp;", "&amp;AW$9&amp;", "&amp;AW$10&amp;", "&amp;AW$11&amp;"; ","")</f>
        <v/>
      </c>
      <c r="AX81" t="str">
        <f>IF(AND($V$9=1,(TRUNC(Courses!Y75)&lt;&gt;Courses!Y75)), "Row "&amp;Courses!$A75&amp;", "&amp;AX$9&amp;", "&amp;AX$10&amp;", "&amp;AX$11&amp;"; ","")</f>
        <v/>
      </c>
      <c r="AY81" t="str">
        <f>IF(AND($V$9=1,(TRUNC(Courses!Z75)&lt;&gt;Courses!Z75)), "Row "&amp;Courses!$A75&amp;", "&amp;AY$9&amp;", "&amp;AY$10&amp;", "&amp;AY$11&amp;"; ","")</f>
        <v/>
      </c>
      <c r="AZ81" s="2120" t="str">
        <f>IF(AND($V$9=1,(TRUNC(Courses!AA75)&lt;&gt;Courses!AA75)), "Row "&amp;Courses!$A75&amp;", "&amp;AZ$9&amp;", "&amp;AZ$10&amp;"; ","")</f>
        <v/>
      </c>
      <c r="BA81" s="17"/>
      <c r="BB81" s="118"/>
      <c r="BC81" s="3">
        <v>62</v>
      </c>
      <c r="BD81" s="1593" t="str">
        <f>IF(AND($W$9=1,Courses!M75&lt;0), "Row "&amp;Courses!$A75&amp;", "&amp;BD$9&amp;", "&amp;BD$10&amp;", "&amp;BD$11&amp;"; ","")</f>
        <v/>
      </c>
      <c r="BE81" t="str">
        <f>IF(AND($W$9=1,Courses!N75&lt;0), "Row "&amp;Courses!$A75&amp;", "&amp;BE$9&amp;", "&amp;BE$10&amp;", "&amp;BE$11&amp;"; ","")</f>
        <v/>
      </c>
      <c r="BF81" t="str">
        <f>IF(AND($W$9=1,Courses!O75&lt;0), "Row "&amp;Courses!$A75&amp;", "&amp;BF$9&amp;", "&amp;BF$10&amp;", "&amp;BF$11&amp;"; ","")</f>
        <v/>
      </c>
      <c r="BG81" t="str">
        <f>IF(AND($W$9=1,Courses!P75&lt;0), "Row "&amp;Courses!$A75&amp;", "&amp;BG$9&amp;", "&amp;BG$10&amp;", "&amp;BG$11&amp;"; ","")</f>
        <v/>
      </c>
      <c r="BH81" s="2120" t="str">
        <f>IF(AND($W$9=1,Courses!Q75&lt;0), "Row "&amp;Courses!$A75&amp;", "&amp;BH$9&amp;", "&amp;BH$10&amp;"; ","")</f>
        <v/>
      </c>
      <c r="BI81" s="1593" t="str">
        <f>IF(AND($W$9=1,Courses!R75&lt;0), "Row "&amp;Courses!$A75&amp;", "&amp;BI$9&amp;", "&amp;BI$10&amp;", "&amp;BI$11&amp;"; ","")</f>
        <v/>
      </c>
      <c r="BJ81" t="str">
        <f>IF(AND($W$9=1,Courses!S75&lt;0), "Row "&amp;Courses!$A75&amp;", "&amp;BJ$9&amp;", "&amp;BJ$10&amp;", "&amp;BJ$11&amp;"; ","")</f>
        <v/>
      </c>
      <c r="BK81" t="str">
        <f>IF(AND($W$9=1,Courses!T75&lt;0), "Row "&amp;Courses!$A75&amp;", "&amp;BK$9&amp;", "&amp;BK$10&amp;", "&amp;BK$11&amp;"; ","")</f>
        <v/>
      </c>
      <c r="BL81" t="str">
        <f>IF(AND($W$9=1,Courses!U75&lt;0), "Row "&amp;Courses!$A75&amp;", "&amp;BL$9&amp;", "&amp;BL$10&amp;", "&amp;BL$11&amp;"; ","")</f>
        <v/>
      </c>
      <c r="BM81" s="2120" t="str">
        <f>IF(AND($W$9=1,Courses!V75&lt;0), "Row "&amp;Courses!$A75&amp;", "&amp;BM$9&amp;", "&amp;BM$10&amp;"; ","")</f>
        <v/>
      </c>
      <c r="BN81" s="1593" t="str">
        <f>IF(AND($W$9=1,Courses!W75&lt;0), "Row "&amp;Courses!$A75&amp;", "&amp;BN$9&amp;", "&amp;BN$10&amp;", "&amp;BN$11&amp;"; ","")</f>
        <v/>
      </c>
      <c r="BO81" t="str">
        <f>IF(AND($W$9=1,Courses!X75&lt;0), "Row "&amp;Courses!$A75&amp;", "&amp;BO$9&amp;", "&amp;BO$10&amp;", "&amp;BO$11&amp;"; ","")</f>
        <v/>
      </c>
      <c r="BP81" t="str">
        <f>IF(AND($W$9=1,Courses!Y75&lt;0), "Row "&amp;Courses!$A75&amp;", "&amp;BP$9&amp;", "&amp;BP$10&amp;", "&amp;BP$11&amp;"; ","")</f>
        <v/>
      </c>
      <c r="BQ81" t="str">
        <f>IF(AND($W$9=1,Courses!Z75&lt;0), "Row "&amp;Courses!$A75&amp;", "&amp;BQ$9&amp;", "&amp;BQ$10&amp;", "&amp;BQ$11&amp;"; ","")</f>
        <v/>
      </c>
      <c r="BR81" s="2120" t="str">
        <f>IF(AND($W$9=1,Courses!AA75&lt;0), "Row "&amp;Courses!$A75&amp;", "&amp;BR$9&amp;", "&amp;BR$10&amp;"; ","")</f>
        <v/>
      </c>
      <c r="BT81" s="186">
        <v>62</v>
      </c>
      <c r="BU81" s="40">
        <f>IF(AND($X$9=1,Courses!B75="",Courses!F75="",Courses!H75="",Courses!J75="",Courses!K75="",Courses!L75="",Courses!M75=0,Courses!N75=0,Courses!O75=0,Courses!P75=0,Courses!Q75=0,Courses!R75=0,Courses!S75=0,Courses!T75=0,Courses!U75=0,Courses!V75=0,Courses!W75=0,Courses!X75=0,Courses!Y75=0,Courses!Z75=0,Courses!AA75=0),0,1)</f>
        <v>0</v>
      </c>
      <c r="BV81" s="40">
        <f>IF(AND(BU81=0,SUM(BU82:$BU$219)&gt;0),1,0)</f>
        <v>0</v>
      </c>
      <c r="BW81" s="1595" t="str">
        <f>IF(BV81=1,"Row "&amp;Courses!A75&amp;"; ","")</f>
        <v/>
      </c>
      <c r="BX81" s="17"/>
      <c r="BZ81" s="1592" t="str">
        <f>IF(AND($Y$9=1,Courses!B75&lt;&gt;"",SUM(Courses!M75:AA75)=0),"Row "&amp;Courses!A75&amp;"; ","")</f>
        <v/>
      </c>
      <c r="CA81" s="17"/>
      <c r="CC81" s="1592" t="str">
        <f>IF(AND($Z$9=1,Courses!AD75=1,(LEN(Courses!AB75)&gt;200)),"Row "&amp;Courses!A75&amp;"; ","")</f>
        <v/>
      </c>
      <c r="CE81" s="131"/>
      <c r="CG81" s="1593" t="str">
        <f>IF(AND($AD$9=1,Courses!E75&lt;&gt;"",Courses!F75&lt;&gt;"",Courses!F75=0,SUM(Courses!H75,Courses!J75)=1),"Row "&amp;Courses!A75&amp;", "&amp;Courses!$F$10&amp;"; ","")</f>
        <v/>
      </c>
      <c r="CH81" t="str">
        <f>IF(AND($AD$9=1,Courses!G75&lt;&gt;"",Courses!H75&lt;&gt;"",Courses!H75=0,SUM(Courses!J75,Courses!F75)=1),"Row "&amp;Courses!A75&amp;", "&amp;Courses!$H$10&amp;"; ","")</f>
        <v/>
      </c>
      <c r="CI81" s="183" t="str">
        <f>IF(AND($AD$9=1,Courses!I75&lt;&gt;"",Courses!J75&lt;&gt;"",Courses!J75=0, SUM(Courses!H75,Courses!F75)=1),"Row "&amp;Courses!A75&amp;", "&amp;Courses!$J$10&amp;"; ","")</f>
        <v/>
      </c>
      <c r="CJ81" s="180"/>
      <c r="CK81" s="181"/>
      <c r="CL81" s="1592" t="str">
        <f>IF(AND(Courses!B75&lt;&gt;"",ISNA(VLOOKUP(Courses!C75,CourseInfo,2,FALSE))=FALSE,COUNTIF(Dummy,Courses!C75)&lt;&gt;1),VLOOKUP(Courses!C75,CourseInfo,6,FALSE),"")</f>
        <v/>
      </c>
      <c r="CM81" s="1592" t="str">
        <f>IF(AND($AE$9=1,Courses!B75&lt;&gt;"",'Courses Valid'!AG81="",COUNTIF(Dummy,Courses!C75)&lt;&gt;1),IF(Courses!K75&lt;&gt;'Courses Valid'!CL81,"Row "&amp;Courses!A75&amp;", Level on LARS is "&amp;'Courses Valid'!CL81&amp;"; ",""),"")</f>
        <v/>
      </c>
      <c r="CN81" s="131"/>
    </row>
    <row r="82" spans="3:92" x14ac:dyDescent="0.35">
      <c r="C82" s="1591">
        <f t="shared" si="2"/>
        <v>0</v>
      </c>
      <c r="D82" s="41"/>
      <c r="E82" s="41"/>
      <c r="F82" s="118"/>
      <c r="G82" s="1591" t="str">
        <f>IF(SUMPRODUCT(--(CourseAims=Courses!$C76))=1,"",IF(AND($N$9=1,Courses!$C76&lt;&gt;""),"Row "&amp;Courses!A76&amp;" (invalid); ",""))</f>
        <v/>
      </c>
      <c r="H82" s="1592" t="str">
        <f>IF(AND($O$9=1,Courses!B76="",OR(Courses!F76&lt;&gt;"",Courses!H76&lt;&gt;"",Courses!J76&lt;&gt;"",Courses!K76&lt;&gt;"",Courses!L76&lt;&gt;"",Courses!M76&lt;&gt;0,Courses!N76&lt;&gt;0,Courses!O76&lt;&gt;0,Courses!P76&lt;&gt;0,Courses!Q76&lt;&gt;0,Courses!R76&lt;&gt;0,Courses!S76&lt;&gt;0,Courses!T76&lt;&gt;0,Courses!U76&lt;&gt;0,Courses!V76&lt;&gt;0,Courses!W76&lt;&gt;0,Courses!X76&lt;&gt;0,Courses!Y76&lt;&gt;0,Courses!Z76&lt;&gt;0,Courses!AA76&lt;&gt;0)),"Row "&amp;Courses!A76&amp;" (none); ","")</f>
        <v/>
      </c>
      <c r="I82" s="17"/>
      <c r="K82" s="1592" t="str">
        <f>Courses!B76&amp;Courses!K76&amp;Courses!L76</f>
        <v/>
      </c>
      <c r="L82" s="1592" t="str">
        <f>IF(AND($P$9=1,Courses!$B76&lt;&gt;"",COUNTIF(Dummy,Courses!$C76)&lt;&gt;1),IF(SUMPRODUCT(--($K$20:$K$219=$K82))&gt;1,"Row "&amp;Courses!$A76&amp;"; ",""),"")</f>
        <v/>
      </c>
      <c r="N82" s="118"/>
      <c r="O82" s="1593" t="str">
        <f>IF(AND($Q$9=1,Courses!E76&lt;&gt;"",Courses!F76=""),"Row "&amp;Courses!A76&amp;", "&amp;Courses!$E$10&amp;"; ","")</f>
        <v/>
      </c>
      <c r="P82" t="str">
        <f>IF(AND($Q$9=1,Courses!G76&lt;&gt;"",Courses!H76=""),"Row "&amp;Courses!A76&amp;", "&amp;Courses!$G$10&amp;"; ","")</f>
        <v/>
      </c>
      <c r="Q82" s="183" t="str">
        <f>IF(AND($Q$9=1,Courses!I76&lt;&gt;"",Courses!J76=""),"Row "&amp;Courses!A76&amp;", "&amp;Courses!$I$10&amp;"; ","")</f>
        <v/>
      </c>
      <c r="S82" s="17"/>
      <c r="T82" s="118"/>
      <c r="U82" s="1594" t="str">
        <f>IF(AND($R$9=1,Courses!B76&lt;&gt;"",Courses!E76&lt;&gt;"",Courses!G76="",Courses!I76="",Courses!F76&lt;&gt;1),"Row "&amp;Courses!A76&amp;"; ","")</f>
        <v/>
      </c>
      <c r="V82" t="str">
        <f>IF(AND($R$9=1,Courses!B76&lt;&gt;"",Courses!I76="",Courses!F76&lt;&gt;"",Courses!G76&lt;&gt;"",Courses!H76&lt;&gt;""),IF(OR((Courses!F76+Courses!H76)&lt;&gt;1),"Row "&amp;Courses!A76&amp;"; ",""),"")</f>
        <v/>
      </c>
      <c r="W82" s="183" t="str">
        <f>IF(AND($R$9=1,Courses!B76&lt;&gt;"",Courses!I76&lt;&gt;"",Courses!J76&lt;&gt;"",Courses!H76&lt;&gt;"",Courses!G76&lt;&gt;"",Courses!F76&lt;&gt;""),IF(OR((Courses!F76+Courses!H76+Courses!J76)&lt;&gt;1),"Row "&amp;Courses!A76&amp;"; ",""),"")</f>
        <v/>
      </c>
      <c r="Y82" s="1592" t="str">
        <f>IF(AND($R$9=1,Courses!E76&lt;&gt;"",U82="",V82="",W82="",SUM(Courses!F76,Courses!H76,Courses!J76)&lt;&gt;1),"Row "&amp;Courses!A76&amp;"; ","")</f>
        <v/>
      </c>
      <c r="Z82" s="17"/>
      <c r="AB82" s="1593" t="str">
        <f>IF(AND($S$9=1,Courses!B76&lt;&gt;"",Courses!E76&lt;&gt;"",Courses!F76&lt;&gt;""),IF((TRUNC(Courses!F76*100)&lt;&gt;Courses!F76*100),"Row "&amp;Courses!A76&amp;", "&amp;Courses!$F$10&amp;"; ",""),"")</f>
        <v/>
      </c>
      <c r="AC82" t="str">
        <f>IF(AND($S$9=1,Courses!B76&lt;&gt;"",Courses!G76&lt;&gt;"",Courses!H76&lt;&gt;""),IF((TRUNC(Courses!H76*100)&lt;&gt;Courses!H76*100),"Row "&amp;Courses!A76&amp;", "&amp;Courses!$H$10&amp;"; ",""),"")</f>
        <v/>
      </c>
      <c r="AD82" s="183" t="str">
        <f>IF(AND($S$9=1,Courses!B76&lt;&gt;"",Courses!I76&lt;&gt;"",Courses!J76&lt;&gt;""),IF((TRUNC(Courses!J76*100)&lt;&gt;Courses!J76*100),"Row "&amp;Courses!A76&amp;", "&amp;Courses!$J$10&amp;"; ",""),"")</f>
        <v/>
      </c>
      <c r="AF82" s="118"/>
      <c r="AG82" s="1592" t="str">
        <f>IF(AND($T$9=1,G82="",Courses!B76&lt;&gt;"",Courses!K76&lt;&gt;$B$9,Courses!K76&lt;&gt;$B$10,Courses!K76&lt;&gt;$B$11,Courses!K76&lt;&gt;$B$12,Courses!K76&lt;&gt;$B$13,Courses!K76&lt;&gt;$B$14),"Row "&amp;Courses!A76&amp;"; ","")</f>
        <v/>
      </c>
      <c r="AH82" s="1592" t="str">
        <f>IF(AND($U$9=1,G82="",Courses!B76&lt;&gt;"",Courses!L76&lt;&gt;"Standard",Courses!L76&lt;&gt;"Long"),"Row "&amp;Courses!A76&amp;"; ","")</f>
        <v/>
      </c>
      <c r="AJ82" s="118"/>
      <c r="AK82" s="3">
        <v>63</v>
      </c>
      <c r="AL82" s="1593" t="str">
        <f>IF(AND($V$9=1,(TRUNC(Courses!M76)&lt;&gt;Courses!M76)), "Row "&amp;Courses!$A76&amp;", "&amp;AL$9&amp;", "&amp;AL$10&amp;", "&amp;AL$11&amp;"; ","")</f>
        <v/>
      </c>
      <c r="AM82" t="str">
        <f>IF(AND($V$9=1,(TRUNC(Courses!N76)&lt;&gt;Courses!N76)), "Row "&amp;Courses!$A76&amp;", "&amp;AM$9&amp;", "&amp;AM$10&amp;", "&amp;AM$11&amp;"; ","")</f>
        <v/>
      </c>
      <c r="AN82" t="str">
        <f>IF(AND($V$9=1,(TRUNC(Courses!O76)&lt;&gt;Courses!O76)), "Row "&amp;Courses!$A76&amp;", "&amp;AN$9&amp;", "&amp;AN$10&amp;", "&amp;AN$11&amp;"; ","")</f>
        <v/>
      </c>
      <c r="AO82" t="str">
        <f>IF(AND($V$9=1,(TRUNC(Courses!P76)&lt;&gt;Courses!P76)), "Row "&amp;Courses!$A76&amp;", "&amp;AO$9&amp;", "&amp;AO$10&amp;", "&amp;AO$11&amp;"; ","")</f>
        <v/>
      </c>
      <c r="AP82" s="2120" t="str">
        <f>IF(AND($V$9=1,(TRUNC(Courses!Q76)&lt;&gt;Courses!Q76)), "Row "&amp;Courses!$A76&amp;", "&amp;AP$9&amp;", "&amp;AP$10&amp;"; ","")</f>
        <v/>
      </c>
      <c r="AQ82" s="1593" t="str">
        <f>IF(AND($V$9=1,(TRUNC(Courses!R76)&lt;&gt;Courses!R76)), "Row "&amp;Courses!$A76&amp;", "&amp;AQ$9&amp;", "&amp;AQ$10&amp;", "&amp;AQ$11&amp;"; ","")</f>
        <v/>
      </c>
      <c r="AR82" t="str">
        <f>IF(AND($V$9=1,(TRUNC(Courses!S76)&lt;&gt;Courses!S76)), "Row "&amp;Courses!$A76&amp;", "&amp;AR$9&amp;", "&amp;AR$10&amp;", "&amp;AR$11&amp;"; ","")</f>
        <v/>
      </c>
      <c r="AS82" t="str">
        <f>IF(AND($V$9=1,(TRUNC(Courses!T76)&lt;&gt;Courses!T76)), "Row "&amp;Courses!$A76&amp;", "&amp;AS$9&amp;", "&amp;AS$10&amp;", "&amp;AS$11&amp;"; ","")</f>
        <v/>
      </c>
      <c r="AT82" t="str">
        <f>IF(AND($V$9=1,(TRUNC(Courses!U76)&lt;&gt;Courses!U76)), "Row "&amp;Courses!$A76&amp;", "&amp;AT$9&amp;", "&amp;AT$10&amp;", "&amp;AT$11&amp;"; ","")</f>
        <v/>
      </c>
      <c r="AU82" s="2120" t="str">
        <f>IF(AND($V$9=1,(TRUNC(Courses!V76)&lt;&gt;Courses!V76)), "Row "&amp;Courses!$A76&amp;", "&amp;AU$9&amp;", "&amp;AU$10&amp;"; ","")</f>
        <v/>
      </c>
      <c r="AV82" s="1593" t="str">
        <f>IF(AND($V$9=1,(TRUNC(Courses!W76)&lt;&gt;Courses!W76)), "Row "&amp;Courses!$A76&amp;", "&amp;AV$9&amp;", "&amp;AV$10&amp;", "&amp;AV$11&amp;"; ","")</f>
        <v/>
      </c>
      <c r="AW82" t="str">
        <f>IF(AND($V$9=1,(TRUNC(Courses!X76)&lt;&gt;Courses!X76)), "Row "&amp;Courses!$A76&amp;", "&amp;AW$9&amp;", "&amp;AW$10&amp;", "&amp;AW$11&amp;"; ","")</f>
        <v/>
      </c>
      <c r="AX82" t="str">
        <f>IF(AND($V$9=1,(TRUNC(Courses!Y76)&lt;&gt;Courses!Y76)), "Row "&amp;Courses!$A76&amp;", "&amp;AX$9&amp;", "&amp;AX$10&amp;", "&amp;AX$11&amp;"; ","")</f>
        <v/>
      </c>
      <c r="AY82" t="str">
        <f>IF(AND($V$9=1,(TRUNC(Courses!Z76)&lt;&gt;Courses!Z76)), "Row "&amp;Courses!$A76&amp;", "&amp;AY$9&amp;", "&amp;AY$10&amp;", "&amp;AY$11&amp;"; ","")</f>
        <v/>
      </c>
      <c r="AZ82" s="2120" t="str">
        <f>IF(AND($V$9=1,(TRUNC(Courses!AA76)&lt;&gt;Courses!AA76)), "Row "&amp;Courses!$A76&amp;", "&amp;AZ$9&amp;", "&amp;AZ$10&amp;"; ","")</f>
        <v/>
      </c>
      <c r="BA82" s="17"/>
      <c r="BB82" s="118"/>
      <c r="BC82" s="3">
        <v>63</v>
      </c>
      <c r="BD82" s="1593" t="str">
        <f>IF(AND($W$9=1,Courses!M76&lt;0), "Row "&amp;Courses!$A76&amp;", "&amp;BD$9&amp;", "&amp;BD$10&amp;", "&amp;BD$11&amp;"; ","")</f>
        <v/>
      </c>
      <c r="BE82" t="str">
        <f>IF(AND($W$9=1,Courses!N76&lt;0), "Row "&amp;Courses!$A76&amp;", "&amp;BE$9&amp;", "&amp;BE$10&amp;", "&amp;BE$11&amp;"; ","")</f>
        <v/>
      </c>
      <c r="BF82" t="str">
        <f>IF(AND($W$9=1,Courses!O76&lt;0), "Row "&amp;Courses!$A76&amp;", "&amp;BF$9&amp;", "&amp;BF$10&amp;", "&amp;BF$11&amp;"; ","")</f>
        <v/>
      </c>
      <c r="BG82" t="str">
        <f>IF(AND($W$9=1,Courses!P76&lt;0), "Row "&amp;Courses!$A76&amp;", "&amp;BG$9&amp;", "&amp;BG$10&amp;", "&amp;BG$11&amp;"; ","")</f>
        <v/>
      </c>
      <c r="BH82" s="2120" t="str">
        <f>IF(AND($W$9=1,Courses!Q76&lt;0), "Row "&amp;Courses!$A76&amp;", "&amp;BH$9&amp;", "&amp;BH$10&amp;"; ","")</f>
        <v/>
      </c>
      <c r="BI82" s="1593" t="str">
        <f>IF(AND($W$9=1,Courses!R76&lt;0), "Row "&amp;Courses!$A76&amp;", "&amp;BI$9&amp;", "&amp;BI$10&amp;", "&amp;BI$11&amp;"; ","")</f>
        <v/>
      </c>
      <c r="BJ82" t="str">
        <f>IF(AND($W$9=1,Courses!S76&lt;0), "Row "&amp;Courses!$A76&amp;", "&amp;BJ$9&amp;", "&amp;BJ$10&amp;", "&amp;BJ$11&amp;"; ","")</f>
        <v/>
      </c>
      <c r="BK82" t="str">
        <f>IF(AND($W$9=1,Courses!T76&lt;0), "Row "&amp;Courses!$A76&amp;", "&amp;BK$9&amp;", "&amp;BK$10&amp;", "&amp;BK$11&amp;"; ","")</f>
        <v/>
      </c>
      <c r="BL82" t="str">
        <f>IF(AND($W$9=1,Courses!U76&lt;0), "Row "&amp;Courses!$A76&amp;", "&amp;BL$9&amp;", "&amp;BL$10&amp;", "&amp;BL$11&amp;"; ","")</f>
        <v/>
      </c>
      <c r="BM82" s="2120" t="str">
        <f>IF(AND($W$9=1,Courses!V76&lt;0), "Row "&amp;Courses!$A76&amp;", "&amp;BM$9&amp;", "&amp;BM$10&amp;"; ","")</f>
        <v/>
      </c>
      <c r="BN82" s="1593" t="str">
        <f>IF(AND($W$9=1,Courses!W76&lt;0), "Row "&amp;Courses!$A76&amp;", "&amp;BN$9&amp;", "&amp;BN$10&amp;", "&amp;BN$11&amp;"; ","")</f>
        <v/>
      </c>
      <c r="BO82" t="str">
        <f>IF(AND($W$9=1,Courses!X76&lt;0), "Row "&amp;Courses!$A76&amp;", "&amp;BO$9&amp;", "&amp;BO$10&amp;", "&amp;BO$11&amp;"; ","")</f>
        <v/>
      </c>
      <c r="BP82" t="str">
        <f>IF(AND($W$9=1,Courses!Y76&lt;0), "Row "&amp;Courses!$A76&amp;", "&amp;BP$9&amp;", "&amp;BP$10&amp;", "&amp;BP$11&amp;"; ","")</f>
        <v/>
      </c>
      <c r="BQ82" t="str">
        <f>IF(AND($W$9=1,Courses!Z76&lt;0), "Row "&amp;Courses!$A76&amp;", "&amp;BQ$9&amp;", "&amp;BQ$10&amp;", "&amp;BQ$11&amp;"; ","")</f>
        <v/>
      </c>
      <c r="BR82" s="2120" t="str">
        <f>IF(AND($W$9=1,Courses!AA76&lt;0), "Row "&amp;Courses!$A76&amp;", "&amp;BR$9&amp;", "&amp;BR$10&amp;"; ","")</f>
        <v/>
      </c>
      <c r="BT82" s="186">
        <v>63</v>
      </c>
      <c r="BU82" s="40">
        <f>IF(AND($X$9=1,Courses!B76="",Courses!F76="",Courses!H76="",Courses!J76="",Courses!K76="",Courses!L76="",Courses!M76=0,Courses!N76=0,Courses!O76=0,Courses!P76=0,Courses!Q76=0,Courses!R76=0,Courses!S76=0,Courses!T76=0,Courses!U76=0,Courses!V76=0,Courses!W76=0,Courses!X76=0,Courses!Y76=0,Courses!Z76=0,Courses!AA76=0),0,1)</f>
        <v>0</v>
      </c>
      <c r="BV82" s="40">
        <f>IF(AND(BU82=0,SUM(BU83:$BU$219)&gt;0),1,0)</f>
        <v>0</v>
      </c>
      <c r="BW82" s="1595" t="str">
        <f>IF(BV82=1,"Row "&amp;Courses!A76&amp;"; ","")</f>
        <v/>
      </c>
      <c r="BX82" s="17"/>
      <c r="BZ82" s="1592" t="str">
        <f>IF(AND($Y$9=1,Courses!B76&lt;&gt;"",SUM(Courses!M76:AA76)=0),"Row "&amp;Courses!A76&amp;"; ","")</f>
        <v/>
      </c>
      <c r="CA82" s="17"/>
      <c r="CC82" s="1592" t="str">
        <f>IF(AND($Z$9=1,Courses!AD76=1,(LEN(Courses!AB76)&gt;200)),"Row "&amp;Courses!A76&amp;"; ","")</f>
        <v/>
      </c>
      <c r="CE82" s="131"/>
      <c r="CG82" s="1593" t="str">
        <f>IF(AND($AD$9=1,Courses!E76&lt;&gt;"",Courses!F76&lt;&gt;"",Courses!F76=0,SUM(Courses!H76,Courses!J76)=1),"Row "&amp;Courses!A76&amp;", "&amp;Courses!$F$10&amp;"; ","")</f>
        <v/>
      </c>
      <c r="CH82" t="str">
        <f>IF(AND($AD$9=1,Courses!G76&lt;&gt;"",Courses!H76&lt;&gt;"",Courses!H76=0,SUM(Courses!J76,Courses!F76)=1),"Row "&amp;Courses!A76&amp;", "&amp;Courses!$H$10&amp;"; ","")</f>
        <v/>
      </c>
      <c r="CI82" s="183" t="str">
        <f>IF(AND($AD$9=1,Courses!I76&lt;&gt;"",Courses!J76&lt;&gt;"",Courses!J76=0, SUM(Courses!H76,Courses!F76)=1),"Row "&amp;Courses!A76&amp;", "&amp;Courses!$J$10&amp;"; ","")</f>
        <v/>
      </c>
      <c r="CJ82" s="180"/>
      <c r="CK82" s="181"/>
      <c r="CL82" s="1592" t="str">
        <f>IF(AND(Courses!B76&lt;&gt;"",ISNA(VLOOKUP(Courses!C76,CourseInfo,2,FALSE))=FALSE,COUNTIF(Dummy,Courses!C76)&lt;&gt;1),VLOOKUP(Courses!C76,CourseInfo,6,FALSE),"")</f>
        <v/>
      </c>
      <c r="CM82" s="1592" t="str">
        <f>IF(AND($AE$9=1,Courses!B76&lt;&gt;"",'Courses Valid'!AG82="",COUNTIF(Dummy,Courses!C76)&lt;&gt;1),IF(Courses!K76&lt;&gt;'Courses Valid'!CL82,"Row "&amp;Courses!A76&amp;", Level on LARS is "&amp;'Courses Valid'!CL82&amp;"; ",""),"")</f>
        <v/>
      </c>
      <c r="CN82" s="131"/>
    </row>
    <row r="83" spans="3:92" x14ac:dyDescent="0.35">
      <c r="C83" s="1591">
        <f t="shared" si="2"/>
        <v>0</v>
      </c>
      <c r="D83" s="41"/>
      <c r="E83" s="41"/>
      <c r="F83" s="118"/>
      <c r="G83" s="1591" t="str">
        <f>IF(SUMPRODUCT(--(CourseAims=Courses!$C77))=1,"",IF(AND($N$9=1,Courses!$C77&lt;&gt;""),"Row "&amp;Courses!A77&amp;" (invalid); ",""))</f>
        <v/>
      </c>
      <c r="H83" s="1592" t="str">
        <f>IF(AND($O$9=1,Courses!B77="",OR(Courses!F77&lt;&gt;"",Courses!H77&lt;&gt;"",Courses!J77&lt;&gt;"",Courses!K77&lt;&gt;"",Courses!L77&lt;&gt;"",Courses!M77&lt;&gt;0,Courses!N77&lt;&gt;0,Courses!O77&lt;&gt;0,Courses!P77&lt;&gt;0,Courses!Q77&lt;&gt;0,Courses!R77&lt;&gt;0,Courses!S77&lt;&gt;0,Courses!T77&lt;&gt;0,Courses!U77&lt;&gt;0,Courses!V77&lt;&gt;0,Courses!W77&lt;&gt;0,Courses!X77&lt;&gt;0,Courses!Y77&lt;&gt;0,Courses!Z77&lt;&gt;0,Courses!AA77&lt;&gt;0)),"Row "&amp;Courses!A77&amp;" (none); ","")</f>
        <v/>
      </c>
      <c r="I83" s="17"/>
      <c r="K83" s="1592" t="str">
        <f>Courses!B77&amp;Courses!K77&amp;Courses!L77</f>
        <v/>
      </c>
      <c r="L83" s="1592" t="str">
        <f>IF(AND($P$9=1,Courses!$B77&lt;&gt;"",COUNTIF(Dummy,Courses!$C77)&lt;&gt;1),IF(SUMPRODUCT(--($K$20:$K$219=$K83))&gt;1,"Row "&amp;Courses!$A77&amp;"; ",""),"")</f>
        <v/>
      </c>
      <c r="N83" s="118"/>
      <c r="O83" s="1593" t="str">
        <f>IF(AND($Q$9=1,Courses!E77&lt;&gt;"",Courses!F77=""),"Row "&amp;Courses!A77&amp;", "&amp;Courses!$E$10&amp;"; ","")</f>
        <v/>
      </c>
      <c r="P83" t="str">
        <f>IF(AND($Q$9=1,Courses!G77&lt;&gt;"",Courses!H77=""),"Row "&amp;Courses!A77&amp;", "&amp;Courses!$G$10&amp;"; ","")</f>
        <v/>
      </c>
      <c r="Q83" s="183" t="str">
        <f>IF(AND($Q$9=1,Courses!I77&lt;&gt;"",Courses!J77=""),"Row "&amp;Courses!A77&amp;", "&amp;Courses!$I$10&amp;"; ","")</f>
        <v/>
      </c>
      <c r="S83" s="17"/>
      <c r="T83" s="118"/>
      <c r="U83" s="1594" t="str">
        <f>IF(AND($R$9=1,Courses!B77&lt;&gt;"",Courses!E77&lt;&gt;"",Courses!G77="",Courses!I77="",Courses!F77&lt;&gt;1),"Row "&amp;Courses!A77&amp;"; ","")</f>
        <v/>
      </c>
      <c r="V83" t="str">
        <f>IF(AND($R$9=1,Courses!B77&lt;&gt;"",Courses!I77="",Courses!F77&lt;&gt;"",Courses!G77&lt;&gt;"",Courses!H77&lt;&gt;""),IF(OR((Courses!F77+Courses!H77)&lt;&gt;1),"Row "&amp;Courses!A77&amp;"; ",""),"")</f>
        <v/>
      </c>
      <c r="W83" s="183" t="str">
        <f>IF(AND($R$9=1,Courses!B77&lt;&gt;"",Courses!I77&lt;&gt;"",Courses!J77&lt;&gt;"",Courses!H77&lt;&gt;"",Courses!G77&lt;&gt;"",Courses!F77&lt;&gt;""),IF(OR((Courses!F77+Courses!H77+Courses!J77)&lt;&gt;1),"Row "&amp;Courses!A77&amp;"; ",""),"")</f>
        <v/>
      </c>
      <c r="Y83" s="1592" t="str">
        <f>IF(AND($R$9=1,Courses!E77&lt;&gt;"",U83="",V83="",W83="",SUM(Courses!F77,Courses!H77,Courses!J77)&lt;&gt;1),"Row "&amp;Courses!A77&amp;"; ","")</f>
        <v/>
      </c>
      <c r="Z83" s="17"/>
      <c r="AB83" s="1593" t="str">
        <f>IF(AND($S$9=1,Courses!B77&lt;&gt;"",Courses!E77&lt;&gt;"",Courses!F77&lt;&gt;""),IF((TRUNC(Courses!F77*100)&lt;&gt;Courses!F77*100),"Row "&amp;Courses!A77&amp;", "&amp;Courses!$F$10&amp;"; ",""),"")</f>
        <v/>
      </c>
      <c r="AC83" t="str">
        <f>IF(AND($S$9=1,Courses!B77&lt;&gt;"",Courses!G77&lt;&gt;"",Courses!H77&lt;&gt;""),IF((TRUNC(Courses!H77*100)&lt;&gt;Courses!H77*100),"Row "&amp;Courses!A77&amp;", "&amp;Courses!$H$10&amp;"; ",""),"")</f>
        <v/>
      </c>
      <c r="AD83" s="183" t="str">
        <f>IF(AND($S$9=1,Courses!B77&lt;&gt;"",Courses!I77&lt;&gt;"",Courses!J77&lt;&gt;""),IF((TRUNC(Courses!J77*100)&lt;&gt;Courses!J77*100),"Row "&amp;Courses!A77&amp;", "&amp;Courses!$J$10&amp;"; ",""),"")</f>
        <v/>
      </c>
      <c r="AF83" s="118"/>
      <c r="AG83" s="1592" t="str">
        <f>IF(AND($T$9=1,G83="",Courses!B77&lt;&gt;"",Courses!K77&lt;&gt;$B$9,Courses!K77&lt;&gt;$B$10,Courses!K77&lt;&gt;$B$11,Courses!K77&lt;&gt;$B$12,Courses!K77&lt;&gt;$B$13,Courses!K77&lt;&gt;$B$14),"Row "&amp;Courses!A77&amp;"; ","")</f>
        <v/>
      </c>
      <c r="AH83" s="1592" t="str">
        <f>IF(AND($U$9=1,G83="",Courses!B77&lt;&gt;"",Courses!L77&lt;&gt;"Standard",Courses!L77&lt;&gt;"Long"),"Row "&amp;Courses!A77&amp;"; ","")</f>
        <v/>
      </c>
      <c r="AJ83" s="118"/>
      <c r="AK83" s="3">
        <v>64</v>
      </c>
      <c r="AL83" s="1593" t="str">
        <f>IF(AND($V$9=1,(TRUNC(Courses!M77)&lt;&gt;Courses!M77)), "Row "&amp;Courses!$A77&amp;", "&amp;AL$9&amp;", "&amp;AL$10&amp;", "&amp;AL$11&amp;"; ","")</f>
        <v/>
      </c>
      <c r="AM83" t="str">
        <f>IF(AND($V$9=1,(TRUNC(Courses!N77)&lt;&gt;Courses!N77)), "Row "&amp;Courses!$A77&amp;", "&amp;AM$9&amp;", "&amp;AM$10&amp;", "&amp;AM$11&amp;"; ","")</f>
        <v/>
      </c>
      <c r="AN83" t="str">
        <f>IF(AND($V$9=1,(TRUNC(Courses!O77)&lt;&gt;Courses!O77)), "Row "&amp;Courses!$A77&amp;", "&amp;AN$9&amp;", "&amp;AN$10&amp;", "&amp;AN$11&amp;"; ","")</f>
        <v/>
      </c>
      <c r="AO83" t="str">
        <f>IF(AND($V$9=1,(TRUNC(Courses!P77)&lt;&gt;Courses!P77)), "Row "&amp;Courses!$A77&amp;", "&amp;AO$9&amp;", "&amp;AO$10&amp;", "&amp;AO$11&amp;"; ","")</f>
        <v/>
      </c>
      <c r="AP83" s="2120" t="str">
        <f>IF(AND($V$9=1,(TRUNC(Courses!Q77)&lt;&gt;Courses!Q77)), "Row "&amp;Courses!$A77&amp;", "&amp;AP$9&amp;", "&amp;AP$10&amp;"; ","")</f>
        <v/>
      </c>
      <c r="AQ83" s="1593" t="str">
        <f>IF(AND($V$9=1,(TRUNC(Courses!R77)&lt;&gt;Courses!R77)), "Row "&amp;Courses!$A77&amp;", "&amp;AQ$9&amp;", "&amp;AQ$10&amp;", "&amp;AQ$11&amp;"; ","")</f>
        <v/>
      </c>
      <c r="AR83" t="str">
        <f>IF(AND($V$9=1,(TRUNC(Courses!S77)&lt;&gt;Courses!S77)), "Row "&amp;Courses!$A77&amp;", "&amp;AR$9&amp;", "&amp;AR$10&amp;", "&amp;AR$11&amp;"; ","")</f>
        <v/>
      </c>
      <c r="AS83" t="str">
        <f>IF(AND($V$9=1,(TRUNC(Courses!T77)&lt;&gt;Courses!T77)), "Row "&amp;Courses!$A77&amp;", "&amp;AS$9&amp;", "&amp;AS$10&amp;", "&amp;AS$11&amp;"; ","")</f>
        <v/>
      </c>
      <c r="AT83" t="str">
        <f>IF(AND($V$9=1,(TRUNC(Courses!U77)&lt;&gt;Courses!U77)), "Row "&amp;Courses!$A77&amp;", "&amp;AT$9&amp;", "&amp;AT$10&amp;", "&amp;AT$11&amp;"; ","")</f>
        <v/>
      </c>
      <c r="AU83" s="2120" t="str">
        <f>IF(AND($V$9=1,(TRUNC(Courses!V77)&lt;&gt;Courses!V77)), "Row "&amp;Courses!$A77&amp;", "&amp;AU$9&amp;", "&amp;AU$10&amp;"; ","")</f>
        <v/>
      </c>
      <c r="AV83" s="1593" t="str">
        <f>IF(AND($V$9=1,(TRUNC(Courses!W77)&lt;&gt;Courses!W77)), "Row "&amp;Courses!$A77&amp;", "&amp;AV$9&amp;", "&amp;AV$10&amp;", "&amp;AV$11&amp;"; ","")</f>
        <v/>
      </c>
      <c r="AW83" t="str">
        <f>IF(AND($V$9=1,(TRUNC(Courses!X77)&lt;&gt;Courses!X77)), "Row "&amp;Courses!$A77&amp;", "&amp;AW$9&amp;", "&amp;AW$10&amp;", "&amp;AW$11&amp;"; ","")</f>
        <v/>
      </c>
      <c r="AX83" t="str">
        <f>IF(AND($V$9=1,(TRUNC(Courses!Y77)&lt;&gt;Courses!Y77)), "Row "&amp;Courses!$A77&amp;", "&amp;AX$9&amp;", "&amp;AX$10&amp;", "&amp;AX$11&amp;"; ","")</f>
        <v/>
      </c>
      <c r="AY83" t="str">
        <f>IF(AND($V$9=1,(TRUNC(Courses!Z77)&lt;&gt;Courses!Z77)), "Row "&amp;Courses!$A77&amp;", "&amp;AY$9&amp;", "&amp;AY$10&amp;", "&amp;AY$11&amp;"; ","")</f>
        <v/>
      </c>
      <c r="AZ83" s="2120" t="str">
        <f>IF(AND($V$9=1,(TRUNC(Courses!AA77)&lt;&gt;Courses!AA77)), "Row "&amp;Courses!$A77&amp;", "&amp;AZ$9&amp;", "&amp;AZ$10&amp;"; ","")</f>
        <v/>
      </c>
      <c r="BA83" s="17"/>
      <c r="BB83" s="118"/>
      <c r="BC83" s="3">
        <v>64</v>
      </c>
      <c r="BD83" s="1593" t="str">
        <f>IF(AND($W$9=1,Courses!M77&lt;0), "Row "&amp;Courses!$A77&amp;", "&amp;BD$9&amp;", "&amp;BD$10&amp;", "&amp;BD$11&amp;"; ","")</f>
        <v/>
      </c>
      <c r="BE83" t="str">
        <f>IF(AND($W$9=1,Courses!N77&lt;0), "Row "&amp;Courses!$A77&amp;", "&amp;BE$9&amp;", "&amp;BE$10&amp;", "&amp;BE$11&amp;"; ","")</f>
        <v/>
      </c>
      <c r="BF83" t="str">
        <f>IF(AND($W$9=1,Courses!O77&lt;0), "Row "&amp;Courses!$A77&amp;", "&amp;BF$9&amp;", "&amp;BF$10&amp;", "&amp;BF$11&amp;"; ","")</f>
        <v/>
      </c>
      <c r="BG83" t="str">
        <f>IF(AND($W$9=1,Courses!P77&lt;0), "Row "&amp;Courses!$A77&amp;", "&amp;BG$9&amp;", "&amp;BG$10&amp;", "&amp;BG$11&amp;"; ","")</f>
        <v/>
      </c>
      <c r="BH83" s="2120" t="str">
        <f>IF(AND($W$9=1,Courses!Q77&lt;0), "Row "&amp;Courses!$A77&amp;", "&amp;BH$9&amp;", "&amp;BH$10&amp;"; ","")</f>
        <v/>
      </c>
      <c r="BI83" s="1593" t="str">
        <f>IF(AND($W$9=1,Courses!R77&lt;0), "Row "&amp;Courses!$A77&amp;", "&amp;BI$9&amp;", "&amp;BI$10&amp;", "&amp;BI$11&amp;"; ","")</f>
        <v/>
      </c>
      <c r="BJ83" t="str">
        <f>IF(AND($W$9=1,Courses!S77&lt;0), "Row "&amp;Courses!$A77&amp;", "&amp;BJ$9&amp;", "&amp;BJ$10&amp;", "&amp;BJ$11&amp;"; ","")</f>
        <v/>
      </c>
      <c r="BK83" t="str">
        <f>IF(AND($W$9=1,Courses!T77&lt;0), "Row "&amp;Courses!$A77&amp;", "&amp;BK$9&amp;", "&amp;BK$10&amp;", "&amp;BK$11&amp;"; ","")</f>
        <v/>
      </c>
      <c r="BL83" t="str">
        <f>IF(AND($W$9=1,Courses!U77&lt;0), "Row "&amp;Courses!$A77&amp;", "&amp;BL$9&amp;", "&amp;BL$10&amp;", "&amp;BL$11&amp;"; ","")</f>
        <v/>
      </c>
      <c r="BM83" s="2120" t="str">
        <f>IF(AND($W$9=1,Courses!V77&lt;0), "Row "&amp;Courses!$A77&amp;", "&amp;BM$9&amp;", "&amp;BM$10&amp;"; ","")</f>
        <v/>
      </c>
      <c r="BN83" s="1593" t="str">
        <f>IF(AND($W$9=1,Courses!W77&lt;0), "Row "&amp;Courses!$A77&amp;", "&amp;BN$9&amp;", "&amp;BN$10&amp;", "&amp;BN$11&amp;"; ","")</f>
        <v/>
      </c>
      <c r="BO83" t="str">
        <f>IF(AND($W$9=1,Courses!X77&lt;0), "Row "&amp;Courses!$A77&amp;", "&amp;BO$9&amp;", "&amp;BO$10&amp;", "&amp;BO$11&amp;"; ","")</f>
        <v/>
      </c>
      <c r="BP83" t="str">
        <f>IF(AND($W$9=1,Courses!Y77&lt;0), "Row "&amp;Courses!$A77&amp;", "&amp;BP$9&amp;", "&amp;BP$10&amp;", "&amp;BP$11&amp;"; ","")</f>
        <v/>
      </c>
      <c r="BQ83" t="str">
        <f>IF(AND($W$9=1,Courses!Z77&lt;0), "Row "&amp;Courses!$A77&amp;", "&amp;BQ$9&amp;", "&amp;BQ$10&amp;", "&amp;BQ$11&amp;"; ","")</f>
        <v/>
      </c>
      <c r="BR83" s="2120" t="str">
        <f>IF(AND($W$9=1,Courses!AA77&lt;0), "Row "&amp;Courses!$A77&amp;", "&amp;BR$9&amp;", "&amp;BR$10&amp;"; ","")</f>
        <v/>
      </c>
      <c r="BT83" s="186">
        <v>64</v>
      </c>
      <c r="BU83" s="40">
        <f>IF(AND($X$9=1,Courses!B77="",Courses!F77="",Courses!H77="",Courses!J77="",Courses!K77="",Courses!L77="",Courses!M77=0,Courses!N77=0,Courses!O77=0,Courses!P77=0,Courses!Q77=0,Courses!R77=0,Courses!S77=0,Courses!T77=0,Courses!U77=0,Courses!V77=0,Courses!W77=0,Courses!X77=0,Courses!Y77=0,Courses!Z77=0,Courses!AA77=0),0,1)</f>
        <v>0</v>
      </c>
      <c r="BV83" s="40">
        <f>IF(AND(BU83=0,SUM(BU84:$BU$219)&gt;0),1,0)</f>
        <v>0</v>
      </c>
      <c r="BW83" s="1595" t="str">
        <f>IF(BV83=1,"Row "&amp;Courses!A77&amp;"; ","")</f>
        <v/>
      </c>
      <c r="BX83" s="17"/>
      <c r="BZ83" s="1592" t="str">
        <f>IF(AND($Y$9=1,Courses!B77&lt;&gt;"",SUM(Courses!M77:AA77)=0),"Row "&amp;Courses!A77&amp;"; ","")</f>
        <v/>
      </c>
      <c r="CA83" s="17"/>
      <c r="CC83" s="1592" t="str">
        <f>IF(AND($Z$9=1,Courses!AD77=1,(LEN(Courses!AB77)&gt;200)),"Row "&amp;Courses!A77&amp;"; ","")</f>
        <v/>
      </c>
      <c r="CE83" s="131"/>
      <c r="CG83" s="1593" t="str">
        <f>IF(AND($AD$9=1,Courses!E77&lt;&gt;"",Courses!F77&lt;&gt;"",Courses!F77=0,SUM(Courses!H77,Courses!J77)=1),"Row "&amp;Courses!A77&amp;", "&amp;Courses!$F$10&amp;"; ","")</f>
        <v/>
      </c>
      <c r="CH83" t="str">
        <f>IF(AND($AD$9=1,Courses!G77&lt;&gt;"",Courses!H77&lt;&gt;"",Courses!H77=0,SUM(Courses!J77,Courses!F77)=1),"Row "&amp;Courses!A77&amp;", "&amp;Courses!$H$10&amp;"; ","")</f>
        <v/>
      </c>
      <c r="CI83" s="183" t="str">
        <f>IF(AND($AD$9=1,Courses!I77&lt;&gt;"",Courses!J77&lt;&gt;"",Courses!J77=0, SUM(Courses!H77,Courses!F77)=1),"Row "&amp;Courses!A77&amp;", "&amp;Courses!$J$10&amp;"; ","")</f>
        <v/>
      </c>
      <c r="CJ83" s="180"/>
      <c r="CK83" s="181"/>
      <c r="CL83" s="1592" t="str">
        <f>IF(AND(Courses!B77&lt;&gt;"",ISNA(VLOOKUP(Courses!C77,CourseInfo,2,FALSE))=FALSE,COUNTIF(Dummy,Courses!C77)&lt;&gt;1),VLOOKUP(Courses!C77,CourseInfo,6,FALSE),"")</f>
        <v/>
      </c>
      <c r="CM83" s="1592" t="str">
        <f>IF(AND($AE$9=1,Courses!B77&lt;&gt;"",'Courses Valid'!AG83="",COUNTIF(Dummy,Courses!C77)&lt;&gt;1),IF(Courses!K77&lt;&gt;'Courses Valid'!CL83,"Row "&amp;Courses!A77&amp;", Level on LARS is "&amp;'Courses Valid'!CL83&amp;"; ",""),"")</f>
        <v/>
      </c>
      <c r="CN83" s="131"/>
    </row>
    <row r="84" spans="3:92" x14ac:dyDescent="0.35">
      <c r="C84" s="1591">
        <f t="shared" si="2"/>
        <v>0</v>
      </c>
      <c r="D84" s="41"/>
      <c r="E84" s="41"/>
      <c r="F84" s="118"/>
      <c r="G84" s="1591" t="str">
        <f>IF(SUMPRODUCT(--(CourseAims=Courses!$C78))=1,"",IF(AND($N$9=1,Courses!$C78&lt;&gt;""),"Row "&amp;Courses!A78&amp;" (invalid); ",""))</f>
        <v/>
      </c>
      <c r="H84" s="1592" t="str">
        <f>IF(AND($O$9=1,Courses!B78="",OR(Courses!F78&lt;&gt;"",Courses!H78&lt;&gt;"",Courses!J78&lt;&gt;"",Courses!K78&lt;&gt;"",Courses!L78&lt;&gt;"",Courses!M78&lt;&gt;0,Courses!N78&lt;&gt;0,Courses!O78&lt;&gt;0,Courses!P78&lt;&gt;0,Courses!Q78&lt;&gt;0,Courses!R78&lt;&gt;0,Courses!S78&lt;&gt;0,Courses!T78&lt;&gt;0,Courses!U78&lt;&gt;0,Courses!V78&lt;&gt;0,Courses!W78&lt;&gt;0,Courses!X78&lt;&gt;0,Courses!Y78&lt;&gt;0,Courses!Z78&lt;&gt;0,Courses!AA78&lt;&gt;0)),"Row "&amp;Courses!A78&amp;" (none); ","")</f>
        <v/>
      </c>
      <c r="I84" s="17"/>
      <c r="K84" s="1592" t="str">
        <f>Courses!B78&amp;Courses!K78&amp;Courses!L78</f>
        <v/>
      </c>
      <c r="L84" s="1592" t="str">
        <f>IF(AND($P$9=1,Courses!$B78&lt;&gt;"",COUNTIF(Dummy,Courses!$C78)&lt;&gt;1),IF(SUMPRODUCT(--($K$20:$K$219=$K84))&gt;1,"Row "&amp;Courses!$A78&amp;"; ",""),"")</f>
        <v/>
      </c>
      <c r="N84" s="118"/>
      <c r="O84" s="1593" t="str">
        <f>IF(AND($Q$9=1,Courses!E78&lt;&gt;"",Courses!F78=""),"Row "&amp;Courses!A78&amp;", "&amp;Courses!$E$10&amp;"; ","")</f>
        <v/>
      </c>
      <c r="P84" t="str">
        <f>IF(AND($Q$9=1,Courses!G78&lt;&gt;"",Courses!H78=""),"Row "&amp;Courses!A78&amp;", "&amp;Courses!$G$10&amp;"; ","")</f>
        <v/>
      </c>
      <c r="Q84" s="183" t="str">
        <f>IF(AND($Q$9=1,Courses!I78&lt;&gt;"",Courses!J78=""),"Row "&amp;Courses!A78&amp;", "&amp;Courses!$I$10&amp;"; ","")</f>
        <v/>
      </c>
      <c r="S84" s="17"/>
      <c r="T84" s="118"/>
      <c r="U84" s="1594" t="str">
        <f>IF(AND($R$9=1,Courses!B78&lt;&gt;"",Courses!E78&lt;&gt;"",Courses!G78="",Courses!I78="",Courses!F78&lt;&gt;1),"Row "&amp;Courses!A78&amp;"; ","")</f>
        <v/>
      </c>
      <c r="V84" t="str">
        <f>IF(AND($R$9=1,Courses!B78&lt;&gt;"",Courses!I78="",Courses!F78&lt;&gt;"",Courses!G78&lt;&gt;"",Courses!H78&lt;&gt;""),IF(OR((Courses!F78+Courses!H78)&lt;&gt;1),"Row "&amp;Courses!A78&amp;"; ",""),"")</f>
        <v/>
      </c>
      <c r="W84" s="183" t="str">
        <f>IF(AND($R$9=1,Courses!B78&lt;&gt;"",Courses!I78&lt;&gt;"",Courses!J78&lt;&gt;"",Courses!H78&lt;&gt;"",Courses!G78&lt;&gt;"",Courses!F78&lt;&gt;""),IF(OR((Courses!F78+Courses!H78+Courses!J78)&lt;&gt;1),"Row "&amp;Courses!A78&amp;"; ",""),"")</f>
        <v/>
      </c>
      <c r="Y84" s="1592" t="str">
        <f>IF(AND($R$9=1,Courses!E78&lt;&gt;"",U84="",V84="",W84="",SUM(Courses!F78,Courses!H78,Courses!J78)&lt;&gt;1),"Row "&amp;Courses!A78&amp;"; ","")</f>
        <v/>
      </c>
      <c r="Z84" s="17"/>
      <c r="AB84" s="1593" t="str">
        <f>IF(AND($S$9=1,Courses!B78&lt;&gt;"",Courses!E78&lt;&gt;"",Courses!F78&lt;&gt;""),IF((TRUNC(Courses!F78*100)&lt;&gt;Courses!F78*100),"Row "&amp;Courses!A78&amp;", "&amp;Courses!$F$10&amp;"; ",""),"")</f>
        <v/>
      </c>
      <c r="AC84" t="str">
        <f>IF(AND($S$9=1,Courses!B78&lt;&gt;"",Courses!G78&lt;&gt;"",Courses!H78&lt;&gt;""),IF((TRUNC(Courses!H78*100)&lt;&gt;Courses!H78*100),"Row "&amp;Courses!A78&amp;", "&amp;Courses!$H$10&amp;"; ",""),"")</f>
        <v/>
      </c>
      <c r="AD84" s="183" t="str">
        <f>IF(AND($S$9=1,Courses!B78&lt;&gt;"",Courses!I78&lt;&gt;"",Courses!J78&lt;&gt;""),IF((TRUNC(Courses!J78*100)&lt;&gt;Courses!J78*100),"Row "&amp;Courses!A78&amp;", "&amp;Courses!$J$10&amp;"; ",""),"")</f>
        <v/>
      </c>
      <c r="AF84" s="118"/>
      <c r="AG84" s="1592" t="str">
        <f>IF(AND($T$9=1,G84="",Courses!B78&lt;&gt;"",Courses!K78&lt;&gt;$B$9,Courses!K78&lt;&gt;$B$10,Courses!K78&lt;&gt;$B$11,Courses!K78&lt;&gt;$B$12,Courses!K78&lt;&gt;$B$13,Courses!K78&lt;&gt;$B$14),"Row "&amp;Courses!A78&amp;"; ","")</f>
        <v/>
      </c>
      <c r="AH84" s="1592" t="str">
        <f>IF(AND($U$9=1,G84="",Courses!B78&lt;&gt;"",Courses!L78&lt;&gt;"Standard",Courses!L78&lt;&gt;"Long"),"Row "&amp;Courses!A78&amp;"; ","")</f>
        <v/>
      </c>
      <c r="AJ84" s="118"/>
      <c r="AK84" s="3">
        <v>65</v>
      </c>
      <c r="AL84" s="1593" t="str">
        <f>IF(AND($V$9=1,(TRUNC(Courses!M78)&lt;&gt;Courses!M78)), "Row "&amp;Courses!$A78&amp;", "&amp;AL$9&amp;", "&amp;AL$10&amp;", "&amp;AL$11&amp;"; ","")</f>
        <v/>
      </c>
      <c r="AM84" t="str">
        <f>IF(AND($V$9=1,(TRUNC(Courses!N78)&lt;&gt;Courses!N78)), "Row "&amp;Courses!$A78&amp;", "&amp;AM$9&amp;", "&amp;AM$10&amp;", "&amp;AM$11&amp;"; ","")</f>
        <v/>
      </c>
      <c r="AN84" t="str">
        <f>IF(AND($V$9=1,(TRUNC(Courses!O78)&lt;&gt;Courses!O78)), "Row "&amp;Courses!$A78&amp;", "&amp;AN$9&amp;", "&amp;AN$10&amp;", "&amp;AN$11&amp;"; ","")</f>
        <v/>
      </c>
      <c r="AO84" t="str">
        <f>IF(AND($V$9=1,(TRUNC(Courses!P78)&lt;&gt;Courses!P78)), "Row "&amp;Courses!$A78&amp;", "&amp;AO$9&amp;", "&amp;AO$10&amp;", "&amp;AO$11&amp;"; ","")</f>
        <v/>
      </c>
      <c r="AP84" s="2120" t="str">
        <f>IF(AND($V$9=1,(TRUNC(Courses!Q78)&lt;&gt;Courses!Q78)), "Row "&amp;Courses!$A78&amp;", "&amp;AP$9&amp;", "&amp;AP$10&amp;"; ","")</f>
        <v/>
      </c>
      <c r="AQ84" s="1593" t="str">
        <f>IF(AND($V$9=1,(TRUNC(Courses!R78)&lt;&gt;Courses!R78)), "Row "&amp;Courses!$A78&amp;", "&amp;AQ$9&amp;", "&amp;AQ$10&amp;", "&amp;AQ$11&amp;"; ","")</f>
        <v/>
      </c>
      <c r="AR84" t="str">
        <f>IF(AND($V$9=1,(TRUNC(Courses!S78)&lt;&gt;Courses!S78)), "Row "&amp;Courses!$A78&amp;", "&amp;AR$9&amp;", "&amp;AR$10&amp;", "&amp;AR$11&amp;"; ","")</f>
        <v/>
      </c>
      <c r="AS84" t="str">
        <f>IF(AND($V$9=1,(TRUNC(Courses!T78)&lt;&gt;Courses!T78)), "Row "&amp;Courses!$A78&amp;", "&amp;AS$9&amp;", "&amp;AS$10&amp;", "&amp;AS$11&amp;"; ","")</f>
        <v/>
      </c>
      <c r="AT84" t="str">
        <f>IF(AND($V$9=1,(TRUNC(Courses!U78)&lt;&gt;Courses!U78)), "Row "&amp;Courses!$A78&amp;", "&amp;AT$9&amp;", "&amp;AT$10&amp;", "&amp;AT$11&amp;"; ","")</f>
        <v/>
      </c>
      <c r="AU84" s="2120" t="str">
        <f>IF(AND($V$9=1,(TRUNC(Courses!V78)&lt;&gt;Courses!V78)), "Row "&amp;Courses!$A78&amp;", "&amp;AU$9&amp;", "&amp;AU$10&amp;"; ","")</f>
        <v/>
      </c>
      <c r="AV84" s="1593" t="str">
        <f>IF(AND($V$9=1,(TRUNC(Courses!W78)&lt;&gt;Courses!W78)), "Row "&amp;Courses!$A78&amp;", "&amp;AV$9&amp;", "&amp;AV$10&amp;", "&amp;AV$11&amp;"; ","")</f>
        <v/>
      </c>
      <c r="AW84" t="str">
        <f>IF(AND($V$9=1,(TRUNC(Courses!X78)&lt;&gt;Courses!X78)), "Row "&amp;Courses!$A78&amp;", "&amp;AW$9&amp;", "&amp;AW$10&amp;", "&amp;AW$11&amp;"; ","")</f>
        <v/>
      </c>
      <c r="AX84" t="str">
        <f>IF(AND($V$9=1,(TRUNC(Courses!Y78)&lt;&gt;Courses!Y78)), "Row "&amp;Courses!$A78&amp;", "&amp;AX$9&amp;", "&amp;AX$10&amp;", "&amp;AX$11&amp;"; ","")</f>
        <v/>
      </c>
      <c r="AY84" t="str">
        <f>IF(AND($V$9=1,(TRUNC(Courses!Z78)&lt;&gt;Courses!Z78)), "Row "&amp;Courses!$A78&amp;", "&amp;AY$9&amp;", "&amp;AY$10&amp;", "&amp;AY$11&amp;"; ","")</f>
        <v/>
      </c>
      <c r="AZ84" s="2120" t="str">
        <f>IF(AND($V$9=1,(TRUNC(Courses!AA78)&lt;&gt;Courses!AA78)), "Row "&amp;Courses!$A78&amp;", "&amp;AZ$9&amp;", "&amp;AZ$10&amp;"; ","")</f>
        <v/>
      </c>
      <c r="BA84" s="17"/>
      <c r="BB84" s="118"/>
      <c r="BC84" s="3">
        <v>65</v>
      </c>
      <c r="BD84" s="1593" t="str">
        <f>IF(AND($W$9=1,Courses!M78&lt;0), "Row "&amp;Courses!$A78&amp;", "&amp;BD$9&amp;", "&amp;BD$10&amp;", "&amp;BD$11&amp;"; ","")</f>
        <v/>
      </c>
      <c r="BE84" t="str">
        <f>IF(AND($W$9=1,Courses!N78&lt;0), "Row "&amp;Courses!$A78&amp;", "&amp;BE$9&amp;", "&amp;BE$10&amp;", "&amp;BE$11&amp;"; ","")</f>
        <v/>
      </c>
      <c r="BF84" t="str">
        <f>IF(AND($W$9=1,Courses!O78&lt;0), "Row "&amp;Courses!$A78&amp;", "&amp;BF$9&amp;", "&amp;BF$10&amp;", "&amp;BF$11&amp;"; ","")</f>
        <v/>
      </c>
      <c r="BG84" t="str">
        <f>IF(AND($W$9=1,Courses!P78&lt;0), "Row "&amp;Courses!$A78&amp;", "&amp;BG$9&amp;", "&amp;BG$10&amp;", "&amp;BG$11&amp;"; ","")</f>
        <v/>
      </c>
      <c r="BH84" s="2120" t="str">
        <f>IF(AND($W$9=1,Courses!Q78&lt;0), "Row "&amp;Courses!$A78&amp;", "&amp;BH$9&amp;", "&amp;BH$10&amp;"; ","")</f>
        <v/>
      </c>
      <c r="BI84" s="1593" t="str">
        <f>IF(AND($W$9=1,Courses!R78&lt;0), "Row "&amp;Courses!$A78&amp;", "&amp;BI$9&amp;", "&amp;BI$10&amp;", "&amp;BI$11&amp;"; ","")</f>
        <v/>
      </c>
      <c r="BJ84" t="str">
        <f>IF(AND($W$9=1,Courses!S78&lt;0), "Row "&amp;Courses!$A78&amp;", "&amp;BJ$9&amp;", "&amp;BJ$10&amp;", "&amp;BJ$11&amp;"; ","")</f>
        <v/>
      </c>
      <c r="BK84" t="str">
        <f>IF(AND($W$9=1,Courses!T78&lt;0), "Row "&amp;Courses!$A78&amp;", "&amp;BK$9&amp;", "&amp;BK$10&amp;", "&amp;BK$11&amp;"; ","")</f>
        <v/>
      </c>
      <c r="BL84" t="str">
        <f>IF(AND($W$9=1,Courses!U78&lt;0), "Row "&amp;Courses!$A78&amp;", "&amp;BL$9&amp;", "&amp;BL$10&amp;", "&amp;BL$11&amp;"; ","")</f>
        <v/>
      </c>
      <c r="BM84" s="2120" t="str">
        <f>IF(AND($W$9=1,Courses!V78&lt;0), "Row "&amp;Courses!$A78&amp;", "&amp;BM$9&amp;", "&amp;BM$10&amp;"; ","")</f>
        <v/>
      </c>
      <c r="BN84" s="1593" t="str">
        <f>IF(AND($W$9=1,Courses!W78&lt;0), "Row "&amp;Courses!$A78&amp;", "&amp;BN$9&amp;", "&amp;BN$10&amp;", "&amp;BN$11&amp;"; ","")</f>
        <v/>
      </c>
      <c r="BO84" t="str">
        <f>IF(AND($W$9=1,Courses!X78&lt;0), "Row "&amp;Courses!$A78&amp;", "&amp;BO$9&amp;", "&amp;BO$10&amp;", "&amp;BO$11&amp;"; ","")</f>
        <v/>
      </c>
      <c r="BP84" t="str">
        <f>IF(AND($W$9=1,Courses!Y78&lt;0), "Row "&amp;Courses!$A78&amp;", "&amp;BP$9&amp;", "&amp;BP$10&amp;", "&amp;BP$11&amp;"; ","")</f>
        <v/>
      </c>
      <c r="BQ84" t="str">
        <f>IF(AND($W$9=1,Courses!Z78&lt;0), "Row "&amp;Courses!$A78&amp;", "&amp;BQ$9&amp;", "&amp;BQ$10&amp;", "&amp;BQ$11&amp;"; ","")</f>
        <v/>
      </c>
      <c r="BR84" s="2120" t="str">
        <f>IF(AND($W$9=1,Courses!AA78&lt;0), "Row "&amp;Courses!$A78&amp;", "&amp;BR$9&amp;", "&amp;BR$10&amp;"; ","")</f>
        <v/>
      </c>
      <c r="BT84" s="186">
        <v>65</v>
      </c>
      <c r="BU84" s="40">
        <f>IF(AND($X$9=1,Courses!B78="",Courses!F78="",Courses!H78="",Courses!J78="",Courses!K78="",Courses!L78="",Courses!M78=0,Courses!N78=0,Courses!O78=0,Courses!P78=0,Courses!Q78=0,Courses!R78=0,Courses!S78=0,Courses!T78=0,Courses!U78=0,Courses!V78=0,Courses!W78=0,Courses!X78=0,Courses!Y78=0,Courses!Z78=0,Courses!AA78=0),0,1)</f>
        <v>0</v>
      </c>
      <c r="BV84" s="40">
        <f>IF(AND(BU84=0,SUM(BU85:$BU$219)&gt;0),1,0)</f>
        <v>0</v>
      </c>
      <c r="BW84" s="1595" t="str">
        <f>IF(BV84=1,"Row "&amp;Courses!A78&amp;"; ","")</f>
        <v/>
      </c>
      <c r="BX84" s="17"/>
      <c r="BZ84" s="1592" t="str">
        <f>IF(AND($Y$9=1,Courses!B78&lt;&gt;"",SUM(Courses!M78:AA78)=0),"Row "&amp;Courses!A78&amp;"; ","")</f>
        <v/>
      </c>
      <c r="CA84" s="17"/>
      <c r="CC84" s="1592" t="str">
        <f>IF(AND($Z$9=1,Courses!AD78=1,(LEN(Courses!AB78)&gt;200)),"Row "&amp;Courses!A78&amp;"; ","")</f>
        <v/>
      </c>
      <c r="CE84" s="131"/>
      <c r="CG84" s="1593" t="str">
        <f>IF(AND($AD$9=1,Courses!E78&lt;&gt;"",Courses!F78&lt;&gt;"",Courses!F78=0,SUM(Courses!H78,Courses!J78)=1),"Row "&amp;Courses!A78&amp;", "&amp;Courses!$F$10&amp;"; ","")</f>
        <v/>
      </c>
      <c r="CH84" t="str">
        <f>IF(AND($AD$9=1,Courses!G78&lt;&gt;"",Courses!H78&lt;&gt;"",Courses!H78=0,SUM(Courses!J78,Courses!F78)=1),"Row "&amp;Courses!A78&amp;", "&amp;Courses!$H$10&amp;"; ","")</f>
        <v/>
      </c>
      <c r="CI84" s="183" t="str">
        <f>IF(AND($AD$9=1,Courses!I78&lt;&gt;"",Courses!J78&lt;&gt;"",Courses!J78=0, SUM(Courses!H78,Courses!F78)=1),"Row "&amp;Courses!A78&amp;", "&amp;Courses!$J$10&amp;"; ","")</f>
        <v/>
      </c>
      <c r="CJ84" s="180"/>
      <c r="CK84" s="181"/>
      <c r="CL84" s="1592" t="str">
        <f>IF(AND(Courses!B78&lt;&gt;"",ISNA(VLOOKUP(Courses!C78,CourseInfo,2,FALSE))=FALSE,COUNTIF(Dummy,Courses!C78)&lt;&gt;1),VLOOKUP(Courses!C78,CourseInfo,6,FALSE),"")</f>
        <v/>
      </c>
      <c r="CM84" s="1592" t="str">
        <f>IF(AND($AE$9=1,Courses!B78&lt;&gt;"",'Courses Valid'!AG84="",COUNTIF(Dummy,Courses!C78)&lt;&gt;1),IF(Courses!K78&lt;&gt;'Courses Valid'!CL84,"Row "&amp;Courses!A78&amp;", Level on LARS is "&amp;'Courses Valid'!CL84&amp;"; ",""),"")</f>
        <v/>
      </c>
      <c r="CN84" s="131"/>
    </row>
    <row r="85" spans="3:92" x14ac:dyDescent="0.35">
      <c r="C85" s="1591">
        <f t="shared" ref="C85:C148" si="3">IF(AND(G85="",H85="",O85="",P85="",Q85="",U85="",V85="",W85="",Y85="",AB85="",AC85="",AD85="",AG85="",AH85="",AL85="",AM85="",AN85="",AO85="",AP85="",AQ85="",AR85="",AS85="",AT85="",AU85="",AV85="",AW85="",AX85="",AY85="",AZ85="",BD85="",BE85="",BF85="",BG85="",BH85="",BI85="",BJ85="",BK85="",BL85="",BM85="",BN85="",BO85="",BP85="",BQ85="",BR85="",BW85="",BZ85=""),0,1)</f>
        <v>0</v>
      </c>
      <c r="D85" s="41"/>
      <c r="E85" s="41"/>
      <c r="F85" s="118"/>
      <c r="G85" s="1591" t="str">
        <f>IF(SUMPRODUCT(--(CourseAims=Courses!$C79))=1,"",IF(AND($N$9=1,Courses!$C79&lt;&gt;""),"Row "&amp;Courses!A79&amp;" (invalid); ",""))</f>
        <v/>
      </c>
      <c r="H85" s="1592" t="str">
        <f>IF(AND($O$9=1,Courses!B79="",OR(Courses!F79&lt;&gt;"",Courses!H79&lt;&gt;"",Courses!J79&lt;&gt;"",Courses!K79&lt;&gt;"",Courses!L79&lt;&gt;"",Courses!M79&lt;&gt;0,Courses!N79&lt;&gt;0,Courses!O79&lt;&gt;0,Courses!P79&lt;&gt;0,Courses!Q79&lt;&gt;0,Courses!R79&lt;&gt;0,Courses!S79&lt;&gt;0,Courses!T79&lt;&gt;0,Courses!U79&lt;&gt;0,Courses!V79&lt;&gt;0,Courses!W79&lt;&gt;0,Courses!X79&lt;&gt;0,Courses!Y79&lt;&gt;0,Courses!Z79&lt;&gt;0,Courses!AA79&lt;&gt;0)),"Row "&amp;Courses!A79&amp;" (none); ","")</f>
        <v/>
      </c>
      <c r="I85" s="17"/>
      <c r="K85" s="1592" t="str">
        <f>Courses!B79&amp;Courses!K79&amp;Courses!L79</f>
        <v/>
      </c>
      <c r="L85" s="1592" t="str">
        <f>IF(AND($P$9=1,Courses!$B79&lt;&gt;"",COUNTIF(Dummy,Courses!$C79)&lt;&gt;1),IF(SUMPRODUCT(--($K$20:$K$219=$K85))&gt;1,"Row "&amp;Courses!$A79&amp;"; ",""),"")</f>
        <v/>
      </c>
      <c r="N85" s="118"/>
      <c r="O85" s="1593" t="str">
        <f>IF(AND($Q$9=1,Courses!E79&lt;&gt;"",Courses!F79=""),"Row "&amp;Courses!A79&amp;", "&amp;Courses!$E$10&amp;"; ","")</f>
        <v/>
      </c>
      <c r="P85" t="str">
        <f>IF(AND($Q$9=1,Courses!G79&lt;&gt;"",Courses!H79=""),"Row "&amp;Courses!A79&amp;", "&amp;Courses!$G$10&amp;"; ","")</f>
        <v/>
      </c>
      <c r="Q85" s="183" t="str">
        <f>IF(AND($Q$9=1,Courses!I79&lt;&gt;"",Courses!J79=""),"Row "&amp;Courses!A79&amp;", "&amp;Courses!$I$10&amp;"; ","")</f>
        <v/>
      </c>
      <c r="S85" s="17"/>
      <c r="T85" s="118"/>
      <c r="U85" s="1594" t="str">
        <f>IF(AND($R$9=1,Courses!B79&lt;&gt;"",Courses!E79&lt;&gt;"",Courses!G79="",Courses!I79="",Courses!F79&lt;&gt;1),"Row "&amp;Courses!A79&amp;"; ","")</f>
        <v/>
      </c>
      <c r="V85" t="str">
        <f>IF(AND($R$9=1,Courses!B79&lt;&gt;"",Courses!I79="",Courses!F79&lt;&gt;"",Courses!G79&lt;&gt;"",Courses!H79&lt;&gt;""),IF(OR((Courses!F79+Courses!H79)&lt;&gt;1),"Row "&amp;Courses!A79&amp;"; ",""),"")</f>
        <v/>
      </c>
      <c r="W85" s="183" t="str">
        <f>IF(AND($R$9=1,Courses!B79&lt;&gt;"",Courses!I79&lt;&gt;"",Courses!J79&lt;&gt;"",Courses!H79&lt;&gt;"",Courses!G79&lt;&gt;"",Courses!F79&lt;&gt;""),IF(OR((Courses!F79+Courses!H79+Courses!J79)&lt;&gt;1),"Row "&amp;Courses!A79&amp;"; ",""),"")</f>
        <v/>
      </c>
      <c r="Y85" s="1592" t="str">
        <f>IF(AND($R$9=1,Courses!E79&lt;&gt;"",U85="",V85="",W85="",SUM(Courses!F79,Courses!H79,Courses!J79)&lt;&gt;1),"Row "&amp;Courses!A79&amp;"; ","")</f>
        <v/>
      </c>
      <c r="Z85" s="17"/>
      <c r="AB85" s="1593" t="str">
        <f>IF(AND($S$9=1,Courses!B79&lt;&gt;"",Courses!E79&lt;&gt;"",Courses!F79&lt;&gt;""),IF((TRUNC(Courses!F79*100)&lt;&gt;Courses!F79*100),"Row "&amp;Courses!A79&amp;", "&amp;Courses!$F$10&amp;"; ",""),"")</f>
        <v/>
      </c>
      <c r="AC85" t="str">
        <f>IF(AND($S$9=1,Courses!B79&lt;&gt;"",Courses!G79&lt;&gt;"",Courses!H79&lt;&gt;""),IF((TRUNC(Courses!H79*100)&lt;&gt;Courses!H79*100),"Row "&amp;Courses!A79&amp;", "&amp;Courses!$H$10&amp;"; ",""),"")</f>
        <v/>
      </c>
      <c r="AD85" s="183" t="str">
        <f>IF(AND($S$9=1,Courses!B79&lt;&gt;"",Courses!I79&lt;&gt;"",Courses!J79&lt;&gt;""),IF((TRUNC(Courses!J79*100)&lt;&gt;Courses!J79*100),"Row "&amp;Courses!A79&amp;", "&amp;Courses!$J$10&amp;"; ",""),"")</f>
        <v/>
      </c>
      <c r="AF85" s="118"/>
      <c r="AG85" s="1592" t="str">
        <f>IF(AND($T$9=1,G85="",Courses!B79&lt;&gt;"",Courses!K79&lt;&gt;$B$9,Courses!K79&lt;&gt;$B$10,Courses!K79&lt;&gt;$B$11,Courses!K79&lt;&gt;$B$12,Courses!K79&lt;&gt;$B$13,Courses!K79&lt;&gt;$B$14),"Row "&amp;Courses!A79&amp;"; ","")</f>
        <v/>
      </c>
      <c r="AH85" s="1592" t="str">
        <f>IF(AND($U$9=1,G85="",Courses!B79&lt;&gt;"",Courses!L79&lt;&gt;"Standard",Courses!L79&lt;&gt;"Long"),"Row "&amp;Courses!A79&amp;"; ","")</f>
        <v/>
      </c>
      <c r="AJ85" s="118"/>
      <c r="AK85" s="3">
        <v>66</v>
      </c>
      <c r="AL85" s="1593" t="str">
        <f>IF(AND($V$9=1,(TRUNC(Courses!M79)&lt;&gt;Courses!M79)), "Row "&amp;Courses!$A79&amp;", "&amp;AL$9&amp;", "&amp;AL$10&amp;", "&amp;AL$11&amp;"; ","")</f>
        <v/>
      </c>
      <c r="AM85" t="str">
        <f>IF(AND($V$9=1,(TRUNC(Courses!N79)&lt;&gt;Courses!N79)), "Row "&amp;Courses!$A79&amp;", "&amp;AM$9&amp;", "&amp;AM$10&amp;", "&amp;AM$11&amp;"; ","")</f>
        <v/>
      </c>
      <c r="AN85" t="str">
        <f>IF(AND($V$9=1,(TRUNC(Courses!O79)&lt;&gt;Courses!O79)), "Row "&amp;Courses!$A79&amp;", "&amp;AN$9&amp;", "&amp;AN$10&amp;", "&amp;AN$11&amp;"; ","")</f>
        <v/>
      </c>
      <c r="AO85" t="str">
        <f>IF(AND($V$9=1,(TRUNC(Courses!P79)&lt;&gt;Courses!P79)), "Row "&amp;Courses!$A79&amp;", "&amp;AO$9&amp;", "&amp;AO$10&amp;", "&amp;AO$11&amp;"; ","")</f>
        <v/>
      </c>
      <c r="AP85" s="2120" t="str">
        <f>IF(AND($V$9=1,(TRUNC(Courses!Q79)&lt;&gt;Courses!Q79)), "Row "&amp;Courses!$A79&amp;", "&amp;AP$9&amp;", "&amp;AP$10&amp;"; ","")</f>
        <v/>
      </c>
      <c r="AQ85" s="1593" t="str">
        <f>IF(AND($V$9=1,(TRUNC(Courses!R79)&lt;&gt;Courses!R79)), "Row "&amp;Courses!$A79&amp;", "&amp;AQ$9&amp;", "&amp;AQ$10&amp;", "&amp;AQ$11&amp;"; ","")</f>
        <v/>
      </c>
      <c r="AR85" t="str">
        <f>IF(AND($V$9=1,(TRUNC(Courses!S79)&lt;&gt;Courses!S79)), "Row "&amp;Courses!$A79&amp;", "&amp;AR$9&amp;", "&amp;AR$10&amp;", "&amp;AR$11&amp;"; ","")</f>
        <v/>
      </c>
      <c r="AS85" t="str">
        <f>IF(AND($V$9=1,(TRUNC(Courses!T79)&lt;&gt;Courses!T79)), "Row "&amp;Courses!$A79&amp;", "&amp;AS$9&amp;", "&amp;AS$10&amp;", "&amp;AS$11&amp;"; ","")</f>
        <v/>
      </c>
      <c r="AT85" t="str">
        <f>IF(AND($V$9=1,(TRUNC(Courses!U79)&lt;&gt;Courses!U79)), "Row "&amp;Courses!$A79&amp;", "&amp;AT$9&amp;", "&amp;AT$10&amp;", "&amp;AT$11&amp;"; ","")</f>
        <v/>
      </c>
      <c r="AU85" s="2120" t="str">
        <f>IF(AND($V$9=1,(TRUNC(Courses!V79)&lt;&gt;Courses!V79)), "Row "&amp;Courses!$A79&amp;", "&amp;AU$9&amp;", "&amp;AU$10&amp;"; ","")</f>
        <v/>
      </c>
      <c r="AV85" s="1593" t="str">
        <f>IF(AND($V$9=1,(TRUNC(Courses!W79)&lt;&gt;Courses!W79)), "Row "&amp;Courses!$A79&amp;", "&amp;AV$9&amp;", "&amp;AV$10&amp;", "&amp;AV$11&amp;"; ","")</f>
        <v/>
      </c>
      <c r="AW85" t="str">
        <f>IF(AND($V$9=1,(TRUNC(Courses!X79)&lt;&gt;Courses!X79)), "Row "&amp;Courses!$A79&amp;", "&amp;AW$9&amp;", "&amp;AW$10&amp;", "&amp;AW$11&amp;"; ","")</f>
        <v/>
      </c>
      <c r="AX85" t="str">
        <f>IF(AND($V$9=1,(TRUNC(Courses!Y79)&lt;&gt;Courses!Y79)), "Row "&amp;Courses!$A79&amp;", "&amp;AX$9&amp;", "&amp;AX$10&amp;", "&amp;AX$11&amp;"; ","")</f>
        <v/>
      </c>
      <c r="AY85" t="str">
        <f>IF(AND($V$9=1,(TRUNC(Courses!Z79)&lt;&gt;Courses!Z79)), "Row "&amp;Courses!$A79&amp;", "&amp;AY$9&amp;", "&amp;AY$10&amp;", "&amp;AY$11&amp;"; ","")</f>
        <v/>
      </c>
      <c r="AZ85" s="2120" t="str">
        <f>IF(AND($V$9=1,(TRUNC(Courses!AA79)&lt;&gt;Courses!AA79)), "Row "&amp;Courses!$A79&amp;", "&amp;AZ$9&amp;", "&amp;AZ$10&amp;"; ","")</f>
        <v/>
      </c>
      <c r="BA85" s="17"/>
      <c r="BB85" s="118"/>
      <c r="BC85" s="3">
        <v>66</v>
      </c>
      <c r="BD85" s="1593" t="str">
        <f>IF(AND($W$9=1,Courses!M79&lt;0), "Row "&amp;Courses!$A79&amp;", "&amp;BD$9&amp;", "&amp;BD$10&amp;", "&amp;BD$11&amp;"; ","")</f>
        <v/>
      </c>
      <c r="BE85" t="str">
        <f>IF(AND($W$9=1,Courses!N79&lt;0), "Row "&amp;Courses!$A79&amp;", "&amp;BE$9&amp;", "&amp;BE$10&amp;", "&amp;BE$11&amp;"; ","")</f>
        <v/>
      </c>
      <c r="BF85" t="str">
        <f>IF(AND($W$9=1,Courses!O79&lt;0), "Row "&amp;Courses!$A79&amp;", "&amp;BF$9&amp;", "&amp;BF$10&amp;", "&amp;BF$11&amp;"; ","")</f>
        <v/>
      </c>
      <c r="BG85" t="str">
        <f>IF(AND($W$9=1,Courses!P79&lt;0), "Row "&amp;Courses!$A79&amp;", "&amp;BG$9&amp;", "&amp;BG$10&amp;", "&amp;BG$11&amp;"; ","")</f>
        <v/>
      </c>
      <c r="BH85" s="2120" t="str">
        <f>IF(AND($W$9=1,Courses!Q79&lt;0), "Row "&amp;Courses!$A79&amp;", "&amp;BH$9&amp;", "&amp;BH$10&amp;"; ","")</f>
        <v/>
      </c>
      <c r="BI85" s="1593" t="str">
        <f>IF(AND($W$9=1,Courses!R79&lt;0), "Row "&amp;Courses!$A79&amp;", "&amp;BI$9&amp;", "&amp;BI$10&amp;", "&amp;BI$11&amp;"; ","")</f>
        <v/>
      </c>
      <c r="BJ85" t="str">
        <f>IF(AND($W$9=1,Courses!S79&lt;0), "Row "&amp;Courses!$A79&amp;", "&amp;BJ$9&amp;", "&amp;BJ$10&amp;", "&amp;BJ$11&amp;"; ","")</f>
        <v/>
      </c>
      <c r="BK85" t="str">
        <f>IF(AND($W$9=1,Courses!T79&lt;0), "Row "&amp;Courses!$A79&amp;", "&amp;BK$9&amp;", "&amp;BK$10&amp;", "&amp;BK$11&amp;"; ","")</f>
        <v/>
      </c>
      <c r="BL85" t="str">
        <f>IF(AND($W$9=1,Courses!U79&lt;0), "Row "&amp;Courses!$A79&amp;", "&amp;BL$9&amp;", "&amp;BL$10&amp;", "&amp;BL$11&amp;"; ","")</f>
        <v/>
      </c>
      <c r="BM85" s="2120" t="str">
        <f>IF(AND($W$9=1,Courses!V79&lt;0), "Row "&amp;Courses!$A79&amp;", "&amp;BM$9&amp;", "&amp;BM$10&amp;"; ","")</f>
        <v/>
      </c>
      <c r="BN85" s="1593" t="str">
        <f>IF(AND($W$9=1,Courses!W79&lt;0), "Row "&amp;Courses!$A79&amp;", "&amp;BN$9&amp;", "&amp;BN$10&amp;", "&amp;BN$11&amp;"; ","")</f>
        <v/>
      </c>
      <c r="BO85" t="str">
        <f>IF(AND($W$9=1,Courses!X79&lt;0), "Row "&amp;Courses!$A79&amp;", "&amp;BO$9&amp;", "&amp;BO$10&amp;", "&amp;BO$11&amp;"; ","")</f>
        <v/>
      </c>
      <c r="BP85" t="str">
        <f>IF(AND($W$9=1,Courses!Y79&lt;0), "Row "&amp;Courses!$A79&amp;", "&amp;BP$9&amp;", "&amp;BP$10&amp;", "&amp;BP$11&amp;"; ","")</f>
        <v/>
      </c>
      <c r="BQ85" t="str">
        <f>IF(AND($W$9=1,Courses!Z79&lt;0), "Row "&amp;Courses!$A79&amp;", "&amp;BQ$9&amp;", "&amp;BQ$10&amp;", "&amp;BQ$11&amp;"; ","")</f>
        <v/>
      </c>
      <c r="BR85" s="2120" t="str">
        <f>IF(AND($W$9=1,Courses!AA79&lt;0), "Row "&amp;Courses!$A79&amp;", "&amp;BR$9&amp;", "&amp;BR$10&amp;"; ","")</f>
        <v/>
      </c>
      <c r="BT85" s="186">
        <v>66</v>
      </c>
      <c r="BU85" s="40">
        <f>IF(AND($X$9=1,Courses!B79="",Courses!F79="",Courses!H79="",Courses!J79="",Courses!K79="",Courses!L79="",Courses!M79=0,Courses!N79=0,Courses!O79=0,Courses!P79=0,Courses!Q79=0,Courses!R79=0,Courses!S79=0,Courses!T79=0,Courses!U79=0,Courses!V79=0,Courses!W79=0,Courses!X79=0,Courses!Y79=0,Courses!Z79=0,Courses!AA79=0),0,1)</f>
        <v>0</v>
      </c>
      <c r="BV85" s="40">
        <f>IF(AND(BU85=0,SUM(BU86:$BU$219)&gt;0),1,0)</f>
        <v>0</v>
      </c>
      <c r="BW85" s="1595" t="str">
        <f>IF(BV85=1,"Row "&amp;Courses!A79&amp;"; ","")</f>
        <v/>
      </c>
      <c r="BX85" s="17"/>
      <c r="BZ85" s="1592" t="str">
        <f>IF(AND($Y$9=1,Courses!B79&lt;&gt;"",SUM(Courses!M79:AA79)=0),"Row "&amp;Courses!A79&amp;"; ","")</f>
        <v/>
      </c>
      <c r="CA85" s="17"/>
      <c r="CC85" s="1592" t="str">
        <f>IF(AND($Z$9=1,Courses!AD79=1,(LEN(Courses!AB79)&gt;200)),"Row "&amp;Courses!A79&amp;"; ","")</f>
        <v/>
      </c>
      <c r="CE85" s="131"/>
      <c r="CG85" s="1593" t="str">
        <f>IF(AND($AD$9=1,Courses!E79&lt;&gt;"",Courses!F79&lt;&gt;"",Courses!F79=0,SUM(Courses!H79,Courses!J79)=1),"Row "&amp;Courses!A79&amp;", "&amp;Courses!$F$10&amp;"; ","")</f>
        <v/>
      </c>
      <c r="CH85" t="str">
        <f>IF(AND($AD$9=1,Courses!G79&lt;&gt;"",Courses!H79&lt;&gt;"",Courses!H79=0,SUM(Courses!J79,Courses!F79)=1),"Row "&amp;Courses!A79&amp;", "&amp;Courses!$H$10&amp;"; ","")</f>
        <v/>
      </c>
      <c r="CI85" s="183" t="str">
        <f>IF(AND($AD$9=1,Courses!I79&lt;&gt;"",Courses!J79&lt;&gt;"",Courses!J79=0, SUM(Courses!H79,Courses!F79)=1),"Row "&amp;Courses!A79&amp;", "&amp;Courses!$J$10&amp;"; ","")</f>
        <v/>
      </c>
      <c r="CJ85" s="180"/>
      <c r="CK85" s="181"/>
      <c r="CL85" s="1592" t="str">
        <f>IF(AND(Courses!B79&lt;&gt;"",ISNA(VLOOKUP(Courses!C79,CourseInfo,2,FALSE))=FALSE,COUNTIF(Dummy,Courses!C79)&lt;&gt;1),VLOOKUP(Courses!C79,CourseInfo,6,FALSE),"")</f>
        <v/>
      </c>
      <c r="CM85" s="1592" t="str">
        <f>IF(AND($AE$9=1,Courses!B79&lt;&gt;"",'Courses Valid'!AG85="",COUNTIF(Dummy,Courses!C79)&lt;&gt;1),IF(Courses!K79&lt;&gt;'Courses Valid'!CL85,"Row "&amp;Courses!A79&amp;", Level on LARS is "&amp;'Courses Valid'!CL85&amp;"; ",""),"")</f>
        <v/>
      </c>
      <c r="CN85" s="131"/>
    </row>
    <row r="86" spans="3:92" x14ac:dyDescent="0.35">
      <c r="C86" s="1591">
        <f t="shared" si="3"/>
        <v>0</v>
      </c>
      <c r="D86" s="41"/>
      <c r="E86" s="41"/>
      <c r="F86" s="118"/>
      <c r="G86" s="1591" t="str">
        <f>IF(SUMPRODUCT(--(CourseAims=Courses!$C80))=1,"",IF(AND($N$9=1,Courses!$C80&lt;&gt;""),"Row "&amp;Courses!A80&amp;" (invalid); ",""))</f>
        <v/>
      </c>
      <c r="H86" s="1592" t="str">
        <f>IF(AND($O$9=1,Courses!B80="",OR(Courses!F80&lt;&gt;"",Courses!H80&lt;&gt;"",Courses!J80&lt;&gt;"",Courses!K80&lt;&gt;"",Courses!L80&lt;&gt;"",Courses!M80&lt;&gt;0,Courses!N80&lt;&gt;0,Courses!O80&lt;&gt;0,Courses!P80&lt;&gt;0,Courses!Q80&lt;&gt;0,Courses!R80&lt;&gt;0,Courses!S80&lt;&gt;0,Courses!T80&lt;&gt;0,Courses!U80&lt;&gt;0,Courses!V80&lt;&gt;0,Courses!W80&lt;&gt;0,Courses!X80&lt;&gt;0,Courses!Y80&lt;&gt;0,Courses!Z80&lt;&gt;0,Courses!AA80&lt;&gt;0)),"Row "&amp;Courses!A80&amp;" (none); ","")</f>
        <v/>
      </c>
      <c r="I86" s="17"/>
      <c r="K86" s="1592" t="str">
        <f>Courses!B80&amp;Courses!K80&amp;Courses!L80</f>
        <v/>
      </c>
      <c r="L86" s="1592" t="str">
        <f>IF(AND($P$9=1,Courses!$B80&lt;&gt;"",COUNTIF(Dummy,Courses!$C80)&lt;&gt;1),IF(SUMPRODUCT(--($K$20:$K$219=$K86))&gt;1,"Row "&amp;Courses!$A80&amp;"; ",""),"")</f>
        <v/>
      </c>
      <c r="N86" s="118"/>
      <c r="O86" s="1593" t="str">
        <f>IF(AND($Q$9=1,Courses!E80&lt;&gt;"",Courses!F80=""),"Row "&amp;Courses!A80&amp;", "&amp;Courses!$E$10&amp;"; ","")</f>
        <v/>
      </c>
      <c r="P86" t="str">
        <f>IF(AND($Q$9=1,Courses!G80&lt;&gt;"",Courses!H80=""),"Row "&amp;Courses!A80&amp;", "&amp;Courses!$G$10&amp;"; ","")</f>
        <v/>
      </c>
      <c r="Q86" s="183" t="str">
        <f>IF(AND($Q$9=1,Courses!I80&lt;&gt;"",Courses!J80=""),"Row "&amp;Courses!A80&amp;", "&amp;Courses!$I$10&amp;"; ","")</f>
        <v/>
      </c>
      <c r="S86" s="17"/>
      <c r="T86" s="118"/>
      <c r="U86" s="1594" t="str">
        <f>IF(AND($R$9=1,Courses!B80&lt;&gt;"",Courses!E80&lt;&gt;"",Courses!G80="",Courses!I80="",Courses!F80&lt;&gt;1),"Row "&amp;Courses!A80&amp;"; ","")</f>
        <v/>
      </c>
      <c r="V86" t="str">
        <f>IF(AND($R$9=1,Courses!B80&lt;&gt;"",Courses!I80="",Courses!F80&lt;&gt;"",Courses!G80&lt;&gt;"",Courses!H80&lt;&gt;""),IF(OR((Courses!F80+Courses!H80)&lt;&gt;1),"Row "&amp;Courses!A80&amp;"; ",""),"")</f>
        <v/>
      </c>
      <c r="W86" s="183" t="str">
        <f>IF(AND($R$9=1,Courses!B80&lt;&gt;"",Courses!I80&lt;&gt;"",Courses!J80&lt;&gt;"",Courses!H80&lt;&gt;"",Courses!G80&lt;&gt;"",Courses!F80&lt;&gt;""),IF(OR((Courses!F80+Courses!H80+Courses!J80)&lt;&gt;1),"Row "&amp;Courses!A80&amp;"; ",""),"")</f>
        <v/>
      </c>
      <c r="Y86" s="1592" t="str">
        <f>IF(AND($R$9=1,Courses!E80&lt;&gt;"",U86="",V86="",W86="",SUM(Courses!F80,Courses!H80,Courses!J80)&lt;&gt;1),"Row "&amp;Courses!A80&amp;"; ","")</f>
        <v/>
      </c>
      <c r="Z86" s="17"/>
      <c r="AB86" s="1593" t="str">
        <f>IF(AND($S$9=1,Courses!B80&lt;&gt;"",Courses!E80&lt;&gt;"",Courses!F80&lt;&gt;""),IF((TRUNC(Courses!F80*100)&lt;&gt;Courses!F80*100),"Row "&amp;Courses!A80&amp;", "&amp;Courses!$F$10&amp;"; ",""),"")</f>
        <v/>
      </c>
      <c r="AC86" t="str">
        <f>IF(AND($S$9=1,Courses!B80&lt;&gt;"",Courses!G80&lt;&gt;"",Courses!H80&lt;&gt;""),IF((TRUNC(Courses!H80*100)&lt;&gt;Courses!H80*100),"Row "&amp;Courses!A80&amp;", "&amp;Courses!$H$10&amp;"; ",""),"")</f>
        <v/>
      </c>
      <c r="AD86" s="183" t="str">
        <f>IF(AND($S$9=1,Courses!B80&lt;&gt;"",Courses!I80&lt;&gt;"",Courses!J80&lt;&gt;""),IF((TRUNC(Courses!J80*100)&lt;&gt;Courses!J80*100),"Row "&amp;Courses!A80&amp;", "&amp;Courses!$J$10&amp;"; ",""),"")</f>
        <v/>
      </c>
      <c r="AF86" s="118"/>
      <c r="AG86" s="1592" t="str">
        <f>IF(AND($T$9=1,G86="",Courses!B80&lt;&gt;"",Courses!K80&lt;&gt;$B$9,Courses!K80&lt;&gt;$B$10,Courses!K80&lt;&gt;$B$11,Courses!K80&lt;&gt;$B$12,Courses!K80&lt;&gt;$B$13,Courses!K80&lt;&gt;$B$14),"Row "&amp;Courses!A80&amp;"; ","")</f>
        <v/>
      </c>
      <c r="AH86" s="1592" t="str">
        <f>IF(AND($U$9=1,G86="",Courses!B80&lt;&gt;"",Courses!L80&lt;&gt;"Standard",Courses!L80&lt;&gt;"Long"),"Row "&amp;Courses!A80&amp;"; ","")</f>
        <v/>
      </c>
      <c r="AJ86" s="118"/>
      <c r="AK86" s="3">
        <v>67</v>
      </c>
      <c r="AL86" s="1593" t="str">
        <f>IF(AND($V$9=1,(TRUNC(Courses!M80)&lt;&gt;Courses!M80)), "Row "&amp;Courses!$A80&amp;", "&amp;AL$9&amp;", "&amp;AL$10&amp;", "&amp;AL$11&amp;"; ","")</f>
        <v/>
      </c>
      <c r="AM86" t="str">
        <f>IF(AND($V$9=1,(TRUNC(Courses!N80)&lt;&gt;Courses!N80)), "Row "&amp;Courses!$A80&amp;", "&amp;AM$9&amp;", "&amp;AM$10&amp;", "&amp;AM$11&amp;"; ","")</f>
        <v/>
      </c>
      <c r="AN86" t="str">
        <f>IF(AND($V$9=1,(TRUNC(Courses!O80)&lt;&gt;Courses!O80)), "Row "&amp;Courses!$A80&amp;", "&amp;AN$9&amp;", "&amp;AN$10&amp;", "&amp;AN$11&amp;"; ","")</f>
        <v/>
      </c>
      <c r="AO86" t="str">
        <f>IF(AND($V$9=1,(TRUNC(Courses!P80)&lt;&gt;Courses!P80)), "Row "&amp;Courses!$A80&amp;", "&amp;AO$9&amp;", "&amp;AO$10&amp;", "&amp;AO$11&amp;"; ","")</f>
        <v/>
      </c>
      <c r="AP86" s="2120" t="str">
        <f>IF(AND($V$9=1,(TRUNC(Courses!Q80)&lt;&gt;Courses!Q80)), "Row "&amp;Courses!$A80&amp;", "&amp;AP$9&amp;", "&amp;AP$10&amp;"; ","")</f>
        <v/>
      </c>
      <c r="AQ86" s="1593" t="str">
        <f>IF(AND($V$9=1,(TRUNC(Courses!R80)&lt;&gt;Courses!R80)), "Row "&amp;Courses!$A80&amp;", "&amp;AQ$9&amp;", "&amp;AQ$10&amp;", "&amp;AQ$11&amp;"; ","")</f>
        <v/>
      </c>
      <c r="AR86" t="str">
        <f>IF(AND($V$9=1,(TRUNC(Courses!S80)&lt;&gt;Courses!S80)), "Row "&amp;Courses!$A80&amp;", "&amp;AR$9&amp;", "&amp;AR$10&amp;", "&amp;AR$11&amp;"; ","")</f>
        <v/>
      </c>
      <c r="AS86" t="str">
        <f>IF(AND($V$9=1,(TRUNC(Courses!T80)&lt;&gt;Courses!T80)), "Row "&amp;Courses!$A80&amp;", "&amp;AS$9&amp;", "&amp;AS$10&amp;", "&amp;AS$11&amp;"; ","")</f>
        <v/>
      </c>
      <c r="AT86" t="str">
        <f>IF(AND($V$9=1,(TRUNC(Courses!U80)&lt;&gt;Courses!U80)), "Row "&amp;Courses!$A80&amp;", "&amp;AT$9&amp;", "&amp;AT$10&amp;", "&amp;AT$11&amp;"; ","")</f>
        <v/>
      </c>
      <c r="AU86" s="2120" t="str">
        <f>IF(AND($V$9=1,(TRUNC(Courses!V80)&lt;&gt;Courses!V80)), "Row "&amp;Courses!$A80&amp;", "&amp;AU$9&amp;", "&amp;AU$10&amp;"; ","")</f>
        <v/>
      </c>
      <c r="AV86" s="1593" t="str">
        <f>IF(AND($V$9=1,(TRUNC(Courses!W80)&lt;&gt;Courses!W80)), "Row "&amp;Courses!$A80&amp;", "&amp;AV$9&amp;", "&amp;AV$10&amp;", "&amp;AV$11&amp;"; ","")</f>
        <v/>
      </c>
      <c r="AW86" t="str">
        <f>IF(AND($V$9=1,(TRUNC(Courses!X80)&lt;&gt;Courses!X80)), "Row "&amp;Courses!$A80&amp;", "&amp;AW$9&amp;", "&amp;AW$10&amp;", "&amp;AW$11&amp;"; ","")</f>
        <v/>
      </c>
      <c r="AX86" t="str">
        <f>IF(AND($V$9=1,(TRUNC(Courses!Y80)&lt;&gt;Courses!Y80)), "Row "&amp;Courses!$A80&amp;", "&amp;AX$9&amp;", "&amp;AX$10&amp;", "&amp;AX$11&amp;"; ","")</f>
        <v/>
      </c>
      <c r="AY86" t="str">
        <f>IF(AND($V$9=1,(TRUNC(Courses!Z80)&lt;&gt;Courses!Z80)), "Row "&amp;Courses!$A80&amp;", "&amp;AY$9&amp;", "&amp;AY$10&amp;", "&amp;AY$11&amp;"; ","")</f>
        <v/>
      </c>
      <c r="AZ86" s="2120" t="str">
        <f>IF(AND($V$9=1,(TRUNC(Courses!AA80)&lt;&gt;Courses!AA80)), "Row "&amp;Courses!$A80&amp;", "&amp;AZ$9&amp;", "&amp;AZ$10&amp;"; ","")</f>
        <v/>
      </c>
      <c r="BA86" s="17"/>
      <c r="BB86" s="118"/>
      <c r="BC86" s="3">
        <v>67</v>
      </c>
      <c r="BD86" s="1593" t="str">
        <f>IF(AND($W$9=1,Courses!M80&lt;0), "Row "&amp;Courses!$A80&amp;", "&amp;BD$9&amp;", "&amp;BD$10&amp;", "&amp;BD$11&amp;"; ","")</f>
        <v/>
      </c>
      <c r="BE86" t="str">
        <f>IF(AND($W$9=1,Courses!N80&lt;0), "Row "&amp;Courses!$A80&amp;", "&amp;BE$9&amp;", "&amp;BE$10&amp;", "&amp;BE$11&amp;"; ","")</f>
        <v/>
      </c>
      <c r="BF86" t="str">
        <f>IF(AND($W$9=1,Courses!O80&lt;0), "Row "&amp;Courses!$A80&amp;", "&amp;BF$9&amp;", "&amp;BF$10&amp;", "&amp;BF$11&amp;"; ","")</f>
        <v/>
      </c>
      <c r="BG86" t="str">
        <f>IF(AND($W$9=1,Courses!P80&lt;0), "Row "&amp;Courses!$A80&amp;", "&amp;BG$9&amp;", "&amp;BG$10&amp;", "&amp;BG$11&amp;"; ","")</f>
        <v/>
      </c>
      <c r="BH86" s="2120" t="str">
        <f>IF(AND($W$9=1,Courses!Q80&lt;0), "Row "&amp;Courses!$A80&amp;", "&amp;BH$9&amp;", "&amp;BH$10&amp;"; ","")</f>
        <v/>
      </c>
      <c r="BI86" s="1593" t="str">
        <f>IF(AND($W$9=1,Courses!R80&lt;0), "Row "&amp;Courses!$A80&amp;", "&amp;BI$9&amp;", "&amp;BI$10&amp;", "&amp;BI$11&amp;"; ","")</f>
        <v/>
      </c>
      <c r="BJ86" t="str">
        <f>IF(AND($W$9=1,Courses!S80&lt;0), "Row "&amp;Courses!$A80&amp;", "&amp;BJ$9&amp;", "&amp;BJ$10&amp;", "&amp;BJ$11&amp;"; ","")</f>
        <v/>
      </c>
      <c r="BK86" t="str">
        <f>IF(AND($W$9=1,Courses!T80&lt;0), "Row "&amp;Courses!$A80&amp;", "&amp;BK$9&amp;", "&amp;BK$10&amp;", "&amp;BK$11&amp;"; ","")</f>
        <v/>
      </c>
      <c r="BL86" t="str">
        <f>IF(AND($W$9=1,Courses!U80&lt;0), "Row "&amp;Courses!$A80&amp;", "&amp;BL$9&amp;", "&amp;BL$10&amp;", "&amp;BL$11&amp;"; ","")</f>
        <v/>
      </c>
      <c r="BM86" s="2120" t="str">
        <f>IF(AND($W$9=1,Courses!V80&lt;0), "Row "&amp;Courses!$A80&amp;", "&amp;BM$9&amp;", "&amp;BM$10&amp;"; ","")</f>
        <v/>
      </c>
      <c r="BN86" s="1593" t="str">
        <f>IF(AND($W$9=1,Courses!W80&lt;0), "Row "&amp;Courses!$A80&amp;", "&amp;BN$9&amp;", "&amp;BN$10&amp;", "&amp;BN$11&amp;"; ","")</f>
        <v/>
      </c>
      <c r="BO86" t="str">
        <f>IF(AND($W$9=1,Courses!X80&lt;0), "Row "&amp;Courses!$A80&amp;", "&amp;BO$9&amp;", "&amp;BO$10&amp;", "&amp;BO$11&amp;"; ","")</f>
        <v/>
      </c>
      <c r="BP86" t="str">
        <f>IF(AND($W$9=1,Courses!Y80&lt;0), "Row "&amp;Courses!$A80&amp;", "&amp;BP$9&amp;", "&amp;BP$10&amp;", "&amp;BP$11&amp;"; ","")</f>
        <v/>
      </c>
      <c r="BQ86" t="str">
        <f>IF(AND($W$9=1,Courses!Z80&lt;0), "Row "&amp;Courses!$A80&amp;", "&amp;BQ$9&amp;", "&amp;BQ$10&amp;", "&amp;BQ$11&amp;"; ","")</f>
        <v/>
      </c>
      <c r="BR86" s="2120" t="str">
        <f>IF(AND($W$9=1,Courses!AA80&lt;0), "Row "&amp;Courses!$A80&amp;", "&amp;BR$9&amp;", "&amp;BR$10&amp;"; ","")</f>
        <v/>
      </c>
      <c r="BT86" s="186">
        <v>67</v>
      </c>
      <c r="BU86" s="40">
        <f>IF(AND($X$9=1,Courses!B80="",Courses!F80="",Courses!H80="",Courses!J80="",Courses!K80="",Courses!L80="",Courses!M80=0,Courses!N80=0,Courses!O80=0,Courses!P80=0,Courses!Q80=0,Courses!R80=0,Courses!S80=0,Courses!T80=0,Courses!U80=0,Courses!V80=0,Courses!W80=0,Courses!X80=0,Courses!Y80=0,Courses!Z80=0,Courses!AA80=0),0,1)</f>
        <v>0</v>
      </c>
      <c r="BV86" s="40">
        <f>IF(AND(BU86=0,SUM(BU87:$BU$219)&gt;0),1,0)</f>
        <v>0</v>
      </c>
      <c r="BW86" s="1595" t="str">
        <f>IF(BV86=1,"Row "&amp;Courses!A80&amp;"; ","")</f>
        <v/>
      </c>
      <c r="BX86" s="17"/>
      <c r="BZ86" s="1592" t="str">
        <f>IF(AND($Y$9=1,Courses!B80&lt;&gt;"",SUM(Courses!M80:AA80)=0),"Row "&amp;Courses!A80&amp;"; ","")</f>
        <v/>
      </c>
      <c r="CA86" s="17"/>
      <c r="CC86" s="1592" t="str">
        <f>IF(AND($Z$9=1,Courses!AD80=1,(LEN(Courses!AB80)&gt;200)),"Row "&amp;Courses!A80&amp;"; ","")</f>
        <v/>
      </c>
      <c r="CE86" s="131"/>
      <c r="CG86" s="1593" t="str">
        <f>IF(AND($AD$9=1,Courses!E80&lt;&gt;"",Courses!F80&lt;&gt;"",Courses!F80=0,SUM(Courses!H80,Courses!J80)=1),"Row "&amp;Courses!A80&amp;", "&amp;Courses!$F$10&amp;"; ","")</f>
        <v/>
      </c>
      <c r="CH86" t="str">
        <f>IF(AND($AD$9=1,Courses!G80&lt;&gt;"",Courses!H80&lt;&gt;"",Courses!H80=0,SUM(Courses!J80,Courses!F80)=1),"Row "&amp;Courses!A80&amp;", "&amp;Courses!$H$10&amp;"; ","")</f>
        <v/>
      </c>
      <c r="CI86" s="183" t="str">
        <f>IF(AND($AD$9=1,Courses!I80&lt;&gt;"",Courses!J80&lt;&gt;"",Courses!J80=0, SUM(Courses!H80,Courses!F80)=1),"Row "&amp;Courses!A80&amp;", "&amp;Courses!$J$10&amp;"; ","")</f>
        <v/>
      </c>
      <c r="CJ86" s="180"/>
      <c r="CK86" s="181"/>
      <c r="CL86" s="1592" t="str">
        <f>IF(AND(Courses!B80&lt;&gt;"",ISNA(VLOOKUP(Courses!C80,CourseInfo,2,FALSE))=FALSE,COUNTIF(Dummy,Courses!C80)&lt;&gt;1),VLOOKUP(Courses!C80,CourseInfo,6,FALSE),"")</f>
        <v/>
      </c>
      <c r="CM86" s="1592" t="str">
        <f>IF(AND($AE$9=1,Courses!B80&lt;&gt;"",'Courses Valid'!AG86="",COUNTIF(Dummy,Courses!C80)&lt;&gt;1),IF(Courses!K80&lt;&gt;'Courses Valid'!CL86,"Row "&amp;Courses!A80&amp;", Level on LARS is "&amp;'Courses Valid'!CL86&amp;"; ",""),"")</f>
        <v/>
      </c>
      <c r="CN86" s="131"/>
    </row>
    <row r="87" spans="3:92" x14ac:dyDescent="0.35">
      <c r="C87" s="1591">
        <f t="shared" si="3"/>
        <v>0</v>
      </c>
      <c r="D87" s="41"/>
      <c r="E87" s="41"/>
      <c r="F87" s="118"/>
      <c r="G87" s="1591" t="str">
        <f>IF(SUMPRODUCT(--(CourseAims=Courses!$C81))=1,"",IF(AND($N$9=1,Courses!$C81&lt;&gt;""),"Row "&amp;Courses!A81&amp;" (invalid); ",""))</f>
        <v/>
      </c>
      <c r="H87" s="1592" t="str">
        <f>IF(AND($O$9=1,Courses!B81="",OR(Courses!F81&lt;&gt;"",Courses!H81&lt;&gt;"",Courses!J81&lt;&gt;"",Courses!K81&lt;&gt;"",Courses!L81&lt;&gt;"",Courses!M81&lt;&gt;0,Courses!N81&lt;&gt;0,Courses!O81&lt;&gt;0,Courses!P81&lt;&gt;0,Courses!Q81&lt;&gt;0,Courses!R81&lt;&gt;0,Courses!S81&lt;&gt;0,Courses!T81&lt;&gt;0,Courses!U81&lt;&gt;0,Courses!V81&lt;&gt;0,Courses!W81&lt;&gt;0,Courses!X81&lt;&gt;0,Courses!Y81&lt;&gt;0,Courses!Z81&lt;&gt;0,Courses!AA81&lt;&gt;0)),"Row "&amp;Courses!A81&amp;" (none); ","")</f>
        <v/>
      </c>
      <c r="I87" s="17"/>
      <c r="K87" s="1592" t="str">
        <f>Courses!B81&amp;Courses!K81&amp;Courses!L81</f>
        <v/>
      </c>
      <c r="L87" s="1592" t="str">
        <f>IF(AND($P$9=1,Courses!$B81&lt;&gt;"",COUNTIF(Dummy,Courses!$C81)&lt;&gt;1),IF(SUMPRODUCT(--($K$20:$K$219=$K87))&gt;1,"Row "&amp;Courses!$A81&amp;"; ",""),"")</f>
        <v/>
      </c>
      <c r="N87" s="118"/>
      <c r="O87" s="1593" t="str">
        <f>IF(AND($Q$9=1,Courses!E81&lt;&gt;"",Courses!F81=""),"Row "&amp;Courses!A81&amp;", "&amp;Courses!$E$10&amp;"; ","")</f>
        <v/>
      </c>
      <c r="P87" t="str">
        <f>IF(AND($Q$9=1,Courses!G81&lt;&gt;"",Courses!H81=""),"Row "&amp;Courses!A81&amp;", "&amp;Courses!$G$10&amp;"; ","")</f>
        <v/>
      </c>
      <c r="Q87" s="183" t="str">
        <f>IF(AND($Q$9=1,Courses!I81&lt;&gt;"",Courses!J81=""),"Row "&amp;Courses!A81&amp;", "&amp;Courses!$I$10&amp;"; ","")</f>
        <v/>
      </c>
      <c r="S87" s="17"/>
      <c r="T87" s="118"/>
      <c r="U87" s="1594" t="str">
        <f>IF(AND($R$9=1,Courses!B81&lt;&gt;"",Courses!E81&lt;&gt;"",Courses!G81="",Courses!I81="",Courses!F81&lt;&gt;1),"Row "&amp;Courses!A81&amp;"; ","")</f>
        <v/>
      </c>
      <c r="V87" t="str">
        <f>IF(AND($R$9=1,Courses!B81&lt;&gt;"",Courses!I81="",Courses!F81&lt;&gt;"",Courses!G81&lt;&gt;"",Courses!H81&lt;&gt;""),IF(OR((Courses!F81+Courses!H81)&lt;&gt;1),"Row "&amp;Courses!A81&amp;"; ",""),"")</f>
        <v/>
      </c>
      <c r="W87" s="183" t="str">
        <f>IF(AND($R$9=1,Courses!B81&lt;&gt;"",Courses!I81&lt;&gt;"",Courses!J81&lt;&gt;"",Courses!H81&lt;&gt;"",Courses!G81&lt;&gt;"",Courses!F81&lt;&gt;""),IF(OR((Courses!F81+Courses!H81+Courses!J81)&lt;&gt;1),"Row "&amp;Courses!A81&amp;"; ",""),"")</f>
        <v/>
      </c>
      <c r="Y87" s="1592" t="str">
        <f>IF(AND($R$9=1,Courses!E81&lt;&gt;"",U87="",V87="",W87="",SUM(Courses!F81,Courses!H81,Courses!J81)&lt;&gt;1),"Row "&amp;Courses!A81&amp;"; ","")</f>
        <v/>
      </c>
      <c r="Z87" s="17"/>
      <c r="AB87" s="1593" t="str">
        <f>IF(AND($S$9=1,Courses!B81&lt;&gt;"",Courses!E81&lt;&gt;"",Courses!F81&lt;&gt;""),IF((TRUNC(Courses!F81*100)&lt;&gt;Courses!F81*100),"Row "&amp;Courses!A81&amp;", "&amp;Courses!$F$10&amp;"; ",""),"")</f>
        <v/>
      </c>
      <c r="AC87" t="str">
        <f>IF(AND($S$9=1,Courses!B81&lt;&gt;"",Courses!G81&lt;&gt;"",Courses!H81&lt;&gt;""),IF((TRUNC(Courses!H81*100)&lt;&gt;Courses!H81*100),"Row "&amp;Courses!A81&amp;", "&amp;Courses!$H$10&amp;"; ",""),"")</f>
        <v/>
      </c>
      <c r="AD87" s="183" t="str">
        <f>IF(AND($S$9=1,Courses!B81&lt;&gt;"",Courses!I81&lt;&gt;"",Courses!J81&lt;&gt;""),IF((TRUNC(Courses!J81*100)&lt;&gt;Courses!J81*100),"Row "&amp;Courses!A81&amp;", "&amp;Courses!$J$10&amp;"; ",""),"")</f>
        <v/>
      </c>
      <c r="AF87" s="118"/>
      <c r="AG87" s="1592" t="str">
        <f>IF(AND($T$9=1,G87="",Courses!B81&lt;&gt;"",Courses!K81&lt;&gt;$B$9,Courses!K81&lt;&gt;$B$10,Courses!K81&lt;&gt;$B$11,Courses!K81&lt;&gt;$B$12,Courses!K81&lt;&gt;$B$13,Courses!K81&lt;&gt;$B$14),"Row "&amp;Courses!A81&amp;"; ","")</f>
        <v/>
      </c>
      <c r="AH87" s="1592" t="str">
        <f>IF(AND($U$9=1,G87="",Courses!B81&lt;&gt;"",Courses!L81&lt;&gt;"Standard",Courses!L81&lt;&gt;"Long"),"Row "&amp;Courses!A81&amp;"; ","")</f>
        <v/>
      </c>
      <c r="AJ87" s="118"/>
      <c r="AK87" s="3">
        <v>68</v>
      </c>
      <c r="AL87" s="1593" t="str">
        <f>IF(AND($V$9=1,(TRUNC(Courses!M81)&lt;&gt;Courses!M81)), "Row "&amp;Courses!$A81&amp;", "&amp;AL$9&amp;", "&amp;AL$10&amp;", "&amp;AL$11&amp;"; ","")</f>
        <v/>
      </c>
      <c r="AM87" t="str">
        <f>IF(AND($V$9=1,(TRUNC(Courses!N81)&lt;&gt;Courses!N81)), "Row "&amp;Courses!$A81&amp;", "&amp;AM$9&amp;", "&amp;AM$10&amp;", "&amp;AM$11&amp;"; ","")</f>
        <v/>
      </c>
      <c r="AN87" t="str">
        <f>IF(AND($V$9=1,(TRUNC(Courses!O81)&lt;&gt;Courses!O81)), "Row "&amp;Courses!$A81&amp;", "&amp;AN$9&amp;", "&amp;AN$10&amp;", "&amp;AN$11&amp;"; ","")</f>
        <v/>
      </c>
      <c r="AO87" t="str">
        <f>IF(AND($V$9=1,(TRUNC(Courses!P81)&lt;&gt;Courses!P81)), "Row "&amp;Courses!$A81&amp;", "&amp;AO$9&amp;", "&amp;AO$10&amp;", "&amp;AO$11&amp;"; ","")</f>
        <v/>
      </c>
      <c r="AP87" s="2120" t="str">
        <f>IF(AND($V$9=1,(TRUNC(Courses!Q81)&lt;&gt;Courses!Q81)), "Row "&amp;Courses!$A81&amp;", "&amp;AP$9&amp;", "&amp;AP$10&amp;"; ","")</f>
        <v/>
      </c>
      <c r="AQ87" s="1593" t="str">
        <f>IF(AND($V$9=1,(TRUNC(Courses!R81)&lt;&gt;Courses!R81)), "Row "&amp;Courses!$A81&amp;", "&amp;AQ$9&amp;", "&amp;AQ$10&amp;", "&amp;AQ$11&amp;"; ","")</f>
        <v/>
      </c>
      <c r="AR87" t="str">
        <f>IF(AND($V$9=1,(TRUNC(Courses!S81)&lt;&gt;Courses!S81)), "Row "&amp;Courses!$A81&amp;", "&amp;AR$9&amp;", "&amp;AR$10&amp;", "&amp;AR$11&amp;"; ","")</f>
        <v/>
      </c>
      <c r="AS87" t="str">
        <f>IF(AND($V$9=1,(TRUNC(Courses!T81)&lt;&gt;Courses!T81)), "Row "&amp;Courses!$A81&amp;", "&amp;AS$9&amp;", "&amp;AS$10&amp;", "&amp;AS$11&amp;"; ","")</f>
        <v/>
      </c>
      <c r="AT87" t="str">
        <f>IF(AND($V$9=1,(TRUNC(Courses!U81)&lt;&gt;Courses!U81)), "Row "&amp;Courses!$A81&amp;", "&amp;AT$9&amp;", "&amp;AT$10&amp;", "&amp;AT$11&amp;"; ","")</f>
        <v/>
      </c>
      <c r="AU87" s="2120" t="str">
        <f>IF(AND($V$9=1,(TRUNC(Courses!V81)&lt;&gt;Courses!V81)), "Row "&amp;Courses!$A81&amp;", "&amp;AU$9&amp;", "&amp;AU$10&amp;"; ","")</f>
        <v/>
      </c>
      <c r="AV87" s="1593" t="str">
        <f>IF(AND($V$9=1,(TRUNC(Courses!W81)&lt;&gt;Courses!W81)), "Row "&amp;Courses!$A81&amp;", "&amp;AV$9&amp;", "&amp;AV$10&amp;", "&amp;AV$11&amp;"; ","")</f>
        <v/>
      </c>
      <c r="AW87" t="str">
        <f>IF(AND($V$9=1,(TRUNC(Courses!X81)&lt;&gt;Courses!X81)), "Row "&amp;Courses!$A81&amp;", "&amp;AW$9&amp;", "&amp;AW$10&amp;", "&amp;AW$11&amp;"; ","")</f>
        <v/>
      </c>
      <c r="AX87" t="str">
        <f>IF(AND($V$9=1,(TRUNC(Courses!Y81)&lt;&gt;Courses!Y81)), "Row "&amp;Courses!$A81&amp;", "&amp;AX$9&amp;", "&amp;AX$10&amp;", "&amp;AX$11&amp;"; ","")</f>
        <v/>
      </c>
      <c r="AY87" t="str">
        <f>IF(AND($V$9=1,(TRUNC(Courses!Z81)&lt;&gt;Courses!Z81)), "Row "&amp;Courses!$A81&amp;", "&amp;AY$9&amp;", "&amp;AY$10&amp;", "&amp;AY$11&amp;"; ","")</f>
        <v/>
      </c>
      <c r="AZ87" s="2120" t="str">
        <f>IF(AND($V$9=1,(TRUNC(Courses!AA81)&lt;&gt;Courses!AA81)), "Row "&amp;Courses!$A81&amp;", "&amp;AZ$9&amp;", "&amp;AZ$10&amp;"; ","")</f>
        <v/>
      </c>
      <c r="BA87" s="17"/>
      <c r="BB87" s="118"/>
      <c r="BC87" s="3">
        <v>68</v>
      </c>
      <c r="BD87" s="1593" t="str">
        <f>IF(AND($W$9=1,Courses!M81&lt;0), "Row "&amp;Courses!$A81&amp;", "&amp;BD$9&amp;", "&amp;BD$10&amp;", "&amp;BD$11&amp;"; ","")</f>
        <v/>
      </c>
      <c r="BE87" t="str">
        <f>IF(AND($W$9=1,Courses!N81&lt;0), "Row "&amp;Courses!$A81&amp;", "&amp;BE$9&amp;", "&amp;BE$10&amp;", "&amp;BE$11&amp;"; ","")</f>
        <v/>
      </c>
      <c r="BF87" t="str">
        <f>IF(AND($W$9=1,Courses!O81&lt;0), "Row "&amp;Courses!$A81&amp;", "&amp;BF$9&amp;", "&amp;BF$10&amp;", "&amp;BF$11&amp;"; ","")</f>
        <v/>
      </c>
      <c r="BG87" t="str">
        <f>IF(AND($W$9=1,Courses!P81&lt;0), "Row "&amp;Courses!$A81&amp;", "&amp;BG$9&amp;", "&amp;BG$10&amp;", "&amp;BG$11&amp;"; ","")</f>
        <v/>
      </c>
      <c r="BH87" s="2120" t="str">
        <f>IF(AND($W$9=1,Courses!Q81&lt;0), "Row "&amp;Courses!$A81&amp;", "&amp;BH$9&amp;", "&amp;BH$10&amp;"; ","")</f>
        <v/>
      </c>
      <c r="BI87" s="1593" t="str">
        <f>IF(AND($W$9=1,Courses!R81&lt;0), "Row "&amp;Courses!$A81&amp;", "&amp;BI$9&amp;", "&amp;BI$10&amp;", "&amp;BI$11&amp;"; ","")</f>
        <v/>
      </c>
      <c r="BJ87" t="str">
        <f>IF(AND($W$9=1,Courses!S81&lt;0), "Row "&amp;Courses!$A81&amp;", "&amp;BJ$9&amp;", "&amp;BJ$10&amp;", "&amp;BJ$11&amp;"; ","")</f>
        <v/>
      </c>
      <c r="BK87" t="str">
        <f>IF(AND($W$9=1,Courses!T81&lt;0), "Row "&amp;Courses!$A81&amp;", "&amp;BK$9&amp;", "&amp;BK$10&amp;", "&amp;BK$11&amp;"; ","")</f>
        <v/>
      </c>
      <c r="BL87" t="str">
        <f>IF(AND($W$9=1,Courses!U81&lt;0), "Row "&amp;Courses!$A81&amp;", "&amp;BL$9&amp;", "&amp;BL$10&amp;", "&amp;BL$11&amp;"; ","")</f>
        <v/>
      </c>
      <c r="BM87" s="2120" t="str">
        <f>IF(AND($W$9=1,Courses!V81&lt;0), "Row "&amp;Courses!$A81&amp;", "&amp;BM$9&amp;", "&amp;BM$10&amp;"; ","")</f>
        <v/>
      </c>
      <c r="BN87" s="1593" t="str">
        <f>IF(AND($W$9=1,Courses!W81&lt;0), "Row "&amp;Courses!$A81&amp;", "&amp;BN$9&amp;", "&amp;BN$10&amp;", "&amp;BN$11&amp;"; ","")</f>
        <v/>
      </c>
      <c r="BO87" t="str">
        <f>IF(AND($W$9=1,Courses!X81&lt;0), "Row "&amp;Courses!$A81&amp;", "&amp;BO$9&amp;", "&amp;BO$10&amp;", "&amp;BO$11&amp;"; ","")</f>
        <v/>
      </c>
      <c r="BP87" t="str">
        <f>IF(AND($W$9=1,Courses!Y81&lt;0), "Row "&amp;Courses!$A81&amp;", "&amp;BP$9&amp;", "&amp;BP$10&amp;", "&amp;BP$11&amp;"; ","")</f>
        <v/>
      </c>
      <c r="BQ87" t="str">
        <f>IF(AND($W$9=1,Courses!Z81&lt;0), "Row "&amp;Courses!$A81&amp;", "&amp;BQ$9&amp;", "&amp;BQ$10&amp;", "&amp;BQ$11&amp;"; ","")</f>
        <v/>
      </c>
      <c r="BR87" s="2120" t="str">
        <f>IF(AND($W$9=1,Courses!AA81&lt;0), "Row "&amp;Courses!$A81&amp;", "&amp;BR$9&amp;", "&amp;BR$10&amp;"; ","")</f>
        <v/>
      </c>
      <c r="BT87" s="186">
        <v>68</v>
      </c>
      <c r="BU87" s="40">
        <f>IF(AND($X$9=1,Courses!B81="",Courses!F81="",Courses!H81="",Courses!J81="",Courses!K81="",Courses!L81="",Courses!M81=0,Courses!N81=0,Courses!O81=0,Courses!P81=0,Courses!Q81=0,Courses!R81=0,Courses!S81=0,Courses!T81=0,Courses!U81=0,Courses!V81=0,Courses!W81=0,Courses!X81=0,Courses!Y81=0,Courses!Z81=0,Courses!AA81=0),0,1)</f>
        <v>0</v>
      </c>
      <c r="BV87" s="40">
        <f>IF(AND(BU87=0,SUM(BU88:$BU$219)&gt;0),1,0)</f>
        <v>0</v>
      </c>
      <c r="BW87" s="1595" t="str">
        <f>IF(BV87=1,"Row "&amp;Courses!A81&amp;"; ","")</f>
        <v/>
      </c>
      <c r="BX87" s="17"/>
      <c r="BZ87" s="1592" t="str">
        <f>IF(AND($Y$9=1,Courses!B81&lt;&gt;"",SUM(Courses!M81:AA81)=0),"Row "&amp;Courses!A81&amp;"; ","")</f>
        <v/>
      </c>
      <c r="CA87" s="17"/>
      <c r="CC87" s="1592" t="str">
        <f>IF(AND($Z$9=1,Courses!AD81=1,(LEN(Courses!AB81)&gt;200)),"Row "&amp;Courses!A81&amp;"; ","")</f>
        <v/>
      </c>
      <c r="CE87" s="131"/>
      <c r="CG87" s="1593" t="str">
        <f>IF(AND($AD$9=1,Courses!E81&lt;&gt;"",Courses!F81&lt;&gt;"",Courses!F81=0,SUM(Courses!H81,Courses!J81)=1),"Row "&amp;Courses!A81&amp;", "&amp;Courses!$F$10&amp;"; ","")</f>
        <v/>
      </c>
      <c r="CH87" t="str">
        <f>IF(AND($AD$9=1,Courses!G81&lt;&gt;"",Courses!H81&lt;&gt;"",Courses!H81=0,SUM(Courses!J81,Courses!F81)=1),"Row "&amp;Courses!A81&amp;", "&amp;Courses!$H$10&amp;"; ","")</f>
        <v/>
      </c>
      <c r="CI87" s="183" t="str">
        <f>IF(AND($AD$9=1,Courses!I81&lt;&gt;"",Courses!J81&lt;&gt;"",Courses!J81=0, SUM(Courses!H81,Courses!F81)=1),"Row "&amp;Courses!A81&amp;", "&amp;Courses!$J$10&amp;"; ","")</f>
        <v/>
      </c>
      <c r="CJ87" s="180"/>
      <c r="CK87" s="181"/>
      <c r="CL87" s="1592" t="str">
        <f>IF(AND(Courses!B81&lt;&gt;"",ISNA(VLOOKUP(Courses!C81,CourseInfo,2,FALSE))=FALSE,COUNTIF(Dummy,Courses!C81)&lt;&gt;1),VLOOKUP(Courses!C81,CourseInfo,6,FALSE),"")</f>
        <v/>
      </c>
      <c r="CM87" s="1592" t="str">
        <f>IF(AND($AE$9=1,Courses!B81&lt;&gt;"",'Courses Valid'!AG87="",COUNTIF(Dummy,Courses!C81)&lt;&gt;1),IF(Courses!K81&lt;&gt;'Courses Valid'!CL87,"Row "&amp;Courses!A81&amp;", Level on LARS is "&amp;'Courses Valid'!CL87&amp;"; ",""),"")</f>
        <v/>
      </c>
      <c r="CN87" s="131"/>
    </row>
    <row r="88" spans="3:92" x14ac:dyDescent="0.35">
      <c r="C88" s="1591">
        <f t="shared" si="3"/>
        <v>0</v>
      </c>
      <c r="D88" s="41"/>
      <c r="E88" s="41"/>
      <c r="F88" s="118"/>
      <c r="G88" s="1591" t="str">
        <f>IF(SUMPRODUCT(--(CourseAims=Courses!$C82))=1,"",IF(AND($N$9=1,Courses!$C82&lt;&gt;""),"Row "&amp;Courses!A82&amp;" (invalid); ",""))</f>
        <v/>
      </c>
      <c r="H88" s="1592" t="str">
        <f>IF(AND($O$9=1,Courses!B82="",OR(Courses!F82&lt;&gt;"",Courses!H82&lt;&gt;"",Courses!J82&lt;&gt;"",Courses!K82&lt;&gt;"",Courses!L82&lt;&gt;"",Courses!M82&lt;&gt;0,Courses!N82&lt;&gt;0,Courses!O82&lt;&gt;0,Courses!P82&lt;&gt;0,Courses!Q82&lt;&gt;0,Courses!R82&lt;&gt;0,Courses!S82&lt;&gt;0,Courses!T82&lt;&gt;0,Courses!U82&lt;&gt;0,Courses!V82&lt;&gt;0,Courses!W82&lt;&gt;0,Courses!X82&lt;&gt;0,Courses!Y82&lt;&gt;0,Courses!Z82&lt;&gt;0,Courses!AA82&lt;&gt;0)),"Row "&amp;Courses!A82&amp;" (none); ","")</f>
        <v/>
      </c>
      <c r="I88" s="17"/>
      <c r="K88" s="1592" t="str">
        <f>Courses!B82&amp;Courses!K82&amp;Courses!L82</f>
        <v/>
      </c>
      <c r="L88" s="1592" t="str">
        <f>IF(AND($P$9=1,Courses!$B82&lt;&gt;"",COUNTIF(Dummy,Courses!$C82)&lt;&gt;1),IF(SUMPRODUCT(--($K$20:$K$219=$K88))&gt;1,"Row "&amp;Courses!$A82&amp;"; ",""),"")</f>
        <v/>
      </c>
      <c r="N88" s="118"/>
      <c r="O88" s="1593" t="str">
        <f>IF(AND($Q$9=1,Courses!E82&lt;&gt;"",Courses!F82=""),"Row "&amp;Courses!A82&amp;", "&amp;Courses!$E$10&amp;"; ","")</f>
        <v/>
      </c>
      <c r="P88" t="str">
        <f>IF(AND($Q$9=1,Courses!G82&lt;&gt;"",Courses!H82=""),"Row "&amp;Courses!A82&amp;", "&amp;Courses!$G$10&amp;"; ","")</f>
        <v/>
      </c>
      <c r="Q88" s="183" t="str">
        <f>IF(AND($Q$9=1,Courses!I82&lt;&gt;"",Courses!J82=""),"Row "&amp;Courses!A82&amp;", "&amp;Courses!$I$10&amp;"; ","")</f>
        <v/>
      </c>
      <c r="S88" s="17"/>
      <c r="T88" s="118"/>
      <c r="U88" s="1594" t="str">
        <f>IF(AND($R$9=1,Courses!B82&lt;&gt;"",Courses!E82&lt;&gt;"",Courses!G82="",Courses!I82="",Courses!F82&lt;&gt;1),"Row "&amp;Courses!A82&amp;"; ","")</f>
        <v/>
      </c>
      <c r="V88" t="str">
        <f>IF(AND($R$9=1,Courses!B82&lt;&gt;"",Courses!I82="",Courses!F82&lt;&gt;"",Courses!G82&lt;&gt;"",Courses!H82&lt;&gt;""),IF(OR((Courses!F82+Courses!H82)&lt;&gt;1),"Row "&amp;Courses!A82&amp;"; ",""),"")</f>
        <v/>
      </c>
      <c r="W88" s="183" t="str">
        <f>IF(AND($R$9=1,Courses!B82&lt;&gt;"",Courses!I82&lt;&gt;"",Courses!J82&lt;&gt;"",Courses!H82&lt;&gt;"",Courses!G82&lt;&gt;"",Courses!F82&lt;&gt;""),IF(OR((Courses!F82+Courses!H82+Courses!J82)&lt;&gt;1),"Row "&amp;Courses!A82&amp;"; ",""),"")</f>
        <v/>
      </c>
      <c r="Y88" s="1592" t="str">
        <f>IF(AND($R$9=1,Courses!E82&lt;&gt;"",U88="",V88="",W88="",SUM(Courses!F82,Courses!H82,Courses!J82)&lt;&gt;1),"Row "&amp;Courses!A82&amp;"; ","")</f>
        <v/>
      </c>
      <c r="Z88" s="17"/>
      <c r="AB88" s="1593" t="str">
        <f>IF(AND($S$9=1,Courses!B82&lt;&gt;"",Courses!E82&lt;&gt;"",Courses!F82&lt;&gt;""),IF((TRUNC(Courses!F82*100)&lt;&gt;Courses!F82*100),"Row "&amp;Courses!A82&amp;", "&amp;Courses!$F$10&amp;"; ",""),"")</f>
        <v/>
      </c>
      <c r="AC88" t="str">
        <f>IF(AND($S$9=1,Courses!B82&lt;&gt;"",Courses!G82&lt;&gt;"",Courses!H82&lt;&gt;""),IF((TRUNC(Courses!H82*100)&lt;&gt;Courses!H82*100),"Row "&amp;Courses!A82&amp;", "&amp;Courses!$H$10&amp;"; ",""),"")</f>
        <v/>
      </c>
      <c r="AD88" s="183" t="str">
        <f>IF(AND($S$9=1,Courses!B82&lt;&gt;"",Courses!I82&lt;&gt;"",Courses!J82&lt;&gt;""),IF((TRUNC(Courses!J82*100)&lt;&gt;Courses!J82*100),"Row "&amp;Courses!A82&amp;", "&amp;Courses!$J$10&amp;"; ",""),"")</f>
        <v/>
      </c>
      <c r="AF88" s="118"/>
      <c r="AG88" s="1592" t="str">
        <f>IF(AND($T$9=1,G88="",Courses!B82&lt;&gt;"",Courses!K82&lt;&gt;$B$9,Courses!K82&lt;&gt;$B$10,Courses!K82&lt;&gt;$B$11,Courses!K82&lt;&gt;$B$12,Courses!K82&lt;&gt;$B$13,Courses!K82&lt;&gt;$B$14),"Row "&amp;Courses!A82&amp;"; ","")</f>
        <v/>
      </c>
      <c r="AH88" s="1592" t="str">
        <f>IF(AND($U$9=1,G88="",Courses!B82&lt;&gt;"",Courses!L82&lt;&gt;"Standard",Courses!L82&lt;&gt;"Long"),"Row "&amp;Courses!A82&amp;"; ","")</f>
        <v/>
      </c>
      <c r="AJ88" s="118"/>
      <c r="AK88" s="3">
        <v>69</v>
      </c>
      <c r="AL88" s="1593" t="str">
        <f>IF(AND($V$9=1,(TRUNC(Courses!M82)&lt;&gt;Courses!M82)), "Row "&amp;Courses!$A82&amp;", "&amp;AL$9&amp;", "&amp;AL$10&amp;", "&amp;AL$11&amp;"; ","")</f>
        <v/>
      </c>
      <c r="AM88" t="str">
        <f>IF(AND($V$9=1,(TRUNC(Courses!N82)&lt;&gt;Courses!N82)), "Row "&amp;Courses!$A82&amp;", "&amp;AM$9&amp;", "&amp;AM$10&amp;", "&amp;AM$11&amp;"; ","")</f>
        <v/>
      </c>
      <c r="AN88" t="str">
        <f>IF(AND($V$9=1,(TRUNC(Courses!O82)&lt;&gt;Courses!O82)), "Row "&amp;Courses!$A82&amp;", "&amp;AN$9&amp;", "&amp;AN$10&amp;", "&amp;AN$11&amp;"; ","")</f>
        <v/>
      </c>
      <c r="AO88" t="str">
        <f>IF(AND($V$9=1,(TRUNC(Courses!P82)&lt;&gt;Courses!P82)), "Row "&amp;Courses!$A82&amp;", "&amp;AO$9&amp;", "&amp;AO$10&amp;", "&amp;AO$11&amp;"; ","")</f>
        <v/>
      </c>
      <c r="AP88" s="2120" t="str">
        <f>IF(AND($V$9=1,(TRUNC(Courses!Q82)&lt;&gt;Courses!Q82)), "Row "&amp;Courses!$A82&amp;", "&amp;AP$9&amp;", "&amp;AP$10&amp;"; ","")</f>
        <v/>
      </c>
      <c r="AQ88" s="1593" t="str">
        <f>IF(AND($V$9=1,(TRUNC(Courses!R82)&lt;&gt;Courses!R82)), "Row "&amp;Courses!$A82&amp;", "&amp;AQ$9&amp;", "&amp;AQ$10&amp;", "&amp;AQ$11&amp;"; ","")</f>
        <v/>
      </c>
      <c r="AR88" t="str">
        <f>IF(AND($V$9=1,(TRUNC(Courses!S82)&lt;&gt;Courses!S82)), "Row "&amp;Courses!$A82&amp;", "&amp;AR$9&amp;", "&amp;AR$10&amp;", "&amp;AR$11&amp;"; ","")</f>
        <v/>
      </c>
      <c r="AS88" t="str">
        <f>IF(AND($V$9=1,(TRUNC(Courses!T82)&lt;&gt;Courses!T82)), "Row "&amp;Courses!$A82&amp;", "&amp;AS$9&amp;", "&amp;AS$10&amp;", "&amp;AS$11&amp;"; ","")</f>
        <v/>
      </c>
      <c r="AT88" t="str">
        <f>IF(AND($V$9=1,(TRUNC(Courses!U82)&lt;&gt;Courses!U82)), "Row "&amp;Courses!$A82&amp;", "&amp;AT$9&amp;", "&amp;AT$10&amp;", "&amp;AT$11&amp;"; ","")</f>
        <v/>
      </c>
      <c r="AU88" s="2120" t="str">
        <f>IF(AND($V$9=1,(TRUNC(Courses!V82)&lt;&gt;Courses!V82)), "Row "&amp;Courses!$A82&amp;", "&amp;AU$9&amp;", "&amp;AU$10&amp;"; ","")</f>
        <v/>
      </c>
      <c r="AV88" s="1593" t="str">
        <f>IF(AND($V$9=1,(TRUNC(Courses!W82)&lt;&gt;Courses!W82)), "Row "&amp;Courses!$A82&amp;", "&amp;AV$9&amp;", "&amp;AV$10&amp;", "&amp;AV$11&amp;"; ","")</f>
        <v/>
      </c>
      <c r="AW88" t="str">
        <f>IF(AND($V$9=1,(TRUNC(Courses!X82)&lt;&gt;Courses!X82)), "Row "&amp;Courses!$A82&amp;", "&amp;AW$9&amp;", "&amp;AW$10&amp;", "&amp;AW$11&amp;"; ","")</f>
        <v/>
      </c>
      <c r="AX88" t="str">
        <f>IF(AND($V$9=1,(TRUNC(Courses!Y82)&lt;&gt;Courses!Y82)), "Row "&amp;Courses!$A82&amp;", "&amp;AX$9&amp;", "&amp;AX$10&amp;", "&amp;AX$11&amp;"; ","")</f>
        <v/>
      </c>
      <c r="AY88" t="str">
        <f>IF(AND($V$9=1,(TRUNC(Courses!Z82)&lt;&gt;Courses!Z82)), "Row "&amp;Courses!$A82&amp;", "&amp;AY$9&amp;", "&amp;AY$10&amp;", "&amp;AY$11&amp;"; ","")</f>
        <v/>
      </c>
      <c r="AZ88" s="2120" t="str">
        <f>IF(AND($V$9=1,(TRUNC(Courses!AA82)&lt;&gt;Courses!AA82)), "Row "&amp;Courses!$A82&amp;", "&amp;AZ$9&amp;", "&amp;AZ$10&amp;"; ","")</f>
        <v/>
      </c>
      <c r="BA88" s="17"/>
      <c r="BB88" s="118"/>
      <c r="BC88" s="3">
        <v>69</v>
      </c>
      <c r="BD88" s="1593" t="str">
        <f>IF(AND($W$9=1,Courses!M82&lt;0), "Row "&amp;Courses!$A82&amp;", "&amp;BD$9&amp;", "&amp;BD$10&amp;", "&amp;BD$11&amp;"; ","")</f>
        <v/>
      </c>
      <c r="BE88" t="str">
        <f>IF(AND($W$9=1,Courses!N82&lt;0), "Row "&amp;Courses!$A82&amp;", "&amp;BE$9&amp;", "&amp;BE$10&amp;", "&amp;BE$11&amp;"; ","")</f>
        <v/>
      </c>
      <c r="BF88" t="str">
        <f>IF(AND($W$9=1,Courses!O82&lt;0), "Row "&amp;Courses!$A82&amp;", "&amp;BF$9&amp;", "&amp;BF$10&amp;", "&amp;BF$11&amp;"; ","")</f>
        <v/>
      </c>
      <c r="BG88" t="str">
        <f>IF(AND($W$9=1,Courses!P82&lt;0), "Row "&amp;Courses!$A82&amp;", "&amp;BG$9&amp;", "&amp;BG$10&amp;", "&amp;BG$11&amp;"; ","")</f>
        <v/>
      </c>
      <c r="BH88" s="2120" t="str">
        <f>IF(AND($W$9=1,Courses!Q82&lt;0), "Row "&amp;Courses!$A82&amp;", "&amp;BH$9&amp;", "&amp;BH$10&amp;"; ","")</f>
        <v/>
      </c>
      <c r="BI88" s="1593" t="str">
        <f>IF(AND($W$9=1,Courses!R82&lt;0), "Row "&amp;Courses!$A82&amp;", "&amp;BI$9&amp;", "&amp;BI$10&amp;", "&amp;BI$11&amp;"; ","")</f>
        <v/>
      </c>
      <c r="BJ88" t="str">
        <f>IF(AND($W$9=1,Courses!S82&lt;0), "Row "&amp;Courses!$A82&amp;", "&amp;BJ$9&amp;", "&amp;BJ$10&amp;", "&amp;BJ$11&amp;"; ","")</f>
        <v/>
      </c>
      <c r="BK88" t="str">
        <f>IF(AND($W$9=1,Courses!T82&lt;0), "Row "&amp;Courses!$A82&amp;", "&amp;BK$9&amp;", "&amp;BK$10&amp;", "&amp;BK$11&amp;"; ","")</f>
        <v/>
      </c>
      <c r="BL88" t="str">
        <f>IF(AND($W$9=1,Courses!U82&lt;0), "Row "&amp;Courses!$A82&amp;", "&amp;BL$9&amp;", "&amp;BL$10&amp;", "&amp;BL$11&amp;"; ","")</f>
        <v/>
      </c>
      <c r="BM88" s="2120" t="str">
        <f>IF(AND($W$9=1,Courses!V82&lt;0), "Row "&amp;Courses!$A82&amp;", "&amp;BM$9&amp;", "&amp;BM$10&amp;"; ","")</f>
        <v/>
      </c>
      <c r="BN88" s="1593" t="str">
        <f>IF(AND($W$9=1,Courses!W82&lt;0), "Row "&amp;Courses!$A82&amp;", "&amp;BN$9&amp;", "&amp;BN$10&amp;", "&amp;BN$11&amp;"; ","")</f>
        <v/>
      </c>
      <c r="BO88" t="str">
        <f>IF(AND($W$9=1,Courses!X82&lt;0), "Row "&amp;Courses!$A82&amp;", "&amp;BO$9&amp;", "&amp;BO$10&amp;", "&amp;BO$11&amp;"; ","")</f>
        <v/>
      </c>
      <c r="BP88" t="str">
        <f>IF(AND($W$9=1,Courses!Y82&lt;0), "Row "&amp;Courses!$A82&amp;", "&amp;BP$9&amp;", "&amp;BP$10&amp;", "&amp;BP$11&amp;"; ","")</f>
        <v/>
      </c>
      <c r="BQ88" t="str">
        <f>IF(AND($W$9=1,Courses!Z82&lt;0), "Row "&amp;Courses!$A82&amp;", "&amp;BQ$9&amp;", "&amp;BQ$10&amp;", "&amp;BQ$11&amp;"; ","")</f>
        <v/>
      </c>
      <c r="BR88" s="2120" t="str">
        <f>IF(AND($W$9=1,Courses!AA82&lt;0), "Row "&amp;Courses!$A82&amp;", "&amp;BR$9&amp;", "&amp;BR$10&amp;"; ","")</f>
        <v/>
      </c>
      <c r="BT88" s="186">
        <v>69</v>
      </c>
      <c r="BU88" s="40">
        <f>IF(AND($X$9=1,Courses!B82="",Courses!F82="",Courses!H82="",Courses!J82="",Courses!K82="",Courses!L82="",Courses!M82=0,Courses!N82=0,Courses!O82=0,Courses!P82=0,Courses!Q82=0,Courses!R82=0,Courses!S82=0,Courses!T82=0,Courses!U82=0,Courses!V82=0,Courses!W82=0,Courses!X82=0,Courses!Y82=0,Courses!Z82=0,Courses!AA82=0),0,1)</f>
        <v>0</v>
      </c>
      <c r="BV88" s="40">
        <f>IF(AND(BU88=0,SUM(BU89:$BU$219)&gt;0),1,0)</f>
        <v>0</v>
      </c>
      <c r="BW88" s="1595" t="str">
        <f>IF(BV88=1,"Row "&amp;Courses!A82&amp;"; ","")</f>
        <v/>
      </c>
      <c r="BX88" s="17"/>
      <c r="BZ88" s="1592" t="str">
        <f>IF(AND($Y$9=1,Courses!B82&lt;&gt;"",SUM(Courses!M82:AA82)=0),"Row "&amp;Courses!A82&amp;"; ","")</f>
        <v/>
      </c>
      <c r="CA88" s="17"/>
      <c r="CC88" s="1592" t="str">
        <f>IF(AND($Z$9=1,Courses!AD82=1,(LEN(Courses!AB82)&gt;200)),"Row "&amp;Courses!A82&amp;"; ","")</f>
        <v/>
      </c>
      <c r="CE88" s="131"/>
      <c r="CG88" s="1593" t="str">
        <f>IF(AND($AD$9=1,Courses!E82&lt;&gt;"",Courses!F82&lt;&gt;"",Courses!F82=0,SUM(Courses!H82,Courses!J82)=1),"Row "&amp;Courses!A82&amp;", "&amp;Courses!$F$10&amp;"; ","")</f>
        <v/>
      </c>
      <c r="CH88" t="str">
        <f>IF(AND($AD$9=1,Courses!G82&lt;&gt;"",Courses!H82&lt;&gt;"",Courses!H82=0,SUM(Courses!J82,Courses!F82)=1),"Row "&amp;Courses!A82&amp;", "&amp;Courses!$H$10&amp;"; ","")</f>
        <v/>
      </c>
      <c r="CI88" s="183" t="str">
        <f>IF(AND($AD$9=1,Courses!I82&lt;&gt;"",Courses!J82&lt;&gt;"",Courses!J82=0, SUM(Courses!H82,Courses!F82)=1),"Row "&amp;Courses!A82&amp;", "&amp;Courses!$J$10&amp;"; ","")</f>
        <v/>
      </c>
      <c r="CJ88" s="180"/>
      <c r="CK88" s="181"/>
      <c r="CL88" s="1592" t="str">
        <f>IF(AND(Courses!B82&lt;&gt;"",ISNA(VLOOKUP(Courses!C82,CourseInfo,2,FALSE))=FALSE,COUNTIF(Dummy,Courses!C82)&lt;&gt;1),VLOOKUP(Courses!C82,CourseInfo,6,FALSE),"")</f>
        <v/>
      </c>
      <c r="CM88" s="1592" t="str">
        <f>IF(AND($AE$9=1,Courses!B82&lt;&gt;"",'Courses Valid'!AG88="",COUNTIF(Dummy,Courses!C82)&lt;&gt;1),IF(Courses!K82&lt;&gt;'Courses Valid'!CL88,"Row "&amp;Courses!A82&amp;", Level on LARS is "&amp;'Courses Valid'!CL88&amp;"; ",""),"")</f>
        <v/>
      </c>
      <c r="CN88" s="131"/>
    </row>
    <row r="89" spans="3:92" x14ac:dyDescent="0.35">
      <c r="C89" s="1591">
        <f t="shared" si="3"/>
        <v>0</v>
      </c>
      <c r="D89" s="41"/>
      <c r="E89" s="41"/>
      <c r="F89" s="118"/>
      <c r="G89" s="1591" t="str">
        <f>IF(SUMPRODUCT(--(CourseAims=Courses!$C83))=1,"",IF(AND($N$9=1,Courses!$C83&lt;&gt;""),"Row "&amp;Courses!A83&amp;" (invalid); ",""))</f>
        <v/>
      </c>
      <c r="H89" s="1592" t="str">
        <f>IF(AND($O$9=1,Courses!B83="",OR(Courses!F83&lt;&gt;"",Courses!H83&lt;&gt;"",Courses!J83&lt;&gt;"",Courses!K83&lt;&gt;"",Courses!L83&lt;&gt;"",Courses!M83&lt;&gt;0,Courses!N83&lt;&gt;0,Courses!O83&lt;&gt;0,Courses!P83&lt;&gt;0,Courses!Q83&lt;&gt;0,Courses!R83&lt;&gt;0,Courses!S83&lt;&gt;0,Courses!T83&lt;&gt;0,Courses!U83&lt;&gt;0,Courses!V83&lt;&gt;0,Courses!W83&lt;&gt;0,Courses!X83&lt;&gt;0,Courses!Y83&lt;&gt;0,Courses!Z83&lt;&gt;0,Courses!AA83&lt;&gt;0)),"Row "&amp;Courses!A83&amp;" (none); ","")</f>
        <v/>
      </c>
      <c r="I89" s="17"/>
      <c r="K89" s="1592" t="str">
        <f>Courses!B83&amp;Courses!K83&amp;Courses!L83</f>
        <v/>
      </c>
      <c r="L89" s="1592" t="str">
        <f>IF(AND($P$9=1,Courses!$B83&lt;&gt;"",COUNTIF(Dummy,Courses!$C83)&lt;&gt;1),IF(SUMPRODUCT(--($K$20:$K$219=$K89))&gt;1,"Row "&amp;Courses!$A83&amp;"; ",""),"")</f>
        <v/>
      </c>
      <c r="N89" s="118"/>
      <c r="O89" s="1593" t="str">
        <f>IF(AND($Q$9=1,Courses!E83&lt;&gt;"",Courses!F83=""),"Row "&amp;Courses!A83&amp;", "&amp;Courses!$E$10&amp;"; ","")</f>
        <v/>
      </c>
      <c r="P89" t="str">
        <f>IF(AND($Q$9=1,Courses!G83&lt;&gt;"",Courses!H83=""),"Row "&amp;Courses!A83&amp;", "&amp;Courses!$G$10&amp;"; ","")</f>
        <v/>
      </c>
      <c r="Q89" s="183" t="str">
        <f>IF(AND($Q$9=1,Courses!I83&lt;&gt;"",Courses!J83=""),"Row "&amp;Courses!A83&amp;", "&amp;Courses!$I$10&amp;"; ","")</f>
        <v/>
      </c>
      <c r="S89" s="17"/>
      <c r="T89" s="118"/>
      <c r="U89" s="1594" t="str">
        <f>IF(AND($R$9=1,Courses!B83&lt;&gt;"",Courses!E83&lt;&gt;"",Courses!G83="",Courses!I83="",Courses!F83&lt;&gt;1),"Row "&amp;Courses!A83&amp;"; ","")</f>
        <v/>
      </c>
      <c r="V89" t="str">
        <f>IF(AND($R$9=1,Courses!B83&lt;&gt;"",Courses!I83="",Courses!F83&lt;&gt;"",Courses!G83&lt;&gt;"",Courses!H83&lt;&gt;""),IF(OR((Courses!F83+Courses!H83)&lt;&gt;1),"Row "&amp;Courses!A83&amp;"; ",""),"")</f>
        <v/>
      </c>
      <c r="W89" s="183" t="str">
        <f>IF(AND($R$9=1,Courses!B83&lt;&gt;"",Courses!I83&lt;&gt;"",Courses!J83&lt;&gt;"",Courses!H83&lt;&gt;"",Courses!G83&lt;&gt;"",Courses!F83&lt;&gt;""),IF(OR((Courses!F83+Courses!H83+Courses!J83)&lt;&gt;1),"Row "&amp;Courses!A83&amp;"; ",""),"")</f>
        <v/>
      </c>
      <c r="Y89" s="1592" t="str">
        <f>IF(AND($R$9=1,Courses!E83&lt;&gt;"",U89="",V89="",W89="",SUM(Courses!F83,Courses!H83,Courses!J83)&lt;&gt;1),"Row "&amp;Courses!A83&amp;"; ","")</f>
        <v/>
      </c>
      <c r="Z89" s="17"/>
      <c r="AB89" s="1593" t="str">
        <f>IF(AND($S$9=1,Courses!B83&lt;&gt;"",Courses!E83&lt;&gt;"",Courses!F83&lt;&gt;""),IF((TRUNC(Courses!F83*100)&lt;&gt;Courses!F83*100),"Row "&amp;Courses!A83&amp;", "&amp;Courses!$F$10&amp;"; ",""),"")</f>
        <v/>
      </c>
      <c r="AC89" t="str">
        <f>IF(AND($S$9=1,Courses!B83&lt;&gt;"",Courses!G83&lt;&gt;"",Courses!H83&lt;&gt;""),IF((TRUNC(Courses!H83*100)&lt;&gt;Courses!H83*100),"Row "&amp;Courses!A83&amp;", "&amp;Courses!$H$10&amp;"; ",""),"")</f>
        <v/>
      </c>
      <c r="AD89" s="183" t="str">
        <f>IF(AND($S$9=1,Courses!B83&lt;&gt;"",Courses!I83&lt;&gt;"",Courses!J83&lt;&gt;""),IF((TRUNC(Courses!J83*100)&lt;&gt;Courses!J83*100),"Row "&amp;Courses!A83&amp;", "&amp;Courses!$J$10&amp;"; ",""),"")</f>
        <v/>
      </c>
      <c r="AF89" s="118"/>
      <c r="AG89" s="1592" t="str">
        <f>IF(AND($T$9=1,G89="",Courses!B83&lt;&gt;"",Courses!K83&lt;&gt;$B$9,Courses!K83&lt;&gt;$B$10,Courses!K83&lt;&gt;$B$11,Courses!K83&lt;&gt;$B$12,Courses!K83&lt;&gt;$B$13,Courses!K83&lt;&gt;$B$14),"Row "&amp;Courses!A83&amp;"; ","")</f>
        <v/>
      </c>
      <c r="AH89" s="1592" t="str">
        <f>IF(AND($U$9=1,G89="",Courses!B83&lt;&gt;"",Courses!L83&lt;&gt;"Standard",Courses!L83&lt;&gt;"Long"),"Row "&amp;Courses!A83&amp;"; ","")</f>
        <v/>
      </c>
      <c r="AJ89" s="118"/>
      <c r="AK89" s="3">
        <v>70</v>
      </c>
      <c r="AL89" s="1593" t="str">
        <f>IF(AND($V$9=1,(TRUNC(Courses!M83)&lt;&gt;Courses!M83)), "Row "&amp;Courses!$A83&amp;", "&amp;AL$9&amp;", "&amp;AL$10&amp;", "&amp;AL$11&amp;"; ","")</f>
        <v/>
      </c>
      <c r="AM89" t="str">
        <f>IF(AND($V$9=1,(TRUNC(Courses!N83)&lt;&gt;Courses!N83)), "Row "&amp;Courses!$A83&amp;", "&amp;AM$9&amp;", "&amp;AM$10&amp;", "&amp;AM$11&amp;"; ","")</f>
        <v/>
      </c>
      <c r="AN89" t="str">
        <f>IF(AND($V$9=1,(TRUNC(Courses!O83)&lt;&gt;Courses!O83)), "Row "&amp;Courses!$A83&amp;", "&amp;AN$9&amp;", "&amp;AN$10&amp;", "&amp;AN$11&amp;"; ","")</f>
        <v/>
      </c>
      <c r="AO89" t="str">
        <f>IF(AND($V$9=1,(TRUNC(Courses!P83)&lt;&gt;Courses!P83)), "Row "&amp;Courses!$A83&amp;", "&amp;AO$9&amp;", "&amp;AO$10&amp;", "&amp;AO$11&amp;"; ","")</f>
        <v/>
      </c>
      <c r="AP89" s="2120" t="str">
        <f>IF(AND($V$9=1,(TRUNC(Courses!Q83)&lt;&gt;Courses!Q83)), "Row "&amp;Courses!$A83&amp;", "&amp;AP$9&amp;", "&amp;AP$10&amp;"; ","")</f>
        <v/>
      </c>
      <c r="AQ89" s="1593" t="str">
        <f>IF(AND($V$9=1,(TRUNC(Courses!R83)&lt;&gt;Courses!R83)), "Row "&amp;Courses!$A83&amp;", "&amp;AQ$9&amp;", "&amp;AQ$10&amp;", "&amp;AQ$11&amp;"; ","")</f>
        <v/>
      </c>
      <c r="AR89" t="str">
        <f>IF(AND($V$9=1,(TRUNC(Courses!S83)&lt;&gt;Courses!S83)), "Row "&amp;Courses!$A83&amp;", "&amp;AR$9&amp;", "&amp;AR$10&amp;", "&amp;AR$11&amp;"; ","")</f>
        <v/>
      </c>
      <c r="AS89" t="str">
        <f>IF(AND($V$9=1,(TRUNC(Courses!T83)&lt;&gt;Courses!T83)), "Row "&amp;Courses!$A83&amp;", "&amp;AS$9&amp;", "&amp;AS$10&amp;", "&amp;AS$11&amp;"; ","")</f>
        <v/>
      </c>
      <c r="AT89" t="str">
        <f>IF(AND($V$9=1,(TRUNC(Courses!U83)&lt;&gt;Courses!U83)), "Row "&amp;Courses!$A83&amp;", "&amp;AT$9&amp;", "&amp;AT$10&amp;", "&amp;AT$11&amp;"; ","")</f>
        <v/>
      </c>
      <c r="AU89" s="2120" t="str">
        <f>IF(AND($V$9=1,(TRUNC(Courses!V83)&lt;&gt;Courses!V83)), "Row "&amp;Courses!$A83&amp;", "&amp;AU$9&amp;", "&amp;AU$10&amp;"; ","")</f>
        <v/>
      </c>
      <c r="AV89" s="1593" t="str">
        <f>IF(AND($V$9=1,(TRUNC(Courses!W83)&lt;&gt;Courses!W83)), "Row "&amp;Courses!$A83&amp;", "&amp;AV$9&amp;", "&amp;AV$10&amp;", "&amp;AV$11&amp;"; ","")</f>
        <v/>
      </c>
      <c r="AW89" t="str">
        <f>IF(AND($V$9=1,(TRUNC(Courses!X83)&lt;&gt;Courses!X83)), "Row "&amp;Courses!$A83&amp;", "&amp;AW$9&amp;", "&amp;AW$10&amp;", "&amp;AW$11&amp;"; ","")</f>
        <v/>
      </c>
      <c r="AX89" t="str">
        <f>IF(AND($V$9=1,(TRUNC(Courses!Y83)&lt;&gt;Courses!Y83)), "Row "&amp;Courses!$A83&amp;", "&amp;AX$9&amp;", "&amp;AX$10&amp;", "&amp;AX$11&amp;"; ","")</f>
        <v/>
      </c>
      <c r="AY89" t="str">
        <f>IF(AND($V$9=1,(TRUNC(Courses!Z83)&lt;&gt;Courses!Z83)), "Row "&amp;Courses!$A83&amp;", "&amp;AY$9&amp;", "&amp;AY$10&amp;", "&amp;AY$11&amp;"; ","")</f>
        <v/>
      </c>
      <c r="AZ89" s="2120" t="str">
        <f>IF(AND($V$9=1,(TRUNC(Courses!AA83)&lt;&gt;Courses!AA83)), "Row "&amp;Courses!$A83&amp;", "&amp;AZ$9&amp;", "&amp;AZ$10&amp;"; ","")</f>
        <v/>
      </c>
      <c r="BA89" s="17"/>
      <c r="BB89" s="118"/>
      <c r="BC89" s="3">
        <v>70</v>
      </c>
      <c r="BD89" s="1593" t="str">
        <f>IF(AND($W$9=1,Courses!M83&lt;0), "Row "&amp;Courses!$A83&amp;", "&amp;BD$9&amp;", "&amp;BD$10&amp;", "&amp;BD$11&amp;"; ","")</f>
        <v/>
      </c>
      <c r="BE89" t="str">
        <f>IF(AND($W$9=1,Courses!N83&lt;0), "Row "&amp;Courses!$A83&amp;", "&amp;BE$9&amp;", "&amp;BE$10&amp;", "&amp;BE$11&amp;"; ","")</f>
        <v/>
      </c>
      <c r="BF89" t="str">
        <f>IF(AND($W$9=1,Courses!O83&lt;0), "Row "&amp;Courses!$A83&amp;", "&amp;BF$9&amp;", "&amp;BF$10&amp;", "&amp;BF$11&amp;"; ","")</f>
        <v/>
      </c>
      <c r="BG89" t="str">
        <f>IF(AND($W$9=1,Courses!P83&lt;0), "Row "&amp;Courses!$A83&amp;", "&amp;BG$9&amp;", "&amp;BG$10&amp;", "&amp;BG$11&amp;"; ","")</f>
        <v/>
      </c>
      <c r="BH89" s="2120" t="str">
        <f>IF(AND($W$9=1,Courses!Q83&lt;0), "Row "&amp;Courses!$A83&amp;", "&amp;BH$9&amp;", "&amp;BH$10&amp;"; ","")</f>
        <v/>
      </c>
      <c r="BI89" s="1593" t="str">
        <f>IF(AND($W$9=1,Courses!R83&lt;0), "Row "&amp;Courses!$A83&amp;", "&amp;BI$9&amp;", "&amp;BI$10&amp;", "&amp;BI$11&amp;"; ","")</f>
        <v/>
      </c>
      <c r="BJ89" t="str">
        <f>IF(AND($W$9=1,Courses!S83&lt;0), "Row "&amp;Courses!$A83&amp;", "&amp;BJ$9&amp;", "&amp;BJ$10&amp;", "&amp;BJ$11&amp;"; ","")</f>
        <v/>
      </c>
      <c r="BK89" t="str">
        <f>IF(AND($W$9=1,Courses!T83&lt;0), "Row "&amp;Courses!$A83&amp;", "&amp;BK$9&amp;", "&amp;BK$10&amp;", "&amp;BK$11&amp;"; ","")</f>
        <v/>
      </c>
      <c r="BL89" t="str">
        <f>IF(AND($W$9=1,Courses!U83&lt;0), "Row "&amp;Courses!$A83&amp;", "&amp;BL$9&amp;", "&amp;BL$10&amp;", "&amp;BL$11&amp;"; ","")</f>
        <v/>
      </c>
      <c r="BM89" s="2120" t="str">
        <f>IF(AND($W$9=1,Courses!V83&lt;0), "Row "&amp;Courses!$A83&amp;", "&amp;BM$9&amp;", "&amp;BM$10&amp;"; ","")</f>
        <v/>
      </c>
      <c r="BN89" s="1593" t="str">
        <f>IF(AND($W$9=1,Courses!W83&lt;0), "Row "&amp;Courses!$A83&amp;", "&amp;BN$9&amp;", "&amp;BN$10&amp;", "&amp;BN$11&amp;"; ","")</f>
        <v/>
      </c>
      <c r="BO89" t="str">
        <f>IF(AND($W$9=1,Courses!X83&lt;0), "Row "&amp;Courses!$A83&amp;", "&amp;BO$9&amp;", "&amp;BO$10&amp;", "&amp;BO$11&amp;"; ","")</f>
        <v/>
      </c>
      <c r="BP89" t="str">
        <f>IF(AND($W$9=1,Courses!Y83&lt;0), "Row "&amp;Courses!$A83&amp;", "&amp;BP$9&amp;", "&amp;BP$10&amp;", "&amp;BP$11&amp;"; ","")</f>
        <v/>
      </c>
      <c r="BQ89" t="str">
        <f>IF(AND($W$9=1,Courses!Z83&lt;0), "Row "&amp;Courses!$A83&amp;", "&amp;BQ$9&amp;", "&amp;BQ$10&amp;", "&amp;BQ$11&amp;"; ","")</f>
        <v/>
      </c>
      <c r="BR89" s="2120" t="str">
        <f>IF(AND($W$9=1,Courses!AA83&lt;0), "Row "&amp;Courses!$A83&amp;", "&amp;BR$9&amp;", "&amp;BR$10&amp;"; ","")</f>
        <v/>
      </c>
      <c r="BT89" s="186">
        <v>70</v>
      </c>
      <c r="BU89" s="40">
        <f>IF(AND($X$9=1,Courses!B83="",Courses!F83="",Courses!H83="",Courses!J83="",Courses!K83="",Courses!L83="",Courses!M83=0,Courses!N83=0,Courses!O83=0,Courses!P83=0,Courses!Q83=0,Courses!R83=0,Courses!S83=0,Courses!T83=0,Courses!U83=0,Courses!V83=0,Courses!W83=0,Courses!X83=0,Courses!Y83=0,Courses!Z83=0,Courses!AA83=0),0,1)</f>
        <v>0</v>
      </c>
      <c r="BV89" s="40">
        <f>IF(AND(BU89=0,SUM(BU90:$BU$219)&gt;0),1,0)</f>
        <v>0</v>
      </c>
      <c r="BW89" s="1595" t="str">
        <f>IF(BV89=1,"Row "&amp;Courses!A83&amp;"; ","")</f>
        <v/>
      </c>
      <c r="BX89" s="17"/>
      <c r="BZ89" s="1592" t="str">
        <f>IF(AND($Y$9=1,Courses!B83&lt;&gt;"",SUM(Courses!M83:AA83)=0),"Row "&amp;Courses!A83&amp;"; ","")</f>
        <v/>
      </c>
      <c r="CA89" s="17"/>
      <c r="CC89" s="1592" t="str">
        <f>IF(AND($Z$9=1,Courses!AD83=1,(LEN(Courses!AB83)&gt;200)),"Row "&amp;Courses!A83&amp;"; ","")</f>
        <v/>
      </c>
      <c r="CE89" s="131"/>
      <c r="CG89" s="1593" t="str">
        <f>IF(AND($AD$9=1,Courses!E83&lt;&gt;"",Courses!F83&lt;&gt;"",Courses!F83=0,SUM(Courses!H83,Courses!J83)=1),"Row "&amp;Courses!A83&amp;", "&amp;Courses!$F$10&amp;"; ","")</f>
        <v/>
      </c>
      <c r="CH89" t="str">
        <f>IF(AND($AD$9=1,Courses!G83&lt;&gt;"",Courses!H83&lt;&gt;"",Courses!H83=0,SUM(Courses!J83,Courses!F83)=1),"Row "&amp;Courses!A83&amp;", "&amp;Courses!$H$10&amp;"; ","")</f>
        <v/>
      </c>
      <c r="CI89" s="183" t="str">
        <f>IF(AND($AD$9=1,Courses!I83&lt;&gt;"",Courses!J83&lt;&gt;"",Courses!J83=0, SUM(Courses!H83,Courses!F83)=1),"Row "&amp;Courses!A83&amp;", "&amp;Courses!$J$10&amp;"; ","")</f>
        <v/>
      </c>
      <c r="CJ89" s="180"/>
      <c r="CK89" s="181"/>
      <c r="CL89" s="1592" t="str">
        <f>IF(AND(Courses!B83&lt;&gt;"",ISNA(VLOOKUP(Courses!C83,CourseInfo,2,FALSE))=FALSE,COUNTIF(Dummy,Courses!C83)&lt;&gt;1),VLOOKUP(Courses!C83,CourseInfo,6,FALSE),"")</f>
        <v/>
      </c>
      <c r="CM89" s="1592" t="str">
        <f>IF(AND($AE$9=1,Courses!B83&lt;&gt;"",'Courses Valid'!AG89="",COUNTIF(Dummy,Courses!C83)&lt;&gt;1),IF(Courses!K83&lt;&gt;'Courses Valid'!CL89,"Row "&amp;Courses!A83&amp;", Level on LARS is "&amp;'Courses Valid'!CL89&amp;"; ",""),"")</f>
        <v/>
      </c>
      <c r="CN89" s="131"/>
    </row>
    <row r="90" spans="3:92" x14ac:dyDescent="0.35">
      <c r="C90" s="1591">
        <f t="shared" si="3"/>
        <v>0</v>
      </c>
      <c r="D90" s="41"/>
      <c r="E90" s="41"/>
      <c r="F90" s="118"/>
      <c r="G90" s="1591" t="str">
        <f>IF(SUMPRODUCT(--(CourseAims=Courses!$C84))=1,"",IF(AND($N$9=1,Courses!$C84&lt;&gt;""),"Row "&amp;Courses!A84&amp;" (invalid); ",""))</f>
        <v/>
      </c>
      <c r="H90" s="1592" t="str">
        <f>IF(AND($O$9=1,Courses!B84="",OR(Courses!F84&lt;&gt;"",Courses!H84&lt;&gt;"",Courses!J84&lt;&gt;"",Courses!K84&lt;&gt;"",Courses!L84&lt;&gt;"",Courses!M84&lt;&gt;0,Courses!N84&lt;&gt;0,Courses!O84&lt;&gt;0,Courses!P84&lt;&gt;0,Courses!Q84&lt;&gt;0,Courses!R84&lt;&gt;0,Courses!S84&lt;&gt;0,Courses!T84&lt;&gt;0,Courses!U84&lt;&gt;0,Courses!V84&lt;&gt;0,Courses!W84&lt;&gt;0,Courses!X84&lt;&gt;0,Courses!Y84&lt;&gt;0,Courses!Z84&lt;&gt;0,Courses!AA84&lt;&gt;0)),"Row "&amp;Courses!A84&amp;" (none); ","")</f>
        <v/>
      </c>
      <c r="I90" s="17"/>
      <c r="K90" s="1592" t="str">
        <f>Courses!B84&amp;Courses!K84&amp;Courses!L84</f>
        <v/>
      </c>
      <c r="L90" s="1592" t="str">
        <f>IF(AND($P$9=1,Courses!$B84&lt;&gt;"",COUNTIF(Dummy,Courses!$C84)&lt;&gt;1),IF(SUMPRODUCT(--($K$20:$K$219=$K90))&gt;1,"Row "&amp;Courses!$A84&amp;"; ",""),"")</f>
        <v/>
      </c>
      <c r="N90" s="118"/>
      <c r="O90" s="1593" t="str">
        <f>IF(AND($Q$9=1,Courses!E84&lt;&gt;"",Courses!F84=""),"Row "&amp;Courses!A84&amp;", "&amp;Courses!$E$10&amp;"; ","")</f>
        <v/>
      </c>
      <c r="P90" t="str">
        <f>IF(AND($Q$9=1,Courses!G84&lt;&gt;"",Courses!H84=""),"Row "&amp;Courses!A84&amp;", "&amp;Courses!$G$10&amp;"; ","")</f>
        <v/>
      </c>
      <c r="Q90" s="183" t="str">
        <f>IF(AND($Q$9=1,Courses!I84&lt;&gt;"",Courses!J84=""),"Row "&amp;Courses!A84&amp;", "&amp;Courses!$I$10&amp;"; ","")</f>
        <v/>
      </c>
      <c r="S90" s="17"/>
      <c r="T90" s="118"/>
      <c r="U90" s="1594" t="str">
        <f>IF(AND($R$9=1,Courses!B84&lt;&gt;"",Courses!E84&lt;&gt;"",Courses!G84="",Courses!I84="",Courses!F84&lt;&gt;1),"Row "&amp;Courses!A84&amp;"; ","")</f>
        <v/>
      </c>
      <c r="V90" t="str">
        <f>IF(AND($R$9=1,Courses!B84&lt;&gt;"",Courses!I84="",Courses!F84&lt;&gt;"",Courses!G84&lt;&gt;"",Courses!H84&lt;&gt;""),IF(OR((Courses!F84+Courses!H84)&lt;&gt;1),"Row "&amp;Courses!A84&amp;"; ",""),"")</f>
        <v/>
      </c>
      <c r="W90" s="183" t="str">
        <f>IF(AND($R$9=1,Courses!B84&lt;&gt;"",Courses!I84&lt;&gt;"",Courses!J84&lt;&gt;"",Courses!H84&lt;&gt;"",Courses!G84&lt;&gt;"",Courses!F84&lt;&gt;""),IF(OR((Courses!F84+Courses!H84+Courses!J84)&lt;&gt;1),"Row "&amp;Courses!A84&amp;"; ",""),"")</f>
        <v/>
      </c>
      <c r="Y90" s="1592" t="str">
        <f>IF(AND($R$9=1,Courses!E84&lt;&gt;"",U90="",V90="",W90="",SUM(Courses!F84,Courses!H84,Courses!J84)&lt;&gt;1),"Row "&amp;Courses!A84&amp;"; ","")</f>
        <v/>
      </c>
      <c r="Z90" s="17"/>
      <c r="AB90" s="1593" t="str">
        <f>IF(AND($S$9=1,Courses!B84&lt;&gt;"",Courses!E84&lt;&gt;"",Courses!F84&lt;&gt;""),IF((TRUNC(Courses!F84*100)&lt;&gt;Courses!F84*100),"Row "&amp;Courses!A84&amp;", "&amp;Courses!$F$10&amp;"; ",""),"")</f>
        <v/>
      </c>
      <c r="AC90" t="str">
        <f>IF(AND($S$9=1,Courses!B84&lt;&gt;"",Courses!G84&lt;&gt;"",Courses!H84&lt;&gt;""),IF((TRUNC(Courses!H84*100)&lt;&gt;Courses!H84*100),"Row "&amp;Courses!A84&amp;", "&amp;Courses!$H$10&amp;"; ",""),"")</f>
        <v/>
      </c>
      <c r="AD90" s="183" t="str">
        <f>IF(AND($S$9=1,Courses!B84&lt;&gt;"",Courses!I84&lt;&gt;"",Courses!J84&lt;&gt;""),IF((TRUNC(Courses!J84*100)&lt;&gt;Courses!J84*100),"Row "&amp;Courses!A84&amp;", "&amp;Courses!$J$10&amp;"; ",""),"")</f>
        <v/>
      </c>
      <c r="AF90" s="118"/>
      <c r="AG90" s="1592" t="str">
        <f>IF(AND($T$9=1,G90="",Courses!B84&lt;&gt;"",Courses!K84&lt;&gt;$B$9,Courses!K84&lt;&gt;$B$10,Courses!K84&lt;&gt;$B$11,Courses!K84&lt;&gt;$B$12,Courses!K84&lt;&gt;$B$13,Courses!K84&lt;&gt;$B$14),"Row "&amp;Courses!A84&amp;"; ","")</f>
        <v/>
      </c>
      <c r="AH90" s="1592" t="str">
        <f>IF(AND($U$9=1,G90="",Courses!B84&lt;&gt;"",Courses!L84&lt;&gt;"Standard",Courses!L84&lt;&gt;"Long"),"Row "&amp;Courses!A84&amp;"; ","")</f>
        <v/>
      </c>
      <c r="AJ90" s="118"/>
      <c r="AK90" s="3">
        <v>71</v>
      </c>
      <c r="AL90" s="1593" t="str">
        <f>IF(AND($V$9=1,(TRUNC(Courses!M84)&lt;&gt;Courses!M84)), "Row "&amp;Courses!$A84&amp;", "&amp;AL$9&amp;", "&amp;AL$10&amp;", "&amp;AL$11&amp;"; ","")</f>
        <v/>
      </c>
      <c r="AM90" t="str">
        <f>IF(AND($V$9=1,(TRUNC(Courses!N84)&lt;&gt;Courses!N84)), "Row "&amp;Courses!$A84&amp;", "&amp;AM$9&amp;", "&amp;AM$10&amp;", "&amp;AM$11&amp;"; ","")</f>
        <v/>
      </c>
      <c r="AN90" t="str">
        <f>IF(AND($V$9=1,(TRUNC(Courses!O84)&lt;&gt;Courses!O84)), "Row "&amp;Courses!$A84&amp;", "&amp;AN$9&amp;", "&amp;AN$10&amp;", "&amp;AN$11&amp;"; ","")</f>
        <v/>
      </c>
      <c r="AO90" t="str">
        <f>IF(AND($V$9=1,(TRUNC(Courses!P84)&lt;&gt;Courses!P84)), "Row "&amp;Courses!$A84&amp;", "&amp;AO$9&amp;", "&amp;AO$10&amp;", "&amp;AO$11&amp;"; ","")</f>
        <v/>
      </c>
      <c r="AP90" s="2120" t="str">
        <f>IF(AND($V$9=1,(TRUNC(Courses!Q84)&lt;&gt;Courses!Q84)), "Row "&amp;Courses!$A84&amp;", "&amp;AP$9&amp;", "&amp;AP$10&amp;"; ","")</f>
        <v/>
      </c>
      <c r="AQ90" s="1593" t="str">
        <f>IF(AND($V$9=1,(TRUNC(Courses!R84)&lt;&gt;Courses!R84)), "Row "&amp;Courses!$A84&amp;", "&amp;AQ$9&amp;", "&amp;AQ$10&amp;", "&amp;AQ$11&amp;"; ","")</f>
        <v/>
      </c>
      <c r="AR90" t="str">
        <f>IF(AND($V$9=1,(TRUNC(Courses!S84)&lt;&gt;Courses!S84)), "Row "&amp;Courses!$A84&amp;", "&amp;AR$9&amp;", "&amp;AR$10&amp;", "&amp;AR$11&amp;"; ","")</f>
        <v/>
      </c>
      <c r="AS90" t="str">
        <f>IF(AND($V$9=1,(TRUNC(Courses!T84)&lt;&gt;Courses!T84)), "Row "&amp;Courses!$A84&amp;", "&amp;AS$9&amp;", "&amp;AS$10&amp;", "&amp;AS$11&amp;"; ","")</f>
        <v/>
      </c>
      <c r="AT90" t="str">
        <f>IF(AND($V$9=1,(TRUNC(Courses!U84)&lt;&gt;Courses!U84)), "Row "&amp;Courses!$A84&amp;", "&amp;AT$9&amp;", "&amp;AT$10&amp;", "&amp;AT$11&amp;"; ","")</f>
        <v/>
      </c>
      <c r="AU90" s="2120" t="str">
        <f>IF(AND($V$9=1,(TRUNC(Courses!V84)&lt;&gt;Courses!V84)), "Row "&amp;Courses!$A84&amp;", "&amp;AU$9&amp;", "&amp;AU$10&amp;"; ","")</f>
        <v/>
      </c>
      <c r="AV90" s="1593" t="str">
        <f>IF(AND($V$9=1,(TRUNC(Courses!W84)&lt;&gt;Courses!W84)), "Row "&amp;Courses!$A84&amp;", "&amp;AV$9&amp;", "&amp;AV$10&amp;", "&amp;AV$11&amp;"; ","")</f>
        <v/>
      </c>
      <c r="AW90" t="str">
        <f>IF(AND($V$9=1,(TRUNC(Courses!X84)&lt;&gt;Courses!X84)), "Row "&amp;Courses!$A84&amp;", "&amp;AW$9&amp;", "&amp;AW$10&amp;", "&amp;AW$11&amp;"; ","")</f>
        <v/>
      </c>
      <c r="AX90" t="str">
        <f>IF(AND($V$9=1,(TRUNC(Courses!Y84)&lt;&gt;Courses!Y84)), "Row "&amp;Courses!$A84&amp;", "&amp;AX$9&amp;", "&amp;AX$10&amp;", "&amp;AX$11&amp;"; ","")</f>
        <v/>
      </c>
      <c r="AY90" t="str">
        <f>IF(AND($V$9=1,(TRUNC(Courses!Z84)&lt;&gt;Courses!Z84)), "Row "&amp;Courses!$A84&amp;", "&amp;AY$9&amp;", "&amp;AY$10&amp;", "&amp;AY$11&amp;"; ","")</f>
        <v/>
      </c>
      <c r="AZ90" s="2120" t="str">
        <f>IF(AND($V$9=1,(TRUNC(Courses!AA84)&lt;&gt;Courses!AA84)), "Row "&amp;Courses!$A84&amp;", "&amp;AZ$9&amp;", "&amp;AZ$10&amp;"; ","")</f>
        <v/>
      </c>
      <c r="BA90" s="17"/>
      <c r="BB90" s="118"/>
      <c r="BC90" s="3">
        <v>71</v>
      </c>
      <c r="BD90" s="1593" t="str">
        <f>IF(AND($W$9=1,Courses!M84&lt;0), "Row "&amp;Courses!$A84&amp;", "&amp;BD$9&amp;", "&amp;BD$10&amp;", "&amp;BD$11&amp;"; ","")</f>
        <v/>
      </c>
      <c r="BE90" t="str">
        <f>IF(AND($W$9=1,Courses!N84&lt;0), "Row "&amp;Courses!$A84&amp;", "&amp;BE$9&amp;", "&amp;BE$10&amp;", "&amp;BE$11&amp;"; ","")</f>
        <v/>
      </c>
      <c r="BF90" t="str">
        <f>IF(AND($W$9=1,Courses!O84&lt;0), "Row "&amp;Courses!$A84&amp;", "&amp;BF$9&amp;", "&amp;BF$10&amp;", "&amp;BF$11&amp;"; ","")</f>
        <v/>
      </c>
      <c r="BG90" t="str">
        <f>IF(AND($W$9=1,Courses!P84&lt;0), "Row "&amp;Courses!$A84&amp;", "&amp;BG$9&amp;", "&amp;BG$10&amp;", "&amp;BG$11&amp;"; ","")</f>
        <v/>
      </c>
      <c r="BH90" s="2120" t="str">
        <f>IF(AND($W$9=1,Courses!Q84&lt;0), "Row "&amp;Courses!$A84&amp;", "&amp;BH$9&amp;", "&amp;BH$10&amp;"; ","")</f>
        <v/>
      </c>
      <c r="BI90" s="1593" t="str">
        <f>IF(AND($W$9=1,Courses!R84&lt;0), "Row "&amp;Courses!$A84&amp;", "&amp;BI$9&amp;", "&amp;BI$10&amp;", "&amp;BI$11&amp;"; ","")</f>
        <v/>
      </c>
      <c r="BJ90" t="str">
        <f>IF(AND($W$9=1,Courses!S84&lt;0), "Row "&amp;Courses!$A84&amp;", "&amp;BJ$9&amp;", "&amp;BJ$10&amp;", "&amp;BJ$11&amp;"; ","")</f>
        <v/>
      </c>
      <c r="BK90" t="str">
        <f>IF(AND($W$9=1,Courses!T84&lt;0), "Row "&amp;Courses!$A84&amp;", "&amp;BK$9&amp;", "&amp;BK$10&amp;", "&amp;BK$11&amp;"; ","")</f>
        <v/>
      </c>
      <c r="BL90" t="str">
        <f>IF(AND($W$9=1,Courses!U84&lt;0), "Row "&amp;Courses!$A84&amp;", "&amp;BL$9&amp;", "&amp;BL$10&amp;", "&amp;BL$11&amp;"; ","")</f>
        <v/>
      </c>
      <c r="BM90" s="2120" t="str">
        <f>IF(AND($W$9=1,Courses!V84&lt;0), "Row "&amp;Courses!$A84&amp;", "&amp;BM$9&amp;", "&amp;BM$10&amp;"; ","")</f>
        <v/>
      </c>
      <c r="BN90" s="1593" t="str">
        <f>IF(AND($W$9=1,Courses!W84&lt;0), "Row "&amp;Courses!$A84&amp;", "&amp;BN$9&amp;", "&amp;BN$10&amp;", "&amp;BN$11&amp;"; ","")</f>
        <v/>
      </c>
      <c r="BO90" t="str">
        <f>IF(AND($W$9=1,Courses!X84&lt;0), "Row "&amp;Courses!$A84&amp;", "&amp;BO$9&amp;", "&amp;BO$10&amp;", "&amp;BO$11&amp;"; ","")</f>
        <v/>
      </c>
      <c r="BP90" t="str">
        <f>IF(AND($W$9=1,Courses!Y84&lt;0), "Row "&amp;Courses!$A84&amp;", "&amp;BP$9&amp;", "&amp;BP$10&amp;", "&amp;BP$11&amp;"; ","")</f>
        <v/>
      </c>
      <c r="BQ90" t="str">
        <f>IF(AND($W$9=1,Courses!Z84&lt;0), "Row "&amp;Courses!$A84&amp;", "&amp;BQ$9&amp;", "&amp;BQ$10&amp;", "&amp;BQ$11&amp;"; ","")</f>
        <v/>
      </c>
      <c r="BR90" s="2120" t="str">
        <f>IF(AND($W$9=1,Courses!AA84&lt;0), "Row "&amp;Courses!$A84&amp;", "&amp;BR$9&amp;", "&amp;BR$10&amp;"; ","")</f>
        <v/>
      </c>
      <c r="BT90" s="186">
        <v>71</v>
      </c>
      <c r="BU90" s="40">
        <f>IF(AND($X$9=1,Courses!B84="",Courses!F84="",Courses!H84="",Courses!J84="",Courses!K84="",Courses!L84="",Courses!M84=0,Courses!N84=0,Courses!O84=0,Courses!P84=0,Courses!Q84=0,Courses!R84=0,Courses!S84=0,Courses!T84=0,Courses!U84=0,Courses!V84=0,Courses!W84=0,Courses!X84=0,Courses!Y84=0,Courses!Z84=0,Courses!AA84=0),0,1)</f>
        <v>0</v>
      </c>
      <c r="BV90" s="40">
        <f>IF(AND(BU90=0,SUM(BU91:$BU$219)&gt;0),1,0)</f>
        <v>0</v>
      </c>
      <c r="BW90" s="1595" t="str">
        <f>IF(BV90=1,"Row "&amp;Courses!A84&amp;"; ","")</f>
        <v/>
      </c>
      <c r="BX90" s="17"/>
      <c r="BZ90" s="1592" t="str">
        <f>IF(AND($Y$9=1,Courses!B84&lt;&gt;"",SUM(Courses!M84:AA84)=0),"Row "&amp;Courses!A84&amp;"; ","")</f>
        <v/>
      </c>
      <c r="CA90" s="17"/>
      <c r="CC90" s="1592" t="str">
        <f>IF(AND($Z$9=1,Courses!AD84=1,(LEN(Courses!AB84)&gt;200)),"Row "&amp;Courses!A84&amp;"; ","")</f>
        <v/>
      </c>
      <c r="CE90" s="131"/>
      <c r="CG90" s="1593" t="str">
        <f>IF(AND($AD$9=1,Courses!E84&lt;&gt;"",Courses!F84&lt;&gt;"",Courses!F84=0,SUM(Courses!H84,Courses!J84)=1),"Row "&amp;Courses!A84&amp;", "&amp;Courses!$F$10&amp;"; ","")</f>
        <v/>
      </c>
      <c r="CH90" t="str">
        <f>IF(AND($AD$9=1,Courses!G84&lt;&gt;"",Courses!H84&lt;&gt;"",Courses!H84=0,SUM(Courses!J84,Courses!F84)=1),"Row "&amp;Courses!A84&amp;", "&amp;Courses!$H$10&amp;"; ","")</f>
        <v/>
      </c>
      <c r="CI90" s="183" t="str">
        <f>IF(AND($AD$9=1,Courses!I84&lt;&gt;"",Courses!J84&lt;&gt;"",Courses!J84=0, SUM(Courses!H84,Courses!F84)=1),"Row "&amp;Courses!A84&amp;", "&amp;Courses!$J$10&amp;"; ","")</f>
        <v/>
      </c>
      <c r="CJ90" s="180"/>
      <c r="CK90" s="181"/>
      <c r="CL90" s="1592" t="str">
        <f>IF(AND(Courses!B84&lt;&gt;"",ISNA(VLOOKUP(Courses!C84,CourseInfo,2,FALSE))=FALSE,COUNTIF(Dummy,Courses!C84)&lt;&gt;1),VLOOKUP(Courses!C84,CourseInfo,6,FALSE),"")</f>
        <v/>
      </c>
      <c r="CM90" s="1592" t="str">
        <f>IF(AND($AE$9=1,Courses!B84&lt;&gt;"",'Courses Valid'!AG90="",COUNTIF(Dummy,Courses!C84)&lt;&gt;1),IF(Courses!K84&lt;&gt;'Courses Valid'!CL90,"Row "&amp;Courses!A84&amp;", Level on LARS is "&amp;'Courses Valid'!CL90&amp;"; ",""),"")</f>
        <v/>
      </c>
      <c r="CN90" s="131"/>
    </row>
    <row r="91" spans="3:92" x14ac:dyDescent="0.35">
      <c r="C91" s="1591">
        <f t="shared" si="3"/>
        <v>0</v>
      </c>
      <c r="D91" s="41"/>
      <c r="E91" s="41"/>
      <c r="F91" s="118"/>
      <c r="G91" s="1591" t="str">
        <f>IF(SUMPRODUCT(--(CourseAims=Courses!$C85))=1,"",IF(AND($N$9=1,Courses!$C85&lt;&gt;""),"Row "&amp;Courses!A85&amp;" (invalid); ",""))</f>
        <v/>
      </c>
      <c r="H91" s="1592" t="str">
        <f>IF(AND($O$9=1,Courses!B85="",OR(Courses!F85&lt;&gt;"",Courses!H85&lt;&gt;"",Courses!J85&lt;&gt;"",Courses!K85&lt;&gt;"",Courses!L85&lt;&gt;"",Courses!M85&lt;&gt;0,Courses!N85&lt;&gt;0,Courses!O85&lt;&gt;0,Courses!P85&lt;&gt;0,Courses!Q85&lt;&gt;0,Courses!R85&lt;&gt;0,Courses!S85&lt;&gt;0,Courses!T85&lt;&gt;0,Courses!U85&lt;&gt;0,Courses!V85&lt;&gt;0,Courses!W85&lt;&gt;0,Courses!X85&lt;&gt;0,Courses!Y85&lt;&gt;0,Courses!Z85&lt;&gt;0,Courses!AA85&lt;&gt;0)),"Row "&amp;Courses!A85&amp;" (none); ","")</f>
        <v/>
      </c>
      <c r="I91" s="17"/>
      <c r="K91" s="1592" t="str">
        <f>Courses!B85&amp;Courses!K85&amp;Courses!L85</f>
        <v/>
      </c>
      <c r="L91" s="1592" t="str">
        <f>IF(AND($P$9=1,Courses!$B85&lt;&gt;"",COUNTIF(Dummy,Courses!$C85)&lt;&gt;1),IF(SUMPRODUCT(--($K$20:$K$219=$K91))&gt;1,"Row "&amp;Courses!$A85&amp;"; ",""),"")</f>
        <v/>
      </c>
      <c r="N91" s="118"/>
      <c r="O91" s="1593" t="str">
        <f>IF(AND($Q$9=1,Courses!E85&lt;&gt;"",Courses!F85=""),"Row "&amp;Courses!A85&amp;", "&amp;Courses!$E$10&amp;"; ","")</f>
        <v/>
      </c>
      <c r="P91" t="str">
        <f>IF(AND($Q$9=1,Courses!G85&lt;&gt;"",Courses!H85=""),"Row "&amp;Courses!A85&amp;", "&amp;Courses!$G$10&amp;"; ","")</f>
        <v/>
      </c>
      <c r="Q91" s="183" t="str">
        <f>IF(AND($Q$9=1,Courses!I85&lt;&gt;"",Courses!J85=""),"Row "&amp;Courses!A85&amp;", "&amp;Courses!$I$10&amp;"; ","")</f>
        <v/>
      </c>
      <c r="S91" s="17"/>
      <c r="T91" s="118"/>
      <c r="U91" s="1594" t="str">
        <f>IF(AND($R$9=1,Courses!B85&lt;&gt;"",Courses!E85&lt;&gt;"",Courses!G85="",Courses!I85="",Courses!F85&lt;&gt;1),"Row "&amp;Courses!A85&amp;"; ","")</f>
        <v/>
      </c>
      <c r="V91" t="str">
        <f>IF(AND($R$9=1,Courses!B85&lt;&gt;"",Courses!I85="",Courses!F85&lt;&gt;"",Courses!G85&lt;&gt;"",Courses!H85&lt;&gt;""),IF(OR((Courses!F85+Courses!H85)&lt;&gt;1),"Row "&amp;Courses!A85&amp;"; ",""),"")</f>
        <v/>
      </c>
      <c r="W91" s="183" t="str">
        <f>IF(AND($R$9=1,Courses!B85&lt;&gt;"",Courses!I85&lt;&gt;"",Courses!J85&lt;&gt;"",Courses!H85&lt;&gt;"",Courses!G85&lt;&gt;"",Courses!F85&lt;&gt;""),IF(OR((Courses!F85+Courses!H85+Courses!J85)&lt;&gt;1),"Row "&amp;Courses!A85&amp;"; ",""),"")</f>
        <v/>
      </c>
      <c r="Y91" s="1592" t="str">
        <f>IF(AND($R$9=1,Courses!E85&lt;&gt;"",U91="",V91="",W91="",SUM(Courses!F85,Courses!H85,Courses!J85)&lt;&gt;1),"Row "&amp;Courses!A85&amp;"; ","")</f>
        <v/>
      </c>
      <c r="Z91" s="17"/>
      <c r="AB91" s="1593" t="str">
        <f>IF(AND($S$9=1,Courses!B85&lt;&gt;"",Courses!E85&lt;&gt;"",Courses!F85&lt;&gt;""),IF((TRUNC(Courses!F85*100)&lt;&gt;Courses!F85*100),"Row "&amp;Courses!A85&amp;", "&amp;Courses!$F$10&amp;"; ",""),"")</f>
        <v/>
      </c>
      <c r="AC91" t="str">
        <f>IF(AND($S$9=1,Courses!B85&lt;&gt;"",Courses!G85&lt;&gt;"",Courses!H85&lt;&gt;""),IF((TRUNC(Courses!H85*100)&lt;&gt;Courses!H85*100),"Row "&amp;Courses!A85&amp;", "&amp;Courses!$H$10&amp;"; ",""),"")</f>
        <v/>
      </c>
      <c r="AD91" s="183" t="str">
        <f>IF(AND($S$9=1,Courses!B85&lt;&gt;"",Courses!I85&lt;&gt;"",Courses!J85&lt;&gt;""),IF((TRUNC(Courses!J85*100)&lt;&gt;Courses!J85*100),"Row "&amp;Courses!A85&amp;", "&amp;Courses!$J$10&amp;"; ",""),"")</f>
        <v/>
      </c>
      <c r="AF91" s="118"/>
      <c r="AG91" s="1592" t="str">
        <f>IF(AND($T$9=1,G91="",Courses!B85&lt;&gt;"",Courses!K85&lt;&gt;$B$9,Courses!K85&lt;&gt;$B$10,Courses!K85&lt;&gt;$B$11,Courses!K85&lt;&gt;$B$12,Courses!K85&lt;&gt;$B$13,Courses!K85&lt;&gt;$B$14),"Row "&amp;Courses!A85&amp;"; ","")</f>
        <v/>
      </c>
      <c r="AH91" s="1592" t="str">
        <f>IF(AND($U$9=1,G91="",Courses!B85&lt;&gt;"",Courses!L85&lt;&gt;"Standard",Courses!L85&lt;&gt;"Long"),"Row "&amp;Courses!A85&amp;"; ","")</f>
        <v/>
      </c>
      <c r="AJ91" s="118"/>
      <c r="AK91" s="3">
        <v>72</v>
      </c>
      <c r="AL91" s="1593" t="str">
        <f>IF(AND($V$9=1,(TRUNC(Courses!M85)&lt;&gt;Courses!M85)), "Row "&amp;Courses!$A85&amp;", "&amp;AL$9&amp;", "&amp;AL$10&amp;", "&amp;AL$11&amp;"; ","")</f>
        <v/>
      </c>
      <c r="AM91" t="str">
        <f>IF(AND($V$9=1,(TRUNC(Courses!N85)&lt;&gt;Courses!N85)), "Row "&amp;Courses!$A85&amp;", "&amp;AM$9&amp;", "&amp;AM$10&amp;", "&amp;AM$11&amp;"; ","")</f>
        <v/>
      </c>
      <c r="AN91" t="str">
        <f>IF(AND($V$9=1,(TRUNC(Courses!O85)&lt;&gt;Courses!O85)), "Row "&amp;Courses!$A85&amp;", "&amp;AN$9&amp;", "&amp;AN$10&amp;", "&amp;AN$11&amp;"; ","")</f>
        <v/>
      </c>
      <c r="AO91" t="str">
        <f>IF(AND($V$9=1,(TRUNC(Courses!P85)&lt;&gt;Courses!P85)), "Row "&amp;Courses!$A85&amp;", "&amp;AO$9&amp;", "&amp;AO$10&amp;", "&amp;AO$11&amp;"; ","")</f>
        <v/>
      </c>
      <c r="AP91" s="2120" t="str">
        <f>IF(AND($V$9=1,(TRUNC(Courses!Q85)&lt;&gt;Courses!Q85)), "Row "&amp;Courses!$A85&amp;", "&amp;AP$9&amp;", "&amp;AP$10&amp;"; ","")</f>
        <v/>
      </c>
      <c r="AQ91" s="1593" t="str">
        <f>IF(AND($V$9=1,(TRUNC(Courses!R85)&lt;&gt;Courses!R85)), "Row "&amp;Courses!$A85&amp;", "&amp;AQ$9&amp;", "&amp;AQ$10&amp;", "&amp;AQ$11&amp;"; ","")</f>
        <v/>
      </c>
      <c r="AR91" t="str">
        <f>IF(AND($V$9=1,(TRUNC(Courses!S85)&lt;&gt;Courses!S85)), "Row "&amp;Courses!$A85&amp;", "&amp;AR$9&amp;", "&amp;AR$10&amp;", "&amp;AR$11&amp;"; ","")</f>
        <v/>
      </c>
      <c r="AS91" t="str">
        <f>IF(AND($V$9=1,(TRUNC(Courses!T85)&lt;&gt;Courses!T85)), "Row "&amp;Courses!$A85&amp;", "&amp;AS$9&amp;", "&amp;AS$10&amp;", "&amp;AS$11&amp;"; ","")</f>
        <v/>
      </c>
      <c r="AT91" t="str">
        <f>IF(AND($V$9=1,(TRUNC(Courses!U85)&lt;&gt;Courses!U85)), "Row "&amp;Courses!$A85&amp;", "&amp;AT$9&amp;", "&amp;AT$10&amp;", "&amp;AT$11&amp;"; ","")</f>
        <v/>
      </c>
      <c r="AU91" s="2120" t="str">
        <f>IF(AND($V$9=1,(TRUNC(Courses!V85)&lt;&gt;Courses!V85)), "Row "&amp;Courses!$A85&amp;", "&amp;AU$9&amp;", "&amp;AU$10&amp;"; ","")</f>
        <v/>
      </c>
      <c r="AV91" s="1593" t="str">
        <f>IF(AND($V$9=1,(TRUNC(Courses!W85)&lt;&gt;Courses!W85)), "Row "&amp;Courses!$A85&amp;", "&amp;AV$9&amp;", "&amp;AV$10&amp;", "&amp;AV$11&amp;"; ","")</f>
        <v/>
      </c>
      <c r="AW91" t="str">
        <f>IF(AND($V$9=1,(TRUNC(Courses!X85)&lt;&gt;Courses!X85)), "Row "&amp;Courses!$A85&amp;", "&amp;AW$9&amp;", "&amp;AW$10&amp;", "&amp;AW$11&amp;"; ","")</f>
        <v/>
      </c>
      <c r="AX91" t="str">
        <f>IF(AND($V$9=1,(TRUNC(Courses!Y85)&lt;&gt;Courses!Y85)), "Row "&amp;Courses!$A85&amp;", "&amp;AX$9&amp;", "&amp;AX$10&amp;", "&amp;AX$11&amp;"; ","")</f>
        <v/>
      </c>
      <c r="AY91" t="str">
        <f>IF(AND($V$9=1,(TRUNC(Courses!Z85)&lt;&gt;Courses!Z85)), "Row "&amp;Courses!$A85&amp;", "&amp;AY$9&amp;", "&amp;AY$10&amp;", "&amp;AY$11&amp;"; ","")</f>
        <v/>
      </c>
      <c r="AZ91" s="2120" t="str">
        <f>IF(AND($V$9=1,(TRUNC(Courses!AA85)&lt;&gt;Courses!AA85)), "Row "&amp;Courses!$A85&amp;", "&amp;AZ$9&amp;", "&amp;AZ$10&amp;"; ","")</f>
        <v/>
      </c>
      <c r="BA91" s="17"/>
      <c r="BB91" s="118"/>
      <c r="BC91" s="3">
        <v>72</v>
      </c>
      <c r="BD91" s="1593" t="str">
        <f>IF(AND($W$9=1,Courses!M85&lt;0), "Row "&amp;Courses!$A85&amp;", "&amp;BD$9&amp;", "&amp;BD$10&amp;", "&amp;BD$11&amp;"; ","")</f>
        <v/>
      </c>
      <c r="BE91" t="str">
        <f>IF(AND($W$9=1,Courses!N85&lt;0), "Row "&amp;Courses!$A85&amp;", "&amp;BE$9&amp;", "&amp;BE$10&amp;", "&amp;BE$11&amp;"; ","")</f>
        <v/>
      </c>
      <c r="BF91" t="str">
        <f>IF(AND($W$9=1,Courses!O85&lt;0), "Row "&amp;Courses!$A85&amp;", "&amp;BF$9&amp;", "&amp;BF$10&amp;", "&amp;BF$11&amp;"; ","")</f>
        <v/>
      </c>
      <c r="BG91" t="str">
        <f>IF(AND($W$9=1,Courses!P85&lt;0), "Row "&amp;Courses!$A85&amp;", "&amp;BG$9&amp;", "&amp;BG$10&amp;", "&amp;BG$11&amp;"; ","")</f>
        <v/>
      </c>
      <c r="BH91" s="2120" t="str">
        <f>IF(AND($W$9=1,Courses!Q85&lt;0), "Row "&amp;Courses!$A85&amp;", "&amp;BH$9&amp;", "&amp;BH$10&amp;"; ","")</f>
        <v/>
      </c>
      <c r="BI91" s="1593" t="str">
        <f>IF(AND($W$9=1,Courses!R85&lt;0), "Row "&amp;Courses!$A85&amp;", "&amp;BI$9&amp;", "&amp;BI$10&amp;", "&amp;BI$11&amp;"; ","")</f>
        <v/>
      </c>
      <c r="BJ91" t="str">
        <f>IF(AND($W$9=1,Courses!S85&lt;0), "Row "&amp;Courses!$A85&amp;", "&amp;BJ$9&amp;", "&amp;BJ$10&amp;", "&amp;BJ$11&amp;"; ","")</f>
        <v/>
      </c>
      <c r="BK91" t="str">
        <f>IF(AND($W$9=1,Courses!T85&lt;0), "Row "&amp;Courses!$A85&amp;", "&amp;BK$9&amp;", "&amp;BK$10&amp;", "&amp;BK$11&amp;"; ","")</f>
        <v/>
      </c>
      <c r="BL91" t="str">
        <f>IF(AND($W$9=1,Courses!U85&lt;0), "Row "&amp;Courses!$A85&amp;", "&amp;BL$9&amp;", "&amp;BL$10&amp;", "&amp;BL$11&amp;"; ","")</f>
        <v/>
      </c>
      <c r="BM91" s="2120" t="str">
        <f>IF(AND($W$9=1,Courses!V85&lt;0), "Row "&amp;Courses!$A85&amp;", "&amp;BM$9&amp;", "&amp;BM$10&amp;"; ","")</f>
        <v/>
      </c>
      <c r="BN91" s="1593" t="str">
        <f>IF(AND($W$9=1,Courses!W85&lt;0), "Row "&amp;Courses!$A85&amp;", "&amp;BN$9&amp;", "&amp;BN$10&amp;", "&amp;BN$11&amp;"; ","")</f>
        <v/>
      </c>
      <c r="BO91" t="str">
        <f>IF(AND($W$9=1,Courses!X85&lt;0), "Row "&amp;Courses!$A85&amp;", "&amp;BO$9&amp;", "&amp;BO$10&amp;", "&amp;BO$11&amp;"; ","")</f>
        <v/>
      </c>
      <c r="BP91" t="str">
        <f>IF(AND($W$9=1,Courses!Y85&lt;0), "Row "&amp;Courses!$A85&amp;", "&amp;BP$9&amp;", "&amp;BP$10&amp;", "&amp;BP$11&amp;"; ","")</f>
        <v/>
      </c>
      <c r="BQ91" t="str">
        <f>IF(AND($W$9=1,Courses!Z85&lt;0), "Row "&amp;Courses!$A85&amp;", "&amp;BQ$9&amp;", "&amp;BQ$10&amp;", "&amp;BQ$11&amp;"; ","")</f>
        <v/>
      </c>
      <c r="BR91" s="2120" t="str">
        <f>IF(AND($W$9=1,Courses!AA85&lt;0), "Row "&amp;Courses!$A85&amp;", "&amp;BR$9&amp;", "&amp;BR$10&amp;"; ","")</f>
        <v/>
      </c>
      <c r="BT91" s="186">
        <v>72</v>
      </c>
      <c r="BU91" s="40">
        <f>IF(AND($X$9=1,Courses!B85="",Courses!F85="",Courses!H85="",Courses!J85="",Courses!K85="",Courses!L85="",Courses!M85=0,Courses!N85=0,Courses!O85=0,Courses!P85=0,Courses!Q85=0,Courses!R85=0,Courses!S85=0,Courses!T85=0,Courses!U85=0,Courses!V85=0,Courses!W85=0,Courses!X85=0,Courses!Y85=0,Courses!Z85=0,Courses!AA85=0),0,1)</f>
        <v>0</v>
      </c>
      <c r="BV91" s="40">
        <f>IF(AND(BU91=0,SUM(BU92:$BU$219)&gt;0),1,0)</f>
        <v>0</v>
      </c>
      <c r="BW91" s="1595" t="str">
        <f>IF(BV91=1,"Row "&amp;Courses!A85&amp;"; ","")</f>
        <v/>
      </c>
      <c r="BX91" s="17"/>
      <c r="BZ91" s="1592" t="str">
        <f>IF(AND($Y$9=1,Courses!B85&lt;&gt;"",SUM(Courses!M85:AA85)=0),"Row "&amp;Courses!A85&amp;"; ","")</f>
        <v/>
      </c>
      <c r="CA91" s="17"/>
      <c r="CC91" s="1592" t="str">
        <f>IF(AND($Z$9=1,Courses!AD85=1,(LEN(Courses!AB85)&gt;200)),"Row "&amp;Courses!A85&amp;"; ","")</f>
        <v/>
      </c>
      <c r="CE91" s="131"/>
      <c r="CG91" s="1593" t="str">
        <f>IF(AND($AD$9=1,Courses!E85&lt;&gt;"",Courses!F85&lt;&gt;"",Courses!F85=0,SUM(Courses!H85,Courses!J85)=1),"Row "&amp;Courses!A85&amp;", "&amp;Courses!$F$10&amp;"; ","")</f>
        <v/>
      </c>
      <c r="CH91" t="str">
        <f>IF(AND($AD$9=1,Courses!G85&lt;&gt;"",Courses!H85&lt;&gt;"",Courses!H85=0,SUM(Courses!J85,Courses!F85)=1),"Row "&amp;Courses!A85&amp;", "&amp;Courses!$H$10&amp;"; ","")</f>
        <v/>
      </c>
      <c r="CI91" s="183" t="str">
        <f>IF(AND($AD$9=1,Courses!I85&lt;&gt;"",Courses!J85&lt;&gt;"",Courses!J85=0, SUM(Courses!H85,Courses!F85)=1),"Row "&amp;Courses!A85&amp;", "&amp;Courses!$J$10&amp;"; ","")</f>
        <v/>
      </c>
      <c r="CJ91" s="180"/>
      <c r="CK91" s="181"/>
      <c r="CL91" s="1592" t="str">
        <f>IF(AND(Courses!B85&lt;&gt;"",ISNA(VLOOKUP(Courses!C85,CourseInfo,2,FALSE))=FALSE,COUNTIF(Dummy,Courses!C85)&lt;&gt;1),VLOOKUP(Courses!C85,CourseInfo,6,FALSE),"")</f>
        <v/>
      </c>
      <c r="CM91" s="1592" t="str">
        <f>IF(AND($AE$9=1,Courses!B85&lt;&gt;"",'Courses Valid'!AG91="",COUNTIF(Dummy,Courses!C85)&lt;&gt;1),IF(Courses!K85&lt;&gt;'Courses Valid'!CL91,"Row "&amp;Courses!A85&amp;", Level on LARS is "&amp;'Courses Valid'!CL91&amp;"; ",""),"")</f>
        <v/>
      </c>
      <c r="CN91" s="131"/>
    </row>
    <row r="92" spans="3:92" x14ac:dyDescent="0.35">
      <c r="C92" s="1591">
        <f t="shared" si="3"/>
        <v>0</v>
      </c>
      <c r="D92" s="41"/>
      <c r="E92" s="41"/>
      <c r="F92" s="118"/>
      <c r="G92" s="1591" t="str">
        <f>IF(SUMPRODUCT(--(CourseAims=Courses!$C86))=1,"",IF(AND($N$9=1,Courses!$C86&lt;&gt;""),"Row "&amp;Courses!A86&amp;" (invalid); ",""))</f>
        <v/>
      </c>
      <c r="H92" s="1592" t="str">
        <f>IF(AND($O$9=1,Courses!B86="",OR(Courses!F86&lt;&gt;"",Courses!H86&lt;&gt;"",Courses!J86&lt;&gt;"",Courses!K86&lt;&gt;"",Courses!L86&lt;&gt;"",Courses!M86&lt;&gt;0,Courses!N86&lt;&gt;0,Courses!O86&lt;&gt;0,Courses!P86&lt;&gt;0,Courses!Q86&lt;&gt;0,Courses!R86&lt;&gt;0,Courses!S86&lt;&gt;0,Courses!T86&lt;&gt;0,Courses!U86&lt;&gt;0,Courses!V86&lt;&gt;0,Courses!W86&lt;&gt;0,Courses!X86&lt;&gt;0,Courses!Y86&lt;&gt;0,Courses!Z86&lt;&gt;0,Courses!AA86&lt;&gt;0)),"Row "&amp;Courses!A86&amp;" (none); ","")</f>
        <v/>
      </c>
      <c r="I92" s="17"/>
      <c r="K92" s="1592" t="str">
        <f>Courses!B86&amp;Courses!K86&amp;Courses!L86</f>
        <v/>
      </c>
      <c r="L92" s="1592" t="str">
        <f>IF(AND($P$9=1,Courses!$B86&lt;&gt;"",COUNTIF(Dummy,Courses!$C86)&lt;&gt;1),IF(SUMPRODUCT(--($K$20:$K$219=$K92))&gt;1,"Row "&amp;Courses!$A86&amp;"; ",""),"")</f>
        <v/>
      </c>
      <c r="N92" s="118"/>
      <c r="O92" s="1593" t="str">
        <f>IF(AND($Q$9=1,Courses!E86&lt;&gt;"",Courses!F86=""),"Row "&amp;Courses!A86&amp;", "&amp;Courses!$E$10&amp;"; ","")</f>
        <v/>
      </c>
      <c r="P92" t="str">
        <f>IF(AND($Q$9=1,Courses!G86&lt;&gt;"",Courses!H86=""),"Row "&amp;Courses!A86&amp;", "&amp;Courses!$G$10&amp;"; ","")</f>
        <v/>
      </c>
      <c r="Q92" s="183" t="str">
        <f>IF(AND($Q$9=1,Courses!I86&lt;&gt;"",Courses!J86=""),"Row "&amp;Courses!A86&amp;", "&amp;Courses!$I$10&amp;"; ","")</f>
        <v/>
      </c>
      <c r="S92" s="17"/>
      <c r="T92" s="118"/>
      <c r="U92" s="1594" t="str">
        <f>IF(AND($R$9=1,Courses!B86&lt;&gt;"",Courses!E86&lt;&gt;"",Courses!G86="",Courses!I86="",Courses!F86&lt;&gt;1),"Row "&amp;Courses!A86&amp;"; ","")</f>
        <v/>
      </c>
      <c r="V92" t="str">
        <f>IF(AND($R$9=1,Courses!B86&lt;&gt;"",Courses!I86="",Courses!F86&lt;&gt;"",Courses!G86&lt;&gt;"",Courses!H86&lt;&gt;""),IF(OR((Courses!F86+Courses!H86)&lt;&gt;1),"Row "&amp;Courses!A86&amp;"; ",""),"")</f>
        <v/>
      </c>
      <c r="W92" s="183" t="str">
        <f>IF(AND($R$9=1,Courses!B86&lt;&gt;"",Courses!I86&lt;&gt;"",Courses!J86&lt;&gt;"",Courses!H86&lt;&gt;"",Courses!G86&lt;&gt;"",Courses!F86&lt;&gt;""),IF(OR((Courses!F86+Courses!H86+Courses!J86)&lt;&gt;1),"Row "&amp;Courses!A86&amp;"; ",""),"")</f>
        <v/>
      </c>
      <c r="Y92" s="1592" t="str">
        <f>IF(AND($R$9=1,Courses!E86&lt;&gt;"",U92="",V92="",W92="",SUM(Courses!F86,Courses!H86,Courses!J86)&lt;&gt;1),"Row "&amp;Courses!A86&amp;"; ","")</f>
        <v/>
      </c>
      <c r="Z92" s="17"/>
      <c r="AB92" s="1593" t="str">
        <f>IF(AND($S$9=1,Courses!B86&lt;&gt;"",Courses!E86&lt;&gt;"",Courses!F86&lt;&gt;""),IF((TRUNC(Courses!F86*100)&lt;&gt;Courses!F86*100),"Row "&amp;Courses!A86&amp;", "&amp;Courses!$F$10&amp;"; ",""),"")</f>
        <v/>
      </c>
      <c r="AC92" t="str">
        <f>IF(AND($S$9=1,Courses!B86&lt;&gt;"",Courses!G86&lt;&gt;"",Courses!H86&lt;&gt;""),IF((TRUNC(Courses!H86*100)&lt;&gt;Courses!H86*100),"Row "&amp;Courses!A86&amp;", "&amp;Courses!$H$10&amp;"; ",""),"")</f>
        <v/>
      </c>
      <c r="AD92" s="183" t="str">
        <f>IF(AND($S$9=1,Courses!B86&lt;&gt;"",Courses!I86&lt;&gt;"",Courses!J86&lt;&gt;""),IF((TRUNC(Courses!J86*100)&lt;&gt;Courses!J86*100),"Row "&amp;Courses!A86&amp;", "&amp;Courses!$J$10&amp;"; ",""),"")</f>
        <v/>
      </c>
      <c r="AF92" s="118"/>
      <c r="AG92" s="1592" t="str">
        <f>IF(AND($T$9=1,G92="",Courses!B86&lt;&gt;"",Courses!K86&lt;&gt;$B$9,Courses!K86&lt;&gt;$B$10,Courses!K86&lt;&gt;$B$11,Courses!K86&lt;&gt;$B$12,Courses!K86&lt;&gt;$B$13,Courses!K86&lt;&gt;$B$14),"Row "&amp;Courses!A86&amp;"; ","")</f>
        <v/>
      </c>
      <c r="AH92" s="1592" t="str">
        <f>IF(AND($U$9=1,G92="",Courses!B86&lt;&gt;"",Courses!L86&lt;&gt;"Standard",Courses!L86&lt;&gt;"Long"),"Row "&amp;Courses!A86&amp;"; ","")</f>
        <v/>
      </c>
      <c r="AJ92" s="118"/>
      <c r="AK92" s="3">
        <v>73</v>
      </c>
      <c r="AL92" s="1593" t="str">
        <f>IF(AND($V$9=1,(TRUNC(Courses!M86)&lt;&gt;Courses!M86)), "Row "&amp;Courses!$A86&amp;", "&amp;AL$9&amp;", "&amp;AL$10&amp;", "&amp;AL$11&amp;"; ","")</f>
        <v/>
      </c>
      <c r="AM92" t="str">
        <f>IF(AND($V$9=1,(TRUNC(Courses!N86)&lt;&gt;Courses!N86)), "Row "&amp;Courses!$A86&amp;", "&amp;AM$9&amp;", "&amp;AM$10&amp;", "&amp;AM$11&amp;"; ","")</f>
        <v/>
      </c>
      <c r="AN92" t="str">
        <f>IF(AND($V$9=1,(TRUNC(Courses!O86)&lt;&gt;Courses!O86)), "Row "&amp;Courses!$A86&amp;", "&amp;AN$9&amp;", "&amp;AN$10&amp;", "&amp;AN$11&amp;"; ","")</f>
        <v/>
      </c>
      <c r="AO92" t="str">
        <f>IF(AND($V$9=1,(TRUNC(Courses!P86)&lt;&gt;Courses!P86)), "Row "&amp;Courses!$A86&amp;", "&amp;AO$9&amp;", "&amp;AO$10&amp;", "&amp;AO$11&amp;"; ","")</f>
        <v/>
      </c>
      <c r="AP92" s="2120" t="str">
        <f>IF(AND($V$9=1,(TRUNC(Courses!Q86)&lt;&gt;Courses!Q86)), "Row "&amp;Courses!$A86&amp;", "&amp;AP$9&amp;", "&amp;AP$10&amp;"; ","")</f>
        <v/>
      </c>
      <c r="AQ92" s="1593" t="str">
        <f>IF(AND($V$9=1,(TRUNC(Courses!R86)&lt;&gt;Courses!R86)), "Row "&amp;Courses!$A86&amp;", "&amp;AQ$9&amp;", "&amp;AQ$10&amp;", "&amp;AQ$11&amp;"; ","")</f>
        <v/>
      </c>
      <c r="AR92" t="str">
        <f>IF(AND($V$9=1,(TRUNC(Courses!S86)&lt;&gt;Courses!S86)), "Row "&amp;Courses!$A86&amp;", "&amp;AR$9&amp;", "&amp;AR$10&amp;", "&amp;AR$11&amp;"; ","")</f>
        <v/>
      </c>
      <c r="AS92" t="str">
        <f>IF(AND($V$9=1,(TRUNC(Courses!T86)&lt;&gt;Courses!T86)), "Row "&amp;Courses!$A86&amp;", "&amp;AS$9&amp;", "&amp;AS$10&amp;", "&amp;AS$11&amp;"; ","")</f>
        <v/>
      </c>
      <c r="AT92" t="str">
        <f>IF(AND($V$9=1,(TRUNC(Courses!U86)&lt;&gt;Courses!U86)), "Row "&amp;Courses!$A86&amp;", "&amp;AT$9&amp;", "&amp;AT$10&amp;", "&amp;AT$11&amp;"; ","")</f>
        <v/>
      </c>
      <c r="AU92" s="2120" t="str">
        <f>IF(AND($V$9=1,(TRUNC(Courses!V86)&lt;&gt;Courses!V86)), "Row "&amp;Courses!$A86&amp;", "&amp;AU$9&amp;", "&amp;AU$10&amp;"; ","")</f>
        <v/>
      </c>
      <c r="AV92" s="1593" t="str">
        <f>IF(AND($V$9=1,(TRUNC(Courses!W86)&lt;&gt;Courses!W86)), "Row "&amp;Courses!$A86&amp;", "&amp;AV$9&amp;", "&amp;AV$10&amp;", "&amp;AV$11&amp;"; ","")</f>
        <v/>
      </c>
      <c r="AW92" t="str">
        <f>IF(AND($V$9=1,(TRUNC(Courses!X86)&lt;&gt;Courses!X86)), "Row "&amp;Courses!$A86&amp;", "&amp;AW$9&amp;", "&amp;AW$10&amp;", "&amp;AW$11&amp;"; ","")</f>
        <v/>
      </c>
      <c r="AX92" t="str">
        <f>IF(AND($V$9=1,(TRUNC(Courses!Y86)&lt;&gt;Courses!Y86)), "Row "&amp;Courses!$A86&amp;", "&amp;AX$9&amp;", "&amp;AX$10&amp;", "&amp;AX$11&amp;"; ","")</f>
        <v/>
      </c>
      <c r="AY92" t="str">
        <f>IF(AND($V$9=1,(TRUNC(Courses!Z86)&lt;&gt;Courses!Z86)), "Row "&amp;Courses!$A86&amp;", "&amp;AY$9&amp;", "&amp;AY$10&amp;", "&amp;AY$11&amp;"; ","")</f>
        <v/>
      </c>
      <c r="AZ92" s="2120" t="str">
        <f>IF(AND($V$9=1,(TRUNC(Courses!AA86)&lt;&gt;Courses!AA86)), "Row "&amp;Courses!$A86&amp;", "&amp;AZ$9&amp;", "&amp;AZ$10&amp;"; ","")</f>
        <v/>
      </c>
      <c r="BA92" s="17"/>
      <c r="BB92" s="118"/>
      <c r="BC92" s="3">
        <v>73</v>
      </c>
      <c r="BD92" s="1593" t="str">
        <f>IF(AND($W$9=1,Courses!M86&lt;0), "Row "&amp;Courses!$A86&amp;", "&amp;BD$9&amp;", "&amp;BD$10&amp;", "&amp;BD$11&amp;"; ","")</f>
        <v/>
      </c>
      <c r="BE92" t="str">
        <f>IF(AND($W$9=1,Courses!N86&lt;0), "Row "&amp;Courses!$A86&amp;", "&amp;BE$9&amp;", "&amp;BE$10&amp;", "&amp;BE$11&amp;"; ","")</f>
        <v/>
      </c>
      <c r="BF92" t="str">
        <f>IF(AND($W$9=1,Courses!O86&lt;0), "Row "&amp;Courses!$A86&amp;", "&amp;BF$9&amp;", "&amp;BF$10&amp;", "&amp;BF$11&amp;"; ","")</f>
        <v/>
      </c>
      <c r="BG92" t="str">
        <f>IF(AND($W$9=1,Courses!P86&lt;0), "Row "&amp;Courses!$A86&amp;", "&amp;BG$9&amp;", "&amp;BG$10&amp;", "&amp;BG$11&amp;"; ","")</f>
        <v/>
      </c>
      <c r="BH92" s="2120" t="str">
        <f>IF(AND($W$9=1,Courses!Q86&lt;0), "Row "&amp;Courses!$A86&amp;", "&amp;BH$9&amp;", "&amp;BH$10&amp;"; ","")</f>
        <v/>
      </c>
      <c r="BI92" s="1593" t="str">
        <f>IF(AND($W$9=1,Courses!R86&lt;0), "Row "&amp;Courses!$A86&amp;", "&amp;BI$9&amp;", "&amp;BI$10&amp;", "&amp;BI$11&amp;"; ","")</f>
        <v/>
      </c>
      <c r="BJ92" t="str">
        <f>IF(AND($W$9=1,Courses!S86&lt;0), "Row "&amp;Courses!$A86&amp;", "&amp;BJ$9&amp;", "&amp;BJ$10&amp;", "&amp;BJ$11&amp;"; ","")</f>
        <v/>
      </c>
      <c r="BK92" t="str">
        <f>IF(AND($W$9=1,Courses!T86&lt;0), "Row "&amp;Courses!$A86&amp;", "&amp;BK$9&amp;", "&amp;BK$10&amp;", "&amp;BK$11&amp;"; ","")</f>
        <v/>
      </c>
      <c r="BL92" t="str">
        <f>IF(AND($W$9=1,Courses!U86&lt;0), "Row "&amp;Courses!$A86&amp;", "&amp;BL$9&amp;", "&amp;BL$10&amp;", "&amp;BL$11&amp;"; ","")</f>
        <v/>
      </c>
      <c r="BM92" s="2120" t="str">
        <f>IF(AND($W$9=1,Courses!V86&lt;0), "Row "&amp;Courses!$A86&amp;", "&amp;BM$9&amp;", "&amp;BM$10&amp;"; ","")</f>
        <v/>
      </c>
      <c r="BN92" s="1593" t="str">
        <f>IF(AND($W$9=1,Courses!W86&lt;0), "Row "&amp;Courses!$A86&amp;", "&amp;BN$9&amp;", "&amp;BN$10&amp;", "&amp;BN$11&amp;"; ","")</f>
        <v/>
      </c>
      <c r="BO92" t="str">
        <f>IF(AND($W$9=1,Courses!X86&lt;0), "Row "&amp;Courses!$A86&amp;", "&amp;BO$9&amp;", "&amp;BO$10&amp;", "&amp;BO$11&amp;"; ","")</f>
        <v/>
      </c>
      <c r="BP92" t="str">
        <f>IF(AND($W$9=1,Courses!Y86&lt;0), "Row "&amp;Courses!$A86&amp;", "&amp;BP$9&amp;", "&amp;BP$10&amp;", "&amp;BP$11&amp;"; ","")</f>
        <v/>
      </c>
      <c r="BQ92" t="str">
        <f>IF(AND($W$9=1,Courses!Z86&lt;0), "Row "&amp;Courses!$A86&amp;", "&amp;BQ$9&amp;", "&amp;BQ$10&amp;", "&amp;BQ$11&amp;"; ","")</f>
        <v/>
      </c>
      <c r="BR92" s="2120" t="str">
        <f>IF(AND($W$9=1,Courses!AA86&lt;0), "Row "&amp;Courses!$A86&amp;", "&amp;BR$9&amp;", "&amp;BR$10&amp;"; ","")</f>
        <v/>
      </c>
      <c r="BT92" s="186">
        <v>73</v>
      </c>
      <c r="BU92" s="40">
        <f>IF(AND($X$9=1,Courses!B86="",Courses!F86="",Courses!H86="",Courses!J86="",Courses!K86="",Courses!L86="",Courses!M86=0,Courses!N86=0,Courses!O86=0,Courses!P86=0,Courses!Q86=0,Courses!R86=0,Courses!S86=0,Courses!T86=0,Courses!U86=0,Courses!V86=0,Courses!W86=0,Courses!X86=0,Courses!Y86=0,Courses!Z86=0,Courses!AA86=0),0,1)</f>
        <v>0</v>
      </c>
      <c r="BV92" s="40">
        <f>IF(AND(BU92=0,SUM(BU93:$BU$219)&gt;0),1,0)</f>
        <v>0</v>
      </c>
      <c r="BW92" s="1595" t="str">
        <f>IF(BV92=1,"Row "&amp;Courses!A86&amp;"; ","")</f>
        <v/>
      </c>
      <c r="BX92" s="17"/>
      <c r="BZ92" s="1592" t="str">
        <f>IF(AND($Y$9=1,Courses!B86&lt;&gt;"",SUM(Courses!M86:AA86)=0),"Row "&amp;Courses!A86&amp;"; ","")</f>
        <v/>
      </c>
      <c r="CA92" s="17"/>
      <c r="CC92" s="1592" t="str">
        <f>IF(AND($Z$9=1,Courses!AD86=1,(LEN(Courses!AB86)&gt;200)),"Row "&amp;Courses!A86&amp;"; ","")</f>
        <v/>
      </c>
      <c r="CE92" s="131"/>
      <c r="CG92" s="1593" t="str">
        <f>IF(AND($AD$9=1,Courses!E86&lt;&gt;"",Courses!F86&lt;&gt;"",Courses!F86=0,SUM(Courses!H86,Courses!J86)=1),"Row "&amp;Courses!A86&amp;", "&amp;Courses!$F$10&amp;"; ","")</f>
        <v/>
      </c>
      <c r="CH92" t="str">
        <f>IF(AND($AD$9=1,Courses!G86&lt;&gt;"",Courses!H86&lt;&gt;"",Courses!H86=0,SUM(Courses!J86,Courses!F86)=1),"Row "&amp;Courses!A86&amp;", "&amp;Courses!$H$10&amp;"; ","")</f>
        <v/>
      </c>
      <c r="CI92" s="183" t="str">
        <f>IF(AND($AD$9=1,Courses!I86&lt;&gt;"",Courses!J86&lt;&gt;"",Courses!J86=0, SUM(Courses!H86,Courses!F86)=1),"Row "&amp;Courses!A86&amp;", "&amp;Courses!$J$10&amp;"; ","")</f>
        <v/>
      </c>
      <c r="CJ92" s="180"/>
      <c r="CK92" s="181"/>
      <c r="CL92" s="1592" t="str">
        <f>IF(AND(Courses!B86&lt;&gt;"",ISNA(VLOOKUP(Courses!C86,CourseInfo,2,FALSE))=FALSE,COUNTIF(Dummy,Courses!C86)&lt;&gt;1),VLOOKUP(Courses!C86,CourseInfo,6,FALSE),"")</f>
        <v/>
      </c>
      <c r="CM92" s="1592" t="str">
        <f>IF(AND($AE$9=1,Courses!B86&lt;&gt;"",'Courses Valid'!AG92="",COUNTIF(Dummy,Courses!C86)&lt;&gt;1),IF(Courses!K86&lt;&gt;'Courses Valid'!CL92,"Row "&amp;Courses!A86&amp;", Level on LARS is "&amp;'Courses Valid'!CL92&amp;"; ",""),"")</f>
        <v/>
      </c>
      <c r="CN92" s="131"/>
    </row>
    <row r="93" spans="3:92" x14ac:dyDescent="0.35">
      <c r="C93" s="1591">
        <f t="shared" si="3"/>
        <v>0</v>
      </c>
      <c r="D93" s="41"/>
      <c r="E93" s="41"/>
      <c r="F93" s="118"/>
      <c r="G93" s="1591" t="str">
        <f>IF(SUMPRODUCT(--(CourseAims=Courses!$C87))=1,"",IF(AND($N$9=1,Courses!$C87&lt;&gt;""),"Row "&amp;Courses!A87&amp;" (invalid); ",""))</f>
        <v/>
      </c>
      <c r="H93" s="1592" t="str">
        <f>IF(AND($O$9=1,Courses!B87="",OR(Courses!F87&lt;&gt;"",Courses!H87&lt;&gt;"",Courses!J87&lt;&gt;"",Courses!K87&lt;&gt;"",Courses!L87&lt;&gt;"",Courses!M87&lt;&gt;0,Courses!N87&lt;&gt;0,Courses!O87&lt;&gt;0,Courses!P87&lt;&gt;0,Courses!Q87&lt;&gt;0,Courses!R87&lt;&gt;0,Courses!S87&lt;&gt;0,Courses!T87&lt;&gt;0,Courses!U87&lt;&gt;0,Courses!V87&lt;&gt;0,Courses!W87&lt;&gt;0,Courses!X87&lt;&gt;0,Courses!Y87&lt;&gt;0,Courses!Z87&lt;&gt;0,Courses!AA87&lt;&gt;0)),"Row "&amp;Courses!A87&amp;" (none); ","")</f>
        <v/>
      </c>
      <c r="I93" s="17"/>
      <c r="K93" s="1592" t="str">
        <f>Courses!B87&amp;Courses!K87&amp;Courses!L87</f>
        <v/>
      </c>
      <c r="L93" s="1592" t="str">
        <f>IF(AND($P$9=1,Courses!$B87&lt;&gt;"",COUNTIF(Dummy,Courses!$C87)&lt;&gt;1),IF(SUMPRODUCT(--($K$20:$K$219=$K93))&gt;1,"Row "&amp;Courses!$A87&amp;"; ",""),"")</f>
        <v/>
      </c>
      <c r="N93" s="118"/>
      <c r="O93" s="1593" t="str">
        <f>IF(AND($Q$9=1,Courses!E87&lt;&gt;"",Courses!F87=""),"Row "&amp;Courses!A87&amp;", "&amp;Courses!$E$10&amp;"; ","")</f>
        <v/>
      </c>
      <c r="P93" t="str">
        <f>IF(AND($Q$9=1,Courses!G87&lt;&gt;"",Courses!H87=""),"Row "&amp;Courses!A87&amp;", "&amp;Courses!$G$10&amp;"; ","")</f>
        <v/>
      </c>
      <c r="Q93" s="183" t="str">
        <f>IF(AND($Q$9=1,Courses!I87&lt;&gt;"",Courses!J87=""),"Row "&amp;Courses!A87&amp;", "&amp;Courses!$I$10&amp;"; ","")</f>
        <v/>
      </c>
      <c r="S93" s="17"/>
      <c r="T93" s="118"/>
      <c r="U93" s="1594" t="str">
        <f>IF(AND($R$9=1,Courses!B87&lt;&gt;"",Courses!E87&lt;&gt;"",Courses!G87="",Courses!I87="",Courses!F87&lt;&gt;1),"Row "&amp;Courses!A87&amp;"; ","")</f>
        <v/>
      </c>
      <c r="V93" t="str">
        <f>IF(AND($R$9=1,Courses!B87&lt;&gt;"",Courses!I87="",Courses!F87&lt;&gt;"",Courses!G87&lt;&gt;"",Courses!H87&lt;&gt;""),IF(OR((Courses!F87+Courses!H87)&lt;&gt;1),"Row "&amp;Courses!A87&amp;"; ",""),"")</f>
        <v/>
      </c>
      <c r="W93" s="183" t="str">
        <f>IF(AND($R$9=1,Courses!B87&lt;&gt;"",Courses!I87&lt;&gt;"",Courses!J87&lt;&gt;"",Courses!H87&lt;&gt;"",Courses!G87&lt;&gt;"",Courses!F87&lt;&gt;""),IF(OR((Courses!F87+Courses!H87+Courses!J87)&lt;&gt;1),"Row "&amp;Courses!A87&amp;"; ",""),"")</f>
        <v/>
      </c>
      <c r="Y93" s="1592" t="str">
        <f>IF(AND($R$9=1,Courses!E87&lt;&gt;"",U93="",V93="",W93="",SUM(Courses!F87,Courses!H87,Courses!J87)&lt;&gt;1),"Row "&amp;Courses!A87&amp;"; ","")</f>
        <v/>
      </c>
      <c r="Z93" s="17"/>
      <c r="AB93" s="1593" t="str">
        <f>IF(AND($S$9=1,Courses!B87&lt;&gt;"",Courses!E87&lt;&gt;"",Courses!F87&lt;&gt;""),IF((TRUNC(Courses!F87*100)&lt;&gt;Courses!F87*100),"Row "&amp;Courses!A87&amp;", "&amp;Courses!$F$10&amp;"; ",""),"")</f>
        <v/>
      </c>
      <c r="AC93" t="str">
        <f>IF(AND($S$9=1,Courses!B87&lt;&gt;"",Courses!G87&lt;&gt;"",Courses!H87&lt;&gt;""),IF((TRUNC(Courses!H87*100)&lt;&gt;Courses!H87*100),"Row "&amp;Courses!A87&amp;", "&amp;Courses!$H$10&amp;"; ",""),"")</f>
        <v/>
      </c>
      <c r="AD93" s="183" t="str">
        <f>IF(AND($S$9=1,Courses!B87&lt;&gt;"",Courses!I87&lt;&gt;"",Courses!J87&lt;&gt;""),IF((TRUNC(Courses!J87*100)&lt;&gt;Courses!J87*100),"Row "&amp;Courses!A87&amp;", "&amp;Courses!$J$10&amp;"; ",""),"")</f>
        <v/>
      </c>
      <c r="AF93" s="118"/>
      <c r="AG93" s="1592" t="str">
        <f>IF(AND($T$9=1,G93="",Courses!B87&lt;&gt;"",Courses!K87&lt;&gt;$B$9,Courses!K87&lt;&gt;$B$10,Courses!K87&lt;&gt;$B$11,Courses!K87&lt;&gt;$B$12,Courses!K87&lt;&gt;$B$13,Courses!K87&lt;&gt;$B$14),"Row "&amp;Courses!A87&amp;"; ","")</f>
        <v/>
      </c>
      <c r="AH93" s="1592" t="str">
        <f>IF(AND($U$9=1,G93="",Courses!B87&lt;&gt;"",Courses!L87&lt;&gt;"Standard",Courses!L87&lt;&gt;"Long"),"Row "&amp;Courses!A87&amp;"; ","")</f>
        <v/>
      </c>
      <c r="AJ93" s="118"/>
      <c r="AK93" s="3">
        <v>74</v>
      </c>
      <c r="AL93" s="1593" t="str">
        <f>IF(AND($V$9=1,(TRUNC(Courses!M87)&lt;&gt;Courses!M87)), "Row "&amp;Courses!$A87&amp;", "&amp;AL$9&amp;", "&amp;AL$10&amp;", "&amp;AL$11&amp;"; ","")</f>
        <v/>
      </c>
      <c r="AM93" t="str">
        <f>IF(AND($V$9=1,(TRUNC(Courses!N87)&lt;&gt;Courses!N87)), "Row "&amp;Courses!$A87&amp;", "&amp;AM$9&amp;", "&amp;AM$10&amp;", "&amp;AM$11&amp;"; ","")</f>
        <v/>
      </c>
      <c r="AN93" t="str">
        <f>IF(AND($V$9=1,(TRUNC(Courses!O87)&lt;&gt;Courses!O87)), "Row "&amp;Courses!$A87&amp;", "&amp;AN$9&amp;", "&amp;AN$10&amp;", "&amp;AN$11&amp;"; ","")</f>
        <v/>
      </c>
      <c r="AO93" t="str">
        <f>IF(AND($V$9=1,(TRUNC(Courses!P87)&lt;&gt;Courses!P87)), "Row "&amp;Courses!$A87&amp;", "&amp;AO$9&amp;", "&amp;AO$10&amp;", "&amp;AO$11&amp;"; ","")</f>
        <v/>
      </c>
      <c r="AP93" s="2120" t="str">
        <f>IF(AND($V$9=1,(TRUNC(Courses!Q87)&lt;&gt;Courses!Q87)), "Row "&amp;Courses!$A87&amp;", "&amp;AP$9&amp;", "&amp;AP$10&amp;"; ","")</f>
        <v/>
      </c>
      <c r="AQ93" s="1593" t="str">
        <f>IF(AND($V$9=1,(TRUNC(Courses!R87)&lt;&gt;Courses!R87)), "Row "&amp;Courses!$A87&amp;", "&amp;AQ$9&amp;", "&amp;AQ$10&amp;", "&amp;AQ$11&amp;"; ","")</f>
        <v/>
      </c>
      <c r="AR93" t="str">
        <f>IF(AND($V$9=1,(TRUNC(Courses!S87)&lt;&gt;Courses!S87)), "Row "&amp;Courses!$A87&amp;", "&amp;AR$9&amp;", "&amp;AR$10&amp;", "&amp;AR$11&amp;"; ","")</f>
        <v/>
      </c>
      <c r="AS93" t="str">
        <f>IF(AND($V$9=1,(TRUNC(Courses!T87)&lt;&gt;Courses!T87)), "Row "&amp;Courses!$A87&amp;", "&amp;AS$9&amp;", "&amp;AS$10&amp;", "&amp;AS$11&amp;"; ","")</f>
        <v/>
      </c>
      <c r="AT93" t="str">
        <f>IF(AND($V$9=1,(TRUNC(Courses!U87)&lt;&gt;Courses!U87)), "Row "&amp;Courses!$A87&amp;", "&amp;AT$9&amp;", "&amp;AT$10&amp;", "&amp;AT$11&amp;"; ","")</f>
        <v/>
      </c>
      <c r="AU93" s="2120" t="str">
        <f>IF(AND($V$9=1,(TRUNC(Courses!V87)&lt;&gt;Courses!V87)), "Row "&amp;Courses!$A87&amp;", "&amp;AU$9&amp;", "&amp;AU$10&amp;"; ","")</f>
        <v/>
      </c>
      <c r="AV93" s="1593" t="str">
        <f>IF(AND($V$9=1,(TRUNC(Courses!W87)&lt;&gt;Courses!W87)), "Row "&amp;Courses!$A87&amp;", "&amp;AV$9&amp;", "&amp;AV$10&amp;", "&amp;AV$11&amp;"; ","")</f>
        <v/>
      </c>
      <c r="AW93" t="str">
        <f>IF(AND($V$9=1,(TRUNC(Courses!X87)&lt;&gt;Courses!X87)), "Row "&amp;Courses!$A87&amp;", "&amp;AW$9&amp;", "&amp;AW$10&amp;", "&amp;AW$11&amp;"; ","")</f>
        <v/>
      </c>
      <c r="AX93" t="str">
        <f>IF(AND($V$9=1,(TRUNC(Courses!Y87)&lt;&gt;Courses!Y87)), "Row "&amp;Courses!$A87&amp;", "&amp;AX$9&amp;", "&amp;AX$10&amp;", "&amp;AX$11&amp;"; ","")</f>
        <v/>
      </c>
      <c r="AY93" t="str">
        <f>IF(AND($V$9=1,(TRUNC(Courses!Z87)&lt;&gt;Courses!Z87)), "Row "&amp;Courses!$A87&amp;", "&amp;AY$9&amp;", "&amp;AY$10&amp;", "&amp;AY$11&amp;"; ","")</f>
        <v/>
      </c>
      <c r="AZ93" s="2120" t="str">
        <f>IF(AND($V$9=1,(TRUNC(Courses!AA87)&lt;&gt;Courses!AA87)), "Row "&amp;Courses!$A87&amp;", "&amp;AZ$9&amp;", "&amp;AZ$10&amp;"; ","")</f>
        <v/>
      </c>
      <c r="BA93" s="17"/>
      <c r="BB93" s="118"/>
      <c r="BC93" s="3">
        <v>74</v>
      </c>
      <c r="BD93" s="1593" t="str">
        <f>IF(AND($W$9=1,Courses!M87&lt;0), "Row "&amp;Courses!$A87&amp;", "&amp;BD$9&amp;", "&amp;BD$10&amp;", "&amp;BD$11&amp;"; ","")</f>
        <v/>
      </c>
      <c r="BE93" t="str">
        <f>IF(AND($W$9=1,Courses!N87&lt;0), "Row "&amp;Courses!$A87&amp;", "&amp;BE$9&amp;", "&amp;BE$10&amp;", "&amp;BE$11&amp;"; ","")</f>
        <v/>
      </c>
      <c r="BF93" t="str">
        <f>IF(AND($W$9=1,Courses!O87&lt;0), "Row "&amp;Courses!$A87&amp;", "&amp;BF$9&amp;", "&amp;BF$10&amp;", "&amp;BF$11&amp;"; ","")</f>
        <v/>
      </c>
      <c r="BG93" t="str">
        <f>IF(AND($W$9=1,Courses!P87&lt;0), "Row "&amp;Courses!$A87&amp;", "&amp;BG$9&amp;", "&amp;BG$10&amp;", "&amp;BG$11&amp;"; ","")</f>
        <v/>
      </c>
      <c r="BH93" s="2120" t="str">
        <f>IF(AND($W$9=1,Courses!Q87&lt;0), "Row "&amp;Courses!$A87&amp;", "&amp;BH$9&amp;", "&amp;BH$10&amp;"; ","")</f>
        <v/>
      </c>
      <c r="BI93" s="1593" t="str">
        <f>IF(AND($W$9=1,Courses!R87&lt;0), "Row "&amp;Courses!$A87&amp;", "&amp;BI$9&amp;", "&amp;BI$10&amp;", "&amp;BI$11&amp;"; ","")</f>
        <v/>
      </c>
      <c r="BJ93" t="str">
        <f>IF(AND($W$9=1,Courses!S87&lt;0), "Row "&amp;Courses!$A87&amp;", "&amp;BJ$9&amp;", "&amp;BJ$10&amp;", "&amp;BJ$11&amp;"; ","")</f>
        <v/>
      </c>
      <c r="BK93" t="str">
        <f>IF(AND($W$9=1,Courses!T87&lt;0), "Row "&amp;Courses!$A87&amp;", "&amp;BK$9&amp;", "&amp;BK$10&amp;", "&amp;BK$11&amp;"; ","")</f>
        <v/>
      </c>
      <c r="BL93" t="str">
        <f>IF(AND($W$9=1,Courses!U87&lt;0), "Row "&amp;Courses!$A87&amp;", "&amp;BL$9&amp;", "&amp;BL$10&amp;", "&amp;BL$11&amp;"; ","")</f>
        <v/>
      </c>
      <c r="BM93" s="2120" t="str">
        <f>IF(AND($W$9=1,Courses!V87&lt;0), "Row "&amp;Courses!$A87&amp;", "&amp;BM$9&amp;", "&amp;BM$10&amp;"; ","")</f>
        <v/>
      </c>
      <c r="BN93" s="1593" t="str">
        <f>IF(AND($W$9=1,Courses!W87&lt;0), "Row "&amp;Courses!$A87&amp;", "&amp;BN$9&amp;", "&amp;BN$10&amp;", "&amp;BN$11&amp;"; ","")</f>
        <v/>
      </c>
      <c r="BO93" t="str">
        <f>IF(AND($W$9=1,Courses!X87&lt;0), "Row "&amp;Courses!$A87&amp;", "&amp;BO$9&amp;", "&amp;BO$10&amp;", "&amp;BO$11&amp;"; ","")</f>
        <v/>
      </c>
      <c r="BP93" t="str">
        <f>IF(AND($W$9=1,Courses!Y87&lt;0), "Row "&amp;Courses!$A87&amp;", "&amp;BP$9&amp;", "&amp;BP$10&amp;", "&amp;BP$11&amp;"; ","")</f>
        <v/>
      </c>
      <c r="BQ93" t="str">
        <f>IF(AND($W$9=1,Courses!Z87&lt;0), "Row "&amp;Courses!$A87&amp;", "&amp;BQ$9&amp;", "&amp;BQ$10&amp;", "&amp;BQ$11&amp;"; ","")</f>
        <v/>
      </c>
      <c r="BR93" s="2120" t="str">
        <f>IF(AND($W$9=1,Courses!AA87&lt;0), "Row "&amp;Courses!$A87&amp;", "&amp;BR$9&amp;", "&amp;BR$10&amp;"; ","")</f>
        <v/>
      </c>
      <c r="BT93" s="186">
        <v>74</v>
      </c>
      <c r="BU93" s="40">
        <f>IF(AND($X$9=1,Courses!B87="",Courses!F87="",Courses!H87="",Courses!J87="",Courses!K87="",Courses!L87="",Courses!M87=0,Courses!N87=0,Courses!O87=0,Courses!P87=0,Courses!Q87=0,Courses!R87=0,Courses!S87=0,Courses!T87=0,Courses!U87=0,Courses!V87=0,Courses!W87=0,Courses!X87=0,Courses!Y87=0,Courses!Z87=0,Courses!AA87=0),0,1)</f>
        <v>0</v>
      </c>
      <c r="BV93" s="40">
        <f>IF(AND(BU93=0,SUM(BU94:$BU$219)&gt;0),1,0)</f>
        <v>0</v>
      </c>
      <c r="BW93" s="1595" t="str">
        <f>IF(BV93=1,"Row "&amp;Courses!A87&amp;"; ","")</f>
        <v/>
      </c>
      <c r="BX93" s="17"/>
      <c r="BZ93" s="1592" t="str">
        <f>IF(AND($Y$9=1,Courses!B87&lt;&gt;"",SUM(Courses!M87:AA87)=0),"Row "&amp;Courses!A87&amp;"; ","")</f>
        <v/>
      </c>
      <c r="CA93" s="17"/>
      <c r="CC93" s="1592" t="str">
        <f>IF(AND($Z$9=1,Courses!AD87=1,(LEN(Courses!AB87)&gt;200)),"Row "&amp;Courses!A87&amp;"; ","")</f>
        <v/>
      </c>
      <c r="CE93" s="131"/>
      <c r="CG93" s="1593" t="str">
        <f>IF(AND($AD$9=1,Courses!E87&lt;&gt;"",Courses!F87&lt;&gt;"",Courses!F87=0,SUM(Courses!H87,Courses!J87)=1),"Row "&amp;Courses!A87&amp;", "&amp;Courses!$F$10&amp;"; ","")</f>
        <v/>
      </c>
      <c r="CH93" t="str">
        <f>IF(AND($AD$9=1,Courses!G87&lt;&gt;"",Courses!H87&lt;&gt;"",Courses!H87=0,SUM(Courses!J87,Courses!F87)=1),"Row "&amp;Courses!A87&amp;", "&amp;Courses!$H$10&amp;"; ","")</f>
        <v/>
      </c>
      <c r="CI93" s="183" t="str">
        <f>IF(AND($AD$9=1,Courses!I87&lt;&gt;"",Courses!J87&lt;&gt;"",Courses!J87=0, SUM(Courses!H87,Courses!F87)=1),"Row "&amp;Courses!A87&amp;", "&amp;Courses!$J$10&amp;"; ","")</f>
        <v/>
      </c>
      <c r="CJ93" s="180"/>
      <c r="CK93" s="181"/>
      <c r="CL93" s="1592" t="str">
        <f>IF(AND(Courses!B87&lt;&gt;"",ISNA(VLOOKUP(Courses!C87,CourseInfo,2,FALSE))=FALSE,COUNTIF(Dummy,Courses!C87)&lt;&gt;1),VLOOKUP(Courses!C87,CourseInfo,6,FALSE),"")</f>
        <v/>
      </c>
      <c r="CM93" s="1592" t="str">
        <f>IF(AND($AE$9=1,Courses!B87&lt;&gt;"",'Courses Valid'!AG93="",COUNTIF(Dummy,Courses!C87)&lt;&gt;1),IF(Courses!K87&lt;&gt;'Courses Valid'!CL93,"Row "&amp;Courses!A87&amp;", Level on LARS is "&amp;'Courses Valid'!CL93&amp;"; ",""),"")</f>
        <v/>
      </c>
      <c r="CN93" s="131"/>
    </row>
    <row r="94" spans="3:92" x14ac:dyDescent="0.35">
      <c r="C94" s="1591">
        <f t="shared" si="3"/>
        <v>0</v>
      </c>
      <c r="D94" s="41"/>
      <c r="E94" s="41"/>
      <c r="F94" s="118"/>
      <c r="G94" s="1591" t="str">
        <f>IF(SUMPRODUCT(--(CourseAims=Courses!$C88))=1,"",IF(AND($N$9=1,Courses!$C88&lt;&gt;""),"Row "&amp;Courses!A88&amp;" (invalid); ",""))</f>
        <v/>
      </c>
      <c r="H94" s="1592" t="str">
        <f>IF(AND($O$9=1,Courses!B88="",OR(Courses!F88&lt;&gt;"",Courses!H88&lt;&gt;"",Courses!J88&lt;&gt;"",Courses!K88&lt;&gt;"",Courses!L88&lt;&gt;"",Courses!M88&lt;&gt;0,Courses!N88&lt;&gt;0,Courses!O88&lt;&gt;0,Courses!P88&lt;&gt;0,Courses!Q88&lt;&gt;0,Courses!R88&lt;&gt;0,Courses!S88&lt;&gt;0,Courses!T88&lt;&gt;0,Courses!U88&lt;&gt;0,Courses!V88&lt;&gt;0,Courses!W88&lt;&gt;0,Courses!X88&lt;&gt;0,Courses!Y88&lt;&gt;0,Courses!Z88&lt;&gt;0,Courses!AA88&lt;&gt;0)),"Row "&amp;Courses!A88&amp;" (none); ","")</f>
        <v/>
      </c>
      <c r="I94" s="17"/>
      <c r="K94" s="1592" t="str">
        <f>Courses!B88&amp;Courses!K88&amp;Courses!L88</f>
        <v/>
      </c>
      <c r="L94" s="1592" t="str">
        <f>IF(AND($P$9=1,Courses!$B88&lt;&gt;"",COUNTIF(Dummy,Courses!$C88)&lt;&gt;1),IF(SUMPRODUCT(--($K$20:$K$219=$K94))&gt;1,"Row "&amp;Courses!$A88&amp;"; ",""),"")</f>
        <v/>
      </c>
      <c r="N94" s="118"/>
      <c r="O94" s="1593" t="str">
        <f>IF(AND($Q$9=1,Courses!E88&lt;&gt;"",Courses!F88=""),"Row "&amp;Courses!A88&amp;", "&amp;Courses!$E$10&amp;"; ","")</f>
        <v/>
      </c>
      <c r="P94" t="str">
        <f>IF(AND($Q$9=1,Courses!G88&lt;&gt;"",Courses!H88=""),"Row "&amp;Courses!A88&amp;", "&amp;Courses!$G$10&amp;"; ","")</f>
        <v/>
      </c>
      <c r="Q94" s="183" t="str">
        <f>IF(AND($Q$9=1,Courses!I88&lt;&gt;"",Courses!J88=""),"Row "&amp;Courses!A88&amp;", "&amp;Courses!$I$10&amp;"; ","")</f>
        <v/>
      </c>
      <c r="S94" s="17"/>
      <c r="T94" s="118"/>
      <c r="U94" s="1594" t="str">
        <f>IF(AND($R$9=1,Courses!B88&lt;&gt;"",Courses!E88&lt;&gt;"",Courses!G88="",Courses!I88="",Courses!F88&lt;&gt;1),"Row "&amp;Courses!A88&amp;"; ","")</f>
        <v/>
      </c>
      <c r="V94" t="str">
        <f>IF(AND($R$9=1,Courses!B88&lt;&gt;"",Courses!I88="",Courses!F88&lt;&gt;"",Courses!G88&lt;&gt;"",Courses!H88&lt;&gt;""),IF(OR((Courses!F88+Courses!H88)&lt;&gt;1),"Row "&amp;Courses!A88&amp;"; ",""),"")</f>
        <v/>
      </c>
      <c r="W94" s="183" t="str">
        <f>IF(AND($R$9=1,Courses!B88&lt;&gt;"",Courses!I88&lt;&gt;"",Courses!J88&lt;&gt;"",Courses!H88&lt;&gt;"",Courses!G88&lt;&gt;"",Courses!F88&lt;&gt;""),IF(OR((Courses!F88+Courses!H88+Courses!J88)&lt;&gt;1),"Row "&amp;Courses!A88&amp;"; ",""),"")</f>
        <v/>
      </c>
      <c r="Y94" s="1592" t="str">
        <f>IF(AND($R$9=1,Courses!E88&lt;&gt;"",U94="",V94="",W94="",SUM(Courses!F88,Courses!H88,Courses!J88)&lt;&gt;1),"Row "&amp;Courses!A88&amp;"; ","")</f>
        <v/>
      </c>
      <c r="Z94" s="17"/>
      <c r="AB94" s="1593" t="str">
        <f>IF(AND($S$9=1,Courses!B88&lt;&gt;"",Courses!E88&lt;&gt;"",Courses!F88&lt;&gt;""),IF((TRUNC(Courses!F88*100)&lt;&gt;Courses!F88*100),"Row "&amp;Courses!A88&amp;", "&amp;Courses!$F$10&amp;"; ",""),"")</f>
        <v/>
      </c>
      <c r="AC94" t="str">
        <f>IF(AND($S$9=1,Courses!B88&lt;&gt;"",Courses!G88&lt;&gt;"",Courses!H88&lt;&gt;""),IF((TRUNC(Courses!H88*100)&lt;&gt;Courses!H88*100),"Row "&amp;Courses!A88&amp;", "&amp;Courses!$H$10&amp;"; ",""),"")</f>
        <v/>
      </c>
      <c r="AD94" s="183" t="str">
        <f>IF(AND($S$9=1,Courses!B88&lt;&gt;"",Courses!I88&lt;&gt;"",Courses!J88&lt;&gt;""),IF((TRUNC(Courses!J88*100)&lt;&gt;Courses!J88*100),"Row "&amp;Courses!A88&amp;", "&amp;Courses!$J$10&amp;"; ",""),"")</f>
        <v/>
      </c>
      <c r="AF94" s="118"/>
      <c r="AG94" s="1592" t="str">
        <f>IF(AND($T$9=1,G94="",Courses!B88&lt;&gt;"",Courses!K88&lt;&gt;$B$9,Courses!K88&lt;&gt;$B$10,Courses!K88&lt;&gt;$B$11,Courses!K88&lt;&gt;$B$12,Courses!K88&lt;&gt;$B$13,Courses!K88&lt;&gt;$B$14),"Row "&amp;Courses!A88&amp;"; ","")</f>
        <v/>
      </c>
      <c r="AH94" s="1592" t="str">
        <f>IF(AND($U$9=1,G94="",Courses!B88&lt;&gt;"",Courses!L88&lt;&gt;"Standard",Courses!L88&lt;&gt;"Long"),"Row "&amp;Courses!A88&amp;"; ","")</f>
        <v/>
      </c>
      <c r="AJ94" s="118"/>
      <c r="AK94" s="3">
        <v>75</v>
      </c>
      <c r="AL94" s="1593" t="str">
        <f>IF(AND($V$9=1,(TRUNC(Courses!M88)&lt;&gt;Courses!M88)), "Row "&amp;Courses!$A88&amp;", "&amp;AL$9&amp;", "&amp;AL$10&amp;", "&amp;AL$11&amp;"; ","")</f>
        <v/>
      </c>
      <c r="AM94" t="str">
        <f>IF(AND($V$9=1,(TRUNC(Courses!N88)&lt;&gt;Courses!N88)), "Row "&amp;Courses!$A88&amp;", "&amp;AM$9&amp;", "&amp;AM$10&amp;", "&amp;AM$11&amp;"; ","")</f>
        <v/>
      </c>
      <c r="AN94" t="str">
        <f>IF(AND($V$9=1,(TRUNC(Courses!O88)&lt;&gt;Courses!O88)), "Row "&amp;Courses!$A88&amp;", "&amp;AN$9&amp;", "&amp;AN$10&amp;", "&amp;AN$11&amp;"; ","")</f>
        <v/>
      </c>
      <c r="AO94" t="str">
        <f>IF(AND($V$9=1,(TRUNC(Courses!P88)&lt;&gt;Courses!P88)), "Row "&amp;Courses!$A88&amp;", "&amp;AO$9&amp;", "&amp;AO$10&amp;", "&amp;AO$11&amp;"; ","")</f>
        <v/>
      </c>
      <c r="AP94" s="2120" t="str">
        <f>IF(AND($V$9=1,(TRUNC(Courses!Q88)&lt;&gt;Courses!Q88)), "Row "&amp;Courses!$A88&amp;", "&amp;AP$9&amp;", "&amp;AP$10&amp;"; ","")</f>
        <v/>
      </c>
      <c r="AQ94" s="1593" t="str">
        <f>IF(AND($V$9=1,(TRUNC(Courses!R88)&lt;&gt;Courses!R88)), "Row "&amp;Courses!$A88&amp;", "&amp;AQ$9&amp;", "&amp;AQ$10&amp;", "&amp;AQ$11&amp;"; ","")</f>
        <v/>
      </c>
      <c r="AR94" t="str">
        <f>IF(AND($V$9=1,(TRUNC(Courses!S88)&lt;&gt;Courses!S88)), "Row "&amp;Courses!$A88&amp;", "&amp;AR$9&amp;", "&amp;AR$10&amp;", "&amp;AR$11&amp;"; ","")</f>
        <v/>
      </c>
      <c r="AS94" t="str">
        <f>IF(AND($V$9=1,(TRUNC(Courses!T88)&lt;&gt;Courses!T88)), "Row "&amp;Courses!$A88&amp;", "&amp;AS$9&amp;", "&amp;AS$10&amp;", "&amp;AS$11&amp;"; ","")</f>
        <v/>
      </c>
      <c r="AT94" t="str">
        <f>IF(AND($V$9=1,(TRUNC(Courses!U88)&lt;&gt;Courses!U88)), "Row "&amp;Courses!$A88&amp;", "&amp;AT$9&amp;", "&amp;AT$10&amp;", "&amp;AT$11&amp;"; ","")</f>
        <v/>
      </c>
      <c r="AU94" s="2120" t="str">
        <f>IF(AND($V$9=1,(TRUNC(Courses!V88)&lt;&gt;Courses!V88)), "Row "&amp;Courses!$A88&amp;", "&amp;AU$9&amp;", "&amp;AU$10&amp;"; ","")</f>
        <v/>
      </c>
      <c r="AV94" s="1593" t="str">
        <f>IF(AND($V$9=1,(TRUNC(Courses!W88)&lt;&gt;Courses!W88)), "Row "&amp;Courses!$A88&amp;", "&amp;AV$9&amp;", "&amp;AV$10&amp;", "&amp;AV$11&amp;"; ","")</f>
        <v/>
      </c>
      <c r="AW94" t="str">
        <f>IF(AND($V$9=1,(TRUNC(Courses!X88)&lt;&gt;Courses!X88)), "Row "&amp;Courses!$A88&amp;", "&amp;AW$9&amp;", "&amp;AW$10&amp;", "&amp;AW$11&amp;"; ","")</f>
        <v/>
      </c>
      <c r="AX94" t="str">
        <f>IF(AND($V$9=1,(TRUNC(Courses!Y88)&lt;&gt;Courses!Y88)), "Row "&amp;Courses!$A88&amp;", "&amp;AX$9&amp;", "&amp;AX$10&amp;", "&amp;AX$11&amp;"; ","")</f>
        <v/>
      </c>
      <c r="AY94" t="str">
        <f>IF(AND($V$9=1,(TRUNC(Courses!Z88)&lt;&gt;Courses!Z88)), "Row "&amp;Courses!$A88&amp;", "&amp;AY$9&amp;", "&amp;AY$10&amp;", "&amp;AY$11&amp;"; ","")</f>
        <v/>
      </c>
      <c r="AZ94" s="2120" t="str">
        <f>IF(AND($V$9=1,(TRUNC(Courses!AA88)&lt;&gt;Courses!AA88)), "Row "&amp;Courses!$A88&amp;", "&amp;AZ$9&amp;", "&amp;AZ$10&amp;"; ","")</f>
        <v/>
      </c>
      <c r="BA94" s="17"/>
      <c r="BB94" s="118"/>
      <c r="BC94" s="3">
        <v>75</v>
      </c>
      <c r="BD94" s="1593" t="str">
        <f>IF(AND($W$9=1,Courses!M88&lt;0), "Row "&amp;Courses!$A88&amp;", "&amp;BD$9&amp;", "&amp;BD$10&amp;", "&amp;BD$11&amp;"; ","")</f>
        <v/>
      </c>
      <c r="BE94" t="str">
        <f>IF(AND($W$9=1,Courses!N88&lt;0), "Row "&amp;Courses!$A88&amp;", "&amp;BE$9&amp;", "&amp;BE$10&amp;", "&amp;BE$11&amp;"; ","")</f>
        <v/>
      </c>
      <c r="BF94" t="str">
        <f>IF(AND($W$9=1,Courses!O88&lt;0), "Row "&amp;Courses!$A88&amp;", "&amp;BF$9&amp;", "&amp;BF$10&amp;", "&amp;BF$11&amp;"; ","")</f>
        <v/>
      </c>
      <c r="BG94" t="str">
        <f>IF(AND($W$9=1,Courses!P88&lt;0), "Row "&amp;Courses!$A88&amp;", "&amp;BG$9&amp;", "&amp;BG$10&amp;", "&amp;BG$11&amp;"; ","")</f>
        <v/>
      </c>
      <c r="BH94" s="2120" t="str">
        <f>IF(AND($W$9=1,Courses!Q88&lt;0), "Row "&amp;Courses!$A88&amp;", "&amp;BH$9&amp;", "&amp;BH$10&amp;"; ","")</f>
        <v/>
      </c>
      <c r="BI94" s="1593" t="str">
        <f>IF(AND($W$9=1,Courses!R88&lt;0), "Row "&amp;Courses!$A88&amp;", "&amp;BI$9&amp;", "&amp;BI$10&amp;", "&amp;BI$11&amp;"; ","")</f>
        <v/>
      </c>
      <c r="BJ94" t="str">
        <f>IF(AND($W$9=1,Courses!S88&lt;0), "Row "&amp;Courses!$A88&amp;", "&amp;BJ$9&amp;", "&amp;BJ$10&amp;", "&amp;BJ$11&amp;"; ","")</f>
        <v/>
      </c>
      <c r="BK94" t="str">
        <f>IF(AND($W$9=1,Courses!T88&lt;0), "Row "&amp;Courses!$A88&amp;", "&amp;BK$9&amp;", "&amp;BK$10&amp;", "&amp;BK$11&amp;"; ","")</f>
        <v/>
      </c>
      <c r="BL94" t="str">
        <f>IF(AND($W$9=1,Courses!U88&lt;0), "Row "&amp;Courses!$A88&amp;", "&amp;BL$9&amp;", "&amp;BL$10&amp;", "&amp;BL$11&amp;"; ","")</f>
        <v/>
      </c>
      <c r="BM94" s="2120" t="str">
        <f>IF(AND($W$9=1,Courses!V88&lt;0), "Row "&amp;Courses!$A88&amp;", "&amp;BM$9&amp;", "&amp;BM$10&amp;"; ","")</f>
        <v/>
      </c>
      <c r="BN94" s="1593" t="str">
        <f>IF(AND($W$9=1,Courses!W88&lt;0), "Row "&amp;Courses!$A88&amp;", "&amp;BN$9&amp;", "&amp;BN$10&amp;", "&amp;BN$11&amp;"; ","")</f>
        <v/>
      </c>
      <c r="BO94" t="str">
        <f>IF(AND($W$9=1,Courses!X88&lt;0), "Row "&amp;Courses!$A88&amp;", "&amp;BO$9&amp;", "&amp;BO$10&amp;", "&amp;BO$11&amp;"; ","")</f>
        <v/>
      </c>
      <c r="BP94" t="str">
        <f>IF(AND($W$9=1,Courses!Y88&lt;0), "Row "&amp;Courses!$A88&amp;", "&amp;BP$9&amp;", "&amp;BP$10&amp;", "&amp;BP$11&amp;"; ","")</f>
        <v/>
      </c>
      <c r="BQ94" t="str">
        <f>IF(AND($W$9=1,Courses!Z88&lt;0), "Row "&amp;Courses!$A88&amp;", "&amp;BQ$9&amp;", "&amp;BQ$10&amp;", "&amp;BQ$11&amp;"; ","")</f>
        <v/>
      </c>
      <c r="BR94" s="2120" t="str">
        <f>IF(AND($W$9=1,Courses!AA88&lt;0), "Row "&amp;Courses!$A88&amp;", "&amp;BR$9&amp;", "&amp;BR$10&amp;"; ","")</f>
        <v/>
      </c>
      <c r="BT94" s="186">
        <v>75</v>
      </c>
      <c r="BU94" s="40">
        <f>IF(AND($X$9=1,Courses!B88="",Courses!F88="",Courses!H88="",Courses!J88="",Courses!K88="",Courses!L88="",Courses!M88=0,Courses!N88=0,Courses!O88=0,Courses!P88=0,Courses!Q88=0,Courses!R88=0,Courses!S88=0,Courses!T88=0,Courses!U88=0,Courses!V88=0,Courses!W88=0,Courses!X88=0,Courses!Y88=0,Courses!Z88=0,Courses!AA88=0),0,1)</f>
        <v>0</v>
      </c>
      <c r="BV94" s="40">
        <f>IF(AND(BU94=0,SUM(BU95:$BU$219)&gt;0),1,0)</f>
        <v>0</v>
      </c>
      <c r="BW94" s="1595" t="str">
        <f>IF(BV94=1,"Row "&amp;Courses!A88&amp;"; ","")</f>
        <v/>
      </c>
      <c r="BX94" s="17"/>
      <c r="BZ94" s="1592" t="str">
        <f>IF(AND($Y$9=1,Courses!B88&lt;&gt;"",SUM(Courses!M88:AA88)=0),"Row "&amp;Courses!A88&amp;"; ","")</f>
        <v/>
      </c>
      <c r="CA94" s="17"/>
      <c r="CC94" s="1592" t="str">
        <f>IF(AND($Z$9=1,Courses!AD88=1,(LEN(Courses!AB88)&gt;200)),"Row "&amp;Courses!A88&amp;"; ","")</f>
        <v/>
      </c>
      <c r="CE94" s="131"/>
      <c r="CG94" s="1593" t="str">
        <f>IF(AND($AD$9=1,Courses!E88&lt;&gt;"",Courses!F88&lt;&gt;"",Courses!F88=0,SUM(Courses!H88,Courses!J88)=1),"Row "&amp;Courses!A88&amp;", "&amp;Courses!$F$10&amp;"; ","")</f>
        <v/>
      </c>
      <c r="CH94" t="str">
        <f>IF(AND($AD$9=1,Courses!G88&lt;&gt;"",Courses!H88&lt;&gt;"",Courses!H88=0,SUM(Courses!J88,Courses!F88)=1),"Row "&amp;Courses!A88&amp;", "&amp;Courses!$H$10&amp;"; ","")</f>
        <v/>
      </c>
      <c r="CI94" s="183" t="str">
        <f>IF(AND($AD$9=1,Courses!I88&lt;&gt;"",Courses!J88&lt;&gt;"",Courses!J88=0, SUM(Courses!H88,Courses!F88)=1),"Row "&amp;Courses!A88&amp;", "&amp;Courses!$J$10&amp;"; ","")</f>
        <v/>
      </c>
      <c r="CJ94" s="180"/>
      <c r="CK94" s="181"/>
      <c r="CL94" s="1592" t="str">
        <f>IF(AND(Courses!B88&lt;&gt;"",ISNA(VLOOKUP(Courses!C88,CourseInfo,2,FALSE))=FALSE,COUNTIF(Dummy,Courses!C88)&lt;&gt;1),VLOOKUP(Courses!C88,CourseInfo,6,FALSE),"")</f>
        <v/>
      </c>
      <c r="CM94" s="1592" t="str">
        <f>IF(AND($AE$9=1,Courses!B88&lt;&gt;"",'Courses Valid'!AG94="",COUNTIF(Dummy,Courses!C88)&lt;&gt;1),IF(Courses!K88&lt;&gt;'Courses Valid'!CL94,"Row "&amp;Courses!A88&amp;", Level on LARS is "&amp;'Courses Valid'!CL94&amp;"; ",""),"")</f>
        <v/>
      </c>
      <c r="CN94" s="131"/>
    </row>
    <row r="95" spans="3:92" x14ac:dyDescent="0.35">
      <c r="C95" s="1591">
        <f t="shared" si="3"/>
        <v>0</v>
      </c>
      <c r="D95" s="41"/>
      <c r="E95" s="41"/>
      <c r="F95" s="118"/>
      <c r="G95" s="1591" t="str">
        <f>IF(SUMPRODUCT(--(CourseAims=Courses!$C89))=1,"",IF(AND($N$9=1,Courses!$C89&lt;&gt;""),"Row "&amp;Courses!A89&amp;" (invalid); ",""))</f>
        <v/>
      </c>
      <c r="H95" s="1592" t="str">
        <f>IF(AND($O$9=1,Courses!B89="",OR(Courses!F89&lt;&gt;"",Courses!H89&lt;&gt;"",Courses!J89&lt;&gt;"",Courses!K89&lt;&gt;"",Courses!L89&lt;&gt;"",Courses!M89&lt;&gt;0,Courses!N89&lt;&gt;0,Courses!O89&lt;&gt;0,Courses!P89&lt;&gt;0,Courses!Q89&lt;&gt;0,Courses!R89&lt;&gt;0,Courses!S89&lt;&gt;0,Courses!T89&lt;&gt;0,Courses!U89&lt;&gt;0,Courses!V89&lt;&gt;0,Courses!W89&lt;&gt;0,Courses!X89&lt;&gt;0,Courses!Y89&lt;&gt;0,Courses!Z89&lt;&gt;0,Courses!AA89&lt;&gt;0)),"Row "&amp;Courses!A89&amp;" (none); ","")</f>
        <v/>
      </c>
      <c r="I95" s="17"/>
      <c r="K95" s="1592" t="str">
        <f>Courses!B89&amp;Courses!K89&amp;Courses!L89</f>
        <v/>
      </c>
      <c r="L95" s="1592" t="str">
        <f>IF(AND($P$9=1,Courses!$B89&lt;&gt;"",COUNTIF(Dummy,Courses!$C89)&lt;&gt;1),IF(SUMPRODUCT(--($K$20:$K$219=$K95))&gt;1,"Row "&amp;Courses!$A89&amp;"; ",""),"")</f>
        <v/>
      </c>
      <c r="N95" s="118"/>
      <c r="O95" s="1593" t="str">
        <f>IF(AND($Q$9=1,Courses!E89&lt;&gt;"",Courses!F89=""),"Row "&amp;Courses!A89&amp;", "&amp;Courses!$E$10&amp;"; ","")</f>
        <v/>
      </c>
      <c r="P95" t="str">
        <f>IF(AND($Q$9=1,Courses!G89&lt;&gt;"",Courses!H89=""),"Row "&amp;Courses!A89&amp;", "&amp;Courses!$G$10&amp;"; ","")</f>
        <v/>
      </c>
      <c r="Q95" s="183" t="str">
        <f>IF(AND($Q$9=1,Courses!I89&lt;&gt;"",Courses!J89=""),"Row "&amp;Courses!A89&amp;", "&amp;Courses!$I$10&amp;"; ","")</f>
        <v/>
      </c>
      <c r="S95" s="17"/>
      <c r="T95" s="118"/>
      <c r="U95" s="1594" t="str">
        <f>IF(AND($R$9=1,Courses!B89&lt;&gt;"",Courses!E89&lt;&gt;"",Courses!G89="",Courses!I89="",Courses!F89&lt;&gt;1),"Row "&amp;Courses!A89&amp;"; ","")</f>
        <v/>
      </c>
      <c r="V95" t="str">
        <f>IF(AND($R$9=1,Courses!B89&lt;&gt;"",Courses!I89="",Courses!F89&lt;&gt;"",Courses!G89&lt;&gt;"",Courses!H89&lt;&gt;""),IF(OR((Courses!F89+Courses!H89)&lt;&gt;1),"Row "&amp;Courses!A89&amp;"; ",""),"")</f>
        <v/>
      </c>
      <c r="W95" s="183" t="str">
        <f>IF(AND($R$9=1,Courses!B89&lt;&gt;"",Courses!I89&lt;&gt;"",Courses!J89&lt;&gt;"",Courses!H89&lt;&gt;"",Courses!G89&lt;&gt;"",Courses!F89&lt;&gt;""),IF(OR((Courses!F89+Courses!H89+Courses!J89)&lt;&gt;1),"Row "&amp;Courses!A89&amp;"; ",""),"")</f>
        <v/>
      </c>
      <c r="Y95" s="1592" t="str">
        <f>IF(AND($R$9=1,Courses!E89&lt;&gt;"",U95="",V95="",W95="",SUM(Courses!F89,Courses!H89,Courses!J89)&lt;&gt;1),"Row "&amp;Courses!A89&amp;"; ","")</f>
        <v/>
      </c>
      <c r="Z95" s="17"/>
      <c r="AB95" s="1593" t="str">
        <f>IF(AND($S$9=1,Courses!B89&lt;&gt;"",Courses!E89&lt;&gt;"",Courses!F89&lt;&gt;""),IF((TRUNC(Courses!F89*100)&lt;&gt;Courses!F89*100),"Row "&amp;Courses!A89&amp;", "&amp;Courses!$F$10&amp;"; ",""),"")</f>
        <v/>
      </c>
      <c r="AC95" t="str">
        <f>IF(AND($S$9=1,Courses!B89&lt;&gt;"",Courses!G89&lt;&gt;"",Courses!H89&lt;&gt;""),IF((TRUNC(Courses!H89*100)&lt;&gt;Courses!H89*100),"Row "&amp;Courses!A89&amp;", "&amp;Courses!$H$10&amp;"; ",""),"")</f>
        <v/>
      </c>
      <c r="AD95" s="183" t="str">
        <f>IF(AND($S$9=1,Courses!B89&lt;&gt;"",Courses!I89&lt;&gt;"",Courses!J89&lt;&gt;""),IF((TRUNC(Courses!J89*100)&lt;&gt;Courses!J89*100),"Row "&amp;Courses!A89&amp;", "&amp;Courses!$J$10&amp;"; ",""),"")</f>
        <v/>
      </c>
      <c r="AF95" s="118"/>
      <c r="AG95" s="1592" t="str">
        <f>IF(AND($T$9=1,G95="",Courses!B89&lt;&gt;"",Courses!K89&lt;&gt;$B$9,Courses!K89&lt;&gt;$B$10,Courses!K89&lt;&gt;$B$11,Courses!K89&lt;&gt;$B$12,Courses!K89&lt;&gt;$B$13,Courses!K89&lt;&gt;$B$14),"Row "&amp;Courses!A89&amp;"; ","")</f>
        <v/>
      </c>
      <c r="AH95" s="1592" t="str">
        <f>IF(AND($U$9=1,G95="",Courses!B89&lt;&gt;"",Courses!L89&lt;&gt;"Standard",Courses!L89&lt;&gt;"Long"),"Row "&amp;Courses!A89&amp;"; ","")</f>
        <v/>
      </c>
      <c r="AJ95" s="118"/>
      <c r="AK95" s="3">
        <v>76</v>
      </c>
      <c r="AL95" s="1593" t="str">
        <f>IF(AND($V$9=1,(TRUNC(Courses!M89)&lt;&gt;Courses!M89)), "Row "&amp;Courses!$A89&amp;", "&amp;AL$9&amp;", "&amp;AL$10&amp;", "&amp;AL$11&amp;"; ","")</f>
        <v/>
      </c>
      <c r="AM95" t="str">
        <f>IF(AND($V$9=1,(TRUNC(Courses!N89)&lt;&gt;Courses!N89)), "Row "&amp;Courses!$A89&amp;", "&amp;AM$9&amp;", "&amp;AM$10&amp;", "&amp;AM$11&amp;"; ","")</f>
        <v/>
      </c>
      <c r="AN95" t="str">
        <f>IF(AND($V$9=1,(TRUNC(Courses!O89)&lt;&gt;Courses!O89)), "Row "&amp;Courses!$A89&amp;", "&amp;AN$9&amp;", "&amp;AN$10&amp;", "&amp;AN$11&amp;"; ","")</f>
        <v/>
      </c>
      <c r="AO95" t="str">
        <f>IF(AND($V$9=1,(TRUNC(Courses!P89)&lt;&gt;Courses!P89)), "Row "&amp;Courses!$A89&amp;", "&amp;AO$9&amp;", "&amp;AO$10&amp;", "&amp;AO$11&amp;"; ","")</f>
        <v/>
      </c>
      <c r="AP95" s="2120" t="str">
        <f>IF(AND($V$9=1,(TRUNC(Courses!Q89)&lt;&gt;Courses!Q89)), "Row "&amp;Courses!$A89&amp;", "&amp;AP$9&amp;", "&amp;AP$10&amp;"; ","")</f>
        <v/>
      </c>
      <c r="AQ95" s="1593" t="str">
        <f>IF(AND($V$9=1,(TRUNC(Courses!R89)&lt;&gt;Courses!R89)), "Row "&amp;Courses!$A89&amp;", "&amp;AQ$9&amp;", "&amp;AQ$10&amp;", "&amp;AQ$11&amp;"; ","")</f>
        <v/>
      </c>
      <c r="AR95" t="str">
        <f>IF(AND($V$9=1,(TRUNC(Courses!S89)&lt;&gt;Courses!S89)), "Row "&amp;Courses!$A89&amp;", "&amp;AR$9&amp;", "&amp;AR$10&amp;", "&amp;AR$11&amp;"; ","")</f>
        <v/>
      </c>
      <c r="AS95" t="str">
        <f>IF(AND($V$9=1,(TRUNC(Courses!T89)&lt;&gt;Courses!T89)), "Row "&amp;Courses!$A89&amp;", "&amp;AS$9&amp;", "&amp;AS$10&amp;", "&amp;AS$11&amp;"; ","")</f>
        <v/>
      </c>
      <c r="AT95" t="str">
        <f>IF(AND($V$9=1,(TRUNC(Courses!U89)&lt;&gt;Courses!U89)), "Row "&amp;Courses!$A89&amp;", "&amp;AT$9&amp;", "&amp;AT$10&amp;", "&amp;AT$11&amp;"; ","")</f>
        <v/>
      </c>
      <c r="AU95" s="2120" t="str">
        <f>IF(AND($V$9=1,(TRUNC(Courses!V89)&lt;&gt;Courses!V89)), "Row "&amp;Courses!$A89&amp;", "&amp;AU$9&amp;", "&amp;AU$10&amp;"; ","")</f>
        <v/>
      </c>
      <c r="AV95" s="1593" t="str">
        <f>IF(AND($V$9=1,(TRUNC(Courses!W89)&lt;&gt;Courses!W89)), "Row "&amp;Courses!$A89&amp;", "&amp;AV$9&amp;", "&amp;AV$10&amp;", "&amp;AV$11&amp;"; ","")</f>
        <v/>
      </c>
      <c r="AW95" t="str">
        <f>IF(AND($V$9=1,(TRUNC(Courses!X89)&lt;&gt;Courses!X89)), "Row "&amp;Courses!$A89&amp;", "&amp;AW$9&amp;", "&amp;AW$10&amp;", "&amp;AW$11&amp;"; ","")</f>
        <v/>
      </c>
      <c r="AX95" t="str">
        <f>IF(AND($V$9=1,(TRUNC(Courses!Y89)&lt;&gt;Courses!Y89)), "Row "&amp;Courses!$A89&amp;", "&amp;AX$9&amp;", "&amp;AX$10&amp;", "&amp;AX$11&amp;"; ","")</f>
        <v/>
      </c>
      <c r="AY95" t="str">
        <f>IF(AND($V$9=1,(TRUNC(Courses!Z89)&lt;&gt;Courses!Z89)), "Row "&amp;Courses!$A89&amp;", "&amp;AY$9&amp;", "&amp;AY$10&amp;", "&amp;AY$11&amp;"; ","")</f>
        <v/>
      </c>
      <c r="AZ95" s="2120" t="str">
        <f>IF(AND($V$9=1,(TRUNC(Courses!AA89)&lt;&gt;Courses!AA89)), "Row "&amp;Courses!$A89&amp;", "&amp;AZ$9&amp;", "&amp;AZ$10&amp;"; ","")</f>
        <v/>
      </c>
      <c r="BA95" s="17"/>
      <c r="BB95" s="118"/>
      <c r="BC95" s="3">
        <v>76</v>
      </c>
      <c r="BD95" s="1593" t="str">
        <f>IF(AND($W$9=1,Courses!M89&lt;0), "Row "&amp;Courses!$A89&amp;", "&amp;BD$9&amp;", "&amp;BD$10&amp;", "&amp;BD$11&amp;"; ","")</f>
        <v/>
      </c>
      <c r="BE95" t="str">
        <f>IF(AND($W$9=1,Courses!N89&lt;0), "Row "&amp;Courses!$A89&amp;", "&amp;BE$9&amp;", "&amp;BE$10&amp;", "&amp;BE$11&amp;"; ","")</f>
        <v/>
      </c>
      <c r="BF95" t="str">
        <f>IF(AND($W$9=1,Courses!O89&lt;0), "Row "&amp;Courses!$A89&amp;", "&amp;BF$9&amp;", "&amp;BF$10&amp;", "&amp;BF$11&amp;"; ","")</f>
        <v/>
      </c>
      <c r="BG95" t="str">
        <f>IF(AND($W$9=1,Courses!P89&lt;0), "Row "&amp;Courses!$A89&amp;", "&amp;BG$9&amp;", "&amp;BG$10&amp;", "&amp;BG$11&amp;"; ","")</f>
        <v/>
      </c>
      <c r="BH95" s="2120" t="str">
        <f>IF(AND($W$9=1,Courses!Q89&lt;0), "Row "&amp;Courses!$A89&amp;", "&amp;BH$9&amp;", "&amp;BH$10&amp;"; ","")</f>
        <v/>
      </c>
      <c r="BI95" s="1593" t="str">
        <f>IF(AND($W$9=1,Courses!R89&lt;0), "Row "&amp;Courses!$A89&amp;", "&amp;BI$9&amp;", "&amp;BI$10&amp;", "&amp;BI$11&amp;"; ","")</f>
        <v/>
      </c>
      <c r="BJ95" t="str">
        <f>IF(AND($W$9=1,Courses!S89&lt;0), "Row "&amp;Courses!$A89&amp;", "&amp;BJ$9&amp;", "&amp;BJ$10&amp;", "&amp;BJ$11&amp;"; ","")</f>
        <v/>
      </c>
      <c r="BK95" t="str">
        <f>IF(AND($W$9=1,Courses!T89&lt;0), "Row "&amp;Courses!$A89&amp;", "&amp;BK$9&amp;", "&amp;BK$10&amp;", "&amp;BK$11&amp;"; ","")</f>
        <v/>
      </c>
      <c r="BL95" t="str">
        <f>IF(AND($W$9=1,Courses!U89&lt;0), "Row "&amp;Courses!$A89&amp;", "&amp;BL$9&amp;", "&amp;BL$10&amp;", "&amp;BL$11&amp;"; ","")</f>
        <v/>
      </c>
      <c r="BM95" s="2120" t="str">
        <f>IF(AND($W$9=1,Courses!V89&lt;0), "Row "&amp;Courses!$A89&amp;", "&amp;BM$9&amp;", "&amp;BM$10&amp;"; ","")</f>
        <v/>
      </c>
      <c r="BN95" s="1593" t="str">
        <f>IF(AND($W$9=1,Courses!W89&lt;0), "Row "&amp;Courses!$A89&amp;", "&amp;BN$9&amp;", "&amp;BN$10&amp;", "&amp;BN$11&amp;"; ","")</f>
        <v/>
      </c>
      <c r="BO95" t="str">
        <f>IF(AND($W$9=1,Courses!X89&lt;0), "Row "&amp;Courses!$A89&amp;", "&amp;BO$9&amp;", "&amp;BO$10&amp;", "&amp;BO$11&amp;"; ","")</f>
        <v/>
      </c>
      <c r="BP95" t="str">
        <f>IF(AND($W$9=1,Courses!Y89&lt;0), "Row "&amp;Courses!$A89&amp;", "&amp;BP$9&amp;", "&amp;BP$10&amp;", "&amp;BP$11&amp;"; ","")</f>
        <v/>
      </c>
      <c r="BQ95" t="str">
        <f>IF(AND($W$9=1,Courses!Z89&lt;0), "Row "&amp;Courses!$A89&amp;", "&amp;BQ$9&amp;", "&amp;BQ$10&amp;", "&amp;BQ$11&amp;"; ","")</f>
        <v/>
      </c>
      <c r="BR95" s="2120" t="str">
        <f>IF(AND($W$9=1,Courses!AA89&lt;0), "Row "&amp;Courses!$A89&amp;", "&amp;BR$9&amp;", "&amp;BR$10&amp;"; ","")</f>
        <v/>
      </c>
      <c r="BT95" s="186">
        <v>76</v>
      </c>
      <c r="BU95" s="40">
        <f>IF(AND($X$9=1,Courses!B89="",Courses!F89="",Courses!H89="",Courses!J89="",Courses!K89="",Courses!L89="",Courses!M89=0,Courses!N89=0,Courses!O89=0,Courses!P89=0,Courses!Q89=0,Courses!R89=0,Courses!S89=0,Courses!T89=0,Courses!U89=0,Courses!V89=0,Courses!W89=0,Courses!X89=0,Courses!Y89=0,Courses!Z89=0,Courses!AA89=0),0,1)</f>
        <v>0</v>
      </c>
      <c r="BV95" s="40">
        <f>IF(AND(BU95=0,SUM(BU96:$BU$219)&gt;0),1,0)</f>
        <v>0</v>
      </c>
      <c r="BW95" s="1595" t="str">
        <f>IF(BV95=1,"Row "&amp;Courses!A89&amp;"; ","")</f>
        <v/>
      </c>
      <c r="BX95" s="17"/>
      <c r="BZ95" s="1592" t="str">
        <f>IF(AND($Y$9=1,Courses!B89&lt;&gt;"",SUM(Courses!M89:AA89)=0),"Row "&amp;Courses!A89&amp;"; ","")</f>
        <v/>
      </c>
      <c r="CA95" s="17"/>
      <c r="CC95" s="1592" t="str">
        <f>IF(AND($Z$9=1,Courses!AD89=1,(LEN(Courses!AB89)&gt;200)),"Row "&amp;Courses!A89&amp;"; ","")</f>
        <v/>
      </c>
      <c r="CE95" s="131"/>
      <c r="CG95" s="1593" t="str">
        <f>IF(AND($AD$9=1,Courses!E89&lt;&gt;"",Courses!F89&lt;&gt;"",Courses!F89=0,SUM(Courses!H89,Courses!J89)=1),"Row "&amp;Courses!A89&amp;", "&amp;Courses!$F$10&amp;"; ","")</f>
        <v/>
      </c>
      <c r="CH95" t="str">
        <f>IF(AND($AD$9=1,Courses!G89&lt;&gt;"",Courses!H89&lt;&gt;"",Courses!H89=0,SUM(Courses!J89,Courses!F89)=1),"Row "&amp;Courses!A89&amp;", "&amp;Courses!$H$10&amp;"; ","")</f>
        <v/>
      </c>
      <c r="CI95" s="183" t="str">
        <f>IF(AND($AD$9=1,Courses!I89&lt;&gt;"",Courses!J89&lt;&gt;"",Courses!J89=0, SUM(Courses!H89,Courses!F89)=1),"Row "&amp;Courses!A89&amp;", "&amp;Courses!$J$10&amp;"; ","")</f>
        <v/>
      </c>
      <c r="CJ95" s="180"/>
      <c r="CK95" s="181"/>
      <c r="CL95" s="1592" t="str">
        <f>IF(AND(Courses!B89&lt;&gt;"",ISNA(VLOOKUP(Courses!C89,CourseInfo,2,FALSE))=FALSE,COUNTIF(Dummy,Courses!C89)&lt;&gt;1),VLOOKUP(Courses!C89,CourseInfo,6,FALSE),"")</f>
        <v/>
      </c>
      <c r="CM95" s="1592" t="str">
        <f>IF(AND($AE$9=1,Courses!B89&lt;&gt;"",'Courses Valid'!AG95="",COUNTIF(Dummy,Courses!C89)&lt;&gt;1),IF(Courses!K89&lt;&gt;'Courses Valid'!CL95,"Row "&amp;Courses!A89&amp;", Level on LARS is "&amp;'Courses Valid'!CL95&amp;"; ",""),"")</f>
        <v/>
      </c>
      <c r="CN95" s="131"/>
    </row>
    <row r="96" spans="3:92" x14ac:dyDescent="0.35">
      <c r="C96" s="1591">
        <f t="shared" si="3"/>
        <v>0</v>
      </c>
      <c r="D96" s="41"/>
      <c r="E96" s="41"/>
      <c r="F96" s="118"/>
      <c r="G96" s="1591" t="str">
        <f>IF(SUMPRODUCT(--(CourseAims=Courses!$C90))=1,"",IF(AND($N$9=1,Courses!$C90&lt;&gt;""),"Row "&amp;Courses!A90&amp;" (invalid); ",""))</f>
        <v/>
      </c>
      <c r="H96" s="1592" t="str">
        <f>IF(AND($O$9=1,Courses!B90="",OR(Courses!F90&lt;&gt;"",Courses!H90&lt;&gt;"",Courses!J90&lt;&gt;"",Courses!K90&lt;&gt;"",Courses!L90&lt;&gt;"",Courses!M90&lt;&gt;0,Courses!N90&lt;&gt;0,Courses!O90&lt;&gt;0,Courses!P90&lt;&gt;0,Courses!Q90&lt;&gt;0,Courses!R90&lt;&gt;0,Courses!S90&lt;&gt;0,Courses!T90&lt;&gt;0,Courses!U90&lt;&gt;0,Courses!V90&lt;&gt;0,Courses!W90&lt;&gt;0,Courses!X90&lt;&gt;0,Courses!Y90&lt;&gt;0,Courses!Z90&lt;&gt;0,Courses!AA90&lt;&gt;0)),"Row "&amp;Courses!A90&amp;" (none); ","")</f>
        <v/>
      </c>
      <c r="I96" s="17"/>
      <c r="K96" s="1592" t="str">
        <f>Courses!B90&amp;Courses!K90&amp;Courses!L90</f>
        <v/>
      </c>
      <c r="L96" s="1592" t="str">
        <f>IF(AND($P$9=1,Courses!$B90&lt;&gt;"",COUNTIF(Dummy,Courses!$C90)&lt;&gt;1),IF(SUMPRODUCT(--($K$20:$K$219=$K96))&gt;1,"Row "&amp;Courses!$A90&amp;"; ",""),"")</f>
        <v/>
      </c>
      <c r="N96" s="118"/>
      <c r="O96" s="1593" t="str">
        <f>IF(AND($Q$9=1,Courses!E90&lt;&gt;"",Courses!F90=""),"Row "&amp;Courses!A90&amp;", "&amp;Courses!$E$10&amp;"; ","")</f>
        <v/>
      </c>
      <c r="P96" t="str">
        <f>IF(AND($Q$9=1,Courses!G90&lt;&gt;"",Courses!H90=""),"Row "&amp;Courses!A90&amp;", "&amp;Courses!$G$10&amp;"; ","")</f>
        <v/>
      </c>
      <c r="Q96" s="183" t="str">
        <f>IF(AND($Q$9=1,Courses!I90&lt;&gt;"",Courses!J90=""),"Row "&amp;Courses!A90&amp;", "&amp;Courses!$I$10&amp;"; ","")</f>
        <v/>
      </c>
      <c r="S96" s="17"/>
      <c r="T96" s="118"/>
      <c r="U96" s="1594" t="str">
        <f>IF(AND($R$9=1,Courses!B90&lt;&gt;"",Courses!E90&lt;&gt;"",Courses!G90="",Courses!I90="",Courses!F90&lt;&gt;1),"Row "&amp;Courses!A90&amp;"; ","")</f>
        <v/>
      </c>
      <c r="V96" t="str">
        <f>IF(AND($R$9=1,Courses!B90&lt;&gt;"",Courses!I90="",Courses!F90&lt;&gt;"",Courses!G90&lt;&gt;"",Courses!H90&lt;&gt;""),IF(OR((Courses!F90+Courses!H90)&lt;&gt;1),"Row "&amp;Courses!A90&amp;"; ",""),"")</f>
        <v/>
      </c>
      <c r="W96" s="183" t="str">
        <f>IF(AND($R$9=1,Courses!B90&lt;&gt;"",Courses!I90&lt;&gt;"",Courses!J90&lt;&gt;"",Courses!H90&lt;&gt;"",Courses!G90&lt;&gt;"",Courses!F90&lt;&gt;""),IF(OR((Courses!F90+Courses!H90+Courses!J90)&lt;&gt;1),"Row "&amp;Courses!A90&amp;"; ",""),"")</f>
        <v/>
      </c>
      <c r="Y96" s="1592" t="str">
        <f>IF(AND($R$9=1,Courses!E90&lt;&gt;"",U96="",V96="",W96="",SUM(Courses!F90,Courses!H90,Courses!J90)&lt;&gt;1),"Row "&amp;Courses!A90&amp;"; ","")</f>
        <v/>
      </c>
      <c r="Z96" s="17"/>
      <c r="AB96" s="1593" t="str">
        <f>IF(AND($S$9=1,Courses!B90&lt;&gt;"",Courses!E90&lt;&gt;"",Courses!F90&lt;&gt;""),IF((TRUNC(Courses!F90*100)&lt;&gt;Courses!F90*100),"Row "&amp;Courses!A90&amp;", "&amp;Courses!$F$10&amp;"; ",""),"")</f>
        <v/>
      </c>
      <c r="AC96" t="str">
        <f>IF(AND($S$9=1,Courses!B90&lt;&gt;"",Courses!G90&lt;&gt;"",Courses!H90&lt;&gt;""),IF((TRUNC(Courses!H90*100)&lt;&gt;Courses!H90*100),"Row "&amp;Courses!A90&amp;", "&amp;Courses!$H$10&amp;"; ",""),"")</f>
        <v/>
      </c>
      <c r="AD96" s="183" t="str">
        <f>IF(AND($S$9=1,Courses!B90&lt;&gt;"",Courses!I90&lt;&gt;"",Courses!J90&lt;&gt;""),IF((TRUNC(Courses!J90*100)&lt;&gt;Courses!J90*100),"Row "&amp;Courses!A90&amp;", "&amp;Courses!$J$10&amp;"; ",""),"")</f>
        <v/>
      </c>
      <c r="AF96" s="118"/>
      <c r="AG96" s="1592" t="str">
        <f>IF(AND($T$9=1,G96="",Courses!B90&lt;&gt;"",Courses!K90&lt;&gt;$B$9,Courses!K90&lt;&gt;$B$10,Courses!K90&lt;&gt;$B$11,Courses!K90&lt;&gt;$B$12,Courses!K90&lt;&gt;$B$13,Courses!K90&lt;&gt;$B$14),"Row "&amp;Courses!A90&amp;"; ","")</f>
        <v/>
      </c>
      <c r="AH96" s="1592" t="str">
        <f>IF(AND($U$9=1,G96="",Courses!B90&lt;&gt;"",Courses!L90&lt;&gt;"Standard",Courses!L90&lt;&gt;"Long"),"Row "&amp;Courses!A90&amp;"; ","")</f>
        <v/>
      </c>
      <c r="AJ96" s="118"/>
      <c r="AK96" s="3">
        <v>77</v>
      </c>
      <c r="AL96" s="1593" t="str">
        <f>IF(AND($V$9=1,(TRUNC(Courses!M90)&lt;&gt;Courses!M90)), "Row "&amp;Courses!$A90&amp;", "&amp;AL$9&amp;", "&amp;AL$10&amp;", "&amp;AL$11&amp;"; ","")</f>
        <v/>
      </c>
      <c r="AM96" t="str">
        <f>IF(AND($V$9=1,(TRUNC(Courses!N90)&lt;&gt;Courses!N90)), "Row "&amp;Courses!$A90&amp;", "&amp;AM$9&amp;", "&amp;AM$10&amp;", "&amp;AM$11&amp;"; ","")</f>
        <v/>
      </c>
      <c r="AN96" t="str">
        <f>IF(AND($V$9=1,(TRUNC(Courses!O90)&lt;&gt;Courses!O90)), "Row "&amp;Courses!$A90&amp;", "&amp;AN$9&amp;", "&amp;AN$10&amp;", "&amp;AN$11&amp;"; ","")</f>
        <v/>
      </c>
      <c r="AO96" t="str">
        <f>IF(AND($V$9=1,(TRUNC(Courses!P90)&lt;&gt;Courses!P90)), "Row "&amp;Courses!$A90&amp;", "&amp;AO$9&amp;", "&amp;AO$10&amp;", "&amp;AO$11&amp;"; ","")</f>
        <v/>
      </c>
      <c r="AP96" s="2120" t="str">
        <f>IF(AND($V$9=1,(TRUNC(Courses!Q90)&lt;&gt;Courses!Q90)), "Row "&amp;Courses!$A90&amp;", "&amp;AP$9&amp;", "&amp;AP$10&amp;"; ","")</f>
        <v/>
      </c>
      <c r="AQ96" s="1593" t="str">
        <f>IF(AND($V$9=1,(TRUNC(Courses!R90)&lt;&gt;Courses!R90)), "Row "&amp;Courses!$A90&amp;", "&amp;AQ$9&amp;", "&amp;AQ$10&amp;", "&amp;AQ$11&amp;"; ","")</f>
        <v/>
      </c>
      <c r="AR96" t="str">
        <f>IF(AND($V$9=1,(TRUNC(Courses!S90)&lt;&gt;Courses!S90)), "Row "&amp;Courses!$A90&amp;", "&amp;AR$9&amp;", "&amp;AR$10&amp;", "&amp;AR$11&amp;"; ","")</f>
        <v/>
      </c>
      <c r="AS96" t="str">
        <f>IF(AND($V$9=1,(TRUNC(Courses!T90)&lt;&gt;Courses!T90)), "Row "&amp;Courses!$A90&amp;", "&amp;AS$9&amp;", "&amp;AS$10&amp;", "&amp;AS$11&amp;"; ","")</f>
        <v/>
      </c>
      <c r="AT96" t="str">
        <f>IF(AND($V$9=1,(TRUNC(Courses!U90)&lt;&gt;Courses!U90)), "Row "&amp;Courses!$A90&amp;", "&amp;AT$9&amp;", "&amp;AT$10&amp;", "&amp;AT$11&amp;"; ","")</f>
        <v/>
      </c>
      <c r="AU96" s="2120" t="str">
        <f>IF(AND($V$9=1,(TRUNC(Courses!V90)&lt;&gt;Courses!V90)), "Row "&amp;Courses!$A90&amp;", "&amp;AU$9&amp;", "&amp;AU$10&amp;"; ","")</f>
        <v/>
      </c>
      <c r="AV96" s="1593" t="str">
        <f>IF(AND($V$9=1,(TRUNC(Courses!W90)&lt;&gt;Courses!W90)), "Row "&amp;Courses!$A90&amp;", "&amp;AV$9&amp;", "&amp;AV$10&amp;", "&amp;AV$11&amp;"; ","")</f>
        <v/>
      </c>
      <c r="AW96" t="str">
        <f>IF(AND($V$9=1,(TRUNC(Courses!X90)&lt;&gt;Courses!X90)), "Row "&amp;Courses!$A90&amp;", "&amp;AW$9&amp;", "&amp;AW$10&amp;", "&amp;AW$11&amp;"; ","")</f>
        <v/>
      </c>
      <c r="AX96" t="str">
        <f>IF(AND($V$9=1,(TRUNC(Courses!Y90)&lt;&gt;Courses!Y90)), "Row "&amp;Courses!$A90&amp;", "&amp;AX$9&amp;", "&amp;AX$10&amp;", "&amp;AX$11&amp;"; ","")</f>
        <v/>
      </c>
      <c r="AY96" t="str">
        <f>IF(AND($V$9=1,(TRUNC(Courses!Z90)&lt;&gt;Courses!Z90)), "Row "&amp;Courses!$A90&amp;", "&amp;AY$9&amp;", "&amp;AY$10&amp;", "&amp;AY$11&amp;"; ","")</f>
        <v/>
      </c>
      <c r="AZ96" s="2120" t="str">
        <f>IF(AND($V$9=1,(TRUNC(Courses!AA90)&lt;&gt;Courses!AA90)), "Row "&amp;Courses!$A90&amp;", "&amp;AZ$9&amp;", "&amp;AZ$10&amp;"; ","")</f>
        <v/>
      </c>
      <c r="BA96" s="17"/>
      <c r="BB96" s="118"/>
      <c r="BC96" s="3">
        <v>77</v>
      </c>
      <c r="BD96" s="1593" t="str">
        <f>IF(AND($W$9=1,Courses!M90&lt;0), "Row "&amp;Courses!$A90&amp;", "&amp;BD$9&amp;", "&amp;BD$10&amp;", "&amp;BD$11&amp;"; ","")</f>
        <v/>
      </c>
      <c r="BE96" t="str">
        <f>IF(AND($W$9=1,Courses!N90&lt;0), "Row "&amp;Courses!$A90&amp;", "&amp;BE$9&amp;", "&amp;BE$10&amp;", "&amp;BE$11&amp;"; ","")</f>
        <v/>
      </c>
      <c r="BF96" t="str">
        <f>IF(AND($W$9=1,Courses!O90&lt;0), "Row "&amp;Courses!$A90&amp;", "&amp;BF$9&amp;", "&amp;BF$10&amp;", "&amp;BF$11&amp;"; ","")</f>
        <v/>
      </c>
      <c r="BG96" t="str">
        <f>IF(AND($W$9=1,Courses!P90&lt;0), "Row "&amp;Courses!$A90&amp;", "&amp;BG$9&amp;", "&amp;BG$10&amp;", "&amp;BG$11&amp;"; ","")</f>
        <v/>
      </c>
      <c r="BH96" s="2120" t="str">
        <f>IF(AND($W$9=1,Courses!Q90&lt;0), "Row "&amp;Courses!$A90&amp;", "&amp;BH$9&amp;", "&amp;BH$10&amp;"; ","")</f>
        <v/>
      </c>
      <c r="BI96" s="1593" t="str">
        <f>IF(AND($W$9=1,Courses!R90&lt;0), "Row "&amp;Courses!$A90&amp;", "&amp;BI$9&amp;", "&amp;BI$10&amp;", "&amp;BI$11&amp;"; ","")</f>
        <v/>
      </c>
      <c r="BJ96" t="str">
        <f>IF(AND($W$9=1,Courses!S90&lt;0), "Row "&amp;Courses!$A90&amp;", "&amp;BJ$9&amp;", "&amp;BJ$10&amp;", "&amp;BJ$11&amp;"; ","")</f>
        <v/>
      </c>
      <c r="BK96" t="str">
        <f>IF(AND($W$9=1,Courses!T90&lt;0), "Row "&amp;Courses!$A90&amp;", "&amp;BK$9&amp;", "&amp;BK$10&amp;", "&amp;BK$11&amp;"; ","")</f>
        <v/>
      </c>
      <c r="BL96" t="str">
        <f>IF(AND($W$9=1,Courses!U90&lt;0), "Row "&amp;Courses!$A90&amp;", "&amp;BL$9&amp;", "&amp;BL$10&amp;", "&amp;BL$11&amp;"; ","")</f>
        <v/>
      </c>
      <c r="BM96" s="2120" t="str">
        <f>IF(AND($W$9=1,Courses!V90&lt;0), "Row "&amp;Courses!$A90&amp;", "&amp;BM$9&amp;", "&amp;BM$10&amp;"; ","")</f>
        <v/>
      </c>
      <c r="BN96" s="1593" t="str">
        <f>IF(AND($W$9=1,Courses!W90&lt;0), "Row "&amp;Courses!$A90&amp;", "&amp;BN$9&amp;", "&amp;BN$10&amp;", "&amp;BN$11&amp;"; ","")</f>
        <v/>
      </c>
      <c r="BO96" t="str">
        <f>IF(AND($W$9=1,Courses!X90&lt;0), "Row "&amp;Courses!$A90&amp;", "&amp;BO$9&amp;", "&amp;BO$10&amp;", "&amp;BO$11&amp;"; ","")</f>
        <v/>
      </c>
      <c r="BP96" t="str">
        <f>IF(AND($W$9=1,Courses!Y90&lt;0), "Row "&amp;Courses!$A90&amp;", "&amp;BP$9&amp;", "&amp;BP$10&amp;", "&amp;BP$11&amp;"; ","")</f>
        <v/>
      </c>
      <c r="BQ96" t="str">
        <f>IF(AND($W$9=1,Courses!Z90&lt;0), "Row "&amp;Courses!$A90&amp;", "&amp;BQ$9&amp;", "&amp;BQ$10&amp;", "&amp;BQ$11&amp;"; ","")</f>
        <v/>
      </c>
      <c r="BR96" s="2120" t="str">
        <f>IF(AND($W$9=1,Courses!AA90&lt;0), "Row "&amp;Courses!$A90&amp;", "&amp;BR$9&amp;", "&amp;BR$10&amp;"; ","")</f>
        <v/>
      </c>
      <c r="BT96" s="186">
        <v>77</v>
      </c>
      <c r="BU96" s="40">
        <f>IF(AND($X$9=1,Courses!B90="",Courses!F90="",Courses!H90="",Courses!J90="",Courses!K90="",Courses!L90="",Courses!M90=0,Courses!N90=0,Courses!O90=0,Courses!P90=0,Courses!Q90=0,Courses!R90=0,Courses!S90=0,Courses!T90=0,Courses!U90=0,Courses!V90=0,Courses!W90=0,Courses!X90=0,Courses!Y90=0,Courses!Z90=0,Courses!AA90=0),0,1)</f>
        <v>0</v>
      </c>
      <c r="BV96" s="40">
        <f>IF(AND(BU96=0,SUM(BU97:$BU$219)&gt;0),1,0)</f>
        <v>0</v>
      </c>
      <c r="BW96" s="1595" t="str">
        <f>IF(BV96=1,"Row "&amp;Courses!A90&amp;"; ","")</f>
        <v/>
      </c>
      <c r="BX96" s="17"/>
      <c r="BZ96" s="1592" t="str">
        <f>IF(AND($Y$9=1,Courses!B90&lt;&gt;"",SUM(Courses!M90:AA90)=0),"Row "&amp;Courses!A90&amp;"; ","")</f>
        <v/>
      </c>
      <c r="CA96" s="17"/>
      <c r="CC96" s="1592" t="str">
        <f>IF(AND($Z$9=1,Courses!AD90=1,(LEN(Courses!AB90)&gt;200)),"Row "&amp;Courses!A90&amp;"; ","")</f>
        <v/>
      </c>
      <c r="CE96" s="131"/>
      <c r="CG96" s="1593" t="str">
        <f>IF(AND($AD$9=1,Courses!E90&lt;&gt;"",Courses!F90&lt;&gt;"",Courses!F90=0,SUM(Courses!H90,Courses!J90)=1),"Row "&amp;Courses!A90&amp;", "&amp;Courses!$F$10&amp;"; ","")</f>
        <v/>
      </c>
      <c r="CH96" t="str">
        <f>IF(AND($AD$9=1,Courses!G90&lt;&gt;"",Courses!H90&lt;&gt;"",Courses!H90=0,SUM(Courses!J90,Courses!F90)=1),"Row "&amp;Courses!A90&amp;", "&amp;Courses!$H$10&amp;"; ","")</f>
        <v/>
      </c>
      <c r="CI96" s="183" t="str">
        <f>IF(AND($AD$9=1,Courses!I90&lt;&gt;"",Courses!J90&lt;&gt;"",Courses!J90=0, SUM(Courses!H90,Courses!F90)=1),"Row "&amp;Courses!A90&amp;", "&amp;Courses!$J$10&amp;"; ","")</f>
        <v/>
      </c>
      <c r="CJ96" s="180"/>
      <c r="CK96" s="181"/>
      <c r="CL96" s="1592" t="str">
        <f>IF(AND(Courses!B90&lt;&gt;"",ISNA(VLOOKUP(Courses!C90,CourseInfo,2,FALSE))=FALSE,COUNTIF(Dummy,Courses!C90)&lt;&gt;1),VLOOKUP(Courses!C90,CourseInfo,6,FALSE),"")</f>
        <v/>
      </c>
      <c r="CM96" s="1592" t="str">
        <f>IF(AND($AE$9=1,Courses!B90&lt;&gt;"",'Courses Valid'!AG96="",COUNTIF(Dummy,Courses!C90)&lt;&gt;1),IF(Courses!K90&lt;&gt;'Courses Valid'!CL96,"Row "&amp;Courses!A90&amp;", Level on LARS is "&amp;'Courses Valid'!CL96&amp;"; ",""),"")</f>
        <v/>
      </c>
      <c r="CN96" s="131"/>
    </row>
    <row r="97" spans="3:92" x14ac:dyDescent="0.35">
      <c r="C97" s="1591">
        <f t="shared" si="3"/>
        <v>0</v>
      </c>
      <c r="D97" s="41"/>
      <c r="E97" s="41"/>
      <c r="F97" s="118"/>
      <c r="G97" s="1591" t="str">
        <f>IF(SUMPRODUCT(--(CourseAims=Courses!$C91))=1,"",IF(AND($N$9=1,Courses!$C91&lt;&gt;""),"Row "&amp;Courses!A91&amp;" (invalid); ",""))</f>
        <v/>
      </c>
      <c r="H97" s="1592" t="str">
        <f>IF(AND($O$9=1,Courses!B91="",OR(Courses!F91&lt;&gt;"",Courses!H91&lt;&gt;"",Courses!J91&lt;&gt;"",Courses!K91&lt;&gt;"",Courses!L91&lt;&gt;"",Courses!M91&lt;&gt;0,Courses!N91&lt;&gt;0,Courses!O91&lt;&gt;0,Courses!P91&lt;&gt;0,Courses!Q91&lt;&gt;0,Courses!R91&lt;&gt;0,Courses!S91&lt;&gt;0,Courses!T91&lt;&gt;0,Courses!U91&lt;&gt;0,Courses!V91&lt;&gt;0,Courses!W91&lt;&gt;0,Courses!X91&lt;&gt;0,Courses!Y91&lt;&gt;0,Courses!Z91&lt;&gt;0,Courses!AA91&lt;&gt;0)),"Row "&amp;Courses!A91&amp;" (none); ","")</f>
        <v/>
      </c>
      <c r="I97" s="17"/>
      <c r="K97" s="1592" t="str">
        <f>Courses!B91&amp;Courses!K91&amp;Courses!L91</f>
        <v/>
      </c>
      <c r="L97" s="1592" t="str">
        <f>IF(AND($P$9=1,Courses!$B91&lt;&gt;"",COUNTIF(Dummy,Courses!$C91)&lt;&gt;1),IF(SUMPRODUCT(--($K$20:$K$219=$K97))&gt;1,"Row "&amp;Courses!$A91&amp;"; ",""),"")</f>
        <v/>
      </c>
      <c r="N97" s="118"/>
      <c r="O97" s="1593" t="str">
        <f>IF(AND($Q$9=1,Courses!E91&lt;&gt;"",Courses!F91=""),"Row "&amp;Courses!A91&amp;", "&amp;Courses!$E$10&amp;"; ","")</f>
        <v/>
      </c>
      <c r="P97" t="str">
        <f>IF(AND($Q$9=1,Courses!G91&lt;&gt;"",Courses!H91=""),"Row "&amp;Courses!A91&amp;", "&amp;Courses!$G$10&amp;"; ","")</f>
        <v/>
      </c>
      <c r="Q97" s="183" t="str">
        <f>IF(AND($Q$9=1,Courses!I91&lt;&gt;"",Courses!J91=""),"Row "&amp;Courses!A91&amp;", "&amp;Courses!$I$10&amp;"; ","")</f>
        <v/>
      </c>
      <c r="S97" s="17"/>
      <c r="T97" s="118"/>
      <c r="U97" s="1594" t="str">
        <f>IF(AND($R$9=1,Courses!B91&lt;&gt;"",Courses!E91&lt;&gt;"",Courses!G91="",Courses!I91="",Courses!F91&lt;&gt;1),"Row "&amp;Courses!A91&amp;"; ","")</f>
        <v/>
      </c>
      <c r="V97" t="str">
        <f>IF(AND($R$9=1,Courses!B91&lt;&gt;"",Courses!I91="",Courses!F91&lt;&gt;"",Courses!G91&lt;&gt;"",Courses!H91&lt;&gt;""),IF(OR((Courses!F91+Courses!H91)&lt;&gt;1),"Row "&amp;Courses!A91&amp;"; ",""),"")</f>
        <v/>
      </c>
      <c r="W97" s="183" t="str">
        <f>IF(AND($R$9=1,Courses!B91&lt;&gt;"",Courses!I91&lt;&gt;"",Courses!J91&lt;&gt;"",Courses!H91&lt;&gt;"",Courses!G91&lt;&gt;"",Courses!F91&lt;&gt;""),IF(OR((Courses!F91+Courses!H91+Courses!J91)&lt;&gt;1),"Row "&amp;Courses!A91&amp;"; ",""),"")</f>
        <v/>
      </c>
      <c r="Y97" s="1592" t="str">
        <f>IF(AND($R$9=1,Courses!E91&lt;&gt;"",U97="",V97="",W97="",SUM(Courses!F91,Courses!H91,Courses!J91)&lt;&gt;1),"Row "&amp;Courses!A91&amp;"; ","")</f>
        <v/>
      </c>
      <c r="Z97" s="17"/>
      <c r="AB97" s="1593" t="str">
        <f>IF(AND($S$9=1,Courses!B91&lt;&gt;"",Courses!E91&lt;&gt;"",Courses!F91&lt;&gt;""),IF((TRUNC(Courses!F91*100)&lt;&gt;Courses!F91*100),"Row "&amp;Courses!A91&amp;", "&amp;Courses!$F$10&amp;"; ",""),"")</f>
        <v/>
      </c>
      <c r="AC97" t="str">
        <f>IF(AND($S$9=1,Courses!B91&lt;&gt;"",Courses!G91&lt;&gt;"",Courses!H91&lt;&gt;""),IF((TRUNC(Courses!H91*100)&lt;&gt;Courses!H91*100),"Row "&amp;Courses!A91&amp;", "&amp;Courses!$H$10&amp;"; ",""),"")</f>
        <v/>
      </c>
      <c r="AD97" s="183" t="str">
        <f>IF(AND($S$9=1,Courses!B91&lt;&gt;"",Courses!I91&lt;&gt;"",Courses!J91&lt;&gt;""),IF((TRUNC(Courses!J91*100)&lt;&gt;Courses!J91*100),"Row "&amp;Courses!A91&amp;", "&amp;Courses!$J$10&amp;"; ",""),"")</f>
        <v/>
      </c>
      <c r="AF97" s="118"/>
      <c r="AG97" s="1592" t="str">
        <f>IF(AND($T$9=1,G97="",Courses!B91&lt;&gt;"",Courses!K91&lt;&gt;$B$9,Courses!K91&lt;&gt;$B$10,Courses!K91&lt;&gt;$B$11,Courses!K91&lt;&gt;$B$12,Courses!K91&lt;&gt;$B$13,Courses!K91&lt;&gt;$B$14),"Row "&amp;Courses!A91&amp;"; ","")</f>
        <v/>
      </c>
      <c r="AH97" s="1592" t="str">
        <f>IF(AND($U$9=1,G97="",Courses!B91&lt;&gt;"",Courses!L91&lt;&gt;"Standard",Courses!L91&lt;&gt;"Long"),"Row "&amp;Courses!A91&amp;"; ","")</f>
        <v/>
      </c>
      <c r="AJ97" s="118"/>
      <c r="AK97" s="3">
        <v>78</v>
      </c>
      <c r="AL97" s="1593" t="str">
        <f>IF(AND($V$9=1,(TRUNC(Courses!M91)&lt;&gt;Courses!M91)), "Row "&amp;Courses!$A91&amp;", "&amp;AL$9&amp;", "&amp;AL$10&amp;", "&amp;AL$11&amp;"; ","")</f>
        <v/>
      </c>
      <c r="AM97" t="str">
        <f>IF(AND($V$9=1,(TRUNC(Courses!N91)&lt;&gt;Courses!N91)), "Row "&amp;Courses!$A91&amp;", "&amp;AM$9&amp;", "&amp;AM$10&amp;", "&amp;AM$11&amp;"; ","")</f>
        <v/>
      </c>
      <c r="AN97" t="str">
        <f>IF(AND($V$9=1,(TRUNC(Courses!O91)&lt;&gt;Courses!O91)), "Row "&amp;Courses!$A91&amp;", "&amp;AN$9&amp;", "&amp;AN$10&amp;", "&amp;AN$11&amp;"; ","")</f>
        <v/>
      </c>
      <c r="AO97" t="str">
        <f>IF(AND($V$9=1,(TRUNC(Courses!P91)&lt;&gt;Courses!P91)), "Row "&amp;Courses!$A91&amp;", "&amp;AO$9&amp;", "&amp;AO$10&amp;", "&amp;AO$11&amp;"; ","")</f>
        <v/>
      </c>
      <c r="AP97" s="2120" t="str">
        <f>IF(AND($V$9=1,(TRUNC(Courses!Q91)&lt;&gt;Courses!Q91)), "Row "&amp;Courses!$A91&amp;", "&amp;AP$9&amp;", "&amp;AP$10&amp;"; ","")</f>
        <v/>
      </c>
      <c r="AQ97" s="1593" t="str">
        <f>IF(AND($V$9=1,(TRUNC(Courses!R91)&lt;&gt;Courses!R91)), "Row "&amp;Courses!$A91&amp;", "&amp;AQ$9&amp;", "&amp;AQ$10&amp;", "&amp;AQ$11&amp;"; ","")</f>
        <v/>
      </c>
      <c r="AR97" t="str">
        <f>IF(AND($V$9=1,(TRUNC(Courses!S91)&lt;&gt;Courses!S91)), "Row "&amp;Courses!$A91&amp;", "&amp;AR$9&amp;", "&amp;AR$10&amp;", "&amp;AR$11&amp;"; ","")</f>
        <v/>
      </c>
      <c r="AS97" t="str">
        <f>IF(AND($V$9=1,(TRUNC(Courses!T91)&lt;&gt;Courses!T91)), "Row "&amp;Courses!$A91&amp;", "&amp;AS$9&amp;", "&amp;AS$10&amp;", "&amp;AS$11&amp;"; ","")</f>
        <v/>
      </c>
      <c r="AT97" t="str">
        <f>IF(AND($V$9=1,(TRUNC(Courses!U91)&lt;&gt;Courses!U91)), "Row "&amp;Courses!$A91&amp;", "&amp;AT$9&amp;", "&amp;AT$10&amp;", "&amp;AT$11&amp;"; ","")</f>
        <v/>
      </c>
      <c r="AU97" s="2120" t="str">
        <f>IF(AND($V$9=1,(TRUNC(Courses!V91)&lt;&gt;Courses!V91)), "Row "&amp;Courses!$A91&amp;", "&amp;AU$9&amp;", "&amp;AU$10&amp;"; ","")</f>
        <v/>
      </c>
      <c r="AV97" s="1593" t="str">
        <f>IF(AND($V$9=1,(TRUNC(Courses!W91)&lt;&gt;Courses!W91)), "Row "&amp;Courses!$A91&amp;", "&amp;AV$9&amp;", "&amp;AV$10&amp;", "&amp;AV$11&amp;"; ","")</f>
        <v/>
      </c>
      <c r="AW97" t="str">
        <f>IF(AND($V$9=1,(TRUNC(Courses!X91)&lt;&gt;Courses!X91)), "Row "&amp;Courses!$A91&amp;", "&amp;AW$9&amp;", "&amp;AW$10&amp;", "&amp;AW$11&amp;"; ","")</f>
        <v/>
      </c>
      <c r="AX97" t="str">
        <f>IF(AND($V$9=1,(TRUNC(Courses!Y91)&lt;&gt;Courses!Y91)), "Row "&amp;Courses!$A91&amp;", "&amp;AX$9&amp;", "&amp;AX$10&amp;", "&amp;AX$11&amp;"; ","")</f>
        <v/>
      </c>
      <c r="AY97" t="str">
        <f>IF(AND($V$9=1,(TRUNC(Courses!Z91)&lt;&gt;Courses!Z91)), "Row "&amp;Courses!$A91&amp;", "&amp;AY$9&amp;", "&amp;AY$10&amp;", "&amp;AY$11&amp;"; ","")</f>
        <v/>
      </c>
      <c r="AZ97" s="2120" t="str">
        <f>IF(AND($V$9=1,(TRUNC(Courses!AA91)&lt;&gt;Courses!AA91)), "Row "&amp;Courses!$A91&amp;", "&amp;AZ$9&amp;", "&amp;AZ$10&amp;"; ","")</f>
        <v/>
      </c>
      <c r="BA97" s="17"/>
      <c r="BB97" s="118"/>
      <c r="BC97" s="3">
        <v>78</v>
      </c>
      <c r="BD97" s="1593" t="str">
        <f>IF(AND($W$9=1,Courses!M91&lt;0), "Row "&amp;Courses!$A91&amp;", "&amp;BD$9&amp;", "&amp;BD$10&amp;", "&amp;BD$11&amp;"; ","")</f>
        <v/>
      </c>
      <c r="BE97" t="str">
        <f>IF(AND($W$9=1,Courses!N91&lt;0), "Row "&amp;Courses!$A91&amp;", "&amp;BE$9&amp;", "&amp;BE$10&amp;", "&amp;BE$11&amp;"; ","")</f>
        <v/>
      </c>
      <c r="BF97" t="str">
        <f>IF(AND($W$9=1,Courses!O91&lt;0), "Row "&amp;Courses!$A91&amp;", "&amp;BF$9&amp;", "&amp;BF$10&amp;", "&amp;BF$11&amp;"; ","")</f>
        <v/>
      </c>
      <c r="BG97" t="str">
        <f>IF(AND($W$9=1,Courses!P91&lt;0), "Row "&amp;Courses!$A91&amp;", "&amp;BG$9&amp;", "&amp;BG$10&amp;", "&amp;BG$11&amp;"; ","")</f>
        <v/>
      </c>
      <c r="BH97" s="2120" t="str">
        <f>IF(AND($W$9=1,Courses!Q91&lt;0), "Row "&amp;Courses!$A91&amp;", "&amp;BH$9&amp;", "&amp;BH$10&amp;"; ","")</f>
        <v/>
      </c>
      <c r="BI97" s="1593" t="str">
        <f>IF(AND($W$9=1,Courses!R91&lt;0), "Row "&amp;Courses!$A91&amp;", "&amp;BI$9&amp;", "&amp;BI$10&amp;", "&amp;BI$11&amp;"; ","")</f>
        <v/>
      </c>
      <c r="BJ97" t="str">
        <f>IF(AND($W$9=1,Courses!S91&lt;0), "Row "&amp;Courses!$A91&amp;", "&amp;BJ$9&amp;", "&amp;BJ$10&amp;", "&amp;BJ$11&amp;"; ","")</f>
        <v/>
      </c>
      <c r="BK97" t="str">
        <f>IF(AND($W$9=1,Courses!T91&lt;0), "Row "&amp;Courses!$A91&amp;", "&amp;BK$9&amp;", "&amp;BK$10&amp;", "&amp;BK$11&amp;"; ","")</f>
        <v/>
      </c>
      <c r="BL97" t="str">
        <f>IF(AND($W$9=1,Courses!U91&lt;0), "Row "&amp;Courses!$A91&amp;", "&amp;BL$9&amp;", "&amp;BL$10&amp;", "&amp;BL$11&amp;"; ","")</f>
        <v/>
      </c>
      <c r="BM97" s="2120" t="str">
        <f>IF(AND($W$9=1,Courses!V91&lt;0), "Row "&amp;Courses!$A91&amp;", "&amp;BM$9&amp;", "&amp;BM$10&amp;"; ","")</f>
        <v/>
      </c>
      <c r="BN97" s="1593" t="str">
        <f>IF(AND($W$9=1,Courses!W91&lt;0), "Row "&amp;Courses!$A91&amp;", "&amp;BN$9&amp;", "&amp;BN$10&amp;", "&amp;BN$11&amp;"; ","")</f>
        <v/>
      </c>
      <c r="BO97" t="str">
        <f>IF(AND($W$9=1,Courses!X91&lt;0), "Row "&amp;Courses!$A91&amp;", "&amp;BO$9&amp;", "&amp;BO$10&amp;", "&amp;BO$11&amp;"; ","")</f>
        <v/>
      </c>
      <c r="BP97" t="str">
        <f>IF(AND($W$9=1,Courses!Y91&lt;0), "Row "&amp;Courses!$A91&amp;", "&amp;BP$9&amp;", "&amp;BP$10&amp;", "&amp;BP$11&amp;"; ","")</f>
        <v/>
      </c>
      <c r="BQ97" t="str">
        <f>IF(AND($W$9=1,Courses!Z91&lt;0), "Row "&amp;Courses!$A91&amp;", "&amp;BQ$9&amp;", "&amp;BQ$10&amp;", "&amp;BQ$11&amp;"; ","")</f>
        <v/>
      </c>
      <c r="BR97" s="2120" t="str">
        <f>IF(AND($W$9=1,Courses!AA91&lt;0), "Row "&amp;Courses!$A91&amp;", "&amp;BR$9&amp;", "&amp;BR$10&amp;"; ","")</f>
        <v/>
      </c>
      <c r="BT97" s="186">
        <v>78</v>
      </c>
      <c r="BU97" s="40">
        <f>IF(AND($X$9=1,Courses!B91="",Courses!F91="",Courses!H91="",Courses!J91="",Courses!K91="",Courses!L91="",Courses!M91=0,Courses!N91=0,Courses!O91=0,Courses!P91=0,Courses!Q91=0,Courses!R91=0,Courses!S91=0,Courses!T91=0,Courses!U91=0,Courses!V91=0,Courses!W91=0,Courses!X91=0,Courses!Y91=0,Courses!Z91=0,Courses!AA91=0),0,1)</f>
        <v>0</v>
      </c>
      <c r="BV97" s="40">
        <f>IF(AND(BU97=0,SUM(BU98:$BU$219)&gt;0),1,0)</f>
        <v>0</v>
      </c>
      <c r="BW97" s="1595" t="str">
        <f>IF(BV97=1,"Row "&amp;Courses!A91&amp;"; ","")</f>
        <v/>
      </c>
      <c r="BX97" s="17"/>
      <c r="BZ97" s="1592" t="str">
        <f>IF(AND($Y$9=1,Courses!B91&lt;&gt;"",SUM(Courses!M91:AA91)=0),"Row "&amp;Courses!A91&amp;"; ","")</f>
        <v/>
      </c>
      <c r="CA97" s="17"/>
      <c r="CC97" s="1592" t="str">
        <f>IF(AND($Z$9=1,Courses!AD91=1,(LEN(Courses!AB91)&gt;200)),"Row "&amp;Courses!A91&amp;"; ","")</f>
        <v/>
      </c>
      <c r="CE97" s="131"/>
      <c r="CG97" s="1593" t="str">
        <f>IF(AND($AD$9=1,Courses!E91&lt;&gt;"",Courses!F91&lt;&gt;"",Courses!F91=0,SUM(Courses!H91,Courses!J91)=1),"Row "&amp;Courses!A91&amp;", "&amp;Courses!$F$10&amp;"; ","")</f>
        <v/>
      </c>
      <c r="CH97" t="str">
        <f>IF(AND($AD$9=1,Courses!G91&lt;&gt;"",Courses!H91&lt;&gt;"",Courses!H91=0,SUM(Courses!J91,Courses!F91)=1),"Row "&amp;Courses!A91&amp;", "&amp;Courses!$H$10&amp;"; ","")</f>
        <v/>
      </c>
      <c r="CI97" s="183" t="str">
        <f>IF(AND($AD$9=1,Courses!I91&lt;&gt;"",Courses!J91&lt;&gt;"",Courses!J91=0, SUM(Courses!H91,Courses!F91)=1),"Row "&amp;Courses!A91&amp;", "&amp;Courses!$J$10&amp;"; ","")</f>
        <v/>
      </c>
      <c r="CJ97" s="180"/>
      <c r="CK97" s="181"/>
      <c r="CL97" s="1592" t="str">
        <f>IF(AND(Courses!B91&lt;&gt;"",ISNA(VLOOKUP(Courses!C91,CourseInfo,2,FALSE))=FALSE,COUNTIF(Dummy,Courses!C91)&lt;&gt;1),VLOOKUP(Courses!C91,CourseInfo,6,FALSE),"")</f>
        <v/>
      </c>
      <c r="CM97" s="1592" t="str">
        <f>IF(AND($AE$9=1,Courses!B91&lt;&gt;"",'Courses Valid'!AG97="",COUNTIF(Dummy,Courses!C91)&lt;&gt;1),IF(Courses!K91&lt;&gt;'Courses Valid'!CL97,"Row "&amp;Courses!A91&amp;", Level on LARS is "&amp;'Courses Valid'!CL97&amp;"; ",""),"")</f>
        <v/>
      </c>
      <c r="CN97" s="131"/>
    </row>
    <row r="98" spans="3:92" x14ac:dyDescent="0.35">
      <c r="C98" s="1591">
        <f t="shared" si="3"/>
        <v>0</v>
      </c>
      <c r="D98" s="41"/>
      <c r="E98" s="41"/>
      <c r="F98" s="118"/>
      <c r="G98" s="1591" t="str">
        <f>IF(SUMPRODUCT(--(CourseAims=Courses!$C92))=1,"",IF(AND($N$9=1,Courses!$C92&lt;&gt;""),"Row "&amp;Courses!A92&amp;" (invalid); ",""))</f>
        <v/>
      </c>
      <c r="H98" s="1592" t="str">
        <f>IF(AND($O$9=1,Courses!B92="",OR(Courses!F92&lt;&gt;"",Courses!H92&lt;&gt;"",Courses!J92&lt;&gt;"",Courses!K92&lt;&gt;"",Courses!L92&lt;&gt;"",Courses!M92&lt;&gt;0,Courses!N92&lt;&gt;0,Courses!O92&lt;&gt;0,Courses!P92&lt;&gt;0,Courses!Q92&lt;&gt;0,Courses!R92&lt;&gt;0,Courses!S92&lt;&gt;0,Courses!T92&lt;&gt;0,Courses!U92&lt;&gt;0,Courses!V92&lt;&gt;0,Courses!W92&lt;&gt;0,Courses!X92&lt;&gt;0,Courses!Y92&lt;&gt;0,Courses!Z92&lt;&gt;0,Courses!AA92&lt;&gt;0)),"Row "&amp;Courses!A92&amp;" (none); ","")</f>
        <v/>
      </c>
      <c r="I98" s="17"/>
      <c r="K98" s="1592" t="str">
        <f>Courses!B92&amp;Courses!K92&amp;Courses!L92</f>
        <v/>
      </c>
      <c r="L98" s="1592" t="str">
        <f>IF(AND($P$9=1,Courses!$B92&lt;&gt;"",COUNTIF(Dummy,Courses!$C92)&lt;&gt;1),IF(SUMPRODUCT(--($K$20:$K$219=$K98))&gt;1,"Row "&amp;Courses!$A92&amp;"; ",""),"")</f>
        <v/>
      </c>
      <c r="N98" s="118"/>
      <c r="O98" s="1593" t="str">
        <f>IF(AND($Q$9=1,Courses!E92&lt;&gt;"",Courses!F92=""),"Row "&amp;Courses!A92&amp;", "&amp;Courses!$E$10&amp;"; ","")</f>
        <v/>
      </c>
      <c r="P98" t="str">
        <f>IF(AND($Q$9=1,Courses!G92&lt;&gt;"",Courses!H92=""),"Row "&amp;Courses!A92&amp;", "&amp;Courses!$G$10&amp;"; ","")</f>
        <v/>
      </c>
      <c r="Q98" s="183" t="str">
        <f>IF(AND($Q$9=1,Courses!I92&lt;&gt;"",Courses!J92=""),"Row "&amp;Courses!A92&amp;", "&amp;Courses!$I$10&amp;"; ","")</f>
        <v/>
      </c>
      <c r="S98" s="17"/>
      <c r="T98" s="118"/>
      <c r="U98" s="1594" t="str">
        <f>IF(AND($R$9=1,Courses!B92&lt;&gt;"",Courses!E92&lt;&gt;"",Courses!G92="",Courses!I92="",Courses!F92&lt;&gt;1),"Row "&amp;Courses!A92&amp;"; ","")</f>
        <v/>
      </c>
      <c r="V98" t="str">
        <f>IF(AND($R$9=1,Courses!B92&lt;&gt;"",Courses!I92="",Courses!F92&lt;&gt;"",Courses!G92&lt;&gt;"",Courses!H92&lt;&gt;""),IF(OR((Courses!F92+Courses!H92)&lt;&gt;1),"Row "&amp;Courses!A92&amp;"; ",""),"")</f>
        <v/>
      </c>
      <c r="W98" s="183" t="str">
        <f>IF(AND($R$9=1,Courses!B92&lt;&gt;"",Courses!I92&lt;&gt;"",Courses!J92&lt;&gt;"",Courses!H92&lt;&gt;"",Courses!G92&lt;&gt;"",Courses!F92&lt;&gt;""),IF(OR((Courses!F92+Courses!H92+Courses!J92)&lt;&gt;1),"Row "&amp;Courses!A92&amp;"; ",""),"")</f>
        <v/>
      </c>
      <c r="Y98" s="1592" t="str">
        <f>IF(AND($R$9=1,Courses!E92&lt;&gt;"",U98="",V98="",W98="",SUM(Courses!F92,Courses!H92,Courses!J92)&lt;&gt;1),"Row "&amp;Courses!A92&amp;"; ","")</f>
        <v/>
      </c>
      <c r="Z98" s="17"/>
      <c r="AB98" s="1593" t="str">
        <f>IF(AND($S$9=1,Courses!B92&lt;&gt;"",Courses!E92&lt;&gt;"",Courses!F92&lt;&gt;""),IF((TRUNC(Courses!F92*100)&lt;&gt;Courses!F92*100),"Row "&amp;Courses!A92&amp;", "&amp;Courses!$F$10&amp;"; ",""),"")</f>
        <v/>
      </c>
      <c r="AC98" t="str">
        <f>IF(AND($S$9=1,Courses!B92&lt;&gt;"",Courses!G92&lt;&gt;"",Courses!H92&lt;&gt;""),IF((TRUNC(Courses!H92*100)&lt;&gt;Courses!H92*100),"Row "&amp;Courses!A92&amp;", "&amp;Courses!$H$10&amp;"; ",""),"")</f>
        <v/>
      </c>
      <c r="AD98" s="183" t="str">
        <f>IF(AND($S$9=1,Courses!B92&lt;&gt;"",Courses!I92&lt;&gt;"",Courses!J92&lt;&gt;""),IF((TRUNC(Courses!J92*100)&lt;&gt;Courses!J92*100),"Row "&amp;Courses!A92&amp;", "&amp;Courses!$J$10&amp;"; ",""),"")</f>
        <v/>
      </c>
      <c r="AF98" s="118"/>
      <c r="AG98" s="1592" t="str">
        <f>IF(AND($T$9=1,G98="",Courses!B92&lt;&gt;"",Courses!K92&lt;&gt;$B$9,Courses!K92&lt;&gt;$B$10,Courses!K92&lt;&gt;$B$11,Courses!K92&lt;&gt;$B$12,Courses!K92&lt;&gt;$B$13,Courses!K92&lt;&gt;$B$14),"Row "&amp;Courses!A92&amp;"; ","")</f>
        <v/>
      </c>
      <c r="AH98" s="1592" t="str">
        <f>IF(AND($U$9=1,G98="",Courses!B92&lt;&gt;"",Courses!L92&lt;&gt;"Standard",Courses!L92&lt;&gt;"Long"),"Row "&amp;Courses!A92&amp;"; ","")</f>
        <v/>
      </c>
      <c r="AJ98" s="118"/>
      <c r="AK98" s="3">
        <v>79</v>
      </c>
      <c r="AL98" s="1593" t="str">
        <f>IF(AND($V$9=1,(TRUNC(Courses!M92)&lt;&gt;Courses!M92)), "Row "&amp;Courses!$A92&amp;", "&amp;AL$9&amp;", "&amp;AL$10&amp;", "&amp;AL$11&amp;"; ","")</f>
        <v/>
      </c>
      <c r="AM98" t="str">
        <f>IF(AND($V$9=1,(TRUNC(Courses!N92)&lt;&gt;Courses!N92)), "Row "&amp;Courses!$A92&amp;", "&amp;AM$9&amp;", "&amp;AM$10&amp;", "&amp;AM$11&amp;"; ","")</f>
        <v/>
      </c>
      <c r="AN98" t="str">
        <f>IF(AND($V$9=1,(TRUNC(Courses!O92)&lt;&gt;Courses!O92)), "Row "&amp;Courses!$A92&amp;", "&amp;AN$9&amp;", "&amp;AN$10&amp;", "&amp;AN$11&amp;"; ","")</f>
        <v/>
      </c>
      <c r="AO98" t="str">
        <f>IF(AND($V$9=1,(TRUNC(Courses!P92)&lt;&gt;Courses!P92)), "Row "&amp;Courses!$A92&amp;", "&amp;AO$9&amp;", "&amp;AO$10&amp;", "&amp;AO$11&amp;"; ","")</f>
        <v/>
      </c>
      <c r="AP98" s="2120" t="str">
        <f>IF(AND($V$9=1,(TRUNC(Courses!Q92)&lt;&gt;Courses!Q92)), "Row "&amp;Courses!$A92&amp;", "&amp;AP$9&amp;", "&amp;AP$10&amp;"; ","")</f>
        <v/>
      </c>
      <c r="AQ98" s="1593" t="str">
        <f>IF(AND($V$9=1,(TRUNC(Courses!R92)&lt;&gt;Courses!R92)), "Row "&amp;Courses!$A92&amp;", "&amp;AQ$9&amp;", "&amp;AQ$10&amp;", "&amp;AQ$11&amp;"; ","")</f>
        <v/>
      </c>
      <c r="AR98" t="str">
        <f>IF(AND($V$9=1,(TRUNC(Courses!S92)&lt;&gt;Courses!S92)), "Row "&amp;Courses!$A92&amp;", "&amp;AR$9&amp;", "&amp;AR$10&amp;", "&amp;AR$11&amp;"; ","")</f>
        <v/>
      </c>
      <c r="AS98" t="str">
        <f>IF(AND($V$9=1,(TRUNC(Courses!T92)&lt;&gt;Courses!T92)), "Row "&amp;Courses!$A92&amp;", "&amp;AS$9&amp;", "&amp;AS$10&amp;", "&amp;AS$11&amp;"; ","")</f>
        <v/>
      </c>
      <c r="AT98" t="str">
        <f>IF(AND($V$9=1,(TRUNC(Courses!U92)&lt;&gt;Courses!U92)), "Row "&amp;Courses!$A92&amp;", "&amp;AT$9&amp;", "&amp;AT$10&amp;", "&amp;AT$11&amp;"; ","")</f>
        <v/>
      </c>
      <c r="AU98" s="2120" t="str">
        <f>IF(AND($V$9=1,(TRUNC(Courses!V92)&lt;&gt;Courses!V92)), "Row "&amp;Courses!$A92&amp;", "&amp;AU$9&amp;", "&amp;AU$10&amp;"; ","")</f>
        <v/>
      </c>
      <c r="AV98" s="1593" t="str">
        <f>IF(AND($V$9=1,(TRUNC(Courses!W92)&lt;&gt;Courses!W92)), "Row "&amp;Courses!$A92&amp;", "&amp;AV$9&amp;", "&amp;AV$10&amp;", "&amp;AV$11&amp;"; ","")</f>
        <v/>
      </c>
      <c r="AW98" t="str">
        <f>IF(AND($V$9=1,(TRUNC(Courses!X92)&lt;&gt;Courses!X92)), "Row "&amp;Courses!$A92&amp;", "&amp;AW$9&amp;", "&amp;AW$10&amp;", "&amp;AW$11&amp;"; ","")</f>
        <v/>
      </c>
      <c r="AX98" t="str">
        <f>IF(AND($V$9=1,(TRUNC(Courses!Y92)&lt;&gt;Courses!Y92)), "Row "&amp;Courses!$A92&amp;", "&amp;AX$9&amp;", "&amp;AX$10&amp;", "&amp;AX$11&amp;"; ","")</f>
        <v/>
      </c>
      <c r="AY98" t="str">
        <f>IF(AND($V$9=1,(TRUNC(Courses!Z92)&lt;&gt;Courses!Z92)), "Row "&amp;Courses!$A92&amp;", "&amp;AY$9&amp;", "&amp;AY$10&amp;", "&amp;AY$11&amp;"; ","")</f>
        <v/>
      </c>
      <c r="AZ98" s="2120" t="str">
        <f>IF(AND($V$9=1,(TRUNC(Courses!AA92)&lt;&gt;Courses!AA92)), "Row "&amp;Courses!$A92&amp;", "&amp;AZ$9&amp;", "&amp;AZ$10&amp;"; ","")</f>
        <v/>
      </c>
      <c r="BA98" s="17"/>
      <c r="BB98" s="118"/>
      <c r="BC98" s="3">
        <v>79</v>
      </c>
      <c r="BD98" s="1593" t="str">
        <f>IF(AND($W$9=1,Courses!M92&lt;0), "Row "&amp;Courses!$A92&amp;", "&amp;BD$9&amp;", "&amp;BD$10&amp;", "&amp;BD$11&amp;"; ","")</f>
        <v/>
      </c>
      <c r="BE98" t="str">
        <f>IF(AND($W$9=1,Courses!N92&lt;0), "Row "&amp;Courses!$A92&amp;", "&amp;BE$9&amp;", "&amp;BE$10&amp;", "&amp;BE$11&amp;"; ","")</f>
        <v/>
      </c>
      <c r="BF98" t="str">
        <f>IF(AND($W$9=1,Courses!O92&lt;0), "Row "&amp;Courses!$A92&amp;", "&amp;BF$9&amp;", "&amp;BF$10&amp;", "&amp;BF$11&amp;"; ","")</f>
        <v/>
      </c>
      <c r="BG98" t="str">
        <f>IF(AND($W$9=1,Courses!P92&lt;0), "Row "&amp;Courses!$A92&amp;", "&amp;BG$9&amp;", "&amp;BG$10&amp;", "&amp;BG$11&amp;"; ","")</f>
        <v/>
      </c>
      <c r="BH98" s="2120" t="str">
        <f>IF(AND($W$9=1,Courses!Q92&lt;0), "Row "&amp;Courses!$A92&amp;", "&amp;BH$9&amp;", "&amp;BH$10&amp;"; ","")</f>
        <v/>
      </c>
      <c r="BI98" s="1593" t="str">
        <f>IF(AND($W$9=1,Courses!R92&lt;0), "Row "&amp;Courses!$A92&amp;", "&amp;BI$9&amp;", "&amp;BI$10&amp;", "&amp;BI$11&amp;"; ","")</f>
        <v/>
      </c>
      <c r="BJ98" t="str">
        <f>IF(AND($W$9=1,Courses!S92&lt;0), "Row "&amp;Courses!$A92&amp;", "&amp;BJ$9&amp;", "&amp;BJ$10&amp;", "&amp;BJ$11&amp;"; ","")</f>
        <v/>
      </c>
      <c r="BK98" t="str">
        <f>IF(AND($W$9=1,Courses!T92&lt;0), "Row "&amp;Courses!$A92&amp;", "&amp;BK$9&amp;", "&amp;BK$10&amp;", "&amp;BK$11&amp;"; ","")</f>
        <v/>
      </c>
      <c r="BL98" t="str">
        <f>IF(AND($W$9=1,Courses!U92&lt;0), "Row "&amp;Courses!$A92&amp;", "&amp;BL$9&amp;", "&amp;BL$10&amp;", "&amp;BL$11&amp;"; ","")</f>
        <v/>
      </c>
      <c r="BM98" s="2120" t="str">
        <f>IF(AND($W$9=1,Courses!V92&lt;0), "Row "&amp;Courses!$A92&amp;", "&amp;BM$9&amp;", "&amp;BM$10&amp;"; ","")</f>
        <v/>
      </c>
      <c r="BN98" s="1593" t="str">
        <f>IF(AND($W$9=1,Courses!W92&lt;0), "Row "&amp;Courses!$A92&amp;", "&amp;BN$9&amp;", "&amp;BN$10&amp;", "&amp;BN$11&amp;"; ","")</f>
        <v/>
      </c>
      <c r="BO98" t="str">
        <f>IF(AND($W$9=1,Courses!X92&lt;0), "Row "&amp;Courses!$A92&amp;", "&amp;BO$9&amp;", "&amp;BO$10&amp;", "&amp;BO$11&amp;"; ","")</f>
        <v/>
      </c>
      <c r="BP98" t="str">
        <f>IF(AND($W$9=1,Courses!Y92&lt;0), "Row "&amp;Courses!$A92&amp;", "&amp;BP$9&amp;", "&amp;BP$10&amp;", "&amp;BP$11&amp;"; ","")</f>
        <v/>
      </c>
      <c r="BQ98" t="str">
        <f>IF(AND($W$9=1,Courses!Z92&lt;0), "Row "&amp;Courses!$A92&amp;", "&amp;BQ$9&amp;", "&amp;BQ$10&amp;", "&amp;BQ$11&amp;"; ","")</f>
        <v/>
      </c>
      <c r="BR98" s="2120" t="str">
        <f>IF(AND($W$9=1,Courses!AA92&lt;0), "Row "&amp;Courses!$A92&amp;", "&amp;BR$9&amp;", "&amp;BR$10&amp;"; ","")</f>
        <v/>
      </c>
      <c r="BT98" s="186">
        <v>79</v>
      </c>
      <c r="BU98" s="40">
        <f>IF(AND($X$9=1,Courses!B92="",Courses!F92="",Courses!H92="",Courses!J92="",Courses!K92="",Courses!L92="",Courses!M92=0,Courses!N92=0,Courses!O92=0,Courses!P92=0,Courses!Q92=0,Courses!R92=0,Courses!S92=0,Courses!T92=0,Courses!U92=0,Courses!V92=0,Courses!W92=0,Courses!X92=0,Courses!Y92=0,Courses!Z92=0,Courses!AA92=0),0,1)</f>
        <v>0</v>
      </c>
      <c r="BV98" s="40">
        <f>IF(AND(BU98=0,SUM(BU99:$BU$219)&gt;0),1,0)</f>
        <v>0</v>
      </c>
      <c r="BW98" s="1595" t="str">
        <f>IF(BV98=1,"Row "&amp;Courses!A92&amp;"; ","")</f>
        <v/>
      </c>
      <c r="BX98" s="17"/>
      <c r="BZ98" s="1592" t="str">
        <f>IF(AND($Y$9=1,Courses!B92&lt;&gt;"",SUM(Courses!M92:AA92)=0),"Row "&amp;Courses!A92&amp;"; ","")</f>
        <v/>
      </c>
      <c r="CA98" s="17"/>
      <c r="CC98" s="1592" t="str">
        <f>IF(AND($Z$9=1,Courses!AD92=1,(LEN(Courses!AB92)&gt;200)),"Row "&amp;Courses!A92&amp;"; ","")</f>
        <v/>
      </c>
      <c r="CE98" s="131"/>
      <c r="CG98" s="1593" t="str">
        <f>IF(AND($AD$9=1,Courses!E92&lt;&gt;"",Courses!F92&lt;&gt;"",Courses!F92=0,SUM(Courses!H92,Courses!J92)=1),"Row "&amp;Courses!A92&amp;", "&amp;Courses!$F$10&amp;"; ","")</f>
        <v/>
      </c>
      <c r="CH98" t="str">
        <f>IF(AND($AD$9=1,Courses!G92&lt;&gt;"",Courses!H92&lt;&gt;"",Courses!H92=0,SUM(Courses!J92,Courses!F92)=1),"Row "&amp;Courses!A92&amp;", "&amp;Courses!$H$10&amp;"; ","")</f>
        <v/>
      </c>
      <c r="CI98" s="183" t="str">
        <f>IF(AND($AD$9=1,Courses!I92&lt;&gt;"",Courses!J92&lt;&gt;"",Courses!J92=0, SUM(Courses!H92,Courses!F92)=1),"Row "&amp;Courses!A92&amp;", "&amp;Courses!$J$10&amp;"; ","")</f>
        <v/>
      </c>
      <c r="CJ98" s="180"/>
      <c r="CK98" s="181"/>
      <c r="CL98" s="1592" t="str">
        <f>IF(AND(Courses!B92&lt;&gt;"",ISNA(VLOOKUP(Courses!C92,CourseInfo,2,FALSE))=FALSE,COUNTIF(Dummy,Courses!C92)&lt;&gt;1),VLOOKUP(Courses!C92,CourseInfo,6,FALSE),"")</f>
        <v/>
      </c>
      <c r="CM98" s="1592" t="str">
        <f>IF(AND($AE$9=1,Courses!B92&lt;&gt;"",'Courses Valid'!AG98="",COUNTIF(Dummy,Courses!C92)&lt;&gt;1),IF(Courses!K92&lt;&gt;'Courses Valid'!CL98,"Row "&amp;Courses!A92&amp;", Level on LARS is "&amp;'Courses Valid'!CL98&amp;"; ",""),"")</f>
        <v/>
      </c>
      <c r="CN98" s="131"/>
    </row>
    <row r="99" spans="3:92" x14ac:dyDescent="0.35">
      <c r="C99" s="1591">
        <f t="shared" si="3"/>
        <v>0</v>
      </c>
      <c r="D99" s="41"/>
      <c r="E99" s="41"/>
      <c r="F99" s="118"/>
      <c r="G99" s="1591" t="str">
        <f>IF(SUMPRODUCT(--(CourseAims=Courses!$C93))=1,"",IF(AND($N$9=1,Courses!$C93&lt;&gt;""),"Row "&amp;Courses!A93&amp;" (invalid); ",""))</f>
        <v/>
      </c>
      <c r="H99" s="1592" t="str">
        <f>IF(AND($O$9=1,Courses!B93="",OR(Courses!F93&lt;&gt;"",Courses!H93&lt;&gt;"",Courses!J93&lt;&gt;"",Courses!K93&lt;&gt;"",Courses!L93&lt;&gt;"",Courses!M93&lt;&gt;0,Courses!N93&lt;&gt;0,Courses!O93&lt;&gt;0,Courses!P93&lt;&gt;0,Courses!Q93&lt;&gt;0,Courses!R93&lt;&gt;0,Courses!S93&lt;&gt;0,Courses!T93&lt;&gt;0,Courses!U93&lt;&gt;0,Courses!V93&lt;&gt;0,Courses!W93&lt;&gt;0,Courses!X93&lt;&gt;0,Courses!Y93&lt;&gt;0,Courses!Z93&lt;&gt;0,Courses!AA93&lt;&gt;0)),"Row "&amp;Courses!A93&amp;" (none); ","")</f>
        <v/>
      </c>
      <c r="I99" s="17"/>
      <c r="K99" s="1592" t="str">
        <f>Courses!B93&amp;Courses!K93&amp;Courses!L93</f>
        <v/>
      </c>
      <c r="L99" s="1592" t="str">
        <f>IF(AND($P$9=1,Courses!$B93&lt;&gt;"",COUNTIF(Dummy,Courses!$C93)&lt;&gt;1),IF(SUMPRODUCT(--($K$20:$K$219=$K99))&gt;1,"Row "&amp;Courses!$A93&amp;"; ",""),"")</f>
        <v/>
      </c>
      <c r="N99" s="118"/>
      <c r="O99" s="1593" t="str">
        <f>IF(AND($Q$9=1,Courses!E93&lt;&gt;"",Courses!F93=""),"Row "&amp;Courses!A93&amp;", "&amp;Courses!$E$10&amp;"; ","")</f>
        <v/>
      </c>
      <c r="P99" t="str">
        <f>IF(AND($Q$9=1,Courses!G93&lt;&gt;"",Courses!H93=""),"Row "&amp;Courses!A93&amp;", "&amp;Courses!$G$10&amp;"; ","")</f>
        <v/>
      </c>
      <c r="Q99" s="183" t="str">
        <f>IF(AND($Q$9=1,Courses!I93&lt;&gt;"",Courses!J93=""),"Row "&amp;Courses!A93&amp;", "&amp;Courses!$I$10&amp;"; ","")</f>
        <v/>
      </c>
      <c r="S99" s="17"/>
      <c r="T99" s="118"/>
      <c r="U99" s="1594" t="str">
        <f>IF(AND($R$9=1,Courses!B93&lt;&gt;"",Courses!E93&lt;&gt;"",Courses!G93="",Courses!I93="",Courses!F93&lt;&gt;1),"Row "&amp;Courses!A93&amp;"; ","")</f>
        <v/>
      </c>
      <c r="V99" t="str">
        <f>IF(AND($R$9=1,Courses!B93&lt;&gt;"",Courses!I93="",Courses!F93&lt;&gt;"",Courses!G93&lt;&gt;"",Courses!H93&lt;&gt;""),IF(OR((Courses!F93+Courses!H93)&lt;&gt;1),"Row "&amp;Courses!A93&amp;"; ",""),"")</f>
        <v/>
      </c>
      <c r="W99" s="183" t="str">
        <f>IF(AND($R$9=1,Courses!B93&lt;&gt;"",Courses!I93&lt;&gt;"",Courses!J93&lt;&gt;"",Courses!H93&lt;&gt;"",Courses!G93&lt;&gt;"",Courses!F93&lt;&gt;""),IF(OR((Courses!F93+Courses!H93+Courses!J93)&lt;&gt;1),"Row "&amp;Courses!A93&amp;"; ",""),"")</f>
        <v/>
      </c>
      <c r="Y99" s="1592" t="str">
        <f>IF(AND($R$9=1,Courses!E93&lt;&gt;"",U99="",V99="",W99="",SUM(Courses!F93,Courses!H93,Courses!J93)&lt;&gt;1),"Row "&amp;Courses!A93&amp;"; ","")</f>
        <v/>
      </c>
      <c r="Z99" s="17"/>
      <c r="AB99" s="1593" t="str">
        <f>IF(AND($S$9=1,Courses!B93&lt;&gt;"",Courses!E93&lt;&gt;"",Courses!F93&lt;&gt;""),IF((TRUNC(Courses!F93*100)&lt;&gt;Courses!F93*100),"Row "&amp;Courses!A93&amp;", "&amp;Courses!$F$10&amp;"; ",""),"")</f>
        <v/>
      </c>
      <c r="AC99" t="str">
        <f>IF(AND($S$9=1,Courses!B93&lt;&gt;"",Courses!G93&lt;&gt;"",Courses!H93&lt;&gt;""),IF((TRUNC(Courses!H93*100)&lt;&gt;Courses!H93*100),"Row "&amp;Courses!A93&amp;", "&amp;Courses!$H$10&amp;"; ",""),"")</f>
        <v/>
      </c>
      <c r="AD99" s="183" t="str">
        <f>IF(AND($S$9=1,Courses!B93&lt;&gt;"",Courses!I93&lt;&gt;"",Courses!J93&lt;&gt;""),IF((TRUNC(Courses!J93*100)&lt;&gt;Courses!J93*100),"Row "&amp;Courses!A93&amp;", "&amp;Courses!$J$10&amp;"; ",""),"")</f>
        <v/>
      </c>
      <c r="AF99" s="118"/>
      <c r="AG99" s="1592" t="str">
        <f>IF(AND($T$9=1,G99="",Courses!B93&lt;&gt;"",Courses!K93&lt;&gt;$B$9,Courses!K93&lt;&gt;$B$10,Courses!K93&lt;&gt;$B$11,Courses!K93&lt;&gt;$B$12,Courses!K93&lt;&gt;$B$13,Courses!K93&lt;&gt;$B$14),"Row "&amp;Courses!A93&amp;"; ","")</f>
        <v/>
      </c>
      <c r="AH99" s="1592" t="str">
        <f>IF(AND($U$9=1,G99="",Courses!B93&lt;&gt;"",Courses!L93&lt;&gt;"Standard",Courses!L93&lt;&gt;"Long"),"Row "&amp;Courses!A93&amp;"; ","")</f>
        <v/>
      </c>
      <c r="AJ99" s="118"/>
      <c r="AK99" s="3">
        <v>80</v>
      </c>
      <c r="AL99" s="1593" t="str">
        <f>IF(AND($V$9=1,(TRUNC(Courses!M93)&lt;&gt;Courses!M93)), "Row "&amp;Courses!$A93&amp;", "&amp;AL$9&amp;", "&amp;AL$10&amp;", "&amp;AL$11&amp;"; ","")</f>
        <v/>
      </c>
      <c r="AM99" t="str">
        <f>IF(AND($V$9=1,(TRUNC(Courses!N93)&lt;&gt;Courses!N93)), "Row "&amp;Courses!$A93&amp;", "&amp;AM$9&amp;", "&amp;AM$10&amp;", "&amp;AM$11&amp;"; ","")</f>
        <v/>
      </c>
      <c r="AN99" t="str">
        <f>IF(AND($V$9=1,(TRUNC(Courses!O93)&lt;&gt;Courses!O93)), "Row "&amp;Courses!$A93&amp;", "&amp;AN$9&amp;", "&amp;AN$10&amp;", "&amp;AN$11&amp;"; ","")</f>
        <v/>
      </c>
      <c r="AO99" t="str">
        <f>IF(AND($V$9=1,(TRUNC(Courses!P93)&lt;&gt;Courses!P93)), "Row "&amp;Courses!$A93&amp;", "&amp;AO$9&amp;", "&amp;AO$10&amp;", "&amp;AO$11&amp;"; ","")</f>
        <v/>
      </c>
      <c r="AP99" s="2120" t="str">
        <f>IF(AND($V$9=1,(TRUNC(Courses!Q93)&lt;&gt;Courses!Q93)), "Row "&amp;Courses!$A93&amp;", "&amp;AP$9&amp;", "&amp;AP$10&amp;"; ","")</f>
        <v/>
      </c>
      <c r="AQ99" s="1593" t="str">
        <f>IF(AND($V$9=1,(TRUNC(Courses!R93)&lt;&gt;Courses!R93)), "Row "&amp;Courses!$A93&amp;", "&amp;AQ$9&amp;", "&amp;AQ$10&amp;", "&amp;AQ$11&amp;"; ","")</f>
        <v/>
      </c>
      <c r="AR99" t="str">
        <f>IF(AND($V$9=1,(TRUNC(Courses!S93)&lt;&gt;Courses!S93)), "Row "&amp;Courses!$A93&amp;", "&amp;AR$9&amp;", "&amp;AR$10&amp;", "&amp;AR$11&amp;"; ","")</f>
        <v/>
      </c>
      <c r="AS99" t="str">
        <f>IF(AND($V$9=1,(TRUNC(Courses!T93)&lt;&gt;Courses!T93)), "Row "&amp;Courses!$A93&amp;", "&amp;AS$9&amp;", "&amp;AS$10&amp;", "&amp;AS$11&amp;"; ","")</f>
        <v/>
      </c>
      <c r="AT99" t="str">
        <f>IF(AND($V$9=1,(TRUNC(Courses!U93)&lt;&gt;Courses!U93)), "Row "&amp;Courses!$A93&amp;", "&amp;AT$9&amp;", "&amp;AT$10&amp;", "&amp;AT$11&amp;"; ","")</f>
        <v/>
      </c>
      <c r="AU99" s="2120" t="str">
        <f>IF(AND($V$9=1,(TRUNC(Courses!V93)&lt;&gt;Courses!V93)), "Row "&amp;Courses!$A93&amp;", "&amp;AU$9&amp;", "&amp;AU$10&amp;"; ","")</f>
        <v/>
      </c>
      <c r="AV99" s="1593" t="str">
        <f>IF(AND($V$9=1,(TRUNC(Courses!W93)&lt;&gt;Courses!W93)), "Row "&amp;Courses!$A93&amp;", "&amp;AV$9&amp;", "&amp;AV$10&amp;", "&amp;AV$11&amp;"; ","")</f>
        <v/>
      </c>
      <c r="AW99" t="str">
        <f>IF(AND($V$9=1,(TRUNC(Courses!X93)&lt;&gt;Courses!X93)), "Row "&amp;Courses!$A93&amp;", "&amp;AW$9&amp;", "&amp;AW$10&amp;", "&amp;AW$11&amp;"; ","")</f>
        <v/>
      </c>
      <c r="AX99" t="str">
        <f>IF(AND($V$9=1,(TRUNC(Courses!Y93)&lt;&gt;Courses!Y93)), "Row "&amp;Courses!$A93&amp;", "&amp;AX$9&amp;", "&amp;AX$10&amp;", "&amp;AX$11&amp;"; ","")</f>
        <v/>
      </c>
      <c r="AY99" t="str">
        <f>IF(AND($V$9=1,(TRUNC(Courses!Z93)&lt;&gt;Courses!Z93)), "Row "&amp;Courses!$A93&amp;", "&amp;AY$9&amp;", "&amp;AY$10&amp;", "&amp;AY$11&amp;"; ","")</f>
        <v/>
      </c>
      <c r="AZ99" s="2120" t="str">
        <f>IF(AND($V$9=1,(TRUNC(Courses!AA93)&lt;&gt;Courses!AA93)), "Row "&amp;Courses!$A93&amp;", "&amp;AZ$9&amp;", "&amp;AZ$10&amp;"; ","")</f>
        <v/>
      </c>
      <c r="BA99" s="17"/>
      <c r="BB99" s="118"/>
      <c r="BC99" s="3">
        <v>80</v>
      </c>
      <c r="BD99" s="1593" t="str">
        <f>IF(AND($W$9=1,Courses!M93&lt;0), "Row "&amp;Courses!$A93&amp;", "&amp;BD$9&amp;", "&amp;BD$10&amp;", "&amp;BD$11&amp;"; ","")</f>
        <v/>
      </c>
      <c r="BE99" t="str">
        <f>IF(AND($W$9=1,Courses!N93&lt;0), "Row "&amp;Courses!$A93&amp;", "&amp;BE$9&amp;", "&amp;BE$10&amp;", "&amp;BE$11&amp;"; ","")</f>
        <v/>
      </c>
      <c r="BF99" t="str">
        <f>IF(AND($W$9=1,Courses!O93&lt;0), "Row "&amp;Courses!$A93&amp;", "&amp;BF$9&amp;", "&amp;BF$10&amp;", "&amp;BF$11&amp;"; ","")</f>
        <v/>
      </c>
      <c r="BG99" t="str">
        <f>IF(AND($W$9=1,Courses!P93&lt;0), "Row "&amp;Courses!$A93&amp;", "&amp;BG$9&amp;", "&amp;BG$10&amp;", "&amp;BG$11&amp;"; ","")</f>
        <v/>
      </c>
      <c r="BH99" s="2120" t="str">
        <f>IF(AND($W$9=1,Courses!Q93&lt;0), "Row "&amp;Courses!$A93&amp;", "&amp;BH$9&amp;", "&amp;BH$10&amp;"; ","")</f>
        <v/>
      </c>
      <c r="BI99" s="1593" t="str">
        <f>IF(AND($W$9=1,Courses!R93&lt;0), "Row "&amp;Courses!$A93&amp;", "&amp;BI$9&amp;", "&amp;BI$10&amp;", "&amp;BI$11&amp;"; ","")</f>
        <v/>
      </c>
      <c r="BJ99" t="str">
        <f>IF(AND($W$9=1,Courses!S93&lt;0), "Row "&amp;Courses!$A93&amp;", "&amp;BJ$9&amp;", "&amp;BJ$10&amp;", "&amp;BJ$11&amp;"; ","")</f>
        <v/>
      </c>
      <c r="BK99" t="str">
        <f>IF(AND($W$9=1,Courses!T93&lt;0), "Row "&amp;Courses!$A93&amp;", "&amp;BK$9&amp;", "&amp;BK$10&amp;", "&amp;BK$11&amp;"; ","")</f>
        <v/>
      </c>
      <c r="BL99" t="str">
        <f>IF(AND($W$9=1,Courses!U93&lt;0), "Row "&amp;Courses!$A93&amp;", "&amp;BL$9&amp;", "&amp;BL$10&amp;", "&amp;BL$11&amp;"; ","")</f>
        <v/>
      </c>
      <c r="BM99" s="2120" t="str">
        <f>IF(AND($W$9=1,Courses!V93&lt;0), "Row "&amp;Courses!$A93&amp;", "&amp;BM$9&amp;", "&amp;BM$10&amp;"; ","")</f>
        <v/>
      </c>
      <c r="BN99" s="1593" t="str">
        <f>IF(AND($W$9=1,Courses!W93&lt;0), "Row "&amp;Courses!$A93&amp;", "&amp;BN$9&amp;", "&amp;BN$10&amp;", "&amp;BN$11&amp;"; ","")</f>
        <v/>
      </c>
      <c r="BO99" t="str">
        <f>IF(AND($W$9=1,Courses!X93&lt;0), "Row "&amp;Courses!$A93&amp;", "&amp;BO$9&amp;", "&amp;BO$10&amp;", "&amp;BO$11&amp;"; ","")</f>
        <v/>
      </c>
      <c r="BP99" t="str">
        <f>IF(AND($W$9=1,Courses!Y93&lt;0), "Row "&amp;Courses!$A93&amp;", "&amp;BP$9&amp;", "&amp;BP$10&amp;", "&amp;BP$11&amp;"; ","")</f>
        <v/>
      </c>
      <c r="BQ99" t="str">
        <f>IF(AND($W$9=1,Courses!Z93&lt;0), "Row "&amp;Courses!$A93&amp;", "&amp;BQ$9&amp;", "&amp;BQ$10&amp;", "&amp;BQ$11&amp;"; ","")</f>
        <v/>
      </c>
      <c r="BR99" s="2120" t="str">
        <f>IF(AND($W$9=1,Courses!AA93&lt;0), "Row "&amp;Courses!$A93&amp;", "&amp;BR$9&amp;", "&amp;BR$10&amp;"; ","")</f>
        <v/>
      </c>
      <c r="BT99" s="186">
        <v>80</v>
      </c>
      <c r="BU99" s="40">
        <f>IF(AND($X$9=1,Courses!B93="",Courses!F93="",Courses!H93="",Courses!J93="",Courses!K93="",Courses!L93="",Courses!M93=0,Courses!N93=0,Courses!O93=0,Courses!P93=0,Courses!Q93=0,Courses!R93=0,Courses!S93=0,Courses!T93=0,Courses!U93=0,Courses!V93=0,Courses!W93=0,Courses!X93=0,Courses!Y93=0,Courses!Z93=0,Courses!AA93=0),0,1)</f>
        <v>0</v>
      </c>
      <c r="BV99" s="40">
        <f>IF(AND(BU99=0,SUM(BU100:$BU$219)&gt;0),1,0)</f>
        <v>0</v>
      </c>
      <c r="BW99" s="1595" t="str">
        <f>IF(BV99=1,"Row "&amp;Courses!A93&amp;"; ","")</f>
        <v/>
      </c>
      <c r="BX99" s="17"/>
      <c r="BZ99" s="1592" t="str">
        <f>IF(AND($Y$9=1,Courses!B93&lt;&gt;"",SUM(Courses!M93:AA93)=0),"Row "&amp;Courses!A93&amp;"; ","")</f>
        <v/>
      </c>
      <c r="CA99" s="17"/>
      <c r="CC99" s="1592" t="str">
        <f>IF(AND($Z$9=1,Courses!AD93=1,(LEN(Courses!AB93)&gt;200)),"Row "&amp;Courses!A93&amp;"; ","")</f>
        <v/>
      </c>
      <c r="CE99" s="131"/>
      <c r="CG99" s="1593" t="str">
        <f>IF(AND($AD$9=1,Courses!E93&lt;&gt;"",Courses!F93&lt;&gt;"",Courses!F93=0,SUM(Courses!H93,Courses!J93)=1),"Row "&amp;Courses!A93&amp;", "&amp;Courses!$F$10&amp;"; ","")</f>
        <v/>
      </c>
      <c r="CH99" t="str">
        <f>IF(AND($AD$9=1,Courses!G93&lt;&gt;"",Courses!H93&lt;&gt;"",Courses!H93=0,SUM(Courses!J93,Courses!F93)=1),"Row "&amp;Courses!A93&amp;", "&amp;Courses!$H$10&amp;"; ","")</f>
        <v/>
      </c>
      <c r="CI99" s="183" t="str">
        <f>IF(AND($AD$9=1,Courses!I93&lt;&gt;"",Courses!J93&lt;&gt;"",Courses!J93=0, SUM(Courses!H93,Courses!F93)=1),"Row "&amp;Courses!A93&amp;", "&amp;Courses!$J$10&amp;"; ","")</f>
        <v/>
      </c>
      <c r="CJ99" s="180"/>
      <c r="CK99" s="181"/>
      <c r="CL99" s="1592" t="str">
        <f>IF(AND(Courses!B93&lt;&gt;"",ISNA(VLOOKUP(Courses!C93,CourseInfo,2,FALSE))=FALSE,COUNTIF(Dummy,Courses!C93)&lt;&gt;1),VLOOKUP(Courses!C93,CourseInfo,6,FALSE),"")</f>
        <v/>
      </c>
      <c r="CM99" s="1592" t="str">
        <f>IF(AND($AE$9=1,Courses!B93&lt;&gt;"",'Courses Valid'!AG99="",COUNTIF(Dummy,Courses!C93)&lt;&gt;1),IF(Courses!K93&lt;&gt;'Courses Valid'!CL99,"Row "&amp;Courses!A93&amp;", Level on LARS is "&amp;'Courses Valid'!CL99&amp;"; ",""),"")</f>
        <v/>
      </c>
      <c r="CN99" s="131"/>
    </row>
    <row r="100" spans="3:92" x14ac:dyDescent="0.35">
      <c r="C100" s="1591">
        <f t="shared" si="3"/>
        <v>0</v>
      </c>
      <c r="D100" s="41"/>
      <c r="E100" s="41"/>
      <c r="F100" s="118"/>
      <c r="G100" s="1592" t="str">
        <f>IF(SUMPRODUCT(--(CourseAims=Courses!$C94))=1,"",IF(AND($N$9=1,Courses!$C94&lt;&gt;""),"Row "&amp;Courses!A94&amp;" (invalid); ",""))</f>
        <v/>
      </c>
      <c r="H100" s="1592" t="str">
        <f>IF(AND($O$9=1,Courses!B94="",OR(Courses!F94&lt;&gt;"",Courses!H94&lt;&gt;"",Courses!J94&lt;&gt;"",Courses!K94&lt;&gt;"",Courses!L94&lt;&gt;"",Courses!M94&lt;&gt;0,Courses!N94&lt;&gt;0,Courses!O94&lt;&gt;0,Courses!P94&lt;&gt;0,Courses!Q94&lt;&gt;0,Courses!R94&lt;&gt;0,Courses!S94&lt;&gt;0,Courses!T94&lt;&gt;0,Courses!U94&lt;&gt;0,Courses!V94&lt;&gt;0,Courses!W94&lt;&gt;0,Courses!X94&lt;&gt;0,Courses!Y94&lt;&gt;0,Courses!Z94&lt;&gt;0,Courses!AA94&lt;&gt;0)),"Row "&amp;Courses!A94&amp;" (none); ","")</f>
        <v/>
      </c>
      <c r="I100" s="17"/>
      <c r="K100" s="1592" t="str">
        <f>Courses!B94&amp;Courses!K94&amp;Courses!L94</f>
        <v/>
      </c>
      <c r="L100" s="1592" t="str">
        <f>IF(AND($P$9=1,Courses!$B94&lt;&gt;"",COUNTIF(Dummy,Courses!$C94)&lt;&gt;1),IF(SUMPRODUCT(--($K$20:$K$219=$K100))&gt;1,"Row "&amp;Courses!$A94&amp;"; ",""),"")</f>
        <v/>
      </c>
      <c r="N100" s="118"/>
      <c r="O100" s="1593" t="str">
        <f>IF(AND($Q$9=1,Courses!E94&lt;&gt;"",Courses!F94=""),"Row "&amp;Courses!A94&amp;", "&amp;Courses!$E$10&amp;"; ","")</f>
        <v/>
      </c>
      <c r="P100" t="str">
        <f>IF(AND($Q$9=1,Courses!G94&lt;&gt;"",Courses!H94=""),"Row "&amp;Courses!A94&amp;", "&amp;Courses!$G$10&amp;"; ","")</f>
        <v/>
      </c>
      <c r="Q100" s="183" t="str">
        <f>IF(AND($Q$9=1,Courses!I94&lt;&gt;"",Courses!J94=""),"Row "&amp;Courses!A94&amp;", "&amp;Courses!$I$10&amp;"; ","")</f>
        <v/>
      </c>
      <c r="S100" s="17"/>
      <c r="T100" s="118"/>
      <c r="U100" s="1594" t="str">
        <f>IF(AND($R$9=1,Courses!B94&lt;&gt;"",Courses!E94&lt;&gt;"",Courses!G94="",Courses!I94="",Courses!F94&lt;&gt;1),"Row "&amp;Courses!A94&amp;"; ","")</f>
        <v/>
      </c>
      <c r="V100" t="str">
        <f>IF(AND($R$9=1,Courses!B94&lt;&gt;"",Courses!I94="",Courses!F94&lt;&gt;"",Courses!G94&lt;&gt;"",Courses!H94&lt;&gt;""),IF(OR((Courses!F94+Courses!H94)&lt;&gt;1),"Row "&amp;Courses!A94&amp;"; ",""),"")</f>
        <v/>
      </c>
      <c r="W100" s="183" t="str">
        <f>IF(AND($R$9=1,Courses!B94&lt;&gt;"",Courses!I94&lt;&gt;"",Courses!J94&lt;&gt;"",Courses!H94&lt;&gt;"",Courses!G94&lt;&gt;"",Courses!F94&lt;&gt;""),IF(OR((Courses!F94+Courses!H94+Courses!J94)&lt;&gt;1),"Row "&amp;Courses!A94&amp;"; ",""),"")</f>
        <v/>
      </c>
      <c r="Y100" s="1592" t="str">
        <f>IF(AND($R$9=1,Courses!E94&lt;&gt;"",U100="",V100="",W100="",SUM(Courses!F94,Courses!H94,Courses!J94)&lt;&gt;1),"Row "&amp;Courses!A94&amp;"; ","")</f>
        <v/>
      </c>
      <c r="Z100" s="17"/>
      <c r="AB100" s="1593" t="str">
        <f>IF(AND($S$9=1,Courses!B94&lt;&gt;"",Courses!E94&lt;&gt;"",Courses!F94&lt;&gt;""),IF((TRUNC(Courses!F94*100)&lt;&gt;Courses!F94*100),"Row "&amp;Courses!A94&amp;", "&amp;Courses!$F$10&amp;"; ",""),"")</f>
        <v/>
      </c>
      <c r="AC100" t="str">
        <f>IF(AND($S$9=1,Courses!B94&lt;&gt;"",Courses!G94&lt;&gt;"",Courses!H94&lt;&gt;""),IF((TRUNC(Courses!H94*100)&lt;&gt;Courses!H94*100),"Row "&amp;Courses!A94&amp;", "&amp;Courses!$H$10&amp;"; ",""),"")</f>
        <v/>
      </c>
      <c r="AD100" s="183" t="str">
        <f>IF(AND($S$9=1,Courses!B94&lt;&gt;"",Courses!I94&lt;&gt;"",Courses!J94&lt;&gt;""),IF((TRUNC(Courses!J94*100)&lt;&gt;Courses!J94*100),"Row "&amp;Courses!A94&amp;", "&amp;Courses!$J$10&amp;"; ",""),"")</f>
        <v/>
      </c>
      <c r="AF100" s="118"/>
      <c r="AG100" s="1592" t="str">
        <f>IF(AND($T$9=1,G100="",Courses!B94&lt;&gt;"",Courses!K94&lt;&gt;$B$9,Courses!K94&lt;&gt;$B$10,Courses!K94&lt;&gt;$B$11,Courses!K94&lt;&gt;$B$12,Courses!K94&lt;&gt;$B$13,Courses!K94&lt;&gt;$B$14),"Row "&amp;Courses!A94&amp;"; ","")</f>
        <v/>
      </c>
      <c r="AH100" s="1592" t="str">
        <f>IF(AND($U$9=1,G100="",Courses!B94&lt;&gt;"",Courses!L94&lt;&gt;"Standard",Courses!L94&lt;&gt;"Long"),"Row "&amp;Courses!A94&amp;"; ","")</f>
        <v/>
      </c>
      <c r="AJ100" s="118"/>
      <c r="AK100" s="3">
        <v>81</v>
      </c>
      <c r="AL100" s="1593" t="str">
        <f>IF(AND($V$9=1,(TRUNC(Courses!M94)&lt;&gt;Courses!M94)), "Row "&amp;Courses!$A94&amp;", "&amp;AL$9&amp;", "&amp;AL$10&amp;", "&amp;AL$11&amp;"; ","")</f>
        <v/>
      </c>
      <c r="AM100" t="str">
        <f>IF(AND($V$9=1,(TRUNC(Courses!N94)&lt;&gt;Courses!N94)), "Row "&amp;Courses!$A94&amp;", "&amp;AM$9&amp;", "&amp;AM$10&amp;", "&amp;AM$11&amp;"; ","")</f>
        <v/>
      </c>
      <c r="AN100" t="str">
        <f>IF(AND($V$9=1,(TRUNC(Courses!O94)&lt;&gt;Courses!O94)), "Row "&amp;Courses!$A94&amp;", "&amp;AN$9&amp;", "&amp;AN$10&amp;", "&amp;AN$11&amp;"; ","")</f>
        <v/>
      </c>
      <c r="AO100" t="str">
        <f>IF(AND($V$9=1,(TRUNC(Courses!P94)&lt;&gt;Courses!P94)), "Row "&amp;Courses!$A94&amp;", "&amp;AO$9&amp;", "&amp;AO$10&amp;", "&amp;AO$11&amp;"; ","")</f>
        <v/>
      </c>
      <c r="AP100" s="2120" t="str">
        <f>IF(AND($V$9=1,(TRUNC(Courses!Q94)&lt;&gt;Courses!Q94)), "Row "&amp;Courses!$A94&amp;", "&amp;AP$9&amp;", "&amp;AP$10&amp;"; ","")</f>
        <v/>
      </c>
      <c r="AQ100" s="1593" t="str">
        <f>IF(AND($V$9=1,(TRUNC(Courses!R94)&lt;&gt;Courses!R94)), "Row "&amp;Courses!$A94&amp;", "&amp;AQ$9&amp;", "&amp;AQ$10&amp;", "&amp;AQ$11&amp;"; ","")</f>
        <v/>
      </c>
      <c r="AR100" t="str">
        <f>IF(AND($V$9=1,(TRUNC(Courses!S94)&lt;&gt;Courses!S94)), "Row "&amp;Courses!$A94&amp;", "&amp;AR$9&amp;", "&amp;AR$10&amp;", "&amp;AR$11&amp;"; ","")</f>
        <v/>
      </c>
      <c r="AS100" t="str">
        <f>IF(AND($V$9=1,(TRUNC(Courses!T94)&lt;&gt;Courses!T94)), "Row "&amp;Courses!$A94&amp;", "&amp;AS$9&amp;", "&amp;AS$10&amp;", "&amp;AS$11&amp;"; ","")</f>
        <v/>
      </c>
      <c r="AT100" t="str">
        <f>IF(AND($V$9=1,(TRUNC(Courses!U94)&lt;&gt;Courses!U94)), "Row "&amp;Courses!$A94&amp;", "&amp;AT$9&amp;", "&amp;AT$10&amp;", "&amp;AT$11&amp;"; ","")</f>
        <v/>
      </c>
      <c r="AU100" s="2120" t="str">
        <f>IF(AND($V$9=1,(TRUNC(Courses!V94)&lt;&gt;Courses!V94)), "Row "&amp;Courses!$A94&amp;", "&amp;AU$9&amp;", "&amp;AU$10&amp;"; ","")</f>
        <v/>
      </c>
      <c r="AV100" s="1593" t="str">
        <f>IF(AND($V$9=1,(TRUNC(Courses!W94)&lt;&gt;Courses!W94)), "Row "&amp;Courses!$A94&amp;", "&amp;AV$9&amp;", "&amp;AV$10&amp;", "&amp;AV$11&amp;"; ","")</f>
        <v/>
      </c>
      <c r="AW100" t="str">
        <f>IF(AND($V$9=1,(TRUNC(Courses!X94)&lt;&gt;Courses!X94)), "Row "&amp;Courses!$A94&amp;", "&amp;AW$9&amp;", "&amp;AW$10&amp;", "&amp;AW$11&amp;"; ","")</f>
        <v/>
      </c>
      <c r="AX100" t="str">
        <f>IF(AND($V$9=1,(TRUNC(Courses!Y94)&lt;&gt;Courses!Y94)), "Row "&amp;Courses!$A94&amp;", "&amp;AX$9&amp;", "&amp;AX$10&amp;", "&amp;AX$11&amp;"; ","")</f>
        <v/>
      </c>
      <c r="AY100" t="str">
        <f>IF(AND($V$9=1,(TRUNC(Courses!Z94)&lt;&gt;Courses!Z94)), "Row "&amp;Courses!$A94&amp;", "&amp;AY$9&amp;", "&amp;AY$10&amp;", "&amp;AY$11&amp;"; ","")</f>
        <v/>
      </c>
      <c r="AZ100" s="2120" t="str">
        <f>IF(AND($V$9=1,(TRUNC(Courses!AA94)&lt;&gt;Courses!AA94)), "Row "&amp;Courses!$A94&amp;", "&amp;AZ$9&amp;", "&amp;AZ$10&amp;"; ","")</f>
        <v/>
      </c>
      <c r="BA100" s="17"/>
      <c r="BB100" s="118"/>
      <c r="BC100" s="3">
        <v>81</v>
      </c>
      <c r="BD100" s="1593" t="str">
        <f>IF(AND($W$9=1,Courses!M94&lt;0), "Row "&amp;Courses!$A94&amp;", "&amp;BD$9&amp;", "&amp;BD$10&amp;", "&amp;BD$11&amp;"; ","")</f>
        <v/>
      </c>
      <c r="BE100" t="str">
        <f>IF(AND($W$9=1,Courses!N94&lt;0), "Row "&amp;Courses!$A94&amp;", "&amp;BE$9&amp;", "&amp;BE$10&amp;", "&amp;BE$11&amp;"; ","")</f>
        <v/>
      </c>
      <c r="BF100" t="str">
        <f>IF(AND($W$9=1,Courses!O94&lt;0), "Row "&amp;Courses!$A94&amp;", "&amp;BF$9&amp;", "&amp;BF$10&amp;", "&amp;BF$11&amp;"; ","")</f>
        <v/>
      </c>
      <c r="BG100" t="str">
        <f>IF(AND($W$9=1,Courses!P94&lt;0), "Row "&amp;Courses!$A94&amp;", "&amp;BG$9&amp;", "&amp;BG$10&amp;", "&amp;BG$11&amp;"; ","")</f>
        <v/>
      </c>
      <c r="BH100" s="2120" t="str">
        <f>IF(AND($W$9=1,Courses!Q94&lt;0), "Row "&amp;Courses!$A94&amp;", "&amp;BH$9&amp;", "&amp;BH$10&amp;"; ","")</f>
        <v/>
      </c>
      <c r="BI100" s="1593" t="str">
        <f>IF(AND($W$9=1,Courses!R94&lt;0), "Row "&amp;Courses!$A94&amp;", "&amp;BI$9&amp;", "&amp;BI$10&amp;", "&amp;BI$11&amp;"; ","")</f>
        <v/>
      </c>
      <c r="BJ100" t="str">
        <f>IF(AND($W$9=1,Courses!S94&lt;0), "Row "&amp;Courses!$A94&amp;", "&amp;BJ$9&amp;", "&amp;BJ$10&amp;", "&amp;BJ$11&amp;"; ","")</f>
        <v/>
      </c>
      <c r="BK100" t="str">
        <f>IF(AND($W$9=1,Courses!T94&lt;0), "Row "&amp;Courses!$A94&amp;", "&amp;BK$9&amp;", "&amp;BK$10&amp;", "&amp;BK$11&amp;"; ","")</f>
        <v/>
      </c>
      <c r="BL100" t="str">
        <f>IF(AND($W$9=1,Courses!U94&lt;0), "Row "&amp;Courses!$A94&amp;", "&amp;BL$9&amp;", "&amp;BL$10&amp;", "&amp;BL$11&amp;"; ","")</f>
        <v/>
      </c>
      <c r="BM100" s="2120" t="str">
        <f>IF(AND($W$9=1,Courses!V94&lt;0), "Row "&amp;Courses!$A94&amp;", "&amp;BM$9&amp;", "&amp;BM$10&amp;"; ","")</f>
        <v/>
      </c>
      <c r="BN100" s="1593" t="str">
        <f>IF(AND($W$9=1,Courses!W94&lt;0), "Row "&amp;Courses!$A94&amp;", "&amp;BN$9&amp;", "&amp;BN$10&amp;", "&amp;BN$11&amp;"; ","")</f>
        <v/>
      </c>
      <c r="BO100" t="str">
        <f>IF(AND($W$9=1,Courses!X94&lt;0), "Row "&amp;Courses!$A94&amp;", "&amp;BO$9&amp;", "&amp;BO$10&amp;", "&amp;BO$11&amp;"; ","")</f>
        <v/>
      </c>
      <c r="BP100" t="str">
        <f>IF(AND($W$9=1,Courses!Y94&lt;0), "Row "&amp;Courses!$A94&amp;", "&amp;BP$9&amp;", "&amp;BP$10&amp;", "&amp;BP$11&amp;"; ","")</f>
        <v/>
      </c>
      <c r="BQ100" t="str">
        <f>IF(AND($W$9=1,Courses!Z94&lt;0), "Row "&amp;Courses!$A94&amp;", "&amp;BQ$9&amp;", "&amp;BQ$10&amp;", "&amp;BQ$11&amp;"; ","")</f>
        <v/>
      </c>
      <c r="BR100" s="2120" t="str">
        <f>IF(AND($W$9=1,Courses!AA94&lt;0), "Row "&amp;Courses!$A94&amp;", "&amp;BR$9&amp;", "&amp;BR$10&amp;"; ","")</f>
        <v/>
      </c>
      <c r="BT100" s="186">
        <v>81</v>
      </c>
      <c r="BU100" s="40">
        <f>IF(AND($X$9=1,Courses!B94="",Courses!F94="",Courses!H94="",Courses!J94="",Courses!K94="",Courses!L94="",Courses!M94=0,Courses!N94=0,Courses!O94=0,Courses!P94=0,Courses!Q94=0,Courses!R94=0,Courses!S94=0,Courses!T94=0,Courses!U94=0,Courses!V94=0,Courses!W94=0,Courses!X94=0,Courses!Y94=0,Courses!Z94=0,Courses!AA94=0),0,1)</f>
        <v>0</v>
      </c>
      <c r="BV100" s="40">
        <f>IF(AND(BU100=0,SUM(BU101:$BU$219)&gt;0),1,0)</f>
        <v>0</v>
      </c>
      <c r="BW100" s="1595" t="str">
        <f>IF(BV100=1,"Row "&amp;Courses!A94&amp;"; ","")</f>
        <v/>
      </c>
      <c r="BX100" s="1596"/>
      <c r="BZ100" s="1592" t="str">
        <f>IF(AND($Y$9=1,Courses!B94&lt;&gt;"",SUM(Courses!M94:AA94)=0),"Row "&amp;Courses!A94&amp;"; ","")</f>
        <v/>
      </c>
      <c r="CA100" s="17"/>
      <c r="CC100" s="1592" t="str">
        <f>IF(AND($Z$9=1,Courses!AD94=1,(LEN(Courses!AB94)&gt;200)),"Row "&amp;Courses!A94&amp;"; ","")</f>
        <v/>
      </c>
      <c r="CE100" s="131"/>
      <c r="CG100" s="1593" t="str">
        <f>IF(AND($AD$9=1,Courses!E94&lt;&gt;"",Courses!F94&lt;&gt;"",Courses!F94=0,SUM(Courses!H94,Courses!J94)=1),"Row "&amp;Courses!A94&amp;", "&amp;Courses!$F$10&amp;"; ","")</f>
        <v/>
      </c>
      <c r="CH100" t="str">
        <f>IF(AND($AD$9=1,Courses!G94&lt;&gt;"",Courses!H94&lt;&gt;"",Courses!H94=0,SUM(Courses!J94,Courses!F94)=1),"Row "&amp;Courses!A94&amp;", "&amp;Courses!$H$10&amp;"; ","")</f>
        <v/>
      </c>
      <c r="CI100" s="183" t="str">
        <f>IF(AND($AD$9=1,Courses!I94&lt;&gt;"",Courses!J94&lt;&gt;"",Courses!J94=0, SUM(Courses!H94,Courses!F94)=1),"Row "&amp;Courses!A94&amp;", "&amp;Courses!$J$10&amp;"; ","")</f>
        <v/>
      </c>
      <c r="CJ100" s="180"/>
      <c r="CK100" s="181"/>
      <c r="CL100" s="1592" t="str">
        <f>IF(AND(Courses!B94&lt;&gt;"",ISNA(VLOOKUP(Courses!C94,CourseInfo,2,FALSE))=FALSE,COUNTIF(Dummy,Courses!C94)&lt;&gt;1),VLOOKUP(Courses!C94,CourseInfo,6,FALSE),"")</f>
        <v/>
      </c>
      <c r="CM100" s="1592" t="str">
        <f>IF(AND($AE$9=1,Courses!B94&lt;&gt;"",'Courses Valid'!AG100="",COUNTIF(Dummy,Courses!C94)&lt;&gt;1),IF(Courses!K94&lt;&gt;'Courses Valid'!CL100,"Row "&amp;Courses!A94&amp;", Level on LARS is "&amp;'Courses Valid'!CL100&amp;"; ",""),"")</f>
        <v/>
      </c>
      <c r="CN100" s="131"/>
    </row>
    <row r="101" spans="3:92" x14ac:dyDescent="0.35">
      <c r="C101" s="1591">
        <f t="shared" si="3"/>
        <v>0</v>
      </c>
      <c r="D101" s="41"/>
      <c r="E101" s="41"/>
      <c r="F101" s="118"/>
      <c r="G101" s="1592" t="str">
        <f>IF(SUMPRODUCT(--(CourseAims=Courses!$C95))=1,"",IF(AND($N$9=1,Courses!$C95&lt;&gt;""),"Row "&amp;Courses!A95&amp;" (invalid); ",""))</f>
        <v/>
      </c>
      <c r="H101" s="1592" t="str">
        <f>IF(AND($O$9=1,Courses!B95="",OR(Courses!F95&lt;&gt;"",Courses!H95&lt;&gt;"",Courses!J95&lt;&gt;"",Courses!K95&lt;&gt;"",Courses!L95&lt;&gt;"",Courses!M95&lt;&gt;0,Courses!N95&lt;&gt;0,Courses!O95&lt;&gt;0,Courses!P95&lt;&gt;0,Courses!Q95&lt;&gt;0,Courses!R95&lt;&gt;0,Courses!S95&lt;&gt;0,Courses!T95&lt;&gt;0,Courses!U95&lt;&gt;0,Courses!V95&lt;&gt;0,Courses!W95&lt;&gt;0,Courses!X95&lt;&gt;0,Courses!Y95&lt;&gt;0,Courses!Z95&lt;&gt;0,Courses!AA95&lt;&gt;0)),"Row "&amp;Courses!A95&amp;" (none); ","")</f>
        <v/>
      </c>
      <c r="I101" s="17"/>
      <c r="K101" s="1592" t="str">
        <f>Courses!B95&amp;Courses!K95&amp;Courses!L95</f>
        <v/>
      </c>
      <c r="L101" s="1592" t="str">
        <f>IF(AND($P$9=1,Courses!$B95&lt;&gt;"",COUNTIF(Dummy,Courses!$C95)&lt;&gt;1),IF(SUMPRODUCT(--($K$20:$K$219=$K101))&gt;1,"Row "&amp;Courses!$A95&amp;"; ",""),"")</f>
        <v/>
      </c>
      <c r="N101" s="118"/>
      <c r="O101" s="1593" t="str">
        <f>IF(AND($Q$9=1,Courses!E95&lt;&gt;"",Courses!F95=""),"Row "&amp;Courses!A95&amp;", "&amp;Courses!$E$10&amp;"; ","")</f>
        <v/>
      </c>
      <c r="P101" t="str">
        <f>IF(AND($Q$9=1,Courses!G95&lt;&gt;"",Courses!H95=""),"Row "&amp;Courses!A95&amp;", "&amp;Courses!$G$10&amp;"; ","")</f>
        <v/>
      </c>
      <c r="Q101" s="183" t="str">
        <f>IF(AND($Q$9=1,Courses!I95&lt;&gt;"",Courses!J95=""),"Row "&amp;Courses!A95&amp;", "&amp;Courses!$I$10&amp;"; ","")</f>
        <v/>
      </c>
      <c r="S101" s="17"/>
      <c r="T101" s="118"/>
      <c r="U101" s="1594" t="str">
        <f>IF(AND($R$9=1,Courses!B95&lt;&gt;"",Courses!E95&lt;&gt;"",Courses!G95="",Courses!I95="",Courses!F95&lt;&gt;1),"Row "&amp;Courses!A95&amp;"; ","")</f>
        <v/>
      </c>
      <c r="V101" t="str">
        <f>IF(AND($R$9=1,Courses!B95&lt;&gt;"",Courses!I95="",Courses!F95&lt;&gt;"",Courses!G95&lt;&gt;"",Courses!H95&lt;&gt;""),IF(OR((Courses!F95+Courses!H95)&lt;&gt;1),"Row "&amp;Courses!A95&amp;"; ",""),"")</f>
        <v/>
      </c>
      <c r="W101" s="183" t="str">
        <f>IF(AND($R$9=1,Courses!B95&lt;&gt;"",Courses!I95&lt;&gt;"",Courses!J95&lt;&gt;"",Courses!H95&lt;&gt;"",Courses!G95&lt;&gt;"",Courses!F95&lt;&gt;""),IF(OR((Courses!F95+Courses!H95+Courses!J95)&lt;&gt;1),"Row "&amp;Courses!A95&amp;"; ",""),"")</f>
        <v/>
      </c>
      <c r="Y101" s="1592" t="str">
        <f>IF(AND($R$9=1,Courses!E95&lt;&gt;"",U101="",V101="",W101="",SUM(Courses!F95,Courses!H95,Courses!J95)&lt;&gt;1),"Row "&amp;Courses!A95&amp;"; ","")</f>
        <v/>
      </c>
      <c r="Z101" s="17"/>
      <c r="AB101" s="1593" t="str">
        <f>IF(AND($S$9=1,Courses!B95&lt;&gt;"",Courses!E95&lt;&gt;"",Courses!F95&lt;&gt;""),IF((TRUNC(Courses!F95*100)&lt;&gt;Courses!F95*100),"Row "&amp;Courses!A95&amp;", "&amp;Courses!$F$10&amp;"; ",""),"")</f>
        <v/>
      </c>
      <c r="AC101" t="str">
        <f>IF(AND($S$9=1,Courses!B95&lt;&gt;"",Courses!G95&lt;&gt;"",Courses!H95&lt;&gt;""),IF((TRUNC(Courses!H95*100)&lt;&gt;Courses!H95*100),"Row "&amp;Courses!A95&amp;", "&amp;Courses!$H$10&amp;"; ",""),"")</f>
        <v/>
      </c>
      <c r="AD101" s="183" t="str">
        <f>IF(AND($S$9=1,Courses!B95&lt;&gt;"",Courses!I95&lt;&gt;"",Courses!J95&lt;&gt;""),IF((TRUNC(Courses!J95*100)&lt;&gt;Courses!J95*100),"Row "&amp;Courses!A95&amp;", "&amp;Courses!$J$10&amp;"; ",""),"")</f>
        <v/>
      </c>
      <c r="AF101" s="118"/>
      <c r="AG101" s="1592" t="str">
        <f>IF(AND($T$9=1,G101="",Courses!B95&lt;&gt;"",Courses!K95&lt;&gt;$B$9,Courses!K95&lt;&gt;$B$10,Courses!K95&lt;&gt;$B$11,Courses!K95&lt;&gt;$B$12,Courses!K95&lt;&gt;$B$13,Courses!K95&lt;&gt;$B$14),"Row "&amp;Courses!A95&amp;"; ","")</f>
        <v/>
      </c>
      <c r="AH101" s="1592" t="str">
        <f>IF(AND($U$9=1,G101="",Courses!B95&lt;&gt;"",Courses!L95&lt;&gt;"Standard",Courses!L95&lt;&gt;"Long"),"Row "&amp;Courses!A95&amp;"; ","")</f>
        <v/>
      </c>
      <c r="AJ101" s="118"/>
      <c r="AK101" s="3">
        <v>82</v>
      </c>
      <c r="AL101" s="1593" t="str">
        <f>IF(AND($V$9=1,(TRUNC(Courses!M95)&lt;&gt;Courses!M95)), "Row "&amp;Courses!$A95&amp;", "&amp;AL$9&amp;", "&amp;AL$10&amp;", "&amp;AL$11&amp;"; ","")</f>
        <v/>
      </c>
      <c r="AM101" t="str">
        <f>IF(AND($V$9=1,(TRUNC(Courses!N95)&lt;&gt;Courses!N95)), "Row "&amp;Courses!$A95&amp;", "&amp;AM$9&amp;", "&amp;AM$10&amp;", "&amp;AM$11&amp;"; ","")</f>
        <v/>
      </c>
      <c r="AN101" t="str">
        <f>IF(AND($V$9=1,(TRUNC(Courses!O95)&lt;&gt;Courses!O95)), "Row "&amp;Courses!$A95&amp;", "&amp;AN$9&amp;", "&amp;AN$10&amp;", "&amp;AN$11&amp;"; ","")</f>
        <v/>
      </c>
      <c r="AO101" t="str">
        <f>IF(AND($V$9=1,(TRUNC(Courses!P95)&lt;&gt;Courses!P95)), "Row "&amp;Courses!$A95&amp;", "&amp;AO$9&amp;", "&amp;AO$10&amp;", "&amp;AO$11&amp;"; ","")</f>
        <v/>
      </c>
      <c r="AP101" s="2120" t="str">
        <f>IF(AND($V$9=1,(TRUNC(Courses!Q95)&lt;&gt;Courses!Q95)), "Row "&amp;Courses!$A95&amp;", "&amp;AP$9&amp;", "&amp;AP$10&amp;"; ","")</f>
        <v/>
      </c>
      <c r="AQ101" s="1593" t="str">
        <f>IF(AND($V$9=1,(TRUNC(Courses!R95)&lt;&gt;Courses!R95)), "Row "&amp;Courses!$A95&amp;", "&amp;AQ$9&amp;", "&amp;AQ$10&amp;", "&amp;AQ$11&amp;"; ","")</f>
        <v/>
      </c>
      <c r="AR101" t="str">
        <f>IF(AND($V$9=1,(TRUNC(Courses!S95)&lt;&gt;Courses!S95)), "Row "&amp;Courses!$A95&amp;", "&amp;AR$9&amp;", "&amp;AR$10&amp;", "&amp;AR$11&amp;"; ","")</f>
        <v/>
      </c>
      <c r="AS101" t="str">
        <f>IF(AND($V$9=1,(TRUNC(Courses!T95)&lt;&gt;Courses!T95)), "Row "&amp;Courses!$A95&amp;", "&amp;AS$9&amp;", "&amp;AS$10&amp;", "&amp;AS$11&amp;"; ","")</f>
        <v/>
      </c>
      <c r="AT101" t="str">
        <f>IF(AND($V$9=1,(TRUNC(Courses!U95)&lt;&gt;Courses!U95)), "Row "&amp;Courses!$A95&amp;", "&amp;AT$9&amp;", "&amp;AT$10&amp;", "&amp;AT$11&amp;"; ","")</f>
        <v/>
      </c>
      <c r="AU101" s="2120" t="str">
        <f>IF(AND($V$9=1,(TRUNC(Courses!V95)&lt;&gt;Courses!V95)), "Row "&amp;Courses!$A95&amp;", "&amp;AU$9&amp;", "&amp;AU$10&amp;"; ","")</f>
        <v/>
      </c>
      <c r="AV101" s="1593" t="str">
        <f>IF(AND($V$9=1,(TRUNC(Courses!W95)&lt;&gt;Courses!W95)), "Row "&amp;Courses!$A95&amp;", "&amp;AV$9&amp;", "&amp;AV$10&amp;", "&amp;AV$11&amp;"; ","")</f>
        <v/>
      </c>
      <c r="AW101" t="str">
        <f>IF(AND($V$9=1,(TRUNC(Courses!X95)&lt;&gt;Courses!X95)), "Row "&amp;Courses!$A95&amp;", "&amp;AW$9&amp;", "&amp;AW$10&amp;", "&amp;AW$11&amp;"; ","")</f>
        <v/>
      </c>
      <c r="AX101" t="str">
        <f>IF(AND($V$9=1,(TRUNC(Courses!Y95)&lt;&gt;Courses!Y95)), "Row "&amp;Courses!$A95&amp;", "&amp;AX$9&amp;", "&amp;AX$10&amp;", "&amp;AX$11&amp;"; ","")</f>
        <v/>
      </c>
      <c r="AY101" t="str">
        <f>IF(AND($V$9=1,(TRUNC(Courses!Z95)&lt;&gt;Courses!Z95)), "Row "&amp;Courses!$A95&amp;", "&amp;AY$9&amp;", "&amp;AY$10&amp;", "&amp;AY$11&amp;"; ","")</f>
        <v/>
      </c>
      <c r="AZ101" s="2120" t="str">
        <f>IF(AND($V$9=1,(TRUNC(Courses!AA95)&lt;&gt;Courses!AA95)), "Row "&amp;Courses!$A95&amp;", "&amp;AZ$9&amp;", "&amp;AZ$10&amp;"; ","")</f>
        <v/>
      </c>
      <c r="BB101" s="118"/>
      <c r="BC101" s="3">
        <v>82</v>
      </c>
      <c r="BD101" s="1593" t="str">
        <f>IF(AND($W$9=1,Courses!M95&lt;0), "Row "&amp;Courses!$A95&amp;", "&amp;BD$9&amp;", "&amp;BD$10&amp;", "&amp;BD$11&amp;"; ","")</f>
        <v/>
      </c>
      <c r="BE101" t="str">
        <f>IF(AND($W$9=1,Courses!N95&lt;0), "Row "&amp;Courses!$A95&amp;", "&amp;BE$9&amp;", "&amp;BE$10&amp;", "&amp;BE$11&amp;"; ","")</f>
        <v/>
      </c>
      <c r="BF101" t="str">
        <f>IF(AND($W$9=1,Courses!O95&lt;0), "Row "&amp;Courses!$A95&amp;", "&amp;BF$9&amp;", "&amp;BF$10&amp;", "&amp;BF$11&amp;"; ","")</f>
        <v/>
      </c>
      <c r="BG101" t="str">
        <f>IF(AND($W$9=1,Courses!P95&lt;0), "Row "&amp;Courses!$A95&amp;", "&amp;BG$9&amp;", "&amp;BG$10&amp;", "&amp;BG$11&amp;"; ","")</f>
        <v/>
      </c>
      <c r="BH101" s="2120" t="str">
        <f>IF(AND($W$9=1,Courses!Q95&lt;0), "Row "&amp;Courses!$A95&amp;", "&amp;BH$9&amp;", "&amp;BH$10&amp;"; ","")</f>
        <v/>
      </c>
      <c r="BI101" s="1593" t="str">
        <f>IF(AND($W$9=1,Courses!R95&lt;0), "Row "&amp;Courses!$A95&amp;", "&amp;BI$9&amp;", "&amp;BI$10&amp;", "&amp;BI$11&amp;"; ","")</f>
        <v/>
      </c>
      <c r="BJ101" t="str">
        <f>IF(AND($W$9=1,Courses!S95&lt;0), "Row "&amp;Courses!$A95&amp;", "&amp;BJ$9&amp;", "&amp;BJ$10&amp;", "&amp;BJ$11&amp;"; ","")</f>
        <v/>
      </c>
      <c r="BK101" t="str">
        <f>IF(AND($W$9=1,Courses!T95&lt;0), "Row "&amp;Courses!$A95&amp;", "&amp;BK$9&amp;", "&amp;BK$10&amp;", "&amp;BK$11&amp;"; ","")</f>
        <v/>
      </c>
      <c r="BL101" t="str">
        <f>IF(AND($W$9=1,Courses!U95&lt;0), "Row "&amp;Courses!$A95&amp;", "&amp;BL$9&amp;", "&amp;BL$10&amp;", "&amp;BL$11&amp;"; ","")</f>
        <v/>
      </c>
      <c r="BM101" s="2120" t="str">
        <f>IF(AND($W$9=1,Courses!V95&lt;0), "Row "&amp;Courses!$A95&amp;", "&amp;BM$9&amp;", "&amp;BM$10&amp;"; ","")</f>
        <v/>
      </c>
      <c r="BN101" s="1593" t="str">
        <f>IF(AND($W$9=1,Courses!W95&lt;0), "Row "&amp;Courses!$A95&amp;", "&amp;BN$9&amp;", "&amp;BN$10&amp;", "&amp;BN$11&amp;"; ","")</f>
        <v/>
      </c>
      <c r="BO101" t="str">
        <f>IF(AND($W$9=1,Courses!X95&lt;0), "Row "&amp;Courses!$A95&amp;", "&amp;BO$9&amp;", "&amp;BO$10&amp;", "&amp;BO$11&amp;"; ","")</f>
        <v/>
      </c>
      <c r="BP101" t="str">
        <f>IF(AND($W$9=1,Courses!Y95&lt;0), "Row "&amp;Courses!$A95&amp;", "&amp;BP$9&amp;", "&amp;BP$10&amp;", "&amp;BP$11&amp;"; ","")</f>
        <v/>
      </c>
      <c r="BQ101" t="str">
        <f>IF(AND($W$9=1,Courses!Z95&lt;0), "Row "&amp;Courses!$A95&amp;", "&amp;BQ$9&amp;", "&amp;BQ$10&amp;", "&amp;BQ$11&amp;"; ","")</f>
        <v/>
      </c>
      <c r="BR101" s="2120" t="str">
        <f>IF(AND($W$9=1,Courses!AA95&lt;0), "Row "&amp;Courses!$A95&amp;", "&amp;BR$9&amp;", "&amp;BR$10&amp;"; ","")</f>
        <v/>
      </c>
      <c r="BT101" s="40">
        <v>82</v>
      </c>
      <c r="BU101" s="40">
        <f>IF(AND($X$9=1,Courses!B95="",Courses!F95="",Courses!H95="",Courses!J95="",Courses!K95="",Courses!L95="",Courses!M95=0,Courses!N95=0,Courses!O95=0,Courses!P95=0,Courses!Q95=0,Courses!R95=0,Courses!S95=0,Courses!T95=0,Courses!U95=0,Courses!V95=0,Courses!W95=0,Courses!X95=0,Courses!Y95=0,Courses!Z95=0,Courses!AA95=0),0,1)</f>
        <v>0</v>
      </c>
      <c r="BV101" s="40">
        <f>IF(AND(BU101=0,SUM(BU102:$BU$219)&gt;0),1,0)</f>
        <v>0</v>
      </c>
      <c r="BW101" s="1595" t="str">
        <f>IF(BV101=1,"Row "&amp;Courses!A95&amp;"; ","")</f>
        <v/>
      </c>
      <c r="BX101" s="17"/>
      <c r="BZ101" s="1592" t="str">
        <f>IF(AND($Y$9=1,Courses!B95&lt;&gt;"",SUM(Courses!M95:AA95)=0),"Row "&amp;Courses!A95&amp;"; ","")</f>
        <v/>
      </c>
      <c r="CA101" s="17"/>
      <c r="CC101" s="1592" t="str">
        <f>IF(AND($Z$9=1,Courses!AD95=1,(LEN(Courses!AB95)&gt;200)),"Row "&amp;Courses!A95&amp;"; ","")</f>
        <v/>
      </c>
      <c r="CE101" s="131"/>
      <c r="CG101" s="1593" t="str">
        <f>IF(AND($AD$9=1,Courses!E95&lt;&gt;"",Courses!F95&lt;&gt;"",Courses!F95=0,SUM(Courses!H95,Courses!J95)=1),"Row "&amp;Courses!A95&amp;", "&amp;Courses!$F$10&amp;"; ","")</f>
        <v/>
      </c>
      <c r="CH101" t="str">
        <f>IF(AND($AD$9=1,Courses!G95&lt;&gt;"",Courses!H95&lt;&gt;"",Courses!H95=0,SUM(Courses!J95,Courses!F95)=1),"Row "&amp;Courses!A95&amp;", "&amp;Courses!$H$10&amp;"; ","")</f>
        <v/>
      </c>
      <c r="CI101" s="183" t="str">
        <f>IF(AND($AD$9=1,Courses!I95&lt;&gt;"",Courses!J95&lt;&gt;"",Courses!J95=0, SUM(Courses!H95,Courses!F95)=1),"Row "&amp;Courses!A95&amp;", "&amp;Courses!$J$10&amp;"; ","")</f>
        <v/>
      </c>
      <c r="CJ101" s="180"/>
      <c r="CK101" s="181"/>
      <c r="CL101" s="1592" t="str">
        <f>IF(AND(Courses!B95&lt;&gt;"",ISNA(VLOOKUP(Courses!C95,CourseInfo,2,FALSE))=FALSE,COUNTIF(Dummy,Courses!C95)&lt;&gt;1),VLOOKUP(Courses!C95,CourseInfo,6,FALSE),"")</f>
        <v/>
      </c>
      <c r="CM101" s="1592" t="str">
        <f>IF(AND($AE$9=1,Courses!B95&lt;&gt;"",'Courses Valid'!AG101="",COUNTIF(Dummy,Courses!C95)&lt;&gt;1),IF(Courses!K95&lt;&gt;'Courses Valid'!CL101,"Row "&amp;Courses!A95&amp;", Level on LARS is "&amp;'Courses Valid'!CL101&amp;"; ",""),"")</f>
        <v/>
      </c>
      <c r="CN101" s="131"/>
    </row>
    <row r="102" spans="3:92" x14ac:dyDescent="0.35">
      <c r="C102" s="1591">
        <f t="shared" si="3"/>
        <v>0</v>
      </c>
      <c r="D102" s="41"/>
      <c r="E102" s="41"/>
      <c r="F102" s="118"/>
      <c r="G102" s="1592" t="str">
        <f>IF(SUMPRODUCT(--(CourseAims=Courses!$C96))=1,"",IF(AND($N$9=1,Courses!$C96&lt;&gt;""),"Row "&amp;Courses!A96&amp;" (invalid); ",""))</f>
        <v/>
      </c>
      <c r="H102" s="1592" t="str">
        <f>IF(AND($O$9=1,Courses!B96="",OR(Courses!F96&lt;&gt;"",Courses!H96&lt;&gt;"",Courses!J96&lt;&gt;"",Courses!K96&lt;&gt;"",Courses!L96&lt;&gt;"",Courses!M96&lt;&gt;0,Courses!N96&lt;&gt;0,Courses!O96&lt;&gt;0,Courses!P96&lt;&gt;0,Courses!Q96&lt;&gt;0,Courses!R96&lt;&gt;0,Courses!S96&lt;&gt;0,Courses!T96&lt;&gt;0,Courses!U96&lt;&gt;0,Courses!V96&lt;&gt;0,Courses!W96&lt;&gt;0,Courses!X96&lt;&gt;0,Courses!Y96&lt;&gt;0,Courses!Z96&lt;&gt;0,Courses!AA96&lt;&gt;0)),"Row "&amp;Courses!A96&amp;" (none); ","")</f>
        <v/>
      </c>
      <c r="I102" s="17"/>
      <c r="K102" s="1592" t="str">
        <f>Courses!B96&amp;Courses!K96&amp;Courses!L96</f>
        <v/>
      </c>
      <c r="L102" s="1592" t="str">
        <f>IF(AND($P$9=1,Courses!$B96&lt;&gt;"",COUNTIF(Dummy,Courses!$C96)&lt;&gt;1),IF(SUMPRODUCT(--($K$20:$K$219=$K102))&gt;1,"Row "&amp;Courses!$A96&amp;"; ",""),"")</f>
        <v/>
      </c>
      <c r="N102" s="118"/>
      <c r="O102" s="1593" t="str">
        <f>IF(AND($Q$9=1,Courses!E96&lt;&gt;"",Courses!F96=""),"Row "&amp;Courses!A96&amp;", "&amp;Courses!$E$10&amp;"; ","")</f>
        <v/>
      </c>
      <c r="P102" t="str">
        <f>IF(AND($Q$9=1,Courses!G96&lt;&gt;"",Courses!H96=""),"Row "&amp;Courses!A96&amp;", "&amp;Courses!$G$10&amp;"; ","")</f>
        <v/>
      </c>
      <c r="Q102" s="183" t="str">
        <f>IF(AND($Q$9=1,Courses!I96&lt;&gt;"",Courses!J96=""),"Row "&amp;Courses!A96&amp;", "&amp;Courses!$I$10&amp;"; ","")</f>
        <v/>
      </c>
      <c r="S102" s="17"/>
      <c r="T102" s="118"/>
      <c r="U102" s="1594" t="str">
        <f>IF(AND($R$9=1,Courses!B96&lt;&gt;"",Courses!E96&lt;&gt;"",Courses!G96="",Courses!I96="",Courses!F96&lt;&gt;1),"Row "&amp;Courses!A96&amp;"; ","")</f>
        <v/>
      </c>
      <c r="V102" t="str">
        <f>IF(AND($R$9=1,Courses!B96&lt;&gt;"",Courses!I96="",Courses!F96&lt;&gt;"",Courses!G96&lt;&gt;"",Courses!H96&lt;&gt;""),IF(OR((Courses!F96+Courses!H96)&lt;&gt;1),"Row "&amp;Courses!A96&amp;"; ",""),"")</f>
        <v/>
      </c>
      <c r="W102" s="183" t="str">
        <f>IF(AND($R$9=1,Courses!B96&lt;&gt;"",Courses!I96&lt;&gt;"",Courses!J96&lt;&gt;"",Courses!H96&lt;&gt;"",Courses!G96&lt;&gt;"",Courses!F96&lt;&gt;""),IF(OR((Courses!F96+Courses!H96+Courses!J96)&lt;&gt;1),"Row "&amp;Courses!A96&amp;"; ",""),"")</f>
        <v/>
      </c>
      <c r="Y102" s="1592" t="str">
        <f>IF(AND($R$9=1,Courses!E96&lt;&gt;"",U102="",V102="",W102="",SUM(Courses!F96,Courses!H96,Courses!J96)&lt;&gt;1),"Row "&amp;Courses!A96&amp;"; ","")</f>
        <v/>
      </c>
      <c r="Z102" s="17"/>
      <c r="AB102" s="1593" t="str">
        <f>IF(AND($S$9=1,Courses!B96&lt;&gt;"",Courses!E96&lt;&gt;"",Courses!F96&lt;&gt;""),IF((TRUNC(Courses!F96*100)&lt;&gt;Courses!F96*100),"Row "&amp;Courses!A96&amp;", "&amp;Courses!$F$10&amp;"; ",""),"")</f>
        <v/>
      </c>
      <c r="AC102" t="str">
        <f>IF(AND($S$9=1,Courses!B96&lt;&gt;"",Courses!G96&lt;&gt;"",Courses!H96&lt;&gt;""),IF((TRUNC(Courses!H96*100)&lt;&gt;Courses!H96*100),"Row "&amp;Courses!A96&amp;", "&amp;Courses!$H$10&amp;"; ",""),"")</f>
        <v/>
      </c>
      <c r="AD102" s="183" t="str">
        <f>IF(AND($S$9=1,Courses!B96&lt;&gt;"",Courses!I96&lt;&gt;"",Courses!J96&lt;&gt;""),IF((TRUNC(Courses!J96*100)&lt;&gt;Courses!J96*100),"Row "&amp;Courses!A96&amp;", "&amp;Courses!$J$10&amp;"; ",""),"")</f>
        <v/>
      </c>
      <c r="AF102" s="118"/>
      <c r="AG102" s="1592" t="str">
        <f>IF(AND($T$9=1,G102="",Courses!B96&lt;&gt;"",Courses!K96&lt;&gt;$B$9,Courses!K96&lt;&gt;$B$10,Courses!K96&lt;&gt;$B$11,Courses!K96&lt;&gt;$B$12,Courses!K96&lt;&gt;$B$13,Courses!K96&lt;&gt;$B$14),"Row "&amp;Courses!A96&amp;"; ","")</f>
        <v/>
      </c>
      <c r="AH102" s="1592" t="str">
        <f>IF(AND($U$9=1,G102="",Courses!B96&lt;&gt;"",Courses!L96&lt;&gt;"Standard",Courses!L96&lt;&gt;"Long"),"Row "&amp;Courses!A96&amp;"; ","")</f>
        <v/>
      </c>
      <c r="AJ102" s="118"/>
      <c r="AK102" s="3">
        <v>83</v>
      </c>
      <c r="AL102" s="1593" t="str">
        <f>IF(AND($V$9=1,(TRUNC(Courses!M96)&lt;&gt;Courses!M96)), "Row "&amp;Courses!$A96&amp;", "&amp;AL$9&amp;", "&amp;AL$10&amp;", "&amp;AL$11&amp;"; ","")</f>
        <v/>
      </c>
      <c r="AM102" t="str">
        <f>IF(AND($V$9=1,(TRUNC(Courses!N96)&lt;&gt;Courses!N96)), "Row "&amp;Courses!$A96&amp;", "&amp;AM$9&amp;", "&amp;AM$10&amp;", "&amp;AM$11&amp;"; ","")</f>
        <v/>
      </c>
      <c r="AN102" t="str">
        <f>IF(AND($V$9=1,(TRUNC(Courses!O96)&lt;&gt;Courses!O96)), "Row "&amp;Courses!$A96&amp;", "&amp;AN$9&amp;", "&amp;AN$10&amp;", "&amp;AN$11&amp;"; ","")</f>
        <v/>
      </c>
      <c r="AO102" t="str">
        <f>IF(AND($V$9=1,(TRUNC(Courses!P96)&lt;&gt;Courses!P96)), "Row "&amp;Courses!$A96&amp;", "&amp;AO$9&amp;", "&amp;AO$10&amp;", "&amp;AO$11&amp;"; ","")</f>
        <v/>
      </c>
      <c r="AP102" s="2120" t="str">
        <f>IF(AND($V$9=1,(TRUNC(Courses!Q96)&lt;&gt;Courses!Q96)), "Row "&amp;Courses!$A96&amp;", "&amp;AP$9&amp;", "&amp;AP$10&amp;"; ","")</f>
        <v/>
      </c>
      <c r="AQ102" s="1593" t="str">
        <f>IF(AND($V$9=1,(TRUNC(Courses!R96)&lt;&gt;Courses!R96)), "Row "&amp;Courses!$A96&amp;", "&amp;AQ$9&amp;", "&amp;AQ$10&amp;", "&amp;AQ$11&amp;"; ","")</f>
        <v/>
      </c>
      <c r="AR102" t="str">
        <f>IF(AND($V$9=1,(TRUNC(Courses!S96)&lt;&gt;Courses!S96)), "Row "&amp;Courses!$A96&amp;", "&amp;AR$9&amp;", "&amp;AR$10&amp;", "&amp;AR$11&amp;"; ","")</f>
        <v/>
      </c>
      <c r="AS102" t="str">
        <f>IF(AND($V$9=1,(TRUNC(Courses!T96)&lt;&gt;Courses!T96)), "Row "&amp;Courses!$A96&amp;", "&amp;AS$9&amp;", "&amp;AS$10&amp;", "&amp;AS$11&amp;"; ","")</f>
        <v/>
      </c>
      <c r="AT102" t="str">
        <f>IF(AND($V$9=1,(TRUNC(Courses!U96)&lt;&gt;Courses!U96)), "Row "&amp;Courses!$A96&amp;", "&amp;AT$9&amp;", "&amp;AT$10&amp;", "&amp;AT$11&amp;"; ","")</f>
        <v/>
      </c>
      <c r="AU102" s="2120" t="str">
        <f>IF(AND($V$9=1,(TRUNC(Courses!V96)&lt;&gt;Courses!V96)), "Row "&amp;Courses!$A96&amp;", "&amp;AU$9&amp;", "&amp;AU$10&amp;"; ","")</f>
        <v/>
      </c>
      <c r="AV102" s="1593" t="str">
        <f>IF(AND($V$9=1,(TRUNC(Courses!W96)&lt;&gt;Courses!W96)), "Row "&amp;Courses!$A96&amp;", "&amp;AV$9&amp;", "&amp;AV$10&amp;", "&amp;AV$11&amp;"; ","")</f>
        <v/>
      </c>
      <c r="AW102" t="str">
        <f>IF(AND($V$9=1,(TRUNC(Courses!X96)&lt;&gt;Courses!X96)), "Row "&amp;Courses!$A96&amp;", "&amp;AW$9&amp;", "&amp;AW$10&amp;", "&amp;AW$11&amp;"; ","")</f>
        <v/>
      </c>
      <c r="AX102" t="str">
        <f>IF(AND($V$9=1,(TRUNC(Courses!Y96)&lt;&gt;Courses!Y96)), "Row "&amp;Courses!$A96&amp;", "&amp;AX$9&amp;", "&amp;AX$10&amp;", "&amp;AX$11&amp;"; ","")</f>
        <v/>
      </c>
      <c r="AY102" t="str">
        <f>IF(AND($V$9=1,(TRUNC(Courses!Z96)&lt;&gt;Courses!Z96)), "Row "&amp;Courses!$A96&amp;", "&amp;AY$9&amp;", "&amp;AY$10&amp;", "&amp;AY$11&amp;"; ","")</f>
        <v/>
      </c>
      <c r="AZ102" s="2120" t="str">
        <f>IF(AND($V$9=1,(TRUNC(Courses!AA96)&lt;&gt;Courses!AA96)), "Row "&amp;Courses!$A96&amp;", "&amp;AZ$9&amp;", "&amp;AZ$10&amp;"; ","")</f>
        <v/>
      </c>
      <c r="BB102" s="118"/>
      <c r="BC102" s="3">
        <v>83</v>
      </c>
      <c r="BD102" s="1593" t="str">
        <f>IF(AND($W$9=1,Courses!M96&lt;0), "Row "&amp;Courses!$A96&amp;", "&amp;BD$9&amp;", "&amp;BD$10&amp;", "&amp;BD$11&amp;"; ","")</f>
        <v/>
      </c>
      <c r="BE102" t="str">
        <f>IF(AND($W$9=1,Courses!N96&lt;0), "Row "&amp;Courses!$A96&amp;", "&amp;BE$9&amp;", "&amp;BE$10&amp;", "&amp;BE$11&amp;"; ","")</f>
        <v/>
      </c>
      <c r="BF102" t="str">
        <f>IF(AND($W$9=1,Courses!O96&lt;0), "Row "&amp;Courses!$A96&amp;", "&amp;BF$9&amp;", "&amp;BF$10&amp;", "&amp;BF$11&amp;"; ","")</f>
        <v/>
      </c>
      <c r="BG102" t="str">
        <f>IF(AND($W$9=1,Courses!P96&lt;0), "Row "&amp;Courses!$A96&amp;", "&amp;BG$9&amp;", "&amp;BG$10&amp;", "&amp;BG$11&amp;"; ","")</f>
        <v/>
      </c>
      <c r="BH102" s="2120" t="str">
        <f>IF(AND($W$9=1,Courses!Q96&lt;0), "Row "&amp;Courses!$A96&amp;", "&amp;BH$9&amp;", "&amp;BH$10&amp;"; ","")</f>
        <v/>
      </c>
      <c r="BI102" s="1593" t="str">
        <f>IF(AND($W$9=1,Courses!R96&lt;0), "Row "&amp;Courses!$A96&amp;", "&amp;BI$9&amp;", "&amp;BI$10&amp;", "&amp;BI$11&amp;"; ","")</f>
        <v/>
      </c>
      <c r="BJ102" t="str">
        <f>IF(AND($W$9=1,Courses!S96&lt;0), "Row "&amp;Courses!$A96&amp;", "&amp;BJ$9&amp;", "&amp;BJ$10&amp;", "&amp;BJ$11&amp;"; ","")</f>
        <v/>
      </c>
      <c r="BK102" t="str">
        <f>IF(AND($W$9=1,Courses!T96&lt;0), "Row "&amp;Courses!$A96&amp;", "&amp;BK$9&amp;", "&amp;BK$10&amp;", "&amp;BK$11&amp;"; ","")</f>
        <v/>
      </c>
      <c r="BL102" t="str">
        <f>IF(AND($W$9=1,Courses!U96&lt;0), "Row "&amp;Courses!$A96&amp;", "&amp;BL$9&amp;", "&amp;BL$10&amp;", "&amp;BL$11&amp;"; ","")</f>
        <v/>
      </c>
      <c r="BM102" s="2120" t="str">
        <f>IF(AND($W$9=1,Courses!V96&lt;0), "Row "&amp;Courses!$A96&amp;", "&amp;BM$9&amp;", "&amp;BM$10&amp;"; ","")</f>
        <v/>
      </c>
      <c r="BN102" s="1593" t="str">
        <f>IF(AND($W$9=1,Courses!W96&lt;0), "Row "&amp;Courses!$A96&amp;", "&amp;BN$9&amp;", "&amp;BN$10&amp;", "&amp;BN$11&amp;"; ","")</f>
        <v/>
      </c>
      <c r="BO102" t="str">
        <f>IF(AND($W$9=1,Courses!X96&lt;0), "Row "&amp;Courses!$A96&amp;", "&amp;BO$9&amp;", "&amp;BO$10&amp;", "&amp;BO$11&amp;"; ","")</f>
        <v/>
      </c>
      <c r="BP102" t="str">
        <f>IF(AND($W$9=1,Courses!Y96&lt;0), "Row "&amp;Courses!$A96&amp;", "&amp;BP$9&amp;", "&amp;BP$10&amp;", "&amp;BP$11&amp;"; ","")</f>
        <v/>
      </c>
      <c r="BQ102" t="str">
        <f>IF(AND($W$9=1,Courses!Z96&lt;0), "Row "&amp;Courses!$A96&amp;", "&amp;BQ$9&amp;", "&amp;BQ$10&amp;", "&amp;BQ$11&amp;"; ","")</f>
        <v/>
      </c>
      <c r="BR102" s="2120" t="str">
        <f>IF(AND($W$9=1,Courses!AA96&lt;0), "Row "&amp;Courses!$A96&amp;", "&amp;BR$9&amp;", "&amp;BR$10&amp;"; ","")</f>
        <v/>
      </c>
      <c r="BT102" s="40">
        <v>83</v>
      </c>
      <c r="BU102" s="40">
        <f>IF(AND($X$9=1,Courses!B96="",Courses!F96="",Courses!H96="",Courses!J96="",Courses!K96="",Courses!L96="",Courses!M96=0,Courses!N96=0,Courses!O96=0,Courses!P96=0,Courses!Q96=0,Courses!R96=0,Courses!S96=0,Courses!T96=0,Courses!U96=0,Courses!V96=0,Courses!W96=0,Courses!X96=0,Courses!Y96=0,Courses!Z96=0,Courses!AA96=0),0,1)</f>
        <v>0</v>
      </c>
      <c r="BV102" s="40">
        <f>IF(AND(BU102=0,SUM(BU103:$BU$219)&gt;0),1,0)</f>
        <v>0</v>
      </c>
      <c r="BW102" s="1595" t="str">
        <f>IF(BV102=1,"Row "&amp;Courses!A96&amp;"; ","")</f>
        <v/>
      </c>
      <c r="BX102" s="17"/>
      <c r="BZ102" s="1592" t="str">
        <f>IF(AND($Y$9=1,Courses!B96&lt;&gt;"",SUM(Courses!M96:AA96)=0),"Row "&amp;Courses!A96&amp;"; ","")</f>
        <v/>
      </c>
      <c r="CA102" s="17"/>
      <c r="CC102" s="1592" t="str">
        <f>IF(AND($Z$9=1,Courses!AD96=1,(LEN(Courses!AB96)&gt;200)),"Row "&amp;Courses!A96&amp;"; ","")</f>
        <v/>
      </c>
      <c r="CE102" s="131"/>
      <c r="CG102" s="1593" t="str">
        <f>IF(AND($AD$9=1,Courses!E96&lt;&gt;"",Courses!F96&lt;&gt;"",Courses!F96=0,SUM(Courses!H96,Courses!J96)=1),"Row "&amp;Courses!A96&amp;", "&amp;Courses!$F$10&amp;"; ","")</f>
        <v/>
      </c>
      <c r="CH102" t="str">
        <f>IF(AND($AD$9=1,Courses!G96&lt;&gt;"",Courses!H96&lt;&gt;"",Courses!H96=0,SUM(Courses!J96,Courses!F96)=1),"Row "&amp;Courses!A96&amp;", "&amp;Courses!$H$10&amp;"; ","")</f>
        <v/>
      </c>
      <c r="CI102" s="183" t="str">
        <f>IF(AND($AD$9=1,Courses!I96&lt;&gt;"",Courses!J96&lt;&gt;"",Courses!J96=0, SUM(Courses!H96,Courses!F96)=1),"Row "&amp;Courses!A96&amp;", "&amp;Courses!$J$10&amp;"; ","")</f>
        <v/>
      </c>
      <c r="CJ102" s="180"/>
      <c r="CK102" s="181"/>
      <c r="CL102" s="1592" t="str">
        <f>IF(AND(Courses!B96&lt;&gt;"",ISNA(VLOOKUP(Courses!C96,CourseInfo,2,FALSE))=FALSE,COUNTIF(Dummy,Courses!C96)&lt;&gt;1),VLOOKUP(Courses!C96,CourseInfo,6,FALSE),"")</f>
        <v/>
      </c>
      <c r="CM102" s="1592" t="str">
        <f>IF(AND($AE$9=1,Courses!B96&lt;&gt;"",'Courses Valid'!AG102="",COUNTIF(Dummy,Courses!C96)&lt;&gt;1),IF(Courses!K96&lt;&gt;'Courses Valid'!CL102,"Row "&amp;Courses!A96&amp;", Level on LARS is "&amp;'Courses Valid'!CL102&amp;"; ",""),"")</f>
        <v/>
      </c>
      <c r="CN102" s="131"/>
    </row>
    <row r="103" spans="3:92" x14ac:dyDescent="0.35">
      <c r="C103" s="1591">
        <f t="shared" si="3"/>
        <v>0</v>
      </c>
      <c r="D103" s="41"/>
      <c r="E103" s="41"/>
      <c r="F103" s="118"/>
      <c r="G103" s="1592" t="str">
        <f>IF(SUMPRODUCT(--(CourseAims=Courses!$C97))=1,"",IF(AND($N$9=1,Courses!$C97&lt;&gt;""),"Row "&amp;Courses!A97&amp;" (invalid); ",""))</f>
        <v/>
      </c>
      <c r="H103" s="1592" t="str">
        <f>IF(AND($O$9=1,Courses!B97="",OR(Courses!F97&lt;&gt;"",Courses!H97&lt;&gt;"",Courses!J97&lt;&gt;"",Courses!K97&lt;&gt;"",Courses!L97&lt;&gt;"",Courses!M97&lt;&gt;0,Courses!N97&lt;&gt;0,Courses!O97&lt;&gt;0,Courses!P97&lt;&gt;0,Courses!Q97&lt;&gt;0,Courses!R97&lt;&gt;0,Courses!S97&lt;&gt;0,Courses!T97&lt;&gt;0,Courses!U97&lt;&gt;0,Courses!V97&lt;&gt;0,Courses!W97&lt;&gt;0,Courses!X97&lt;&gt;0,Courses!Y97&lt;&gt;0,Courses!Z97&lt;&gt;0,Courses!AA97&lt;&gt;0)),"Row "&amp;Courses!A97&amp;" (none); ","")</f>
        <v/>
      </c>
      <c r="I103" s="17"/>
      <c r="K103" s="1592" t="str">
        <f>Courses!B97&amp;Courses!K97&amp;Courses!L97</f>
        <v/>
      </c>
      <c r="L103" s="1592" t="str">
        <f>IF(AND($P$9=1,Courses!$B97&lt;&gt;"",COUNTIF(Dummy,Courses!$C97)&lt;&gt;1),IF(SUMPRODUCT(--($K$20:$K$219=$K103))&gt;1,"Row "&amp;Courses!$A97&amp;"; ",""),"")</f>
        <v/>
      </c>
      <c r="N103" s="118"/>
      <c r="O103" s="1593" t="str">
        <f>IF(AND($Q$9=1,Courses!E97&lt;&gt;"",Courses!F97=""),"Row "&amp;Courses!A97&amp;", "&amp;Courses!$E$10&amp;"; ","")</f>
        <v/>
      </c>
      <c r="P103" t="str">
        <f>IF(AND($Q$9=1,Courses!G97&lt;&gt;"",Courses!H97=""),"Row "&amp;Courses!A97&amp;", "&amp;Courses!$G$10&amp;"; ","")</f>
        <v/>
      </c>
      <c r="Q103" s="183" t="str">
        <f>IF(AND($Q$9=1,Courses!I97&lt;&gt;"",Courses!J97=""),"Row "&amp;Courses!A97&amp;", "&amp;Courses!$I$10&amp;"; ","")</f>
        <v/>
      </c>
      <c r="S103" s="17"/>
      <c r="T103" s="118"/>
      <c r="U103" s="1594" t="str">
        <f>IF(AND($R$9=1,Courses!B97&lt;&gt;"",Courses!E97&lt;&gt;"",Courses!G97="",Courses!I97="",Courses!F97&lt;&gt;1),"Row "&amp;Courses!A97&amp;"; ","")</f>
        <v/>
      </c>
      <c r="V103" t="str">
        <f>IF(AND($R$9=1,Courses!B97&lt;&gt;"",Courses!I97="",Courses!F97&lt;&gt;"",Courses!G97&lt;&gt;"",Courses!H97&lt;&gt;""),IF(OR((Courses!F97+Courses!H97)&lt;&gt;1),"Row "&amp;Courses!A97&amp;"; ",""),"")</f>
        <v/>
      </c>
      <c r="W103" s="183" t="str">
        <f>IF(AND($R$9=1,Courses!B97&lt;&gt;"",Courses!I97&lt;&gt;"",Courses!J97&lt;&gt;"",Courses!H97&lt;&gt;"",Courses!G97&lt;&gt;"",Courses!F97&lt;&gt;""),IF(OR((Courses!F97+Courses!H97+Courses!J97)&lt;&gt;1),"Row "&amp;Courses!A97&amp;"; ",""),"")</f>
        <v/>
      </c>
      <c r="Y103" s="1592" t="str">
        <f>IF(AND($R$9=1,Courses!E97&lt;&gt;"",U103="",V103="",W103="",SUM(Courses!F97,Courses!H97,Courses!J97)&lt;&gt;1),"Row "&amp;Courses!A97&amp;"; ","")</f>
        <v/>
      </c>
      <c r="Z103" s="17"/>
      <c r="AB103" s="1593" t="str">
        <f>IF(AND($S$9=1,Courses!B97&lt;&gt;"",Courses!E97&lt;&gt;"",Courses!F97&lt;&gt;""),IF((TRUNC(Courses!F97*100)&lt;&gt;Courses!F97*100),"Row "&amp;Courses!A97&amp;", "&amp;Courses!$F$10&amp;"; ",""),"")</f>
        <v/>
      </c>
      <c r="AC103" t="str">
        <f>IF(AND($S$9=1,Courses!B97&lt;&gt;"",Courses!G97&lt;&gt;"",Courses!H97&lt;&gt;""),IF((TRUNC(Courses!H97*100)&lt;&gt;Courses!H97*100),"Row "&amp;Courses!A97&amp;", "&amp;Courses!$H$10&amp;"; ",""),"")</f>
        <v/>
      </c>
      <c r="AD103" s="183" t="str">
        <f>IF(AND($S$9=1,Courses!B97&lt;&gt;"",Courses!I97&lt;&gt;"",Courses!J97&lt;&gt;""),IF((TRUNC(Courses!J97*100)&lt;&gt;Courses!J97*100),"Row "&amp;Courses!A97&amp;", "&amp;Courses!$J$10&amp;"; ",""),"")</f>
        <v/>
      </c>
      <c r="AF103" s="118"/>
      <c r="AG103" s="1592" t="str">
        <f>IF(AND($T$9=1,G103="",Courses!B97&lt;&gt;"",Courses!K97&lt;&gt;$B$9,Courses!K97&lt;&gt;$B$10,Courses!K97&lt;&gt;$B$11,Courses!K97&lt;&gt;$B$12,Courses!K97&lt;&gt;$B$13,Courses!K97&lt;&gt;$B$14),"Row "&amp;Courses!A97&amp;"; ","")</f>
        <v/>
      </c>
      <c r="AH103" s="1592" t="str">
        <f>IF(AND($U$9=1,G103="",Courses!B97&lt;&gt;"",Courses!L97&lt;&gt;"Standard",Courses!L97&lt;&gt;"Long"),"Row "&amp;Courses!A97&amp;"; ","")</f>
        <v/>
      </c>
      <c r="AJ103" s="118"/>
      <c r="AK103" s="3">
        <v>84</v>
      </c>
      <c r="AL103" s="1593" t="str">
        <f>IF(AND($V$9=1,(TRUNC(Courses!M97)&lt;&gt;Courses!M97)), "Row "&amp;Courses!$A97&amp;", "&amp;AL$9&amp;", "&amp;AL$10&amp;", "&amp;AL$11&amp;"; ","")</f>
        <v/>
      </c>
      <c r="AM103" t="str">
        <f>IF(AND($V$9=1,(TRUNC(Courses!N97)&lt;&gt;Courses!N97)), "Row "&amp;Courses!$A97&amp;", "&amp;AM$9&amp;", "&amp;AM$10&amp;", "&amp;AM$11&amp;"; ","")</f>
        <v/>
      </c>
      <c r="AN103" t="str">
        <f>IF(AND($V$9=1,(TRUNC(Courses!O97)&lt;&gt;Courses!O97)), "Row "&amp;Courses!$A97&amp;", "&amp;AN$9&amp;", "&amp;AN$10&amp;", "&amp;AN$11&amp;"; ","")</f>
        <v/>
      </c>
      <c r="AO103" t="str">
        <f>IF(AND($V$9=1,(TRUNC(Courses!P97)&lt;&gt;Courses!P97)), "Row "&amp;Courses!$A97&amp;", "&amp;AO$9&amp;", "&amp;AO$10&amp;", "&amp;AO$11&amp;"; ","")</f>
        <v/>
      </c>
      <c r="AP103" s="2120" t="str">
        <f>IF(AND($V$9=1,(TRUNC(Courses!Q97)&lt;&gt;Courses!Q97)), "Row "&amp;Courses!$A97&amp;", "&amp;AP$9&amp;", "&amp;AP$10&amp;"; ","")</f>
        <v/>
      </c>
      <c r="AQ103" s="1593" t="str">
        <f>IF(AND($V$9=1,(TRUNC(Courses!R97)&lt;&gt;Courses!R97)), "Row "&amp;Courses!$A97&amp;", "&amp;AQ$9&amp;", "&amp;AQ$10&amp;", "&amp;AQ$11&amp;"; ","")</f>
        <v/>
      </c>
      <c r="AR103" t="str">
        <f>IF(AND($V$9=1,(TRUNC(Courses!S97)&lt;&gt;Courses!S97)), "Row "&amp;Courses!$A97&amp;", "&amp;AR$9&amp;", "&amp;AR$10&amp;", "&amp;AR$11&amp;"; ","")</f>
        <v/>
      </c>
      <c r="AS103" t="str">
        <f>IF(AND($V$9=1,(TRUNC(Courses!T97)&lt;&gt;Courses!T97)), "Row "&amp;Courses!$A97&amp;", "&amp;AS$9&amp;", "&amp;AS$10&amp;", "&amp;AS$11&amp;"; ","")</f>
        <v/>
      </c>
      <c r="AT103" t="str">
        <f>IF(AND($V$9=1,(TRUNC(Courses!U97)&lt;&gt;Courses!U97)), "Row "&amp;Courses!$A97&amp;", "&amp;AT$9&amp;", "&amp;AT$10&amp;", "&amp;AT$11&amp;"; ","")</f>
        <v/>
      </c>
      <c r="AU103" s="2120" t="str">
        <f>IF(AND($V$9=1,(TRUNC(Courses!V97)&lt;&gt;Courses!V97)), "Row "&amp;Courses!$A97&amp;", "&amp;AU$9&amp;", "&amp;AU$10&amp;"; ","")</f>
        <v/>
      </c>
      <c r="AV103" s="1593" t="str">
        <f>IF(AND($V$9=1,(TRUNC(Courses!W97)&lt;&gt;Courses!W97)), "Row "&amp;Courses!$A97&amp;", "&amp;AV$9&amp;", "&amp;AV$10&amp;", "&amp;AV$11&amp;"; ","")</f>
        <v/>
      </c>
      <c r="AW103" t="str">
        <f>IF(AND($V$9=1,(TRUNC(Courses!X97)&lt;&gt;Courses!X97)), "Row "&amp;Courses!$A97&amp;", "&amp;AW$9&amp;", "&amp;AW$10&amp;", "&amp;AW$11&amp;"; ","")</f>
        <v/>
      </c>
      <c r="AX103" t="str">
        <f>IF(AND($V$9=1,(TRUNC(Courses!Y97)&lt;&gt;Courses!Y97)), "Row "&amp;Courses!$A97&amp;", "&amp;AX$9&amp;", "&amp;AX$10&amp;", "&amp;AX$11&amp;"; ","")</f>
        <v/>
      </c>
      <c r="AY103" t="str">
        <f>IF(AND($V$9=1,(TRUNC(Courses!Z97)&lt;&gt;Courses!Z97)), "Row "&amp;Courses!$A97&amp;", "&amp;AY$9&amp;", "&amp;AY$10&amp;", "&amp;AY$11&amp;"; ","")</f>
        <v/>
      </c>
      <c r="AZ103" s="2120" t="str">
        <f>IF(AND($V$9=1,(TRUNC(Courses!AA97)&lt;&gt;Courses!AA97)), "Row "&amp;Courses!$A97&amp;", "&amp;AZ$9&amp;", "&amp;AZ$10&amp;"; ","")</f>
        <v/>
      </c>
      <c r="BB103" s="118"/>
      <c r="BC103" s="3">
        <v>84</v>
      </c>
      <c r="BD103" s="1593" t="str">
        <f>IF(AND($W$9=1,Courses!M97&lt;0), "Row "&amp;Courses!$A97&amp;", "&amp;BD$9&amp;", "&amp;BD$10&amp;", "&amp;BD$11&amp;"; ","")</f>
        <v/>
      </c>
      <c r="BE103" t="str">
        <f>IF(AND($W$9=1,Courses!N97&lt;0), "Row "&amp;Courses!$A97&amp;", "&amp;BE$9&amp;", "&amp;BE$10&amp;", "&amp;BE$11&amp;"; ","")</f>
        <v/>
      </c>
      <c r="BF103" t="str">
        <f>IF(AND($W$9=1,Courses!O97&lt;0), "Row "&amp;Courses!$A97&amp;", "&amp;BF$9&amp;", "&amp;BF$10&amp;", "&amp;BF$11&amp;"; ","")</f>
        <v/>
      </c>
      <c r="BG103" t="str">
        <f>IF(AND($W$9=1,Courses!P97&lt;0), "Row "&amp;Courses!$A97&amp;", "&amp;BG$9&amp;", "&amp;BG$10&amp;", "&amp;BG$11&amp;"; ","")</f>
        <v/>
      </c>
      <c r="BH103" s="2120" t="str">
        <f>IF(AND($W$9=1,Courses!Q97&lt;0), "Row "&amp;Courses!$A97&amp;", "&amp;BH$9&amp;", "&amp;BH$10&amp;"; ","")</f>
        <v/>
      </c>
      <c r="BI103" s="1593" t="str">
        <f>IF(AND($W$9=1,Courses!R97&lt;0), "Row "&amp;Courses!$A97&amp;", "&amp;BI$9&amp;", "&amp;BI$10&amp;", "&amp;BI$11&amp;"; ","")</f>
        <v/>
      </c>
      <c r="BJ103" t="str">
        <f>IF(AND($W$9=1,Courses!S97&lt;0), "Row "&amp;Courses!$A97&amp;", "&amp;BJ$9&amp;", "&amp;BJ$10&amp;", "&amp;BJ$11&amp;"; ","")</f>
        <v/>
      </c>
      <c r="BK103" t="str">
        <f>IF(AND($W$9=1,Courses!T97&lt;0), "Row "&amp;Courses!$A97&amp;", "&amp;BK$9&amp;", "&amp;BK$10&amp;", "&amp;BK$11&amp;"; ","")</f>
        <v/>
      </c>
      <c r="BL103" t="str">
        <f>IF(AND($W$9=1,Courses!U97&lt;0), "Row "&amp;Courses!$A97&amp;", "&amp;BL$9&amp;", "&amp;BL$10&amp;", "&amp;BL$11&amp;"; ","")</f>
        <v/>
      </c>
      <c r="BM103" s="2120" t="str">
        <f>IF(AND($W$9=1,Courses!V97&lt;0), "Row "&amp;Courses!$A97&amp;", "&amp;BM$9&amp;", "&amp;BM$10&amp;"; ","")</f>
        <v/>
      </c>
      <c r="BN103" s="1593" t="str">
        <f>IF(AND($W$9=1,Courses!W97&lt;0), "Row "&amp;Courses!$A97&amp;", "&amp;BN$9&amp;", "&amp;BN$10&amp;", "&amp;BN$11&amp;"; ","")</f>
        <v/>
      </c>
      <c r="BO103" t="str">
        <f>IF(AND($W$9=1,Courses!X97&lt;0), "Row "&amp;Courses!$A97&amp;", "&amp;BO$9&amp;", "&amp;BO$10&amp;", "&amp;BO$11&amp;"; ","")</f>
        <v/>
      </c>
      <c r="BP103" t="str">
        <f>IF(AND($W$9=1,Courses!Y97&lt;0), "Row "&amp;Courses!$A97&amp;", "&amp;BP$9&amp;", "&amp;BP$10&amp;", "&amp;BP$11&amp;"; ","")</f>
        <v/>
      </c>
      <c r="BQ103" t="str">
        <f>IF(AND($W$9=1,Courses!Z97&lt;0), "Row "&amp;Courses!$A97&amp;", "&amp;BQ$9&amp;", "&amp;BQ$10&amp;", "&amp;BQ$11&amp;"; ","")</f>
        <v/>
      </c>
      <c r="BR103" s="2120" t="str">
        <f>IF(AND($W$9=1,Courses!AA97&lt;0), "Row "&amp;Courses!$A97&amp;", "&amp;BR$9&amp;", "&amp;BR$10&amp;"; ","")</f>
        <v/>
      </c>
      <c r="BT103" s="40">
        <v>84</v>
      </c>
      <c r="BU103" s="40">
        <f>IF(AND($X$9=1,Courses!B97="",Courses!F97="",Courses!H97="",Courses!J97="",Courses!K97="",Courses!L97="",Courses!M97=0,Courses!N97=0,Courses!O97=0,Courses!P97=0,Courses!Q97=0,Courses!R97=0,Courses!S97=0,Courses!T97=0,Courses!U97=0,Courses!V97=0,Courses!W97=0,Courses!X97=0,Courses!Y97=0,Courses!Z97=0,Courses!AA97=0),0,1)</f>
        <v>0</v>
      </c>
      <c r="BV103" s="40">
        <f>IF(AND(BU103=0,SUM(BU104:$BU$219)&gt;0),1,0)</f>
        <v>0</v>
      </c>
      <c r="BW103" s="1595" t="str">
        <f>IF(BV103=1,"Row "&amp;Courses!A97&amp;"; ","")</f>
        <v/>
      </c>
      <c r="BX103" s="17"/>
      <c r="BZ103" s="1592" t="str">
        <f>IF(AND($Y$9=1,Courses!B97&lt;&gt;"",SUM(Courses!M97:AA97)=0),"Row "&amp;Courses!A97&amp;"; ","")</f>
        <v/>
      </c>
      <c r="CA103" s="17"/>
      <c r="CC103" s="1592" t="str">
        <f>IF(AND($Z$9=1,Courses!AD97=1,(LEN(Courses!AB97)&gt;200)),"Row "&amp;Courses!A97&amp;"; ","")</f>
        <v/>
      </c>
      <c r="CE103" s="131"/>
      <c r="CG103" s="1593" t="str">
        <f>IF(AND($AD$9=1,Courses!E97&lt;&gt;"",Courses!F97&lt;&gt;"",Courses!F97=0,SUM(Courses!H97,Courses!J97)=1),"Row "&amp;Courses!A97&amp;", "&amp;Courses!$F$10&amp;"; ","")</f>
        <v/>
      </c>
      <c r="CH103" t="str">
        <f>IF(AND($AD$9=1,Courses!G97&lt;&gt;"",Courses!H97&lt;&gt;"",Courses!H97=0,SUM(Courses!J97,Courses!F97)=1),"Row "&amp;Courses!A97&amp;", "&amp;Courses!$H$10&amp;"; ","")</f>
        <v/>
      </c>
      <c r="CI103" s="183" t="str">
        <f>IF(AND($AD$9=1,Courses!I97&lt;&gt;"",Courses!J97&lt;&gt;"",Courses!J97=0, SUM(Courses!H97,Courses!F97)=1),"Row "&amp;Courses!A97&amp;", "&amp;Courses!$J$10&amp;"; ","")</f>
        <v/>
      </c>
      <c r="CJ103" s="180"/>
      <c r="CK103" s="181"/>
      <c r="CL103" s="1592" t="str">
        <f>IF(AND(Courses!B97&lt;&gt;"",ISNA(VLOOKUP(Courses!C97,CourseInfo,2,FALSE))=FALSE,COUNTIF(Dummy,Courses!C97)&lt;&gt;1),VLOOKUP(Courses!C97,CourseInfo,6,FALSE),"")</f>
        <v/>
      </c>
      <c r="CM103" s="1592" t="str">
        <f>IF(AND($AE$9=1,Courses!B97&lt;&gt;"",'Courses Valid'!AG103="",COUNTIF(Dummy,Courses!C97)&lt;&gt;1),IF(Courses!K97&lt;&gt;'Courses Valid'!CL103,"Row "&amp;Courses!A97&amp;", Level on LARS is "&amp;'Courses Valid'!CL103&amp;"; ",""),"")</f>
        <v/>
      </c>
      <c r="CN103" s="131"/>
    </row>
    <row r="104" spans="3:92" x14ac:dyDescent="0.35">
      <c r="C104" s="1591">
        <f t="shared" si="3"/>
        <v>0</v>
      </c>
      <c r="D104" s="41"/>
      <c r="E104" s="41"/>
      <c r="F104" s="118"/>
      <c r="G104" s="1592" t="str">
        <f>IF(SUMPRODUCT(--(CourseAims=Courses!$C98))=1,"",IF(AND($N$9=1,Courses!$C98&lt;&gt;""),"Row "&amp;Courses!A98&amp;" (invalid); ",""))</f>
        <v/>
      </c>
      <c r="H104" s="1592" t="str">
        <f>IF(AND($O$9=1,Courses!B98="",OR(Courses!F98&lt;&gt;"",Courses!H98&lt;&gt;"",Courses!J98&lt;&gt;"",Courses!K98&lt;&gt;"",Courses!L98&lt;&gt;"",Courses!M98&lt;&gt;0,Courses!N98&lt;&gt;0,Courses!O98&lt;&gt;0,Courses!P98&lt;&gt;0,Courses!Q98&lt;&gt;0,Courses!R98&lt;&gt;0,Courses!S98&lt;&gt;0,Courses!T98&lt;&gt;0,Courses!U98&lt;&gt;0,Courses!V98&lt;&gt;0,Courses!W98&lt;&gt;0,Courses!X98&lt;&gt;0,Courses!Y98&lt;&gt;0,Courses!Z98&lt;&gt;0,Courses!AA98&lt;&gt;0)),"Row "&amp;Courses!A98&amp;" (none); ","")</f>
        <v/>
      </c>
      <c r="I104" s="17"/>
      <c r="K104" s="1592" t="str">
        <f>Courses!B98&amp;Courses!K98&amp;Courses!L98</f>
        <v/>
      </c>
      <c r="L104" s="1592" t="str">
        <f>IF(AND($P$9=1,Courses!$B98&lt;&gt;"",COUNTIF(Dummy,Courses!$C98)&lt;&gt;1),IF(SUMPRODUCT(--($K$20:$K$219=$K104))&gt;1,"Row "&amp;Courses!$A98&amp;"; ",""),"")</f>
        <v/>
      </c>
      <c r="N104" s="118"/>
      <c r="O104" s="1593" t="str">
        <f>IF(AND($Q$9=1,Courses!E98&lt;&gt;"",Courses!F98=""),"Row "&amp;Courses!A98&amp;", "&amp;Courses!$E$10&amp;"; ","")</f>
        <v/>
      </c>
      <c r="P104" t="str">
        <f>IF(AND($Q$9=1,Courses!G98&lt;&gt;"",Courses!H98=""),"Row "&amp;Courses!A98&amp;", "&amp;Courses!$G$10&amp;"; ","")</f>
        <v/>
      </c>
      <c r="Q104" s="183" t="str">
        <f>IF(AND($Q$9=1,Courses!I98&lt;&gt;"",Courses!J98=""),"Row "&amp;Courses!A98&amp;", "&amp;Courses!$I$10&amp;"; ","")</f>
        <v/>
      </c>
      <c r="S104" s="17"/>
      <c r="T104" s="118"/>
      <c r="U104" s="1594" t="str">
        <f>IF(AND($R$9=1,Courses!B98&lt;&gt;"",Courses!E98&lt;&gt;"",Courses!G98="",Courses!I98="",Courses!F98&lt;&gt;1),"Row "&amp;Courses!A98&amp;"; ","")</f>
        <v/>
      </c>
      <c r="V104" t="str">
        <f>IF(AND($R$9=1,Courses!B98&lt;&gt;"",Courses!I98="",Courses!F98&lt;&gt;"",Courses!G98&lt;&gt;"",Courses!H98&lt;&gt;""),IF(OR((Courses!F98+Courses!H98)&lt;&gt;1),"Row "&amp;Courses!A98&amp;"; ",""),"")</f>
        <v/>
      </c>
      <c r="W104" s="183" t="str">
        <f>IF(AND($R$9=1,Courses!B98&lt;&gt;"",Courses!I98&lt;&gt;"",Courses!J98&lt;&gt;"",Courses!H98&lt;&gt;"",Courses!G98&lt;&gt;"",Courses!F98&lt;&gt;""),IF(OR((Courses!F98+Courses!H98+Courses!J98)&lt;&gt;1),"Row "&amp;Courses!A98&amp;"; ",""),"")</f>
        <v/>
      </c>
      <c r="Y104" s="1592" t="str">
        <f>IF(AND($R$9=1,Courses!E98&lt;&gt;"",U104="",V104="",W104="",SUM(Courses!F98,Courses!H98,Courses!J98)&lt;&gt;1),"Row "&amp;Courses!A98&amp;"; ","")</f>
        <v/>
      </c>
      <c r="Z104" s="17"/>
      <c r="AB104" s="1593" t="str">
        <f>IF(AND($S$9=1,Courses!B98&lt;&gt;"",Courses!E98&lt;&gt;"",Courses!F98&lt;&gt;""),IF((TRUNC(Courses!F98*100)&lt;&gt;Courses!F98*100),"Row "&amp;Courses!A98&amp;", "&amp;Courses!$F$10&amp;"; ",""),"")</f>
        <v/>
      </c>
      <c r="AC104" t="str">
        <f>IF(AND($S$9=1,Courses!B98&lt;&gt;"",Courses!G98&lt;&gt;"",Courses!H98&lt;&gt;""),IF((TRUNC(Courses!H98*100)&lt;&gt;Courses!H98*100),"Row "&amp;Courses!A98&amp;", "&amp;Courses!$H$10&amp;"; ",""),"")</f>
        <v/>
      </c>
      <c r="AD104" s="183" t="str">
        <f>IF(AND($S$9=1,Courses!B98&lt;&gt;"",Courses!I98&lt;&gt;"",Courses!J98&lt;&gt;""),IF((TRUNC(Courses!J98*100)&lt;&gt;Courses!J98*100),"Row "&amp;Courses!A98&amp;", "&amp;Courses!$J$10&amp;"; ",""),"")</f>
        <v/>
      </c>
      <c r="AF104" s="118"/>
      <c r="AG104" s="1592" t="str">
        <f>IF(AND($T$9=1,G104="",Courses!B98&lt;&gt;"",Courses!K98&lt;&gt;$B$9,Courses!K98&lt;&gt;$B$10,Courses!K98&lt;&gt;$B$11,Courses!K98&lt;&gt;$B$12,Courses!K98&lt;&gt;$B$13,Courses!K98&lt;&gt;$B$14),"Row "&amp;Courses!A98&amp;"; ","")</f>
        <v/>
      </c>
      <c r="AH104" s="1592" t="str">
        <f>IF(AND($U$9=1,G104="",Courses!B98&lt;&gt;"",Courses!L98&lt;&gt;"Standard",Courses!L98&lt;&gt;"Long"),"Row "&amp;Courses!A98&amp;"; ","")</f>
        <v/>
      </c>
      <c r="AJ104" s="118"/>
      <c r="AK104" s="3">
        <v>85</v>
      </c>
      <c r="AL104" s="1593" t="str">
        <f>IF(AND($V$9=1,(TRUNC(Courses!M98)&lt;&gt;Courses!M98)), "Row "&amp;Courses!$A98&amp;", "&amp;AL$9&amp;", "&amp;AL$10&amp;", "&amp;AL$11&amp;"; ","")</f>
        <v/>
      </c>
      <c r="AM104" t="str">
        <f>IF(AND($V$9=1,(TRUNC(Courses!N98)&lt;&gt;Courses!N98)), "Row "&amp;Courses!$A98&amp;", "&amp;AM$9&amp;", "&amp;AM$10&amp;", "&amp;AM$11&amp;"; ","")</f>
        <v/>
      </c>
      <c r="AN104" t="str">
        <f>IF(AND($V$9=1,(TRUNC(Courses!O98)&lt;&gt;Courses!O98)), "Row "&amp;Courses!$A98&amp;", "&amp;AN$9&amp;", "&amp;AN$10&amp;", "&amp;AN$11&amp;"; ","")</f>
        <v/>
      </c>
      <c r="AO104" t="str">
        <f>IF(AND($V$9=1,(TRUNC(Courses!P98)&lt;&gt;Courses!P98)), "Row "&amp;Courses!$A98&amp;", "&amp;AO$9&amp;", "&amp;AO$10&amp;", "&amp;AO$11&amp;"; ","")</f>
        <v/>
      </c>
      <c r="AP104" s="2120" t="str">
        <f>IF(AND($V$9=1,(TRUNC(Courses!Q98)&lt;&gt;Courses!Q98)), "Row "&amp;Courses!$A98&amp;", "&amp;AP$9&amp;", "&amp;AP$10&amp;"; ","")</f>
        <v/>
      </c>
      <c r="AQ104" s="1593" t="str">
        <f>IF(AND($V$9=1,(TRUNC(Courses!R98)&lt;&gt;Courses!R98)), "Row "&amp;Courses!$A98&amp;", "&amp;AQ$9&amp;", "&amp;AQ$10&amp;", "&amp;AQ$11&amp;"; ","")</f>
        <v/>
      </c>
      <c r="AR104" t="str">
        <f>IF(AND($V$9=1,(TRUNC(Courses!S98)&lt;&gt;Courses!S98)), "Row "&amp;Courses!$A98&amp;", "&amp;AR$9&amp;", "&amp;AR$10&amp;", "&amp;AR$11&amp;"; ","")</f>
        <v/>
      </c>
      <c r="AS104" t="str">
        <f>IF(AND($V$9=1,(TRUNC(Courses!T98)&lt;&gt;Courses!T98)), "Row "&amp;Courses!$A98&amp;", "&amp;AS$9&amp;", "&amp;AS$10&amp;", "&amp;AS$11&amp;"; ","")</f>
        <v/>
      </c>
      <c r="AT104" t="str">
        <f>IF(AND($V$9=1,(TRUNC(Courses!U98)&lt;&gt;Courses!U98)), "Row "&amp;Courses!$A98&amp;", "&amp;AT$9&amp;", "&amp;AT$10&amp;", "&amp;AT$11&amp;"; ","")</f>
        <v/>
      </c>
      <c r="AU104" s="2120" t="str">
        <f>IF(AND($V$9=1,(TRUNC(Courses!V98)&lt;&gt;Courses!V98)), "Row "&amp;Courses!$A98&amp;", "&amp;AU$9&amp;", "&amp;AU$10&amp;"; ","")</f>
        <v/>
      </c>
      <c r="AV104" s="1593" t="str">
        <f>IF(AND($V$9=1,(TRUNC(Courses!W98)&lt;&gt;Courses!W98)), "Row "&amp;Courses!$A98&amp;", "&amp;AV$9&amp;", "&amp;AV$10&amp;", "&amp;AV$11&amp;"; ","")</f>
        <v/>
      </c>
      <c r="AW104" t="str">
        <f>IF(AND($V$9=1,(TRUNC(Courses!X98)&lt;&gt;Courses!X98)), "Row "&amp;Courses!$A98&amp;", "&amp;AW$9&amp;", "&amp;AW$10&amp;", "&amp;AW$11&amp;"; ","")</f>
        <v/>
      </c>
      <c r="AX104" t="str">
        <f>IF(AND($V$9=1,(TRUNC(Courses!Y98)&lt;&gt;Courses!Y98)), "Row "&amp;Courses!$A98&amp;", "&amp;AX$9&amp;", "&amp;AX$10&amp;", "&amp;AX$11&amp;"; ","")</f>
        <v/>
      </c>
      <c r="AY104" t="str">
        <f>IF(AND($V$9=1,(TRUNC(Courses!Z98)&lt;&gt;Courses!Z98)), "Row "&amp;Courses!$A98&amp;", "&amp;AY$9&amp;", "&amp;AY$10&amp;", "&amp;AY$11&amp;"; ","")</f>
        <v/>
      </c>
      <c r="AZ104" s="2120" t="str">
        <f>IF(AND($V$9=1,(TRUNC(Courses!AA98)&lt;&gt;Courses!AA98)), "Row "&amp;Courses!$A98&amp;", "&amp;AZ$9&amp;", "&amp;AZ$10&amp;"; ","")</f>
        <v/>
      </c>
      <c r="BB104" s="118"/>
      <c r="BC104" s="3">
        <v>85</v>
      </c>
      <c r="BD104" s="1593" t="str">
        <f>IF(AND($W$9=1,Courses!M98&lt;0), "Row "&amp;Courses!$A98&amp;", "&amp;BD$9&amp;", "&amp;BD$10&amp;", "&amp;BD$11&amp;"; ","")</f>
        <v/>
      </c>
      <c r="BE104" t="str">
        <f>IF(AND($W$9=1,Courses!N98&lt;0), "Row "&amp;Courses!$A98&amp;", "&amp;BE$9&amp;", "&amp;BE$10&amp;", "&amp;BE$11&amp;"; ","")</f>
        <v/>
      </c>
      <c r="BF104" t="str">
        <f>IF(AND($W$9=1,Courses!O98&lt;0), "Row "&amp;Courses!$A98&amp;", "&amp;BF$9&amp;", "&amp;BF$10&amp;", "&amp;BF$11&amp;"; ","")</f>
        <v/>
      </c>
      <c r="BG104" t="str">
        <f>IF(AND($W$9=1,Courses!P98&lt;0), "Row "&amp;Courses!$A98&amp;", "&amp;BG$9&amp;", "&amp;BG$10&amp;", "&amp;BG$11&amp;"; ","")</f>
        <v/>
      </c>
      <c r="BH104" s="2120" t="str">
        <f>IF(AND($W$9=1,Courses!Q98&lt;0), "Row "&amp;Courses!$A98&amp;", "&amp;BH$9&amp;", "&amp;BH$10&amp;"; ","")</f>
        <v/>
      </c>
      <c r="BI104" s="1593" t="str">
        <f>IF(AND($W$9=1,Courses!R98&lt;0), "Row "&amp;Courses!$A98&amp;", "&amp;BI$9&amp;", "&amp;BI$10&amp;", "&amp;BI$11&amp;"; ","")</f>
        <v/>
      </c>
      <c r="BJ104" t="str">
        <f>IF(AND($W$9=1,Courses!S98&lt;0), "Row "&amp;Courses!$A98&amp;", "&amp;BJ$9&amp;", "&amp;BJ$10&amp;", "&amp;BJ$11&amp;"; ","")</f>
        <v/>
      </c>
      <c r="BK104" t="str">
        <f>IF(AND($W$9=1,Courses!T98&lt;0), "Row "&amp;Courses!$A98&amp;", "&amp;BK$9&amp;", "&amp;BK$10&amp;", "&amp;BK$11&amp;"; ","")</f>
        <v/>
      </c>
      <c r="BL104" t="str">
        <f>IF(AND($W$9=1,Courses!U98&lt;0), "Row "&amp;Courses!$A98&amp;", "&amp;BL$9&amp;", "&amp;BL$10&amp;", "&amp;BL$11&amp;"; ","")</f>
        <v/>
      </c>
      <c r="BM104" s="2120" t="str">
        <f>IF(AND($W$9=1,Courses!V98&lt;0), "Row "&amp;Courses!$A98&amp;", "&amp;BM$9&amp;", "&amp;BM$10&amp;"; ","")</f>
        <v/>
      </c>
      <c r="BN104" s="1593" t="str">
        <f>IF(AND($W$9=1,Courses!W98&lt;0), "Row "&amp;Courses!$A98&amp;", "&amp;BN$9&amp;", "&amp;BN$10&amp;", "&amp;BN$11&amp;"; ","")</f>
        <v/>
      </c>
      <c r="BO104" t="str">
        <f>IF(AND($W$9=1,Courses!X98&lt;0), "Row "&amp;Courses!$A98&amp;", "&amp;BO$9&amp;", "&amp;BO$10&amp;", "&amp;BO$11&amp;"; ","")</f>
        <v/>
      </c>
      <c r="BP104" t="str">
        <f>IF(AND($W$9=1,Courses!Y98&lt;0), "Row "&amp;Courses!$A98&amp;", "&amp;BP$9&amp;", "&amp;BP$10&amp;", "&amp;BP$11&amp;"; ","")</f>
        <v/>
      </c>
      <c r="BQ104" t="str">
        <f>IF(AND($W$9=1,Courses!Z98&lt;0), "Row "&amp;Courses!$A98&amp;", "&amp;BQ$9&amp;", "&amp;BQ$10&amp;", "&amp;BQ$11&amp;"; ","")</f>
        <v/>
      </c>
      <c r="BR104" s="2120" t="str">
        <f>IF(AND($W$9=1,Courses!AA98&lt;0), "Row "&amp;Courses!$A98&amp;", "&amp;BR$9&amp;", "&amp;BR$10&amp;"; ","")</f>
        <v/>
      </c>
      <c r="BT104" s="40">
        <v>85</v>
      </c>
      <c r="BU104" s="40">
        <f>IF(AND($X$9=1,Courses!B98="",Courses!F98="",Courses!H98="",Courses!J98="",Courses!K98="",Courses!L98="",Courses!M98=0,Courses!N98=0,Courses!O98=0,Courses!P98=0,Courses!Q98=0,Courses!R98=0,Courses!S98=0,Courses!T98=0,Courses!U98=0,Courses!V98=0,Courses!W98=0,Courses!X98=0,Courses!Y98=0,Courses!Z98=0,Courses!AA98=0),0,1)</f>
        <v>0</v>
      </c>
      <c r="BV104" s="40">
        <f>IF(AND(BU104=0,SUM(BU105:$BU$219)&gt;0),1,0)</f>
        <v>0</v>
      </c>
      <c r="BW104" s="1595" t="str">
        <f>IF(BV104=1,"Row "&amp;Courses!A98&amp;"; ","")</f>
        <v/>
      </c>
      <c r="BX104" s="17"/>
      <c r="BZ104" s="1592" t="str">
        <f>IF(AND($Y$9=1,Courses!B98&lt;&gt;"",SUM(Courses!M98:AA98)=0),"Row "&amp;Courses!A98&amp;"; ","")</f>
        <v/>
      </c>
      <c r="CA104" s="17"/>
      <c r="CC104" s="1592" t="str">
        <f>IF(AND($Z$9=1,Courses!AD98=1,(LEN(Courses!AB98)&gt;200)),"Row "&amp;Courses!A98&amp;"; ","")</f>
        <v/>
      </c>
      <c r="CE104" s="131"/>
      <c r="CG104" s="1593" t="str">
        <f>IF(AND($AD$9=1,Courses!E98&lt;&gt;"",Courses!F98&lt;&gt;"",Courses!F98=0,SUM(Courses!H98,Courses!J98)=1),"Row "&amp;Courses!A98&amp;", "&amp;Courses!$F$10&amp;"; ","")</f>
        <v/>
      </c>
      <c r="CH104" t="str">
        <f>IF(AND($AD$9=1,Courses!G98&lt;&gt;"",Courses!H98&lt;&gt;"",Courses!H98=0,SUM(Courses!J98,Courses!F98)=1),"Row "&amp;Courses!A98&amp;", "&amp;Courses!$H$10&amp;"; ","")</f>
        <v/>
      </c>
      <c r="CI104" s="183" t="str">
        <f>IF(AND($AD$9=1,Courses!I98&lt;&gt;"",Courses!J98&lt;&gt;"",Courses!J98=0, SUM(Courses!H98,Courses!F98)=1),"Row "&amp;Courses!A98&amp;", "&amp;Courses!$J$10&amp;"; ","")</f>
        <v/>
      </c>
      <c r="CJ104" s="180"/>
      <c r="CK104" s="181"/>
      <c r="CL104" s="1592" t="str">
        <f>IF(AND(Courses!B98&lt;&gt;"",ISNA(VLOOKUP(Courses!C98,CourseInfo,2,FALSE))=FALSE,COUNTIF(Dummy,Courses!C98)&lt;&gt;1),VLOOKUP(Courses!C98,CourseInfo,6,FALSE),"")</f>
        <v/>
      </c>
      <c r="CM104" s="1592" t="str">
        <f>IF(AND($AE$9=1,Courses!B98&lt;&gt;"",'Courses Valid'!AG104="",COUNTIF(Dummy,Courses!C98)&lt;&gt;1),IF(Courses!K98&lt;&gt;'Courses Valid'!CL104,"Row "&amp;Courses!A98&amp;", Level on LARS is "&amp;'Courses Valid'!CL104&amp;"; ",""),"")</f>
        <v/>
      </c>
      <c r="CN104" s="131"/>
    </row>
    <row r="105" spans="3:92" x14ac:dyDescent="0.35">
      <c r="C105" s="1591">
        <f t="shared" si="3"/>
        <v>0</v>
      </c>
      <c r="D105" s="41"/>
      <c r="E105" s="41"/>
      <c r="F105" s="118"/>
      <c r="G105" s="1592" t="str">
        <f>IF(SUMPRODUCT(--(CourseAims=Courses!$C99))=1,"",IF(AND($N$9=1,Courses!$C99&lt;&gt;""),"Row "&amp;Courses!A99&amp;" (invalid); ",""))</f>
        <v/>
      </c>
      <c r="H105" s="1592" t="str">
        <f>IF(AND($O$9=1,Courses!B99="",OR(Courses!F99&lt;&gt;"",Courses!H99&lt;&gt;"",Courses!J99&lt;&gt;"",Courses!K99&lt;&gt;"",Courses!L99&lt;&gt;"",Courses!M99&lt;&gt;0,Courses!N99&lt;&gt;0,Courses!O99&lt;&gt;0,Courses!P99&lt;&gt;0,Courses!Q99&lt;&gt;0,Courses!R99&lt;&gt;0,Courses!S99&lt;&gt;0,Courses!T99&lt;&gt;0,Courses!U99&lt;&gt;0,Courses!V99&lt;&gt;0,Courses!W99&lt;&gt;0,Courses!X99&lt;&gt;0,Courses!Y99&lt;&gt;0,Courses!Z99&lt;&gt;0,Courses!AA99&lt;&gt;0)),"Row "&amp;Courses!A99&amp;" (none); ","")</f>
        <v/>
      </c>
      <c r="I105" s="17"/>
      <c r="K105" s="1592" t="str">
        <f>Courses!B99&amp;Courses!K99&amp;Courses!L99</f>
        <v/>
      </c>
      <c r="L105" s="1592" t="str">
        <f>IF(AND($P$9=1,Courses!$B99&lt;&gt;"",COUNTIF(Dummy,Courses!$C99)&lt;&gt;1),IF(SUMPRODUCT(--($K$20:$K$219=$K105))&gt;1,"Row "&amp;Courses!$A99&amp;"; ",""),"")</f>
        <v/>
      </c>
      <c r="N105" s="118"/>
      <c r="O105" s="1593" t="str">
        <f>IF(AND($Q$9=1,Courses!E99&lt;&gt;"",Courses!F99=""),"Row "&amp;Courses!A99&amp;", "&amp;Courses!$E$10&amp;"; ","")</f>
        <v/>
      </c>
      <c r="P105" t="str">
        <f>IF(AND($Q$9=1,Courses!G99&lt;&gt;"",Courses!H99=""),"Row "&amp;Courses!A99&amp;", "&amp;Courses!$G$10&amp;"; ","")</f>
        <v/>
      </c>
      <c r="Q105" s="183" t="str">
        <f>IF(AND($Q$9=1,Courses!I99&lt;&gt;"",Courses!J99=""),"Row "&amp;Courses!A99&amp;", "&amp;Courses!$I$10&amp;"; ","")</f>
        <v/>
      </c>
      <c r="S105" s="17"/>
      <c r="T105" s="118"/>
      <c r="U105" s="1594" t="str">
        <f>IF(AND($R$9=1,Courses!B99&lt;&gt;"",Courses!E99&lt;&gt;"",Courses!G99="",Courses!I99="",Courses!F99&lt;&gt;1),"Row "&amp;Courses!A99&amp;"; ","")</f>
        <v/>
      </c>
      <c r="V105" t="str">
        <f>IF(AND($R$9=1,Courses!B99&lt;&gt;"",Courses!I99="",Courses!F99&lt;&gt;"",Courses!G99&lt;&gt;"",Courses!H99&lt;&gt;""),IF(OR((Courses!F99+Courses!H99)&lt;&gt;1),"Row "&amp;Courses!A99&amp;"; ",""),"")</f>
        <v/>
      </c>
      <c r="W105" s="183" t="str">
        <f>IF(AND($R$9=1,Courses!B99&lt;&gt;"",Courses!I99&lt;&gt;"",Courses!J99&lt;&gt;"",Courses!H99&lt;&gt;"",Courses!G99&lt;&gt;"",Courses!F99&lt;&gt;""),IF(OR((Courses!F99+Courses!H99+Courses!J99)&lt;&gt;1),"Row "&amp;Courses!A99&amp;"; ",""),"")</f>
        <v/>
      </c>
      <c r="Y105" s="1592" t="str">
        <f>IF(AND($R$9=1,Courses!E99&lt;&gt;"",U105="",V105="",W105="",SUM(Courses!F99,Courses!H99,Courses!J99)&lt;&gt;1),"Row "&amp;Courses!A99&amp;"; ","")</f>
        <v/>
      </c>
      <c r="Z105" s="17"/>
      <c r="AB105" s="1593" t="str">
        <f>IF(AND($S$9=1,Courses!B99&lt;&gt;"",Courses!E99&lt;&gt;"",Courses!F99&lt;&gt;""),IF((TRUNC(Courses!F99*100)&lt;&gt;Courses!F99*100),"Row "&amp;Courses!A99&amp;", "&amp;Courses!$F$10&amp;"; ",""),"")</f>
        <v/>
      </c>
      <c r="AC105" t="str">
        <f>IF(AND($S$9=1,Courses!B99&lt;&gt;"",Courses!G99&lt;&gt;"",Courses!H99&lt;&gt;""),IF((TRUNC(Courses!H99*100)&lt;&gt;Courses!H99*100),"Row "&amp;Courses!A99&amp;", "&amp;Courses!$H$10&amp;"; ",""),"")</f>
        <v/>
      </c>
      <c r="AD105" s="183" t="str">
        <f>IF(AND($S$9=1,Courses!B99&lt;&gt;"",Courses!I99&lt;&gt;"",Courses!J99&lt;&gt;""),IF((TRUNC(Courses!J99*100)&lt;&gt;Courses!J99*100),"Row "&amp;Courses!A99&amp;", "&amp;Courses!$J$10&amp;"; ",""),"")</f>
        <v/>
      </c>
      <c r="AF105" s="118"/>
      <c r="AG105" s="1592" t="str">
        <f>IF(AND($T$9=1,G105="",Courses!B99&lt;&gt;"",Courses!K99&lt;&gt;$B$9,Courses!K99&lt;&gt;$B$10,Courses!K99&lt;&gt;$B$11,Courses!K99&lt;&gt;$B$12,Courses!K99&lt;&gt;$B$13,Courses!K99&lt;&gt;$B$14),"Row "&amp;Courses!A99&amp;"; ","")</f>
        <v/>
      </c>
      <c r="AH105" s="1592" t="str">
        <f>IF(AND($U$9=1,G105="",Courses!B99&lt;&gt;"",Courses!L99&lt;&gt;"Standard",Courses!L99&lt;&gt;"Long"),"Row "&amp;Courses!A99&amp;"; ","")</f>
        <v/>
      </c>
      <c r="AJ105" s="118"/>
      <c r="AK105" s="3">
        <v>86</v>
      </c>
      <c r="AL105" s="1593" t="str">
        <f>IF(AND($V$9=1,(TRUNC(Courses!M99)&lt;&gt;Courses!M99)), "Row "&amp;Courses!$A99&amp;", "&amp;AL$9&amp;", "&amp;AL$10&amp;", "&amp;AL$11&amp;"; ","")</f>
        <v/>
      </c>
      <c r="AM105" t="str">
        <f>IF(AND($V$9=1,(TRUNC(Courses!N99)&lt;&gt;Courses!N99)), "Row "&amp;Courses!$A99&amp;", "&amp;AM$9&amp;", "&amp;AM$10&amp;", "&amp;AM$11&amp;"; ","")</f>
        <v/>
      </c>
      <c r="AN105" t="str">
        <f>IF(AND($V$9=1,(TRUNC(Courses!O99)&lt;&gt;Courses!O99)), "Row "&amp;Courses!$A99&amp;", "&amp;AN$9&amp;", "&amp;AN$10&amp;", "&amp;AN$11&amp;"; ","")</f>
        <v/>
      </c>
      <c r="AO105" t="str">
        <f>IF(AND($V$9=1,(TRUNC(Courses!P99)&lt;&gt;Courses!P99)), "Row "&amp;Courses!$A99&amp;", "&amp;AO$9&amp;", "&amp;AO$10&amp;", "&amp;AO$11&amp;"; ","")</f>
        <v/>
      </c>
      <c r="AP105" s="2120" t="str">
        <f>IF(AND($V$9=1,(TRUNC(Courses!Q99)&lt;&gt;Courses!Q99)), "Row "&amp;Courses!$A99&amp;", "&amp;AP$9&amp;", "&amp;AP$10&amp;"; ","")</f>
        <v/>
      </c>
      <c r="AQ105" s="1593" t="str">
        <f>IF(AND($V$9=1,(TRUNC(Courses!R99)&lt;&gt;Courses!R99)), "Row "&amp;Courses!$A99&amp;", "&amp;AQ$9&amp;", "&amp;AQ$10&amp;", "&amp;AQ$11&amp;"; ","")</f>
        <v/>
      </c>
      <c r="AR105" t="str">
        <f>IF(AND($V$9=1,(TRUNC(Courses!S99)&lt;&gt;Courses!S99)), "Row "&amp;Courses!$A99&amp;", "&amp;AR$9&amp;", "&amp;AR$10&amp;", "&amp;AR$11&amp;"; ","")</f>
        <v/>
      </c>
      <c r="AS105" t="str">
        <f>IF(AND($V$9=1,(TRUNC(Courses!T99)&lt;&gt;Courses!T99)), "Row "&amp;Courses!$A99&amp;", "&amp;AS$9&amp;", "&amp;AS$10&amp;", "&amp;AS$11&amp;"; ","")</f>
        <v/>
      </c>
      <c r="AT105" t="str">
        <f>IF(AND($V$9=1,(TRUNC(Courses!U99)&lt;&gt;Courses!U99)), "Row "&amp;Courses!$A99&amp;", "&amp;AT$9&amp;", "&amp;AT$10&amp;", "&amp;AT$11&amp;"; ","")</f>
        <v/>
      </c>
      <c r="AU105" s="2120" t="str">
        <f>IF(AND($V$9=1,(TRUNC(Courses!V99)&lt;&gt;Courses!V99)), "Row "&amp;Courses!$A99&amp;", "&amp;AU$9&amp;", "&amp;AU$10&amp;"; ","")</f>
        <v/>
      </c>
      <c r="AV105" s="1593" t="str">
        <f>IF(AND($V$9=1,(TRUNC(Courses!W99)&lt;&gt;Courses!W99)), "Row "&amp;Courses!$A99&amp;", "&amp;AV$9&amp;", "&amp;AV$10&amp;", "&amp;AV$11&amp;"; ","")</f>
        <v/>
      </c>
      <c r="AW105" t="str">
        <f>IF(AND($V$9=1,(TRUNC(Courses!X99)&lt;&gt;Courses!X99)), "Row "&amp;Courses!$A99&amp;", "&amp;AW$9&amp;", "&amp;AW$10&amp;", "&amp;AW$11&amp;"; ","")</f>
        <v/>
      </c>
      <c r="AX105" t="str">
        <f>IF(AND($V$9=1,(TRUNC(Courses!Y99)&lt;&gt;Courses!Y99)), "Row "&amp;Courses!$A99&amp;", "&amp;AX$9&amp;", "&amp;AX$10&amp;", "&amp;AX$11&amp;"; ","")</f>
        <v/>
      </c>
      <c r="AY105" t="str">
        <f>IF(AND($V$9=1,(TRUNC(Courses!Z99)&lt;&gt;Courses!Z99)), "Row "&amp;Courses!$A99&amp;", "&amp;AY$9&amp;", "&amp;AY$10&amp;", "&amp;AY$11&amp;"; ","")</f>
        <v/>
      </c>
      <c r="AZ105" s="2120" t="str">
        <f>IF(AND($V$9=1,(TRUNC(Courses!AA99)&lt;&gt;Courses!AA99)), "Row "&amp;Courses!$A99&amp;", "&amp;AZ$9&amp;", "&amp;AZ$10&amp;"; ","")</f>
        <v/>
      </c>
      <c r="BB105" s="118"/>
      <c r="BC105" s="3">
        <v>86</v>
      </c>
      <c r="BD105" s="1593" t="str">
        <f>IF(AND($W$9=1,Courses!M99&lt;0), "Row "&amp;Courses!$A99&amp;", "&amp;BD$9&amp;", "&amp;BD$10&amp;", "&amp;BD$11&amp;"; ","")</f>
        <v/>
      </c>
      <c r="BE105" t="str">
        <f>IF(AND($W$9=1,Courses!N99&lt;0), "Row "&amp;Courses!$A99&amp;", "&amp;BE$9&amp;", "&amp;BE$10&amp;", "&amp;BE$11&amp;"; ","")</f>
        <v/>
      </c>
      <c r="BF105" t="str">
        <f>IF(AND($W$9=1,Courses!O99&lt;0), "Row "&amp;Courses!$A99&amp;", "&amp;BF$9&amp;", "&amp;BF$10&amp;", "&amp;BF$11&amp;"; ","")</f>
        <v/>
      </c>
      <c r="BG105" t="str">
        <f>IF(AND($W$9=1,Courses!P99&lt;0), "Row "&amp;Courses!$A99&amp;", "&amp;BG$9&amp;", "&amp;BG$10&amp;", "&amp;BG$11&amp;"; ","")</f>
        <v/>
      </c>
      <c r="BH105" s="2120" t="str">
        <f>IF(AND($W$9=1,Courses!Q99&lt;0), "Row "&amp;Courses!$A99&amp;", "&amp;BH$9&amp;", "&amp;BH$10&amp;"; ","")</f>
        <v/>
      </c>
      <c r="BI105" s="1593" t="str">
        <f>IF(AND($W$9=1,Courses!R99&lt;0), "Row "&amp;Courses!$A99&amp;", "&amp;BI$9&amp;", "&amp;BI$10&amp;", "&amp;BI$11&amp;"; ","")</f>
        <v/>
      </c>
      <c r="BJ105" t="str">
        <f>IF(AND($W$9=1,Courses!S99&lt;0), "Row "&amp;Courses!$A99&amp;", "&amp;BJ$9&amp;", "&amp;BJ$10&amp;", "&amp;BJ$11&amp;"; ","")</f>
        <v/>
      </c>
      <c r="BK105" t="str">
        <f>IF(AND($W$9=1,Courses!T99&lt;0), "Row "&amp;Courses!$A99&amp;", "&amp;BK$9&amp;", "&amp;BK$10&amp;", "&amp;BK$11&amp;"; ","")</f>
        <v/>
      </c>
      <c r="BL105" t="str">
        <f>IF(AND($W$9=1,Courses!U99&lt;0), "Row "&amp;Courses!$A99&amp;", "&amp;BL$9&amp;", "&amp;BL$10&amp;", "&amp;BL$11&amp;"; ","")</f>
        <v/>
      </c>
      <c r="BM105" s="2120" t="str">
        <f>IF(AND($W$9=1,Courses!V99&lt;0), "Row "&amp;Courses!$A99&amp;", "&amp;BM$9&amp;", "&amp;BM$10&amp;"; ","")</f>
        <v/>
      </c>
      <c r="BN105" s="1593" t="str">
        <f>IF(AND($W$9=1,Courses!W99&lt;0), "Row "&amp;Courses!$A99&amp;", "&amp;BN$9&amp;", "&amp;BN$10&amp;", "&amp;BN$11&amp;"; ","")</f>
        <v/>
      </c>
      <c r="BO105" t="str">
        <f>IF(AND($W$9=1,Courses!X99&lt;0), "Row "&amp;Courses!$A99&amp;", "&amp;BO$9&amp;", "&amp;BO$10&amp;", "&amp;BO$11&amp;"; ","")</f>
        <v/>
      </c>
      <c r="BP105" t="str">
        <f>IF(AND($W$9=1,Courses!Y99&lt;0), "Row "&amp;Courses!$A99&amp;", "&amp;BP$9&amp;", "&amp;BP$10&amp;", "&amp;BP$11&amp;"; ","")</f>
        <v/>
      </c>
      <c r="BQ105" t="str">
        <f>IF(AND($W$9=1,Courses!Z99&lt;0), "Row "&amp;Courses!$A99&amp;", "&amp;BQ$9&amp;", "&amp;BQ$10&amp;", "&amp;BQ$11&amp;"; ","")</f>
        <v/>
      </c>
      <c r="BR105" s="2120" t="str">
        <f>IF(AND($W$9=1,Courses!AA99&lt;0), "Row "&amp;Courses!$A99&amp;", "&amp;BR$9&amp;", "&amp;BR$10&amp;"; ","")</f>
        <v/>
      </c>
      <c r="BT105" s="40">
        <v>86</v>
      </c>
      <c r="BU105" s="40">
        <f>IF(AND($X$9=1,Courses!B99="",Courses!F99="",Courses!H99="",Courses!J99="",Courses!K99="",Courses!L99="",Courses!M99=0,Courses!N99=0,Courses!O99=0,Courses!P99=0,Courses!Q99=0,Courses!R99=0,Courses!S99=0,Courses!T99=0,Courses!U99=0,Courses!V99=0,Courses!W99=0,Courses!X99=0,Courses!Y99=0,Courses!Z99=0,Courses!AA99=0),0,1)</f>
        <v>0</v>
      </c>
      <c r="BV105" s="40">
        <f>IF(AND(BU105=0,SUM(BU106:$BU$219)&gt;0),1,0)</f>
        <v>0</v>
      </c>
      <c r="BW105" s="1595" t="str">
        <f>IF(BV105=1,"Row "&amp;Courses!A99&amp;"; ","")</f>
        <v/>
      </c>
      <c r="BX105" s="17"/>
      <c r="BZ105" s="1592" t="str">
        <f>IF(AND($Y$9=1,Courses!B99&lt;&gt;"",SUM(Courses!M99:AA99)=0),"Row "&amp;Courses!A99&amp;"; ","")</f>
        <v/>
      </c>
      <c r="CA105" s="17"/>
      <c r="CC105" s="1592" t="str">
        <f>IF(AND($Z$9=1,Courses!AD99=1,(LEN(Courses!AB99)&gt;200)),"Row "&amp;Courses!A99&amp;"; ","")</f>
        <v/>
      </c>
      <c r="CE105" s="131"/>
      <c r="CG105" s="1593" t="str">
        <f>IF(AND($AD$9=1,Courses!E99&lt;&gt;"",Courses!F99&lt;&gt;"",Courses!F99=0,SUM(Courses!H99,Courses!J99)=1),"Row "&amp;Courses!A99&amp;", "&amp;Courses!$F$10&amp;"; ","")</f>
        <v/>
      </c>
      <c r="CH105" t="str">
        <f>IF(AND($AD$9=1,Courses!G99&lt;&gt;"",Courses!H99&lt;&gt;"",Courses!H99=0,SUM(Courses!J99,Courses!F99)=1),"Row "&amp;Courses!A99&amp;", "&amp;Courses!$H$10&amp;"; ","")</f>
        <v/>
      </c>
      <c r="CI105" s="183" t="str">
        <f>IF(AND($AD$9=1,Courses!I99&lt;&gt;"",Courses!J99&lt;&gt;"",Courses!J99=0, SUM(Courses!H99,Courses!F99)=1),"Row "&amp;Courses!A99&amp;", "&amp;Courses!$J$10&amp;"; ","")</f>
        <v/>
      </c>
      <c r="CJ105" s="180"/>
      <c r="CK105" s="181"/>
      <c r="CL105" s="1592" t="str">
        <f>IF(AND(Courses!B99&lt;&gt;"",ISNA(VLOOKUP(Courses!C99,CourseInfo,2,FALSE))=FALSE,COUNTIF(Dummy,Courses!C99)&lt;&gt;1),VLOOKUP(Courses!C99,CourseInfo,6,FALSE),"")</f>
        <v/>
      </c>
      <c r="CM105" s="1592" t="str">
        <f>IF(AND($AE$9=1,Courses!B99&lt;&gt;"",'Courses Valid'!AG105="",COUNTIF(Dummy,Courses!C99)&lt;&gt;1),IF(Courses!K99&lt;&gt;'Courses Valid'!CL105,"Row "&amp;Courses!A99&amp;", Level on LARS is "&amp;'Courses Valid'!CL105&amp;"; ",""),"")</f>
        <v/>
      </c>
      <c r="CN105" s="131"/>
    </row>
    <row r="106" spans="3:92" x14ac:dyDescent="0.35">
      <c r="C106" s="1591">
        <f t="shared" si="3"/>
        <v>0</v>
      </c>
      <c r="D106" s="41"/>
      <c r="E106" s="41"/>
      <c r="F106" s="118"/>
      <c r="G106" s="1592" t="str">
        <f>IF(SUMPRODUCT(--(CourseAims=Courses!$C100))=1,"",IF(AND($N$9=1,Courses!$C100&lt;&gt;""),"Row "&amp;Courses!A100&amp;" (invalid); ",""))</f>
        <v/>
      </c>
      <c r="H106" s="1592" t="str">
        <f>IF(AND($O$9=1,Courses!B100="",OR(Courses!F100&lt;&gt;"",Courses!H100&lt;&gt;"",Courses!J100&lt;&gt;"",Courses!K100&lt;&gt;"",Courses!L100&lt;&gt;"",Courses!M100&lt;&gt;0,Courses!N100&lt;&gt;0,Courses!O100&lt;&gt;0,Courses!P100&lt;&gt;0,Courses!Q100&lt;&gt;0,Courses!R100&lt;&gt;0,Courses!S100&lt;&gt;0,Courses!T100&lt;&gt;0,Courses!U100&lt;&gt;0,Courses!V100&lt;&gt;0,Courses!W100&lt;&gt;0,Courses!X100&lt;&gt;0,Courses!Y100&lt;&gt;0,Courses!Z100&lt;&gt;0,Courses!AA100&lt;&gt;0)),"Row "&amp;Courses!A100&amp;" (none); ","")</f>
        <v/>
      </c>
      <c r="I106" s="17"/>
      <c r="K106" s="1592" t="str">
        <f>Courses!B100&amp;Courses!K100&amp;Courses!L100</f>
        <v/>
      </c>
      <c r="L106" s="1592" t="str">
        <f>IF(AND($P$9=1,Courses!$B100&lt;&gt;"",COUNTIF(Dummy,Courses!$C100)&lt;&gt;1),IF(SUMPRODUCT(--($K$20:$K$219=$K106))&gt;1,"Row "&amp;Courses!$A100&amp;"; ",""),"")</f>
        <v/>
      </c>
      <c r="N106" s="118"/>
      <c r="O106" s="1593" t="str">
        <f>IF(AND($Q$9=1,Courses!E100&lt;&gt;"",Courses!F100=""),"Row "&amp;Courses!A100&amp;", "&amp;Courses!$E$10&amp;"; ","")</f>
        <v/>
      </c>
      <c r="P106" t="str">
        <f>IF(AND($Q$9=1,Courses!G100&lt;&gt;"",Courses!H100=""),"Row "&amp;Courses!A100&amp;", "&amp;Courses!$G$10&amp;"; ","")</f>
        <v/>
      </c>
      <c r="Q106" s="183" t="str">
        <f>IF(AND($Q$9=1,Courses!I100&lt;&gt;"",Courses!J100=""),"Row "&amp;Courses!A100&amp;", "&amp;Courses!$I$10&amp;"; ","")</f>
        <v/>
      </c>
      <c r="S106" s="17"/>
      <c r="T106" s="118"/>
      <c r="U106" s="1594" t="str">
        <f>IF(AND($R$9=1,Courses!B100&lt;&gt;"",Courses!E100&lt;&gt;"",Courses!G100="",Courses!I100="",Courses!F100&lt;&gt;1),"Row "&amp;Courses!A100&amp;"; ","")</f>
        <v/>
      </c>
      <c r="V106" t="str">
        <f>IF(AND($R$9=1,Courses!B100&lt;&gt;"",Courses!I100="",Courses!F100&lt;&gt;"",Courses!G100&lt;&gt;"",Courses!H100&lt;&gt;""),IF(OR((Courses!F100+Courses!H100)&lt;&gt;1),"Row "&amp;Courses!A100&amp;"; ",""),"")</f>
        <v/>
      </c>
      <c r="W106" s="183" t="str">
        <f>IF(AND($R$9=1,Courses!B100&lt;&gt;"",Courses!I100&lt;&gt;"",Courses!J100&lt;&gt;"",Courses!H100&lt;&gt;"",Courses!G100&lt;&gt;"",Courses!F100&lt;&gt;""),IF(OR((Courses!F100+Courses!H100+Courses!J100)&lt;&gt;1),"Row "&amp;Courses!A100&amp;"; ",""),"")</f>
        <v/>
      </c>
      <c r="Y106" s="1592" t="str">
        <f>IF(AND($R$9=1,Courses!E100&lt;&gt;"",U106="",V106="",W106="",SUM(Courses!F100,Courses!H100,Courses!J100)&lt;&gt;1),"Row "&amp;Courses!A100&amp;"; ","")</f>
        <v/>
      </c>
      <c r="Z106" s="17"/>
      <c r="AB106" s="1593" t="str">
        <f>IF(AND($S$9=1,Courses!B100&lt;&gt;"",Courses!E100&lt;&gt;"",Courses!F100&lt;&gt;""),IF((TRUNC(Courses!F100*100)&lt;&gt;Courses!F100*100),"Row "&amp;Courses!A100&amp;", "&amp;Courses!$F$10&amp;"; ",""),"")</f>
        <v/>
      </c>
      <c r="AC106" t="str">
        <f>IF(AND($S$9=1,Courses!B100&lt;&gt;"",Courses!G100&lt;&gt;"",Courses!H100&lt;&gt;""),IF((TRUNC(Courses!H100*100)&lt;&gt;Courses!H100*100),"Row "&amp;Courses!A100&amp;", "&amp;Courses!$H$10&amp;"; ",""),"")</f>
        <v/>
      </c>
      <c r="AD106" s="183" t="str">
        <f>IF(AND($S$9=1,Courses!B100&lt;&gt;"",Courses!I100&lt;&gt;"",Courses!J100&lt;&gt;""),IF((TRUNC(Courses!J100*100)&lt;&gt;Courses!J100*100),"Row "&amp;Courses!A100&amp;", "&amp;Courses!$J$10&amp;"; ",""),"")</f>
        <v/>
      </c>
      <c r="AF106" s="118"/>
      <c r="AG106" s="1592" t="str">
        <f>IF(AND($T$9=1,G106="",Courses!B100&lt;&gt;"",Courses!K100&lt;&gt;$B$9,Courses!K100&lt;&gt;$B$10,Courses!K100&lt;&gt;$B$11,Courses!K100&lt;&gt;$B$12,Courses!K100&lt;&gt;$B$13,Courses!K100&lt;&gt;$B$14),"Row "&amp;Courses!A100&amp;"; ","")</f>
        <v/>
      </c>
      <c r="AH106" s="1592" t="str">
        <f>IF(AND($U$9=1,G106="",Courses!B100&lt;&gt;"",Courses!L100&lt;&gt;"Standard",Courses!L100&lt;&gt;"Long"),"Row "&amp;Courses!A100&amp;"; ","")</f>
        <v/>
      </c>
      <c r="AJ106" s="118"/>
      <c r="AK106" s="3">
        <v>87</v>
      </c>
      <c r="AL106" s="1593" t="str">
        <f>IF(AND($V$9=1,(TRUNC(Courses!M100)&lt;&gt;Courses!M100)), "Row "&amp;Courses!$A100&amp;", "&amp;AL$9&amp;", "&amp;AL$10&amp;", "&amp;AL$11&amp;"; ","")</f>
        <v/>
      </c>
      <c r="AM106" t="str">
        <f>IF(AND($V$9=1,(TRUNC(Courses!N100)&lt;&gt;Courses!N100)), "Row "&amp;Courses!$A100&amp;", "&amp;AM$9&amp;", "&amp;AM$10&amp;", "&amp;AM$11&amp;"; ","")</f>
        <v/>
      </c>
      <c r="AN106" t="str">
        <f>IF(AND($V$9=1,(TRUNC(Courses!O100)&lt;&gt;Courses!O100)), "Row "&amp;Courses!$A100&amp;", "&amp;AN$9&amp;", "&amp;AN$10&amp;", "&amp;AN$11&amp;"; ","")</f>
        <v/>
      </c>
      <c r="AO106" t="str">
        <f>IF(AND($V$9=1,(TRUNC(Courses!P100)&lt;&gt;Courses!P100)), "Row "&amp;Courses!$A100&amp;", "&amp;AO$9&amp;", "&amp;AO$10&amp;", "&amp;AO$11&amp;"; ","")</f>
        <v/>
      </c>
      <c r="AP106" s="2120" t="str">
        <f>IF(AND($V$9=1,(TRUNC(Courses!Q100)&lt;&gt;Courses!Q100)), "Row "&amp;Courses!$A100&amp;", "&amp;AP$9&amp;", "&amp;AP$10&amp;"; ","")</f>
        <v/>
      </c>
      <c r="AQ106" s="1593" t="str">
        <f>IF(AND($V$9=1,(TRUNC(Courses!R100)&lt;&gt;Courses!R100)), "Row "&amp;Courses!$A100&amp;", "&amp;AQ$9&amp;", "&amp;AQ$10&amp;", "&amp;AQ$11&amp;"; ","")</f>
        <v/>
      </c>
      <c r="AR106" t="str">
        <f>IF(AND($V$9=1,(TRUNC(Courses!S100)&lt;&gt;Courses!S100)), "Row "&amp;Courses!$A100&amp;", "&amp;AR$9&amp;", "&amp;AR$10&amp;", "&amp;AR$11&amp;"; ","")</f>
        <v/>
      </c>
      <c r="AS106" t="str">
        <f>IF(AND($V$9=1,(TRUNC(Courses!T100)&lt;&gt;Courses!T100)), "Row "&amp;Courses!$A100&amp;", "&amp;AS$9&amp;", "&amp;AS$10&amp;", "&amp;AS$11&amp;"; ","")</f>
        <v/>
      </c>
      <c r="AT106" t="str">
        <f>IF(AND($V$9=1,(TRUNC(Courses!U100)&lt;&gt;Courses!U100)), "Row "&amp;Courses!$A100&amp;", "&amp;AT$9&amp;", "&amp;AT$10&amp;", "&amp;AT$11&amp;"; ","")</f>
        <v/>
      </c>
      <c r="AU106" s="2120" t="str">
        <f>IF(AND($V$9=1,(TRUNC(Courses!V100)&lt;&gt;Courses!V100)), "Row "&amp;Courses!$A100&amp;", "&amp;AU$9&amp;", "&amp;AU$10&amp;"; ","")</f>
        <v/>
      </c>
      <c r="AV106" s="1593" t="str">
        <f>IF(AND($V$9=1,(TRUNC(Courses!W100)&lt;&gt;Courses!W100)), "Row "&amp;Courses!$A100&amp;", "&amp;AV$9&amp;", "&amp;AV$10&amp;", "&amp;AV$11&amp;"; ","")</f>
        <v/>
      </c>
      <c r="AW106" t="str">
        <f>IF(AND($V$9=1,(TRUNC(Courses!X100)&lt;&gt;Courses!X100)), "Row "&amp;Courses!$A100&amp;", "&amp;AW$9&amp;", "&amp;AW$10&amp;", "&amp;AW$11&amp;"; ","")</f>
        <v/>
      </c>
      <c r="AX106" t="str">
        <f>IF(AND($V$9=1,(TRUNC(Courses!Y100)&lt;&gt;Courses!Y100)), "Row "&amp;Courses!$A100&amp;", "&amp;AX$9&amp;", "&amp;AX$10&amp;", "&amp;AX$11&amp;"; ","")</f>
        <v/>
      </c>
      <c r="AY106" t="str">
        <f>IF(AND($V$9=1,(TRUNC(Courses!Z100)&lt;&gt;Courses!Z100)), "Row "&amp;Courses!$A100&amp;", "&amp;AY$9&amp;", "&amp;AY$10&amp;", "&amp;AY$11&amp;"; ","")</f>
        <v/>
      </c>
      <c r="AZ106" s="2120" t="str">
        <f>IF(AND($V$9=1,(TRUNC(Courses!AA100)&lt;&gt;Courses!AA100)), "Row "&amp;Courses!$A100&amp;", "&amp;AZ$9&amp;", "&amp;AZ$10&amp;"; ","")</f>
        <v/>
      </c>
      <c r="BB106" s="118"/>
      <c r="BC106" s="3">
        <v>87</v>
      </c>
      <c r="BD106" s="1593" t="str">
        <f>IF(AND($W$9=1,Courses!M100&lt;0), "Row "&amp;Courses!$A100&amp;", "&amp;BD$9&amp;", "&amp;BD$10&amp;", "&amp;BD$11&amp;"; ","")</f>
        <v/>
      </c>
      <c r="BE106" t="str">
        <f>IF(AND($W$9=1,Courses!N100&lt;0), "Row "&amp;Courses!$A100&amp;", "&amp;BE$9&amp;", "&amp;BE$10&amp;", "&amp;BE$11&amp;"; ","")</f>
        <v/>
      </c>
      <c r="BF106" t="str">
        <f>IF(AND($W$9=1,Courses!O100&lt;0), "Row "&amp;Courses!$A100&amp;", "&amp;BF$9&amp;", "&amp;BF$10&amp;", "&amp;BF$11&amp;"; ","")</f>
        <v/>
      </c>
      <c r="BG106" t="str">
        <f>IF(AND($W$9=1,Courses!P100&lt;0), "Row "&amp;Courses!$A100&amp;", "&amp;BG$9&amp;", "&amp;BG$10&amp;", "&amp;BG$11&amp;"; ","")</f>
        <v/>
      </c>
      <c r="BH106" s="2120" t="str">
        <f>IF(AND($W$9=1,Courses!Q100&lt;0), "Row "&amp;Courses!$A100&amp;", "&amp;BH$9&amp;", "&amp;BH$10&amp;"; ","")</f>
        <v/>
      </c>
      <c r="BI106" s="1593" t="str">
        <f>IF(AND($W$9=1,Courses!R100&lt;0), "Row "&amp;Courses!$A100&amp;", "&amp;BI$9&amp;", "&amp;BI$10&amp;", "&amp;BI$11&amp;"; ","")</f>
        <v/>
      </c>
      <c r="BJ106" t="str">
        <f>IF(AND($W$9=1,Courses!S100&lt;0), "Row "&amp;Courses!$A100&amp;", "&amp;BJ$9&amp;", "&amp;BJ$10&amp;", "&amp;BJ$11&amp;"; ","")</f>
        <v/>
      </c>
      <c r="BK106" t="str">
        <f>IF(AND($W$9=1,Courses!T100&lt;0), "Row "&amp;Courses!$A100&amp;", "&amp;BK$9&amp;", "&amp;BK$10&amp;", "&amp;BK$11&amp;"; ","")</f>
        <v/>
      </c>
      <c r="BL106" t="str">
        <f>IF(AND($W$9=1,Courses!U100&lt;0), "Row "&amp;Courses!$A100&amp;", "&amp;BL$9&amp;", "&amp;BL$10&amp;", "&amp;BL$11&amp;"; ","")</f>
        <v/>
      </c>
      <c r="BM106" s="2120" t="str">
        <f>IF(AND($W$9=1,Courses!V100&lt;0), "Row "&amp;Courses!$A100&amp;", "&amp;BM$9&amp;", "&amp;BM$10&amp;"; ","")</f>
        <v/>
      </c>
      <c r="BN106" s="1593" t="str">
        <f>IF(AND($W$9=1,Courses!W100&lt;0), "Row "&amp;Courses!$A100&amp;", "&amp;BN$9&amp;", "&amp;BN$10&amp;", "&amp;BN$11&amp;"; ","")</f>
        <v/>
      </c>
      <c r="BO106" t="str">
        <f>IF(AND($W$9=1,Courses!X100&lt;0), "Row "&amp;Courses!$A100&amp;", "&amp;BO$9&amp;", "&amp;BO$10&amp;", "&amp;BO$11&amp;"; ","")</f>
        <v/>
      </c>
      <c r="BP106" t="str">
        <f>IF(AND($W$9=1,Courses!Y100&lt;0), "Row "&amp;Courses!$A100&amp;", "&amp;BP$9&amp;", "&amp;BP$10&amp;", "&amp;BP$11&amp;"; ","")</f>
        <v/>
      </c>
      <c r="BQ106" t="str">
        <f>IF(AND($W$9=1,Courses!Z100&lt;0), "Row "&amp;Courses!$A100&amp;", "&amp;BQ$9&amp;", "&amp;BQ$10&amp;", "&amp;BQ$11&amp;"; ","")</f>
        <v/>
      </c>
      <c r="BR106" s="2120" t="str">
        <f>IF(AND($W$9=1,Courses!AA100&lt;0), "Row "&amp;Courses!$A100&amp;", "&amp;BR$9&amp;", "&amp;BR$10&amp;"; ","")</f>
        <v/>
      </c>
      <c r="BT106" s="40">
        <v>87</v>
      </c>
      <c r="BU106" s="40">
        <f>IF(AND($X$9=1,Courses!B100="",Courses!F100="",Courses!H100="",Courses!J100="",Courses!K100="",Courses!L100="",Courses!M100=0,Courses!N100=0,Courses!O100=0,Courses!P100=0,Courses!Q100=0,Courses!R100=0,Courses!S100=0,Courses!T100=0,Courses!U100=0,Courses!V100=0,Courses!W100=0,Courses!X100=0,Courses!Y100=0,Courses!Z100=0,Courses!AA100=0),0,1)</f>
        <v>0</v>
      </c>
      <c r="BV106" s="40">
        <f>IF(AND(BU106=0,SUM(BU107:$BU$219)&gt;0),1,0)</f>
        <v>0</v>
      </c>
      <c r="BW106" s="1595" t="str">
        <f>IF(BV106=1,"Row "&amp;Courses!A100&amp;"; ","")</f>
        <v/>
      </c>
      <c r="BX106" s="17"/>
      <c r="BZ106" s="1592" t="str">
        <f>IF(AND($Y$9=1,Courses!B100&lt;&gt;"",SUM(Courses!M100:AA100)=0),"Row "&amp;Courses!A100&amp;"; ","")</f>
        <v/>
      </c>
      <c r="CA106" s="17"/>
      <c r="CC106" s="1592" t="str">
        <f>IF(AND($Z$9=1,Courses!AD100=1,(LEN(Courses!AB100)&gt;200)),"Row "&amp;Courses!A100&amp;"; ","")</f>
        <v/>
      </c>
      <c r="CE106" s="131"/>
      <c r="CG106" s="1593" t="str">
        <f>IF(AND($AD$9=1,Courses!E100&lt;&gt;"",Courses!F100&lt;&gt;"",Courses!F100=0,SUM(Courses!H100,Courses!J100)=1),"Row "&amp;Courses!A100&amp;", "&amp;Courses!$F$10&amp;"; ","")</f>
        <v/>
      </c>
      <c r="CH106" t="str">
        <f>IF(AND($AD$9=1,Courses!G100&lt;&gt;"",Courses!H100&lt;&gt;"",Courses!H100=0,SUM(Courses!J100,Courses!F100)=1),"Row "&amp;Courses!A100&amp;", "&amp;Courses!$H$10&amp;"; ","")</f>
        <v/>
      </c>
      <c r="CI106" s="183" t="str">
        <f>IF(AND($AD$9=1,Courses!I100&lt;&gt;"",Courses!J100&lt;&gt;"",Courses!J100=0, SUM(Courses!H100,Courses!F100)=1),"Row "&amp;Courses!A100&amp;", "&amp;Courses!$J$10&amp;"; ","")</f>
        <v/>
      </c>
      <c r="CJ106" s="180"/>
      <c r="CK106" s="181"/>
      <c r="CL106" s="1592" t="str">
        <f>IF(AND(Courses!B100&lt;&gt;"",ISNA(VLOOKUP(Courses!C100,CourseInfo,2,FALSE))=FALSE,COUNTIF(Dummy,Courses!C100)&lt;&gt;1),VLOOKUP(Courses!C100,CourseInfo,6,FALSE),"")</f>
        <v/>
      </c>
      <c r="CM106" s="1592" t="str">
        <f>IF(AND($AE$9=1,Courses!B100&lt;&gt;"",'Courses Valid'!AG106="",COUNTIF(Dummy,Courses!C100)&lt;&gt;1),IF(Courses!K100&lt;&gt;'Courses Valid'!CL106,"Row "&amp;Courses!A100&amp;", Level on LARS is "&amp;'Courses Valid'!CL106&amp;"; ",""),"")</f>
        <v/>
      </c>
      <c r="CN106" s="131"/>
    </row>
    <row r="107" spans="3:92" x14ac:dyDescent="0.35">
      <c r="C107" s="1591">
        <f t="shared" si="3"/>
        <v>0</v>
      </c>
      <c r="D107" s="41"/>
      <c r="E107" s="41"/>
      <c r="F107" s="118"/>
      <c r="G107" s="1592" t="str">
        <f>IF(SUMPRODUCT(--(CourseAims=Courses!$C101))=1,"",IF(AND($N$9=1,Courses!$C101&lt;&gt;""),"Row "&amp;Courses!A101&amp;" (invalid); ",""))</f>
        <v/>
      </c>
      <c r="H107" s="1592" t="str">
        <f>IF(AND($O$9=1,Courses!B101="",OR(Courses!F101&lt;&gt;"",Courses!H101&lt;&gt;"",Courses!J101&lt;&gt;"",Courses!K101&lt;&gt;"",Courses!L101&lt;&gt;"",Courses!M101&lt;&gt;0,Courses!N101&lt;&gt;0,Courses!O101&lt;&gt;0,Courses!P101&lt;&gt;0,Courses!Q101&lt;&gt;0,Courses!R101&lt;&gt;0,Courses!S101&lt;&gt;0,Courses!T101&lt;&gt;0,Courses!U101&lt;&gt;0,Courses!V101&lt;&gt;0,Courses!W101&lt;&gt;0,Courses!X101&lt;&gt;0,Courses!Y101&lt;&gt;0,Courses!Z101&lt;&gt;0,Courses!AA101&lt;&gt;0)),"Row "&amp;Courses!A101&amp;" (none); ","")</f>
        <v/>
      </c>
      <c r="I107" s="17"/>
      <c r="K107" s="1592" t="str">
        <f>Courses!B101&amp;Courses!K101&amp;Courses!L101</f>
        <v/>
      </c>
      <c r="L107" s="1592" t="str">
        <f>IF(AND($P$9=1,Courses!$B101&lt;&gt;"",COUNTIF(Dummy,Courses!$C101)&lt;&gt;1),IF(SUMPRODUCT(--($K$20:$K$219=$K107))&gt;1,"Row "&amp;Courses!$A101&amp;"; ",""),"")</f>
        <v/>
      </c>
      <c r="N107" s="118"/>
      <c r="O107" s="1593" t="str">
        <f>IF(AND($Q$9=1,Courses!E101&lt;&gt;"",Courses!F101=""),"Row "&amp;Courses!A101&amp;", "&amp;Courses!$E$10&amp;"; ","")</f>
        <v/>
      </c>
      <c r="P107" t="str">
        <f>IF(AND($Q$9=1,Courses!G101&lt;&gt;"",Courses!H101=""),"Row "&amp;Courses!A101&amp;", "&amp;Courses!$G$10&amp;"; ","")</f>
        <v/>
      </c>
      <c r="Q107" s="183" t="str">
        <f>IF(AND($Q$9=1,Courses!I101&lt;&gt;"",Courses!J101=""),"Row "&amp;Courses!A101&amp;", "&amp;Courses!$I$10&amp;"; ","")</f>
        <v/>
      </c>
      <c r="S107" s="17"/>
      <c r="T107" s="118"/>
      <c r="U107" s="1594" t="str">
        <f>IF(AND($R$9=1,Courses!B101&lt;&gt;"",Courses!E101&lt;&gt;"",Courses!G101="",Courses!I101="",Courses!F101&lt;&gt;1),"Row "&amp;Courses!A101&amp;"; ","")</f>
        <v/>
      </c>
      <c r="V107" t="str">
        <f>IF(AND($R$9=1,Courses!B101&lt;&gt;"",Courses!I101="",Courses!F101&lt;&gt;"",Courses!G101&lt;&gt;"",Courses!H101&lt;&gt;""),IF(OR((Courses!F101+Courses!H101)&lt;&gt;1),"Row "&amp;Courses!A101&amp;"; ",""),"")</f>
        <v/>
      </c>
      <c r="W107" s="183" t="str">
        <f>IF(AND($R$9=1,Courses!B101&lt;&gt;"",Courses!I101&lt;&gt;"",Courses!J101&lt;&gt;"",Courses!H101&lt;&gt;"",Courses!G101&lt;&gt;"",Courses!F101&lt;&gt;""),IF(OR((Courses!F101+Courses!H101+Courses!J101)&lt;&gt;1),"Row "&amp;Courses!A101&amp;"; ",""),"")</f>
        <v/>
      </c>
      <c r="Y107" s="1592" t="str">
        <f>IF(AND($R$9=1,Courses!E101&lt;&gt;"",U107="",V107="",W107="",SUM(Courses!F101,Courses!H101,Courses!J101)&lt;&gt;1),"Row "&amp;Courses!A101&amp;"; ","")</f>
        <v/>
      </c>
      <c r="Z107" s="17"/>
      <c r="AB107" s="1593" t="str">
        <f>IF(AND($S$9=1,Courses!B101&lt;&gt;"",Courses!E101&lt;&gt;"",Courses!F101&lt;&gt;""),IF((TRUNC(Courses!F101*100)&lt;&gt;Courses!F101*100),"Row "&amp;Courses!A101&amp;", "&amp;Courses!$F$10&amp;"; ",""),"")</f>
        <v/>
      </c>
      <c r="AC107" t="str">
        <f>IF(AND($S$9=1,Courses!B101&lt;&gt;"",Courses!G101&lt;&gt;"",Courses!H101&lt;&gt;""),IF((TRUNC(Courses!H101*100)&lt;&gt;Courses!H101*100),"Row "&amp;Courses!A101&amp;", "&amp;Courses!$H$10&amp;"; ",""),"")</f>
        <v/>
      </c>
      <c r="AD107" s="183" t="str">
        <f>IF(AND($S$9=1,Courses!B101&lt;&gt;"",Courses!I101&lt;&gt;"",Courses!J101&lt;&gt;""),IF((TRUNC(Courses!J101*100)&lt;&gt;Courses!J101*100),"Row "&amp;Courses!A101&amp;", "&amp;Courses!$J$10&amp;"; ",""),"")</f>
        <v/>
      </c>
      <c r="AF107" s="118"/>
      <c r="AG107" s="1592" t="str">
        <f>IF(AND($T$9=1,G107="",Courses!B101&lt;&gt;"",Courses!K101&lt;&gt;$B$9,Courses!K101&lt;&gt;$B$10,Courses!K101&lt;&gt;$B$11,Courses!K101&lt;&gt;$B$12,Courses!K101&lt;&gt;$B$13,Courses!K101&lt;&gt;$B$14),"Row "&amp;Courses!A101&amp;"; ","")</f>
        <v/>
      </c>
      <c r="AH107" s="1592" t="str">
        <f>IF(AND($U$9=1,G107="",Courses!B101&lt;&gt;"",Courses!L101&lt;&gt;"Standard",Courses!L101&lt;&gt;"Long"),"Row "&amp;Courses!A101&amp;"; ","")</f>
        <v/>
      </c>
      <c r="AJ107" s="118"/>
      <c r="AK107" s="3">
        <v>88</v>
      </c>
      <c r="AL107" s="1593" t="str">
        <f>IF(AND($V$9=1,(TRUNC(Courses!M101)&lt;&gt;Courses!M101)), "Row "&amp;Courses!$A101&amp;", "&amp;AL$9&amp;", "&amp;AL$10&amp;", "&amp;AL$11&amp;"; ","")</f>
        <v/>
      </c>
      <c r="AM107" t="str">
        <f>IF(AND($V$9=1,(TRUNC(Courses!N101)&lt;&gt;Courses!N101)), "Row "&amp;Courses!$A101&amp;", "&amp;AM$9&amp;", "&amp;AM$10&amp;", "&amp;AM$11&amp;"; ","")</f>
        <v/>
      </c>
      <c r="AN107" t="str">
        <f>IF(AND($V$9=1,(TRUNC(Courses!O101)&lt;&gt;Courses!O101)), "Row "&amp;Courses!$A101&amp;", "&amp;AN$9&amp;", "&amp;AN$10&amp;", "&amp;AN$11&amp;"; ","")</f>
        <v/>
      </c>
      <c r="AO107" t="str">
        <f>IF(AND($V$9=1,(TRUNC(Courses!P101)&lt;&gt;Courses!P101)), "Row "&amp;Courses!$A101&amp;", "&amp;AO$9&amp;", "&amp;AO$10&amp;", "&amp;AO$11&amp;"; ","")</f>
        <v/>
      </c>
      <c r="AP107" s="2120" t="str">
        <f>IF(AND($V$9=1,(TRUNC(Courses!Q101)&lt;&gt;Courses!Q101)), "Row "&amp;Courses!$A101&amp;", "&amp;AP$9&amp;", "&amp;AP$10&amp;"; ","")</f>
        <v/>
      </c>
      <c r="AQ107" s="1593" t="str">
        <f>IF(AND($V$9=1,(TRUNC(Courses!R101)&lt;&gt;Courses!R101)), "Row "&amp;Courses!$A101&amp;", "&amp;AQ$9&amp;", "&amp;AQ$10&amp;", "&amp;AQ$11&amp;"; ","")</f>
        <v/>
      </c>
      <c r="AR107" t="str">
        <f>IF(AND($V$9=1,(TRUNC(Courses!S101)&lt;&gt;Courses!S101)), "Row "&amp;Courses!$A101&amp;", "&amp;AR$9&amp;", "&amp;AR$10&amp;", "&amp;AR$11&amp;"; ","")</f>
        <v/>
      </c>
      <c r="AS107" t="str">
        <f>IF(AND($V$9=1,(TRUNC(Courses!T101)&lt;&gt;Courses!T101)), "Row "&amp;Courses!$A101&amp;", "&amp;AS$9&amp;", "&amp;AS$10&amp;", "&amp;AS$11&amp;"; ","")</f>
        <v/>
      </c>
      <c r="AT107" t="str">
        <f>IF(AND($V$9=1,(TRUNC(Courses!U101)&lt;&gt;Courses!U101)), "Row "&amp;Courses!$A101&amp;", "&amp;AT$9&amp;", "&amp;AT$10&amp;", "&amp;AT$11&amp;"; ","")</f>
        <v/>
      </c>
      <c r="AU107" s="2120" t="str">
        <f>IF(AND($V$9=1,(TRUNC(Courses!V101)&lt;&gt;Courses!V101)), "Row "&amp;Courses!$A101&amp;", "&amp;AU$9&amp;", "&amp;AU$10&amp;"; ","")</f>
        <v/>
      </c>
      <c r="AV107" s="1593" t="str">
        <f>IF(AND($V$9=1,(TRUNC(Courses!W101)&lt;&gt;Courses!W101)), "Row "&amp;Courses!$A101&amp;", "&amp;AV$9&amp;", "&amp;AV$10&amp;", "&amp;AV$11&amp;"; ","")</f>
        <v/>
      </c>
      <c r="AW107" t="str">
        <f>IF(AND($V$9=1,(TRUNC(Courses!X101)&lt;&gt;Courses!X101)), "Row "&amp;Courses!$A101&amp;", "&amp;AW$9&amp;", "&amp;AW$10&amp;", "&amp;AW$11&amp;"; ","")</f>
        <v/>
      </c>
      <c r="AX107" t="str">
        <f>IF(AND($V$9=1,(TRUNC(Courses!Y101)&lt;&gt;Courses!Y101)), "Row "&amp;Courses!$A101&amp;", "&amp;AX$9&amp;", "&amp;AX$10&amp;", "&amp;AX$11&amp;"; ","")</f>
        <v/>
      </c>
      <c r="AY107" t="str">
        <f>IF(AND($V$9=1,(TRUNC(Courses!Z101)&lt;&gt;Courses!Z101)), "Row "&amp;Courses!$A101&amp;", "&amp;AY$9&amp;", "&amp;AY$10&amp;", "&amp;AY$11&amp;"; ","")</f>
        <v/>
      </c>
      <c r="AZ107" s="2120" t="str">
        <f>IF(AND($V$9=1,(TRUNC(Courses!AA101)&lt;&gt;Courses!AA101)), "Row "&amp;Courses!$A101&amp;", "&amp;AZ$9&amp;", "&amp;AZ$10&amp;"; ","")</f>
        <v/>
      </c>
      <c r="BB107" s="118"/>
      <c r="BC107" s="3">
        <v>88</v>
      </c>
      <c r="BD107" s="1593" t="str">
        <f>IF(AND($W$9=1,Courses!M101&lt;0), "Row "&amp;Courses!$A101&amp;", "&amp;BD$9&amp;", "&amp;BD$10&amp;", "&amp;BD$11&amp;"; ","")</f>
        <v/>
      </c>
      <c r="BE107" t="str">
        <f>IF(AND($W$9=1,Courses!N101&lt;0), "Row "&amp;Courses!$A101&amp;", "&amp;BE$9&amp;", "&amp;BE$10&amp;", "&amp;BE$11&amp;"; ","")</f>
        <v/>
      </c>
      <c r="BF107" t="str">
        <f>IF(AND($W$9=1,Courses!O101&lt;0), "Row "&amp;Courses!$A101&amp;", "&amp;BF$9&amp;", "&amp;BF$10&amp;", "&amp;BF$11&amp;"; ","")</f>
        <v/>
      </c>
      <c r="BG107" t="str">
        <f>IF(AND($W$9=1,Courses!P101&lt;0), "Row "&amp;Courses!$A101&amp;", "&amp;BG$9&amp;", "&amp;BG$10&amp;", "&amp;BG$11&amp;"; ","")</f>
        <v/>
      </c>
      <c r="BH107" s="2120" t="str">
        <f>IF(AND($W$9=1,Courses!Q101&lt;0), "Row "&amp;Courses!$A101&amp;", "&amp;BH$9&amp;", "&amp;BH$10&amp;"; ","")</f>
        <v/>
      </c>
      <c r="BI107" s="1593" t="str">
        <f>IF(AND($W$9=1,Courses!R101&lt;0), "Row "&amp;Courses!$A101&amp;", "&amp;BI$9&amp;", "&amp;BI$10&amp;", "&amp;BI$11&amp;"; ","")</f>
        <v/>
      </c>
      <c r="BJ107" t="str">
        <f>IF(AND($W$9=1,Courses!S101&lt;0), "Row "&amp;Courses!$A101&amp;", "&amp;BJ$9&amp;", "&amp;BJ$10&amp;", "&amp;BJ$11&amp;"; ","")</f>
        <v/>
      </c>
      <c r="BK107" t="str">
        <f>IF(AND($W$9=1,Courses!T101&lt;0), "Row "&amp;Courses!$A101&amp;", "&amp;BK$9&amp;", "&amp;BK$10&amp;", "&amp;BK$11&amp;"; ","")</f>
        <v/>
      </c>
      <c r="BL107" t="str">
        <f>IF(AND($W$9=1,Courses!U101&lt;0), "Row "&amp;Courses!$A101&amp;", "&amp;BL$9&amp;", "&amp;BL$10&amp;", "&amp;BL$11&amp;"; ","")</f>
        <v/>
      </c>
      <c r="BM107" s="2120" t="str">
        <f>IF(AND($W$9=1,Courses!V101&lt;0), "Row "&amp;Courses!$A101&amp;", "&amp;BM$9&amp;", "&amp;BM$10&amp;"; ","")</f>
        <v/>
      </c>
      <c r="BN107" s="1593" t="str">
        <f>IF(AND($W$9=1,Courses!W101&lt;0), "Row "&amp;Courses!$A101&amp;", "&amp;BN$9&amp;", "&amp;BN$10&amp;", "&amp;BN$11&amp;"; ","")</f>
        <v/>
      </c>
      <c r="BO107" t="str">
        <f>IF(AND($W$9=1,Courses!X101&lt;0), "Row "&amp;Courses!$A101&amp;", "&amp;BO$9&amp;", "&amp;BO$10&amp;", "&amp;BO$11&amp;"; ","")</f>
        <v/>
      </c>
      <c r="BP107" t="str">
        <f>IF(AND($W$9=1,Courses!Y101&lt;0), "Row "&amp;Courses!$A101&amp;", "&amp;BP$9&amp;", "&amp;BP$10&amp;", "&amp;BP$11&amp;"; ","")</f>
        <v/>
      </c>
      <c r="BQ107" t="str">
        <f>IF(AND($W$9=1,Courses!Z101&lt;0), "Row "&amp;Courses!$A101&amp;", "&amp;BQ$9&amp;", "&amp;BQ$10&amp;", "&amp;BQ$11&amp;"; ","")</f>
        <v/>
      </c>
      <c r="BR107" s="2120" t="str">
        <f>IF(AND($W$9=1,Courses!AA101&lt;0), "Row "&amp;Courses!$A101&amp;", "&amp;BR$9&amp;", "&amp;BR$10&amp;"; ","")</f>
        <v/>
      </c>
      <c r="BT107" s="40">
        <v>88</v>
      </c>
      <c r="BU107" s="40">
        <f>IF(AND($X$9=1,Courses!B101="",Courses!F101="",Courses!H101="",Courses!J101="",Courses!K101="",Courses!L101="",Courses!M101=0,Courses!N101=0,Courses!O101=0,Courses!P101=0,Courses!Q101=0,Courses!R101=0,Courses!S101=0,Courses!T101=0,Courses!U101=0,Courses!V101=0,Courses!W101=0,Courses!X101=0,Courses!Y101=0,Courses!Z101=0,Courses!AA101=0),0,1)</f>
        <v>0</v>
      </c>
      <c r="BV107" s="40">
        <f>IF(AND(BU107=0,SUM(BU108:$BU$219)&gt;0),1,0)</f>
        <v>0</v>
      </c>
      <c r="BW107" s="1595" t="str">
        <f>IF(BV107=1,"Row "&amp;Courses!A101&amp;"; ","")</f>
        <v/>
      </c>
      <c r="BX107" s="17"/>
      <c r="BZ107" s="1592" t="str">
        <f>IF(AND($Y$9=1,Courses!B101&lt;&gt;"",SUM(Courses!M101:AA101)=0),"Row "&amp;Courses!A101&amp;"; ","")</f>
        <v/>
      </c>
      <c r="CA107" s="17"/>
      <c r="CC107" s="1592" t="str">
        <f>IF(AND($Z$9=1,Courses!AD101=1,(LEN(Courses!AB101)&gt;200)),"Row "&amp;Courses!A101&amp;"; ","")</f>
        <v/>
      </c>
      <c r="CE107" s="131"/>
      <c r="CG107" s="1593" t="str">
        <f>IF(AND($AD$9=1,Courses!E101&lt;&gt;"",Courses!F101&lt;&gt;"",Courses!F101=0,SUM(Courses!H101,Courses!J101)=1),"Row "&amp;Courses!A101&amp;", "&amp;Courses!$F$10&amp;"; ","")</f>
        <v/>
      </c>
      <c r="CH107" t="str">
        <f>IF(AND($AD$9=1,Courses!G101&lt;&gt;"",Courses!H101&lt;&gt;"",Courses!H101=0,SUM(Courses!J101,Courses!F101)=1),"Row "&amp;Courses!A101&amp;", "&amp;Courses!$H$10&amp;"; ","")</f>
        <v/>
      </c>
      <c r="CI107" s="183" t="str">
        <f>IF(AND($AD$9=1,Courses!I101&lt;&gt;"",Courses!J101&lt;&gt;"",Courses!J101=0, SUM(Courses!H101,Courses!F101)=1),"Row "&amp;Courses!A101&amp;", "&amp;Courses!$J$10&amp;"; ","")</f>
        <v/>
      </c>
      <c r="CJ107" s="180"/>
      <c r="CK107" s="181"/>
      <c r="CL107" s="1592" t="str">
        <f>IF(AND(Courses!B101&lt;&gt;"",ISNA(VLOOKUP(Courses!C101,CourseInfo,2,FALSE))=FALSE,COUNTIF(Dummy,Courses!C101)&lt;&gt;1),VLOOKUP(Courses!C101,CourseInfo,6,FALSE),"")</f>
        <v/>
      </c>
      <c r="CM107" s="1592" t="str">
        <f>IF(AND($AE$9=1,Courses!B101&lt;&gt;"",'Courses Valid'!AG107="",COUNTIF(Dummy,Courses!C101)&lt;&gt;1),IF(Courses!K101&lt;&gt;'Courses Valid'!CL107,"Row "&amp;Courses!A101&amp;", Level on LARS is "&amp;'Courses Valid'!CL107&amp;"; ",""),"")</f>
        <v/>
      </c>
      <c r="CN107" s="131"/>
    </row>
    <row r="108" spans="3:92" x14ac:dyDescent="0.35">
      <c r="C108" s="1591">
        <f t="shared" si="3"/>
        <v>0</v>
      </c>
      <c r="D108" s="41"/>
      <c r="E108" s="41"/>
      <c r="F108" s="118"/>
      <c r="G108" s="1592" t="str">
        <f>IF(SUMPRODUCT(--(CourseAims=Courses!$C102))=1,"",IF(AND($N$9=1,Courses!$C102&lt;&gt;""),"Row "&amp;Courses!A102&amp;" (invalid); ",""))</f>
        <v/>
      </c>
      <c r="H108" s="1592" t="str">
        <f>IF(AND($O$9=1,Courses!B102="",OR(Courses!F102&lt;&gt;"",Courses!H102&lt;&gt;"",Courses!J102&lt;&gt;"",Courses!K102&lt;&gt;"",Courses!L102&lt;&gt;"",Courses!M102&lt;&gt;0,Courses!N102&lt;&gt;0,Courses!O102&lt;&gt;0,Courses!P102&lt;&gt;0,Courses!Q102&lt;&gt;0,Courses!R102&lt;&gt;0,Courses!S102&lt;&gt;0,Courses!T102&lt;&gt;0,Courses!U102&lt;&gt;0,Courses!V102&lt;&gt;0,Courses!W102&lt;&gt;0,Courses!X102&lt;&gt;0,Courses!Y102&lt;&gt;0,Courses!Z102&lt;&gt;0,Courses!AA102&lt;&gt;0)),"Row "&amp;Courses!A102&amp;" (none); ","")</f>
        <v/>
      </c>
      <c r="I108" s="17"/>
      <c r="K108" s="1592" t="str">
        <f>Courses!B102&amp;Courses!K102&amp;Courses!L102</f>
        <v/>
      </c>
      <c r="L108" s="1592" t="str">
        <f>IF(AND($P$9=1,Courses!$B102&lt;&gt;"",COUNTIF(Dummy,Courses!$C102)&lt;&gt;1),IF(SUMPRODUCT(--($K$20:$K$219=$K108))&gt;1,"Row "&amp;Courses!$A102&amp;"; ",""),"")</f>
        <v/>
      </c>
      <c r="N108" s="118"/>
      <c r="O108" s="1593" t="str">
        <f>IF(AND($Q$9=1,Courses!E102&lt;&gt;"",Courses!F102=""),"Row "&amp;Courses!A102&amp;", "&amp;Courses!$E$10&amp;"; ","")</f>
        <v/>
      </c>
      <c r="P108" t="str">
        <f>IF(AND($Q$9=1,Courses!G102&lt;&gt;"",Courses!H102=""),"Row "&amp;Courses!A102&amp;", "&amp;Courses!$G$10&amp;"; ","")</f>
        <v/>
      </c>
      <c r="Q108" s="183" t="str">
        <f>IF(AND($Q$9=1,Courses!I102&lt;&gt;"",Courses!J102=""),"Row "&amp;Courses!A102&amp;", "&amp;Courses!$I$10&amp;"; ","")</f>
        <v/>
      </c>
      <c r="S108" s="17"/>
      <c r="T108" s="118"/>
      <c r="U108" s="1594" t="str">
        <f>IF(AND($R$9=1,Courses!B102&lt;&gt;"",Courses!E102&lt;&gt;"",Courses!G102="",Courses!I102="",Courses!F102&lt;&gt;1),"Row "&amp;Courses!A102&amp;"; ","")</f>
        <v/>
      </c>
      <c r="V108" t="str">
        <f>IF(AND($R$9=1,Courses!B102&lt;&gt;"",Courses!I102="",Courses!F102&lt;&gt;"",Courses!G102&lt;&gt;"",Courses!H102&lt;&gt;""),IF(OR((Courses!F102+Courses!H102)&lt;&gt;1),"Row "&amp;Courses!A102&amp;"; ",""),"")</f>
        <v/>
      </c>
      <c r="W108" s="183" t="str">
        <f>IF(AND($R$9=1,Courses!B102&lt;&gt;"",Courses!I102&lt;&gt;"",Courses!J102&lt;&gt;"",Courses!H102&lt;&gt;"",Courses!G102&lt;&gt;"",Courses!F102&lt;&gt;""),IF(OR((Courses!F102+Courses!H102+Courses!J102)&lt;&gt;1),"Row "&amp;Courses!A102&amp;"; ",""),"")</f>
        <v/>
      </c>
      <c r="Y108" s="1592" t="str">
        <f>IF(AND($R$9=1,Courses!E102&lt;&gt;"",U108="",V108="",W108="",SUM(Courses!F102,Courses!H102,Courses!J102)&lt;&gt;1),"Row "&amp;Courses!A102&amp;"; ","")</f>
        <v/>
      </c>
      <c r="Z108" s="17"/>
      <c r="AB108" s="1593" t="str">
        <f>IF(AND($S$9=1,Courses!B102&lt;&gt;"",Courses!E102&lt;&gt;"",Courses!F102&lt;&gt;""),IF((TRUNC(Courses!F102*100)&lt;&gt;Courses!F102*100),"Row "&amp;Courses!A102&amp;", "&amp;Courses!$F$10&amp;"; ",""),"")</f>
        <v/>
      </c>
      <c r="AC108" t="str">
        <f>IF(AND($S$9=1,Courses!B102&lt;&gt;"",Courses!G102&lt;&gt;"",Courses!H102&lt;&gt;""),IF((TRUNC(Courses!H102*100)&lt;&gt;Courses!H102*100),"Row "&amp;Courses!A102&amp;", "&amp;Courses!$H$10&amp;"; ",""),"")</f>
        <v/>
      </c>
      <c r="AD108" s="183" t="str">
        <f>IF(AND($S$9=1,Courses!B102&lt;&gt;"",Courses!I102&lt;&gt;"",Courses!J102&lt;&gt;""),IF((TRUNC(Courses!J102*100)&lt;&gt;Courses!J102*100),"Row "&amp;Courses!A102&amp;", "&amp;Courses!$J$10&amp;"; ",""),"")</f>
        <v/>
      </c>
      <c r="AF108" s="118"/>
      <c r="AG108" s="1592" t="str">
        <f>IF(AND($T$9=1,G108="",Courses!B102&lt;&gt;"",Courses!K102&lt;&gt;$B$9,Courses!K102&lt;&gt;$B$10,Courses!K102&lt;&gt;$B$11,Courses!K102&lt;&gt;$B$12,Courses!K102&lt;&gt;$B$13,Courses!K102&lt;&gt;$B$14),"Row "&amp;Courses!A102&amp;"; ","")</f>
        <v/>
      </c>
      <c r="AH108" s="1592" t="str">
        <f>IF(AND($U$9=1,G108="",Courses!B102&lt;&gt;"",Courses!L102&lt;&gt;"Standard",Courses!L102&lt;&gt;"Long"),"Row "&amp;Courses!A102&amp;"; ","")</f>
        <v/>
      </c>
      <c r="AJ108" s="118"/>
      <c r="AK108" s="3">
        <v>89</v>
      </c>
      <c r="AL108" s="1593" t="str">
        <f>IF(AND($V$9=1,(TRUNC(Courses!M102)&lt;&gt;Courses!M102)), "Row "&amp;Courses!$A102&amp;", "&amp;AL$9&amp;", "&amp;AL$10&amp;", "&amp;AL$11&amp;"; ","")</f>
        <v/>
      </c>
      <c r="AM108" t="str">
        <f>IF(AND($V$9=1,(TRUNC(Courses!N102)&lt;&gt;Courses!N102)), "Row "&amp;Courses!$A102&amp;", "&amp;AM$9&amp;", "&amp;AM$10&amp;", "&amp;AM$11&amp;"; ","")</f>
        <v/>
      </c>
      <c r="AN108" t="str">
        <f>IF(AND($V$9=1,(TRUNC(Courses!O102)&lt;&gt;Courses!O102)), "Row "&amp;Courses!$A102&amp;", "&amp;AN$9&amp;", "&amp;AN$10&amp;", "&amp;AN$11&amp;"; ","")</f>
        <v/>
      </c>
      <c r="AO108" t="str">
        <f>IF(AND($V$9=1,(TRUNC(Courses!P102)&lt;&gt;Courses!P102)), "Row "&amp;Courses!$A102&amp;", "&amp;AO$9&amp;", "&amp;AO$10&amp;", "&amp;AO$11&amp;"; ","")</f>
        <v/>
      </c>
      <c r="AP108" s="2120" t="str">
        <f>IF(AND($V$9=1,(TRUNC(Courses!Q102)&lt;&gt;Courses!Q102)), "Row "&amp;Courses!$A102&amp;", "&amp;AP$9&amp;", "&amp;AP$10&amp;"; ","")</f>
        <v/>
      </c>
      <c r="AQ108" s="1593" t="str">
        <f>IF(AND($V$9=1,(TRUNC(Courses!R102)&lt;&gt;Courses!R102)), "Row "&amp;Courses!$A102&amp;", "&amp;AQ$9&amp;", "&amp;AQ$10&amp;", "&amp;AQ$11&amp;"; ","")</f>
        <v/>
      </c>
      <c r="AR108" t="str">
        <f>IF(AND($V$9=1,(TRUNC(Courses!S102)&lt;&gt;Courses!S102)), "Row "&amp;Courses!$A102&amp;", "&amp;AR$9&amp;", "&amp;AR$10&amp;", "&amp;AR$11&amp;"; ","")</f>
        <v/>
      </c>
      <c r="AS108" t="str">
        <f>IF(AND($V$9=1,(TRUNC(Courses!T102)&lt;&gt;Courses!T102)), "Row "&amp;Courses!$A102&amp;", "&amp;AS$9&amp;", "&amp;AS$10&amp;", "&amp;AS$11&amp;"; ","")</f>
        <v/>
      </c>
      <c r="AT108" t="str">
        <f>IF(AND($V$9=1,(TRUNC(Courses!U102)&lt;&gt;Courses!U102)), "Row "&amp;Courses!$A102&amp;", "&amp;AT$9&amp;", "&amp;AT$10&amp;", "&amp;AT$11&amp;"; ","")</f>
        <v/>
      </c>
      <c r="AU108" s="2120" t="str">
        <f>IF(AND($V$9=1,(TRUNC(Courses!V102)&lt;&gt;Courses!V102)), "Row "&amp;Courses!$A102&amp;", "&amp;AU$9&amp;", "&amp;AU$10&amp;"; ","")</f>
        <v/>
      </c>
      <c r="AV108" s="1593" t="str">
        <f>IF(AND($V$9=1,(TRUNC(Courses!W102)&lt;&gt;Courses!W102)), "Row "&amp;Courses!$A102&amp;", "&amp;AV$9&amp;", "&amp;AV$10&amp;", "&amp;AV$11&amp;"; ","")</f>
        <v/>
      </c>
      <c r="AW108" t="str">
        <f>IF(AND($V$9=1,(TRUNC(Courses!X102)&lt;&gt;Courses!X102)), "Row "&amp;Courses!$A102&amp;", "&amp;AW$9&amp;", "&amp;AW$10&amp;", "&amp;AW$11&amp;"; ","")</f>
        <v/>
      </c>
      <c r="AX108" t="str">
        <f>IF(AND($V$9=1,(TRUNC(Courses!Y102)&lt;&gt;Courses!Y102)), "Row "&amp;Courses!$A102&amp;", "&amp;AX$9&amp;", "&amp;AX$10&amp;", "&amp;AX$11&amp;"; ","")</f>
        <v/>
      </c>
      <c r="AY108" t="str">
        <f>IF(AND($V$9=1,(TRUNC(Courses!Z102)&lt;&gt;Courses!Z102)), "Row "&amp;Courses!$A102&amp;", "&amp;AY$9&amp;", "&amp;AY$10&amp;", "&amp;AY$11&amp;"; ","")</f>
        <v/>
      </c>
      <c r="AZ108" s="2120" t="str">
        <f>IF(AND($V$9=1,(TRUNC(Courses!AA102)&lt;&gt;Courses!AA102)), "Row "&amp;Courses!$A102&amp;", "&amp;AZ$9&amp;", "&amp;AZ$10&amp;"; ","")</f>
        <v/>
      </c>
      <c r="BB108" s="118"/>
      <c r="BC108" s="3">
        <v>89</v>
      </c>
      <c r="BD108" s="1593" t="str">
        <f>IF(AND($W$9=1,Courses!M102&lt;0), "Row "&amp;Courses!$A102&amp;", "&amp;BD$9&amp;", "&amp;BD$10&amp;", "&amp;BD$11&amp;"; ","")</f>
        <v/>
      </c>
      <c r="BE108" t="str">
        <f>IF(AND($W$9=1,Courses!N102&lt;0), "Row "&amp;Courses!$A102&amp;", "&amp;BE$9&amp;", "&amp;BE$10&amp;", "&amp;BE$11&amp;"; ","")</f>
        <v/>
      </c>
      <c r="BF108" t="str">
        <f>IF(AND($W$9=1,Courses!O102&lt;0), "Row "&amp;Courses!$A102&amp;", "&amp;BF$9&amp;", "&amp;BF$10&amp;", "&amp;BF$11&amp;"; ","")</f>
        <v/>
      </c>
      <c r="BG108" t="str">
        <f>IF(AND($W$9=1,Courses!P102&lt;0), "Row "&amp;Courses!$A102&amp;", "&amp;BG$9&amp;", "&amp;BG$10&amp;", "&amp;BG$11&amp;"; ","")</f>
        <v/>
      </c>
      <c r="BH108" s="2120" t="str">
        <f>IF(AND($W$9=1,Courses!Q102&lt;0), "Row "&amp;Courses!$A102&amp;", "&amp;BH$9&amp;", "&amp;BH$10&amp;"; ","")</f>
        <v/>
      </c>
      <c r="BI108" s="1593" t="str">
        <f>IF(AND($W$9=1,Courses!R102&lt;0), "Row "&amp;Courses!$A102&amp;", "&amp;BI$9&amp;", "&amp;BI$10&amp;", "&amp;BI$11&amp;"; ","")</f>
        <v/>
      </c>
      <c r="BJ108" t="str">
        <f>IF(AND($W$9=1,Courses!S102&lt;0), "Row "&amp;Courses!$A102&amp;", "&amp;BJ$9&amp;", "&amp;BJ$10&amp;", "&amp;BJ$11&amp;"; ","")</f>
        <v/>
      </c>
      <c r="BK108" t="str">
        <f>IF(AND($W$9=1,Courses!T102&lt;0), "Row "&amp;Courses!$A102&amp;", "&amp;BK$9&amp;", "&amp;BK$10&amp;", "&amp;BK$11&amp;"; ","")</f>
        <v/>
      </c>
      <c r="BL108" t="str">
        <f>IF(AND($W$9=1,Courses!U102&lt;0), "Row "&amp;Courses!$A102&amp;", "&amp;BL$9&amp;", "&amp;BL$10&amp;", "&amp;BL$11&amp;"; ","")</f>
        <v/>
      </c>
      <c r="BM108" s="2120" t="str">
        <f>IF(AND($W$9=1,Courses!V102&lt;0), "Row "&amp;Courses!$A102&amp;", "&amp;BM$9&amp;", "&amp;BM$10&amp;"; ","")</f>
        <v/>
      </c>
      <c r="BN108" s="1593" t="str">
        <f>IF(AND($W$9=1,Courses!W102&lt;0), "Row "&amp;Courses!$A102&amp;", "&amp;BN$9&amp;", "&amp;BN$10&amp;", "&amp;BN$11&amp;"; ","")</f>
        <v/>
      </c>
      <c r="BO108" t="str">
        <f>IF(AND($W$9=1,Courses!X102&lt;0), "Row "&amp;Courses!$A102&amp;", "&amp;BO$9&amp;", "&amp;BO$10&amp;", "&amp;BO$11&amp;"; ","")</f>
        <v/>
      </c>
      <c r="BP108" t="str">
        <f>IF(AND($W$9=1,Courses!Y102&lt;0), "Row "&amp;Courses!$A102&amp;", "&amp;BP$9&amp;", "&amp;BP$10&amp;", "&amp;BP$11&amp;"; ","")</f>
        <v/>
      </c>
      <c r="BQ108" t="str">
        <f>IF(AND($W$9=1,Courses!Z102&lt;0), "Row "&amp;Courses!$A102&amp;", "&amp;BQ$9&amp;", "&amp;BQ$10&amp;", "&amp;BQ$11&amp;"; ","")</f>
        <v/>
      </c>
      <c r="BR108" s="2120" t="str">
        <f>IF(AND($W$9=1,Courses!AA102&lt;0), "Row "&amp;Courses!$A102&amp;", "&amp;BR$9&amp;", "&amp;BR$10&amp;"; ","")</f>
        <v/>
      </c>
      <c r="BT108" s="40">
        <v>89</v>
      </c>
      <c r="BU108" s="40">
        <f>IF(AND($X$9=1,Courses!B102="",Courses!F102="",Courses!H102="",Courses!J102="",Courses!K102="",Courses!L102="",Courses!M102=0,Courses!N102=0,Courses!O102=0,Courses!P102=0,Courses!Q102=0,Courses!R102=0,Courses!S102=0,Courses!T102=0,Courses!U102=0,Courses!V102=0,Courses!W102=0,Courses!X102=0,Courses!Y102=0,Courses!Z102=0,Courses!AA102=0),0,1)</f>
        <v>0</v>
      </c>
      <c r="BV108" s="40">
        <f>IF(AND(BU108=0,SUM(BU109:$BU$219)&gt;0),1,0)</f>
        <v>0</v>
      </c>
      <c r="BW108" s="1595" t="str">
        <f>IF(BV108=1,"Row "&amp;Courses!A102&amp;"; ","")</f>
        <v/>
      </c>
      <c r="BX108" s="17"/>
      <c r="BZ108" s="1592" t="str">
        <f>IF(AND($Y$9=1,Courses!B102&lt;&gt;"",SUM(Courses!M102:AA102)=0),"Row "&amp;Courses!A102&amp;"; ","")</f>
        <v/>
      </c>
      <c r="CA108" s="17"/>
      <c r="CC108" s="1592" t="str">
        <f>IF(AND($Z$9=1,Courses!AD102=1,(LEN(Courses!AB102)&gt;200)),"Row "&amp;Courses!A102&amp;"; ","")</f>
        <v/>
      </c>
      <c r="CE108" s="131"/>
      <c r="CG108" s="1593" t="str">
        <f>IF(AND($AD$9=1,Courses!E102&lt;&gt;"",Courses!F102&lt;&gt;"",Courses!F102=0,SUM(Courses!H102,Courses!J102)=1),"Row "&amp;Courses!A102&amp;", "&amp;Courses!$F$10&amp;"; ","")</f>
        <v/>
      </c>
      <c r="CH108" t="str">
        <f>IF(AND($AD$9=1,Courses!G102&lt;&gt;"",Courses!H102&lt;&gt;"",Courses!H102=0,SUM(Courses!J102,Courses!F102)=1),"Row "&amp;Courses!A102&amp;", "&amp;Courses!$H$10&amp;"; ","")</f>
        <v/>
      </c>
      <c r="CI108" s="183" t="str">
        <f>IF(AND($AD$9=1,Courses!I102&lt;&gt;"",Courses!J102&lt;&gt;"",Courses!J102=0, SUM(Courses!H102,Courses!F102)=1),"Row "&amp;Courses!A102&amp;", "&amp;Courses!$J$10&amp;"; ","")</f>
        <v/>
      </c>
      <c r="CJ108" s="180"/>
      <c r="CK108" s="181"/>
      <c r="CL108" s="1592" t="str">
        <f>IF(AND(Courses!B102&lt;&gt;"",ISNA(VLOOKUP(Courses!C102,CourseInfo,2,FALSE))=FALSE,COUNTIF(Dummy,Courses!C102)&lt;&gt;1),VLOOKUP(Courses!C102,CourseInfo,6,FALSE),"")</f>
        <v/>
      </c>
      <c r="CM108" s="1592" t="str">
        <f>IF(AND($AE$9=1,Courses!B102&lt;&gt;"",'Courses Valid'!AG108="",COUNTIF(Dummy,Courses!C102)&lt;&gt;1),IF(Courses!K102&lt;&gt;'Courses Valid'!CL108,"Row "&amp;Courses!A102&amp;", Level on LARS is "&amp;'Courses Valid'!CL108&amp;"; ",""),"")</f>
        <v/>
      </c>
      <c r="CN108" s="131"/>
    </row>
    <row r="109" spans="3:92" x14ac:dyDescent="0.35">
      <c r="C109" s="1591">
        <f t="shared" si="3"/>
        <v>0</v>
      </c>
      <c r="D109" s="41"/>
      <c r="E109" s="41"/>
      <c r="F109" s="118"/>
      <c r="G109" s="1592" t="str">
        <f>IF(SUMPRODUCT(--(CourseAims=Courses!$C103))=1,"",IF(AND($N$9=1,Courses!$C103&lt;&gt;""),"Row "&amp;Courses!A103&amp;" (invalid); ",""))</f>
        <v/>
      </c>
      <c r="H109" s="1592" t="str">
        <f>IF(AND($O$9=1,Courses!B103="",OR(Courses!F103&lt;&gt;"",Courses!H103&lt;&gt;"",Courses!J103&lt;&gt;"",Courses!K103&lt;&gt;"",Courses!L103&lt;&gt;"",Courses!M103&lt;&gt;0,Courses!N103&lt;&gt;0,Courses!O103&lt;&gt;0,Courses!P103&lt;&gt;0,Courses!Q103&lt;&gt;0,Courses!R103&lt;&gt;0,Courses!S103&lt;&gt;0,Courses!T103&lt;&gt;0,Courses!U103&lt;&gt;0,Courses!V103&lt;&gt;0,Courses!W103&lt;&gt;0,Courses!X103&lt;&gt;0,Courses!Y103&lt;&gt;0,Courses!Z103&lt;&gt;0,Courses!AA103&lt;&gt;0)),"Row "&amp;Courses!A103&amp;" (none); ","")</f>
        <v/>
      </c>
      <c r="I109" s="17"/>
      <c r="K109" s="1592" t="str">
        <f>Courses!B103&amp;Courses!K103&amp;Courses!L103</f>
        <v/>
      </c>
      <c r="L109" s="1592" t="str">
        <f>IF(AND($P$9=1,Courses!$B103&lt;&gt;"",COUNTIF(Dummy,Courses!$C103)&lt;&gt;1),IF(SUMPRODUCT(--($K$20:$K$219=$K109))&gt;1,"Row "&amp;Courses!$A103&amp;"; ",""),"")</f>
        <v/>
      </c>
      <c r="N109" s="118"/>
      <c r="O109" s="1593" t="str">
        <f>IF(AND($Q$9=1,Courses!E103&lt;&gt;"",Courses!F103=""),"Row "&amp;Courses!A103&amp;", "&amp;Courses!$E$10&amp;"; ","")</f>
        <v/>
      </c>
      <c r="P109" t="str">
        <f>IF(AND($Q$9=1,Courses!G103&lt;&gt;"",Courses!H103=""),"Row "&amp;Courses!A103&amp;", "&amp;Courses!$G$10&amp;"; ","")</f>
        <v/>
      </c>
      <c r="Q109" s="183" t="str">
        <f>IF(AND($Q$9=1,Courses!I103&lt;&gt;"",Courses!J103=""),"Row "&amp;Courses!A103&amp;", "&amp;Courses!$I$10&amp;"; ","")</f>
        <v/>
      </c>
      <c r="S109" s="17"/>
      <c r="T109" s="118"/>
      <c r="U109" s="1594" t="str">
        <f>IF(AND($R$9=1,Courses!B103&lt;&gt;"",Courses!E103&lt;&gt;"",Courses!G103="",Courses!I103="",Courses!F103&lt;&gt;1),"Row "&amp;Courses!A103&amp;"; ","")</f>
        <v/>
      </c>
      <c r="V109" t="str">
        <f>IF(AND($R$9=1,Courses!B103&lt;&gt;"",Courses!I103="",Courses!F103&lt;&gt;"",Courses!G103&lt;&gt;"",Courses!H103&lt;&gt;""),IF(OR((Courses!F103+Courses!H103)&lt;&gt;1),"Row "&amp;Courses!A103&amp;"; ",""),"")</f>
        <v/>
      </c>
      <c r="W109" s="183" t="str">
        <f>IF(AND($R$9=1,Courses!B103&lt;&gt;"",Courses!I103&lt;&gt;"",Courses!J103&lt;&gt;"",Courses!H103&lt;&gt;"",Courses!G103&lt;&gt;"",Courses!F103&lt;&gt;""),IF(OR((Courses!F103+Courses!H103+Courses!J103)&lt;&gt;1),"Row "&amp;Courses!A103&amp;"; ",""),"")</f>
        <v/>
      </c>
      <c r="Y109" s="1592" t="str">
        <f>IF(AND($R$9=1,Courses!E103&lt;&gt;"",U109="",V109="",W109="",SUM(Courses!F103,Courses!H103,Courses!J103)&lt;&gt;1),"Row "&amp;Courses!A103&amp;"; ","")</f>
        <v/>
      </c>
      <c r="Z109" s="17"/>
      <c r="AB109" s="1593" t="str">
        <f>IF(AND($S$9=1,Courses!B103&lt;&gt;"",Courses!E103&lt;&gt;"",Courses!F103&lt;&gt;""),IF((TRUNC(Courses!F103*100)&lt;&gt;Courses!F103*100),"Row "&amp;Courses!A103&amp;", "&amp;Courses!$F$10&amp;"; ",""),"")</f>
        <v/>
      </c>
      <c r="AC109" t="str">
        <f>IF(AND($S$9=1,Courses!B103&lt;&gt;"",Courses!G103&lt;&gt;"",Courses!H103&lt;&gt;""),IF((TRUNC(Courses!H103*100)&lt;&gt;Courses!H103*100),"Row "&amp;Courses!A103&amp;", "&amp;Courses!$H$10&amp;"; ",""),"")</f>
        <v/>
      </c>
      <c r="AD109" s="183" t="str">
        <f>IF(AND($S$9=1,Courses!B103&lt;&gt;"",Courses!I103&lt;&gt;"",Courses!J103&lt;&gt;""),IF((TRUNC(Courses!J103*100)&lt;&gt;Courses!J103*100),"Row "&amp;Courses!A103&amp;", "&amp;Courses!$J$10&amp;"; ",""),"")</f>
        <v/>
      </c>
      <c r="AF109" s="118"/>
      <c r="AG109" s="1592" t="str">
        <f>IF(AND($T$9=1,G109="",Courses!B103&lt;&gt;"",Courses!K103&lt;&gt;$B$9,Courses!K103&lt;&gt;$B$10,Courses!K103&lt;&gt;$B$11,Courses!K103&lt;&gt;$B$12,Courses!K103&lt;&gt;$B$13,Courses!K103&lt;&gt;$B$14),"Row "&amp;Courses!A103&amp;"; ","")</f>
        <v/>
      </c>
      <c r="AH109" s="1592" t="str">
        <f>IF(AND($U$9=1,G109="",Courses!B103&lt;&gt;"",Courses!L103&lt;&gt;"Standard",Courses!L103&lt;&gt;"Long"),"Row "&amp;Courses!A103&amp;"; ","")</f>
        <v/>
      </c>
      <c r="AJ109" s="118"/>
      <c r="AK109" s="3">
        <v>90</v>
      </c>
      <c r="AL109" s="1593" t="str">
        <f>IF(AND($V$9=1,(TRUNC(Courses!M103)&lt;&gt;Courses!M103)), "Row "&amp;Courses!$A103&amp;", "&amp;AL$9&amp;", "&amp;AL$10&amp;", "&amp;AL$11&amp;"; ","")</f>
        <v/>
      </c>
      <c r="AM109" t="str">
        <f>IF(AND($V$9=1,(TRUNC(Courses!N103)&lt;&gt;Courses!N103)), "Row "&amp;Courses!$A103&amp;", "&amp;AM$9&amp;", "&amp;AM$10&amp;", "&amp;AM$11&amp;"; ","")</f>
        <v/>
      </c>
      <c r="AN109" t="str">
        <f>IF(AND($V$9=1,(TRUNC(Courses!O103)&lt;&gt;Courses!O103)), "Row "&amp;Courses!$A103&amp;", "&amp;AN$9&amp;", "&amp;AN$10&amp;", "&amp;AN$11&amp;"; ","")</f>
        <v/>
      </c>
      <c r="AO109" t="str">
        <f>IF(AND($V$9=1,(TRUNC(Courses!P103)&lt;&gt;Courses!P103)), "Row "&amp;Courses!$A103&amp;", "&amp;AO$9&amp;", "&amp;AO$10&amp;", "&amp;AO$11&amp;"; ","")</f>
        <v/>
      </c>
      <c r="AP109" s="2120" t="str">
        <f>IF(AND($V$9=1,(TRUNC(Courses!Q103)&lt;&gt;Courses!Q103)), "Row "&amp;Courses!$A103&amp;", "&amp;AP$9&amp;", "&amp;AP$10&amp;"; ","")</f>
        <v/>
      </c>
      <c r="AQ109" s="1593" t="str">
        <f>IF(AND($V$9=1,(TRUNC(Courses!R103)&lt;&gt;Courses!R103)), "Row "&amp;Courses!$A103&amp;", "&amp;AQ$9&amp;", "&amp;AQ$10&amp;", "&amp;AQ$11&amp;"; ","")</f>
        <v/>
      </c>
      <c r="AR109" t="str">
        <f>IF(AND($V$9=1,(TRUNC(Courses!S103)&lt;&gt;Courses!S103)), "Row "&amp;Courses!$A103&amp;", "&amp;AR$9&amp;", "&amp;AR$10&amp;", "&amp;AR$11&amp;"; ","")</f>
        <v/>
      </c>
      <c r="AS109" t="str">
        <f>IF(AND($V$9=1,(TRUNC(Courses!T103)&lt;&gt;Courses!T103)), "Row "&amp;Courses!$A103&amp;", "&amp;AS$9&amp;", "&amp;AS$10&amp;", "&amp;AS$11&amp;"; ","")</f>
        <v/>
      </c>
      <c r="AT109" t="str">
        <f>IF(AND($V$9=1,(TRUNC(Courses!U103)&lt;&gt;Courses!U103)), "Row "&amp;Courses!$A103&amp;", "&amp;AT$9&amp;", "&amp;AT$10&amp;", "&amp;AT$11&amp;"; ","")</f>
        <v/>
      </c>
      <c r="AU109" s="2120" t="str">
        <f>IF(AND($V$9=1,(TRUNC(Courses!V103)&lt;&gt;Courses!V103)), "Row "&amp;Courses!$A103&amp;", "&amp;AU$9&amp;", "&amp;AU$10&amp;"; ","")</f>
        <v/>
      </c>
      <c r="AV109" s="1593" t="str">
        <f>IF(AND($V$9=1,(TRUNC(Courses!W103)&lt;&gt;Courses!W103)), "Row "&amp;Courses!$A103&amp;", "&amp;AV$9&amp;", "&amp;AV$10&amp;", "&amp;AV$11&amp;"; ","")</f>
        <v/>
      </c>
      <c r="AW109" t="str">
        <f>IF(AND($V$9=1,(TRUNC(Courses!X103)&lt;&gt;Courses!X103)), "Row "&amp;Courses!$A103&amp;", "&amp;AW$9&amp;", "&amp;AW$10&amp;", "&amp;AW$11&amp;"; ","")</f>
        <v/>
      </c>
      <c r="AX109" t="str">
        <f>IF(AND($V$9=1,(TRUNC(Courses!Y103)&lt;&gt;Courses!Y103)), "Row "&amp;Courses!$A103&amp;", "&amp;AX$9&amp;", "&amp;AX$10&amp;", "&amp;AX$11&amp;"; ","")</f>
        <v/>
      </c>
      <c r="AY109" t="str">
        <f>IF(AND($V$9=1,(TRUNC(Courses!Z103)&lt;&gt;Courses!Z103)), "Row "&amp;Courses!$A103&amp;", "&amp;AY$9&amp;", "&amp;AY$10&amp;", "&amp;AY$11&amp;"; ","")</f>
        <v/>
      </c>
      <c r="AZ109" s="2120" t="str">
        <f>IF(AND($V$9=1,(TRUNC(Courses!AA103)&lt;&gt;Courses!AA103)), "Row "&amp;Courses!$A103&amp;", "&amp;AZ$9&amp;", "&amp;AZ$10&amp;"; ","")</f>
        <v/>
      </c>
      <c r="BB109" s="118"/>
      <c r="BC109" s="3">
        <v>90</v>
      </c>
      <c r="BD109" s="1593" t="str">
        <f>IF(AND($W$9=1,Courses!M103&lt;0), "Row "&amp;Courses!$A103&amp;", "&amp;BD$9&amp;", "&amp;BD$10&amp;", "&amp;BD$11&amp;"; ","")</f>
        <v/>
      </c>
      <c r="BE109" t="str">
        <f>IF(AND($W$9=1,Courses!N103&lt;0), "Row "&amp;Courses!$A103&amp;", "&amp;BE$9&amp;", "&amp;BE$10&amp;", "&amp;BE$11&amp;"; ","")</f>
        <v/>
      </c>
      <c r="BF109" t="str">
        <f>IF(AND($W$9=1,Courses!O103&lt;0), "Row "&amp;Courses!$A103&amp;", "&amp;BF$9&amp;", "&amp;BF$10&amp;", "&amp;BF$11&amp;"; ","")</f>
        <v/>
      </c>
      <c r="BG109" t="str">
        <f>IF(AND($W$9=1,Courses!P103&lt;0), "Row "&amp;Courses!$A103&amp;", "&amp;BG$9&amp;", "&amp;BG$10&amp;", "&amp;BG$11&amp;"; ","")</f>
        <v/>
      </c>
      <c r="BH109" s="2120" t="str">
        <f>IF(AND($W$9=1,Courses!Q103&lt;0), "Row "&amp;Courses!$A103&amp;", "&amp;BH$9&amp;", "&amp;BH$10&amp;"; ","")</f>
        <v/>
      </c>
      <c r="BI109" s="1593" t="str">
        <f>IF(AND($W$9=1,Courses!R103&lt;0), "Row "&amp;Courses!$A103&amp;", "&amp;BI$9&amp;", "&amp;BI$10&amp;", "&amp;BI$11&amp;"; ","")</f>
        <v/>
      </c>
      <c r="BJ109" t="str">
        <f>IF(AND($W$9=1,Courses!S103&lt;0), "Row "&amp;Courses!$A103&amp;", "&amp;BJ$9&amp;", "&amp;BJ$10&amp;", "&amp;BJ$11&amp;"; ","")</f>
        <v/>
      </c>
      <c r="BK109" t="str">
        <f>IF(AND($W$9=1,Courses!T103&lt;0), "Row "&amp;Courses!$A103&amp;", "&amp;BK$9&amp;", "&amp;BK$10&amp;", "&amp;BK$11&amp;"; ","")</f>
        <v/>
      </c>
      <c r="BL109" t="str">
        <f>IF(AND($W$9=1,Courses!U103&lt;0), "Row "&amp;Courses!$A103&amp;", "&amp;BL$9&amp;", "&amp;BL$10&amp;", "&amp;BL$11&amp;"; ","")</f>
        <v/>
      </c>
      <c r="BM109" s="2120" t="str">
        <f>IF(AND($W$9=1,Courses!V103&lt;0), "Row "&amp;Courses!$A103&amp;", "&amp;BM$9&amp;", "&amp;BM$10&amp;"; ","")</f>
        <v/>
      </c>
      <c r="BN109" s="1593" t="str">
        <f>IF(AND($W$9=1,Courses!W103&lt;0), "Row "&amp;Courses!$A103&amp;", "&amp;BN$9&amp;", "&amp;BN$10&amp;", "&amp;BN$11&amp;"; ","")</f>
        <v/>
      </c>
      <c r="BO109" t="str">
        <f>IF(AND($W$9=1,Courses!X103&lt;0), "Row "&amp;Courses!$A103&amp;", "&amp;BO$9&amp;", "&amp;BO$10&amp;", "&amp;BO$11&amp;"; ","")</f>
        <v/>
      </c>
      <c r="BP109" t="str">
        <f>IF(AND($W$9=1,Courses!Y103&lt;0), "Row "&amp;Courses!$A103&amp;", "&amp;BP$9&amp;", "&amp;BP$10&amp;", "&amp;BP$11&amp;"; ","")</f>
        <v/>
      </c>
      <c r="BQ109" t="str">
        <f>IF(AND($W$9=1,Courses!Z103&lt;0), "Row "&amp;Courses!$A103&amp;", "&amp;BQ$9&amp;", "&amp;BQ$10&amp;", "&amp;BQ$11&amp;"; ","")</f>
        <v/>
      </c>
      <c r="BR109" s="2120" t="str">
        <f>IF(AND($W$9=1,Courses!AA103&lt;0), "Row "&amp;Courses!$A103&amp;", "&amp;BR$9&amp;", "&amp;BR$10&amp;"; ","")</f>
        <v/>
      </c>
      <c r="BT109" s="40">
        <v>90</v>
      </c>
      <c r="BU109" s="40">
        <f>IF(AND($X$9=1,Courses!B103="",Courses!F103="",Courses!H103="",Courses!J103="",Courses!K103="",Courses!L103="",Courses!M103=0,Courses!N103=0,Courses!O103=0,Courses!P103=0,Courses!Q103=0,Courses!R103=0,Courses!S103=0,Courses!T103=0,Courses!U103=0,Courses!V103=0,Courses!W103=0,Courses!X103=0,Courses!Y103=0,Courses!Z103=0,Courses!AA103=0),0,1)</f>
        <v>0</v>
      </c>
      <c r="BV109" s="40">
        <f>IF(AND(BU109=0,SUM(BU110:$BU$219)&gt;0),1,0)</f>
        <v>0</v>
      </c>
      <c r="BW109" s="1595" t="str">
        <f>IF(BV109=1,"Row "&amp;Courses!A103&amp;"; ","")</f>
        <v/>
      </c>
      <c r="BX109" s="17"/>
      <c r="BZ109" s="1592" t="str">
        <f>IF(AND($Y$9=1,Courses!B103&lt;&gt;"",SUM(Courses!M103:AA103)=0),"Row "&amp;Courses!A103&amp;"; ","")</f>
        <v/>
      </c>
      <c r="CA109" s="17"/>
      <c r="CC109" s="1592" t="str">
        <f>IF(AND($Z$9=1,Courses!AD103=1,(LEN(Courses!AB103)&gt;200)),"Row "&amp;Courses!A103&amp;"; ","")</f>
        <v/>
      </c>
      <c r="CE109" s="131"/>
      <c r="CG109" s="1593" t="str">
        <f>IF(AND($AD$9=1,Courses!E103&lt;&gt;"",Courses!F103&lt;&gt;"",Courses!F103=0,SUM(Courses!H103,Courses!J103)=1),"Row "&amp;Courses!A103&amp;", "&amp;Courses!$F$10&amp;"; ","")</f>
        <v/>
      </c>
      <c r="CH109" t="str">
        <f>IF(AND($AD$9=1,Courses!G103&lt;&gt;"",Courses!H103&lt;&gt;"",Courses!H103=0,SUM(Courses!J103,Courses!F103)=1),"Row "&amp;Courses!A103&amp;", "&amp;Courses!$H$10&amp;"; ","")</f>
        <v/>
      </c>
      <c r="CI109" s="183" t="str">
        <f>IF(AND($AD$9=1,Courses!I103&lt;&gt;"",Courses!J103&lt;&gt;"",Courses!J103=0, SUM(Courses!H103,Courses!F103)=1),"Row "&amp;Courses!A103&amp;", "&amp;Courses!$J$10&amp;"; ","")</f>
        <v/>
      </c>
      <c r="CJ109" s="180"/>
      <c r="CK109" s="181"/>
      <c r="CL109" s="1592" t="str">
        <f>IF(AND(Courses!B103&lt;&gt;"",ISNA(VLOOKUP(Courses!C103,CourseInfo,2,FALSE))=FALSE,COUNTIF(Dummy,Courses!C103)&lt;&gt;1),VLOOKUP(Courses!C103,CourseInfo,6,FALSE),"")</f>
        <v/>
      </c>
      <c r="CM109" s="1592" t="str">
        <f>IF(AND($AE$9=1,Courses!B103&lt;&gt;"",'Courses Valid'!AG109="",COUNTIF(Dummy,Courses!C103)&lt;&gt;1),IF(Courses!K103&lt;&gt;'Courses Valid'!CL109,"Row "&amp;Courses!A103&amp;", Level on LARS is "&amp;'Courses Valid'!CL109&amp;"; ",""),"")</f>
        <v/>
      </c>
      <c r="CN109" s="131"/>
    </row>
    <row r="110" spans="3:92" x14ac:dyDescent="0.35">
      <c r="C110" s="1591">
        <f t="shared" si="3"/>
        <v>0</v>
      </c>
      <c r="D110" s="41"/>
      <c r="E110" s="41"/>
      <c r="F110" s="118"/>
      <c r="G110" s="1592" t="str">
        <f>IF(SUMPRODUCT(--(CourseAims=Courses!$C104))=1,"",IF(AND($N$9=1,Courses!$C104&lt;&gt;""),"Row "&amp;Courses!A104&amp;" (invalid); ",""))</f>
        <v/>
      </c>
      <c r="H110" s="1592" t="str">
        <f>IF(AND($O$9=1,Courses!B104="",OR(Courses!F104&lt;&gt;"",Courses!H104&lt;&gt;"",Courses!J104&lt;&gt;"",Courses!K104&lt;&gt;"",Courses!L104&lt;&gt;"",Courses!M104&lt;&gt;0,Courses!N104&lt;&gt;0,Courses!O104&lt;&gt;0,Courses!P104&lt;&gt;0,Courses!Q104&lt;&gt;0,Courses!R104&lt;&gt;0,Courses!S104&lt;&gt;0,Courses!T104&lt;&gt;0,Courses!U104&lt;&gt;0,Courses!V104&lt;&gt;0,Courses!W104&lt;&gt;0,Courses!X104&lt;&gt;0,Courses!Y104&lt;&gt;0,Courses!Z104&lt;&gt;0,Courses!AA104&lt;&gt;0)),"Row "&amp;Courses!A104&amp;" (none); ","")</f>
        <v/>
      </c>
      <c r="I110" s="17"/>
      <c r="K110" s="1592" t="str">
        <f>Courses!B104&amp;Courses!K104&amp;Courses!L104</f>
        <v/>
      </c>
      <c r="L110" s="1592" t="str">
        <f>IF(AND($P$9=1,Courses!$B104&lt;&gt;"",COUNTIF(Dummy,Courses!$C104)&lt;&gt;1),IF(SUMPRODUCT(--($K$20:$K$219=$K110))&gt;1,"Row "&amp;Courses!$A104&amp;"; ",""),"")</f>
        <v/>
      </c>
      <c r="N110" s="118"/>
      <c r="O110" s="1593" t="str">
        <f>IF(AND($Q$9=1,Courses!E104&lt;&gt;"",Courses!F104=""),"Row "&amp;Courses!A104&amp;", "&amp;Courses!$E$10&amp;"; ","")</f>
        <v/>
      </c>
      <c r="P110" t="str">
        <f>IF(AND($Q$9=1,Courses!G104&lt;&gt;"",Courses!H104=""),"Row "&amp;Courses!A104&amp;", "&amp;Courses!$G$10&amp;"; ","")</f>
        <v/>
      </c>
      <c r="Q110" s="183" t="str">
        <f>IF(AND($Q$9=1,Courses!I104&lt;&gt;"",Courses!J104=""),"Row "&amp;Courses!A104&amp;", "&amp;Courses!$I$10&amp;"; ","")</f>
        <v/>
      </c>
      <c r="S110" s="17"/>
      <c r="T110" s="118"/>
      <c r="U110" s="1594" t="str">
        <f>IF(AND($R$9=1,Courses!B104&lt;&gt;"",Courses!E104&lt;&gt;"",Courses!G104="",Courses!I104="",Courses!F104&lt;&gt;1),"Row "&amp;Courses!A104&amp;"; ","")</f>
        <v/>
      </c>
      <c r="V110" t="str">
        <f>IF(AND($R$9=1,Courses!B104&lt;&gt;"",Courses!I104="",Courses!F104&lt;&gt;"",Courses!G104&lt;&gt;"",Courses!H104&lt;&gt;""),IF(OR((Courses!F104+Courses!H104)&lt;&gt;1),"Row "&amp;Courses!A104&amp;"; ",""),"")</f>
        <v/>
      </c>
      <c r="W110" s="183" t="str">
        <f>IF(AND($R$9=1,Courses!B104&lt;&gt;"",Courses!I104&lt;&gt;"",Courses!J104&lt;&gt;"",Courses!H104&lt;&gt;"",Courses!G104&lt;&gt;"",Courses!F104&lt;&gt;""),IF(OR((Courses!F104+Courses!H104+Courses!J104)&lt;&gt;1),"Row "&amp;Courses!A104&amp;"; ",""),"")</f>
        <v/>
      </c>
      <c r="Y110" s="1592" t="str">
        <f>IF(AND($R$9=1,Courses!E104&lt;&gt;"",U110="",V110="",W110="",SUM(Courses!F104,Courses!H104,Courses!J104)&lt;&gt;1),"Row "&amp;Courses!A104&amp;"; ","")</f>
        <v/>
      </c>
      <c r="Z110" s="17"/>
      <c r="AB110" s="1593" t="str">
        <f>IF(AND($S$9=1,Courses!B104&lt;&gt;"",Courses!E104&lt;&gt;"",Courses!F104&lt;&gt;""),IF((TRUNC(Courses!F104*100)&lt;&gt;Courses!F104*100),"Row "&amp;Courses!A104&amp;", "&amp;Courses!$F$10&amp;"; ",""),"")</f>
        <v/>
      </c>
      <c r="AC110" t="str">
        <f>IF(AND($S$9=1,Courses!B104&lt;&gt;"",Courses!G104&lt;&gt;"",Courses!H104&lt;&gt;""),IF((TRUNC(Courses!H104*100)&lt;&gt;Courses!H104*100),"Row "&amp;Courses!A104&amp;", "&amp;Courses!$H$10&amp;"; ",""),"")</f>
        <v/>
      </c>
      <c r="AD110" s="183" t="str">
        <f>IF(AND($S$9=1,Courses!B104&lt;&gt;"",Courses!I104&lt;&gt;"",Courses!J104&lt;&gt;""),IF((TRUNC(Courses!J104*100)&lt;&gt;Courses!J104*100),"Row "&amp;Courses!A104&amp;", "&amp;Courses!$J$10&amp;"; ",""),"")</f>
        <v/>
      </c>
      <c r="AF110" s="118"/>
      <c r="AG110" s="1592" t="str">
        <f>IF(AND($T$9=1,G110="",Courses!B104&lt;&gt;"",Courses!K104&lt;&gt;$B$9,Courses!K104&lt;&gt;$B$10,Courses!K104&lt;&gt;$B$11,Courses!K104&lt;&gt;$B$12,Courses!K104&lt;&gt;$B$13,Courses!K104&lt;&gt;$B$14),"Row "&amp;Courses!A104&amp;"; ","")</f>
        <v/>
      </c>
      <c r="AH110" s="1592" t="str">
        <f>IF(AND($U$9=1,G110="",Courses!B104&lt;&gt;"",Courses!L104&lt;&gt;"Standard",Courses!L104&lt;&gt;"Long"),"Row "&amp;Courses!A104&amp;"; ","")</f>
        <v/>
      </c>
      <c r="AJ110" s="118"/>
      <c r="AK110" s="3">
        <v>91</v>
      </c>
      <c r="AL110" s="1593" t="str">
        <f>IF(AND($V$9=1,(TRUNC(Courses!M104)&lt;&gt;Courses!M104)), "Row "&amp;Courses!$A104&amp;", "&amp;AL$9&amp;", "&amp;AL$10&amp;", "&amp;AL$11&amp;"; ","")</f>
        <v/>
      </c>
      <c r="AM110" t="str">
        <f>IF(AND($V$9=1,(TRUNC(Courses!N104)&lt;&gt;Courses!N104)), "Row "&amp;Courses!$A104&amp;", "&amp;AM$9&amp;", "&amp;AM$10&amp;", "&amp;AM$11&amp;"; ","")</f>
        <v/>
      </c>
      <c r="AN110" t="str">
        <f>IF(AND($V$9=1,(TRUNC(Courses!O104)&lt;&gt;Courses!O104)), "Row "&amp;Courses!$A104&amp;", "&amp;AN$9&amp;", "&amp;AN$10&amp;", "&amp;AN$11&amp;"; ","")</f>
        <v/>
      </c>
      <c r="AO110" t="str">
        <f>IF(AND($V$9=1,(TRUNC(Courses!P104)&lt;&gt;Courses!P104)), "Row "&amp;Courses!$A104&amp;", "&amp;AO$9&amp;", "&amp;AO$10&amp;", "&amp;AO$11&amp;"; ","")</f>
        <v/>
      </c>
      <c r="AP110" s="2120" t="str">
        <f>IF(AND($V$9=1,(TRUNC(Courses!Q104)&lt;&gt;Courses!Q104)), "Row "&amp;Courses!$A104&amp;", "&amp;AP$9&amp;", "&amp;AP$10&amp;"; ","")</f>
        <v/>
      </c>
      <c r="AQ110" s="1593" t="str">
        <f>IF(AND($V$9=1,(TRUNC(Courses!R104)&lt;&gt;Courses!R104)), "Row "&amp;Courses!$A104&amp;", "&amp;AQ$9&amp;", "&amp;AQ$10&amp;", "&amp;AQ$11&amp;"; ","")</f>
        <v/>
      </c>
      <c r="AR110" t="str">
        <f>IF(AND($V$9=1,(TRUNC(Courses!S104)&lt;&gt;Courses!S104)), "Row "&amp;Courses!$A104&amp;", "&amp;AR$9&amp;", "&amp;AR$10&amp;", "&amp;AR$11&amp;"; ","")</f>
        <v/>
      </c>
      <c r="AS110" t="str">
        <f>IF(AND($V$9=1,(TRUNC(Courses!T104)&lt;&gt;Courses!T104)), "Row "&amp;Courses!$A104&amp;", "&amp;AS$9&amp;", "&amp;AS$10&amp;", "&amp;AS$11&amp;"; ","")</f>
        <v/>
      </c>
      <c r="AT110" t="str">
        <f>IF(AND($V$9=1,(TRUNC(Courses!U104)&lt;&gt;Courses!U104)), "Row "&amp;Courses!$A104&amp;", "&amp;AT$9&amp;", "&amp;AT$10&amp;", "&amp;AT$11&amp;"; ","")</f>
        <v/>
      </c>
      <c r="AU110" s="2120" t="str">
        <f>IF(AND($V$9=1,(TRUNC(Courses!V104)&lt;&gt;Courses!V104)), "Row "&amp;Courses!$A104&amp;", "&amp;AU$9&amp;", "&amp;AU$10&amp;"; ","")</f>
        <v/>
      </c>
      <c r="AV110" s="1593" t="str">
        <f>IF(AND($V$9=1,(TRUNC(Courses!W104)&lt;&gt;Courses!W104)), "Row "&amp;Courses!$A104&amp;", "&amp;AV$9&amp;", "&amp;AV$10&amp;", "&amp;AV$11&amp;"; ","")</f>
        <v/>
      </c>
      <c r="AW110" t="str">
        <f>IF(AND($V$9=1,(TRUNC(Courses!X104)&lt;&gt;Courses!X104)), "Row "&amp;Courses!$A104&amp;", "&amp;AW$9&amp;", "&amp;AW$10&amp;", "&amp;AW$11&amp;"; ","")</f>
        <v/>
      </c>
      <c r="AX110" t="str">
        <f>IF(AND($V$9=1,(TRUNC(Courses!Y104)&lt;&gt;Courses!Y104)), "Row "&amp;Courses!$A104&amp;", "&amp;AX$9&amp;", "&amp;AX$10&amp;", "&amp;AX$11&amp;"; ","")</f>
        <v/>
      </c>
      <c r="AY110" t="str">
        <f>IF(AND($V$9=1,(TRUNC(Courses!Z104)&lt;&gt;Courses!Z104)), "Row "&amp;Courses!$A104&amp;", "&amp;AY$9&amp;", "&amp;AY$10&amp;", "&amp;AY$11&amp;"; ","")</f>
        <v/>
      </c>
      <c r="AZ110" s="2120" t="str">
        <f>IF(AND($V$9=1,(TRUNC(Courses!AA104)&lt;&gt;Courses!AA104)), "Row "&amp;Courses!$A104&amp;", "&amp;AZ$9&amp;", "&amp;AZ$10&amp;"; ","")</f>
        <v/>
      </c>
      <c r="BB110" s="118"/>
      <c r="BC110" s="3">
        <v>91</v>
      </c>
      <c r="BD110" s="1593" t="str">
        <f>IF(AND($W$9=1,Courses!M104&lt;0), "Row "&amp;Courses!$A104&amp;", "&amp;BD$9&amp;", "&amp;BD$10&amp;", "&amp;BD$11&amp;"; ","")</f>
        <v/>
      </c>
      <c r="BE110" t="str">
        <f>IF(AND($W$9=1,Courses!N104&lt;0), "Row "&amp;Courses!$A104&amp;", "&amp;BE$9&amp;", "&amp;BE$10&amp;", "&amp;BE$11&amp;"; ","")</f>
        <v/>
      </c>
      <c r="BF110" t="str">
        <f>IF(AND($W$9=1,Courses!O104&lt;0), "Row "&amp;Courses!$A104&amp;", "&amp;BF$9&amp;", "&amp;BF$10&amp;", "&amp;BF$11&amp;"; ","")</f>
        <v/>
      </c>
      <c r="BG110" t="str">
        <f>IF(AND($W$9=1,Courses!P104&lt;0), "Row "&amp;Courses!$A104&amp;", "&amp;BG$9&amp;", "&amp;BG$10&amp;", "&amp;BG$11&amp;"; ","")</f>
        <v/>
      </c>
      <c r="BH110" s="2120" t="str">
        <f>IF(AND($W$9=1,Courses!Q104&lt;0), "Row "&amp;Courses!$A104&amp;", "&amp;BH$9&amp;", "&amp;BH$10&amp;"; ","")</f>
        <v/>
      </c>
      <c r="BI110" s="1593" t="str">
        <f>IF(AND($W$9=1,Courses!R104&lt;0), "Row "&amp;Courses!$A104&amp;", "&amp;BI$9&amp;", "&amp;BI$10&amp;", "&amp;BI$11&amp;"; ","")</f>
        <v/>
      </c>
      <c r="BJ110" t="str">
        <f>IF(AND($W$9=1,Courses!S104&lt;0), "Row "&amp;Courses!$A104&amp;", "&amp;BJ$9&amp;", "&amp;BJ$10&amp;", "&amp;BJ$11&amp;"; ","")</f>
        <v/>
      </c>
      <c r="BK110" t="str">
        <f>IF(AND($W$9=1,Courses!T104&lt;0), "Row "&amp;Courses!$A104&amp;", "&amp;BK$9&amp;", "&amp;BK$10&amp;", "&amp;BK$11&amp;"; ","")</f>
        <v/>
      </c>
      <c r="BL110" t="str">
        <f>IF(AND($W$9=1,Courses!U104&lt;0), "Row "&amp;Courses!$A104&amp;", "&amp;BL$9&amp;", "&amp;BL$10&amp;", "&amp;BL$11&amp;"; ","")</f>
        <v/>
      </c>
      <c r="BM110" s="2120" t="str">
        <f>IF(AND($W$9=1,Courses!V104&lt;0), "Row "&amp;Courses!$A104&amp;", "&amp;BM$9&amp;", "&amp;BM$10&amp;"; ","")</f>
        <v/>
      </c>
      <c r="BN110" s="1593" t="str">
        <f>IF(AND($W$9=1,Courses!W104&lt;0), "Row "&amp;Courses!$A104&amp;", "&amp;BN$9&amp;", "&amp;BN$10&amp;", "&amp;BN$11&amp;"; ","")</f>
        <v/>
      </c>
      <c r="BO110" t="str">
        <f>IF(AND($W$9=1,Courses!X104&lt;0), "Row "&amp;Courses!$A104&amp;", "&amp;BO$9&amp;", "&amp;BO$10&amp;", "&amp;BO$11&amp;"; ","")</f>
        <v/>
      </c>
      <c r="BP110" t="str">
        <f>IF(AND($W$9=1,Courses!Y104&lt;0), "Row "&amp;Courses!$A104&amp;", "&amp;BP$9&amp;", "&amp;BP$10&amp;", "&amp;BP$11&amp;"; ","")</f>
        <v/>
      </c>
      <c r="BQ110" t="str">
        <f>IF(AND($W$9=1,Courses!Z104&lt;0), "Row "&amp;Courses!$A104&amp;", "&amp;BQ$9&amp;", "&amp;BQ$10&amp;", "&amp;BQ$11&amp;"; ","")</f>
        <v/>
      </c>
      <c r="BR110" s="2120" t="str">
        <f>IF(AND($W$9=1,Courses!AA104&lt;0), "Row "&amp;Courses!$A104&amp;", "&amp;BR$9&amp;", "&amp;BR$10&amp;"; ","")</f>
        <v/>
      </c>
      <c r="BT110" s="40">
        <v>91</v>
      </c>
      <c r="BU110" s="40">
        <f>IF(AND($X$9=1,Courses!B104="",Courses!F104="",Courses!H104="",Courses!J104="",Courses!K104="",Courses!L104="",Courses!M104=0,Courses!N104=0,Courses!O104=0,Courses!P104=0,Courses!Q104=0,Courses!R104=0,Courses!S104=0,Courses!T104=0,Courses!U104=0,Courses!V104=0,Courses!W104=0,Courses!X104=0,Courses!Y104=0,Courses!Z104=0,Courses!AA104=0),0,1)</f>
        <v>0</v>
      </c>
      <c r="BV110" s="40">
        <f>IF(AND(BU110=0,SUM(BU111:$BU$219)&gt;0),1,0)</f>
        <v>0</v>
      </c>
      <c r="BW110" s="1595" t="str">
        <f>IF(BV110=1,"Row "&amp;Courses!A104&amp;"; ","")</f>
        <v/>
      </c>
      <c r="BX110" s="17"/>
      <c r="BZ110" s="1592" t="str">
        <f>IF(AND($Y$9=1,Courses!B104&lt;&gt;"",SUM(Courses!M104:AA104)=0),"Row "&amp;Courses!A104&amp;"; ","")</f>
        <v/>
      </c>
      <c r="CA110" s="17"/>
      <c r="CC110" s="1592" t="str">
        <f>IF(AND($Z$9=1,Courses!AD104=1,(LEN(Courses!AB104)&gt;200)),"Row "&amp;Courses!A104&amp;"; ","")</f>
        <v/>
      </c>
      <c r="CE110" s="131"/>
      <c r="CG110" s="1593" t="str">
        <f>IF(AND($AD$9=1,Courses!E104&lt;&gt;"",Courses!F104&lt;&gt;"",Courses!F104=0,SUM(Courses!H104,Courses!J104)=1),"Row "&amp;Courses!A104&amp;", "&amp;Courses!$F$10&amp;"; ","")</f>
        <v/>
      </c>
      <c r="CH110" t="str">
        <f>IF(AND($AD$9=1,Courses!G104&lt;&gt;"",Courses!H104&lt;&gt;"",Courses!H104=0,SUM(Courses!J104,Courses!F104)=1),"Row "&amp;Courses!A104&amp;", "&amp;Courses!$H$10&amp;"; ","")</f>
        <v/>
      </c>
      <c r="CI110" s="183" t="str">
        <f>IF(AND($AD$9=1,Courses!I104&lt;&gt;"",Courses!J104&lt;&gt;"",Courses!J104=0, SUM(Courses!H104,Courses!F104)=1),"Row "&amp;Courses!A104&amp;", "&amp;Courses!$J$10&amp;"; ","")</f>
        <v/>
      </c>
      <c r="CJ110" s="180"/>
      <c r="CK110" s="181"/>
      <c r="CL110" s="1592" t="str">
        <f>IF(AND(Courses!B104&lt;&gt;"",ISNA(VLOOKUP(Courses!C104,CourseInfo,2,FALSE))=FALSE,COUNTIF(Dummy,Courses!C104)&lt;&gt;1),VLOOKUP(Courses!C104,CourseInfo,6,FALSE),"")</f>
        <v/>
      </c>
      <c r="CM110" s="1592" t="str">
        <f>IF(AND($AE$9=1,Courses!B104&lt;&gt;"",'Courses Valid'!AG110="",COUNTIF(Dummy,Courses!C104)&lt;&gt;1),IF(Courses!K104&lt;&gt;'Courses Valid'!CL110,"Row "&amp;Courses!A104&amp;", Level on LARS is "&amp;'Courses Valid'!CL110&amp;"; ",""),"")</f>
        <v/>
      </c>
      <c r="CN110" s="131"/>
    </row>
    <row r="111" spans="3:92" x14ac:dyDescent="0.35">
      <c r="C111" s="1591">
        <f t="shared" si="3"/>
        <v>0</v>
      </c>
      <c r="D111" s="41"/>
      <c r="E111" s="41"/>
      <c r="F111" s="118"/>
      <c r="G111" s="1592" t="str">
        <f>IF(SUMPRODUCT(--(CourseAims=Courses!$C105))=1,"",IF(AND($N$9=1,Courses!$C105&lt;&gt;""),"Row "&amp;Courses!A105&amp;" (invalid); ",""))</f>
        <v/>
      </c>
      <c r="H111" s="1592" t="str">
        <f>IF(AND($O$9=1,Courses!B105="",OR(Courses!F105&lt;&gt;"",Courses!H105&lt;&gt;"",Courses!J105&lt;&gt;"",Courses!K105&lt;&gt;"",Courses!L105&lt;&gt;"",Courses!M105&lt;&gt;0,Courses!N105&lt;&gt;0,Courses!O105&lt;&gt;0,Courses!P105&lt;&gt;0,Courses!Q105&lt;&gt;0,Courses!R105&lt;&gt;0,Courses!S105&lt;&gt;0,Courses!T105&lt;&gt;0,Courses!U105&lt;&gt;0,Courses!V105&lt;&gt;0,Courses!W105&lt;&gt;0,Courses!X105&lt;&gt;0,Courses!Y105&lt;&gt;0,Courses!Z105&lt;&gt;0,Courses!AA105&lt;&gt;0)),"Row "&amp;Courses!A105&amp;" (none); ","")</f>
        <v/>
      </c>
      <c r="I111" s="17"/>
      <c r="K111" s="1592" t="str">
        <f>Courses!B105&amp;Courses!K105&amp;Courses!L105</f>
        <v/>
      </c>
      <c r="L111" s="1592" t="str">
        <f>IF(AND($P$9=1,Courses!$B105&lt;&gt;"",COUNTIF(Dummy,Courses!$C105)&lt;&gt;1),IF(SUMPRODUCT(--($K$20:$K$219=$K111))&gt;1,"Row "&amp;Courses!$A105&amp;"; ",""),"")</f>
        <v/>
      </c>
      <c r="N111" s="118"/>
      <c r="O111" s="1593" t="str">
        <f>IF(AND($Q$9=1,Courses!E105&lt;&gt;"",Courses!F105=""),"Row "&amp;Courses!A105&amp;", "&amp;Courses!$E$10&amp;"; ","")</f>
        <v/>
      </c>
      <c r="P111" t="str">
        <f>IF(AND($Q$9=1,Courses!G105&lt;&gt;"",Courses!H105=""),"Row "&amp;Courses!A105&amp;", "&amp;Courses!$G$10&amp;"; ","")</f>
        <v/>
      </c>
      <c r="Q111" s="183" t="str">
        <f>IF(AND($Q$9=1,Courses!I105&lt;&gt;"",Courses!J105=""),"Row "&amp;Courses!A105&amp;", "&amp;Courses!$I$10&amp;"; ","")</f>
        <v/>
      </c>
      <c r="S111" s="17"/>
      <c r="T111" s="118"/>
      <c r="U111" s="1594" t="str">
        <f>IF(AND($R$9=1,Courses!B105&lt;&gt;"",Courses!E105&lt;&gt;"",Courses!G105="",Courses!I105="",Courses!F105&lt;&gt;1),"Row "&amp;Courses!A105&amp;"; ","")</f>
        <v/>
      </c>
      <c r="V111" t="str">
        <f>IF(AND($R$9=1,Courses!B105&lt;&gt;"",Courses!I105="",Courses!F105&lt;&gt;"",Courses!G105&lt;&gt;"",Courses!H105&lt;&gt;""),IF(OR((Courses!F105+Courses!H105)&lt;&gt;1),"Row "&amp;Courses!A105&amp;"; ",""),"")</f>
        <v/>
      </c>
      <c r="W111" s="183" t="str">
        <f>IF(AND($R$9=1,Courses!B105&lt;&gt;"",Courses!I105&lt;&gt;"",Courses!J105&lt;&gt;"",Courses!H105&lt;&gt;"",Courses!G105&lt;&gt;"",Courses!F105&lt;&gt;""),IF(OR((Courses!F105+Courses!H105+Courses!J105)&lt;&gt;1),"Row "&amp;Courses!A105&amp;"; ",""),"")</f>
        <v/>
      </c>
      <c r="Y111" s="1592" t="str">
        <f>IF(AND($R$9=1,Courses!E105&lt;&gt;"",U111="",V111="",W111="",SUM(Courses!F105,Courses!H105,Courses!J105)&lt;&gt;1),"Row "&amp;Courses!A105&amp;"; ","")</f>
        <v/>
      </c>
      <c r="Z111" s="17"/>
      <c r="AB111" s="1593" t="str">
        <f>IF(AND($S$9=1,Courses!B105&lt;&gt;"",Courses!E105&lt;&gt;"",Courses!F105&lt;&gt;""),IF((TRUNC(Courses!F105*100)&lt;&gt;Courses!F105*100),"Row "&amp;Courses!A105&amp;", "&amp;Courses!$F$10&amp;"; ",""),"")</f>
        <v/>
      </c>
      <c r="AC111" t="str">
        <f>IF(AND($S$9=1,Courses!B105&lt;&gt;"",Courses!G105&lt;&gt;"",Courses!H105&lt;&gt;""),IF((TRUNC(Courses!H105*100)&lt;&gt;Courses!H105*100),"Row "&amp;Courses!A105&amp;", "&amp;Courses!$H$10&amp;"; ",""),"")</f>
        <v/>
      </c>
      <c r="AD111" s="183" t="str">
        <f>IF(AND($S$9=1,Courses!B105&lt;&gt;"",Courses!I105&lt;&gt;"",Courses!J105&lt;&gt;""),IF((TRUNC(Courses!J105*100)&lt;&gt;Courses!J105*100),"Row "&amp;Courses!A105&amp;", "&amp;Courses!$J$10&amp;"; ",""),"")</f>
        <v/>
      </c>
      <c r="AF111" s="118"/>
      <c r="AG111" s="1592" t="str">
        <f>IF(AND($T$9=1,G111="",Courses!B105&lt;&gt;"",Courses!K105&lt;&gt;$B$9,Courses!K105&lt;&gt;$B$10,Courses!K105&lt;&gt;$B$11,Courses!K105&lt;&gt;$B$12,Courses!K105&lt;&gt;$B$13,Courses!K105&lt;&gt;$B$14),"Row "&amp;Courses!A105&amp;"; ","")</f>
        <v/>
      </c>
      <c r="AH111" s="1592" t="str">
        <f>IF(AND($U$9=1,G111="",Courses!B105&lt;&gt;"",Courses!L105&lt;&gt;"Standard",Courses!L105&lt;&gt;"Long"),"Row "&amp;Courses!A105&amp;"; ","")</f>
        <v/>
      </c>
      <c r="AJ111" s="118"/>
      <c r="AK111" s="3">
        <v>92</v>
      </c>
      <c r="AL111" s="1593" t="str">
        <f>IF(AND($V$9=1,(TRUNC(Courses!M105)&lt;&gt;Courses!M105)), "Row "&amp;Courses!$A105&amp;", "&amp;AL$9&amp;", "&amp;AL$10&amp;", "&amp;AL$11&amp;"; ","")</f>
        <v/>
      </c>
      <c r="AM111" t="str">
        <f>IF(AND($V$9=1,(TRUNC(Courses!N105)&lt;&gt;Courses!N105)), "Row "&amp;Courses!$A105&amp;", "&amp;AM$9&amp;", "&amp;AM$10&amp;", "&amp;AM$11&amp;"; ","")</f>
        <v/>
      </c>
      <c r="AN111" t="str">
        <f>IF(AND($V$9=1,(TRUNC(Courses!O105)&lt;&gt;Courses!O105)), "Row "&amp;Courses!$A105&amp;", "&amp;AN$9&amp;", "&amp;AN$10&amp;", "&amp;AN$11&amp;"; ","")</f>
        <v/>
      </c>
      <c r="AO111" t="str">
        <f>IF(AND($V$9=1,(TRUNC(Courses!P105)&lt;&gt;Courses!P105)), "Row "&amp;Courses!$A105&amp;", "&amp;AO$9&amp;", "&amp;AO$10&amp;", "&amp;AO$11&amp;"; ","")</f>
        <v/>
      </c>
      <c r="AP111" s="2120" t="str">
        <f>IF(AND($V$9=1,(TRUNC(Courses!Q105)&lt;&gt;Courses!Q105)), "Row "&amp;Courses!$A105&amp;", "&amp;AP$9&amp;", "&amp;AP$10&amp;"; ","")</f>
        <v/>
      </c>
      <c r="AQ111" s="1593" t="str">
        <f>IF(AND($V$9=1,(TRUNC(Courses!R105)&lt;&gt;Courses!R105)), "Row "&amp;Courses!$A105&amp;", "&amp;AQ$9&amp;", "&amp;AQ$10&amp;", "&amp;AQ$11&amp;"; ","")</f>
        <v/>
      </c>
      <c r="AR111" t="str">
        <f>IF(AND($V$9=1,(TRUNC(Courses!S105)&lt;&gt;Courses!S105)), "Row "&amp;Courses!$A105&amp;", "&amp;AR$9&amp;", "&amp;AR$10&amp;", "&amp;AR$11&amp;"; ","")</f>
        <v/>
      </c>
      <c r="AS111" t="str">
        <f>IF(AND($V$9=1,(TRUNC(Courses!T105)&lt;&gt;Courses!T105)), "Row "&amp;Courses!$A105&amp;", "&amp;AS$9&amp;", "&amp;AS$10&amp;", "&amp;AS$11&amp;"; ","")</f>
        <v/>
      </c>
      <c r="AT111" t="str">
        <f>IF(AND($V$9=1,(TRUNC(Courses!U105)&lt;&gt;Courses!U105)), "Row "&amp;Courses!$A105&amp;", "&amp;AT$9&amp;", "&amp;AT$10&amp;", "&amp;AT$11&amp;"; ","")</f>
        <v/>
      </c>
      <c r="AU111" s="2120" t="str">
        <f>IF(AND($V$9=1,(TRUNC(Courses!V105)&lt;&gt;Courses!V105)), "Row "&amp;Courses!$A105&amp;", "&amp;AU$9&amp;", "&amp;AU$10&amp;"; ","")</f>
        <v/>
      </c>
      <c r="AV111" s="1593" t="str">
        <f>IF(AND($V$9=1,(TRUNC(Courses!W105)&lt;&gt;Courses!W105)), "Row "&amp;Courses!$A105&amp;", "&amp;AV$9&amp;", "&amp;AV$10&amp;", "&amp;AV$11&amp;"; ","")</f>
        <v/>
      </c>
      <c r="AW111" t="str">
        <f>IF(AND($V$9=1,(TRUNC(Courses!X105)&lt;&gt;Courses!X105)), "Row "&amp;Courses!$A105&amp;", "&amp;AW$9&amp;", "&amp;AW$10&amp;", "&amp;AW$11&amp;"; ","")</f>
        <v/>
      </c>
      <c r="AX111" t="str">
        <f>IF(AND($V$9=1,(TRUNC(Courses!Y105)&lt;&gt;Courses!Y105)), "Row "&amp;Courses!$A105&amp;", "&amp;AX$9&amp;", "&amp;AX$10&amp;", "&amp;AX$11&amp;"; ","")</f>
        <v/>
      </c>
      <c r="AY111" t="str">
        <f>IF(AND($V$9=1,(TRUNC(Courses!Z105)&lt;&gt;Courses!Z105)), "Row "&amp;Courses!$A105&amp;", "&amp;AY$9&amp;", "&amp;AY$10&amp;", "&amp;AY$11&amp;"; ","")</f>
        <v/>
      </c>
      <c r="AZ111" s="2120" t="str">
        <f>IF(AND($V$9=1,(TRUNC(Courses!AA105)&lt;&gt;Courses!AA105)), "Row "&amp;Courses!$A105&amp;", "&amp;AZ$9&amp;", "&amp;AZ$10&amp;"; ","")</f>
        <v/>
      </c>
      <c r="BB111" s="118"/>
      <c r="BC111" s="3">
        <v>92</v>
      </c>
      <c r="BD111" s="1593" t="str">
        <f>IF(AND($W$9=1,Courses!M105&lt;0), "Row "&amp;Courses!$A105&amp;", "&amp;BD$9&amp;", "&amp;BD$10&amp;", "&amp;BD$11&amp;"; ","")</f>
        <v/>
      </c>
      <c r="BE111" t="str">
        <f>IF(AND($W$9=1,Courses!N105&lt;0), "Row "&amp;Courses!$A105&amp;", "&amp;BE$9&amp;", "&amp;BE$10&amp;", "&amp;BE$11&amp;"; ","")</f>
        <v/>
      </c>
      <c r="BF111" t="str">
        <f>IF(AND($W$9=1,Courses!O105&lt;0), "Row "&amp;Courses!$A105&amp;", "&amp;BF$9&amp;", "&amp;BF$10&amp;", "&amp;BF$11&amp;"; ","")</f>
        <v/>
      </c>
      <c r="BG111" t="str">
        <f>IF(AND($W$9=1,Courses!P105&lt;0), "Row "&amp;Courses!$A105&amp;", "&amp;BG$9&amp;", "&amp;BG$10&amp;", "&amp;BG$11&amp;"; ","")</f>
        <v/>
      </c>
      <c r="BH111" s="2120" t="str">
        <f>IF(AND($W$9=1,Courses!Q105&lt;0), "Row "&amp;Courses!$A105&amp;", "&amp;BH$9&amp;", "&amp;BH$10&amp;"; ","")</f>
        <v/>
      </c>
      <c r="BI111" s="1593" t="str">
        <f>IF(AND($W$9=1,Courses!R105&lt;0), "Row "&amp;Courses!$A105&amp;", "&amp;BI$9&amp;", "&amp;BI$10&amp;", "&amp;BI$11&amp;"; ","")</f>
        <v/>
      </c>
      <c r="BJ111" t="str">
        <f>IF(AND($W$9=1,Courses!S105&lt;0), "Row "&amp;Courses!$A105&amp;", "&amp;BJ$9&amp;", "&amp;BJ$10&amp;", "&amp;BJ$11&amp;"; ","")</f>
        <v/>
      </c>
      <c r="BK111" t="str">
        <f>IF(AND($W$9=1,Courses!T105&lt;0), "Row "&amp;Courses!$A105&amp;", "&amp;BK$9&amp;", "&amp;BK$10&amp;", "&amp;BK$11&amp;"; ","")</f>
        <v/>
      </c>
      <c r="BL111" t="str">
        <f>IF(AND($W$9=1,Courses!U105&lt;0), "Row "&amp;Courses!$A105&amp;", "&amp;BL$9&amp;", "&amp;BL$10&amp;", "&amp;BL$11&amp;"; ","")</f>
        <v/>
      </c>
      <c r="BM111" s="2120" t="str">
        <f>IF(AND($W$9=1,Courses!V105&lt;0), "Row "&amp;Courses!$A105&amp;", "&amp;BM$9&amp;", "&amp;BM$10&amp;"; ","")</f>
        <v/>
      </c>
      <c r="BN111" s="1593" t="str">
        <f>IF(AND($W$9=1,Courses!W105&lt;0), "Row "&amp;Courses!$A105&amp;", "&amp;BN$9&amp;", "&amp;BN$10&amp;", "&amp;BN$11&amp;"; ","")</f>
        <v/>
      </c>
      <c r="BO111" t="str">
        <f>IF(AND($W$9=1,Courses!X105&lt;0), "Row "&amp;Courses!$A105&amp;", "&amp;BO$9&amp;", "&amp;BO$10&amp;", "&amp;BO$11&amp;"; ","")</f>
        <v/>
      </c>
      <c r="BP111" t="str">
        <f>IF(AND($W$9=1,Courses!Y105&lt;0), "Row "&amp;Courses!$A105&amp;", "&amp;BP$9&amp;", "&amp;BP$10&amp;", "&amp;BP$11&amp;"; ","")</f>
        <v/>
      </c>
      <c r="BQ111" t="str">
        <f>IF(AND($W$9=1,Courses!Z105&lt;0), "Row "&amp;Courses!$A105&amp;", "&amp;BQ$9&amp;", "&amp;BQ$10&amp;", "&amp;BQ$11&amp;"; ","")</f>
        <v/>
      </c>
      <c r="BR111" s="2120" t="str">
        <f>IF(AND($W$9=1,Courses!AA105&lt;0), "Row "&amp;Courses!$A105&amp;", "&amp;BR$9&amp;", "&amp;BR$10&amp;"; ","")</f>
        <v/>
      </c>
      <c r="BT111" s="40">
        <v>92</v>
      </c>
      <c r="BU111" s="40">
        <f>IF(AND($X$9=1,Courses!B105="",Courses!F105="",Courses!H105="",Courses!J105="",Courses!K105="",Courses!L105="",Courses!M105=0,Courses!N105=0,Courses!O105=0,Courses!P105=0,Courses!Q105=0,Courses!R105=0,Courses!S105=0,Courses!T105=0,Courses!U105=0,Courses!V105=0,Courses!W105=0,Courses!X105=0,Courses!Y105=0,Courses!Z105=0,Courses!AA105=0),0,1)</f>
        <v>0</v>
      </c>
      <c r="BV111" s="40">
        <f>IF(AND(BU111=0,SUM(BU112:$BU$219)&gt;0),1,0)</f>
        <v>0</v>
      </c>
      <c r="BW111" s="1595" t="str">
        <f>IF(BV111=1,"Row "&amp;Courses!A105&amp;"; ","")</f>
        <v/>
      </c>
      <c r="BX111" s="17"/>
      <c r="BZ111" s="1592" t="str">
        <f>IF(AND($Y$9=1,Courses!B105&lt;&gt;"",SUM(Courses!M105:AA105)=0),"Row "&amp;Courses!A105&amp;"; ","")</f>
        <v/>
      </c>
      <c r="CA111" s="17"/>
      <c r="CC111" s="1592" t="str">
        <f>IF(AND($Z$9=1,Courses!AD105=1,(LEN(Courses!AB105)&gt;200)),"Row "&amp;Courses!A105&amp;"; ","")</f>
        <v/>
      </c>
      <c r="CE111" s="131"/>
      <c r="CG111" s="1593" t="str">
        <f>IF(AND($AD$9=1,Courses!E105&lt;&gt;"",Courses!F105&lt;&gt;"",Courses!F105=0,SUM(Courses!H105,Courses!J105)=1),"Row "&amp;Courses!A105&amp;", "&amp;Courses!$F$10&amp;"; ","")</f>
        <v/>
      </c>
      <c r="CH111" t="str">
        <f>IF(AND($AD$9=1,Courses!G105&lt;&gt;"",Courses!H105&lt;&gt;"",Courses!H105=0,SUM(Courses!J105,Courses!F105)=1),"Row "&amp;Courses!A105&amp;", "&amp;Courses!$H$10&amp;"; ","")</f>
        <v/>
      </c>
      <c r="CI111" s="183" t="str">
        <f>IF(AND($AD$9=1,Courses!I105&lt;&gt;"",Courses!J105&lt;&gt;"",Courses!J105=0, SUM(Courses!H105,Courses!F105)=1),"Row "&amp;Courses!A105&amp;", "&amp;Courses!$J$10&amp;"; ","")</f>
        <v/>
      </c>
      <c r="CJ111" s="180"/>
      <c r="CK111" s="181"/>
      <c r="CL111" s="1592" t="str">
        <f>IF(AND(Courses!B105&lt;&gt;"",ISNA(VLOOKUP(Courses!C105,CourseInfo,2,FALSE))=FALSE,COUNTIF(Dummy,Courses!C105)&lt;&gt;1),VLOOKUP(Courses!C105,CourseInfo,6,FALSE),"")</f>
        <v/>
      </c>
      <c r="CM111" s="1592" t="str">
        <f>IF(AND($AE$9=1,Courses!B105&lt;&gt;"",'Courses Valid'!AG111="",COUNTIF(Dummy,Courses!C105)&lt;&gt;1),IF(Courses!K105&lt;&gt;'Courses Valid'!CL111,"Row "&amp;Courses!A105&amp;", Level on LARS is "&amp;'Courses Valid'!CL111&amp;"; ",""),"")</f>
        <v/>
      </c>
      <c r="CN111" s="131"/>
    </row>
    <row r="112" spans="3:92" x14ac:dyDescent="0.35">
      <c r="C112" s="1591">
        <f t="shared" si="3"/>
        <v>0</v>
      </c>
      <c r="D112" s="41"/>
      <c r="E112" s="41"/>
      <c r="F112" s="118"/>
      <c r="G112" s="1592" t="str">
        <f>IF(SUMPRODUCT(--(CourseAims=Courses!$C106))=1,"",IF(AND($N$9=1,Courses!$C106&lt;&gt;""),"Row "&amp;Courses!A106&amp;" (invalid); ",""))</f>
        <v/>
      </c>
      <c r="H112" s="1592" t="str">
        <f>IF(AND($O$9=1,Courses!B106="",OR(Courses!F106&lt;&gt;"",Courses!H106&lt;&gt;"",Courses!J106&lt;&gt;"",Courses!K106&lt;&gt;"",Courses!L106&lt;&gt;"",Courses!M106&lt;&gt;0,Courses!N106&lt;&gt;0,Courses!O106&lt;&gt;0,Courses!P106&lt;&gt;0,Courses!Q106&lt;&gt;0,Courses!R106&lt;&gt;0,Courses!S106&lt;&gt;0,Courses!T106&lt;&gt;0,Courses!U106&lt;&gt;0,Courses!V106&lt;&gt;0,Courses!W106&lt;&gt;0,Courses!X106&lt;&gt;0,Courses!Y106&lt;&gt;0,Courses!Z106&lt;&gt;0,Courses!AA106&lt;&gt;0)),"Row "&amp;Courses!A106&amp;" (none); ","")</f>
        <v/>
      </c>
      <c r="I112" s="17"/>
      <c r="K112" s="1592" t="str">
        <f>Courses!B106&amp;Courses!K106&amp;Courses!L106</f>
        <v/>
      </c>
      <c r="L112" s="1592" t="str">
        <f>IF(AND($P$9=1,Courses!$B106&lt;&gt;"",COUNTIF(Dummy,Courses!$C106)&lt;&gt;1),IF(SUMPRODUCT(--($K$20:$K$219=$K112))&gt;1,"Row "&amp;Courses!$A106&amp;"; ",""),"")</f>
        <v/>
      </c>
      <c r="N112" s="118"/>
      <c r="O112" s="1593" t="str">
        <f>IF(AND($Q$9=1,Courses!E106&lt;&gt;"",Courses!F106=""),"Row "&amp;Courses!A106&amp;", "&amp;Courses!$E$10&amp;"; ","")</f>
        <v/>
      </c>
      <c r="P112" t="str">
        <f>IF(AND($Q$9=1,Courses!G106&lt;&gt;"",Courses!H106=""),"Row "&amp;Courses!A106&amp;", "&amp;Courses!$G$10&amp;"; ","")</f>
        <v/>
      </c>
      <c r="Q112" s="183" t="str">
        <f>IF(AND($Q$9=1,Courses!I106&lt;&gt;"",Courses!J106=""),"Row "&amp;Courses!A106&amp;", "&amp;Courses!$I$10&amp;"; ","")</f>
        <v/>
      </c>
      <c r="S112" s="17"/>
      <c r="T112" s="118"/>
      <c r="U112" s="1594" t="str">
        <f>IF(AND($R$9=1,Courses!B106&lt;&gt;"",Courses!E106&lt;&gt;"",Courses!G106="",Courses!I106="",Courses!F106&lt;&gt;1),"Row "&amp;Courses!A106&amp;"; ","")</f>
        <v/>
      </c>
      <c r="V112" t="str">
        <f>IF(AND($R$9=1,Courses!B106&lt;&gt;"",Courses!I106="",Courses!F106&lt;&gt;"",Courses!G106&lt;&gt;"",Courses!H106&lt;&gt;""),IF(OR((Courses!F106+Courses!H106)&lt;&gt;1),"Row "&amp;Courses!A106&amp;"; ",""),"")</f>
        <v/>
      </c>
      <c r="W112" s="183" t="str">
        <f>IF(AND($R$9=1,Courses!B106&lt;&gt;"",Courses!I106&lt;&gt;"",Courses!J106&lt;&gt;"",Courses!H106&lt;&gt;"",Courses!G106&lt;&gt;"",Courses!F106&lt;&gt;""),IF(OR((Courses!F106+Courses!H106+Courses!J106)&lt;&gt;1),"Row "&amp;Courses!A106&amp;"; ",""),"")</f>
        <v/>
      </c>
      <c r="Y112" s="1592" t="str">
        <f>IF(AND($R$9=1,Courses!E106&lt;&gt;"",U112="",V112="",W112="",SUM(Courses!F106,Courses!H106,Courses!J106)&lt;&gt;1),"Row "&amp;Courses!A106&amp;"; ","")</f>
        <v/>
      </c>
      <c r="Z112" s="17"/>
      <c r="AB112" s="1593" t="str">
        <f>IF(AND($S$9=1,Courses!B106&lt;&gt;"",Courses!E106&lt;&gt;"",Courses!F106&lt;&gt;""),IF((TRUNC(Courses!F106*100)&lt;&gt;Courses!F106*100),"Row "&amp;Courses!A106&amp;", "&amp;Courses!$F$10&amp;"; ",""),"")</f>
        <v/>
      </c>
      <c r="AC112" t="str">
        <f>IF(AND($S$9=1,Courses!B106&lt;&gt;"",Courses!G106&lt;&gt;"",Courses!H106&lt;&gt;""),IF((TRUNC(Courses!H106*100)&lt;&gt;Courses!H106*100),"Row "&amp;Courses!A106&amp;", "&amp;Courses!$H$10&amp;"; ",""),"")</f>
        <v/>
      </c>
      <c r="AD112" s="183" t="str">
        <f>IF(AND($S$9=1,Courses!B106&lt;&gt;"",Courses!I106&lt;&gt;"",Courses!J106&lt;&gt;""),IF((TRUNC(Courses!J106*100)&lt;&gt;Courses!J106*100),"Row "&amp;Courses!A106&amp;", "&amp;Courses!$J$10&amp;"; ",""),"")</f>
        <v/>
      </c>
      <c r="AF112" s="118"/>
      <c r="AG112" s="1592" t="str">
        <f>IF(AND($T$9=1,G112="",Courses!B106&lt;&gt;"",Courses!K106&lt;&gt;$B$9,Courses!K106&lt;&gt;$B$10,Courses!K106&lt;&gt;$B$11,Courses!K106&lt;&gt;$B$12,Courses!K106&lt;&gt;$B$13,Courses!K106&lt;&gt;$B$14),"Row "&amp;Courses!A106&amp;"; ","")</f>
        <v/>
      </c>
      <c r="AH112" s="1592" t="str">
        <f>IF(AND($U$9=1,G112="",Courses!B106&lt;&gt;"",Courses!L106&lt;&gt;"Standard",Courses!L106&lt;&gt;"Long"),"Row "&amp;Courses!A106&amp;"; ","")</f>
        <v/>
      </c>
      <c r="AJ112" s="118"/>
      <c r="AK112" s="3">
        <v>93</v>
      </c>
      <c r="AL112" s="1593" t="str">
        <f>IF(AND($V$9=1,(TRUNC(Courses!M106)&lt;&gt;Courses!M106)), "Row "&amp;Courses!$A106&amp;", "&amp;AL$9&amp;", "&amp;AL$10&amp;", "&amp;AL$11&amp;"; ","")</f>
        <v/>
      </c>
      <c r="AM112" t="str">
        <f>IF(AND($V$9=1,(TRUNC(Courses!N106)&lt;&gt;Courses!N106)), "Row "&amp;Courses!$A106&amp;", "&amp;AM$9&amp;", "&amp;AM$10&amp;", "&amp;AM$11&amp;"; ","")</f>
        <v/>
      </c>
      <c r="AN112" t="str">
        <f>IF(AND($V$9=1,(TRUNC(Courses!O106)&lt;&gt;Courses!O106)), "Row "&amp;Courses!$A106&amp;", "&amp;AN$9&amp;", "&amp;AN$10&amp;", "&amp;AN$11&amp;"; ","")</f>
        <v/>
      </c>
      <c r="AO112" t="str">
        <f>IF(AND($V$9=1,(TRUNC(Courses!P106)&lt;&gt;Courses!P106)), "Row "&amp;Courses!$A106&amp;", "&amp;AO$9&amp;", "&amp;AO$10&amp;", "&amp;AO$11&amp;"; ","")</f>
        <v/>
      </c>
      <c r="AP112" s="2120" t="str">
        <f>IF(AND($V$9=1,(TRUNC(Courses!Q106)&lt;&gt;Courses!Q106)), "Row "&amp;Courses!$A106&amp;", "&amp;AP$9&amp;", "&amp;AP$10&amp;"; ","")</f>
        <v/>
      </c>
      <c r="AQ112" s="1593" t="str">
        <f>IF(AND($V$9=1,(TRUNC(Courses!R106)&lt;&gt;Courses!R106)), "Row "&amp;Courses!$A106&amp;", "&amp;AQ$9&amp;", "&amp;AQ$10&amp;", "&amp;AQ$11&amp;"; ","")</f>
        <v/>
      </c>
      <c r="AR112" t="str">
        <f>IF(AND($V$9=1,(TRUNC(Courses!S106)&lt;&gt;Courses!S106)), "Row "&amp;Courses!$A106&amp;", "&amp;AR$9&amp;", "&amp;AR$10&amp;", "&amp;AR$11&amp;"; ","")</f>
        <v/>
      </c>
      <c r="AS112" t="str">
        <f>IF(AND($V$9=1,(TRUNC(Courses!T106)&lt;&gt;Courses!T106)), "Row "&amp;Courses!$A106&amp;", "&amp;AS$9&amp;", "&amp;AS$10&amp;", "&amp;AS$11&amp;"; ","")</f>
        <v/>
      </c>
      <c r="AT112" t="str">
        <f>IF(AND($V$9=1,(TRUNC(Courses!U106)&lt;&gt;Courses!U106)), "Row "&amp;Courses!$A106&amp;", "&amp;AT$9&amp;", "&amp;AT$10&amp;", "&amp;AT$11&amp;"; ","")</f>
        <v/>
      </c>
      <c r="AU112" s="2120" t="str">
        <f>IF(AND($V$9=1,(TRUNC(Courses!V106)&lt;&gt;Courses!V106)), "Row "&amp;Courses!$A106&amp;", "&amp;AU$9&amp;", "&amp;AU$10&amp;"; ","")</f>
        <v/>
      </c>
      <c r="AV112" s="1593" t="str">
        <f>IF(AND($V$9=1,(TRUNC(Courses!W106)&lt;&gt;Courses!W106)), "Row "&amp;Courses!$A106&amp;", "&amp;AV$9&amp;", "&amp;AV$10&amp;", "&amp;AV$11&amp;"; ","")</f>
        <v/>
      </c>
      <c r="AW112" t="str">
        <f>IF(AND($V$9=1,(TRUNC(Courses!X106)&lt;&gt;Courses!X106)), "Row "&amp;Courses!$A106&amp;", "&amp;AW$9&amp;", "&amp;AW$10&amp;", "&amp;AW$11&amp;"; ","")</f>
        <v/>
      </c>
      <c r="AX112" t="str">
        <f>IF(AND($V$9=1,(TRUNC(Courses!Y106)&lt;&gt;Courses!Y106)), "Row "&amp;Courses!$A106&amp;", "&amp;AX$9&amp;", "&amp;AX$10&amp;", "&amp;AX$11&amp;"; ","")</f>
        <v/>
      </c>
      <c r="AY112" t="str">
        <f>IF(AND($V$9=1,(TRUNC(Courses!Z106)&lt;&gt;Courses!Z106)), "Row "&amp;Courses!$A106&amp;", "&amp;AY$9&amp;", "&amp;AY$10&amp;", "&amp;AY$11&amp;"; ","")</f>
        <v/>
      </c>
      <c r="AZ112" s="2120" t="str">
        <f>IF(AND($V$9=1,(TRUNC(Courses!AA106)&lt;&gt;Courses!AA106)), "Row "&amp;Courses!$A106&amp;", "&amp;AZ$9&amp;", "&amp;AZ$10&amp;"; ","")</f>
        <v/>
      </c>
      <c r="BB112" s="118"/>
      <c r="BC112" s="3">
        <v>93</v>
      </c>
      <c r="BD112" s="1593" t="str">
        <f>IF(AND($W$9=1,Courses!M106&lt;0), "Row "&amp;Courses!$A106&amp;", "&amp;BD$9&amp;", "&amp;BD$10&amp;", "&amp;BD$11&amp;"; ","")</f>
        <v/>
      </c>
      <c r="BE112" t="str">
        <f>IF(AND($W$9=1,Courses!N106&lt;0), "Row "&amp;Courses!$A106&amp;", "&amp;BE$9&amp;", "&amp;BE$10&amp;", "&amp;BE$11&amp;"; ","")</f>
        <v/>
      </c>
      <c r="BF112" t="str">
        <f>IF(AND($W$9=1,Courses!O106&lt;0), "Row "&amp;Courses!$A106&amp;", "&amp;BF$9&amp;", "&amp;BF$10&amp;", "&amp;BF$11&amp;"; ","")</f>
        <v/>
      </c>
      <c r="BG112" t="str">
        <f>IF(AND($W$9=1,Courses!P106&lt;0), "Row "&amp;Courses!$A106&amp;", "&amp;BG$9&amp;", "&amp;BG$10&amp;", "&amp;BG$11&amp;"; ","")</f>
        <v/>
      </c>
      <c r="BH112" s="2120" t="str">
        <f>IF(AND($W$9=1,Courses!Q106&lt;0), "Row "&amp;Courses!$A106&amp;", "&amp;BH$9&amp;", "&amp;BH$10&amp;"; ","")</f>
        <v/>
      </c>
      <c r="BI112" s="1593" t="str">
        <f>IF(AND($W$9=1,Courses!R106&lt;0), "Row "&amp;Courses!$A106&amp;", "&amp;BI$9&amp;", "&amp;BI$10&amp;", "&amp;BI$11&amp;"; ","")</f>
        <v/>
      </c>
      <c r="BJ112" t="str">
        <f>IF(AND($W$9=1,Courses!S106&lt;0), "Row "&amp;Courses!$A106&amp;", "&amp;BJ$9&amp;", "&amp;BJ$10&amp;", "&amp;BJ$11&amp;"; ","")</f>
        <v/>
      </c>
      <c r="BK112" t="str">
        <f>IF(AND($W$9=1,Courses!T106&lt;0), "Row "&amp;Courses!$A106&amp;", "&amp;BK$9&amp;", "&amp;BK$10&amp;", "&amp;BK$11&amp;"; ","")</f>
        <v/>
      </c>
      <c r="BL112" t="str">
        <f>IF(AND($W$9=1,Courses!U106&lt;0), "Row "&amp;Courses!$A106&amp;", "&amp;BL$9&amp;", "&amp;BL$10&amp;", "&amp;BL$11&amp;"; ","")</f>
        <v/>
      </c>
      <c r="BM112" s="2120" t="str">
        <f>IF(AND($W$9=1,Courses!V106&lt;0), "Row "&amp;Courses!$A106&amp;", "&amp;BM$9&amp;", "&amp;BM$10&amp;"; ","")</f>
        <v/>
      </c>
      <c r="BN112" s="1593" t="str">
        <f>IF(AND($W$9=1,Courses!W106&lt;0), "Row "&amp;Courses!$A106&amp;", "&amp;BN$9&amp;", "&amp;BN$10&amp;", "&amp;BN$11&amp;"; ","")</f>
        <v/>
      </c>
      <c r="BO112" t="str">
        <f>IF(AND($W$9=1,Courses!X106&lt;0), "Row "&amp;Courses!$A106&amp;", "&amp;BO$9&amp;", "&amp;BO$10&amp;", "&amp;BO$11&amp;"; ","")</f>
        <v/>
      </c>
      <c r="BP112" t="str">
        <f>IF(AND($W$9=1,Courses!Y106&lt;0), "Row "&amp;Courses!$A106&amp;", "&amp;BP$9&amp;", "&amp;BP$10&amp;", "&amp;BP$11&amp;"; ","")</f>
        <v/>
      </c>
      <c r="BQ112" t="str">
        <f>IF(AND($W$9=1,Courses!Z106&lt;0), "Row "&amp;Courses!$A106&amp;", "&amp;BQ$9&amp;", "&amp;BQ$10&amp;", "&amp;BQ$11&amp;"; ","")</f>
        <v/>
      </c>
      <c r="BR112" s="2120" t="str">
        <f>IF(AND($W$9=1,Courses!AA106&lt;0), "Row "&amp;Courses!$A106&amp;", "&amp;BR$9&amp;", "&amp;BR$10&amp;"; ","")</f>
        <v/>
      </c>
      <c r="BT112" s="40">
        <v>93</v>
      </c>
      <c r="BU112" s="40">
        <f>IF(AND($X$9=1,Courses!B106="",Courses!F106="",Courses!H106="",Courses!J106="",Courses!K106="",Courses!L106="",Courses!M106=0,Courses!N106=0,Courses!O106=0,Courses!P106=0,Courses!Q106=0,Courses!R106=0,Courses!S106=0,Courses!T106=0,Courses!U106=0,Courses!V106=0,Courses!W106=0,Courses!X106=0,Courses!Y106=0,Courses!Z106=0,Courses!AA106=0),0,1)</f>
        <v>0</v>
      </c>
      <c r="BV112" s="40">
        <f>IF(AND(BU112=0,SUM(BU113:$BU$219)&gt;0),1,0)</f>
        <v>0</v>
      </c>
      <c r="BW112" s="1595" t="str">
        <f>IF(BV112=1,"Row "&amp;Courses!A106&amp;"; ","")</f>
        <v/>
      </c>
      <c r="BX112" s="17"/>
      <c r="BZ112" s="1592" t="str">
        <f>IF(AND($Y$9=1,Courses!B106&lt;&gt;"",SUM(Courses!M106:AA106)=0),"Row "&amp;Courses!A106&amp;"; ","")</f>
        <v/>
      </c>
      <c r="CA112" s="17"/>
      <c r="CC112" s="1592" t="str">
        <f>IF(AND($Z$9=1,Courses!AD106=1,(LEN(Courses!AB106)&gt;200)),"Row "&amp;Courses!A106&amp;"; ","")</f>
        <v/>
      </c>
      <c r="CE112" s="131"/>
      <c r="CG112" s="1593" t="str">
        <f>IF(AND($AD$9=1,Courses!E106&lt;&gt;"",Courses!F106&lt;&gt;"",Courses!F106=0,SUM(Courses!H106,Courses!J106)=1),"Row "&amp;Courses!A106&amp;", "&amp;Courses!$F$10&amp;"; ","")</f>
        <v/>
      </c>
      <c r="CH112" t="str">
        <f>IF(AND($AD$9=1,Courses!G106&lt;&gt;"",Courses!H106&lt;&gt;"",Courses!H106=0,SUM(Courses!J106,Courses!F106)=1),"Row "&amp;Courses!A106&amp;", "&amp;Courses!$H$10&amp;"; ","")</f>
        <v/>
      </c>
      <c r="CI112" s="183" t="str">
        <f>IF(AND($AD$9=1,Courses!I106&lt;&gt;"",Courses!J106&lt;&gt;"",Courses!J106=0, SUM(Courses!H106,Courses!F106)=1),"Row "&amp;Courses!A106&amp;", "&amp;Courses!$J$10&amp;"; ","")</f>
        <v/>
      </c>
      <c r="CJ112" s="180"/>
      <c r="CK112" s="181"/>
      <c r="CL112" s="1592" t="str">
        <f>IF(AND(Courses!B106&lt;&gt;"",ISNA(VLOOKUP(Courses!C106,CourseInfo,2,FALSE))=FALSE,COUNTIF(Dummy,Courses!C106)&lt;&gt;1),VLOOKUP(Courses!C106,CourseInfo,6,FALSE),"")</f>
        <v/>
      </c>
      <c r="CM112" s="1592" t="str">
        <f>IF(AND($AE$9=1,Courses!B106&lt;&gt;"",'Courses Valid'!AG112="",COUNTIF(Dummy,Courses!C106)&lt;&gt;1),IF(Courses!K106&lt;&gt;'Courses Valid'!CL112,"Row "&amp;Courses!A106&amp;", Level on LARS is "&amp;'Courses Valid'!CL112&amp;"; ",""),"")</f>
        <v/>
      </c>
      <c r="CN112" s="131"/>
    </row>
    <row r="113" spans="3:92" x14ac:dyDescent="0.35">
      <c r="C113" s="1591">
        <f t="shared" si="3"/>
        <v>0</v>
      </c>
      <c r="D113" s="41"/>
      <c r="E113" s="41"/>
      <c r="F113" s="118"/>
      <c r="G113" s="1592" t="str">
        <f>IF(SUMPRODUCT(--(CourseAims=Courses!$C107))=1,"",IF(AND($N$9=1,Courses!$C107&lt;&gt;""),"Row "&amp;Courses!A107&amp;" (invalid); ",""))</f>
        <v/>
      </c>
      <c r="H113" s="1592" t="str">
        <f>IF(AND($O$9=1,Courses!B107="",OR(Courses!F107&lt;&gt;"",Courses!H107&lt;&gt;"",Courses!J107&lt;&gt;"",Courses!K107&lt;&gt;"",Courses!L107&lt;&gt;"",Courses!M107&lt;&gt;0,Courses!N107&lt;&gt;0,Courses!O107&lt;&gt;0,Courses!P107&lt;&gt;0,Courses!Q107&lt;&gt;0,Courses!R107&lt;&gt;0,Courses!S107&lt;&gt;0,Courses!T107&lt;&gt;0,Courses!U107&lt;&gt;0,Courses!V107&lt;&gt;0,Courses!W107&lt;&gt;0,Courses!X107&lt;&gt;0,Courses!Y107&lt;&gt;0,Courses!Z107&lt;&gt;0,Courses!AA107&lt;&gt;0)),"Row "&amp;Courses!A107&amp;" (none); ","")</f>
        <v/>
      </c>
      <c r="I113" s="17"/>
      <c r="K113" s="1592" t="str">
        <f>Courses!B107&amp;Courses!K107&amp;Courses!L107</f>
        <v/>
      </c>
      <c r="L113" s="1592" t="str">
        <f>IF(AND($P$9=1,Courses!$B107&lt;&gt;"",COUNTIF(Dummy,Courses!$C107)&lt;&gt;1),IF(SUMPRODUCT(--($K$20:$K$219=$K113))&gt;1,"Row "&amp;Courses!$A107&amp;"; ",""),"")</f>
        <v/>
      </c>
      <c r="N113" s="118"/>
      <c r="O113" s="1593" t="str">
        <f>IF(AND($Q$9=1,Courses!E107&lt;&gt;"",Courses!F107=""),"Row "&amp;Courses!A107&amp;", "&amp;Courses!$E$10&amp;"; ","")</f>
        <v/>
      </c>
      <c r="P113" t="str">
        <f>IF(AND($Q$9=1,Courses!G107&lt;&gt;"",Courses!H107=""),"Row "&amp;Courses!A107&amp;", "&amp;Courses!$G$10&amp;"; ","")</f>
        <v/>
      </c>
      <c r="Q113" s="183" t="str">
        <f>IF(AND($Q$9=1,Courses!I107&lt;&gt;"",Courses!J107=""),"Row "&amp;Courses!A107&amp;", "&amp;Courses!$I$10&amp;"; ","")</f>
        <v/>
      </c>
      <c r="S113" s="17"/>
      <c r="T113" s="118"/>
      <c r="U113" s="1594" t="str">
        <f>IF(AND($R$9=1,Courses!B107&lt;&gt;"",Courses!E107&lt;&gt;"",Courses!G107="",Courses!I107="",Courses!F107&lt;&gt;1),"Row "&amp;Courses!A107&amp;"; ","")</f>
        <v/>
      </c>
      <c r="V113" t="str">
        <f>IF(AND($R$9=1,Courses!B107&lt;&gt;"",Courses!I107="",Courses!F107&lt;&gt;"",Courses!G107&lt;&gt;"",Courses!H107&lt;&gt;""),IF(OR((Courses!F107+Courses!H107)&lt;&gt;1),"Row "&amp;Courses!A107&amp;"; ",""),"")</f>
        <v/>
      </c>
      <c r="W113" s="183" t="str">
        <f>IF(AND($R$9=1,Courses!B107&lt;&gt;"",Courses!I107&lt;&gt;"",Courses!J107&lt;&gt;"",Courses!H107&lt;&gt;"",Courses!G107&lt;&gt;"",Courses!F107&lt;&gt;""),IF(OR((Courses!F107+Courses!H107+Courses!J107)&lt;&gt;1),"Row "&amp;Courses!A107&amp;"; ",""),"")</f>
        <v/>
      </c>
      <c r="Y113" s="1592" t="str">
        <f>IF(AND($R$9=1,Courses!E107&lt;&gt;"",U113="",V113="",W113="",SUM(Courses!F107,Courses!H107,Courses!J107)&lt;&gt;1),"Row "&amp;Courses!A107&amp;"; ","")</f>
        <v/>
      </c>
      <c r="Z113" s="17"/>
      <c r="AB113" s="1593" t="str">
        <f>IF(AND($S$9=1,Courses!B107&lt;&gt;"",Courses!E107&lt;&gt;"",Courses!F107&lt;&gt;""),IF((TRUNC(Courses!F107*100)&lt;&gt;Courses!F107*100),"Row "&amp;Courses!A107&amp;", "&amp;Courses!$F$10&amp;"; ",""),"")</f>
        <v/>
      </c>
      <c r="AC113" t="str">
        <f>IF(AND($S$9=1,Courses!B107&lt;&gt;"",Courses!G107&lt;&gt;"",Courses!H107&lt;&gt;""),IF((TRUNC(Courses!H107*100)&lt;&gt;Courses!H107*100),"Row "&amp;Courses!A107&amp;", "&amp;Courses!$H$10&amp;"; ",""),"")</f>
        <v/>
      </c>
      <c r="AD113" s="183" t="str">
        <f>IF(AND($S$9=1,Courses!B107&lt;&gt;"",Courses!I107&lt;&gt;"",Courses!J107&lt;&gt;""),IF((TRUNC(Courses!J107*100)&lt;&gt;Courses!J107*100),"Row "&amp;Courses!A107&amp;", "&amp;Courses!$J$10&amp;"; ",""),"")</f>
        <v/>
      </c>
      <c r="AF113" s="118"/>
      <c r="AG113" s="1592" t="str">
        <f>IF(AND($T$9=1,G113="",Courses!B107&lt;&gt;"",Courses!K107&lt;&gt;$B$9,Courses!K107&lt;&gt;$B$10,Courses!K107&lt;&gt;$B$11,Courses!K107&lt;&gt;$B$12,Courses!K107&lt;&gt;$B$13,Courses!K107&lt;&gt;$B$14),"Row "&amp;Courses!A107&amp;"; ","")</f>
        <v/>
      </c>
      <c r="AH113" s="1592" t="str">
        <f>IF(AND($U$9=1,G113="",Courses!B107&lt;&gt;"",Courses!L107&lt;&gt;"Standard",Courses!L107&lt;&gt;"Long"),"Row "&amp;Courses!A107&amp;"; ","")</f>
        <v/>
      </c>
      <c r="AJ113" s="118"/>
      <c r="AK113" s="3">
        <v>94</v>
      </c>
      <c r="AL113" s="1593" t="str">
        <f>IF(AND($V$9=1,(TRUNC(Courses!M107)&lt;&gt;Courses!M107)), "Row "&amp;Courses!$A107&amp;", "&amp;AL$9&amp;", "&amp;AL$10&amp;", "&amp;AL$11&amp;"; ","")</f>
        <v/>
      </c>
      <c r="AM113" t="str">
        <f>IF(AND($V$9=1,(TRUNC(Courses!N107)&lt;&gt;Courses!N107)), "Row "&amp;Courses!$A107&amp;", "&amp;AM$9&amp;", "&amp;AM$10&amp;", "&amp;AM$11&amp;"; ","")</f>
        <v/>
      </c>
      <c r="AN113" t="str">
        <f>IF(AND($V$9=1,(TRUNC(Courses!O107)&lt;&gt;Courses!O107)), "Row "&amp;Courses!$A107&amp;", "&amp;AN$9&amp;", "&amp;AN$10&amp;", "&amp;AN$11&amp;"; ","")</f>
        <v/>
      </c>
      <c r="AO113" t="str">
        <f>IF(AND($V$9=1,(TRUNC(Courses!P107)&lt;&gt;Courses!P107)), "Row "&amp;Courses!$A107&amp;", "&amp;AO$9&amp;", "&amp;AO$10&amp;", "&amp;AO$11&amp;"; ","")</f>
        <v/>
      </c>
      <c r="AP113" s="2120" t="str">
        <f>IF(AND($V$9=1,(TRUNC(Courses!Q107)&lt;&gt;Courses!Q107)), "Row "&amp;Courses!$A107&amp;", "&amp;AP$9&amp;", "&amp;AP$10&amp;"; ","")</f>
        <v/>
      </c>
      <c r="AQ113" s="1593" t="str">
        <f>IF(AND($V$9=1,(TRUNC(Courses!R107)&lt;&gt;Courses!R107)), "Row "&amp;Courses!$A107&amp;", "&amp;AQ$9&amp;", "&amp;AQ$10&amp;", "&amp;AQ$11&amp;"; ","")</f>
        <v/>
      </c>
      <c r="AR113" t="str">
        <f>IF(AND($V$9=1,(TRUNC(Courses!S107)&lt;&gt;Courses!S107)), "Row "&amp;Courses!$A107&amp;", "&amp;AR$9&amp;", "&amp;AR$10&amp;", "&amp;AR$11&amp;"; ","")</f>
        <v/>
      </c>
      <c r="AS113" t="str">
        <f>IF(AND($V$9=1,(TRUNC(Courses!T107)&lt;&gt;Courses!T107)), "Row "&amp;Courses!$A107&amp;", "&amp;AS$9&amp;", "&amp;AS$10&amp;", "&amp;AS$11&amp;"; ","")</f>
        <v/>
      </c>
      <c r="AT113" t="str">
        <f>IF(AND($V$9=1,(TRUNC(Courses!U107)&lt;&gt;Courses!U107)), "Row "&amp;Courses!$A107&amp;", "&amp;AT$9&amp;", "&amp;AT$10&amp;", "&amp;AT$11&amp;"; ","")</f>
        <v/>
      </c>
      <c r="AU113" s="2120" t="str">
        <f>IF(AND($V$9=1,(TRUNC(Courses!V107)&lt;&gt;Courses!V107)), "Row "&amp;Courses!$A107&amp;", "&amp;AU$9&amp;", "&amp;AU$10&amp;"; ","")</f>
        <v/>
      </c>
      <c r="AV113" s="1593" t="str">
        <f>IF(AND($V$9=1,(TRUNC(Courses!W107)&lt;&gt;Courses!W107)), "Row "&amp;Courses!$A107&amp;", "&amp;AV$9&amp;", "&amp;AV$10&amp;", "&amp;AV$11&amp;"; ","")</f>
        <v/>
      </c>
      <c r="AW113" t="str">
        <f>IF(AND($V$9=1,(TRUNC(Courses!X107)&lt;&gt;Courses!X107)), "Row "&amp;Courses!$A107&amp;", "&amp;AW$9&amp;", "&amp;AW$10&amp;", "&amp;AW$11&amp;"; ","")</f>
        <v/>
      </c>
      <c r="AX113" t="str">
        <f>IF(AND($V$9=1,(TRUNC(Courses!Y107)&lt;&gt;Courses!Y107)), "Row "&amp;Courses!$A107&amp;", "&amp;AX$9&amp;", "&amp;AX$10&amp;", "&amp;AX$11&amp;"; ","")</f>
        <v/>
      </c>
      <c r="AY113" t="str">
        <f>IF(AND($V$9=1,(TRUNC(Courses!Z107)&lt;&gt;Courses!Z107)), "Row "&amp;Courses!$A107&amp;", "&amp;AY$9&amp;", "&amp;AY$10&amp;", "&amp;AY$11&amp;"; ","")</f>
        <v/>
      </c>
      <c r="AZ113" s="2120" t="str">
        <f>IF(AND($V$9=1,(TRUNC(Courses!AA107)&lt;&gt;Courses!AA107)), "Row "&amp;Courses!$A107&amp;", "&amp;AZ$9&amp;", "&amp;AZ$10&amp;"; ","")</f>
        <v/>
      </c>
      <c r="BB113" s="118"/>
      <c r="BC113" s="3">
        <v>94</v>
      </c>
      <c r="BD113" s="1593" t="str">
        <f>IF(AND($W$9=1,Courses!M107&lt;0), "Row "&amp;Courses!$A107&amp;", "&amp;BD$9&amp;", "&amp;BD$10&amp;", "&amp;BD$11&amp;"; ","")</f>
        <v/>
      </c>
      <c r="BE113" t="str">
        <f>IF(AND($W$9=1,Courses!N107&lt;0), "Row "&amp;Courses!$A107&amp;", "&amp;BE$9&amp;", "&amp;BE$10&amp;", "&amp;BE$11&amp;"; ","")</f>
        <v/>
      </c>
      <c r="BF113" t="str">
        <f>IF(AND($W$9=1,Courses!O107&lt;0), "Row "&amp;Courses!$A107&amp;", "&amp;BF$9&amp;", "&amp;BF$10&amp;", "&amp;BF$11&amp;"; ","")</f>
        <v/>
      </c>
      <c r="BG113" t="str">
        <f>IF(AND($W$9=1,Courses!P107&lt;0), "Row "&amp;Courses!$A107&amp;", "&amp;BG$9&amp;", "&amp;BG$10&amp;", "&amp;BG$11&amp;"; ","")</f>
        <v/>
      </c>
      <c r="BH113" s="2120" t="str">
        <f>IF(AND($W$9=1,Courses!Q107&lt;0), "Row "&amp;Courses!$A107&amp;", "&amp;BH$9&amp;", "&amp;BH$10&amp;"; ","")</f>
        <v/>
      </c>
      <c r="BI113" s="1593" t="str">
        <f>IF(AND($W$9=1,Courses!R107&lt;0), "Row "&amp;Courses!$A107&amp;", "&amp;BI$9&amp;", "&amp;BI$10&amp;", "&amp;BI$11&amp;"; ","")</f>
        <v/>
      </c>
      <c r="BJ113" t="str">
        <f>IF(AND($W$9=1,Courses!S107&lt;0), "Row "&amp;Courses!$A107&amp;", "&amp;BJ$9&amp;", "&amp;BJ$10&amp;", "&amp;BJ$11&amp;"; ","")</f>
        <v/>
      </c>
      <c r="BK113" t="str">
        <f>IF(AND($W$9=1,Courses!T107&lt;0), "Row "&amp;Courses!$A107&amp;", "&amp;BK$9&amp;", "&amp;BK$10&amp;", "&amp;BK$11&amp;"; ","")</f>
        <v/>
      </c>
      <c r="BL113" t="str">
        <f>IF(AND($W$9=1,Courses!U107&lt;0), "Row "&amp;Courses!$A107&amp;", "&amp;BL$9&amp;", "&amp;BL$10&amp;", "&amp;BL$11&amp;"; ","")</f>
        <v/>
      </c>
      <c r="BM113" s="2120" t="str">
        <f>IF(AND($W$9=1,Courses!V107&lt;0), "Row "&amp;Courses!$A107&amp;", "&amp;BM$9&amp;", "&amp;BM$10&amp;"; ","")</f>
        <v/>
      </c>
      <c r="BN113" s="1593" t="str">
        <f>IF(AND($W$9=1,Courses!W107&lt;0), "Row "&amp;Courses!$A107&amp;", "&amp;BN$9&amp;", "&amp;BN$10&amp;", "&amp;BN$11&amp;"; ","")</f>
        <v/>
      </c>
      <c r="BO113" t="str">
        <f>IF(AND($W$9=1,Courses!X107&lt;0), "Row "&amp;Courses!$A107&amp;", "&amp;BO$9&amp;", "&amp;BO$10&amp;", "&amp;BO$11&amp;"; ","")</f>
        <v/>
      </c>
      <c r="BP113" t="str">
        <f>IF(AND($W$9=1,Courses!Y107&lt;0), "Row "&amp;Courses!$A107&amp;", "&amp;BP$9&amp;", "&amp;BP$10&amp;", "&amp;BP$11&amp;"; ","")</f>
        <v/>
      </c>
      <c r="BQ113" t="str">
        <f>IF(AND($W$9=1,Courses!Z107&lt;0), "Row "&amp;Courses!$A107&amp;", "&amp;BQ$9&amp;", "&amp;BQ$10&amp;", "&amp;BQ$11&amp;"; ","")</f>
        <v/>
      </c>
      <c r="BR113" s="2120" t="str">
        <f>IF(AND($W$9=1,Courses!AA107&lt;0), "Row "&amp;Courses!$A107&amp;", "&amp;BR$9&amp;", "&amp;BR$10&amp;"; ","")</f>
        <v/>
      </c>
      <c r="BT113" s="40">
        <v>94</v>
      </c>
      <c r="BU113" s="40">
        <f>IF(AND($X$9=1,Courses!B107="",Courses!F107="",Courses!H107="",Courses!J107="",Courses!K107="",Courses!L107="",Courses!M107=0,Courses!N107=0,Courses!O107=0,Courses!P107=0,Courses!Q107=0,Courses!R107=0,Courses!S107=0,Courses!T107=0,Courses!U107=0,Courses!V107=0,Courses!W107=0,Courses!X107=0,Courses!Y107=0,Courses!Z107=0,Courses!AA107=0),0,1)</f>
        <v>0</v>
      </c>
      <c r="BV113" s="40">
        <f>IF(AND(BU113=0,SUM(BU114:$BU$219)&gt;0),1,0)</f>
        <v>0</v>
      </c>
      <c r="BW113" s="1595" t="str">
        <f>IF(BV113=1,"Row "&amp;Courses!A107&amp;"; ","")</f>
        <v/>
      </c>
      <c r="BX113" s="17"/>
      <c r="BZ113" s="1592" t="str">
        <f>IF(AND($Y$9=1,Courses!B107&lt;&gt;"",SUM(Courses!M107:AA107)=0),"Row "&amp;Courses!A107&amp;"; ","")</f>
        <v/>
      </c>
      <c r="CA113" s="17"/>
      <c r="CC113" s="1592" t="str">
        <f>IF(AND($Z$9=1,Courses!AD107=1,(LEN(Courses!AB107)&gt;200)),"Row "&amp;Courses!A107&amp;"; ","")</f>
        <v/>
      </c>
      <c r="CE113" s="131"/>
      <c r="CG113" s="1593" t="str">
        <f>IF(AND($AD$9=1,Courses!E107&lt;&gt;"",Courses!F107&lt;&gt;"",Courses!F107=0,SUM(Courses!H107,Courses!J107)=1),"Row "&amp;Courses!A107&amp;", "&amp;Courses!$F$10&amp;"; ","")</f>
        <v/>
      </c>
      <c r="CH113" t="str">
        <f>IF(AND($AD$9=1,Courses!G107&lt;&gt;"",Courses!H107&lt;&gt;"",Courses!H107=0,SUM(Courses!J107,Courses!F107)=1),"Row "&amp;Courses!A107&amp;", "&amp;Courses!$H$10&amp;"; ","")</f>
        <v/>
      </c>
      <c r="CI113" s="183" t="str">
        <f>IF(AND($AD$9=1,Courses!I107&lt;&gt;"",Courses!J107&lt;&gt;"",Courses!J107=0, SUM(Courses!H107,Courses!F107)=1),"Row "&amp;Courses!A107&amp;", "&amp;Courses!$J$10&amp;"; ","")</f>
        <v/>
      </c>
      <c r="CJ113" s="180"/>
      <c r="CK113" s="181"/>
      <c r="CL113" s="1592" t="str">
        <f>IF(AND(Courses!B107&lt;&gt;"",ISNA(VLOOKUP(Courses!C107,CourseInfo,2,FALSE))=FALSE,COUNTIF(Dummy,Courses!C107)&lt;&gt;1),VLOOKUP(Courses!C107,CourseInfo,6,FALSE),"")</f>
        <v/>
      </c>
      <c r="CM113" s="1592" t="str">
        <f>IF(AND($AE$9=1,Courses!B107&lt;&gt;"",'Courses Valid'!AG113="",COUNTIF(Dummy,Courses!C107)&lt;&gt;1),IF(Courses!K107&lt;&gt;'Courses Valid'!CL113,"Row "&amp;Courses!A107&amp;", Level on LARS is "&amp;'Courses Valid'!CL113&amp;"; ",""),"")</f>
        <v/>
      </c>
      <c r="CN113" s="131"/>
    </row>
    <row r="114" spans="3:92" x14ac:dyDescent="0.35">
      <c r="C114" s="1591">
        <f t="shared" si="3"/>
        <v>0</v>
      </c>
      <c r="D114" s="41"/>
      <c r="E114" s="41"/>
      <c r="F114" s="118"/>
      <c r="G114" s="1592" t="str">
        <f>IF(SUMPRODUCT(--(CourseAims=Courses!$C108))=1,"",IF(AND($N$9=1,Courses!$C108&lt;&gt;""),"Row "&amp;Courses!A108&amp;" (invalid); ",""))</f>
        <v/>
      </c>
      <c r="H114" s="1592" t="str">
        <f>IF(AND($O$9=1,Courses!B108="",OR(Courses!F108&lt;&gt;"",Courses!H108&lt;&gt;"",Courses!J108&lt;&gt;"",Courses!K108&lt;&gt;"",Courses!L108&lt;&gt;"",Courses!M108&lt;&gt;0,Courses!N108&lt;&gt;0,Courses!O108&lt;&gt;0,Courses!P108&lt;&gt;0,Courses!Q108&lt;&gt;0,Courses!R108&lt;&gt;0,Courses!S108&lt;&gt;0,Courses!T108&lt;&gt;0,Courses!U108&lt;&gt;0,Courses!V108&lt;&gt;0,Courses!W108&lt;&gt;0,Courses!X108&lt;&gt;0,Courses!Y108&lt;&gt;0,Courses!Z108&lt;&gt;0,Courses!AA108&lt;&gt;0)),"Row "&amp;Courses!A108&amp;" (none); ","")</f>
        <v/>
      </c>
      <c r="I114" s="17"/>
      <c r="K114" s="1592" t="str">
        <f>Courses!B108&amp;Courses!K108&amp;Courses!L108</f>
        <v/>
      </c>
      <c r="L114" s="1592" t="str">
        <f>IF(AND($P$9=1,Courses!$B108&lt;&gt;"",COUNTIF(Dummy,Courses!$C108)&lt;&gt;1),IF(SUMPRODUCT(--($K$20:$K$219=$K114))&gt;1,"Row "&amp;Courses!$A108&amp;"; ",""),"")</f>
        <v/>
      </c>
      <c r="N114" s="118"/>
      <c r="O114" s="1593" t="str">
        <f>IF(AND($Q$9=1,Courses!E108&lt;&gt;"",Courses!F108=""),"Row "&amp;Courses!A108&amp;", "&amp;Courses!$E$10&amp;"; ","")</f>
        <v/>
      </c>
      <c r="P114" t="str">
        <f>IF(AND($Q$9=1,Courses!G108&lt;&gt;"",Courses!H108=""),"Row "&amp;Courses!A108&amp;", "&amp;Courses!$G$10&amp;"; ","")</f>
        <v/>
      </c>
      <c r="Q114" s="183" t="str">
        <f>IF(AND($Q$9=1,Courses!I108&lt;&gt;"",Courses!J108=""),"Row "&amp;Courses!A108&amp;", "&amp;Courses!$I$10&amp;"; ","")</f>
        <v/>
      </c>
      <c r="S114" s="17"/>
      <c r="T114" s="118"/>
      <c r="U114" s="1594" t="str">
        <f>IF(AND($R$9=1,Courses!B108&lt;&gt;"",Courses!E108&lt;&gt;"",Courses!G108="",Courses!I108="",Courses!F108&lt;&gt;1),"Row "&amp;Courses!A108&amp;"; ","")</f>
        <v/>
      </c>
      <c r="V114" t="str">
        <f>IF(AND($R$9=1,Courses!B108&lt;&gt;"",Courses!I108="",Courses!F108&lt;&gt;"",Courses!G108&lt;&gt;"",Courses!H108&lt;&gt;""),IF(OR((Courses!F108+Courses!H108)&lt;&gt;1),"Row "&amp;Courses!A108&amp;"; ",""),"")</f>
        <v/>
      </c>
      <c r="W114" s="183" t="str">
        <f>IF(AND($R$9=1,Courses!B108&lt;&gt;"",Courses!I108&lt;&gt;"",Courses!J108&lt;&gt;"",Courses!H108&lt;&gt;"",Courses!G108&lt;&gt;"",Courses!F108&lt;&gt;""),IF(OR((Courses!F108+Courses!H108+Courses!J108)&lt;&gt;1),"Row "&amp;Courses!A108&amp;"; ",""),"")</f>
        <v/>
      </c>
      <c r="Y114" s="1592" t="str">
        <f>IF(AND($R$9=1,Courses!E108&lt;&gt;"",U114="",V114="",W114="",SUM(Courses!F108,Courses!H108,Courses!J108)&lt;&gt;1),"Row "&amp;Courses!A108&amp;"; ","")</f>
        <v/>
      </c>
      <c r="Z114" s="17"/>
      <c r="AB114" s="1593" t="str">
        <f>IF(AND($S$9=1,Courses!B108&lt;&gt;"",Courses!E108&lt;&gt;"",Courses!F108&lt;&gt;""),IF((TRUNC(Courses!F108*100)&lt;&gt;Courses!F108*100),"Row "&amp;Courses!A108&amp;", "&amp;Courses!$F$10&amp;"; ",""),"")</f>
        <v/>
      </c>
      <c r="AC114" t="str">
        <f>IF(AND($S$9=1,Courses!B108&lt;&gt;"",Courses!G108&lt;&gt;"",Courses!H108&lt;&gt;""),IF((TRUNC(Courses!H108*100)&lt;&gt;Courses!H108*100),"Row "&amp;Courses!A108&amp;", "&amp;Courses!$H$10&amp;"; ",""),"")</f>
        <v/>
      </c>
      <c r="AD114" s="183" t="str">
        <f>IF(AND($S$9=1,Courses!B108&lt;&gt;"",Courses!I108&lt;&gt;"",Courses!J108&lt;&gt;""),IF((TRUNC(Courses!J108*100)&lt;&gt;Courses!J108*100),"Row "&amp;Courses!A108&amp;", "&amp;Courses!$J$10&amp;"; ",""),"")</f>
        <v/>
      </c>
      <c r="AF114" s="118"/>
      <c r="AG114" s="1592" t="str">
        <f>IF(AND($T$9=1,G114="",Courses!B108&lt;&gt;"",Courses!K108&lt;&gt;$B$9,Courses!K108&lt;&gt;$B$10,Courses!K108&lt;&gt;$B$11,Courses!K108&lt;&gt;$B$12,Courses!K108&lt;&gt;$B$13,Courses!K108&lt;&gt;$B$14),"Row "&amp;Courses!A108&amp;"; ","")</f>
        <v/>
      </c>
      <c r="AH114" s="1592" t="str">
        <f>IF(AND($U$9=1,G114="",Courses!B108&lt;&gt;"",Courses!L108&lt;&gt;"Standard",Courses!L108&lt;&gt;"Long"),"Row "&amp;Courses!A108&amp;"; ","")</f>
        <v/>
      </c>
      <c r="AJ114" s="118"/>
      <c r="AK114" s="3">
        <v>95</v>
      </c>
      <c r="AL114" s="1593" t="str">
        <f>IF(AND($V$9=1,(TRUNC(Courses!M108)&lt;&gt;Courses!M108)), "Row "&amp;Courses!$A108&amp;", "&amp;AL$9&amp;", "&amp;AL$10&amp;", "&amp;AL$11&amp;"; ","")</f>
        <v/>
      </c>
      <c r="AM114" t="str">
        <f>IF(AND($V$9=1,(TRUNC(Courses!N108)&lt;&gt;Courses!N108)), "Row "&amp;Courses!$A108&amp;", "&amp;AM$9&amp;", "&amp;AM$10&amp;", "&amp;AM$11&amp;"; ","")</f>
        <v/>
      </c>
      <c r="AN114" t="str">
        <f>IF(AND($V$9=1,(TRUNC(Courses!O108)&lt;&gt;Courses!O108)), "Row "&amp;Courses!$A108&amp;", "&amp;AN$9&amp;", "&amp;AN$10&amp;", "&amp;AN$11&amp;"; ","")</f>
        <v/>
      </c>
      <c r="AO114" t="str">
        <f>IF(AND($V$9=1,(TRUNC(Courses!P108)&lt;&gt;Courses!P108)), "Row "&amp;Courses!$A108&amp;", "&amp;AO$9&amp;", "&amp;AO$10&amp;", "&amp;AO$11&amp;"; ","")</f>
        <v/>
      </c>
      <c r="AP114" s="2120" t="str">
        <f>IF(AND($V$9=1,(TRUNC(Courses!Q108)&lt;&gt;Courses!Q108)), "Row "&amp;Courses!$A108&amp;", "&amp;AP$9&amp;", "&amp;AP$10&amp;"; ","")</f>
        <v/>
      </c>
      <c r="AQ114" s="1593" t="str">
        <f>IF(AND($V$9=1,(TRUNC(Courses!R108)&lt;&gt;Courses!R108)), "Row "&amp;Courses!$A108&amp;", "&amp;AQ$9&amp;", "&amp;AQ$10&amp;", "&amp;AQ$11&amp;"; ","")</f>
        <v/>
      </c>
      <c r="AR114" t="str">
        <f>IF(AND($V$9=1,(TRUNC(Courses!S108)&lt;&gt;Courses!S108)), "Row "&amp;Courses!$A108&amp;", "&amp;AR$9&amp;", "&amp;AR$10&amp;", "&amp;AR$11&amp;"; ","")</f>
        <v/>
      </c>
      <c r="AS114" t="str">
        <f>IF(AND($V$9=1,(TRUNC(Courses!T108)&lt;&gt;Courses!T108)), "Row "&amp;Courses!$A108&amp;", "&amp;AS$9&amp;", "&amp;AS$10&amp;", "&amp;AS$11&amp;"; ","")</f>
        <v/>
      </c>
      <c r="AT114" t="str">
        <f>IF(AND($V$9=1,(TRUNC(Courses!U108)&lt;&gt;Courses!U108)), "Row "&amp;Courses!$A108&amp;", "&amp;AT$9&amp;", "&amp;AT$10&amp;", "&amp;AT$11&amp;"; ","")</f>
        <v/>
      </c>
      <c r="AU114" s="2120" t="str">
        <f>IF(AND($V$9=1,(TRUNC(Courses!V108)&lt;&gt;Courses!V108)), "Row "&amp;Courses!$A108&amp;", "&amp;AU$9&amp;", "&amp;AU$10&amp;"; ","")</f>
        <v/>
      </c>
      <c r="AV114" s="1593" t="str">
        <f>IF(AND($V$9=1,(TRUNC(Courses!W108)&lt;&gt;Courses!W108)), "Row "&amp;Courses!$A108&amp;", "&amp;AV$9&amp;", "&amp;AV$10&amp;", "&amp;AV$11&amp;"; ","")</f>
        <v/>
      </c>
      <c r="AW114" t="str">
        <f>IF(AND($V$9=1,(TRUNC(Courses!X108)&lt;&gt;Courses!X108)), "Row "&amp;Courses!$A108&amp;", "&amp;AW$9&amp;", "&amp;AW$10&amp;", "&amp;AW$11&amp;"; ","")</f>
        <v/>
      </c>
      <c r="AX114" t="str">
        <f>IF(AND($V$9=1,(TRUNC(Courses!Y108)&lt;&gt;Courses!Y108)), "Row "&amp;Courses!$A108&amp;", "&amp;AX$9&amp;", "&amp;AX$10&amp;", "&amp;AX$11&amp;"; ","")</f>
        <v/>
      </c>
      <c r="AY114" t="str">
        <f>IF(AND($V$9=1,(TRUNC(Courses!Z108)&lt;&gt;Courses!Z108)), "Row "&amp;Courses!$A108&amp;", "&amp;AY$9&amp;", "&amp;AY$10&amp;", "&amp;AY$11&amp;"; ","")</f>
        <v/>
      </c>
      <c r="AZ114" s="2120" t="str">
        <f>IF(AND($V$9=1,(TRUNC(Courses!AA108)&lt;&gt;Courses!AA108)), "Row "&amp;Courses!$A108&amp;", "&amp;AZ$9&amp;", "&amp;AZ$10&amp;"; ","")</f>
        <v/>
      </c>
      <c r="BB114" s="118"/>
      <c r="BC114" s="3">
        <v>95</v>
      </c>
      <c r="BD114" s="1593" t="str">
        <f>IF(AND($W$9=1,Courses!M108&lt;0), "Row "&amp;Courses!$A108&amp;", "&amp;BD$9&amp;", "&amp;BD$10&amp;", "&amp;BD$11&amp;"; ","")</f>
        <v/>
      </c>
      <c r="BE114" t="str">
        <f>IF(AND($W$9=1,Courses!N108&lt;0), "Row "&amp;Courses!$A108&amp;", "&amp;BE$9&amp;", "&amp;BE$10&amp;", "&amp;BE$11&amp;"; ","")</f>
        <v/>
      </c>
      <c r="BF114" t="str">
        <f>IF(AND($W$9=1,Courses!O108&lt;0), "Row "&amp;Courses!$A108&amp;", "&amp;BF$9&amp;", "&amp;BF$10&amp;", "&amp;BF$11&amp;"; ","")</f>
        <v/>
      </c>
      <c r="BG114" t="str">
        <f>IF(AND($W$9=1,Courses!P108&lt;0), "Row "&amp;Courses!$A108&amp;", "&amp;BG$9&amp;", "&amp;BG$10&amp;", "&amp;BG$11&amp;"; ","")</f>
        <v/>
      </c>
      <c r="BH114" s="2120" t="str">
        <f>IF(AND($W$9=1,Courses!Q108&lt;0), "Row "&amp;Courses!$A108&amp;", "&amp;BH$9&amp;", "&amp;BH$10&amp;"; ","")</f>
        <v/>
      </c>
      <c r="BI114" s="1593" t="str">
        <f>IF(AND($W$9=1,Courses!R108&lt;0), "Row "&amp;Courses!$A108&amp;", "&amp;BI$9&amp;", "&amp;BI$10&amp;", "&amp;BI$11&amp;"; ","")</f>
        <v/>
      </c>
      <c r="BJ114" t="str">
        <f>IF(AND($W$9=1,Courses!S108&lt;0), "Row "&amp;Courses!$A108&amp;", "&amp;BJ$9&amp;", "&amp;BJ$10&amp;", "&amp;BJ$11&amp;"; ","")</f>
        <v/>
      </c>
      <c r="BK114" t="str">
        <f>IF(AND($W$9=1,Courses!T108&lt;0), "Row "&amp;Courses!$A108&amp;", "&amp;BK$9&amp;", "&amp;BK$10&amp;", "&amp;BK$11&amp;"; ","")</f>
        <v/>
      </c>
      <c r="BL114" t="str">
        <f>IF(AND($W$9=1,Courses!U108&lt;0), "Row "&amp;Courses!$A108&amp;", "&amp;BL$9&amp;", "&amp;BL$10&amp;", "&amp;BL$11&amp;"; ","")</f>
        <v/>
      </c>
      <c r="BM114" s="2120" t="str">
        <f>IF(AND($W$9=1,Courses!V108&lt;0), "Row "&amp;Courses!$A108&amp;", "&amp;BM$9&amp;", "&amp;BM$10&amp;"; ","")</f>
        <v/>
      </c>
      <c r="BN114" s="1593" t="str">
        <f>IF(AND($W$9=1,Courses!W108&lt;0), "Row "&amp;Courses!$A108&amp;", "&amp;BN$9&amp;", "&amp;BN$10&amp;", "&amp;BN$11&amp;"; ","")</f>
        <v/>
      </c>
      <c r="BO114" t="str">
        <f>IF(AND($W$9=1,Courses!X108&lt;0), "Row "&amp;Courses!$A108&amp;", "&amp;BO$9&amp;", "&amp;BO$10&amp;", "&amp;BO$11&amp;"; ","")</f>
        <v/>
      </c>
      <c r="BP114" t="str">
        <f>IF(AND($W$9=1,Courses!Y108&lt;0), "Row "&amp;Courses!$A108&amp;", "&amp;BP$9&amp;", "&amp;BP$10&amp;", "&amp;BP$11&amp;"; ","")</f>
        <v/>
      </c>
      <c r="BQ114" t="str">
        <f>IF(AND($W$9=1,Courses!Z108&lt;0), "Row "&amp;Courses!$A108&amp;", "&amp;BQ$9&amp;", "&amp;BQ$10&amp;", "&amp;BQ$11&amp;"; ","")</f>
        <v/>
      </c>
      <c r="BR114" s="2120" t="str">
        <f>IF(AND($W$9=1,Courses!AA108&lt;0), "Row "&amp;Courses!$A108&amp;", "&amp;BR$9&amp;", "&amp;BR$10&amp;"; ","")</f>
        <v/>
      </c>
      <c r="BT114" s="40">
        <v>95</v>
      </c>
      <c r="BU114" s="40">
        <f>IF(AND($X$9=1,Courses!B108="",Courses!F108="",Courses!H108="",Courses!J108="",Courses!K108="",Courses!L108="",Courses!M108=0,Courses!N108=0,Courses!O108=0,Courses!P108=0,Courses!Q108=0,Courses!R108=0,Courses!S108=0,Courses!T108=0,Courses!U108=0,Courses!V108=0,Courses!W108=0,Courses!X108=0,Courses!Y108=0,Courses!Z108=0,Courses!AA108=0),0,1)</f>
        <v>0</v>
      </c>
      <c r="BV114" s="40">
        <f>IF(AND(BU114=0,SUM(BU115:$BU$219)&gt;0),1,0)</f>
        <v>0</v>
      </c>
      <c r="BW114" s="1595" t="str">
        <f>IF(BV114=1,"Row "&amp;Courses!A108&amp;"; ","")</f>
        <v/>
      </c>
      <c r="BX114" s="17"/>
      <c r="BZ114" s="1592" t="str">
        <f>IF(AND($Y$9=1,Courses!B108&lt;&gt;"",SUM(Courses!M108:AA108)=0),"Row "&amp;Courses!A108&amp;"; ","")</f>
        <v/>
      </c>
      <c r="CA114" s="17"/>
      <c r="CC114" s="1592" t="str">
        <f>IF(AND($Z$9=1,Courses!AD108=1,(LEN(Courses!AB108)&gt;200)),"Row "&amp;Courses!A108&amp;"; ","")</f>
        <v/>
      </c>
      <c r="CE114" s="131"/>
      <c r="CG114" s="1593" t="str">
        <f>IF(AND($AD$9=1,Courses!E108&lt;&gt;"",Courses!F108&lt;&gt;"",Courses!F108=0,SUM(Courses!H108,Courses!J108)=1),"Row "&amp;Courses!A108&amp;", "&amp;Courses!$F$10&amp;"; ","")</f>
        <v/>
      </c>
      <c r="CH114" t="str">
        <f>IF(AND($AD$9=1,Courses!G108&lt;&gt;"",Courses!H108&lt;&gt;"",Courses!H108=0,SUM(Courses!J108,Courses!F108)=1),"Row "&amp;Courses!A108&amp;", "&amp;Courses!$H$10&amp;"; ","")</f>
        <v/>
      </c>
      <c r="CI114" s="183" t="str">
        <f>IF(AND($AD$9=1,Courses!I108&lt;&gt;"",Courses!J108&lt;&gt;"",Courses!J108=0, SUM(Courses!H108,Courses!F108)=1),"Row "&amp;Courses!A108&amp;", "&amp;Courses!$J$10&amp;"; ","")</f>
        <v/>
      </c>
      <c r="CJ114" s="180"/>
      <c r="CK114" s="181"/>
      <c r="CL114" s="1592" t="str">
        <f>IF(AND(Courses!B108&lt;&gt;"",ISNA(VLOOKUP(Courses!C108,CourseInfo,2,FALSE))=FALSE,COUNTIF(Dummy,Courses!C108)&lt;&gt;1),VLOOKUP(Courses!C108,CourseInfo,6,FALSE),"")</f>
        <v/>
      </c>
      <c r="CM114" s="1592" t="str">
        <f>IF(AND($AE$9=1,Courses!B108&lt;&gt;"",'Courses Valid'!AG114="",COUNTIF(Dummy,Courses!C108)&lt;&gt;1),IF(Courses!K108&lt;&gt;'Courses Valid'!CL114,"Row "&amp;Courses!A108&amp;", Level on LARS is "&amp;'Courses Valid'!CL114&amp;"; ",""),"")</f>
        <v/>
      </c>
      <c r="CN114" s="131"/>
    </row>
    <row r="115" spans="3:92" x14ac:dyDescent="0.35">
      <c r="C115" s="1591">
        <f t="shared" si="3"/>
        <v>0</v>
      </c>
      <c r="D115" s="41"/>
      <c r="E115" s="41"/>
      <c r="F115" s="118"/>
      <c r="G115" s="1592" t="str">
        <f>IF(SUMPRODUCT(--(CourseAims=Courses!$C109))=1,"",IF(AND($N$9=1,Courses!$C109&lt;&gt;""),"Row "&amp;Courses!A109&amp;" (invalid); ",""))</f>
        <v/>
      </c>
      <c r="H115" s="1592" t="str">
        <f>IF(AND($O$9=1,Courses!B109="",OR(Courses!F109&lt;&gt;"",Courses!H109&lt;&gt;"",Courses!J109&lt;&gt;"",Courses!K109&lt;&gt;"",Courses!L109&lt;&gt;"",Courses!M109&lt;&gt;0,Courses!N109&lt;&gt;0,Courses!O109&lt;&gt;0,Courses!P109&lt;&gt;0,Courses!Q109&lt;&gt;0,Courses!R109&lt;&gt;0,Courses!S109&lt;&gt;0,Courses!T109&lt;&gt;0,Courses!U109&lt;&gt;0,Courses!V109&lt;&gt;0,Courses!W109&lt;&gt;0,Courses!X109&lt;&gt;0,Courses!Y109&lt;&gt;0,Courses!Z109&lt;&gt;0,Courses!AA109&lt;&gt;0)),"Row "&amp;Courses!A109&amp;" (none); ","")</f>
        <v/>
      </c>
      <c r="I115" s="17"/>
      <c r="K115" s="1592" t="str">
        <f>Courses!B109&amp;Courses!K109&amp;Courses!L109</f>
        <v/>
      </c>
      <c r="L115" s="1592" t="str">
        <f>IF(AND($P$9=1,Courses!$B109&lt;&gt;"",COUNTIF(Dummy,Courses!$C109)&lt;&gt;1),IF(SUMPRODUCT(--($K$20:$K$219=$K115))&gt;1,"Row "&amp;Courses!$A109&amp;"; ",""),"")</f>
        <v/>
      </c>
      <c r="N115" s="118"/>
      <c r="O115" s="1593" t="str">
        <f>IF(AND($Q$9=1,Courses!E109&lt;&gt;"",Courses!F109=""),"Row "&amp;Courses!A109&amp;", "&amp;Courses!$E$10&amp;"; ","")</f>
        <v/>
      </c>
      <c r="P115" t="str">
        <f>IF(AND($Q$9=1,Courses!G109&lt;&gt;"",Courses!H109=""),"Row "&amp;Courses!A109&amp;", "&amp;Courses!$G$10&amp;"; ","")</f>
        <v/>
      </c>
      <c r="Q115" s="183" t="str">
        <f>IF(AND($Q$9=1,Courses!I109&lt;&gt;"",Courses!J109=""),"Row "&amp;Courses!A109&amp;", "&amp;Courses!$I$10&amp;"; ","")</f>
        <v/>
      </c>
      <c r="S115" s="17"/>
      <c r="T115" s="118"/>
      <c r="U115" s="1594" t="str">
        <f>IF(AND($R$9=1,Courses!B109&lt;&gt;"",Courses!E109&lt;&gt;"",Courses!G109="",Courses!I109="",Courses!F109&lt;&gt;1),"Row "&amp;Courses!A109&amp;"; ","")</f>
        <v/>
      </c>
      <c r="V115" t="str">
        <f>IF(AND($R$9=1,Courses!B109&lt;&gt;"",Courses!I109="",Courses!F109&lt;&gt;"",Courses!G109&lt;&gt;"",Courses!H109&lt;&gt;""),IF(OR((Courses!F109+Courses!H109)&lt;&gt;1),"Row "&amp;Courses!A109&amp;"; ",""),"")</f>
        <v/>
      </c>
      <c r="W115" s="183" t="str">
        <f>IF(AND($R$9=1,Courses!B109&lt;&gt;"",Courses!I109&lt;&gt;"",Courses!J109&lt;&gt;"",Courses!H109&lt;&gt;"",Courses!G109&lt;&gt;"",Courses!F109&lt;&gt;""),IF(OR((Courses!F109+Courses!H109+Courses!J109)&lt;&gt;1),"Row "&amp;Courses!A109&amp;"; ",""),"")</f>
        <v/>
      </c>
      <c r="Y115" s="1592" t="str">
        <f>IF(AND($R$9=1,Courses!E109&lt;&gt;"",U115="",V115="",W115="",SUM(Courses!F109,Courses!H109,Courses!J109)&lt;&gt;1),"Row "&amp;Courses!A109&amp;"; ","")</f>
        <v/>
      </c>
      <c r="Z115" s="17"/>
      <c r="AB115" s="1593" t="str">
        <f>IF(AND($S$9=1,Courses!B109&lt;&gt;"",Courses!E109&lt;&gt;"",Courses!F109&lt;&gt;""),IF((TRUNC(Courses!F109*100)&lt;&gt;Courses!F109*100),"Row "&amp;Courses!A109&amp;", "&amp;Courses!$F$10&amp;"; ",""),"")</f>
        <v/>
      </c>
      <c r="AC115" t="str">
        <f>IF(AND($S$9=1,Courses!B109&lt;&gt;"",Courses!G109&lt;&gt;"",Courses!H109&lt;&gt;""),IF((TRUNC(Courses!H109*100)&lt;&gt;Courses!H109*100),"Row "&amp;Courses!A109&amp;", "&amp;Courses!$H$10&amp;"; ",""),"")</f>
        <v/>
      </c>
      <c r="AD115" s="183" t="str">
        <f>IF(AND($S$9=1,Courses!B109&lt;&gt;"",Courses!I109&lt;&gt;"",Courses!J109&lt;&gt;""),IF((TRUNC(Courses!J109*100)&lt;&gt;Courses!J109*100),"Row "&amp;Courses!A109&amp;", "&amp;Courses!$J$10&amp;"; ",""),"")</f>
        <v/>
      </c>
      <c r="AF115" s="118"/>
      <c r="AG115" s="1592" t="str">
        <f>IF(AND($T$9=1,G115="",Courses!B109&lt;&gt;"",Courses!K109&lt;&gt;$B$9,Courses!K109&lt;&gt;$B$10,Courses!K109&lt;&gt;$B$11,Courses!K109&lt;&gt;$B$12,Courses!K109&lt;&gt;$B$13,Courses!K109&lt;&gt;$B$14),"Row "&amp;Courses!A109&amp;"; ","")</f>
        <v/>
      </c>
      <c r="AH115" s="1592" t="str">
        <f>IF(AND($U$9=1,G115="",Courses!B109&lt;&gt;"",Courses!L109&lt;&gt;"Standard",Courses!L109&lt;&gt;"Long"),"Row "&amp;Courses!A109&amp;"; ","")</f>
        <v/>
      </c>
      <c r="AJ115" s="118"/>
      <c r="AK115" s="3">
        <v>96</v>
      </c>
      <c r="AL115" s="1593" t="str">
        <f>IF(AND($V$9=1,(TRUNC(Courses!M109)&lt;&gt;Courses!M109)), "Row "&amp;Courses!$A109&amp;", "&amp;AL$9&amp;", "&amp;AL$10&amp;", "&amp;AL$11&amp;"; ","")</f>
        <v/>
      </c>
      <c r="AM115" t="str">
        <f>IF(AND($V$9=1,(TRUNC(Courses!N109)&lt;&gt;Courses!N109)), "Row "&amp;Courses!$A109&amp;", "&amp;AM$9&amp;", "&amp;AM$10&amp;", "&amp;AM$11&amp;"; ","")</f>
        <v/>
      </c>
      <c r="AN115" t="str">
        <f>IF(AND($V$9=1,(TRUNC(Courses!O109)&lt;&gt;Courses!O109)), "Row "&amp;Courses!$A109&amp;", "&amp;AN$9&amp;", "&amp;AN$10&amp;", "&amp;AN$11&amp;"; ","")</f>
        <v/>
      </c>
      <c r="AO115" t="str">
        <f>IF(AND($V$9=1,(TRUNC(Courses!P109)&lt;&gt;Courses!P109)), "Row "&amp;Courses!$A109&amp;", "&amp;AO$9&amp;", "&amp;AO$10&amp;", "&amp;AO$11&amp;"; ","")</f>
        <v/>
      </c>
      <c r="AP115" s="2120" t="str">
        <f>IF(AND($V$9=1,(TRUNC(Courses!Q109)&lt;&gt;Courses!Q109)), "Row "&amp;Courses!$A109&amp;", "&amp;AP$9&amp;", "&amp;AP$10&amp;"; ","")</f>
        <v/>
      </c>
      <c r="AQ115" s="1593" t="str">
        <f>IF(AND($V$9=1,(TRUNC(Courses!R109)&lt;&gt;Courses!R109)), "Row "&amp;Courses!$A109&amp;", "&amp;AQ$9&amp;", "&amp;AQ$10&amp;", "&amp;AQ$11&amp;"; ","")</f>
        <v/>
      </c>
      <c r="AR115" t="str">
        <f>IF(AND($V$9=1,(TRUNC(Courses!S109)&lt;&gt;Courses!S109)), "Row "&amp;Courses!$A109&amp;", "&amp;AR$9&amp;", "&amp;AR$10&amp;", "&amp;AR$11&amp;"; ","")</f>
        <v/>
      </c>
      <c r="AS115" t="str">
        <f>IF(AND($V$9=1,(TRUNC(Courses!T109)&lt;&gt;Courses!T109)), "Row "&amp;Courses!$A109&amp;", "&amp;AS$9&amp;", "&amp;AS$10&amp;", "&amp;AS$11&amp;"; ","")</f>
        <v/>
      </c>
      <c r="AT115" t="str">
        <f>IF(AND($V$9=1,(TRUNC(Courses!U109)&lt;&gt;Courses!U109)), "Row "&amp;Courses!$A109&amp;", "&amp;AT$9&amp;", "&amp;AT$10&amp;", "&amp;AT$11&amp;"; ","")</f>
        <v/>
      </c>
      <c r="AU115" s="2120" t="str">
        <f>IF(AND($V$9=1,(TRUNC(Courses!V109)&lt;&gt;Courses!V109)), "Row "&amp;Courses!$A109&amp;", "&amp;AU$9&amp;", "&amp;AU$10&amp;"; ","")</f>
        <v/>
      </c>
      <c r="AV115" s="1593" t="str">
        <f>IF(AND($V$9=1,(TRUNC(Courses!W109)&lt;&gt;Courses!W109)), "Row "&amp;Courses!$A109&amp;", "&amp;AV$9&amp;", "&amp;AV$10&amp;", "&amp;AV$11&amp;"; ","")</f>
        <v/>
      </c>
      <c r="AW115" t="str">
        <f>IF(AND($V$9=1,(TRUNC(Courses!X109)&lt;&gt;Courses!X109)), "Row "&amp;Courses!$A109&amp;", "&amp;AW$9&amp;", "&amp;AW$10&amp;", "&amp;AW$11&amp;"; ","")</f>
        <v/>
      </c>
      <c r="AX115" t="str">
        <f>IF(AND($V$9=1,(TRUNC(Courses!Y109)&lt;&gt;Courses!Y109)), "Row "&amp;Courses!$A109&amp;", "&amp;AX$9&amp;", "&amp;AX$10&amp;", "&amp;AX$11&amp;"; ","")</f>
        <v/>
      </c>
      <c r="AY115" t="str">
        <f>IF(AND($V$9=1,(TRUNC(Courses!Z109)&lt;&gt;Courses!Z109)), "Row "&amp;Courses!$A109&amp;", "&amp;AY$9&amp;", "&amp;AY$10&amp;", "&amp;AY$11&amp;"; ","")</f>
        <v/>
      </c>
      <c r="AZ115" s="2120" t="str">
        <f>IF(AND($V$9=1,(TRUNC(Courses!AA109)&lt;&gt;Courses!AA109)), "Row "&amp;Courses!$A109&amp;", "&amp;AZ$9&amp;", "&amp;AZ$10&amp;"; ","")</f>
        <v/>
      </c>
      <c r="BB115" s="118"/>
      <c r="BC115" s="3">
        <v>96</v>
      </c>
      <c r="BD115" s="1593" t="str">
        <f>IF(AND($W$9=1,Courses!M109&lt;0), "Row "&amp;Courses!$A109&amp;", "&amp;BD$9&amp;", "&amp;BD$10&amp;", "&amp;BD$11&amp;"; ","")</f>
        <v/>
      </c>
      <c r="BE115" t="str">
        <f>IF(AND($W$9=1,Courses!N109&lt;0), "Row "&amp;Courses!$A109&amp;", "&amp;BE$9&amp;", "&amp;BE$10&amp;", "&amp;BE$11&amp;"; ","")</f>
        <v/>
      </c>
      <c r="BF115" t="str">
        <f>IF(AND($W$9=1,Courses!O109&lt;0), "Row "&amp;Courses!$A109&amp;", "&amp;BF$9&amp;", "&amp;BF$10&amp;", "&amp;BF$11&amp;"; ","")</f>
        <v/>
      </c>
      <c r="BG115" t="str">
        <f>IF(AND($W$9=1,Courses!P109&lt;0), "Row "&amp;Courses!$A109&amp;", "&amp;BG$9&amp;", "&amp;BG$10&amp;", "&amp;BG$11&amp;"; ","")</f>
        <v/>
      </c>
      <c r="BH115" s="2120" t="str">
        <f>IF(AND($W$9=1,Courses!Q109&lt;0), "Row "&amp;Courses!$A109&amp;", "&amp;BH$9&amp;", "&amp;BH$10&amp;"; ","")</f>
        <v/>
      </c>
      <c r="BI115" s="1593" t="str">
        <f>IF(AND($W$9=1,Courses!R109&lt;0), "Row "&amp;Courses!$A109&amp;", "&amp;BI$9&amp;", "&amp;BI$10&amp;", "&amp;BI$11&amp;"; ","")</f>
        <v/>
      </c>
      <c r="BJ115" t="str">
        <f>IF(AND($W$9=1,Courses!S109&lt;0), "Row "&amp;Courses!$A109&amp;", "&amp;BJ$9&amp;", "&amp;BJ$10&amp;", "&amp;BJ$11&amp;"; ","")</f>
        <v/>
      </c>
      <c r="BK115" t="str">
        <f>IF(AND($W$9=1,Courses!T109&lt;0), "Row "&amp;Courses!$A109&amp;", "&amp;BK$9&amp;", "&amp;BK$10&amp;", "&amp;BK$11&amp;"; ","")</f>
        <v/>
      </c>
      <c r="BL115" t="str">
        <f>IF(AND($W$9=1,Courses!U109&lt;0), "Row "&amp;Courses!$A109&amp;", "&amp;BL$9&amp;", "&amp;BL$10&amp;", "&amp;BL$11&amp;"; ","")</f>
        <v/>
      </c>
      <c r="BM115" s="2120" t="str">
        <f>IF(AND($W$9=1,Courses!V109&lt;0), "Row "&amp;Courses!$A109&amp;", "&amp;BM$9&amp;", "&amp;BM$10&amp;"; ","")</f>
        <v/>
      </c>
      <c r="BN115" s="1593" t="str">
        <f>IF(AND($W$9=1,Courses!W109&lt;0), "Row "&amp;Courses!$A109&amp;", "&amp;BN$9&amp;", "&amp;BN$10&amp;", "&amp;BN$11&amp;"; ","")</f>
        <v/>
      </c>
      <c r="BO115" t="str">
        <f>IF(AND($W$9=1,Courses!X109&lt;0), "Row "&amp;Courses!$A109&amp;", "&amp;BO$9&amp;", "&amp;BO$10&amp;", "&amp;BO$11&amp;"; ","")</f>
        <v/>
      </c>
      <c r="BP115" t="str">
        <f>IF(AND($W$9=1,Courses!Y109&lt;0), "Row "&amp;Courses!$A109&amp;", "&amp;BP$9&amp;", "&amp;BP$10&amp;", "&amp;BP$11&amp;"; ","")</f>
        <v/>
      </c>
      <c r="BQ115" t="str">
        <f>IF(AND($W$9=1,Courses!Z109&lt;0), "Row "&amp;Courses!$A109&amp;", "&amp;BQ$9&amp;", "&amp;BQ$10&amp;", "&amp;BQ$11&amp;"; ","")</f>
        <v/>
      </c>
      <c r="BR115" s="2120" t="str">
        <f>IF(AND($W$9=1,Courses!AA109&lt;0), "Row "&amp;Courses!$A109&amp;", "&amp;BR$9&amp;", "&amp;BR$10&amp;"; ","")</f>
        <v/>
      </c>
      <c r="BT115" s="40">
        <v>96</v>
      </c>
      <c r="BU115" s="40">
        <f>IF(AND($X$9=1,Courses!B109="",Courses!F109="",Courses!H109="",Courses!J109="",Courses!K109="",Courses!L109="",Courses!M109=0,Courses!N109=0,Courses!O109=0,Courses!P109=0,Courses!Q109=0,Courses!R109=0,Courses!S109=0,Courses!T109=0,Courses!U109=0,Courses!V109=0,Courses!W109=0,Courses!X109=0,Courses!Y109=0,Courses!Z109=0,Courses!AA109=0),0,1)</f>
        <v>0</v>
      </c>
      <c r="BV115" s="40">
        <f>IF(AND(BU115=0,SUM(BU116:$BU$219)&gt;0),1,0)</f>
        <v>0</v>
      </c>
      <c r="BW115" s="1595" t="str">
        <f>IF(BV115=1,"Row "&amp;Courses!A109&amp;"; ","")</f>
        <v/>
      </c>
      <c r="BX115" s="17"/>
      <c r="BZ115" s="1592" t="str">
        <f>IF(AND($Y$9=1,Courses!B109&lt;&gt;"",SUM(Courses!M109:AA109)=0),"Row "&amp;Courses!A109&amp;"; ","")</f>
        <v/>
      </c>
      <c r="CA115" s="17"/>
      <c r="CC115" s="1592" t="str">
        <f>IF(AND($Z$9=1,Courses!AD109=1,(LEN(Courses!AB109)&gt;200)),"Row "&amp;Courses!A109&amp;"; ","")</f>
        <v/>
      </c>
      <c r="CE115" s="131"/>
      <c r="CG115" s="1593" t="str">
        <f>IF(AND($AD$9=1,Courses!E109&lt;&gt;"",Courses!F109&lt;&gt;"",Courses!F109=0,SUM(Courses!H109,Courses!J109)=1),"Row "&amp;Courses!A109&amp;", "&amp;Courses!$F$10&amp;"; ","")</f>
        <v/>
      </c>
      <c r="CH115" t="str">
        <f>IF(AND($AD$9=1,Courses!G109&lt;&gt;"",Courses!H109&lt;&gt;"",Courses!H109=0,SUM(Courses!J109,Courses!F109)=1),"Row "&amp;Courses!A109&amp;", "&amp;Courses!$H$10&amp;"; ","")</f>
        <v/>
      </c>
      <c r="CI115" s="183" t="str">
        <f>IF(AND($AD$9=1,Courses!I109&lt;&gt;"",Courses!J109&lt;&gt;"",Courses!J109=0, SUM(Courses!H109,Courses!F109)=1),"Row "&amp;Courses!A109&amp;", "&amp;Courses!$J$10&amp;"; ","")</f>
        <v/>
      </c>
      <c r="CJ115" s="180"/>
      <c r="CK115" s="181"/>
      <c r="CL115" s="1592" t="str">
        <f>IF(AND(Courses!B109&lt;&gt;"",ISNA(VLOOKUP(Courses!C109,CourseInfo,2,FALSE))=FALSE,COUNTIF(Dummy,Courses!C109)&lt;&gt;1),VLOOKUP(Courses!C109,CourseInfo,6,FALSE),"")</f>
        <v/>
      </c>
      <c r="CM115" s="1592" t="str">
        <f>IF(AND($AE$9=1,Courses!B109&lt;&gt;"",'Courses Valid'!AG115="",COUNTIF(Dummy,Courses!C109)&lt;&gt;1),IF(Courses!K109&lt;&gt;'Courses Valid'!CL115,"Row "&amp;Courses!A109&amp;", Level on LARS is "&amp;'Courses Valid'!CL115&amp;"; ",""),"")</f>
        <v/>
      </c>
      <c r="CN115" s="131"/>
    </row>
    <row r="116" spans="3:92" x14ac:dyDescent="0.35">
      <c r="C116" s="1591">
        <f t="shared" si="3"/>
        <v>0</v>
      </c>
      <c r="D116" s="41"/>
      <c r="E116" s="41"/>
      <c r="F116" s="118"/>
      <c r="G116" s="1592" t="str">
        <f>IF(SUMPRODUCT(--(CourseAims=Courses!$C110))=1,"",IF(AND($N$9=1,Courses!$C110&lt;&gt;""),"Row "&amp;Courses!A110&amp;" (invalid); ",""))</f>
        <v/>
      </c>
      <c r="H116" s="1592" t="str">
        <f>IF(AND($O$9=1,Courses!B110="",OR(Courses!F110&lt;&gt;"",Courses!H110&lt;&gt;"",Courses!J110&lt;&gt;"",Courses!K110&lt;&gt;"",Courses!L110&lt;&gt;"",Courses!M110&lt;&gt;0,Courses!N110&lt;&gt;0,Courses!O110&lt;&gt;0,Courses!P110&lt;&gt;0,Courses!Q110&lt;&gt;0,Courses!R110&lt;&gt;0,Courses!S110&lt;&gt;0,Courses!T110&lt;&gt;0,Courses!U110&lt;&gt;0,Courses!V110&lt;&gt;0,Courses!W110&lt;&gt;0,Courses!X110&lt;&gt;0,Courses!Y110&lt;&gt;0,Courses!Z110&lt;&gt;0,Courses!AA110&lt;&gt;0)),"Row "&amp;Courses!A110&amp;" (none); ","")</f>
        <v/>
      </c>
      <c r="I116" s="17"/>
      <c r="K116" s="1592" t="str">
        <f>Courses!B110&amp;Courses!K110&amp;Courses!L110</f>
        <v/>
      </c>
      <c r="L116" s="1592" t="str">
        <f>IF(AND($P$9=1,Courses!$B110&lt;&gt;"",COUNTIF(Dummy,Courses!$C110)&lt;&gt;1),IF(SUMPRODUCT(--($K$20:$K$219=$K116))&gt;1,"Row "&amp;Courses!$A110&amp;"; ",""),"")</f>
        <v/>
      </c>
      <c r="N116" s="118"/>
      <c r="O116" s="1593" t="str">
        <f>IF(AND($Q$9=1,Courses!E110&lt;&gt;"",Courses!F110=""),"Row "&amp;Courses!A110&amp;", "&amp;Courses!$E$10&amp;"; ","")</f>
        <v/>
      </c>
      <c r="P116" t="str">
        <f>IF(AND($Q$9=1,Courses!G110&lt;&gt;"",Courses!H110=""),"Row "&amp;Courses!A110&amp;", "&amp;Courses!$G$10&amp;"; ","")</f>
        <v/>
      </c>
      <c r="Q116" s="183" t="str">
        <f>IF(AND($Q$9=1,Courses!I110&lt;&gt;"",Courses!J110=""),"Row "&amp;Courses!A110&amp;", "&amp;Courses!$I$10&amp;"; ","")</f>
        <v/>
      </c>
      <c r="S116" s="17"/>
      <c r="T116" s="118"/>
      <c r="U116" s="1594" t="str">
        <f>IF(AND($R$9=1,Courses!B110&lt;&gt;"",Courses!E110&lt;&gt;"",Courses!G110="",Courses!I110="",Courses!F110&lt;&gt;1),"Row "&amp;Courses!A110&amp;"; ","")</f>
        <v/>
      </c>
      <c r="V116" t="str">
        <f>IF(AND($R$9=1,Courses!B110&lt;&gt;"",Courses!I110="",Courses!F110&lt;&gt;"",Courses!G110&lt;&gt;"",Courses!H110&lt;&gt;""),IF(OR((Courses!F110+Courses!H110)&lt;&gt;1),"Row "&amp;Courses!A110&amp;"; ",""),"")</f>
        <v/>
      </c>
      <c r="W116" s="183" t="str">
        <f>IF(AND($R$9=1,Courses!B110&lt;&gt;"",Courses!I110&lt;&gt;"",Courses!J110&lt;&gt;"",Courses!H110&lt;&gt;"",Courses!G110&lt;&gt;"",Courses!F110&lt;&gt;""),IF(OR((Courses!F110+Courses!H110+Courses!J110)&lt;&gt;1),"Row "&amp;Courses!A110&amp;"; ",""),"")</f>
        <v/>
      </c>
      <c r="Y116" s="1592" t="str">
        <f>IF(AND($R$9=1,Courses!E110&lt;&gt;"",U116="",V116="",W116="",SUM(Courses!F110,Courses!H110,Courses!J110)&lt;&gt;1),"Row "&amp;Courses!A110&amp;"; ","")</f>
        <v/>
      </c>
      <c r="Z116" s="17"/>
      <c r="AB116" s="1593" t="str">
        <f>IF(AND($S$9=1,Courses!B110&lt;&gt;"",Courses!E110&lt;&gt;"",Courses!F110&lt;&gt;""),IF((TRUNC(Courses!F110*100)&lt;&gt;Courses!F110*100),"Row "&amp;Courses!A110&amp;", "&amp;Courses!$F$10&amp;"; ",""),"")</f>
        <v/>
      </c>
      <c r="AC116" t="str">
        <f>IF(AND($S$9=1,Courses!B110&lt;&gt;"",Courses!G110&lt;&gt;"",Courses!H110&lt;&gt;""),IF((TRUNC(Courses!H110*100)&lt;&gt;Courses!H110*100),"Row "&amp;Courses!A110&amp;", "&amp;Courses!$H$10&amp;"; ",""),"")</f>
        <v/>
      </c>
      <c r="AD116" s="183" t="str">
        <f>IF(AND($S$9=1,Courses!B110&lt;&gt;"",Courses!I110&lt;&gt;"",Courses!J110&lt;&gt;""),IF((TRUNC(Courses!J110*100)&lt;&gt;Courses!J110*100),"Row "&amp;Courses!A110&amp;", "&amp;Courses!$J$10&amp;"; ",""),"")</f>
        <v/>
      </c>
      <c r="AF116" s="118"/>
      <c r="AG116" s="1592" t="str">
        <f>IF(AND($T$9=1,G116="",Courses!B110&lt;&gt;"",Courses!K110&lt;&gt;$B$9,Courses!K110&lt;&gt;$B$10,Courses!K110&lt;&gt;$B$11,Courses!K110&lt;&gt;$B$12,Courses!K110&lt;&gt;$B$13,Courses!K110&lt;&gt;$B$14),"Row "&amp;Courses!A110&amp;"; ","")</f>
        <v/>
      </c>
      <c r="AH116" s="1592" t="str">
        <f>IF(AND($U$9=1,G116="",Courses!B110&lt;&gt;"",Courses!L110&lt;&gt;"Standard",Courses!L110&lt;&gt;"Long"),"Row "&amp;Courses!A110&amp;"; ","")</f>
        <v/>
      </c>
      <c r="AJ116" s="118"/>
      <c r="AK116" s="3">
        <v>97</v>
      </c>
      <c r="AL116" s="1593" t="str">
        <f>IF(AND($V$9=1,(TRUNC(Courses!M110)&lt;&gt;Courses!M110)), "Row "&amp;Courses!$A110&amp;", "&amp;AL$9&amp;", "&amp;AL$10&amp;", "&amp;AL$11&amp;"; ","")</f>
        <v/>
      </c>
      <c r="AM116" t="str">
        <f>IF(AND($V$9=1,(TRUNC(Courses!N110)&lt;&gt;Courses!N110)), "Row "&amp;Courses!$A110&amp;", "&amp;AM$9&amp;", "&amp;AM$10&amp;", "&amp;AM$11&amp;"; ","")</f>
        <v/>
      </c>
      <c r="AN116" t="str">
        <f>IF(AND($V$9=1,(TRUNC(Courses!O110)&lt;&gt;Courses!O110)), "Row "&amp;Courses!$A110&amp;", "&amp;AN$9&amp;", "&amp;AN$10&amp;", "&amp;AN$11&amp;"; ","")</f>
        <v/>
      </c>
      <c r="AO116" t="str">
        <f>IF(AND($V$9=1,(TRUNC(Courses!P110)&lt;&gt;Courses!P110)), "Row "&amp;Courses!$A110&amp;", "&amp;AO$9&amp;", "&amp;AO$10&amp;", "&amp;AO$11&amp;"; ","")</f>
        <v/>
      </c>
      <c r="AP116" s="2120" t="str">
        <f>IF(AND($V$9=1,(TRUNC(Courses!Q110)&lt;&gt;Courses!Q110)), "Row "&amp;Courses!$A110&amp;", "&amp;AP$9&amp;", "&amp;AP$10&amp;"; ","")</f>
        <v/>
      </c>
      <c r="AQ116" s="1593" t="str">
        <f>IF(AND($V$9=1,(TRUNC(Courses!R110)&lt;&gt;Courses!R110)), "Row "&amp;Courses!$A110&amp;", "&amp;AQ$9&amp;", "&amp;AQ$10&amp;", "&amp;AQ$11&amp;"; ","")</f>
        <v/>
      </c>
      <c r="AR116" t="str">
        <f>IF(AND($V$9=1,(TRUNC(Courses!S110)&lt;&gt;Courses!S110)), "Row "&amp;Courses!$A110&amp;", "&amp;AR$9&amp;", "&amp;AR$10&amp;", "&amp;AR$11&amp;"; ","")</f>
        <v/>
      </c>
      <c r="AS116" t="str">
        <f>IF(AND($V$9=1,(TRUNC(Courses!T110)&lt;&gt;Courses!T110)), "Row "&amp;Courses!$A110&amp;", "&amp;AS$9&amp;", "&amp;AS$10&amp;", "&amp;AS$11&amp;"; ","")</f>
        <v/>
      </c>
      <c r="AT116" t="str">
        <f>IF(AND($V$9=1,(TRUNC(Courses!U110)&lt;&gt;Courses!U110)), "Row "&amp;Courses!$A110&amp;", "&amp;AT$9&amp;", "&amp;AT$10&amp;", "&amp;AT$11&amp;"; ","")</f>
        <v/>
      </c>
      <c r="AU116" s="2120" t="str">
        <f>IF(AND($V$9=1,(TRUNC(Courses!V110)&lt;&gt;Courses!V110)), "Row "&amp;Courses!$A110&amp;", "&amp;AU$9&amp;", "&amp;AU$10&amp;"; ","")</f>
        <v/>
      </c>
      <c r="AV116" s="1593" t="str">
        <f>IF(AND($V$9=1,(TRUNC(Courses!W110)&lt;&gt;Courses!W110)), "Row "&amp;Courses!$A110&amp;", "&amp;AV$9&amp;", "&amp;AV$10&amp;", "&amp;AV$11&amp;"; ","")</f>
        <v/>
      </c>
      <c r="AW116" t="str">
        <f>IF(AND($V$9=1,(TRUNC(Courses!X110)&lt;&gt;Courses!X110)), "Row "&amp;Courses!$A110&amp;", "&amp;AW$9&amp;", "&amp;AW$10&amp;", "&amp;AW$11&amp;"; ","")</f>
        <v/>
      </c>
      <c r="AX116" t="str">
        <f>IF(AND($V$9=1,(TRUNC(Courses!Y110)&lt;&gt;Courses!Y110)), "Row "&amp;Courses!$A110&amp;", "&amp;AX$9&amp;", "&amp;AX$10&amp;", "&amp;AX$11&amp;"; ","")</f>
        <v/>
      </c>
      <c r="AY116" t="str">
        <f>IF(AND($V$9=1,(TRUNC(Courses!Z110)&lt;&gt;Courses!Z110)), "Row "&amp;Courses!$A110&amp;", "&amp;AY$9&amp;", "&amp;AY$10&amp;", "&amp;AY$11&amp;"; ","")</f>
        <v/>
      </c>
      <c r="AZ116" s="2120" t="str">
        <f>IF(AND($V$9=1,(TRUNC(Courses!AA110)&lt;&gt;Courses!AA110)), "Row "&amp;Courses!$A110&amp;", "&amp;AZ$9&amp;", "&amp;AZ$10&amp;"; ","")</f>
        <v/>
      </c>
      <c r="BB116" s="118"/>
      <c r="BC116" s="3">
        <v>97</v>
      </c>
      <c r="BD116" s="1593" t="str">
        <f>IF(AND($W$9=1,Courses!M110&lt;0), "Row "&amp;Courses!$A110&amp;", "&amp;BD$9&amp;", "&amp;BD$10&amp;", "&amp;BD$11&amp;"; ","")</f>
        <v/>
      </c>
      <c r="BE116" t="str">
        <f>IF(AND($W$9=1,Courses!N110&lt;0), "Row "&amp;Courses!$A110&amp;", "&amp;BE$9&amp;", "&amp;BE$10&amp;", "&amp;BE$11&amp;"; ","")</f>
        <v/>
      </c>
      <c r="BF116" t="str">
        <f>IF(AND($W$9=1,Courses!O110&lt;0), "Row "&amp;Courses!$A110&amp;", "&amp;BF$9&amp;", "&amp;BF$10&amp;", "&amp;BF$11&amp;"; ","")</f>
        <v/>
      </c>
      <c r="BG116" t="str">
        <f>IF(AND($W$9=1,Courses!P110&lt;0), "Row "&amp;Courses!$A110&amp;", "&amp;BG$9&amp;", "&amp;BG$10&amp;", "&amp;BG$11&amp;"; ","")</f>
        <v/>
      </c>
      <c r="BH116" s="2120" t="str">
        <f>IF(AND($W$9=1,Courses!Q110&lt;0), "Row "&amp;Courses!$A110&amp;", "&amp;BH$9&amp;", "&amp;BH$10&amp;"; ","")</f>
        <v/>
      </c>
      <c r="BI116" s="1593" t="str">
        <f>IF(AND($W$9=1,Courses!R110&lt;0), "Row "&amp;Courses!$A110&amp;", "&amp;BI$9&amp;", "&amp;BI$10&amp;", "&amp;BI$11&amp;"; ","")</f>
        <v/>
      </c>
      <c r="BJ116" t="str">
        <f>IF(AND($W$9=1,Courses!S110&lt;0), "Row "&amp;Courses!$A110&amp;", "&amp;BJ$9&amp;", "&amp;BJ$10&amp;", "&amp;BJ$11&amp;"; ","")</f>
        <v/>
      </c>
      <c r="BK116" t="str">
        <f>IF(AND($W$9=1,Courses!T110&lt;0), "Row "&amp;Courses!$A110&amp;", "&amp;BK$9&amp;", "&amp;BK$10&amp;", "&amp;BK$11&amp;"; ","")</f>
        <v/>
      </c>
      <c r="BL116" t="str">
        <f>IF(AND($W$9=1,Courses!U110&lt;0), "Row "&amp;Courses!$A110&amp;", "&amp;BL$9&amp;", "&amp;BL$10&amp;", "&amp;BL$11&amp;"; ","")</f>
        <v/>
      </c>
      <c r="BM116" s="2120" t="str">
        <f>IF(AND($W$9=1,Courses!V110&lt;0), "Row "&amp;Courses!$A110&amp;", "&amp;BM$9&amp;", "&amp;BM$10&amp;"; ","")</f>
        <v/>
      </c>
      <c r="BN116" s="1593" t="str">
        <f>IF(AND($W$9=1,Courses!W110&lt;0), "Row "&amp;Courses!$A110&amp;", "&amp;BN$9&amp;", "&amp;BN$10&amp;", "&amp;BN$11&amp;"; ","")</f>
        <v/>
      </c>
      <c r="BO116" t="str">
        <f>IF(AND($W$9=1,Courses!X110&lt;0), "Row "&amp;Courses!$A110&amp;", "&amp;BO$9&amp;", "&amp;BO$10&amp;", "&amp;BO$11&amp;"; ","")</f>
        <v/>
      </c>
      <c r="BP116" t="str">
        <f>IF(AND($W$9=1,Courses!Y110&lt;0), "Row "&amp;Courses!$A110&amp;", "&amp;BP$9&amp;", "&amp;BP$10&amp;", "&amp;BP$11&amp;"; ","")</f>
        <v/>
      </c>
      <c r="BQ116" t="str">
        <f>IF(AND($W$9=1,Courses!Z110&lt;0), "Row "&amp;Courses!$A110&amp;", "&amp;BQ$9&amp;", "&amp;BQ$10&amp;", "&amp;BQ$11&amp;"; ","")</f>
        <v/>
      </c>
      <c r="BR116" s="2120" t="str">
        <f>IF(AND($W$9=1,Courses!AA110&lt;0), "Row "&amp;Courses!$A110&amp;", "&amp;BR$9&amp;", "&amp;BR$10&amp;"; ","")</f>
        <v/>
      </c>
      <c r="BT116" s="40">
        <v>97</v>
      </c>
      <c r="BU116" s="40">
        <f>IF(AND($X$9=1,Courses!B110="",Courses!F110="",Courses!H110="",Courses!J110="",Courses!K110="",Courses!L110="",Courses!M110=0,Courses!N110=0,Courses!O110=0,Courses!P110=0,Courses!Q110=0,Courses!R110=0,Courses!S110=0,Courses!T110=0,Courses!U110=0,Courses!V110=0,Courses!W110=0,Courses!X110=0,Courses!Y110=0,Courses!Z110=0,Courses!AA110=0),0,1)</f>
        <v>0</v>
      </c>
      <c r="BV116" s="40">
        <f>IF(AND(BU116=0,SUM(BU117:$BU$219)&gt;0),1,0)</f>
        <v>0</v>
      </c>
      <c r="BW116" s="1595" t="str">
        <f>IF(BV116=1,"Row "&amp;Courses!A110&amp;"; ","")</f>
        <v/>
      </c>
      <c r="BX116" s="17"/>
      <c r="BZ116" s="1592" t="str">
        <f>IF(AND($Y$9=1,Courses!B110&lt;&gt;"",SUM(Courses!M110:AA110)=0),"Row "&amp;Courses!A110&amp;"; ","")</f>
        <v/>
      </c>
      <c r="CA116" s="17"/>
      <c r="CC116" s="1592" t="str">
        <f>IF(AND($Z$9=1,Courses!AD110=1,(LEN(Courses!AB110)&gt;200)),"Row "&amp;Courses!A110&amp;"; ","")</f>
        <v/>
      </c>
      <c r="CE116" s="131"/>
      <c r="CG116" s="1593" t="str">
        <f>IF(AND($AD$9=1,Courses!E110&lt;&gt;"",Courses!F110&lt;&gt;"",Courses!F110=0,SUM(Courses!H110,Courses!J110)=1),"Row "&amp;Courses!A110&amp;", "&amp;Courses!$F$10&amp;"; ","")</f>
        <v/>
      </c>
      <c r="CH116" t="str">
        <f>IF(AND($AD$9=1,Courses!G110&lt;&gt;"",Courses!H110&lt;&gt;"",Courses!H110=0,SUM(Courses!J110,Courses!F110)=1),"Row "&amp;Courses!A110&amp;", "&amp;Courses!$H$10&amp;"; ","")</f>
        <v/>
      </c>
      <c r="CI116" s="183" t="str">
        <f>IF(AND($AD$9=1,Courses!I110&lt;&gt;"",Courses!J110&lt;&gt;"",Courses!J110=0, SUM(Courses!H110,Courses!F110)=1),"Row "&amp;Courses!A110&amp;", "&amp;Courses!$J$10&amp;"; ","")</f>
        <v/>
      </c>
      <c r="CJ116" s="180"/>
      <c r="CK116" s="181"/>
      <c r="CL116" s="1592" t="str">
        <f>IF(AND(Courses!B110&lt;&gt;"",ISNA(VLOOKUP(Courses!C110,CourseInfo,2,FALSE))=FALSE,COUNTIF(Dummy,Courses!C110)&lt;&gt;1),VLOOKUP(Courses!C110,CourseInfo,6,FALSE),"")</f>
        <v/>
      </c>
      <c r="CM116" s="1592" t="str">
        <f>IF(AND($AE$9=1,Courses!B110&lt;&gt;"",'Courses Valid'!AG116="",COUNTIF(Dummy,Courses!C110)&lt;&gt;1),IF(Courses!K110&lt;&gt;'Courses Valid'!CL116,"Row "&amp;Courses!A110&amp;", Level on LARS is "&amp;'Courses Valid'!CL116&amp;"; ",""),"")</f>
        <v/>
      </c>
      <c r="CN116" s="131"/>
    </row>
    <row r="117" spans="3:92" x14ac:dyDescent="0.35">
      <c r="C117" s="1591">
        <f t="shared" si="3"/>
        <v>0</v>
      </c>
      <c r="D117" s="41"/>
      <c r="E117" s="41"/>
      <c r="F117" s="118"/>
      <c r="G117" s="1592" t="str">
        <f>IF(SUMPRODUCT(--(CourseAims=Courses!$C111))=1,"",IF(AND($N$9=1,Courses!$C111&lt;&gt;""),"Row "&amp;Courses!A111&amp;" (invalid); ",""))</f>
        <v/>
      </c>
      <c r="H117" s="1592" t="str">
        <f>IF(AND($O$9=1,Courses!B111="",OR(Courses!F111&lt;&gt;"",Courses!H111&lt;&gt;"",Courses!J111&lt;&gt;"",Courses!K111&lt;&gt;"",Courses!L111&lt;&gt;"",Courses!M111&lt;&gt;0,Courses!N111&lt;&gt;0,Courses!O111&lt;&gt;0,Courses!P111&lt;&gt;0,Courses!Q111&lt;&gt;0,Courses!R111&lt;&gt;0,Courses!S111&lt;&gt;0,Courses!T111&lt;&gt;0,Courses!U111&lt;&gt;0,Courses!V111&lt;&gt;0,Courses!W111&lt;&gt;0,Courses!X111&lt;&gt;0,Courses!Y111&lt;&gt;0,Courses!Z111&lt;&gt;0,Courses!AA111&lt;&gt;0)),"Row "&amp;Courses!A111&amp;" (none); ","")</f>
        <v/>
      </c>
      <c r="I117" s="17"/>
      <c r="K117" s="1592" t="str">
        <f>Courses!B111&amp;Courses!K111&amp;Courses!L111</f>
        <v/>
      </c>
      <c r="L117" s="1592" t="str">
        <f>IF(AND($P$9=1,Courses!$B111&lt;&gt;"",COUNTIF(Dummy,Courses!$C111)&lt;&gt;1),IF(SUMPRODUCT(--($K$20:$K$219=$K117))&gt;1,"Row "&amp;Courses!$A111&amp;"; ",""),"")</f>
        <v/>
      </c>
      <c r="N117" s="118"/>
      <c r="O117" s="1593" t="str">
        <f>IF(AND($Q$9=1,Courses!E111&lt;&gt;"",Courses!F111=""),"Row "&amp;Courses!A111&amp;", "&amp;Courses!$E$10&amp;"; ","")</f>
        <v/>
      </c>
      <c r="P117" t="str">
        <f>IF(AND($Q$9=1,Courses!G111&lt;&gt;"",Courses!H111=""),"Row "&amp;Courses!A111&amp;", "&amp;Courses!$G$10&amp;"; ","")</f>
        <v/>
      </c>
      <c r="Q117" s="183" t="str">
        <f>IF(AND($Q$9=1,Courses!I111&lt;&gt;"",Courses!J111=""),"Row "&amp;Courses!A111&amp;", "&amp;Courses!$I$10&amp;"; ","")</f>
        <v/>
      </c>
      <c r="S117" s="17"/>
      <c r="T117" s="118"/>
      <c r="U117" s="1594" t="str">
        <f>IF(AND($R$9=1,Courses!B111&lt;&gt;"",Courses!E111&lt;&gt;"",Courses!G111="",Courses!I111="",Courses!F111&lt;&gt;1),"Row "&amp;Courses!A111&amp;"; ","")</f>
        <v/>
      </c>
      <c r="V117" t="str">
        <f>IF(AND($R$9=1,Courses!B111&lt;&gt;"",Courses!I111="",Courses!F111&lt;&gt;"",Courses!G111&lt;&gt;"",Courses!H111&lt;&gt;""),IF(OR((Courses!F111+Courses!H111)&lt;&gt;1),"Row "&amp;Courses!A111&amp;"; ",""),"")</f>
        <v/>
      </c>
      <c r="W117" s="183" t="str">
        <f>IF(AND($R$9=1,Courses!B111&lt;&gt;"",Courses!I111&lt;&gt;"",Courses!J111&lt;&gt;"",Courses!H111&lt;&gt;"",Courses!G111&lt;&gt;"",Courses!F111&lt;&gt;""),IF(OR((Courses!F111+Courses!H111+Courses!J111)&lt;&gt;1),"Row "&amp;Courses!A111&amp;"; ",""),"")</f>
        <v/>
      </c>
      <c r="Y117" s="1592" t="str">
        <f>IF(AND($R$9=1,Courses!E111&lt;&gt;"",U117="",V117="",W117="",SUM(Courses!F111,Courses!H111,Courses!J111)&lt;&gt;1),"Row "&amp;Courses!A111&amp;"; ","")</f>
        <v/>
      </c>
      <c r="Z117" s="17"/>
      <c r="AB117" s="1593" t="str">
        <f>IF(AND($S$9=1,Courses!B111&lt;&gt;"",Courses!E111&lt;&gt;"",Courses!F111&lt;&gt;""),IF((TRUNC(Courses!F111*100)&lt;&gt;Courses!F111*100),"Row "&amp;Courses!A111&amp;", "&amp;Courses!$F$10&amp;"; ",""),"")</f>
        <v/>
      </c>
      <c r="AC117" t="str">
        <f>IF(AND($S$9=1,Courses!B111&lt;&gt;"",Courses!G111&lt;&gt;"",Courses!H111&lt;&gt;""),IF((TRUNC(Courses!H111*100)&lt;&gt;Courses!H111*100),"Row "&amp;Courses!A111&amp;", "&amp;Courses!$H$10&amp;"; ",""),"")</f>
        <v/>
      </c>
      <c r="AD117" s="183" t="str">
        <f>IF(AND($S$9=1,Courses!B111&lt;&gt;"",Courses!I111&lt;&gt;"",Courses!J111&lt;&gt;""),IF((TRUNC(Courses!J111*100)&lt;&gt;Courses!J111*100),"Row "&amp;Courses!A111&amp;", "&amp;Courses!$J$10&amp;"; ",""),"")</f>
        <v/>
      </c>
      <c r="AF117" s="118"/>
      <c r="AG117" s="1592" t="str">
        <f>IF(AND($T$9=1,G117="",Courses!B111&lt;&gt;"",Courses!K111&lt;&gt;$B$9,Courses!K111&lt;&gt;$B$10,Courses!K111&lt;&gt;$B$11,Courses!K111&lt;&gt;$B$12,Courses!K111&lt;&gt;$B$13,Courses!K111&lt;&gt;$B$14),"Row "&amp;Courses!A111&amp;"; ","")</f>
        <v/>
      </c>
      <c r="AH117" s="1592" t="str">
        <f>IF(AND($U$9=1,G117="",Courses!B111&lt;&gt;"",Courses!L111&lt;&gt;"Standard",Courses!L111&lt;&gt;"Long"),"Row "&amp;Courses!A111&amp;"; ","")</f>
        <v/>
      </c>
      <c r="AJ117" s="118"/>
      <c r="AK117" s="3">
        <v>98</v>
      </c>
      <c r="AL117" s="1593" t="str">
        <f>IF(AND($V$9=1,(TRUNC(Courses!M111)&lt;&gt;Courses!M111)), "Row "&amp;Courses!$A111&amp;", "&amp;AL$9&amp;", "&amp;AL$10&amp;", "&amp;AL$11&amp;"; ","")</f>
        <v/>
      </c>
      <c r="AM117" t="str">
        <f>IF(AND($V$9=1,(TRUNC(Courses!N111)&lt;&gt;Courses!N111)), "Row "&amp;Courses!$A111&amp;", "&amp;AM$9&amp;", "&amp;AM$10&amp;", "&amp;AM$11&amp;"; ","")</f>
        <v/>
      </c>
      <c r="AN117" t="str">
        <f>IF(AND($V$9=1,(TRUNC(Courses!O111)&lt;&gt;Courses!O111)), "Row "&amp;Courses!$A111&amp;", "&amp;AN$9&amp;", "&amp;AN$10&amp;", "&amp;AN$11&amp;"; ","")</f>
        <v/>
      </c>
      <c r="AO117" t="str">
        <f>IF(AND($V$9=1,(TRUNC(Courses!P111)&lt;&gt;Courses!P111)), "Row "&amp;Courses!$A111&amp;", "&amp;AO$9&amp;", "&amp;AO$10&amp;", "&amp;AO$11&amp;"; ","")</f>
        <v/>
      </c>
      <c r="AP117" s="2120" t="str">
        <f>IF(AND($V$9=1,(TRUNC(Courses!Q111)&lt;&gt;Courses!Q111)), "Row "&amp;Courses!$A111&amp;", "&amp;AP$9&amp;", "&amp;AP$10&amp;"; ","")</f>
        <v/>
      </c>
      <c r="AQ117" s="1593" t="str">
        <f>IF(AND($V$9=1,(TRUNC(Courses!R111)&lt;&gt;Courses!R111)), "Row "&amp;Courses!$A111&amp;", "&amp;AQ$9&amp;", "&amp;AQ$10&amp;", "&amp;AQ$11&amp;"; ","")</f>
        <v/>
      </c>
      <c r="AR117" t="str">
        <f>IF(AND($V$9=1,(TRUNC(Courses!S111)&lt;&gt;Courses!S111)), "Row "&amp;Courses!$A111&amp;", "&amp;AR$9&amp;", "&amp;AR$10&amp;", "&amp;AR$11&amp;"; ","")</f>
        <v/>
      </c>
      <c r="AS117" t="str">
        <f>IF(AND($V$9=1,(TRUNC(Courses!T111)&lt;&gt;Courses!T111)), "Row "&amp;Courses!$A111&amp;", "&amp;AS$9&amp;", "&amp;AS$10&amp;", "&amp;AS$11&amp;"; ","")</f>
        <v/>
      </c>
      <c r="AT117" t="str">
        <f>IF(AND($V$9=1,(TRUNC(Courses!U111)&lt;&gt;Courses!U111)), "Row "&amp;Courses!$A111&amp;", "&amp;AT$9&amp;", "&amp;AT$10&amp;", "&amp;AT$11&amp;"; ","")</f>
        <v/>
      </c>
      <c r="AU117" s="2120" t="str">
        <f>IF(AND($V$9=1,(TRUNC(Courses!V111)&lt;&gt;Courses!V111)), "Row "&amp;Courses!$A111&amp;", "&amp;AU$9&amp;", "&amp;AU$10&amp;"; ","")</f>
        <v/>
      </c>
      <c r="AV117" s="1593" t="str">
        <f>IF(AND($V$9=1,(TRUNC(Courses!W111)&lt;&gt;Courses!W111)), "Row "&amp;Courses!$A111&amp;", "&amp;AV$9&amp;", "&amp;AV$10&amp;", "&amp;AV$11&amp;"; ","")</f>
        <v/>
      </c>
      <c r="AW117" t="str">
        <f>IF(AND($V$9=1,(TRUNC(Courses!X111)&lt;&gt;Courses!X111)), "Row "&amp;Courses!$A111&amp;", "&amp;AW$9&amp;", "&amp;AW$10&amp;", "&amp;AW$11&amp;"; ","")</f>
        <v/>
      </c>
      <c r="AX117" t="str">
        <f>IF(AND($V$9=1,(TRUNC(Courses!Y111)&lt;&gt;Courses!Y111)), "Row "&amp;Courses!$A111&amp;", "&amp;AX$9&amp;", "&amp;AX$10&amp;", "&amp;AX$11&amp;"; ","")</f>
        <v/>
      </c>
      <c r="AY117" t="str">
        <f>IF(AND($V$9=1,(TRUNC(Courses!Z111)&lt;&gt;Courses!Z111)), "Row "&amp;Courses!$A111&amp;", "&amp;AY$9&amp;", "&amp;AY$10&amp;", "&amp;AY$11&amp;"; ","")</f>
        <v/>
      </c>
      <c r="AZ117" s="2120" t="str">
        <f>IF(AND($V$9=1,(TRUNC(Courses!AA111)&lt;&gt;Courses!AA111)), "Row "&amp;Courses!$A111&amp;", "&amp;AZ$9&amp;", "&amp;AZ$10&amp;"; ","")</f>
        <v/>
      </c>
      <c r="BB117" s="118"/>
      <c r="BC117" s="3">
        <v>98</v>
      </c>
      <c r="BD117" s="1593" t="str">
        <f>IF(AND($W$9=1,Courses!M111&lt;0), "Row "&amp;Courses!$A111&amp;", "&amp;BD$9&amp;", "&amp;BD$10&amp;", "&amp;BD$11&amp;"; ","")</f>
        <v/>
      </c>
      <c r="BE117" t="str">
        <f>IF(AND($W$9=1,Courses!N111&lt;0), "Row "&amp;Courses!$A111&amp;", "&amp;BE$9&amp;", "&amp;BE$10&amp;", "&amp;BE$11&amp;"; ","")</f>
        <v/>
      </c>
      <c r="BF117" t="str">
        <f>IF(AND($W$9=1,Courses!O111&lt;0), "Row "&amp;Courses!$A111&amp;", "&amp;BF$9&amp;", "&amp;BF$10&amp;", "&amp;BF$11&amp;"; ","")</f>
        <v/>
      </c>
      <c r="BG117" t="str">
        <f>IF(AND($W$9=1,Courses!P111&lt;0), "Row "&amp;Courses!$A111&amp;", "&amp;BG$9&amp;", "&amp;BG$10&amp;", "&amp;BG$11&amp;"; ","")</f>
        <v/>
      </c>
      <c r="BH117" s="2120" t="str">
        <f>IF(AND($W$9=1,Courses!Q111&lt;0), "Row "&amp;Courses!$A111&amp;", "&amp;BH$9&amp;", "&amp;BH$10&amp;"; ","")</f>
        <v/>
      </c>
      <c r="BI117" s="1593" t="str">
        <f>IF(AND($W$9=1,Courses!R111&lt;0), "Row "&amp;Courses!$A111&amp;", "&amp;BI$9&amp;", "&amp;BI$10&amp;", "&amp;BI$11&amp;"; ","")</f>
        <v/>
      </c>
      <c r="BJ117" t="str">
        <f>IF(AND($W$9=1,Courses!S111&lt;0), "Row "&amp;Courses!$A111&amp;", "&amp;BJ$9&amp;", "&amp;BJ$10&amp;", "&amp;BJ$11&amp;"; ","")</f>
        <v/>
      </c>
      <c r="BK117" t="str">
        <f>IF(AND($W$9=1,Courses!T111&lt;0), "Row "&amp;Courses!$A111&amp;", "&amp;BK$9&amp;", "&amp;BK$10&amp;", "&amp;BK$11&amp;"; ","")</f>
        <v/>
      </c>
      <c r="BL117" t="str">
        <f>IF(AND($W$9=1,Courses!U111&lt;0), "Row "&amp;Courses!$A111&amp;", "&amp;BL$9&amp;", "&amp;BL$10&amp;", "&amp;BL$11&amp;"; ","")</f>
        <v/>
      </c>
      <c r="BM117" s="2120" t="str">
        <f>IF(AND($W$9=1,Courses!V111&lt;0), "Row "&amp;Courses!$A111&amp;", "&amp;BM$9&amp;", "&amp;BM$10&amp;"; ","")</f>
        <v/>
      </c>
      <c r="BN117" s="1593" t="str">
        <f>IF(AND($W$9=1,Courses!W111&lt;0), "Row "&amp;Courses!$A111&amp;", "&amp;BN$9&amp;", "&amp;BN$10&amp;", "&amp;BN$11&amp;"; ","")</f>
        <v/>
      </c>
      <c r="BO117" t="str">
        <f>IF(AND($W$9=1,Courses!X111&lt;0), "Row "&amp;Courses!$A111&amp;", "&amp;BO$9&amp;", "&amp;BO$10&amp;", "&amp;BO$11&amp;"; ","")</f>
        <v/>
      </c>
      <c r="BP117" t="str">
        <f>IF(AND($W$9=1,Courses!Y111&lt;0), "Row "&amp;Courses!$A111&amp;", "&amp;BP$9&amp;", "&amp;BP$10&amp;", "&amp;BP$11&amp;"; ","")</f>
        <v/>
      </c>
      <c r="BQ117" t="str">
        <f>IF(AND($W$9=1,Courses!Z111&lt;0), "Row "&amp;Courses!$A111&amp;", "&amp;BQ$9&amp;", "&amp;BQ$10&amp;", "&amp;BQ$11&amp;"; ","")</f>
        <v/>
      </c>
      <c r="BR117" s="2120" t="str">
        <f>IF(AND($W$9=1,Courses!AA111&lt;0), "Row "&amp;Courses!$A111&amp;", "&amp;BR$9&amp;", "&amp;BR$10&amp;"; ","")</f>
        <v/>
      </c>
      <c r="BT117" s="40">
        <v>98</v>
      </c>
      <c r="BU117" s="40">
        <f>IF(AND($X$9=1,Courses!B111="",Courses!F111="",Courses!H111="",Courses!J111="",Courses!K111="",Courses!L111="",Courses!M111=0,Courses!N111=0,Courses!O111=0,Courses!P111=0,Courses!Q111=0,Courses!R111=0,Courses!S111=0,Courses!T111=0,Courses!U111=0,Courses!V111=0,Courses!W111=0,Courses!X111=0,Courses!Y111=0,Courses!Z111=0,Courses!AA111=0),0,1)</f>
        <v>0</v>
      </c>
      <c r="BV117" s="40">
        <f>IF(AND(BU117=0,SUM(BU118:$BU$219)&gt;0),1,0)</f>
        <v>0</v>
      </c>
      <c r="BW117" s="1595" t="str">
        <f>IF(BV117=1,"Row "&amp;Courses!A111&amp;"; ","")</f>
        <v/>
      </c>
      <c r="BX117" s="17"/>
      <c r="BZ117" s="1592" t="str">
        <f>IF(AND($Y$9=1,Courses!B111&lt;&gt;"",SUM(Courses!M111:AA111)=0),"Row "&amp;Courses!A111&amp;"; ","")</f>
        <v/>
      </c>
      <c r="CA117" s="17"/>
      <c r="CC117" s="1592" t="str">
        <f>IF(AND($Z$9=1,Courses!AD111=1,(LEN(Courses!AB111)&gt;200)),"Row "&amp;Courses!A111&amp;"; ","")</f>
        <v/>
      </c>
      <c r="CE117" s="131"/>
      <c r="CG117" s="1593" t="str">
        <f>IF(AND($AD$9=1,Courses!E111&lt;&gt;"",Courses!F111&lt;&gt;"",Courses!F111=0,SUM(Courses!H111,Courses!J111)=1),"Row "&amp;Courses!A111&amp;", "&amp;Courses!$F$10&amp;"; ","")</f>
        <v/>
      </c>
      <c r="CH117" t="str">
        <f>IF(AND($AD$9=1,Courses!G111&lt;&gt;"",Courses!H111&lt;&gt;"",Courses!H111=0,SUM(Courses!J111,Courses!F111)=1),"Row "&amp;Courses!A111&amp;", "&amp;Courses!$H$10&amp;"; ","")</f>
        <v/>
      </c>
      <c r="CI117" s="183" t="str">
        <f>IF(AND($AD$9=1,Courses!I111&lt;&gt;"",Courses!J111&lt;&gt;"",Courses!J111=0, SUM(Courses!H111,Courses!F111)=1),"Row "&amp;Courses!A111&amp;", "&amp;Courses!$J$10&amp;"; ","")</f>
        <v/>
      </c>
      <c r="CJ117" s="180"/>
      <c r="CK117" s="181"/>
      <c r="CL117" s="1592" t="str">
        <f>IF(AND(Courses!B111&lt;&gt;"",ISNA(VLOOKUP(Courses!C111,CourseInfo,2,FALSE))=FALSE,COUNTIF(Dummy,Courses!C111)&lt;&gt;1),VLOOKUP(Courses!C111,CourseInfo,6,FALSE),"")</f>
        <v/>
      </c>
      <c r="CM117" s="1592" t="str">
        <f>IF(AND($AE$9=1,Courses!B111&lt;&gt;"",'Courses Valid'!AG117="",COUNTIF(Dummy,Courses!C111)&lt;&gt;1),IF(Courses!K111&lt;&gt;'Courses Valid'!CL117,"Row "&amp;Courses!A111&amp;", Level on LARS is "&amp;'Courses Valid'!CL117&amp;"; ",""),"")</f>
        <v/>
      </c>
      <c r="CN117" s="131"/>
    </row>
    <row r="118" spans="3:92" x14ac:dyDescent="0.35">
      <c r="C118" s="1591">
        <f t="shared" si="3"/>
        <v>0</v>
      </c>
      <c r="D118" s="41"/>
      <c r="E118" s="41"/>
      <c r="F118" s="118"/>
      <c r="G118" s="1592" t="str">
        <f>IF(SUMPRODUCT(--(CourseAims=Courses!$C112))=1,"",IF(AND($N$9=1,Courses!$C112&lt;&gt;""),"Row "&amp;Courses!A112&amp;" (invalid); ",""))</f>
        <v/>
      </c>
      <c r="H118" s="1592" t="str">
        <f>IF(AND($O$9=1,Courses!B112="",OR(Courses!F112&lt;&gt;"",Courses!H112&lt;&gt;"",Courses!J112&lt;&gt;"",Courses!K112&lt;&gt;"",Courses!L112&lt;&gt;"",Courses!M112&lt;&gt;0,Courses!N112&lt;&gt;0,Courses!O112&lt;&gt;0,Courses!P112&lt;&gt;0,Courses!Q112&lt;&gt;0,Courses!R112&lt;&gt;0,Courses!S112&lt;&gt;0,Courses!T112&lt;&gt;0,Courses!U112&lt;&gt;0,Courses!V112&lt;&gt;0,Courses!W112&lt;&gt;0,Courses!X112&lt;&gt;0,Courses!Y112&lt;&gt;0,Courses!Z112&lt;&gt;0,Courses!AA112&lt;&gt;0)),"Row "&amp;Courses!A112&amp;" (none); ","")</f>
        <v/>
      </c>
      <c r="I118" s="17"/>
      <c r="K118" s="1592" t="str">
        <f>Courses!B112&amp;Courses!K112&amp;Courses!L112</f>
        <v/>
      </c>
      <c r="L118" s="1592" t="str">
        <f>IF(AND($P$9=1,Courses!$B112&lt;&gt;"",COUNTIF(Dummy,Courses!$C112)&lt;&gt;1),IF(SUMPRODUCT(--($K$20:$K$219=$K118))&gt;1,"Row "&amp;Courses!$A112&amp;"; ",""),"")</f>
        <v/>
      </c>
      <c r="N118" s="118"/>
      <c r="O118" s="1593" t="str">
        <f>IF(AND($Q$9=1,Courses!E112&lt;&gt;"",Courses!F112=""),"Row "&amp;Courses!A112&amp;", "&amp;Courses!$E$10&amp;"; ","")</f>
        <v/>
      </c>
      <c r="P118" t="str">
        <f>IF(AND($Q$9=1,Courses!G112&lt;&gt;"",Courses!H112=""),"Row "&amp;Courses!A112&amp;", "&amp;Courses!$G$10&amp;"; ","")</f>
        <v/>
      </c>
      <c r="Q118" s="183" t="str">
        <f>IF(AND($Q$9=1,Courses!I112&lt;&gt;"",Courses!J112=""),"Row "&amp;Courses!A112&amp;", "&amp;Courses!$I$10&amp;"; ","")</f>
        <v/>
      </c>
      <c r="S118" s="17"/>
      <c r="T118" s="118"/>
      <c r="U118" s="1594" t="str">
        <f>IF(AND($R$9=1,Courses!B112&lt;&gt;"",Courses!E112&lt;&gt;"",Courses!G112="",Courses!I112="",Courses!F112&lt;&gt;1),"Row "&amp;Courses!A112&amp;"; ","")</f>
        <v/>
      </c>
      <c r="V118" t="str">
        <f>IF(AND($R$9=1,Courses!B112&lt;&gt;"",Courses!I112="",Courses!F112&lt;&gt;"",Courses!G112&lt;&gt;"",Courses!H112&lt;&gt;""),IF(OR((Courses!F112+Courses!H112)&lt;&gt;1),"Row "&amp;Courses!A112&amp;"; ",""),"")</f>
        <v/>
      </c>
      <c r="W118" s="183" t="str">
        <f>IF(AND($R$9=1,Courses!B112&lt;&gt;"",Courses!I112&lt;&gt;"",Courses!J112&lt;&gt;"",Courses!H112&lt;&gt;"",Courses!G112&lt;&gt;"",Courses!F112&lt;&gt;""),IF(OR((Courses!F112+Courses!H112+Courses!J112)&lt;&gt;1),"Row "&amp;Courses!A112&amp;"; ",""),"")</f>
        <v/>
      </c>
      <c r="Y118" s="1592" t="str">
        <f>IF(AND($R$9=1,Courses!E112&lt;&gt;"",U118="",V118="",W118="",SUM(Courses!F112,Courses!H112,Courses!J112)&lt;&gt;1),"Row "&amp;Courses!A112&amp;"; ","")</f>
        <v/>
      </c>
      <c r="Z118" s="17"/>
      <c r="AB118" s="1593" t="str">
        <f>IF(AND($S$9=1,Courses!B112&lt;&gt;"",Courses!E112&lt;&gt;"",Courses!F112&lt;&gt;""),IF((TRUNC(Courses!F112*100)&lt;&gt;Courses!F112*100),"Row "&amp;Courses!A112&amp;", "&amp;Courses!$F$10&amp;"; ",""),"")</f>
        <v/>
      </c>
      <c r="AC118" t="str">
        <f>IF(AND($S$9=1,Courses!B112&lt;&gt;"",Courses!G112&lt;&gt;"",Courses!H112&lt;&gt;""),IF((TRUNC(Courses!H112*100)&lt;&gt;Courses!H112*100),"Row "&amp;Courses!A112&amp;", "&amp;Courses!$H$10&amp;"; ",""),"")</f>
        <v/>
      </c>
      <c r="AD118" s="183" t="str">
        <f>IF(AND($S$9=1,Courses!B112&lt;&gt;"",Courses!I112&lt;&gt;"",Courses!J112&lt;&gt;""),IF((TRUNC(Courses!J112*100)&lt;&gt;Courses!J112*100),"Row "&amp;Courses!A112&amp;", "&amp;Courses!$J$10&amp;"; ",""),"")</f>
        <v/>
      </c>
      <c r="AF118" s="118"/>
      <c r="AG118" s="1592" t="str">
        <f>IF(AND($T$9=1,G118="",Courses!B112&lt;&gt;"",Courses!K112&lt;&gt;$B$9,Courses!K112&lt;&gt;$B$10,Courses!K112&lt;&gt;$B$11,Courses!K112&lt;&gt;$B$12,Courses!K112&lt;&gt;$B$13,Courses!K112&lt;&gt;$B$14),"Row "&amp;Courses!A112&amp;"; ","")</f>
        <v/>
      </c>
      <c r="AH118" s="1592" t="str">
        <f>IF(AND($U$9=1,G118="",Courses!B112&lt;&gt;"",Courses!L112&lt;&gt;"Standard",Courses!L112&lt;&gt;"Long"),"Row "&amp;Courses!A112&amp;"; ","")</f>
        <v/>
      </c>
      <c r="AJ118" s="118"/>
      <c r="AK118" s="3">
        <v>99</v>
      </c>
      <c r="AL118" s="1593" t="str">
        <f>IF(AND($V$9=1,(TRUNC(Courses!M112)&lt;&gt;Courses!M112)), "Row "&amp;Courses!$A112&amp;", "&amp;AL$9&amp;", "&amp;AL$10&amp;", "&amp;AL$11&amp;"; ","")</f>
        <v/>
      </c>
      <c r="AM118" t="str">
        <f>IF(AND($V$9=1,(TRUNC(Courses!N112)&lt;&gt;Courses!N112)), "Row "&amp;Courses!$A112&amp;", "&amp;AM$9&amp;", "&amp;AM$10&amp;", "&amp;AM$11&amp;"; ","")</f>
        <v/>
      </c>
      <c r="AN118" t="str">
        <f>IF(AND($V$9=1,(TRUNC(Courses!O112)&lt;&gt;Courses!O112)), "Row "&amp;Courses!$A112&amp;", "&amp;AN$9&amp;", "&amp;AN$10&amp;", "&amp;AN$11&amp;"; ","")</f>
        <v/>
      </c>
      <c r="AO118" t="str">
        <f>IF(AND($V$9=1,(TRUNC(Courses!P112)&lt;&gt;Courses!P112)), "Row "&amp;Courses!$A112&amp;", "&amp;AO$9&amp;", "&amp;AO$10&amp;", "&amp;AO$11&amp;"; ","")</f>
        <v/>
      </c>
      <c r="AP118" s="2120" t="str">
        <f>IF(AND($V$9=1,(TRUNC(Courses!Q112)&lt;&gt;Courses!Q112)), "Row "&amp;Courses!$A112&amp;", "&amp;AP$9&amp;", "&amp;AP$10&amp;"; ","")</f>
        <v/>
      </c>
      <c r="AQ118" s="1593" t="str">
        <f>IF(AND($V$9=1,(TRUNC(Courses!R112)&lt;&gt;Courses!R112)), "Row "&amp;Courses!$A112&amp;", "&amp;AQ$9&amp;", "&amp;AQ$10&amp;", "&amp;AQ$11&amp;"; ","")</f>
        <v/>
      </c>
      <c r="AR118" t="str">
        <f>IF(AND($V$9=1,(TRUNC(Courses!S112)&lt;&gt;Courses!S112)), "Row "&amp;Courses!$A112&amp;", "&amp;AR$9&amp;", "&amp;AR$10&amp;", "&amp;AR$11&amp;"; ","")</f>
        <v/>
      </c>
      <c r="AS118" t="str">
        <f>IF(AND($V$9=1,(TRUNC(Courses!T112)&lt;&gt;Courses!T112)), "Row "&amp;Courses!$A112&amp;", "&amp;AS$9&amp;", "&amp;AS$10&amp;", "&amp;AS$11&amp;"; ","")</f>
        <v/>
      </c>
      <c r="AT118" t="str">
        <f>IF(AND($V$9=1,(TRUNC(Courses!U112)&lt;&gt;Courses!U112)), "Row "&amp;Courses!$A112&amp;", "&amp;AT$9&amp;", "&amp;AT$10&amp;", "&amp;AT$11&amp;"; ","")</f>
        <v/>
      </c>
      <c r="AU118" s="2120" t="str">
        <f>IF(AND($V$9=1,(TRUNC(Courses!V112)&lt;&gt;Courses!V112)), "Row "&amp;Courses!$A112&amp;", "&amp;AU$9&amp;", "&amp;AU$10&amp;"; ","")</f>
        <v/>
      </c>
      <c r="AV118" s="1593" t="str">
        <f>IF(AND($V$9=1,(TRUNC(Courses!W112)&lt;&gt;Courses!W112)), "Row "&amp;Courses!$A112&amp;", "&amp;AV$9&amp;", "&amp;AV$10&amp;", "&amp;AV$11&amp;"; ","")</f>
        <v/>
      </c>
      <c r="AW118" t="str">
        <f>IF(AND($V$9=1,(TRUNC(Courses!X112)&lt;&gt;Courses!X112)), "Row "&amp;Courses!$A112&amp;", "&amp;AW$9&amp;", "&amp;AW$10&amp;", "&amp;AW$11&amp;"; ","")</f>
        <v/>
      </c>
      <c r="AX118" t="str">
        <f>IF(AND($V$9=1,(TRUNC(Courses!Y112)&lt;&gt;Courses!Y112)), "Row "&amp;Courses!$A112&amp;", "&amp;AX$9&amp;", "&amp;AX$10&amp;", "&amp;AX$11&amp;"; ","")</f>
        <v/>
      </c>
      <c r="AY118" t="str">
        <f>IF(AND($V$9=1,(TRUNC(Courses!Z112)&lt;&gt;Courses!Z112)), "Row "&amp;Courses!$A112&amp;", "&amp;AY$9&amp;", "&amp;AY$10&amp;", "&amp;AY$11&amp;"; ","")</f>
        <v/>
      </c>
      <c r="AZ118" s="2120" t="str">
        <f>IF(AND($V$9=1,(TRUNC(Courses!AA112)&lt;&gt;Courses!AA112)), "Row "&amp;Courses!$A112&amp;", "&amp;AZ$9&amp;", "&amp;AZ$10&amp;"; ","")</f>
        <v/>
      </c>
      <c r="BB118" s="118"/>
      <c r="BC118" s="3">
        <v>99</v>
      </c>
      <c r="BD118" s="1593" t="str">
        <f>IF(AND($W$9=1,Courses!M112&lt;0), "Row "&amp;Courses!$A112&amp;", "&amp;BD$9&amp;", "&amp;BD$10&amp;", "&amp;BD$11&amp;"; ","")</f>
        <v/>
      </c>
      <c r="BE118" t="str">
        <f>IF(AND($W$9=1,Courses!N112&lt;0), "Row "&amp;Courses!$A112&amp;", "&amp;BE$9&amp;", "&amp;BE$10&amp;", "&amp;BE$11&amp;"; ","")</f>
        <v/>
      </c>
      <c r="BF118" t="str">
        <f>IF(AND($W$9=1,Courses!O112&lt;0), "Row "&amp;Courses!$A112&amp;", "&amp;BF$9&amp;", "&amp;BF$10&amp;", "&amp;BF$11&amp;"; ","")</f>
        <v/>
      </c>
      <c r="BG118" t="str">
        <f>IF(AND($W$9=1,Courses!P112&lt;0), "Row "&amp;Courses!$A112&amp;", "&amp;BG$9&amp;", "&amp;BG$10&amp;", "&amp;BG$11&amp;"; ","")</f>
        <v/>
      </c>
      <c r="BH118" s="2120" t="str">
        <f>IF(AND($W$9=1,Courses!Q112&lt;0), "Row "&amp;Courses!$A112&amp;", "&amp;BH$9&amp;", "&amp;BH$10&amp;"; ","")</f>
        <v/>
      </c>
      <c r="BI118" s="1593" t="str">
        <f>IF(AND($W$9=1,Courses!R112&lt;0), "Row "&amp;Courses!$A112&amp;", "&amp;BI$9&amp;", "&amp;BI$10&amp;", "&amp;BI$11&amp;"; ","")</f>
        <v/>
      </c>
      <c r="BJ118" t="str">
        <f>IF(AND($W$9=1,Courses!S112&lt;0), "Row "&amp;Courses!$A112&amp;", "&amp;BJ$9&amp;", "&amp;BJ$10&amp;", "&amp;BJ$11&amp;"; ","")</f>
        <v/>
      </c>
      <c r="BK118" t="str">
        <f>IF(AND($W$9=1,Courses!T112&lt;0), "Row "&amp;Courses!$A112&amp;", "&amp;BK$9&amp;", "&amp;BK$10&amp;", "&amp;BK$11&amp;"; ","")</f>
        <v/>
      </c>
      <c r="BL118" t="str">
        <f>IF(AND($W$9=1,Courses!U112&lt;0), "Row "&amp;Courses!$A112&amp;", "&amp;BL$9&amp;", "&amp;BL$10&amp;", "&amp;BL$11&amp;"; ","")</f>
        <v/>
      </c>
      <c r="BM118" s="2120" t="str">
        <f>IF(AND($W$9=1,Courses!V112&lt;0), "Row "&amp;Courses!$A112&amp;", "&amp;BM$9&amp;", "&amp;BM$10&amp;"; ","")</f>
        <v/>
      </c>
      <c r="BN118" s="1593" t="str">
        <f>IF(AND($W$9=1,Courses!W112&lt;0), "Row "&amp;Courses!$A112&amp;", "&amp;BN$9&amp;", "&amp;BN$10&amp;", "&amp;BN$11&amp;"; ","")</f>
        <v/>
      </c>
      <c r="BO118" t="str">
        <f>IF(AND($W$9=1,Courses!X112&lt;0), "Row "&amp;Courses!$A112&amp;", "&amp;BO$9&amp;", "&amp;BO$10&amp;", "&amp;BO$11&amp;"; ","")</f>
        <v/>
      </c>
      <c r="BP118" t="str">
        <f>IF(AND($W$9=1,Courses!Y112&lt;0), "Row "&amp;Courses!$A112&amp;", "&amp;BP$9&amp;", "&amp;BP$10&amp;", "&amp;BP$11&amp;"; ","")</f>
        <v/>
      </c>
      <c r="BQ118" t="str">
        <f>IF(AND($W$9=1,Courses!Z112&lt;0), "Row "&amp;Courses!$A112&amp;", "&amp;BQ$9&amp;", "&amp;BQ$10&amp;", "&amp;BQ$11&amp;"; ","")</f>
        <v/>
      </c>
      <c r="BR118" s="2120" t="str">
        <f>IF(AND($W$9=1,Courses!AA112&lt;0), "Row "&amp;Courses!$A112&amp;", "&amp;BR$9&amp;", "&amp;BR$10&amp;"; ","")</f>
        <v/>
      </c>
      <c r="BT118" s="40">
        <v>99</v>
      </c>
      <c r="BU118" s="40">
        <f>IF(AND($X$9=1,Courses!B112="",Courses!F112="",Courses!H112="",Courses!J112="",Courses!K112="",Courses!L112="",Courses!M112=0,Courses!N112=0,Courses!O112=0,Courses!P112=0,Courses!Q112=0,Courses!R112=0,Courses!S112=0,Courses!T112=0,Courses!U112=0,Courses!V112=0,Courses!W112=0,Courses!X112=0,Courses!Y112=0,Courses!Z112=0,Courses!AA112=0),0,1)</f>
        <v>0</v>
      </c>
      <c r="BV118" s="40">
        <f>IF(AND(BU118=0,SUM(BU119:$BU$219)&gt;0),1,0)</f>
        <v>0</v>
      </c>
      <c r="BW118" s="1595" t="str">
        <f>IF(BV118=1,"Row "&amp;Courses!A112&amp;"; ","")</f>
        <v/>
      </c>
      <c r="BX118" s="17"/>
      <c r="BZ118" s="1592" t="str">
        <f>IF(AND($Y$9=1,Courses!B112&lt;&gt;"",SUM(Courses!M112:AA112)=0),"Row "&amp;Courses!A112&amp;"; ","")</f>
        <v/>
      </c>
      <c r="CA118" s="17"/>
      <c r="CC118" s="1592" t="str">
        <f>IF(AND($Z$9=1,Courses!AD112=1,(LEN(Courses!AB112)&gt;200)),"Row "&amp;Courses!A112&amp;"; ","")</f>
        <v/>
      </c>
      <c r="CE118" s="131"/>
      <c r="CG118" s="1593" t="str">
        <f>IF(AND($AD$9=1,Courses!E112&lt;&gt;"",Courses!F112&lt;&gt;"",Courses!F112=0,SUM(Courses!H112,Courses!J112)=1),"Row "&amp;Courses!A112&amp;", "&amp;Courses!$F$10&amp;"; ","")</f>
        <v/>
      </c>
      <c r="CH118" t="str">
        <f>IF(AND($AD$9=1,Courses!G112&lt;&gt;"",Courses!H112&lt;&gt;"",Courses!H112=0,SUM(Courses!J112,Courses!F112)=1),"Row "&amp;Courses!A112&amp;", "&amp;Courses!$H$10&amp;"; ","")</f>
        <v/>
      </c>
      <c r="CI118" s="183" t="str">
        <f>IF(AND($AD$9=1,Courses!I112&lt;&gt;"",Courses!J112&lt;&gt;"",Courses!J112=0, SUM(Courses!H112,Courses!F112)=1),"Row "&amp;Courses!A112&amp;", "&amp;Courses!$J$10&amp;"; ","")</f>
        <v/>
      </c>
      <c r="CJ118" s="180"/>
      <c r="CK118" s="181"/>
      <c r="CL118" s="1592" t="str">
        <f>IF(AND(Courses!B112&lt;&gt;"",ISNA(VLOOKUP(Courses!C112,CourseInfo,2,FALSE))=FALSE,COUNTIF(Dummy,Courses!C112)&lt;&gt;1),VLOOKUP(Courses!C112,CourseInfo,6,FALSE),"")</f>
        <v/>
      </c>
      <c r="CM118" s="1592" t="str">
        <f>IF(AND($AE$9=1,Courses!B112&lt;&gt;"",'Courses Valid'!AG118="",COUNTIF(Dummy,Courses!C112)&lt;&gt;1),IF(Courses!K112&lt;&gt;'Courses Valid'!CL118,"Row "&amp;Courses!A112&amp;", Level on LARS is "&amp;'Courses Valid'!CL118&amp;"; ",""),"")</f>
        <v/>
      </c>
      <c r="CN118" s="131"/>
    </row>
    <row r="119" spans="3:92" x14ac:dyDescent="0.35">
      <c r="C119" s="1591">
        <f t="shared" si="3"/>
        <v>0</v>
      </c>
      <c r="D119" s="41"/>
      <c r="E119" s="41"/>
      <c r="F119" s="118"/>
      <c r="G119" s="1592" t="str">
        <f>IF(SUMPRODUCT(--(CourseAims=Courses!$C113))=1,"",IF(AND($N$9=1,Courses!$C113&lt;&gt;""),"Row "&amp;Courses!A113&amp;" (invalid); ",""))</f>
        <v/>
      </c>
      <c r="H119" s="1592" t="str">
        <f>IF(AND($O$9=1,Courses!B113="",OR(Courses!F113&lt;&gt;"",Courses!H113&lt;&gt;"",Courses!J113&lt;&gt;"",Courses!K113&lt;&gt;"",Courses!L113&lt;&gt;"",Courses!M113&lt;&gt;0,Courses!N113&lt;&gt;0,Courses!O113&lt;&gt;0,Courses!P113&lt;&gt;0,Courses!Q113&lt;&gt;0,Courses!R113&lt;&gt;0,Courses!S113&lt;&gt;0,Courses!T113&lt;&gt;0,Courses!U113&lt;&gt;0,Courses!V113&lt;&gt;0,Courses!W113&lt;&gt;0,Courses!X113&lt;&gt;0,Courses!Y113&lt;&gt;0,Courses!Z113&lt;&gt;0,Courses!AA113&lt;&gt;0)),"Row "&amp;Courses!A113&amp;" (none); ","")</f>
        <v/>
      </c>
      <c r="I119" s="17"/>
      <c r="K119" s="1592" t="str">
        <f>Courses!B113&amp;Courses!K113&amp;Courses!L113</f>
        <v/>
      </c>
      <c r="L119" s="1592" t="str">
        <f>IF(AND($P$9=1,Courses!$B113&lt;&gt;"",COUNTIF(Dummy,Courses!$C113)&lt;&gt;1),IF(SUMPRODUCT(--($K$20:$K$219=$K119))&gt;1,"Row "&amp;Courses!$A113&amp;"; ",""),"")</f>
        <v/>
      </c>
      <c r="N119" s="118"/>
      <c r="O119" s="1593" t="str">
        <f>IF(AND($Q$9=1,Courses!E113&lt;&gt;"",Courses!F113=""),"Row "&amp;Courses!A113&amp;", "&amp;Courses!$E$10&amp;"; ","")</f>
        <v/>
      </c>
      <c r="P119" t="str">
        <f>IF(AND($Q$9=1,Courses!G113&lt;&gt;"",Courses!H113=""),"Row "&amp;Courses!A113&amp;", "&amp;Courses!$G$10&amp;"; ","")</f>
        <v/>
      </c>
      <c r="Q119" s="183" t="str">
        <f>IF(AND($Q$9=1,Courses!I113&lt;&gt;"",Courses!J113=""),"Row "&amp;Courses!A113&amp;", "&amp;Courses!$I$10&amp;"; ","")</f>
        <v/>
      </c>
      <c r="S119" s="17"/>
      <c r="T119" s="118"/>
      <c r="U119" s="1594" t="str">
        <f>IF(AND($R$9=1,Courses!B113&lt;&gt;"",Courses!E113&lt;&gt;"",Courses!G113="",Courses!I113="",Courses!F113&lt;&gt;1),"Row "&amp;Courses!A113&amp;"; ","")</f>
        <v/>
      </c>
      <c r="V119" t="str">
        <f>IF(AND($R$9=1,Courses!B113&lt;&gt;"",Courses!I113="",Courses!F113&lt;&gt;"",Courses!G113&lt;&gt;"",Courses!H113&lt;&gt;""),IF(OR((Courses!F113+Courses!H113)&lt;&gt;1),"Row "&amp;Courses!A113&amp;"; ",""),"")</f>
        <v/>
      </c>
      <c r="W119" s="183" t="str">
        <f>IF(AND($R$9=1,Courses!B113&lt;&gt;"",Courses!I113&lt;&gt;"",Courses!J113&lt;&gt;"",Courses!H113&lt;&gt;"",Courses!G113&lt;&gt;"",Courses!F113&lt;&gt;""),IF(OR((Courses!F113+Courses!H113+Courses!J113)&lt;&gt;1),"Row "&amp;Courses!A113&amp;"; ",""),"")</f>
        <v/>
      </c>
      <c r="Y119" s="1592" t="str">
        <f>IF(AND($R$9=1,Courses!E113&lt;&gt;"",U119="",V119="",W119="",SUM(Courses!F113,Courses!H113,Courses!J113)&lt;&gt;1),"Row "&amp;Courses!A113&amp;"; ","")</f>
        <v/>
      </c>
      <c r="Z119" s="17"/>
      <c r="AB119" s="1593" t="str">
        <f>IF(AND($S$9=1,Courses!B113&lt;&gt;"",Courses!E113&lt;&gt;"",Courses!F113&lt;&gt;""),IF((TRUNC(Courses!F113*100)&lt;&gt;Courses!F113*100),"Row "&amp;Courses!A113&amp;", "&amp;Courses!$F$10&amp;"; ",""),"")</f>
        <v/>
      </c>
      <c r="AC119" t="str">
        <f>IF(AND($S$9=1,Courses!B113&lt;&gt;"",Courses!G113&lt;&gt;"",Courses!H113&lt;&gt;""),IF((TRUNC(Courses!H113*100)&lt;&gt;Courses!H113*100),"Row "&amp;Courses!A113&amp;", "&amp;Courses!$H$10&amp;"; ",""),"")</f>
        <v/>
      </c>
      <c r="AD119" s="183" t="str">
        <f>IF(AND($S$9=1,Courses!B113&lt;&gt;"",Courses!I113&lt;&gt;"",Courses!J113&lt;&gt;""),IF((TRUNC(Courses!J113*100)&lt;&gt;Courses!J113*100),"Row "&amp;Courses!A113&amp;", "&amp;Courses!$J$10&amp;"; ",""),"")</f>
        <v/>
      </c>
      <c r="AF119" s="118"/>
      <c r="AG119" s="1592" t="str">
        <f>IF(AND($T$9=1,G119="",Courses!B113&lt;&gt;"",Courses!K113&lt;&gt;$B$9,Courses!K113&lt;&gt;$B$10,Courses!K113&lt;&gt;$B$11,Courses!K113&lt;&gt;$B$12,Courses!K113&lt;&gt;$B$13,Courses!K113&lt;&gt;$B$14),"Row "&amp;Courses!A113&amp;"; ","")</f>
        <v/>
      </c>
      <c r="AH119" s="1592" t="str">
        <f>IF(AND($U$9=1,G119="",Courses!B113&lt;&gt;"",Courses!L113&lt;&gt;"Standard",Courses!L113&lt;&gt;"Long"),"Row "&amp;Courses!A113&amp;"; ","")</f>
        <v/>
      </c>
      <c r="AJ119" s="118"/>
      <c r="AK119" s="3">
        <v>100</v>
      </c>
      <c r="AL119" s="1593" t="str">
        <f>IF(AND($V$9=1,(TRUNC(Courses!M113)&lt;&gt;Courses!M113)), "Row "&amp;Courses!$A113&amp;", "&amp;AL$9&amp;", "&amp;AL$10&amp;", "&amp;AL$11&amp;"; ","")</f>
        <v/>
      </c>
      <c r="AM119" t="str">
        <f>IF(AND($V$9=1,(TRUNC(Courses!N113)&lt;&gt;Courses!N113)), "Row "&amp;Courses!$A113&amp;", "&amp;AM$9&amp;", "&amp;AM$10&amp;", "&amp;AM$11&amp;"; ","")</f>
        <v/>
      </c>
      <c r="AN119" t="str">
        <f>IF(AND($V$9=1,(TRUNC(Courses!O113)&lt;&gt;Courses!O113)), "Row "&amp;Courses!$A113&amp;", "&amp;AN$9&amp;", "&amp;AN$10&amp;", "&amp;AN$11&amp;"; ","")</f>
        <v/>
      </c>
      <c r="AO119" t="str">
        <f>IF(AND($V$9=1,(TRUNC(Courses!P113)&lt;&gt;Courses!P113)), "Row "&amp;Courses!$A113&amp;", "&amp;AO$9&amp;", "&amp;AO$10&amp;", "&amp;AO$11&amp;"; ","")</f>
        <v/>
      </c>
      <c r="AP119" s="2120" t="str">
        <f>IF(AND($V$9=1,(TRUNC(Courses!Q113)&lt;&gt;Courses!Q113)), "Row "&amp;Courses!$A113&amp;", "&amp;AP$9&amp;", "&amp;AP$10&amp;"; ","")</f>
        <v/>
      </c>
      <c r="AQ119" s="1593" t="str">
        <f>IF(AND($V$9=1,(TRUNC(Courses!R113)&lt;&gt;Courses!R113)), "Row "&amp;Courses!$A113&amp;", "&amp;AQ$9&amp;", "&amp;AQ$10&amp;", "&amp;AQ$11&amp;"; ","")</f>
        <v/>
      </c>
      <c r="AR119" t="str">
        <f>IF(AND($V$9=1,(TRUNC(Courses!S113)&lt;&gt;Courses!S113)), "Row "&amp;Courses!$A113&amp;", "&amp;AR$9&amp;", "&amp;AR$10&amp;", "&amp;AR$11&amp;"; ","")</f>
        <v/>
      </c>
      <c r="AS119" t="str">
        <f>IF(AND($V$9=1,(TRUNC(Courses!T113)&lt;&gt;Courses!T113)), "Row "&amp;Courses!$A113&amp;", "&amp;AS$9&amp;", "&amp;AS$10&amp;", "&amp;AS$11&amp;"; ","")</f>
        <v/>
      </c>
      <c r="AT119" t="str">
        <f>IF(AND($V$9=1,(TRUNC(Courses!U113)&lt;&gt;Courses!U113)), "Row "&amp;Courses!$A113&amp;", "&amp;AT$9&amp;", "&amp;AT$10&amp;", "&amp;AT$11&amp;"; ","")</f>
        <v/>
      </c>
      <c r="AU119" s="2120" t="str">
        <f>IF(AND($V$9=1,(TRUNC(Courses!V113)&lt;&gt;Courses!V113)), "Row "&amp;Courses!$A113&amp;", "&amp;AU$9&amp;", "&amp;AU$10&amp;"; ","")</f>
        <v/>
      </c>
      <c r="AV119" s="1593" t="str">
        <f>IF(AND($V$9=1,(TRUNC(Courses!W113)&lt;&gt;Courses!W113)), "Row "&amp;Courses!$A113&amp;", "&amp;AV$9&amp;", "&amp;AV$10&amp;", "&amp;AV$11&amp;"; ","")</f>
        <v/>
      </c>
      <c r="AW119" t="str">
        <f>IF(AND($V$9=1,(TRUNC(Courses!X113)&lt;&gt;Courses!X113)), "Row "&amp;Courses!$A113&amp;", "&amp;AW$9&amp;", "&amp;AW$10&amp;", "&amp;AW$11&amp;"; ","")</f>
        <v/>
      </c>
      <c r="AX119" t="str">
        <f>IF(AND($V$9=1,(TRUNC(Courses!Y113)&lt;&gt;Courses!Y113)), "Row "&amp;Courses!$A113&amp;", "&amp;AX$9&amp;", "&amp;AX$10&amp;", "&amp;AX$11&amp;"; ","")</f>
        <v/>
      </c>
      <c r="AY119" t="str">
        <f>IF(AND($V$9=1,(TRUNC(Courses!Z113)&lt;&gt;Courses!Z113)), "Row "&amp;Courses!$A113&amp;", "&amp;AY$9&amp;", "&amp;AY$10&amp;", "&amp;AY$11&amp;"; ","")</f>
        <v/>
      </c>
      <c r="AZ119" s="2120" t="str">
        <f>IF(AND($V$9=1,(TRUNC(Courses!AA113)&lt;&gt;Courses!AA113)), "Row "&amp;Courses!$A113&amp;", "&amp;AZ$9&amp;", "&amp;AZ$10&amp;"; ","")</f>
        <v/>
      </c>
      <c r="BB119" s="118"/>
      <c r="BC119" s="3">
        <v>100</v>
      </c>
      <c r="BD119" s="1593" t="str">
        <f>IF(AND($W$9=1,Courses!M113&lt;0), "Row "&amp;Courses!$A113&amp;", "&amp;BD$9&amp;", "&amp;BD$10&amp;", "&amp;BD$11&amp;"; ","")</f>
        <v/>
      </c>
      <c r="BE119" t="str">
        <f>IF(AND($W$9=1,Courses!N113&lt;0), "Row "&amp;Courses!$A113&amp;", "&amp;BE$9&amp;", "&amp;BE$10&amp;", "&amp;BE$11&amp;"; ","")</f>
        <v/>
      </c>
      <c r="BF119" t="str">
        <f>IF(AND($W$9=1,Courses!O113&lt;0), "Row "&amp;Courses!$A113&amp;", "&amp;BF$9&amp;", "&amp;BF$10&amp;", "&amp;BF$11&amp;"; ","")</f>
        <v/>
      </c>
      <c r="BG119" t="str">
        <f>IF(AND($W$9=1,Courses!P113&lt;0), "Row "&amp;Courses!$A113&amp;", "&amp;BG$9&amp;", "&amp;BG$10&amp;", "&amp;BG$11&amp;"; ","")</f>
        <v/>
      </c>
      <c r="BH119" s="2120" t="str">
        <f>IF(AND($W$9=1,Courses!Q113&lt;0), "Row "&amp;Courses!$A113&amp;", "&amp;BH$9&amp;", "&amp;BH$10&amp;"; ","")</f>
        <v/>
      </c>
      <c r="BI119" s="1593" t="str">
        <f>IF(AND($W$9=1,Courses!R113&lt;0), "Row "&amp;Courses!$A113&amp;", "&amp;BI$9&amp;", "&amp;BI$10&amp;", "&amp;BI$11&amp;"; ","")</f>
        <v/>
      </c>
      <c r="BJ119" t="str">
        <f>IF(AND($W$9=1,Courses!S113&lt;0), "Row "&amp;Courses!$A113&amp;", "&amp;BJ$9&amp;", "&amp;BJ$10&amp;", "&amp;BJ$11&amp;"; ","")</f>
        <v/>
      </c>
      <c r="BK119" t="str">
        <f>IF(AND($W$9=1,Courses!T113&lt;0), "Row "&amp;Courses!$A113&amp;", "&amp;BK$9&amp;", "&amp;BK$10&amp;", "&amp;BK$11&amp;"; ","")</f>
        <v/>
      </c>
      <c r="BL119" t="str">
        <f>IF(AND($W$9=1,Courses!U113&lt;0), "Row "&amp;Courses!$A113&amp;", "&amp;BL$9&amp;", "&amp;BL$10&amp;", "&amp;BL$11&amp;"; ","")</f>
        <v/>
      </c>
      <c r="BM119" s="2120" t="str">
        <f>IF(AND($W$9=1,Courses!V113&lt;0), "Row "&amp;Courses!$A113&amp;", "&amp;BM$9&amp;", "&amp;BM$10&amp;"; ","")</f>
        <v/>
      </c>
      <c r="BN119" s="1593" t="str">
        <f>IF(AND($W$9=1,Courses!W113&lt;0), "Row "&amp;Courses!$A113&amp;", "&amp;BN$9&amp;", "&amp;BN$10&amp;", "&amp;BN$11&amp;"; ","")</f>
        <v/>
      </c>
      <c r="BO119" t="str">
        <f>IF(AND($W$9=1,Courses!X113&lt;0), "Row "&amp;Courses!$A113&amp;", "&amp;BO$9&amp;", "&amp;BO$10&amp;", "&amp;BO$11&amp;"; ","")</f>
        <v/>
      </c>
      <c r="BP119" t="str">
        <f>IF(AND($W$9=1,Courses!Y113&lt;0), "Row "&amp;Courses!$A113&amp;", "&amp;BP$9&amp;", "&amp;BP$10&amp;", "&amp;BP$11&amp;"; ","")</f>
        <v/>
      </c>
      <c r="BQ119" t="str">
        <f>IF(AND($W$9=1,Courses!Z113&lt;0), "Row "&amp;Courses!$A113&amp;", "&amp;BQ$9&amp;", "&amp;BQ$10&amp;", "&amp;BQ$11&amp;"; ","")</f>
        <v/>
      </c>
      <c r="BR119" s="2120" t="str">
        <f>IF(AND($W$9=1,Courses!AA113&lt;0), "Row "&amp;Courses!$A113&amp;", "&amp;BR$9&amp;", "&amp;BR$10&amp;"; ","")</f>
        <v/>
      </c>
      <c r="BT119" s="40">
        <v>100</v>
      </c>
      <c r="BU119" s="40">
        <f>IF(AND($X$9=1,Courses!B113="",Courses!F113="",Courses!H113="",Courses!J113="",Courses!K113="",Courses!L113="",Courses!M113=0,Courses!N113=0,Courses!O113=0,Courses!P113=0,Courses!Q113=0,Courses!R113=0,Courses!S113=0,Courses!T113=0,Courses!U113=0,Courses!V113=0,Courses!W113=0,Courses!X113=0,Courses!Y113=0,Courses!Z113=0,Courses!AA113=0),0,1)</f>
        <v>0</v>
      </c>
      <c r="BV119" s="40">
        <f>IF(AND(BU119=0,SUM(BU120:$BU$219)&gt;0),1,0)</f>
        <v>0</v>
      </c>
      <c r="BW119" s="1595" t="str">
        <f>IF(BV119=1,"Row "&amp;Courses!A113&amp;"; ","")</f>
        <v/>
      </c>
      <c r="BX119" s="17"/>
      <c r="BZ119" s="1592" t="str">
        <f>IF(AND($Y$9=1,Courses!B113&lt;&gt;"",SUM(Courses!M113:AA113)=0),"Row "&amp;Courses!A113&amp;"; ","")</f>
        <v/>
      </c>
      <c r="CA119" s="17"/>
      <c r="CC119" s="1592" t="str">
        <f>IF(AND($Z$9=1,Courses!AD113=1,(LEN(Courses!AB113)&gt;200)),"Row "&amp;Courses!A113&amp;"; ","")</f>
        <v/>
      </c>
      <c r="CE119" s="131"/>
      <c r="CG119" s="1593" t="str">
        <f>IF(AND($AD$9=1,Courses!E113&lt;&gt;"",Courses!F113&lt;&gt;"",Courses!F113=0,SUM(Courses!H113,Courses!J113)=1),"Row "&amp;Courses!A113&amp;", "&amp;Courses!$F$10&amp;"; ","")</f>
        <v/>
      </c>
      <c r="CH119" t="str">
        <f>IF(AND($AD$9=1,Courses!G113&lt;&gt;"",Courses!H113&lt;&gt;"",Courses!H113=0,SUM(Courses!J113,Courses!F113)=1),"Row "&amp;Courses!A113&amp;", "&amp;Courses!$H$10&amp;"; ","")</f>
        <v/>
      </c>
      <c r="CI119" s="183" t="str">
        <f>IF(AND($AD$9=1,Courses!I113&lt;&gt;"",Courses!J113&lt;&gt;"",Courses!J113=0, SUM(Courses!H113,Courses!F113)=1),"Row "&amp;Courses!A113&amp;", "&amp;Courses!$J$10&amp;"; ","")</f>
        <v/>
      </c>
      <c r="CJ119" s="180"/>
      <c r="CK119" s="181"/>
      <c r="CL119" s="1592" t="str">
        <f>IF(AND(Courses!B113&lt;&gt;"",ISNA(VLOOKUP(Courses!C113,CourseInfo,2,FALSE))=FALSE,COUNTIF(Dummy,Courses!C113)&lt;&gt;1),VLOOKUP(Courses!C113,CourseInfo,6,FALSE),"")</f>
        <v/>
      </c>
      <c r="CM119" s="1592" t="str">
        <f>IF(AND($AE$9=1,Courses!B113&lt;&gt;"",'Courses Valid'!AG119="",COUNTIF(Dummy,Courses!C113)&lt;&gt;1),IF(Courses!K113&lt;&gt;'Courses Valid'!CL119,"Row "&amp;Courses!A113&amp;", Level on LARS is "&amp;'Courses Valid'!CL119&amp;"; ",""),"")</f>
        <v/>
      </c>
      <c r="CN119" s="131"/>
    </row>
    <row r="120" spans="3:92" x14ac:dyDescent="0.35">
      <c r="C120" s="1591">
        <f t="shared" si="3"/>
        <v>0</v>
      </c>
      <c r="D120" s="41"/>
      <c r="E120" s="41"/>
      <c r="F120" s="118"/>
      <c r="G120" s="1592" t="str">
        <f>IF(SUMPRODUCT(--(CourseAims=Courses!$C114))=1,"",IF(AND($N$9=1,Courses!$C114&lt;&gt;""),"Row "&amp;Courses!A114&amp;" (invalid); ",""))</f>
        <v/>
      </c>
      <c r="H120" s="1592" t="str">
        <f>IF(AND($O$9=1,Courses!B114="",OR(Courses!F114&lt;&gt;"",Courses!H114&lt;&gt;"",Courses!J114&lt;&gt;"",Courses!K114&lt;&gt;"",Courses!L114&lt;&gt;"",Courses!M114&lt;&gt;0,Courses!N114&lt;&gt;0,Courses!O114&lt;&gt;0,Courses!P114&lt;&gt;0,Courses!Q114&lt;&gt;0,Courses!R114&lt;&gt;0,Courses!S114&lt;&gt;0,Courses!T114&lt;&gt;0,Courses!U114&lt;&gt;0,Courses!V114&lt;&gt;0,Courses!W114&lt;&gt;0,Courses!X114&lt;&gt;0,Courses!Y114&lt;&gt;0,Courses!Z114&lt;&gt;0,Courses!AA114&lt;&gt;0)),"Row "&amp;Courses!A114&amp;" (none); ","")</f>
        <v/>
      </c>
      <c r="I120" s="17"/>
      <c r="K120" s="1592" t="str">
        <f>Courses!B114&amp;Courses!K114&amp;Courses!L114</f>
        <v/>
      </c>
      <c r="L120" s="1592" t="str">
        <f>IF(AND($P$9=1,Courses!$B114&lt;&gt;"",COUNTIF(Dummy,Courses!$C114)&lt;&gt;1),IF(SUMPRODUCT(--($K$20:$K$219=$K120))&gt;1,"Row "&amp;Courses!$A114&amp;"; ",""),"")</f>
        <v/>
      </c>
      <c r="N120" s="118"/>
      <c r="O120" s="1593" t="str">
        <f>IF(AND($Q$9=1,Courses!E114&lt;&gt;"",Courses!F114=""),"Row "&amp;Courses!A114&amp;", "&amp;Courses!$E$10&amp;"; ","")</f>
        <v/>
      </c>
      <c r="P120" t="str">
        <f>IF(AND($Q$9=1,Courses!G114&lt;&gt;"",Courses!H114=""),"Row "&amp;Courses!A114&amp;", "&amp;Courses!$G$10&amp;"; ","")</f>
        <v/>
      </c>
      <c r="Q120" s="183" t="str">
        <f>IF(AND($Q$9=1,Courses!I114&lt;&gt;"",Courses!J114=""),"Row "&amp;Courses!A114&amp;", "&amp;Courses!$I$10&amp;"; ","")</f>
        <v/>
      </c>
      <c r="S120" s="17"/>
      <c r="T120" s="118"/>
      <c r="U120" s="1594" t="str">
        <f>IF(AND($R$9=1,Courses!B114&lt;&gt;"",Courses!E114&lt;&gt;"",Courses!G114="",Courses!I114="",Courses!F114&lt;&gt;1),"Row "&amp;Courses!A114&amp;"; ","")</f>
        <v/>
      </c>
      <c r="V120" t="str">
        <f>IF(AND($R$9=1,Courses!B114&lt;&gt;"",Courses!I114="",Courses!F114&lt;&gt;"",Courses!G114&lt;&gt;"",Courses!H114&lt;&gt;""),IF(OR((Courses!F114+Courses!H114)&lt;&gt;1),"Row "&amp;Courses!A114&amp;"; ",""),"")</f>
        <v/>
      </c>
      <c r="W120" s="183" t="str">
        <f>IF(AND($R$9=1,Courses!B114&lt;&gt;"",Courses!I114&lt;&gt;"",Courses!J114&lt;&gt;"",Courses!H114&lt;&gt;"",Courses!G114&lt;&gt;"",Courses!F114&lt;&gt;""),IF(OR((Courses!F114+Courses!H114+Courses!J114)&lt;&gt;1),"Row "&amp;Courses!A114&amp;"; ",""),"")</f>
        <v/>
      </c>
      <c r="Y120" s="1592" t="str">
        <f>IF(AND($R$9=1,Courses!E114&lt;&gt;"",U120="",V120="",W120="",SUM(Courses!F114,Courses!H114,Courses!J114)&lt;&gt;1),"Row "&amp;Courses!A114&amp;"; ","")</f>
        <v/>
      </c>
      <c r="Z120" s="17"/>
      <c r="AB120" s="1593" t="str">
        <f>IF(AND($S$9=1,Courses!B114&lt;&gt;"",Courses!E114&lt;&gt;"",Courses!F114&lt;&gt;""),IF((TRUNC(Courses!F114*100)&lt;&gt;Courses!F114*100),"Row "&amp;Courses!A114&amp;", "&amp;Courses!$F$10&amp;"; ",""),"")</f>
        <v/>
      </c>
      <c r="AC120" t="str">
        <f>IF(AND($S$9=1,Courses!B114&lt;&gt;"",Courses!G114&lt;&gt;"",Courses!H114&lt;&gt;""),IF((TRUNC(Courses!H114*100)&lt;&gt;Courses!H114*100),"Row "&amp;Courses!A114&amp;", "&amp;Courses!$H$10&amp;"; ",""),"")</f>
        <v/>
      </c>
      <c r="AD120" s="183" t="str">
        <f>IF(AND($S$9=1,Courses!B114&lt;&gt;"",Courses!I114&lt;&gt;"",Courses!J114&lt;&gt;""),IF((TRUNC(Courses!J114*100)&lt;&gt;Courses!J114*100),"Row "&amp;Courses!A114&amp;", "&amp;Courses!$J$10&amp;"; ",""),"")</f>
        <v/>
      </c>
      <c r="AF120" s="118"/>
      <c r="AG120" s="1592" t="str">
        <f>IF(AND($T$9=1,G120="",Courses!B114&lt;&gt;"",Courses!K114&lt;&gt;$B$9,Courses!K114&lt;&gt;$B$10,Courses!K114&lt;&gt;$B$11,Courses!K114&lt;&gt;$B$12,Courses!K114&lt;&gt;$B$13,Courses!K114&lt;&gt;$B$14),"Row "&amp;Courses!A114&amp;"; ","")</f>
        <v/>
      </c>
      <c r="AH120" s="1592" t="str">
        <f>IF(AND($U$9=1,G120="",Courses!B114&lt;&gt;"",Courses!L114&lt;&gt;"Standard",Courses!L114&lt;&gt;"Long"),"Row "&amp;Courses!A114&amp;"; ","")</f>
        <v/>
      </c>
      <c r="AJ120" s="118"/>
      <c r="AK120" s="3">
        <v>101</v>
      </c>
      <c r="AL120" s="1593" t="str">
        <f>IF(AND($V$9=1,(TRUNC(Courses!M114)&lt;&gt;Courses!M114)), "Row "&amp;Courses!$A114&amp;", "&amp;AL$9&amp;", "&amp;AL$10&amp;", "&amp;AL$11&amp;"; ","")</f>
        <v/>
      </c>
      <c r="AM120" t="str">
        <f>IF(AND($V$9=1,(TRUNC(Courses!N114)&lt;&gt;Courses!N114)), "Row "&amp;Courses!$A114&amp;", "&amp;AM$9&amp;", "&amp;AM$10&amp;", "&amp;AM$11&amp;"; ","")</f>
        <v/>
      </c>
      <c r="AN120" t="str">
        <f>IF(AND($V$9=1,(TRUNC(Courses!O114)&lt;&gt;Courses!O114)), "Row "&amp;Courses!$A114&amp;", "&amp;AN$9&amp;", "&amp;AN$10&amp;", "&amp;AN$11&amp;"; ","")</f>
        <v/>
      </c>
      <c r="AO120" t="str">
        <f>IF(AND($V$9=1,(TRUNC(Courses!P114)&lt;&gt;Courses!P114)), "Row "&amp;Courses!$A114&amp;", "&amp;AO$9&amp;", "&amp;AO$10&amp;", "&amp;AO$11&amp;"; ","")</f>
        <v/>
      </c>
      <c r="AP120" s="2120" t="str">
        <f>IF(AND($V$9=1,(TRUNC(Courses!Q114)&lt;&gt;Courses!Q114)), "Row "&amp;Courses!$A114&amp;", "&amp;AP$9&amp;", "&amp;AP$10&amp;"; ","")</f>
        <v/>
      </c>
      <c r="AQ120" s="1593" t="str">
        <f>IF(AND($V$9=1,(TRUNC(Courses!R114)&lt;&gt;Courses!R114)), "Row "&amp;Courses!$A114&amp;", "&amp;AQ$9&amp;", "&amp;AQ$10&amp;", "&amp;AQ$11&amp;"; ","")</f>
        <v/>
      </c>
      <c r="AR120" t="str">
        <f>IF(AND($V$9=1,(TRUNC(Courses!S114)&lt;&gt;Courses!S114)), "Row "&amp;Courses!$A114&amp;", "&amp;AR$9&amp;", "&amp;AR$10&amp;", "&amp;AR$11&amp;"; ","")</f>
        <v/>
      </c>
      <c r="AS120" t="str">
        <f>IF(AND($V$9=1,(TRUNC(Courses!T114)&lt;&gt;Courses!T114)), "Row "&amp;Courses!$A114&amp;", "&amp;AS$9&amp;", "&amp;AS$10&amp;", "&amp;AS$11&amp;"; ","")</f>
        <v/>
      </c>
      <c r="AT120" t="str">
        <f>IF(AND($V$9=1,(TRUNC(Courses!U114)&lt;&gt;Courses!U114)), "Row "&amp;Courses!$A114&amp;", "&amp;AT$9&amp;", "&amp;AT$10&amp;", "&amp;AT$11&amp;"; ","")</f>
        <v/>
      </c>
      <c r="AU120" s="2120" t="str">
        <f>IF(AND($V$9=1,(TRUNC(Courses!V114)&lt;&gt;Courses!V114)), "Row "&amp;Courses!$A114&amp;", "&amp;AU$9&amp;", "&amp;AU$10&amp;"; ","")</f>
        <v/>
      </c>
      <c r="AV120" s="1593" t="str">
        <f>IF(AND($V$9=1,(TRUNC(Courses!W114)&lt;&gt;Courses!W114)), "Row "&amp;Courses!$A114&amp;", "&amp;AV$9&amp;", "&amp;AV$10&amp;", "&amp;AV$11&amp;"; ","")</f>
        <v/>
      </c>
      <c r="AW120" t="str">
        <f>IF(AND($V$9=1,(TRUNC(Courses!X114)&lt;&gt;Courses!X114)), "Row "&amp;Courses!$A114&amp;", "&amp;AW$9&amp;", "&amp;AW$10&amp;", "&amp;AW$11&amp;"; ","")</f>
        <v/>
      </c>
      <c r="AX120" t="str">
        <f>IF(AND($V$9=1,(TRUNC(Courses!Y114)&lt;&gt;Courses!Y114)), "Row "&amp;Courses!$A114&amp;", "&amp;AX$9&amp;", "&amp;AX$10&amp;", "&amp;AX$11&amp;"; ","")</f>
        <v/>
      </c>
      <c r="AY120" t="str">
        <f>IF(AND($V$9=1,(TRUNC(Courses!Z114)&lt;&gt;Courses!Z114)), "Row "&amp;Courses!$A114&amp;", "&amp;AY$9&amp;", "&amp;AY$10&amp;", "&amp;AY$11&amp;"; ","")</f>
        <v/>
      </c>
      <c r="AZ120" s="2120" t="str">
        <f>IF(AND($V$9=1,(TRUNC(Courses!AA114)&lt;&gt;Courses!AA114)), "Row "&amp;Courses!$A114&amp;", "&amp;AZ$9&amp;", "&amp;AZ$10&amp;"; ","")</f>
        <v/>
      </c>
      <c r="BB120" s="118"/>
      <c r="BC120" s="3">
        <v>101</v>
      </c>
      <c r="BD120" s="1593" t="str">
        <f>IF(AND($W$9=1,Courses!M114&lt;0), "Row "&amp;Courses!$A114&amp;", "&amp;BD$9&amp;", "&amp;BD$10&amp;", "&amp;BD$11&amp;"; ","")</f>
        <v/>
      </c>
      <c r="BE120" t="str">
        <f>IF(AND($W$9=1,Courses!N114&lt;0), "Row "&amp;Courses!$A114&amp;", "&amp;BE$9&amp;", "&amp;BE$10&amp;", "&amp;BE$11&amp;"; ","")</f>
        <v/>
      </c>
      <c r="BF120" t="str">
        <f>IF(AND($W$9=1,Courses!O114&lt;0), "Row "&amp;Courses!$A114&amp;", "&amp;BF$9&amp;", "&amp;BF$10&amp;", "&amp;BF$11&amp;"; ","")</f>
        <v/>
      </c>
      <c r="BG120" t="str">
        <f>IF(AND($W$9=1,Courses!P114&lt;0), "Row "&amp;Courses!$A114&amp;", "&amp;BG$9&amp;", "&amp;BG$10&amp;", "&amp;BG$11&amp;"; ","")</f>
        <v/>
      </c>
      <c r="BH120" s="2120" t="str">
        <f>IF(AND($W$9=1,Courses!Q114&lt;0), "Row "&amp;Courses!$A114&amp;", "&amp;BH$9&amp;", "&amp;BH$10&amp;"; ","")</f>
        <v/>
      </c>
      <c r="BI120" s="1593" t="str">
        <f>IF(AND($W$9=1,Courses!R114&lt;0), "Row "&amp;Courses!$A114&amp;", "&amp;BI$9&amp;", "&amp;BI$10&amp;", "&amp;BI$11&amp;"; ","")</f>
        <v/>
      </c>
      <c r="BJ120" t="str">
        <f>IF(AND($W$9=1,Courses!S114&lt;0), "Row "&amp;Courses!$A114&amp;", "&amp;BJ$9&amp;", "&amp;BJ$10&amp;", "&amp;BJ$11&amp;"; ","")</f>
        <v/>
      </c>
      <c r="BK120" t="str">
        <f>IF(AND($W$9=1,Courses!T114&lt;0), "Row "&amp;Courses!$A114&amp;", "&amp;BK$9&amp;", "&amp;BK$10&amp;", "&amp;BK$11&amp;"; ","")</f>
        <v/>
      </c>
      <c r="BL120" t="str">
        <f>IF(AND($W$9=1,Courses!U114&lt;0), "Row "&amp;Courses!$A114&amp;", "&amp;BL$9&amp;", "&amp;BL$10&amp;", "&amp;BL$11&amp;"; ","")</f>
        <v/>
      </c>
      <c r="BM120" s="2120" t="str">
        <f>IF(AND($W$9=1,Courses!V114&lt;0), "Row "&amp;Courses!$A114&amp;", "&amp;BM$9&amp;", "&amp;BM$10&amp;"; ","")</f>
        <v/>
      </c>
      <c r="BN120" s="1593" t="str">
        <f>IF(AND($W$9=1,Courses!W114&lt;0), "Row "&amp;Courses!$A114&amp;", "&amp;BN$9&amp;", "&amp;BN$10&amp;", "&amp;BN$11&amp;"; ","")</f>
        <v/>
      </c>
      <c r="BO120" t="str">
        <f>IF(AND($W$9=1,Courses!X114&lt;0), "Row "&amp;Courses!$A114&amp;", "&amp;BO$9&amp;", "&amp;BO$10&amp;", "&amp;BO$11&amp;"; ","")</f>
        <v/>
      </c>
      <c r="BP120" t="str">
        <f>IF(AND($W$9=1,Courses!Y114&lt;0), "Row "&amp;Courses!$A114&amp;", "&amp;BP$9&amp;", "&amp;BP$10&amp;", "&amp;BP$11&amp;"; ","")</f>
        <v/>
      </c>
      <c r="BQ120" t="str">
        <f>IF(AND($W$9=1,Courses!Z114&lt;0), "Row "&amp;Courses!$A114&amp;", "&amp;BQ$9&amp;", "&amp;BQ$10&amp;", "&amp;BQ$11&amp;"; ","")</f>
        <v/>
      </c>
      <c r="BR120" s="2120" t="str">
        <f>IF(AND($W$9=1,Courses!AA114&lt;0), "Row "&amp;Courses!$A114&amp;", "&amp;BR$9&amp;", "&amp;BR$10&amp;"; ","")</f>
        <v/>
      </c>
      <c r="BT120" s="40">
        <v>101</v>
      </c>
      <c r="BU120" s="40">
        <f>IF(AND($X$9=1,Courses!B114="",Courses!F114="",Courses!H114="",Courses!J114="",Courses!K114="",Courses!L114="",Courses!M114=0,Courses!N114=0,Courses!O114=0,Courses!P114=0,Courses!Q114=0,Courses!R114=0,Courses!S114=0,Courses!T114=0,Courses!U114=0,Courses!V114=0,Courses!W114=0,Courses!X114=0,Courses!Y114=0,Courses!Z114=0,Courses!AA114=0),0,1)</f>
        <v>0</v>
      </c>
      <c r="BV120" s="40">
        <f>IF(AND(BU120=0,SUM(BU121:$BU$219)&gt;0),1,0)</f>
        <v>0</v>
      </c>
      <c r="BW120" s="1595" t="str">
        <f>IF(BV120=1,"Row "&amp;Courses!A114&amp;"; ","")</f>
        <v/>
      </c>
      <c r="BX120" s="17"/>
      <c r="BZ120" s="1592" t="str">
        <f>IF(AND($Y$9=1,Courses!B114&lt;&gt;"",SUM(Courses!M114:AA114)=0),"Row "&amp;Courses!A114&amp;"; ","")</f>
        <v/>
      </c>
      <c r="CA120" s="17"/>
      <c r="CC120" s="1592" t="str">
        <f>IF(AND($Z$9=1,Courses!AD114=1,(LEN(Courses!AB114)&gt;200)),"Row "&amp;Courses!A114&amp;"; ","")</f>
        <v/>
      </c>
      <c r="CE120" s="131"/>
      <c r="CG120" s="1593" t="str">
        <f>IF(AND($AD$9=1,Courses!E114&lt;&gt;"",Courses!F114&lt;&gt;"",Courses!F114=0,SUM(Courses!H114,Courses!J114)=1),"Row "&amp;Courses!A114&amp;", "&amp;Courses!$F$10&amp;"; ","")</f>
        <v/>
      </c>
      <c r="CH120" t="str">
        <f>IF(AND($AD$9=1,Courses!G114&lt;&gt;"",Courses!H114&lt;&gt;"",Courses!H114=0,SUM(Courses!J114,Courses!F114)=1),"Row "&amp;Courses!A114&amp;", "&amp;Courses!$H$10&amp;"; ","")</f>
        <v/>
      </c>
      <c r="CI120" s="183" t="str">
        <f>IF(AND($AD$9=1,Courses!I114&lt;&gt;"",Courses!J114&lt;&gt;"",Courses!J114=0, SUM(Courses!H114,Courses!F114)=1),"Row "&amp;Courses!A114&amp;", "&amp;Courses!$J$10&amp;"; ","")</f>
        <v/>
      </c>
      <c r="CJ120" s="180"/>
      <c r="CK120" s="181"/>
      <c r="CL120" s="1592" t="str">
        <f>IF(AND(Courses!B114&lt;&gt;"",ISNA(VLOOKUP(Courses!C114,CourseInfo,2,FALSE))=FALSE,COUNTIF(Dummy,Courses!C114)&lt;&gt;1),VLOOKUP(Courses!C114,CourseInfo,6,FALSE),"")</f>
        <v/>
      </c>
      <c r="CM120" s="1592" t="str">
        <f>IF(AND($AE$9=1,Courses!B114&lt;&gt;"",'Courses Valid'!AG120="",COUNTIF(Dummy,Courses!C114)&lt;&gt;1),IF(Courses!K114&lt;&gt;'Courses Valid'!CL120,"Row "&amp;Courses!A114&amp;", Level on LARS is "&amp;'Courses Valid'!CL120&amp;"; ",""),"")</f>
        <v/>
      </c>
      <c r="CN120" s="131"/>
    </row>
    <row r="121" spans="3:92" x14ac:dyDescent="0.35">
      <c r="C121" s="1591">
        <f t="shared" si="3"/>
        <v>0</v>
      </c>
      <c r="D121" s="41"/>
      <c r="E121" s="41"/>
      <c r="F121" s="118"/>
      <c r="G121" s="1592" t="str">
        <f>IF(SUMPRODUCT(--(CourseAims=Courses!$C115))=1,"",IF(AND($N$9=1,Courses!$C115&lt;&gt;""),"Row "&amp;Courses!A115&amp;" (invalid); ",""))</f>
        <v/>
      </c>
      <c r="H121" s="1592" t="str">
        <f>IF(AND($O$9=1,Courses!B115="",OR(Courses!F115&lt;&gt;"",Courses!H115&lt;&gt;"",Courses!J115&lt;&gt;"",Courses!K115&lt;&gt;"",Courses!L115&lt;&gt;"",Courses!M115&lt;&gt;0,Courses!N115&lt;&gt;0,Courses!O115&lt;&gt;0,Courses!P115&lt;&gt;0,Courses!Q115&lt;&gt;0,Courses!R115&lt;&gt;0,Courses!S115&lt;&gt;0,Courses!T115&lt;&gt;0,Courses!U115&lt;&gt;0,Courses!V115&lt;&gt;0,Courses!W115&lt;&gt;0,Courses!X115&lt;&gt;0,Courses!Y115&lt;&gt;0,Courses!Z115&lt;&gt;0,Courses!AA115&lt;&gt;0)),"Row "&amp;Courses!A115&amp;" (none); ","")</f>
        <v/>
      </c>
      <c r="I121" s="17"/>
      <c r="K121" s="1592" t="str">
        <f>Courses!B115&amp;Courses!K115&amp;Courses!L115</f>
        <v/>
      </c>
      <c r="L121" s="1592" t="str">
        <f>IF(AND($P$9=1,Courses!$B115&lt;&gt;"",COUNTIF(Dummy,Courses!$C115)&lt;&gt;1),IF(SUMPRODUCT(--($K$20:$K$219=$K121))&gt;1,"Row "&amp;Courses!$A115&amp;"; ",""),"")</f>
        <v/>
      </c>
      <c r="N121" s="118"/>
      <c r="O121" s="1593" t="str">
        <f>IF(AND($Q$9=1,Courses!E115&lt;&gt;"",Courses!F115=""),"Row "&amp;Courses!A115&amp;", "&amp;Courses!$E$10&amp;"; ","")</f>
        <v/>
      </c>
      <c r="P121" t="str">
        <f>IF(AND($Q$9=1,Courses!G115&lt;&gt;"",Courses!H115=""),"Row "&amp;Courses!A115&amp;", "&amp;Courses!$G$10&amp;"; ","")</f>
        <v/>
      </c>
      <c r="Q121" s="183" t="str">
        <f>IF(AND($Q$9=1,Courses!I115&lt;&gt;"",Courses!J115=""),"Row "&amp;Courses!A115&amp;", "&amp;Courses!$I$10&amp;"; ","")</f>
        <v/>
      </c>
      <c r="S121" s="17"/>
      <c r="T121" s="118"/>
      <c r="U121" s="1594" t="str">
        <f>IF(AND($R$9=1,Courses!B115&lt;&gt;"",Courses!E115&lt;&gt;"",Courses!G115="",Courses!I115="",Courses!F115&lt;&gt;1),"Row "&amp;Courses!A115&amp;"; ","")</f>
        <v/>
      </c>
      <c r="V121" t="str">
        <f>IF(AND($R$9=1,Courses!B115&lt;&gt;"",Courses!I115="",Courses!F115&lt;&gt;"",Courses!G115&lt;&gt;"",Courses!H115&lt;&gt;""),IF(OR((Courses!F115+Courses!H115)&lt;&gt;1),"Row "&amp;Courses!A115&amp;"; ",""),"")</f>
        <v/>
      </c>
      <c r="W121" s="183" t="str">
        <f>IF(AND($R$9=1,Courses!B115&lt;&gt;"",Courses!I115&lt;&gt;"",Courses!J115&lt;&gt;"",Courses!H115&lt;&gt;"",Courses!G115&lt;&gt;"",Courses!F115&lt;&gt;""),IF(OR((Courses!F115+Courses!H115+Courses!J115)&lt;&gt;1),"Row "&amp;Courses!A115&amp;"; ",""),"")</f>
        <v/>
      </c>
      <c r="Y121" s="1592" t="str">
        <f>IF(AND($R$9=1,Courses!E115&lt;&gt;"",U121="",V121="",W121="",SUM(Courses!F115,Courses!H115,Courses!J115)&lt;&gt;1),"Row "&amp;Courses!A115&amp;"; ","")</f>
        <v/>
      </c>
      <c r="Z121" s="17"/>
      <c r="AB121" s="1593" t="str">
        <f>IF(AND($S$9=1,Courses!B115&lt;&gt;"",Courses!E115&lt;&gt;"",Courses!F115&lt;&gt;""),IF((TRUNC(Courses!F115*100)&lt;&gt;Courses!F115*100),"Row "&amp;Courses!A115&amp;", "&amp;Courses!$F$10&amp;"; ",""),"")</f>
        <v/>
      </c>
      <c r="AC121" t="str">
        <f>IF(AND($S$9=1,Courses!B115&lt;&gt;"",Courses!G115&lt;&gt;"",Courses!H115&lt;&gt;""),IF((TRUNC(Courses!H115*100)&lt;&gt;Courses!H115*100),"Row "&amp;Courses!A115&amp;", "&amp;Courses!$H$10&amp;"; ",""),"")</f>
        <v/>
      </c>
      <c r="AD121" s="183" t="str">
        <f>IF(AND($S$9=1,Courses!B115&lt;&gt;"",Courses!I115&lt;&gt;"",Courses!J115&lt;&gt;""),IF((TRUNC(Courses!J115*100)&lt;&gt;Courses!J115*100),"Row "&amp;Courses!A115&amp;", "&amp;Courses!$J$10&amp;"; ",""),"")</f>
        <v/>
      </c>
      <c r="AF121" s="118"/>
      <c r="AG121" s="1592" t="str">
        <f>IF(AND($T$9=1,G121="",Courses!B115&lt;&gt;"",Courses!K115&lt;&gt;$B$9,Courses!K115&lt;&gt;$B$10,Courses!K115&lt;&gt;$B$11,Courses!K115&lt;&gt;$B$12,Courses!K115&lt;&gt;$B$13,Courses!K115&lt;&gt;$B$14),"Row "&amp;Courses!A115&amp;"; ","")</f>
        <v/>
      </c>
      <c r="AH121" s="1592" t="str">
        <f>IF(AND($U$9=1,G121="",Courses!B115&lt;&gt;"",Courses!L115&lt;&gt;"Standard",Courses!L115&lt;&gt;"Long"),"Row "&amp;Courses!A115&amp;"; ","")</f>
        <v/>
      </c>
      <c r="AJ121" s="118"/>
      <c r="AK121" s="3">
        <v>102</v>
      </c>
      <c r="AL121" s="1593" t="str">
        <f>IF(AND($V$9=1,(TRUNC(Courses!M115)&lt;&gt;Courses!M115)), "Row "&amp;Courses!$A115&amp;", "&amp;AL$9&amp;", "&amp;AL$10&amp;", "&amp;AL$11&amp;"; ","")</f>
        <v/>
      </c>
      <c r="AM121" t="str">
        <f>IF(AND($V$9=1,(TRUNC(Courses!N115)&lt;&gt;Courses!N115)), "Row "&amp;Courses!$A115&amp;", "&amp;AM$9&amp;", "&amp;AM$10&amp;", "&amp;AM$11&amp;"; ","")</f>
        <v/>
      </c>
      <c r="AN121" t="str">
        <f>IF(AND($V$9=1,(TRUNC(Courses!O115)&lt;&gt;Courses!O115)), "Row "&amp;Courses!$A115&amp;", "&amp;AN$9&amp;", "&amp;AN$10&amp;", "&amp;AN$11&amp;"; ","")</f>
        <v/>
      </c>
      <c r="AO121" t="str">
        <f>IF(AND($V$9=1,(TRUNC(Courses!P115)&lt;&gt;Courses!P115)), "Row "&amp;Courses!$A115&amp;", "&amp;AO$9&amp;", "&amp;AO$10&amp;", "&amp;AO$11&amp;"; ","")</f>
        <v/>
      </c>
      <c r="AP121" s="2120" t="str">
        <f>IF(AND($V$9=1,(TRUNC(Courses!Q115)&lt;&gt;Courses!Q115)), "Row "&amp;Courses!$A115&amp;", "&amp;AP$9&amp;", "&amp;AP$10&amp;"; ","")</f>
        <v/>
      </c>
      <c r="AQ121" s="1593" t="str">
        <f>IF(AND($V$9=1,(TRUNC(Courses!R115)&lt;&gt;Courses!R115)), "Row "&amp;Courses!$A115&amp;", "&amp;AQ$9&amp;", "&amp;AQ$10&amp;", "&amp;AQ$11&amp;"; ","")</f>
        <v/>
      </c>
      <c r="AR121" t="str">
        <f>IF(AND($V$9=1,(TRUNC(Courses!S115)&lt;&gt;Courses!S115)), "Row "&amp;Courses!$A115&amp;", "&amp;AR$9&amp;", "&amp;AR$10&amp;", "&amp;AR$11&amp;"; ","")</f>
        <v/>
      </c>
      <c r="AS121" t="str">
        <f>IF(AND($V$9=1,(TRUNC(Courses!T115)&lt;&gt;Courses!T115)), "Row "&amp;Courses!$A115&amp;", "&amp;AS$9&amp;", "&amp;AS$10&amp;", "&amp;AS$11&amp;"; ","")</f>
        <v/>
      </c>
      <c r="AT121" t="str">
        <f>IF(AND($V$9=1,(TRUNC(Courses!U115)&lt;&gt;Courses!U115)), "Row "&amp;Courses!$A115&amp;", "&amp;AT$9&amp;", "&amp;AT$10&amp;", "&amp;AT$11&amp;"; ","")</f>
        <v/>
      </c>
      <c r="AU121" s="2120" t="str">
        <f>IF(AND($V$9=1,(TRUNC(Courses!V115)&lt;&gt;Courses!V115)), "Row "&amp;Courses!$A115&amp;", "&amp;AU$9&amp;", "&amp;AU$10&amp;"; ","")</f>
        <v/>
      </c>
      <c r="AV121" s="1593" t="str">
        <f>IF(AND($V$9=1,(TRUNC(Courses!W115)&lt;&gt;Courses!W115)), "Row "&amp;Courses!$A115&amp;", "&amp;AV$9&amp;", "&amp;AV$10&amp;", "&amp;AV$11&amp;"; ","")</f>
        <v/>
      </c>
      <c r="AW121" t="str">
        <f>IF(AND($V$9=1,(TRUNC(Courses!X115)&lt;&gt;Courses!X115)), "Row "&amp;Courses!$A115&amp;", "&amp;AW$9&amp;", "&amp;AW$10&amp;", "&amp;AW$11&amp;"; ","")</f>
        <v/>
      </c>
      <c r="AX121" t="str">
        <f>IF(AND($V$9=1,(TRUNC(Courses!Y115)&lt;&gt;Courses!Y115)), "Row "&amp;Courses!$A115&amp;", "&amp;AX$9&amp;", "&amp;AX$10&amp;", "&amp;AX$11&amp;"; ","")</f>
        <v/>
      </c>
      <c r="AY121" t="str">
        <f>IF(AND($V$9=1,(TRUNC(Courses!Z115)&lt;&gt;Courses!Z115)), "Row "&amp;Courses!$A115&amp;", "&amp;AY$9&amp;", "&amp;AY$10&amp;", "&amp;AY$11&amp;"; ","")</f>
        <v/>
      </c>
      <c r="AZ121" s="2120" t="str">
        <f>IF(AND($V$9=1,(TRUNC(Courses!AA115)&lt;&gt;Courses!AA115)), "Row "&amp;Courses!$A115&amp;", "&amp;AZ$9&amp;", "&amp;AZ$10&amp;"; ","")</f>
        <v/>
      </c>
      <c r="BB121" s="118"/>
      <c r="BC121" s="3">
        <v>102</v>
      </c>
      <c r="BD121" s="1593" t="str">
        <f>IF(AND($W$9=1,Courses!M115&lt;0), "Row "&amp;Courses!$A115&amp;", "&amp;BD$9&amp;", "&amp;BD$10&amp;", "&amp;BD$11&amp;"; ","")</f>
        <v/>
      </c>
      <c r="BE121" t="str">
        <f>IF(AND($W$9=1,Courses!N115&lt;0), "Row "&amp;Courses!$A115&amp;", "&amp;BE$9&amp;", "&amp;BE$10&amp;", "&amp;BE$11&amp;"; ","")</f>
        <v/>
      </c>
      <c r="BF121" t="str">
        <f>IF(AND($W$9=1,Courses!O115&lt;0), "Row "&amp;Courses!$A115&amp;", "&amp;BF$9&amp;", "&amp;BF$10&amp;", "&amp;BF$11&amp;"; ","")</f>
        <v/>
      </c>
      <c r="BG121" t="str">
        <f>IF(AND($W$9=1,Courses!P115&lt;0), "Row "&amp;Courses!$A115&amp;", "&amp;BG$9&amp;", "&amp;BG$10&amp;", "&amp;BG$11&amp;"; ","")</f>
        <v/>
      </c>
      <c r="BH121" s="2120" t="str">
        <f>IF(AND($W$9=1,Courses!Q115&lt;0), "Row "&amp;Courses!$A115&amp;", "&amp;BH$9&amp;", "&amp;BH$10&amp;"; ","")</f>
        <v/>
      </c>
      <c r="BI121" s="1593" t="str">
        <f>IF(AND($W$9=1,Courses!R115&lt;0), "Row "&amp;Courses!$A115&amp;", "&amp;BI$9&amp;", "&amp;BI$10&amp;", "&amp;BI$11&amp;"; ","")</f>
        <v/>
      </c>
      <c r="BJ121" t="str">
        <f>IF(AND($W$9=1,Courses!S115&lt;0), "Row "&amp;Courses!$A115&amp;", "&amp;BJ$9&amp;", "&amp;BJ$10&amp;", "&amp;BJ$11&amp;"; ","")</f>
        <v/>
      </c>
      <c r="BK121" t="str">
        <f>IF(AND($W$9=1,Courses!T115&lt;0), "Row "&amp;Courses!$A115&amp;", "&amp;BK$9&amp;", "&amp;BK$10&amp;", "&amp;BK$11&amp;"; ","")</f>
        <v/>
      </c>
      <c r="BL121" t="str">
        <f>IF(AND($W$9=1,Courses!U115&lt;0), "Row "&amp;Courses!$A115&amp;", "&amp;BL$9&amp;", "&amp;BL$10&amp;", "&amp;BL$11&amp;"; ","")</f>
        <v/>
      </c>
      <c r="BM121" s="2120" t="str">
        <f>IF(AND($W$9=1,Courses!V115&lt;0), "Row "&amp;Courses!$A115&amp;", "&amp;BM$9&amp;", "&amp;BM$10&amp;"; ","")</f>
        <v/>
      </c>
      <c r="BN121" s="1593" t="str">
        <f>IF(AND($W$9=1,Courses!W115&lt;0), "Row "&amp;Courses!$A115&amp;", "&amp;BN$9&amp;", "&amp;BN$10&amp;", "&amp;BN$11&amp;"; ","")</f>
        <v/>
      </c>
      <c r="BO121" t="str">
        <f>IF(AND($W$9=1,Courses!X115&lt;0), "Row "&amp;Courses!$A115&amp;", "&amp;BO$9&amp;", "&amp;BO$10&amp;", "&amp;BO$11&amp;"; ","")</f>
        <v/>
      </c>
      <c r="BP121" t="str">
        <f>IF(AND($W$9=1,Courses!Y115&lt;0), "Row "&amp;Courses!$A115&amp;", "&amp;BP$9&amp;", "&amp;BP$10&amp;", "&amp;BP$11&amp;"; ","")</f>
        <v/>
      </c>
      <c r="BQ121" t="str">
        <f>IF(AND($W$9=1,Courses!Z115&lt;0), "Row "&amp;Courses!$A115&amp;", "&amp;BQ$9&amp;", "&amp;BQ$10&amp;", "&amp;BQ$11&amp;"; ","")</f>
        <v/>
      </c>
      <c r="BR121" s="2120" t="str">
        <f>IF(AND($W$9=1,Courses!AA115&lt;0), "Row "&amp;Courses!$A115&amp;", "&amp;BR$9&amp;", "&amp;BR$10&amp;"; ","")</f>
        <v/>
      </c>
      <c r="BT121" s="40">
        <v>102</v>
      </c>
      <c r="BU121" s="40">
        <f>IF(AND($X$9=1,Courses!B115="",Courses!F115="",Courses!H115="",Courses!J115="",Courses!K115="",Courses!L115="",Courses!M115=0,Courses!N115=0,Courses!O115=0,Courses!P115=0,Courses!Q115=0,Courses!R115=0,Courses!S115=0,Courses!T115=0,Courses!U115=0,Courses!V115=0,Courses!W115=0,Courses!X115=0,Courses!Y115=0,Courses!Z115=0,Courses!AA115=0),0,1)</f>
        <v>0</v>
      </c>
      <c r="BV121" s="40">
        <f>IF(AND(BU121=0,SUM(BU122:$BU$219)&gt;0),1,0)</f>
        <v>0</v>
      </c>
      <c r="BW121" s="1595" t="str">
        <f>IF(BV121=1,"Row "&amp;Courses!A115&amp;"; ","")</f>
        <v/>
      </c>
      <c r="BX121" s="17"/>
      <c r="BZ121" s="1592" t="str">
        <f>IF(AND($Y$9=1,Courses!B115&lt;&gt;"",SUM(Courses!M115:AA115)=0),"Row "&amp;Courses!A115&amp;"; ","")</f>
        <v/>
      </c>
      <c r="CA121" s="17"/>
      <c r="CC121" s="1592" t="str">
        <f>IF(AND($Z$9=1,Courses!AD115=1,(LEN(Courses!AB115)&gt;200)),"Row "&amp;Courses!A115&amp;"; ","")</f>
        <v/>
      </c>
      <c r="CE121" s="131"/>
      <c r="CG121" s="1593" t="str">
        <f>IF(AND($AD$9=1,Courses!E115&lt;&gt;"",Courses!F115&lt;&gt;"",Courses!F115=0,SUM(Courses!H115,Courses!J115)=1),"Row "&amp;Courses!A115&amp;", "&amp;Courses!$F$10&amp;"; ","")</f>
        <v/>
      </c>
      <c r="CH121" t="str">
        <f>IF(AND($AD$9=1,Courses!G115&lt;&gt;"",Courses!H115&lt;&gt;"",Courses!H115=0,SUM(Courses!J115,Courses!F115)=1),"Row "&amp;Courses!A115&amp;", "&amp;Courses!$H$10&amp;"; ","")</f>
        <v/>
      </c>
      <c r="CI121" s="183" t="str">
        <f>IF(AND($AD$9=1,Courses!I115&lt;&gt;"",Courses!J115&lt;&gt;"",Courses!J115=0, SUM(Courses!H115,Courses!F115)=1),"Row "&amp;Courses!A115&amp;", "&amp;Courses!$J$10&amp;"; ","")</f>
        <v/>
      </c>
      <c r="CJ121" s="180"/>
      <c r="CK121" s="181"/>
      <c r="CL121" s="1592" t="str">
        <f>IF(AND(Courses!B115&lt;&gt;"",ISNA(VLOOKUP(Courses!C115,CourseInfo,2,FALSE))=FALSE,COUNTIF(Dummy,Courses!C115)&lt;&gt;1),VLOOKUP(Courses!C115,CourseInfo,6,FALSE),"")</f>
        <v/>
      </c>
      <c r="CM121" s="1592" t="str">
        <f>IF(AND($AE$9=1,Courses!B115&lt;&gt;"",'Courses Valid'!AG121="",COUNTIF(Dummy,Courses!C115)&lt;&gt;1),IF(Courses!K115&lt;&gt;'Courses Valid'!CL121,"Row "&amp;Courses!A115&amp;", Level on LARS is "&amp;'Courses Valid'!CL121&amp;"; ",""),"")</f>
        <v/>
      </c>
      <c r="CN121" s="131"/>
    </row>
    <row r="122" spans="3:92" x14ac:dyDescent="0.35">
      <c r="C122" s="1591">
        <f t="shared" si="3"/>
        <v>0</v>
      </c>
      <c r="D122" s="41"/>
      <c r="E122" s="41"/>
      <c r="F122" s="118"/>
      <c r="G122" s="1592" t="str">
        <f>IF(SUMPRODUCT(--(CourseAims=Courses!$C116))=1,"",IF(AND($N$9=1,Courses!$C116&lt;&gt;""),"Row "&amp;Courses!A116&amp;" (invalid); ",""))</f>
        <v/>
      </c>
      <c r="H122" s="1592" t="str">
        <f>IF(AND($O$9=1,Courses!B116="",OR(Courses!F116&lt;&gt;"",Courses!H116&lt;&gt;"",Courses!J116&lt;&gt;"",Courses!K116&lt;&gt;"",Courses!L116&lt;&gt;"",Courses!M116&lt;&gt;0,Courses!N116&lt;&gt;0,Courses!O116&lt;&gt;0,Courses!P116&lt;&gt;0,Courses!Q116&lt;&gt;0,Courses!R116&lt;&gt;0,Courses!S116&lt;&gt;0,Courses!T116&lt;&gt;0,Courses!U116&lt;&gt;0,Courses!V116&lt;&gt;0,Courses!W116&lt;&gt;0,Courses!X116&lt;&gt;0,Courses!Y116&lt;&gt;0,Courses!Z116&lt;&gt;0,Courses!AA116&lt;&gt;0)),"Row "&amp;Courses!A116&amp;" (none); ","")</f>
        <v/>
      </c>
      <c r="I122" s="17"/>
      <c r="K122" s="1592" t="str">
        <f>Courses!B116&amp;Courses!K116&amp;Courses!L116</f>
        <v/>
      </c>
      <c r="L122" s="1592" t="str">
        <f>IF(AND($P$9=1,Courses!$B116&lt;&gt;"",COUNTIF(Dummy,Courses!$C116)&lt;&gt;1),IF(SUMPRODUCT(--($K$20:$K$219=$K122))&gt;1,"Row "&amp;Courses!$A116&amp;"; ",""),"")</f>
        <v/>
      </c>
      <c r="N122" s="118"/>
      <c r="O122" s="1593" t="str">
        <f>IF(AND($Q$9=1,Courses!E116&lt;&gt;"",Courses!F116=""),"Row "&amp;Courses!A116&amp;", "&amp;Courses!$E$10&amp;"; ","")</f>
        <v/>
      </c>
      <c r="P122" t="str">
        <f>IF(AND($Q$9=1,Courses!G116&lt;&gt;"",Courses!H116=""),"Row "&amp;Courses!A116&amp;", "&amp;Courses!$G$10&amp;"; ","")</f>
        <v/>
      </c>
      <c r="Q122" s="183" t="str">
        <f>IF(AND($Q$9=1,Courses!I116&lt;&gt;"",Courses!J116=""),"Row "&amp;Courses!A116&amp;", "&amp;Courses!$I$10&amp;"; ","")</f>
        <v/>
      </c>
      <c r="S122" s="17"/>
      <c r="T122" s="118"/>
      <c r="U122" s="1594" t="str">
        <f>IF(AND($R$9=1,Courses!B116&lt;&gt;"",Courses!E116&lt;&gt;"",Courses!G116="",Courses!I116="",Courses!F116&lt;&gt;1),"Row "&amp;Courses!A116&amp;"; ","")</f>
        <v/>
      </c>
      <c r="V122" t="str">
        <f>IF(AND($R$9=1,Courses!B116&lt;&gt;"",Courses!I116="",Courses!F116&lt;&gt;"",Courses!G116&lt;&gt;"",Courses!H116&lt;&gt;""),IF(OR((Courses!F116+Courses!H116)&lt;&gt;1),"Row "&amp;Courses!A116&amp;"; ",""),"")</f>
        <v/>
      </c>
      <c r="W122" s="183" t="str">
        <f>IF(AND($R$9=1,Courses!B116&lt;&gt;"",Courses!I116&lt;&gt;"",Courses!J116&lt;&gt;"",Courses!H116&lt;&gt;"",Courses!G116&lt;&gt;"",Courses!F116&lt;&gt;""),IF(OR((Courses!F116+Courses!H116+Courses!J116)&lt;&gt;1),"Row "&amp;Courses!A116&amp;"; ",""),"")</f>
        <v/>
      </c>
      <c r="Y122" s="1592" t="str">
        <f>IF(AND($R$9=1,Courses!E116&lt;&gt;"",U122="",V122="",W122="",SUM(Courses!F116,Courses!H116,Courses!J116)&lt;&gt;1),"Row "&amp;Courses!A116&amp;"; ","")</f>
        <v/>
      </c>
      <c r="Z122" s="17"/>
      <c r="AB122" s="1593" t="str">
        <f>IF(AND($S$9=1,Courses!B116&lt;&gt;"",Courses!E116&lt;&gt;"",Courses!F116&lt;&gt;""),IF((TRUNC(Courses!F116*100)&lt;&gt;Courses!F116*100),"Row "&amp;Courses!A116&amp;", "&amp;Courses!$F$10&amp;"; ",""),"")</f>
        <v/>
      </c>
      <c r="AC122" t="str">
        <f>IF(AND($S$9=1,Courses!B116&lt;&gt;"",Courses!G116&lt;&gt;"",Courses!H116&lt;&gt;""),IF((TRUNC(Courses!H116*100)&lt;&gt;Courses!H116*100),"Row "&amp;Courses!A116&amp;", "&amp;Courses!$H$10&amp;"; ",""),"")</f>
        <v/>
      </c>
      <c r="AD122" s="183" t="str">
        <f>IF(AND($S$9=1,Courses!B116&lt;&gt;"",Courses!I116&lt;&gt;"",Courses!J116&lt;&gt;""),IF((TRUNC(Courses!J116*100)&lt;&gt;Courses!J116*100),"Row "&amp;Courses!A116&amp;", "&amp;Courses!$J$10&amp;"; ",""),"")</f>
        <v/>
      </c>
      <c r="AF122" s="118"/>
      <c r="AG122" s="1592" t="str">
        <f>IF(AND($T$9=1,G122="",Courses!B116&lt;&gt;"",Courses!K116&lt;&gt;$B$9,Courses!K116&lt;&gt;$B$10,Courses!K116&lt;&gt;$B$11,Courses!K116&lt;&gt;$B$12,Courses!K116&lt;&gt;$B$13,Courses!K116&lt;&gt;$B$14),"Row "&amp;Courses!A116&amp;"; ","")</f>
        <v/>
      </c>
      <c r="AH122" s="1592" t="str">
        <f>IF(AND($U$9=1,G122="",Courses!B116&lt;&gt;"",Courses!L116&lt;&gt;"Standard",Courses!L116&lt;&gt;"Long"),"Row "&amp;Courses!A116&amp;"; ","")</f>
        <v/>
      </c>
      <c r="AJ122" s="118"/>
      <c r="AK122" s="3">
        <v>103</v>
      </c>
      <c r="AL122" s="1593" t="str">
        <f>IF(AND($V$9=1,(TRUNC(Courses!M116)&lt;&gt;Courses!M116)), "Row "&amp;Courses!$A116&amp;", "&amp;AL$9&amp;", "&amp;AL$10&amp;", "&amp;AL$11&amp;"; ","")</f>
        <v/>
      </c>
      <c r="AM122" t="str">
        <f>IF(AND($V$9=1,(TRUNC(Courses!N116)&lt;&gt;Courses!N116)), "Row "&amp;Courses!$A116&amp;", "&amp;AM$9&amp;", "&amp;AM$10&amp;", "&amp;AM$11&amp;"; ","")</f>
        <v/>
      </c>
      <c r="AN122" t="str">
        <f>IF(AND($V$9=1,(TRUNC(Courses!O116)&lt;&gt;Courses!O116)), "Row "&amp;Courses!$A116&amp;", "&amp;AN$9&amp;", "&amp;AN$10&amp;", "&amp;AN$11&amp;"; ","")</f>
        <v/>
      </c>
      <c r="AO122" t="str">
        <f>IF(AND($V$9=1,(TRUNC(Courses!P116)&lt;&gt;Courses!P116)), "Row "&amp;Courses!$A116&amp;", "&amp;AO$9&amp;", "&amp;AO$10&amp;", "&amp;AO$11&amp;"; ","")</f>
        <v/>
      </c>
      <c r="AP122" s="2120" t="str">
        <f>IF(AND($V$9=1,(TRUNC(Courses!Q116)&lt;&gt;Courses!Q116)), "Row "&amp;Courses!$A116&amp;", "&amp;AP$9&amp;", "&amp;AP$10&amp;"; ","")</f>
        <v/>
      </c>
      <c r="AQ122" s="1593" t="str">
        <f>IF(AND($V$9=1,(TRUNC(Courses!R116)&lt;&gt;Courses!R116)), "Row "&amp;Courses!$A116&amp;", "&amp;AQ$9&amp;", "&amp;AQ$10&amp;", "&amp;AQ$11&amp;"; ","")</f>
        <v/>
      </c>
      <c r="AR122" t="str">
        <f>IF(AND($V$9=1,(TRUNC(Courses!S116)&lt;&gt;Courses!S116)), "Row "&amp;Courses!$A116&amp;", "&amp;AR$9&amp;", "&amp;AR$10&amp;", "&amp;AR$11&amp;"; ","")</f>
        <v/>
      </c>
      <c r="AS122" t="str">
        <f>IF(AND($V$9=1,(TRUNC(Courses!T116)&lt;&gt;Courses!T116)), "Row "&amp;Courses!$A116&amp;", "&amp;AS$9&amp;", "&amp;AS$10&amp;", "&amp;AS$11&amp;"; ","")</f>
        <v/>
      </c>
      <c r="AT122" t="str">
        <f>IF(AND($V$9=1,(TRUNC(Courses!U116)&lt;&gt;Courses!U116)), "Row "&amp;Courses!$A116&amp;", "&amp;AT$9&amp;", "&amp;AT$10&amp;", "&amp;AT$11&amp;"; ","")</f>
        <v/>
      </c>
      <c r="AU122" s="2120" t="str">
        <f>IF(AND($V$9=1,(TRUNC(Courses!V116)&lt;&gt;Courses!V116)), "Row "&amp;Courses!$A116&amp;", "&amp;AU$9&amp;", "&amp;AU$10&amp;"; ","")</f>
        <v/>
      </c>
      <c r="AV122" s="1593" t="str">
        <f>IF(AND($V$9=1,(TRUNC(Courses!W116)&lt;&gt;Courses!W116)), "Row "&amp;Courses!$A116&amp;", "&amp;AV$9&amp;", "&amp;AV$10&amp;", "&amp;AV$11&amp;"; ","")</f>
        <v/>
      </c>
      <c r="AW122" t="str">
        <f>IF(AND($V$9=1,(TRUNC(Courses!X116)&lt;&gt;Courses!X116)), "Row "&amp;Courses!$A116&amp;", "&amp;AW$9&amp;", "&amp;AW$10&amp;", "&amp;AW$11&amp;"; ","")</f>
        <v/>
      </c>
      <c r="AX122" t="str">
        <f>IF(AND($V$9=1,(TRUNC(Courses!Y116)&lt;&gt;Courses!Y116)), "Row "&amp;Courses!$A116&amp;", "&amp;AX$9&amp;", "&amp;AX$10&amp;", "&amp;AX$11&amp;"; ","")</f>
        <v/>
      </c>
      <c r="AY122" t="str">
        <f>IF(AND($V$9=1,(TRUNC(Courses!Z116)&lt;&gt;Courses!Z116)), "Row "&amp;Courses!$A116&amp;", "&amp;AY$9&amp;", "&amp;AY$10&amp;", "&amp;AY$11&amp;"; ","")</f>
        <v/>
      </c>
      <c r="AZ122" s="2120" t="str">
        <f>IF(AND($V$9=1,(TRUNC(Courses!AA116)&lt;&gt;Courses!AA116)), "Row "&amp;Courses!$A116&amp;", "&amp;AZ$9&amp;", "&amp;AZ$10&amp;"; ","")</f>
        <v/>
      </c>
      <c r="BB122" s="118"/>
      <c r="BC122" s="3">
        <v>103</v>
      </c>
      <c r="BD122" s="1593" t="str">
        <f>IF(AND($W$9=1,Courses!M116&lt;0), "Row "&amp;Courses!$A116&amp;", "&amp;BD$9&amp;", "&amp;BD$10&amp;", "&amp;BD$11&amp;"; ","")</f>
        <v/>
      </c>
      <c r="BE122" t="str">
        <f>IF(AND($W$9=1,Courses!N116&lt;0), "Row "&amp;Courses!$A116&amp;", "&amp;BE$9&amp;", "&amp;BE$10&amp;", "&amp;BE$11&amp;"; ","")</f>
        <v/>
      </c>
      <c r="BF122" t="str">
        <f>IF(AND($W$9=1,Courses!O116&lt;0), "Row "&amp;Courses!$A116&amp;", "&amp;BF$9&amp;", "&amp;BF$10&amp;", "&amp;BF$11&amp;"; ","")</f>
        <v/>
      </c>
      <c r="BG122" t="str">
        <f>IF(AND($W$9=1,Courses!P116&lt;0), "Row "&amp;Courses!$A116&amp;", "&amp;BG$9&amp;", "&amp;BG$10&amp;", "&amp;BG$11&amp;"; ","")</f>
        <v/>
      </c>
      <c r="BH122" s="2120" t="str">
        <f>IF(AND($W$9=1,Courses!Q116&lt;0), "Row "&amp;Courses!$A116&amp;", "&amp;BH$9&amp;", "&amp;BH$10&amp;"; ","")</f>
        <v/>
      </c>
      <c r="BI122" s="1593" t="str">
        <f>IF(AND($W$9=1,Courses!R116&lt;0), "Row "&amp;Courses!$A116&amp;", "&amp;BI$9&amp;", "&amp;BI$10&amp;", "&amp;BI$11&amp;"; ","")</f>
        <v/>
      </c>
      <c r="BJ122" t="str">
        <f>IF(AND($W$9=1,Courses!S116&lt;0), "Row "&amp;Courses!$A116&amp;", "&amp;BJ$9&amp;", "&amp;BJ$10&amp;", "&amp;BJ$11&amp;"; ","")</f>
        <v/>
      </c>
      <c r="BK122" t="str">
        <f>IF(AND($W$9=1,Courses!T116&lt;0), "Row "&amp;Courses!$A116&amp;", "&amp;BK$9&amp;", "&amp;BK$10&amp;", "&amp;BK$11&amp;"; ","")</f>
        <v/>
      </c>
      <c r="BL122" t="str">
        <f>IF(AND($W$9=1,Courses!U116&lt;0), "Row "&amp;Courses!$A116&amp;", "&amp;BL$9&amp;", "&amp;BL$10&amp;", "&amp;BL$11&amp;"; ","")</f>
        <v/>
      </c>
      <c r="BM122" s="2120" t="str">
        <f>IF(AND($W$9=1,Courses!V116&lt;0), "Row "&amp;Courses!$A116&amp;", "&amp;BM$9&amp;", "&amp;BM$10&amp;"; ","")</f>
        <v/>
      </c>
      <c r="BN122" s="1593" t="str">
        <f>IF(AND($W$9=1,Courses!W116&lt;0), "Row "&amp;Courses!$A116&amp;", "&amp;BN$9&amp;", "&amp;BN$10&amp;", "&amp;BN$11&amp;"; ","")</f>
        <v/>
      </c>
      <c r="BO122" t="str">
        <f>IF(AND($W$9=1,Courses!X116&lt;0), "Row "&amp;Courses!$A116&amp;", "&amp;BO$9&amp;", "&amp;BO$10&amp;", "&amp;BO$11&amp;"; ","")</f>
        <v/>
      </c>
      <c r="BP122" t="str">
        <f>IF(AND($W$9=1,Courses!Y116&lt;0), "Row "&amp;Courses!$A116&amp;", "&amp;BP$9&amp;", "&amp;BP$10&amp;", "&amp;BP$11&amp;"; ","")</f>
        <v/>
      </c>
      <c r="BQ122" t="str">
        <f>IF(AND($W$9=1,Courses!Z116&lt;0), "Row "&amp;Courses!$A116&amp;", "&amp;BQ$9&amp;", "&amp;BQ$10&amp;", "&amp;BQ$11&amp;"; ","")</f>
        <v/>
      </c>
      <c r="BR122" s="2120" t="str">
        <f>IF(AND($W$9=1,Courses!AA116&lt;0), "Row "&amp;Courses!$A116&amp;", "&amp;BR$9&amp;", "&amp;BR$10&amp;"; ","")</f>
        <v/>
      </c>
      <c r="BT122" s="40">
        <v>103</v>
      </c>
      <c r="BU122" s="40">
        <f>IF(AND($X$9=1,Courses!B116="",Courses!F116="",Courses!H116="",Courses!J116="",Courses!K116="",Courses!L116="",Courses!M116=0,Courses!N116=0,Courses!O116=0,Courses!P116=0,Courses!Q116=0,Courses!R116=0,Courses!S116=0,Courses!T116=0,Courses!U116=0,Courses!V116=0,Courses!W116=0,Courses!X116=0,Courses!Y116=0,Courses!Z116=0,Courses!AA116=0),0,1)</f>
        <v>0</v>
      </c>
      <c r="BV122" s="40">
        <f>IF(AND(BU122=0,SUM(BU123:$BU$219)&gt;0),1,0)</f>
        <v>0</v>
      </c>
      <c r="BW122" s="1595" t="str">
        <f>IF(BV122=1,"Row "&amp;Courses!A116&amp;"; ","")</f>
        <v/>
      </c>
      <c r="BX122" s="17"/>
      <c r="BZ122" s="1592" t="str">
        <f>IF(AND($Y$9=1,Courses!B116&lt;&gt;"",SUM(Courses!M116:AA116)=0),"Row "&amp;Courses!A116&amp;"; ","")</f>
        <v/>
      </c>
      <c r="CA122" s="17"/>
      <c r="CC122" s="1592" t="str">
        <f>IF(AND($Z$9=1,Courses!AD116=1,(LEN(Courses!AB116)&gt;200)),"Row "&amp;Courses!A116&amp;"; ","")</f>
        <v/>
      </c>
      <c r="CE122" s="131"/>
      <c r="CG122" s="1593" t="str">
        <f>IF(AND($AD$9=1,Courses!E116&lt;&gt;"",Courses!F116&lt;&gt;"",Courses!F116=0,SUM(Courses!H116,Courses!J116)=1),"Row "&amp;Courses!A116&amp;", "&amp;Courses!$F$10&amp;"; ","")</f>
        <v/>
      </c>
      <c r="CH122" t="str">
        <f>IF(AND($AD$9=1,Courses!G116&lt;&gt;"",Courses!H116&lt;&gt;"",Courses!H116=0,SUM(Courses!J116,Courses!F116)=1),"Row "&amp;Courses!A116&amp;", "&amp;Courses!$H$10&amp;"; ","")</f>
        <v/>
      </c>
      <c r="CI122" s="183" t="str">
        <f>IF(AND($AD$9=1,Courses!I116&lt;&gt;"",Courses!J116&lt;&gt;"",Courses!J116=0, SUM(Courses!H116,Courses!F116)=1),"Row "&amp;Courses!A116&amp;", "&amp;Courses!$J$10&amp;"; ","")</f>
        <v/>
      </c>
      <c r="CJ122" s="180"/>
      <c r="CK122" s="181"/>
      <c r="CL122" s="1592" t="str">
        <f>IF(AND(Courses!B116&lt;&gt;"",ISNA(VLOOKUP(Courses!C116,CourseInfo,2,FALSE))=FALSE,COUNTIF(Dummy,Courses!C116)&lt;&gt;1),VLOOKUP(Courses!C116,CourseInfo,6,FALSE),"")</f>
        <v/>
      </c>
      <c r="CM122" s="1592" t="str">
        <f>IF(AND($AE$9=1,Courses!B116&lt;&gt;"",'Courses Valid'!AG122="",COUNTIF(Dummy,Courses!C116)&lt;&gt;1),IF(Courses!K116&lt;&gt;'Courses Valid'!CL122,"Row "&amp;Courses!A116&amp;", Level on LARS is "&amp;'Courses Valid'!CL122&amp;"; ",""),"")</f>
        <v/>
      </c>
      <c r="CN122" s="131"/>
    </row>
    <row r="123" spans="3:92" x14ac:dyDescent="0.35">
      <c r="C123" s="1591">
        <f t="shared" si="3"/>
        <v>0</v>
      </c>
      <c r="D123" s="41"/>
      <c r="E123" s="41"/>
      <c r="F123" s="118"/>
      <c r="G123" s="1592" t="str">
        <f>IF(SUMPRODUCT(--(CourseAims=Courses!$C117))=1,"",IF(AND($N$9=1,Courses!$C117&lt;&gt;""),"Row "&amp;Courses!A117&amp;" (invalid); ",""))</f>
        <v/>
      </c>
      <c r="H123" s="1592" t="str">
        <f>IF(AND($O$9=1,Courses!B117="",OR(Courses!F117&lt;&gt;"",Courses!H117&lt;&gt;"",Courses!J117&lt;&gt;"",Courses!K117&lt;&gt;"",Courses!L117&lt;&gt;"",Courses!M117&lt;&gt;0,Courses!N117&lt;&gt;0,Courses!O117&lt;&gt;0,Courses!P117&lt;&gt;0,Courses!Q117&lt;&gt;0,Courses!R117&lt;&gt;0,Courses!S117&lt;&gt;0,Courses!T117&lt;&gt;0,Courses!U117&lt;&gt;0,Courses!V117&lt;&gt;0,Courses!W117&lt;&gt;0,Courses!X117&lt;&gt;0,Courses!Y117&lt;&gt;0,Courses!Z117&lt;&gt;0,Courses!AA117&lt;&gt;0)),"Row "&amp;Courses!A117&amp;" (none); ","")</f>
        <v/>
      </c>
      <c r="I123" s="17"/>
      <c r="K123" s="1592" t="str">
        <f>Courses!B117&amp;Courses!K117&amp;Courses!L117</f>
        <v/>
      </c>
      <c r="L123" s="1592" t="str">
        <f>IF(AND($P$9=1,Courses!$B117&lt;&gt;"",COUNTIF(Dummy,Courses!$C117)&lt;&gt;1),IF(SUMPRODUCT(--($K$20:$K$219=$K123))&gt;1,"Row "&amp;Courses!$A117&amp;"; ",""),"")</f>
        <v/>
      </c>
      <c r="N123" s="118"/>
      <c r="O123" s="1593" t="str">
        <f>IF(AND($Q$9=1,Courses!E117&lt;&gt;"",Courses!F117=""),"Row "&amp;Courses!A117&amp;", "&amp;Courses!$E$10&amp;"; ","")</f>
        <v/>
      </c>
      <c r="P123" t="str">
        <f>IF(AND($Q$9=1,Courses!G117&lt;&gt;"",Courses!H117=""),"Row "&amp;Courses!A117&amp;", "&amp;Courses!$G$10&amp;"; ","")</f>
        <v/>
      </c>
      <c r="Q123" s="183" t="str">
        <f>IF(AND($Q$9=1,Courses!I117&lt;&gt;"",Courses!J117=""),"Row "&amp;Courses!A117&amp;", "&amp;Courses!$I$10&amp;"; ","")</f>
        <v/>
      </c>
      <c r="S123" s="17"/>
      <c r="T123" s="118"/>
      <c r="U123" s="1594" t="str">
        <f>IF(AND($R$9=1,Courses!B117&lt;&gt;"",Courses!E117&lt;&gt;"",Courses!G117="",Courses!I117="",Courses!F117&lt;&gt;1),"Row "&amp;Courses!A117&amp;"; ","")</f>
        <v/>
      </c>
      <c r="V123" t="str">
        <f>IF(AND($R$9=1,Courses!B117&lt;&gt;"",Courses!I117="",Courses!F117&lt;&gt;"",Courses!G117&lt;&gt;"",Courses!H117&lt;&gt;""),IF(OR((Courses!F117+Courses!H117)&lt;&gt;1),"Row "&amp;Courses!A117&amp;"; ",""),"")</f>
        <v/>
      </c>
      <c r="W123" s="183" t="str">
        <f>IF(AND($R$9=1,Courses!B117&lt;&gt;"",Courses!I117&lt;&gt;"",Courses!J117&lt;&gt;"",Courses!H117&lt;&gt;"",Courses!G117&lt;&gt;"",Courses!F117&lt;&gt;""),IF(OR((Courses!F117+Courses!H117+Courses!J117)&lt;&gt;1),"Row "&amp;Courses!A117&amp;"; ",""),"")</f>
        <v/>
      </c>
      <c r="Y123" s="1592" t="str">
        <f>IF(AND($R$9=1,Courses!E117&lt;&gt;"",U123="",V123="",W123="",SUM(Courses!F117,Courses!H117,Courses!J117)&lt;&gt;1),"Row "&amp;Courses!A117&amp;"; ","")</f>
        <v/>
      </c>
      <c r="Z123" s="17"/>
      <c r="AB123" s="1593" t="str">
        <f>IF(AND($S$9=1,Courses!B117&lt;&gt;"",Courses!E117&lt;&gt;"",Courses!F117&lt;&gt;""),IF((TRUNC(Courses!F117*100)&lt;&gt;Courses!F117*100),"Row "&amp;Courses!A117&amp;", "&amp;Courses!$F$10&amp;"; ",""),"")</f>
        <v/>
      </c>
      <c r="AC123" t="str">
        <f>IF(AND($S$9=1,Courses!B117&lt;&gt;"",Courses!G117&lt;&gt;"",Courses!H117&lt;&gt;""),IF((TRUNC(Courses!H117*100)&lt;&gt;Courses!H117*100),"Row "&amp;Courses!A117&amp;", "&amp;Courses!$H$10&amp;"; ",""),"")</f>
        <v/>
      </c>
      <c r="AD123" s="183" t="str">
        <f>IF(AND($S$9=1,Courses!B117&lt;&gt;"",Courses!I117&lt;&gt;"",Courses!J117&lt;&gt;""),IF((TRUNC(Courses!J117*100)&lt;&gt;Courses!J117*100),"Row "&amp;Courses!A117&amp;", "&amp;Courses!$J$10&amp;"; ",""),"")</f>
        <v/>
      </c>
      <c r="AF123" s="118"/>
      <c r="AG123" s="1592" t="str">
        <f>IF(AND($T$9=1,G123="",Courses!B117&lt;&gt;"",Courses!K117&lt;&gt;$B$9,Courses!K117&lt;&gt;$B$10,Courses!K117&lt;&gt;$B$11,Courses!K117&lt;&gt;$B$12,Courses!K117&lt;&gt;$B$13,Courses!K117&lt;&gt;$B$14),"Row "&amp;Courses!A117&amp;"; ","")</f>
        <v/>
      </c>
      <c r="AH123" s="1592" t="str">
        <f>IF(AND($U$9=1,G123="",Courses!B117&lt;&gt;"",Courses!L117&lt;&gt;"Standard",Courses!L117&lt;&gt;"Long"),"Row "&amp;Courses!A117&amp;"; ","")</f>
        <v/>
      </c>
      <c r="AJ123" s="118"/>
      <c r="AK123" s="3">
        <v>104</v>
      </c>
      <c r="AL123" s="1593" t="str">
        <f>IF(AND($V$9=1,(TRUNC(Courses!M117)&lt;&gt;Courses!M117)), "Row "&amp;Courses!$A117&amp;", "&amp;AL$9&amp;", "&amp;AL$10&amp;", "&amp;AL$11&amp;"; ","")</f>
        <v/>
      </c>
      <c r="AM123" t="str">
        <f>IF(AND($V$9=1,(TRUNC(Courses!N117)&lt;&gt;Courses!N117)), "Row "&amp;Courses!$A117&amp;", "&amp;AM$9&amp;", "&amp;AM$10&amp;", "&amp;AM$11&amp;"; ","")</f>
        <v/>
      </c>
      <c r="AN123" t="str">
        <f>IF(AND($V$9=1,(TRUNC(Courses!O117)&lt;&gt;Courses!O117)), "Row "&amp;Courses!$A117&amp;", "&amp;AN$9&amp;", "&amp;AN$10&amp;", "&amp;AN$11&amp;"; ","")</f>
        <v/>
      </c>
      <c r="AO123" t="str">
        <f>IF(AND($V$9=1,(TRUNC(Courses!P117)&lt;&gt;Courses!P117)), "Row "&amp;Courses!$A117&amp;", "&amp;AO$9&amp;", "&amp;AO$10&amp;", "&amp;AO$11&amp;"; ","")</f>
        <v/>
      </c>
      <c r="AP123" s="2120" t="str">
        <f>IF(AND($V$9=1,(TRUNC(Courses!Q117)&lt;&gt;Courses!Q117)), "Row "&amp;Courses!$A117&amp;", "&amp;AP$9&amp;", "&amp;AP$10&amp;"; ","")</f>
        <v/>
      </c>
      <c r="AQ123" s="1593" t="str">
        <f>IF(AND($V$9=1,(TRUNC(Courses!R117)&lt;&gt;Courses!R117)), "Row "&amp;Courses!$A117&amp;", "&amp;AQ$9&amp;", "&amp;AQ$10&amp;", "&amp;AQ$11&amp;"; ","")</f>
        <v/>
      </c>
      <c r="AR123" t="str">
        <f>IF(AND($V$9=1,(TRUNC(Courses!S117)&lt;&gt;Courses!S117)), "Row "&amp;Courses!$A117&amp;", "&amp;AR$9&amp;", "&amp;AR$10&amp;", "&amp;AR$11&amp;"; ","")</f>
        <v/>
      </c>
      <c r="AS123" t="str">
        <f>IF(AND($V$9=1,(TRUNC(Courses!T117)&lt;&gt;Courses!T117)), "Row "&amp;Courses!$A117&amp;", "&amp;AS$9&amp;", "&amp;AS$10&amp;", "&amp;AS$11&amp;"; ","")</f>
        <v/>
      </c>
      <c r="AT123" t="str">
        <f>IF(AND($V$9=1,(TRUNC(Courses!U117)&lt;&gt;Courses!U117)), "Row "&amp;Courses!$A117&amp;", "&amp;AT$9&amp;", "&amp;AT$10&amp;", "&amp;AT$11&amp;"; ","")</f>
        <v/>
      </c>
      <c r="AU123" s="2120" t="str">
        <f>IF(AND($V$9=1,(TRUNC(Courses!V117)&lt;&gt;Courses!V117)), "Row "&amp;Courses!$A117&amp;", "&amp;AU$9&amp;", "&amp;AU$10&amp;"; ","")</f>
        <v/>
      </c>
      <c r="AV123" s="1593" t="str">
        <f>IF(AND($V$9=1,(TRUNC(Courses!W117)&lt;&gt;Courses!W117)), "Row "&amp;Courses!$A117&amp;", "&amp;AV$9&amp;", "&amp;AV$10&amp;", "&amp;AV$11&amp;"; ","")</f>
        <v/>
      </c>
      <c r="AW123" t="str">
        <f>IF(AND($V$9=1,(TRUNC(Courses!X117)&lt;&gt;Courses!X117)), "Row "&amp;Courses!$A117&amp;", "&amp;AW$9&amp;", "&amp;AW$10&amp;", "&amp;AW$11&amp;"; ","")</f>
        <v/>
      </c>
      <c r="AX123" t="str">
        <f>IF(AND($V$9=1,(TRUNC(Courses!Y117)&lt;&gt;Courses!Y117)), "Row "&amp;Courses!$A117&amp;", "&amp;AX$9&amp;", "&amp;AX$10&amp;", "&amp;AX$11&amp;"; ","")</f>
        <v/>
      </c>
      <c r="AY123" t="str">
        <f>IF(AND($V$9=1,(TRUNC(Courses!Z117)&lt;&gt;Courses!Z117)), "Row "&amp;Courses!$A117&amp;", "&amp;AY$9&amp;", "&amp;AY$10&amp;", "&amp;AY$11&amp;"; ","")</f>
        <v/>
      </c>
      <c r="AZ123" s="2120" t="str">
        <f>IF(AND($V$9=1,(TRUNC(Courses!AA117)&lt;&gt;Courses!AA117)), "Row "&amp;Courses!$A117&amp;", "&amp;AZ$9&amp;", "&amp;AZ$10&amp;"; ","")</f>
        <v/>
      </c>
      <c r="BB123" s="118"/>
      <c r="BC123" s="3">
        <v>104</v>
      </c>
      <c r="BD123" s="1593" t="str">
        <f>IF(AND($W$9=1,Courses!M117&lt;0), "Row "&amp;Courses!$A117&amp;", "&amp;BD$9&amp;", "&amp;BD$10&amp;", "&amp;BD$11&amp;"; ","")</f>
        <v/>
      </c>
      <c r="BE123" t="str">
        <f>IF(AND($W$9=1,Courses!N117&lt;0), "Row "&amp;Courses!$A117&amp;", "&amp;BE$9&amp;", "&amp;BE$10&amp;", "&amp;BE$11&amp;"; ","")</f>
        <v/>
      </c>
      <c r="BF123" t="str">
        <f>IF(AND($W$9=1,Courses!O117&lt;0), "Row "&amp;Courses!$A117&amp;", "&amp;BF$9&amp;", "&amp;BF$10&amp;", "&amp;BF$11&amp;"; ","")</f>
        <v/>
      </c>
      <c r="BG123" t="str">
        <f>IF(AND($W$9=1,Courses!P117&lt;0), "Row "&amp;Courses!$A117&amp;", "&amp;BG$9&amp;", "&amp;BG$10&amp;", "&amp;BG$11&amp;"; ","")</f>
        <v/>
      </c>
      <c r="BH123" s="2120" t="str">
        <f>IF(AND($W$9=1,Courses!Q117&lt;0), "Row "&amp;Courses!$A117&amp;", "&amp;BH$9&amp;", "&amp;BH$10&amp;"; ","")</f>
        <v/>
      </c>
      <c r="BI123" s="1593" t="str">
        <f>IF(AND($W$9=1,Courses!R117&lt;0), "Row "&amp;Courses!$A117&amp;", "&amp;BI$9&amp;", "&amp;BI$10&amp;", "&amp;BI$11&amp;"; ","")</f>
        <v/>
      </c>
      <c r="BJ123" t="str">
        <f>IF(AND($W$9=1,Courses!S117&lt;0), "Row "&amp;Courses!$A117&amp;", "&amp;BJ$9&amp;", "&amp;BJ$10&amp;", "&amp;BJ$11&amp;"; ","")</f>
        <v/>
      </c>
      <c r="BK123" t="str">
        <f>IF(AND($W$9=1,Courses!T117&lt;0), "Row "&amp;Courses!$A117&amp;", "&amp;BK$9&amp;", "&amp;BK$10&amp;", "&amp;BK$11&amp;"; ","")</f>
        <v/>
      </c>
      <c r="BL123" t="str">
        <f>IF(AND($W$9=1,Courses!U117&lt;0), "Row "&amp;Courses!$A117&amp;", "&amp;BL$9&amp;", "&amp;BL$10&amp;", "&amp;BL$11&amp;"; ","")</f>
        <v/>
      </c>
      <c r="BM123" s="2120" t="str">
        <f>IF(AND($W$9=1,Courses!V117&lt;0), "Row "&amp;Courses!$A117&amp;", "&amp;BM$9&amp;", "&amp;BM$10&amp;"; ","")</f>
        <v/>
      </c>
      <c r="BN123" s="1593" t="str">
        <f>IF(AND($W$9=1,Courses!W117&lt;0), "Row "&amp;Courses!$A117&amp;", "&amp;BN$9&amp;", "&amp;BN$10&amp;", "&amp;BN$11&amp;"; ","")</f>
        <v/>
      </c>
      <c r="BO123" t="str">
        <f>IF(AND($W$9=1,Courses!X117&lt;0), "Row "&amp;Courses!$A117&amp;", "&amp;BO$9&amp;", "&amp;BO$10&amp;", "&amp;BO$11&amp;"; ","")</f>
        <v/>
      </c>
      <c r="BP123" t="str">
        <f>IF(AND($W$9=1,Courses!Y117&lt;0), "Row "&amp;Courses!$A117&amp;", "&amp;BP$9&amp;", "&amp;BP$10&amp;", "&amp;BP$11&amp;"; ","")</f>
        <v/>
      </c>
      <c r="BQ123" t="str">
        <f>IF(AND($W$9=1,Courses!Z117&lt;0), "Row "&amp;Courses!$A117&amp;", "&amp;BQ$9&amp;", "&amp;BQ$10&amp;", "&amp;BQ$11&amp;"; ","")</f>
        <v/>
      </c>
      <c r="BR123" s="2120" t="str">
        <f>IF(AND($W$9=1,Courses!AA117&lt;0), "Row "&amp;Courses!$A117&amp;", "&amp;BR$9&amp;", "&amp;BR$10&amp;"; ","")</f>
        <v/>
      </c>
      <c r="BT123" s="40">
        <v>104</v>
      </c>
      <c r="BU123" s="40">
        <f>IF(AND($X$9=1,Courses!B117="",Courses!F117="",Courses!H117="",Courses!J117="",Courses!K117="",Courses!L117="",Courses!M117=0,Courses!N117=0,Courses!O117=0,Courses!P117=0,Courses!Q117=0,Courses!R117=0,Courses!S117=0,Courses!T117=0,Courses!U117=0,Courses!V117=0,Courses!W117=0,Courses!X117=0,Courses!Y117=0,Courses!Z117=0,Courses!AA117=0),0,1)</f>
        <v>0</v>
      </c>
      <c r="BV123" s="40">
        <f>IF(AND(BU123=0,SUM(BU124:$BU$219)&gt;0),1,0)</f>
        <v>0</v>
      </c>
      <c r="BW123" s="1595" t="str">
        <f>IF(BV123=1,"Row "&amp;Courses!A117&amp;"; ","")</f>
        <v/>
      </c>
      <c r="BX123" s="17"/>
      <c r="BZ123" s="1592" t="str">
        <f>IF(AND($Y$9=1,Courses!B117&lt;&gt;"",SUM(Courses!M117:AA117)=0),"Row "&amp;Courses!A117&amp;"; ","")</f>
        <v/>
      </c>
      <c r="CA123" s="17"/>
      <c r="CC123" s="1592" t="str">
        <f>IF(AND($Z$9=1,Courses!AD117=1,(LEN(Courses!AB117)&gt;200)),"Row "&amp;Courses!A117&amp;"; ","")</f>
        <v/>
      </c>
      <c r="CE123" s="131"/>
      <c r="CG123" s="1593" t="str">
        <f>IF(AND($AD$9=1,Courses!E117&lt;&gt;"",Courses!F117&lt;&gt;"",Courses!F117=0,SUM(Courses!H117,Courses!J117)=1),"Row "&amp;Courses!A117&amp;", "&amp;Courses!$F$10&amp;"; ","")</f>
        <v/>
      </c>
      <c r="CH123" t="str">
        <f>IF(AND($AD$9=1,Courses!G117&lt;&gt;"",Courses!H117&lt;&gt;"",Courses!H117=0,SUM(Courses!J117,Courses!F117)=1),"Row "&amp;Courses!A117&amp;", "&amp;Courses!$H$10&amp;"; ","")</f>
        <v/>
      </c>
      <c r="CI123" s="183" t="str">
        <f>IF(AND($AD$9=1,Courses!I117&lt;&gt;"",Courses!J117&lt;&gt;"",Courses!J117=0, SUM(Courses!H117,Courses!F117)=1),"Row "&amp;Courses!A117&amp;", "&amp;Courses!$J$10&amp;"; ","")</f>
        <v/>
      </c>
      <c r="CJ123" s="180"/>
      <c r="CK123" s="181"/>
      <c r="CL123" s="1592" t="str">
        <f>IF(AND(Courses!B117&lt;&gt;"",ISNA(VLOOKUP(Courses!C117,CourseInfo,2,FALSE))=FALSE,COUNTIF(Dummy,Courses!C117)&lt;&gt;1),VLOOKUP(Courses!C117,CourseInfo,6,FALSE),"")</f>
        <v/>
      </c>
      <c r="CM123" s="1592" t="str">
        <f>IF(AND($AE$9=1,Courses!B117&lt;&gt;"",'Courses Valid'!AG123="",COUNTIF(Dummy,Courses!C117)&lt;&gt;1),IF(Courses!K117&lt;&gt;'Courses Valid'!CL123,"Row "&amp;Courses!A117&amp;", Level on LARS is "&amp;'Courses Valid'!CL123&amp;"; ",""),"")</f>
        <v/>
      </c>
      <c r="CN123" s="131"/>
    </row>
    <row r="124" spans="3:92" x14ac:dyDescent="0.35">
      <c r="C124" s="1591">
        <f t="shared" si="3"/>
        <v>0</v>
      </c>
      <c r="D124" s="41"/>
      <c r="E124" s="41"/>
      <c r="F124" s="118"/>
      <c r="G124" s="1592" t="str">
        <f>IF(SUMPRODUCT(--(CourseAims=Courses!$C118))=1,"",IF(AND($N$9=1,Courses!$C118&lt;&gt;""),"Row "&amp;Courses!A118&amp;" (invalid); ",""))</f>
        <v/>
      </c>
      <c r="H124" s="1592" t="str">
        <f>IF(AND($O$9=1,Courses!B118="",OR(Courses!F118&lt;&gt;"",Courses!H118&lt;&gt;"",Courses!J118&lt;&gt;"",Courses!K118&lt;&gt;"",Courses!L118&lt;&gt;"",Courses!M118&lt;&gt;0,Courses!N118&lt;&gt;0,Courses!O118&lt;&gt;0,Courses!P118&lt;&gt;0,Courses!Q118&lt;&gt;0,Courses!R118&lt;&gt;0,Courses!S118&lt;&gt;0,Courses!T118&lt;&gt;0,Courses!U118&lt;&gt;0,Courses!V118&lt;&gt;0,Courses!W118&lt;&gt;0,Courses!X118&lt;&gt;0,Courses!Y118&lt;&gt;0,Courses!Z118&lt;&gt;0,Courses!AA118&lt;&gt;0)),"Row "&amp;Courses!A118&amp;" (none); ","")</f>
        <v/>
      </c>
      <c r="I124" s="17"/>
      <c r="K124" s="1592" t="str">
        <f>Courses!B118&amp;Courses!K118&amp;Courses!L118</f>
        <v/>
      </c>
      <c r="L124" s="1592" t="str">
        <f>IF(AND($P$9=1,Courses!$B118&lt;&gt;"",COUNTIF(Dummy,Courses!$C118)&lt;&gt;1),IF(SUMPRODUCT(--($K$20:$K$219=$K124))&gt;1,"Row "&amp;Courses!$A118&amp;"; ",""),"")</f>
        <v/>
      </c>
      <c r="N124" s="118"/>
      <c r="O124" s="1593" t="str">
        <f>IF(AND($Q$9=1,Courses!E118&lt;&gt;"",Courses!F118=""),"Row "&amp;Courses!A118&amp;", "&amp;Courses!$E$10&amp;"; ","")</f>
        <v/>
      </c>
      <c r="P124" t="str">
        <f>IF(AND($Q$9=1,Courses!G118&lt;&gt;"",Courses!H118=""),"Row "&amp;Courses!A118&amp;", "&amp;Courses!$G$10&amp;"; ","")</f>
        <v/>
      </c>
      <c r="Q124" s="183" t="str">
        <f>IF(AND($Q$9=1,Courses!I118&lt;&gt;"",Courses!J118=""),"Row "&amp;Courses!A118&amp;", "&amp;Courses!$I$10&amp;"; ","")</f>
        <v/>
      </c>
      <c r="S124" s="17"/>
      <c r="T124" s="118"/>
      <c r="U124" s="1594" t="str">
        <f>IF(AND($R$9=1,Courses!B118&lt;&gt;"",Courses!E118&lt;&gt;"",Courses!G118="",Courses!I118="",Courses!F118&lt;&gt;1),"Row "&amp;Courses!A118&amp;"; ","")</f>
        <v/>
      </c>
      <c r="V124" t="str">
        <f>IF(AND($R$9=1,Courses!B118&lt;&gt;"",Courses!I118="",Courses!F118&lt;&gt;"",Courses!G118&lt;&gt;"",Courses!H118&lt;&gt;""),IF(OR((Courses!F118+Courses!H118)&lt;&gt;1),"Row "&amp;Courses!A118&amp;"; ",""),"")</f>
        <v/>
      </c>
      <c r="W124" s="183" t="str">
        <f>IF(AND($R$9=1,Courses!B118&lt;&gt;"",Courses!I118&lt;&gt;"",Courses!J118&lt;&gt;"",Courses!H118&lt;&gt;"",Courses!G118&lt;&gt;"",Courses!F118&lt;&gt;""),IF(OR((Courses!F118+Courses!H118+Courses!J118)&lt;&gt;1),"Row "&amp;Courses!A118&amp;"; ",""),"")</f>
        <v/>
      </c>
      <c r="Y124" s="1592" t="str">
        <f>IF(AND($R$9=1,Courses!E118&lt;&gt;"",U124="",V124="",W124="",SUM(Courses!F118,Courses!H118,Courses!J118)&lt;&gt;1),"Row "&amp;Courses!A118&amp;"; ","")</f>
        <v/>
      </c>
      <c r="Z124" s="17"/>
      <c r="AB124" s="1593" t="str">
        <f>IF(AND($S$9=1,Courses!B118&lt;&gt;"",Courses!E118&lt;&gt;"",Courses!F118&lt;&gt;""),IF((TRUNC(Courses!F118*100)&lt;&gt;Courses!F118*100),"Row "&amp;Courses!A118&amp;", "&amp;Courses!$F$10&amp;"; ",""),"")</f>
        <v/>
      </c>
      <c r="AC124" t="str">
        <f>IF(AND($S$9=1,Courses!B118&lt;&gt;"",Courses!G118&lt;&gt;"",Courses!H118&lt;&gt;""),IF((TRUNC(Courses!H118*100)&lt;&gt;Courses!H118*100),"Row "&amp;Courses!A118&amp;", "&amp;Courses!$H$10&amp;"; ",""),"")</f>
        <v/>
      </c>
      <c r="AD124" s="183" t="str">
        <f>IF(AND($S$9=1,Courses!B118&lt;&gt;"",Courses!I118&lt;&gt;"",Courses!J118&lt;&gt;""),IF((TRUNC(Courses!J118*100)&lt;&gt;Courses!J118*100),"Row "&amp;Courses!A118&amp;", "&amp;Courses!$J$10&amp;"; ",""),"")</f>
        <v/>
      </c>
      <c r="AF124" s="118"/>
      <c r="AG124" s="1592" t="str">
        <f>IF(AND($T$9=1,G124="",Courses!B118&lt;&gt;"",Courses!K118&lt;&gt;$B$9,Courses!K118&lt;&gt;$B$10,Courses!K118&lt;&gt;$B$11,Courses!K118&lt;&gt;$B$12,Courses!K118&lt;&gt;$B$13,Courses!K118&lt;&gt;$B$14),"Row "&amp;Courses!A118&amp;"; ","")</f>
        <v/>
      </c>
      <c r="AH124" s="1592" t="str">
        <f>IF(AND($U$9=1,G124="",Courses!B118&lt;&gt;"",Courses!L118&lt;&gt;"Standard",Courses!L118&lt;&gt;"Long"),"Row "&amp;Courses!A118&amp;"; ","")</f>
        <v/>
      </c>
      <c r="AJ124" s="118"/>
      <c r="AK124" s="3">
        <v>105</v>
      </c>
      <c r="AL124" s="1593" t="str">
        <f>IF(AND($V$9=1,(TRUNC(Courses!M118)&lt;&gt;Courses!M118)), "Row "&amp;Courses!$A118&amp;", "&amp;AL$9&amp;", "&amp;AL$10&amp;", "&amp;AL$11&amp;"; ","")</f>
        <v/>
      </c>
      <c r="AM124" t="str">
        <f>IF(AND($V$9=1,(TRUNC(Courses!N118)&lt;&gt;Courses!N118)), "Row "&amp;Courses!$A118&amp;", "&amp;AM$9&amp;", "&amp;AM$10&amp;", "&amp;AM$11&amp;"; ","")</f>
        <v/>
      </c>
      <c r="AN124" t="str">
        <f>IF(AND($V$9=1,(TRUNC(Courses!O118)&lt;&gt;Courses!O118)), "Row "&amp;Courses!$A118&amp;", "&amp;AN$9&amp;", "&amp;AN$10&amp;", "&amp;AN$11&amp;"; ","")</f>
        <v/>
      </c>
      <c r="AO124" t="str">
        <f>IF(AND($V$9=1,(TRUNC(Courses!P118)&lt;&gt;Courses!P118)), "Row "&amp;Courses!$A118&amp;", "&amp;AO$9&amp;", "&amp;AO$10&amp;", "&amp;AO$11&amp;"; ","")</f>
        <v/>
      </c>
      <c r="AP124" s="2120" t="str">
        <f>IF(AND($V$9=1,(TRUNC(Courses!Q118)&lt;&gt;Courses!Q118)), "Row "&amp;Courses!$A118&amp;", "&amp;AP$9&amp;", "&amp;AP$10&amp;"; ","")</f>
        <v/>
      </c>
      <c r="AQ124" s="1593" t="str">
        <f>IF(AND($V$9=1,(TRUNC(Courses!R118)&lt;&gt;Courses!R118)), "Row "&amp;Courses!$A118&amp;", "&amp;AQ$9&amp;", "&amp;AQ$10&amp;", "&amp;AQ$11&amp;"; ","")</f>
        <v/>
      </c>
      <c r="AR124" t="str">
        <f>IF(AND($V$9=1,(TRUNC(Courses!S118)&lt;&gt;Courses!S118)), "Row "&amp;Courses!$A118&amp;", "&amp;AR$9&amp;", "&amp;AR$10&amp;", "&amp;AR$11&amp;"; ","")</f>
        <v/>
      </c>
      <c r="AS124" t="str">
        <f>IF(AND($V$9=1,(TRUNC(Courses!T118)&lt;&gt;Courses!T118)), "Row "&amp;Courses!$A118&amp;", "&amp;AS$9&amp;", "&amp;AS$10&amp;", "&amp;AS$11&amp;"; ","")</f>
        <v/>
      </c>
      <c r="AT124" t="str">
        <f>IF(AND($V$9=1,(TRUNC(Courses!U118)&lt;&gt;Courses!U118)), "Row "&amp;Courses!$A118&amp;", "&amp;AT$9&amp;", "&amp;AT$10&amp;", "&amp;AT$11&amp;"; ","")</f>
        <v/>
      </c>
      <c r="AU124" s="2120" t="str">
        <f>IF(AND($V$9=1,(TRUNC(Courses!V118)&lt;&gt;Courses!V118)), "Row "&amp;Courses!$A118&amp;", "&amp;AU$9&amp;", "&amp;AU$10&amp;"; ","")</f>
        <v/>
      </c>
      <c r="AV124" s="1593" t="str">
        <f>IF(AND($V$9=1,(TRUNC(Courses!W118)&lt;&gt;Courses!W118)), "Row "&amp;Courses!$A118&amp;", "&amp;AV$9&amp;", "&amp;AV$10&amp;", "&amp;AV$11&amp;"; ","")</f>
        <v/>
      </c>
      <c r="AW124" t="str">
        <f>IF(AND($V$9=1,(TRUNC(Courses!X118)&lt;&gt;Courses!X118)), "Row "&amp;Courses!$A118&amp;", "&amp;AW$9&amp;", "&amp;AW$10&amp;", "&amp;AW$11&amp;"; ","")</f>
        <v/>
      </c>
      <c r="AX124" t="str">
        <f>IF(AND($V$9=1,(TRUNC(Courses!Y118)&lt;&gt;Courses!Y118)), "Row "&amp;Courses!$A118&amp;", "&amp;AX$9&amp;", "&amp;AX$10&amp;", "&amp;AX$11&amp;"; ","")</f>
        <v/>
      </c>
      <c r="AY124" t="str">
        <f>IF(AND($V$9=1,(TRUNC(Courses!Z118)&lt;&gt;Courses!Z118)), "Row "&amp;Courses!$A118&amp;", "&amp;AY$9&amp;", "&amp;AY$10&amp;", "&amp;AY$11&amp;"; ","")</f>
        <v/>
      </c>
      <c r="AZ124" s="2120" t="str">
        <f>IF(AND($V$9=1,(TRUNC(Courses!AA118)&lt;&gt;Courses!AA118)), "Row "&amp;Courses!$A118&amp;", "&amp;AZ$9&amp;", "&amp;AZ$10&amp;"; ","")</f>
        <v/>
      </c>
      <c r="BB124" s="118"/>
      <c r="BC124" s="3">
        <v>105</v>
      </c>
      <c r="BD124" s="1593" t="str">
        <f>IF(AND($W$9=1,Courses!M118&lt;0), "Row "&amp;Courses!$A118&amp;", "&amp;BD$9&amp;", "&amp;BD$10&amp;", "&amp;BD$11&amp;"; ","")</f>
        <v/>
      </c>
      <c r="BE124" t="str">
        <f>IF(AND($W$9=1,Courses!N118&lt;0), "Row "&amp;Courses!$A118&amp;", "&amp;BE$9&amp;", "&amp;BE$10&amp;", "&amp;BE$11&amp;"; ","")</f>
        <v/>
      </c>
      <c r="BF124" t="str">
        <f>IF(AND($W$9=1,Courses!O118&lt;0), "Row "&amp;Courses!$A118&amp;", "&amp;BF$9&amp;", "&amp;BF$10&amp;", "&amp;BF$11&amp;"; ","")</f>
        <v/>
      </c>
      <c r="BG124" t="str">
        <f>IF(AND($W$9=1,Courses!P118&lt;0), "Row "&amp;Courses!$A118&amp;", "&amp;BG$9&amp;", "&amp;BG$10&amp;", "&amp;BG$11&amp;"; ","")</f>
        <v/>
      </c>
      <c r="BH124" s="2120" t="str">
        <f>IF(AND($W$9=1,Courses!Q118&lt;0), "Row "&amp;Courses!$A118&amp;", "&amp;BH$9&amp;", "&amp;BH$10&amp;"; ","")</f>
        <v/>
      </c>
      <c r="BI124" s="1593" t="str">
        <f>IF(AND($W$9=1,Courses!R118&lt;0), "Row "&amp;Courses!$A118&amp;", "&amp;BI$9&amp;", "&amp;BI$10&amp;", "&amp;BI$11&amp;"; ","")</f>
        <v/>
      </c>
      <c r="BJ124" t="str">
        <f>IF(AND($W$9=1,Courses!S118&lt;0), "Row "&amp;Courses!$A118&amp;", "&amp;BJ$9&amp;", "&amp;BJ$10&amp;", "&amp;BJ$11&amp;"; ","")</f>
        <v/>
      </c>
      <c r="BK124" t="str">
        <f>IF(AND($W$9=1,Courses!T118&lt;0), "Row "&amp;Courses!$A118&amp;", "&amp;BK$9&amp;", "&amp;BK$10&amp;", "&amp;BK$11&amp;"; ","")</f>
        <v/>
      </c>
      <c r="BL124" t="str">
        <f>IF(AND($W$9=1,Courses!U118&lt;0), "Row "&amp;Courses!$A118&amp;", "&amp;BL$9&amp;", "&amp;BL$10&amp;", "&amp;BL$11&amp;"; ","")</f>
        <v/>
      </c>
      <c r="BM124" s="2120" t="str">
        <f>IF(AND($W$9=1,Courses!V118&lt;0), "Row "&amp;Courses!$A118&amp;", "&amp;BM$9&amp;", "&amp;BM$10&amp;"; ","")</f>
        <v/>
      </c>
      <c r="BN124" s="1593" t="str">
        <f>IF(AND($W$9=1,Courses!W118&lt;0), "Row "&amp;Courses!$A118&amp;", "&amp;BN$9&amp;", "&amp;BN$10&amp;", "&amp;BN$11&amp;"; ","")</f>
        <v/>
      </c>
      <c r="BO124" t="str">
        <f>IF(AND($W$9=1,Courses!X118&lt;0), "Row "&amp;Courses!$A118&amp;", "&amp;BO$9&amp;", "&amp;BO$10&amp;", "&amp;BO$11&amp;"; ","")</f>
        <v/>
      </c>
      <c r="BP124" t="str">
        <f>IF(AND($W$9=1,Courses!Y118&lt;0), "Row "&amp;Courses!$A118&amp;", "&amp;BP$9&amp;", "&amp;BP$10&amp;", "&amp;BP$11&amp;"; ","")</f>
        <v/>
      </c>
      <c r="BQ124" t="str">
        <f>IF(AND($W$9=1,Courses!Z118&lt;0), "Row "&amp;Courses!$A118&amp;", "&amp;BQ$9&amp;", "&amp;BQ$10&amp;", "&amp;BQ$11&amp;"; ","")</f>
        <v/>
      </c>
      <c r="BR124" s="2120" t="str">
        <f>IF(AND($W$9=1,Courses!AA118&lt;0), "Row "&amp;Courses!$A118&amp;", "&amp;BR$9&amp;", "&amp;BR$10&amp;"; ","")</f>
        <v/>
      </c>
      <c r="BT124" s="40">
        <v>105</v>
      </c>
      <c r="BU124" s="40">
        <f>IF(AND($X$9=1,Courses!B118="",Courses!F118="",Courses!H118="",Courses!J118="",Courses!K118="",Courses!L118="",Courses!M118=0,Courses!N118=0,Courses!O118=0,Courses!P118=0,Courses!Q118=0,Courses!R118=0,Courses!S118=0,Courses!T118=0,Courses!U118=0,Courses!V118=0,Courses!W118=0,Courses!X118=0,Courses!Y118=0,Courses!Z118=0,Courses!AA118=0),0,1)</f>
        <v>0</v>
      </c>
      <c r="BV124" s="40">
        <f>IF(AND(BU124=0,SUM(BU125:$BU$219)&gt;0),1,0)</f>
        <v>0</v>
      </c>
      <c r="BW124" s="1595" t="str">
        <f>IF(BV124=1,"Row "&amp;Courses!A118&amp;"; ","")</f>
        <v/>
      </c>
      <c r="BX124" s="17"/>
      <c r="BZ124" s="1592" t="str">
        <f>IF(AND($Y$9=1,Courses!B118&lt;&gt;"",SUM(Courses!M118:AA118)=0),"Row "&amp;Courses!A118&amp;"; ","")</f>
        <v/>
      </c>
      <c r="CA124" s="17"/>
      <c r="CC124" s="1592" t="str">
        <f>IF(AND($Z$9=1,Courses!AD118=1,(LEN(Courses!AB118)&gt;200)),"Row "&amp;Courses!A118&amp;"; ","")</f>
        <v/>
      </c>
      <c r="CE124" s="131"/>
      <c r="CG124" s="1593" t="str">
        <f>IF(AND($AD$9=1,Courses!E118&lt;&gt;"",Courses!F118&lt;&gt;"",Courses!F118=0,SUM(Courses!H118,Courses!J118)=1),"Row "&amp;Courses!A118&amp;", "&amp;Courses!$F$10&amp;"; ","")</f>
        <v/>
      </c>
      <c r="CH124" t="str">
        <f>IF(AND($AD$9=1,Courses!G118&lt;&gt;"",Courses!H118&lt;&gt;"",Courses!H118=0,SUM(Courses!J118,Courses!F118)=1),"Row "&amp;Courses!A118&amp;", "&amp;Courses!$H$10&amp;"; ","")</f>
        <v/>
      </c>
      <c r="CI124" s="183" t="str">
        <f>IF(AND($AD$9=1,Courses!I118&lt;&gt;"",Courses!J118&lt;&gt;"",Courses!J118=0, SUM(Courses!H118,Courses!F118)=1),"Row "&amp;Courses!A118&amp;", "&amp;Courses!$J$10&amp;"; ","")</f>
        <v/>
      </c>
      <c r="CJ124" s="180"/>
      <c r="CK124" s="181"/>
      <c r="CL124" s="1592" t="str">
        <f>IF(AND(Courses!B118&lt;&gt;"",ISNA(VLOOKUP(Courses!C118,CourseInfo,2,FALSE))=FALSE,COUNTIF(Dummy,Courses!C118)&lt;&gt;1),VLOOKUP(Courses!C118,CourseInfo,6,FALSE),"")</f>
        <v/>
      </c>
      <c r="CM124" s="1592" t="str">
        <f>IF(AND($AE$9=1,Courses!B118&lt;&gt;"",'Courses Valid'!AG124="",COUNTIF(Dummy,Courses!C118)&lt;&gt;1),IF(Courses!K118&lt;&gt;'Courses Valid'!CL124,"Row "&amp;Courses!A118&amp;", Level on LARS is "&amp;'Courses Valid'!CL124&amp;"; ",""),"")</f>
        <v/>
      </c>
      <c r="CN124" s="131"/>
    </row>
    <row r="125" spans="3:92" x14ac:dyDescent="0.35">
      <c r="C125" s="1591">
        <f t="shared" si="3"/>
        <v>0</v>
      </c>
      <c r="D125" s="41"/>
      <c r="E125" s="41"/>
      <c r="F125" s="118"/>
      <c r="G125" s="1592" t="str">
        <f>IF(SUMPRODUCT(--(CourseAims=Courses!$C119))=1,"",IF(AND($N$9=1,Courses!$C119&lt;&gt;""),"Row "&amp;Courses!A119&amp;" (invalid); ",""))</f>
        <v/>
      </c>
      <c r="H125" s="1592" t="str">
        <f>IF(AND($O$9=1,Courses!B119="",OR(Courses!F119&lt;&gt;"",Courses!H119&lt;&gt;"",Courses!J119&lt;&gt;"",Courses!K119&lt;&gt;"",Courses!L119&lt;&gt;"",Courses!M119&lt;&gt;0,Courses!N119&lt;&gt;0,Courses!O119&lt;&gt;0,Courses!P119&lt;&gt;0,Courses!Q119&lt;&gt;0,Courses!R119&lt;&gt;0,Courses!S119&lt;&gt;0,Courses!T119&lt;&gt;0,Courses!U119&lt;&gt;0,Courses!V119&lt;&gt;0,Courses!W119&lt;&gt;0,Courses!X119&lt;&gt;0,Courses!Y119&lt;&gt;0,Courses!Z119&lt;&gt;0,Courses!AA119&lt;&gt;0)),"Row "&amp;Courses!A119&amp;" (none); ","")</f>
        <v/>
      </c>
      <c r="I125" s="17"/>
      <c r="K125" s="1592" t="str">
        <f>Courses!B119&amp;Courses!K119&amp;Courses!L119</f>
        <v/>
      </c>
      <c r="L125" s="1592" t="str">
        <f>IF(AND($P$9=1,Courses!$B119&lt;&gt;"",COUNTIF(Dummy,Courses!$C119)&lt;&gt;1),IF(SUMPRODUCT(--($K$20:$K$219=$K125))&gt;1,"Row "&amp;Courses!$A119&amp;"; ",""),"")</f>
        <v/>
      </c>
      <c r="N125" s="118"/>
      <c r="O125" s="1593" t="str">
        <f>IF(AND($Q$9=1,Courses!E119&lt;&gt;"",Courses!F119=""),"Row "&amp;Courses!A119&amp;", "&amp;Courses!$E$10&amp;"; ","")</f>
        <v/>
      </c>
      <c r="P125" t="str">
        <f>IF(AND($Q$9=1,Courses!G119&lt;&gt;"",Courses!H119=""),"Row "&amp;Courses!A119&amp;", "&amp;Courses!$G$10&amp;"; ","")</f>
        <v/>
      </c>
      <c r="Q125" s="183" t="str">
        <f>IF(AND($Q$9=1,Courses!I119&lt;&gt;"",Courses!J119=""),"Row "&amp;Courses!A119&amp;", "&amp;Courses!$I$10&amp;"; ","")</f>
        <v/>
      </c>
      <c r="S125" s="17"/>
      <c r="T125" s="118"/>
      <c r="U125" s="1594" t="str">
        <f>IF(AND($R$9=1,Courses!B119&lt;&gt;"",Courses!E119&lt;&gt;"",Courses!G119="",Courses!I119="",Courses!F119&lt;&gt;1),"Row "&amp;Courses!A119&amp;"; ","")</f>
        <v/>
      </c>
      <c r="V125" t="str">
        <f>IF(AND($R$9=1,Courses!B119&lt;&gt;"",Courses!I119="",Courses!F119&lt;&gt;"",Courses!G119&lt;&gt;"",Courses!H119&lt;&gt;""),IF(OR((Courses!F119+Courses!H119)&lt;&gt;1),"Row "&amp;Courses!A119&amp;"; ",""),"")</f>
        <v/>
      </c>
      <c r="W125" s="183" t="str">
        <f>IF(AND($R$9=1,Courses!B119&lt;&gt;"",Courses!I119&lt;&gt;"",Courses!J119&lt;&gt;"",Courses!H119&lt;&gt;"",Courses!G119&lt;&gt;"",Courses!F119&lt;&gt;""),IF(OR((Courses!F119+Courses!H119+Courses!J119)&lt;&gt;1),"Row "&amp;Courses!A119&amp;"; ",""),"")</f>
        <v/>
      </c>
      <c r="Y125" s="1592" t="str">
        <f>IF(AND($R$9=1,Courses!E119&lt;&gt;"",U125="",V125="",W125="",SUM(Courses!F119,Courses!H119,Courses!J119)&lt;&gt;1),"Row "&amp;Courses!A119&amp;"; ","")</f>
        <v/>
      </c>
      <c r="Z125" s="17"/>
      <c r="AB125" s="1593" t="str">
        <f>IF(AND($S$9=1,Courses!B119&lt;&gt;"",Courses!E119&lt;&gt;"",Courses!F119&lt;&gt;""),IF((TRUNC(Courses!F119*100)&lt;&gt;Courses!F119*100),"Row "&amp;Courses!A119&amp;", "&amp;Courses!$F$10&amp;"; ",""),"")</f>
        <v/>
      </c>
      <c r="AC125" t="str">
        <f>IF(AND($S$9=1,Courses!B119&lt;&gt;"",Courses!G119&lt;&gt;"",Courses!H119&lt;&gt;""),IF((TRUNC(Courses!H119*100)&lt;&gt;Courses!H119*100),"Row "&amp;Courses!A119&amp;", "&amp;Courses!$H$10&amp;"; ",""),"")</f>
        <v/>
      </c>
      <c r="AD125" s="183" t="str">
        <f>IF(AND($S$9=1,Courses!B119&lt;&gt;"",Courses!I119&lt;&gt;"",Courses!J119&lt;&gt;""),IF((TRUNC(Courses!J119*100)&lt;&gt;Courses!J119*100),"Row "&amp;Courses!A119&amp;", "&amp;Courses!$J$10&amp;"; ",""),"")</f>
        <v/>
      </c>
      <c r="AF125" s="118"/>
      <c r="AG125" s="1592" t="str">
        <f>IF(AND($T$9=1,G125="",Courses!B119&lt;&gt;"",Courses!K119&lt;&gt;$B$9,Courses!K119&lt;&gt;$B$10,Courses!K119&lt;&gt;$B$11,Courses!K119&lt;&gt;$B$12,Courses!K119&lt;&gt;$B$13,Courses!K119&lt;&gt;$B$14),"Row "&amp;Courses!A119&amp;"; ","")</f>
        <v/>
      </c>
      <c r="AH125" s="1592" t="str">
        <f>IF(AND($U$9=1,G125="",Courses!B119&lt;&gt;"",Courses!L119&lt;&gt;"Standard",Courses!L119&lt;&gt;"Long"),"Row "&amp;Courses!A119&amp;"; ","")</f>
        <v/>
      </c>
      <c r="AJ125" s="118"/>
      <c r="AK125" s="3">
        <v>106</v>
      </c>
      <c r="AL125" s="1593" t="str">
        <f>IF(AND($V$9=1,(TRUNC(Courses!M119)&lt;&gt;Courses!M119)), "Row "&amp;Courses!$A119&amp;", "&amp;AL$9&amp;", "&amp;AL$10&amp;", "&amp;AL$11&amp;"; ","")</f>
        <v/>
      </c>
      <c r="AM125" t="str">
        <f>IF(AND($V$9=1,(TRUNC(Courses!N119)&lt;&gt;Courses!N119)), "Row "&amp;Courses!$A119&amp;", "&amp;AM$9&amp;", "&amp;AM$10&amp;", "&amp;AM$11&amp;"; ","")</f>
        <v/>
      </c>
      <c r="AN125" t="str">
        <f>IF(AND($V$9=1,(TRUNC(Courses!O119)&lt;&gt;Courses!O119)), "Row "&amp;Courses!$A119&amp;", "&amp;AN$9&amp;", "&amp;AN$10&amp;", "&amp;AN$11&amp;"; ","")</f>
        <v/>
      </c>
      <c r="AO125" t="str">
        <f>IF(AND($V$9=1,(TRUNC(Courses!P119)&lt;&gt;Courses!P119)), "Row "&amp;Courses!$A119&amp;", "&amp;AO$9&amp;", "&amp;AO$10&amp;", "&amp;AO$11&amp;"; ","")</f>
        <v/>
      </c>
      <c r="AP125" s="2120" t="str">
        <f>IF(AND($V$9=1,(TRUNC(Courses!Q119)&lt;&gt;Courses!Q119)), "Row "&amp;Courses!$A119&amp;", "&amp;AP$9&amp;", "&amp;AP$10&amp;"; ","")</f>
        <v/>
      </c>
      <c r="AQ125" s="1593" t="str">
        <f>IF(AND($V$9=1,(TRUNC(Courses!R119)&lt;&gt;Courses!R119)), "Row "&amp;Courses!$A119&amp;", "&amp;AQ$9&amp;", "&amp;AQ$10&amp;", "&amp;AQ$11&amp;"; ","")</f>
        <v/>
      </c>
      <c r="AR125" t="str">
        <f>IF(AND($V$9=1,(TRUNC(Courses!S119)&lt;&gt;Courses!S119)), "Row "&amp;Courses!$A119&amp;", "&amp;AR$9&amp;", "&amp;AR$10&amp;", "&amp;AR$11&amp;"; ","")</f>
        <v/>
      </c>
      <c r="AS125" t="str">
        <f>IF(AND($V$9=1,(TRUNC(Courses!T119)&lt;&gt;Courses!T119)), "Row "&amp;Courses!$A119&amp;", "&amp;AS$9&amp;", "&amp;AS$10&amp;", "&amp;AS$11&amp;"; ","")</f>
        <v/>
      </c>
      <c r="AT125" t="str">
        <f>IF(AND($V$9=1,(TRUNC(Courses!U119)&lt;&gt;Courses!U119)), "Row "&amp;Courses!$A119&amp;", "&amp;AT$9&amp;", "&amp;AT$10&amp;", "&amp;AT$11&amp;"; ","")</f>
        <v/>
      </c>
      <c r="AU125" s="2120" t="str">
        <f>IF(AND($V$9=1,(TRUNC(Courses!V119)&lt;&gt;Courses!V119)), "Row "&amp;Courses!$A119&amp;", "&amp;AU$9&amp;", "&amp;AU$10&amp;"; ","")</f>
        <v/>
      </c>
      <c r="AV125" s="1593" t="str">
        <f>IF(AND($V$9=1,(TRUNC(Courses!W119)&lt;&gt;Courses!W119)), "Row "&amp;Courses!$A119&amp;", "&amp;AV$9&amp;", "&amp;AV$10&amp;", "&amp;AV$11&amp;"; ","")</f>
        <v/>
      </c>
      <c r="AW125" t="str">
        <f>IF(AND($V$9=1,(TRUNC(Courses!X119)&lt;&gt;Courses!X119)), "Row "&amp;Courses!$A119&amp;", "&amp;AW$9&amp;", "&amp;AW$10&amp;", "&amp;AW$11&amp;"; ","")</f>
        <v/>
      </c>
      <c r="AX125" t="str">
        <f>IF(AND($V$9=1,(TRUNC(Courses!Y119)&lt;&gt;Courses!Y119)), "Row "&amp;Courses!$A119&amp;", "&amp;AX$9&amp;", "&amp;AX$10&amp;", "&amp;AX$11&amp;"; ","")</f>
        <v/>
      </c>
      <c r="AY125" t="str">
        <f>IF(AND($V$9=1,(TRUNC(Courses!Z119)&lt;&gt;Courses!Z119)), "Row "&amp;Courses!$A119&amp;", "&amp;AY$9&amp;", "&amp;AY$10&amp;", "&amp;AY$11&amp;"; ","")</f>
        <v/>
      </c>
      <c r="AZ125" s="2120" t="str">
        <f>IF(AND($V$9=1,(TRUNC(Courses!AA119)&lt;&gt;Courses!AA119)), "Row "&amp;Courses!$A119&amp;", "&amp;AZ$9&amp;", "&amp;AZ$10&amp;"; ","")</f>
        <v/>
      </c>
      <c r="BB125" s="118"/>
      <c r="BC125" s="3">
        <v>106</v>
      </c>
      <c r="BD125" s="1593" t="str">
        <f>IF(AND($W$9=1,Courses!M119&lt;0), "Row "&amp;Courses!$A119&amp;", "&amp;BD$9&amp;", "&amp;BD$10&amp;", "&amp;BD$11&amp;"; ","")</f>
        <v/>
      </c>
      <c r="BE125" t="str">
        <f>IF(AND($W$9=1,Courses!N119&lt;0), "Row "&amp;Courses!$A119&amp;", "&amp;BE$9&amp;", "&amp;BE$10&amp;", "&amp;BE$11&amp;"; ","")</f>
        <v/>
      </c>
      <c r="BF125" t="str">
        <f>IF(AND($W$9=1,Courses!O119&lt;0), "Row "&amp;Courses!$A119&amp;", "&amp;BF$9&amp;", "&amp;BF$10&amp;", "&amp;BF$11&amp;"; ","")</f>
        <v/>
      </c>
      <c r="BG125" t="str">
        <f>IF(AND($W$9=1,Courses!P119&lt;0), "Row "&amp;Courses!$A119&amp;", "&amp;BG$9&amp;", "&amp;BG$10&amp;", "&amp;BG$11&amp;"; ","")</f>
        <v/>
      </c>
      <c r="BH125" s="2120" t="str">
        <f>IF(AND($W$9=1,Courses!Q119&lt;0), "Row "&amp;Courses!$A119&amp;", "&amp;BH$9&amp;", "&amp;BH$10&amp;"; ","")</f>
        <v/>
      </c>
      <c r="BI125" s="1593" t="str">
        <f>IF(AND($W$9=1,Courses!R119&lt;0), "Row "&amp;Courses!$A119&amp;", "&amp;BI$9&amp;", "&amp;BI$10&amp;", "&amp;BI$11&amp;"; ","")</f>
        <v/>
      </c>
      <c r="BJ125" t="str">
        <f>IF(AND($W$9=1,Courses!S119&lt;0), "Row "&amp;Courses!$A119&amp;", "&amp;BJ$9&amp;", "&amp;BJ$10&amp;", "&amp;BJ$11&amp;"; ","")</f>
        <v/>
      </c>
      <c r="BK125" t="str">
        <f>IF(AND($W$9=1,Courses!T119&lt;0), "Row "&amp;Courses!$A119&amp;", "&amp;BK$9&amp;", "&amp;BK$10&amp;", "&amp;BK$11&amp;"; ","")</f>
        <v/>
      </c>
      <c r="BL125" t="str">
        <f>IF(AND($W$9=1,Courses!U119&lt;0), "Row "&amp;Courses!$A119&amp;", "&amp;BL$9&amp;", "&amp;BL$10&amp;", "&amp;BL$11&amp;"; ","")</f>
        <v/>
      </c>
      <c r="BM125" s="2120" t="str">
        <f>IF(AND($W$9=1,Courses!V119&lt;0), "Row "&amp;Courses!$A119&amp;", "&amp;BM$9&amp;", "&amp;BM$10&amp;"; ","")</f>
        <v/>
      </c>
      <c r="BN125" s="1593" t="str">
        <f>IF(AND($W$9=1,Courses!W119&lt;0), "Row "&amp;Courses!$A119&amp;", "&amp;BN$9&amp;", "&amp;BN$10&amp;", "&amp;BN$11&amp;"; ","")</f>
        <v/>
      </c>
      <c r="BO125" t="str">
        <f>IF(AND($W$9=1,Courses!X119&lt;0), "Row "&amp;Courses!$A119&amp;", "&amp;BO$9&amp;", "&amp;BO$10&amp;", "&amp;BO$11&amp;"; ","")</f>
        <v/>
      </c>
      <c r="BP125" t="str">
        <f>IF(AND($W$9=1,Courses!Y119&lt;0), "Row "&amp;Courses!$A119&amp;", "&amp;BP$9&amp;", "&amp;BP$10&amp;", "&amp;BP$11&amp;"; ","")</f>
        <v/>
      </c>
      <c r="BQ125" t="str">
        <f>IF(AND($W$9=1,Courses!Z119&lt;0), "Row "&amp;Courses!$A119&amp;", "&amp;BQ$9&amp;", "&amp;BQ$10&amp;", "&amp;BQ$11&amp;"; ","")</f>
        <v/>
      </c>
      <c r="BR125" s="2120" t="str">
        <f>IF(AND($W$9=1,Courses!AA119&lt;0), "Row "&amp;Courses!$A119&amp;", "&amp;BR$9&amp;", "&amp;BR$10&amp;"; ","")</f>
        <v/>
      </c>
      <c r="BT125" s="40">
        <v>106</v>
      </c>
      <c r="BU125" s="40">
        <f>IF(AND($X$9=1,Courses!B119="",Courses!F119="",Courses!H119="",Courses!J119="",Courses!K119="",Courses!L119="",Courses!M119=0,Courses!N119=0,Courses!O119=0,Courses!P119=0,Courses!Q119=0,Courses!R119=0,Courses!S119=0,Courses!T119=0,Courses!U119=0,Courses!V119=0,Courses!W119=0,Courses!X119=0,Courses!Y119=0,Courses!Z119=0,Courses!AA119=0),0,1)</f>
        <v>0</v>
      </c>
      <c r="BV125" s="40">
        <f>IF(AND(BU125=0,SUM(BU126:$BU$219)&gt;0),1,0)</f>
        <v>0</v>
      </c>
      <c r="BW125" s="1595" t="str">
        <f>IF(BV125=1,"Row "&amp;Courses!A119&amp;"; ","")</f>
        <v/>
      </c>
      <c r="BX125" s="17"/>
      <c r="BZ125" s="1592" t="str">
        <f>IF(AND($Y$9=1,Courses!B119&lt;&gt;"",SUM(Courses!M119:AA119)=0),"Row "&amp;Courses!A119&amp;"; ","")</f>
        <v/>
      </c>
      <c r="CA125" s="17"/>
      <c r="CC125" s="1592" t="str">
        <f>IF(AND($Z$9=1,Courses!AD119=1,(LEN(Courses!AB119)&gt;200)),"Row "&amp;Courses!A119&amp;"; ","")</f>
        <v/>
      </c>
      <c r="CE125" s="131"/>
      <c r="CG125" s="1593" t="str">
        <f>IF(AND($AD$9=1,Courses!E119&lt;&gt;"",Courses!F119&lt;&gt;"",Courses!F119=0,SUM(Courses!H119,Courses!J119)=1),"Row "&amp;Courses!A119&amp;", "&amp;Courses!$F$10&amp;"; ","")</f>
        <v/>
      </c>
      <c r="CH125" t="str">
        <f>IF(AND($AD$9=1,Courses!G119&lt;&gt;"",Courses!H119&lt;&gt;"",Courses!H119=0,SUM(Courses!J119,Courses!F119)=1),"Row "&amp;Courses!A119&amp;", "&amp;Courses!$H$10&amp;"; ","")</f>
        <v/>
      </c>
      <c r="CI125" s="183" t="str">
        <f>IF(AND($AD$9=1,Courses!I119&lt;&gt;"",Courses!J119&lt;&gt;"",Courses!J119=0, SUM(Courses!H119,Courses!F119)=1),"Row "&amp;Courses!A119&amp;", "&amp;Courses!$J$10&amp;"; ","")</f>
        <v/>
      </c>
      <c r="CJ125" s="180"/>
      <c r="CK125" s="181"/>
      <c r="CL125" s="1592" t="str">
        <f>IF(AND(Courses!B119&lt;&gt;"",ISNA(VLOOKUP(Courses!C119,CourseInfo,2,FALSE))=FALSE,COUNTIF(Dummy,Courses!C119)&lt;&gt;1),VLOOKUP(Courses!C119,CourseInfo,6,FALSE),"")</f>
        <v/>
      </c>
      <c r="CM125" s="1592" t="str">
        <f>IF(AND($AE$9=1,Courses!B119&lt;&gt;"",'Courses Valid'!AG125="",COUNTIF(Dummy,Courses!C119)&lt;&gt;1),IF(Courses!K119&lt;&gt;'Courses Valid'!CL125,"Row "&amp;Courses!A119&amp;", Level on LARS is "&amp;'Courses Valid'!CL125&amp;"; ",""),"")</f>
        <v/>
      </c>
      <c r="CN125" s="131"/>
    </row>
    <row r="126" spans="3:92" x14ac:dyDescent="0.35">
      <c r="C126" s="1591">
        <f t="shared" si="3"/>
        <v>0</v>
      </c>
      <c r="D126" s="41"/>
      <c r="E126" s="41"/>
      <c r="F126" s="118"/>
      <c r="G126" s="1592" t="str">
        <f>IF(SUMPRODUCT(--(CourseAims=Courses!$C120))=1,"",IF(AND($N$9=1,Courses!$C120&lt;&gt;""),"Row "&amp;Courses!A120&amp;" (invalid); ",""))</f>
        <v/>
      </c>
      <c r="H126" s="1592" t="str">
        <f>IF(AND($O$9=1,Courses!B120="",OR(Courses!F120&lt;&gt;"",Courses!H120&lt;&gt;"",Courses!J120&lt;&gt;"",Courses!K120&lt;&gt;"",Courses!L120&lt;&gt;"",Courses!M120&lt;&gt;0,Courses!N120&lt;&gt;0,Courses!O120&lt;&gt;0,Courses!P120&lt;&gt;0,Courses!Q120&lt;&gt;0,Courses!R120&lt;&gt;0,Courses!S120&lt;&gt;0,Courses!T120&lt;&gt;0,Courses!U120&lt;&gt;0,Courses!V120&lt;&gt;0,Courses!W120&lt;&gt;0,Courses!X120&lt;&gt;0,Courses!Y120&lt;&gt;0,Courses!Z120&lt;&gt;0,Courses!AA120&lt;&gt;0)),"Row "&amp;Courses!A120&amp;" (none); ","")</f>
        <v/>
      </c>
      <c r="I126" s="17"/>
      <c r="K126" s="1592" t="str">
        <f>Courses!B120&amp;Courses!K120&amp;Courses!L120</f>
        <v/>
      </c>
      <c r="L126" s="1592" t="str">
        <f>IF(AND($P$9=1,Courses!$B120&lt;&gt;"",COUNTIF(Dummy,Courses!$C120)&lt;&gt;1),IF(SUMPRODUCT(--($K$20:$K$219=$K126))&gt;1,"Row "&amp;Courses!$A120&amp;"; ",""),"")</f>
        <v/>
      </c>
      <c r="N126" s="118"/>
      <c r="O126" s="1593" t="str">
        <f>IF(AND($Q$9=1,Courses!E120&lt;&gt;"",Courses!F120=""),"Row "&amp;Courses!A120&amp;", "&amp;Courses!$E$10&amp;"; ","")</f>
        <v/>
      </c>
      <c r="P126" t="str">
        <f>IF(AND($Q$9=1,Courses!G120&lt;&gt;"",Courses!H120=""),"Row "&amp;Courses!A120&amp;", "&amp;Courses!$G$10&amp;"; ","")</f>
        <v/>
      </c>
      <c r="Q126" s="183" t="str">
        <f>IF(AND($Q$9=1,Courses!I120&lt;&gt;"",Courses!J120=""),"Row "&amp;Courses!A120&amp;", "&amp;Courses!$I$10&amp;"; ","")</f>
        <v/>
      </c>
      <c r="S126" s="17"/>
      <c r="T126" s="118"/>
      <c r="U126" s="1594" t="str">
        <f>IF(AND($R$9=1,Courses!B120&lt;&gt;"",Courses!E120&lt;&gt;"",Courses!G120="",Courses!I120="",Courses!F120&lt;&gt;1),"Row "&amp;Courses!A120&amp;"; ","")</f>
        <v/>
      </c>
      <c r="V126" t="str">
        <f>IF(AND($R$9=1,Courses!B120&lt;&gt;"",Courses!I120="",Courses!F120&lt;&gt;"",Courses!G120&lt;&gt;"",Courses!H120&lt;&gt;""),IF(OR((Courses!F120+Courses!H120)&lt;&gt;1),"Row "&amp;Courses!A120&amp;"; ",""),"")</f>
        <v/>
      </c>
      <c r="W126" s="183" t="str">
        <f>IF(AND($R$9=1,Courses!B120&lt;&gt;"",Courses!I120&lt;&gt;"",Courses!J120&lt;&gt;"",Courses!H120&lt;&gt;"",Courses!G120&lt;&gt;"",Courses!F120&lt;&gt;""),IF(OR((Courses!F120+Courses!H120+Courses!J120)&lt;&gt;1),"Row "&amp;Courses!A120&amp;"; ",""),"")</f>
        <v/>
      </c>
      <c r="Y126" s="1592" t="str">
        <f>IF(AND($R$9=1,Courses!E120&lt;&gt;"",U126="",V126="",W126="",SUM(Courses!F120,Courses!H120,Courses!J120)&lt;&gt;1),"Row "&amp;Courses!A120&amp;"; ","")</f>
        <v/>
      </c>
      <c r="Z126" s="17"/>
      <c r="AB126" s="1593" t="str">
        <f>IF(AND($S$9=1,Courses!B120&lt;&gt;"",Courses!E120&lt;&gt;"",Courses!F120&lt;&gt;""),IF((TRUNC(Courses!F120*100)&lt;&gt;Courses!F120*100),"Row "&amp;Courses!A120&amp;", "&amp;Courses!$F$10&amp;"; ",""),"")</f>
        <v/>
      </c>
      <c r="AC126" t="str">
        <f>IF(AND($S$9=1,Courses!B120&lt;&gt;"",Courses!G120&lt;&gt;"",Courses!H120&lt;&gt;""),IF((TRUNC(Courses!H120*100)&lt;&gt;Courses!H120*100),"Row "&amp;Courses!A120&amp;", "&amp;Courses!$H$10&amp;"; ",""),"")</f>
        <v/>
      </c>
      <c r="AD126" s="183" t="str">
        <f>IF(AND($S$9=1,Courses!B120&lt;&gt;"",Courses!I120&lt;&gt;"",Courses!J120&lt;&gt;""),IF((TRUNC(Courses!J120*100)&lt;&gt;Courses!J120*100),"Row "&amp;Courses!A120&amp;", "&amp;Courses!$J$10&amp;"; ",""),"")</f>
        <v/>
      </c>
      <c r="AF126" s="118"/>
      <c r="AG126" s="1592" t="str">
        <f>IF(AND($T$9=1,G126="",Courses!B120&lt;&gt;"",Courses!K120&lt;&gt;$B$9,Courses!K120&lt;&gt;$B$10,Courses!K120&lt;&gt;$B$11,Courses!K120&lt;&gt;$B$12,Courses!K120&lt;&gt;$B$13,Courses!K120&lt;&gt;$B$14),"Row "&amp;Courses!A120&amp;"; ","")</f>
        <v/>
      </c>
      <c r="AH126" s="1592" t="str">
        <f>IF(AND($U$9=1,G126="",Courses!B120&lt;&gt;"",Courses!L120&lt;&gt;"Standard",Courses!L120&lt;&gt;"Long"),"Row "&amp;Courses!A120&amp;"; ","")</f>
        <v/>
      </c>
      <c r="AJ126" s="118"/>
      <c r="AK126" s="3">
        <v>107</v>
      </c>
      <c r="AL126" s="1593" t="str">
        <f>IF(AND($V$9=1,(TRUNC(Courses!M120)&lt;&gt;Courses!M120)), "Row "&amp;Courses!$A120&amp;", "&amp;AL$9&amp;", "&amp;AL$10&amp;", "&amp;AL$11&amp;"; ","")</f>
        <v/>
      </c>
      <c r="AM126" t="str">
        <f>IF(AND($V$9=1,(TRUNC(Courses!N120)&lt;&gt;Courses!N120)), "Row "&amp;Courses!$A120&amp;", "&amp;AM$9&amp;", "&amp;AM$10&amp;", "&amp;AM$11&amp;"; ","")</f>
        <v/>
      </c>
      <c r="AN126" t="str">
        <f>IF(AND($V$9=1,(TRUNC(Courses!O120)&lt;&gt;Courses!O120)), "Row "&amp;Courses!$A120&amp;", "&amp;AN$9&amp;", "&amp;AN$10&amp;", "&amp;AN$11&amp;"; ","")</f>
        <v/>
      </c>
      <c r="AO126" t="str">
        <f>IF(AND($V$9=1,(TRUNC(Courses!P120)&lt;&gt;Courses!P120)), "Row "&amp;Courses!$A120&amp;", "&amp;AO$9&amp;", "&amp;AO$10&amp;", "&amp;AO$11&amp;"; ","")</f>
        <v/>
      </c>
      <c r="AP126" s="2120" t="str">
        <f>IF(AND($V$9=1,(TRUNC(Courses!Q120)&lt;&gt;Courses!Q120)), "Row "&amp;Courses!$A120&amp;", "&amp;AP$9&amp;", "&amp;AP$10&amp;"; ","")</f>
        <v/>
      </c>
      <c r="AQ126" s="1593" t="str">
        <f>IF(AND($V$9=1,(TRUNC(Courses!R120)&lt;&gt;Courses!R120)), "Row "&amp;Courses!$A120&amp;", "&amp;AQ$9&amp;", "&amp;AQ$10&amp;", "&amp;AQ$11&amp;"; ","")</f>
        <v/>
      </c>
      <c r="AR126" t="str">
        <f>IF(AND($V$9=1,(TRUNC(Courses!S120)&lt;&gt;Courses!S120)), "Row "&amp;Courses!$A120&amp;", "&amp;AR$9&amp;", "&amp;AR$10&amp;", "&amp;AR$11&amp;"; ","")</f>
        <v/>
      </c>
      <c r="AS126" t="str">
        <f>IF(AND($V$9=1,(TRUNC(Courses!T120)&lt;&gt;Courses!T120)), "Row "&amp;Courses!$A120&amp;", "&amp;AS$9&amp;", "&amp;AS$10&amp;", "&amp;AS$11&amp;"; ","")</f>
        <v/>
      </c>
      <c r="AT126" t="str">
        <f>IF(AND($V$9=1,(TRUNC(Courses!U120)&lt;&gt;Courses!U120)), "Row "&amp;Courses!$A120&amp;", "&amp;AT$9&amp;", "&amp;AT$10&amp;", "&amp;AT$11&amp;"; ","")</f>
        <v/>
      </c>
      <c r="AU126" s="2120" t="str">
        <f>IF(AND($V$9=1,(TRUNC(Courses!V120)&lt;&gt;Courses!V120)), "Row "&amp;Courses!$A120&amp;", "&amp;AU$9&amp;", "&amp;AU$10&amp;"; ","")</f>
        <v/>
      </c>
      <c r="AV126" s="1593" t="str">
        <f>IF(AND($V$9=1,(TRUNC(Courses!W120)&lt;&gt;Courses!W120)), "Row "&amp;Courses!$A120&amp;", "&amp;AV$9&amp;", "&amp;AV$10&amp;", "&amp;AV$11&amp;"; ","")</f>
        <v/>
      </c>
      <c r="AW126" t="str">
        <f>IF(AND($V$9=1,(TRUNC(Courses!X120)&lt;&gt;Courses!X120)), "Row "&amp;Courses!$A120&amp;", "&amp;AW$9&amp;", "&amp;AW$10&amp;", "&amp;AW$11&amp;"; ","")</f>
        <v/>
      </c>
      <c r="AX126" t="str">
        <f>IF(AND($V$9=1,(TRUNC(Courses!Y120)&lt;&gt;Courses!Y120)), "Row "&amp;Courses!$A120&amp;", "&amp;AX$9&amp;", "&amp;AX$10&amp;", "&amp;AX$11&amp;"; ","")</f>
        <v/>
      </c>
      <c r="AY126" t="str">
        <f>IF(AND($V$9=1,(TRUNC(Courses!Z120)&lt;&gt;Courses!Z120)), "Row "&amp;Courses!$A120&amp;", "&amp;AY$9&amp;", "&amp;AY$10&amp;", "&amp;AY$11&amp;"; ","")</f>
        <v/>
      </c>
      <c r="AZ126" s="2120" t="str">
        <f>IF(AND($V$9=1,(TRUNC(Courses!AA120)&lt;&gt;Courses!AA120)), "Row "&amp;Courses!$A120&amp;", "&amp;AZ$9&amp;", "&amp;AZ$10&amp;"; ","")</f>
        <v/>
      </c>
      <c r="BB126" s="118"/>
      <c r="BC126" s="3">
        <v>107</v>
      </c>
      <c r="BD126" s="1593" t="str">
        <f>IF(AND($W$9=1,Courses!M120&lt;0), "Row "&amp;Courses!$A120&amp;", "&amp;BD$9&amp;", "&amp;BD$10&amp;", "&amp;BD$11&amp;"; ","")</f>
        <v/>
      </c>
      <c r="BE126" t="str">
        <f>IF(AND($W$9=1,Courses!N120&lt;0), "Row "&amp;Courses!$A120&amp;", "&amp;BE$9&amp;", "&amp;BE$10&amp;", "&amp;BE$11&amp;"; ","")</f>
        <v/>
      </c>
      <c r="BF126" t="str">
        <f>IF(AND($W$9=1,Courses!O120&lt;0), "Row "&amp;Courses!$A120&amp;", "&amp;BF$9&amp;", "&amp;BF$10&amp;", "&amp;BF$11&amp;"; ","")</f>
        <v/>
      </c>
      <c r="BG126" t="str">
        <f>IF(AND($W$9=1,Courses!P120&lt;0), "Row "&amp;Courses!$A120&amp;", "&amp;BG$9&amp;", "&amp;BG$10&amp;", "&amp;BG$11&amp;"; ","")</f>
        <v/>
      </c>
      <c r="BH126" s="2120" t="str">
        <f>IF(AND($W$9=1,Courses!Q120&lt;0), "Row "&amp;Courses!$A120&amp;", "&amp;BH$9&amp;", "&amp;BH$10&amp;"; ","")</f>
        <v/>
      </c>
      <c r="BI126" s="1593" t="str">
        <f>IF(AND($W$9=1,Courses!R120&lt;0), "Row "&amp;Courses!$A120&amp;", "&amp;BI$9&amp;", "&amp;BI$10&amp;", "&amp;BI$11&amp;"; ","")</f>
        <v/>
      </c>
      <c r="BJ126" t="str">
        <f>IF(AND($W$9=1,Courses!S120&lt;0), "Row "&amp;Courses!$A120&amp;", "&amp;BJ$9&amp;", "&amp;BJ$10&amp;", "&amp;BJ$11&amp;"; ","")</f>
        <v/>
      </c>
      <c r="BK126" t="str">
        <f>IF(AND($W$9=1,Courses!T120&lt;0), "Row "&amp;Courses!$A120&amp;", "&amp;BK$9&amp;", "&amp;BK$10&amp;", "&amp;BK$11&amp;"; ","")</f>
        <v/>
      </c>
      <c r="BL126" t="str">
        <f>IF(AND($W$9=1,Courses!U120&lt;0), "Row "&amp;Courses!$A120&amp;", "&amp;BL$9&amp;", "&amp;BL$10&amp;", "&amp;BL$11&amp;"; ","")</f>
        <v/>
      </c>
      <c r="BM126" s="2120" t="str">
        <f>IF(AND($W$9=1,Courses!V120&lt;0), "Row "&amp;Courses!$A120&amp;", "&amp;BM$9&amp;", "&amp;BM$10&amp;"; ","")</f>
        <v/>
      </c>
      <c r="BN126" s="1593" t="str">
        <f>IF(AND($W$9=1,Courses!W120&lt;0), "Row "&amp;Courses!$A120&amp;", "&amp;BN$9&amp;", "&amp;BN$10&amp;", "&amp;BN$11&amp;"; ","")</f>
        <v/>
      </c>
      <c r="BO126" t="str">
        <f>IF(AND($W$9=1,Courses!X120&lt;0), "Row "&amp;Courses!$A120&amp;", "&amp;BO$9&amp;", "&amp;BO$10&amp;", "&amp;BO$11&amp;"; ","")</f>
        <v/>
      </c>
      <c r="BP126" t="str">
        <f>IF(AND($W$9=1,Courses!Y120&lt;0), "Row "&amp;Courses!$A120&amp;", "&amp;BP$9&amp;", "&amp;BP$10&amp;", "&amp;BP$11&amp;"; ","")</f>
        <v/>
      </c>
      <c r="BQ126" t="str">
        <f>IF(AND($W$9=1,Courses!Z120&lt;0), "Row "&amp;Courses!$A120&amp;", "&amp;BQ$9&amp;", "&amp;BQ$10&amp;", "&amp;BQ$11&amp;"; ","")</f>
        <v/>
      </c>
      <c r="BR126" s="2120" t="str">
        <f>IF(AND($W$9=1,Courses!AA120&lt;0), "Row "&amp;Courses!$A120&amp;", "&amp;BR$9&amp;", "&amp;BR$10&amp;"; ","")</f>
        <v/>
      </c>
      <c r="BT126" s="40">
        <v>107</v>
      </c>
      <c r="BU126" s="40">
        <f>IF(AND($X$9=1,Courses!B120="",Courses!F120="",Courses!H120="",Courses!J120="",Courses!K120="",Courses!L120="",Courses!M120=0,Courses!N120=0,Courses!O120=0,Courses!P120=0,Courses!Q120=0,Courses!R120=0,Courses!S120=0,Courses!T120=0,Courses!U120=0,Courses!V120=0,Courses!W120=0,Courses!X120=0,Courses!Y120=0,Courses!Z120=0,Courses!AA120=0),0,1)</f>
        <v>0</v>
      </c>
      <c r="BV126" s="40">
        <f>IF(AND(BU126=0,SUM(BU127:$BU$219)&gt;0),1,0)</f>
        <v>0</v>
      </c>
      <c r="BW126" s="1595" t="str">
        <f>IF(BV126=1,"Row "&amp;Courses!A120&amp;"; ","")</f>
        <v/>
      </c>
      <c r="BX126" s="17"/>
      <c r="BZ126" s="1592" t="str">
        <f>IF(AND($Y$9=1,Courses!B120&lt;&gt;"",SUM(Courses!M120:AA120)=0),"Row "&amp;Courses!A120&amp;"; ","")</f>
        <v/>
      </c>
      <c r="CA126" s="17"/>
      <c r="CC126" s="1592" t="str">
        <f>IF(AND($Z$9=1,Courses!AD120=1,(LEN(Courses!AB120)&gt;200)),"Row "&amp;Courses!A120&amp;"; ","")</f>
        <v/>
      </c>
      <c r="CE126" s="131"/>
      <c r="CG126" s="1593" t="str">
        <f>IF(AND($AD$9=1,Courses!E120&lt;&gt;"",Courses!F120&lt;&gt;"",Courses!F120=0,SUM(Courses!H120,Courses!J120)=1),"Row "&amp;Courses!A120&amp;", "&amp;Courses!$F$10&amp;"; ","")</f>
        <v/>
      </c>
      <c r="CH126" t="str">
        <f>IF(AND($AD$9=1,Courses!G120&lt;&gt;"",Courses!H120&lt;&gt;"",Courses!H120=0,SUM(Courses!J120,Courses!F120)=1),"Row "&amp;Courses!A120&amp;", "&amp;Courses!$H$10&amp;"; ","")</f>
        <v/>
      </c>
      <c r="CI126" s="183" t="str">
        <f>IF(AND($AD$9=1,Courses!I120&lt;&gt;"",Courses!J120&lt;&gt;"",Courses!J120=0, SUM(Courses!H120,Courses!F120)=1),"Row "&amp;Courses!A120&amp;", "&amp;Courses!$J$10&amp;"; ","")</f>
        <v/>
      </c>
      <c r="CJ126" s="180"/>
      <c r="CK126" s="181"/>
      <c r="CL126" s="1592" t="str">
        <f>IF(AND(Courses!B120&lt;&gt;"",ISNA(VLOOKUP(Courses!C120,CourseInfo,2,FALSE))=FALSE,COUNTIF(Dummy,Courses!C120)&lt;&gt;1),VLOOKUP(Courses!C120,CourseInfo,6,FALSE),"")</f>
        <v/>
      </c>
      <c r="CM126" s="1592" t="str">
        <f>IF(AND($AE$9=1,Courses!B120&lt;&gt;"",'Courses Valid'!AG126="",COUNTIF(Dummy,Courses!C120)&lt;&gt;1),IF(Courses!K120&lt;&gt;'Courses Valid'!CL126,"Row "&amp;Courses!A120&amp;", Level on LARS is "&amp;'Courses Valid'!CL126&amp;"; ",""),"")</f>
        <v/>
      </c>
      <c r="CN126" s="131"/>
    </row>
    <row r="127" spans="3:92" x14ac:dyDescent="0.35">
      <c r="C127" s="1591">
        <f t="shared" si="3"/>
        <v>0</v>
      </c>
      <c r="D127" s="41"/>
      <c r="E127" s="41"/>
      <c r="F127" s="118"/>
      <c r="G127" s="1592" t="str">
        <f>IF(SUMPRODUCT(--(CourseAims=Courses!$C121))=1,"",IF(AND($N$9=1,Courses!$C121&lt;&gt;""),"Row "&amp;Courses!A121&amp;" (invalid); ",""))</f>
        <v/>
      </c>
      <c r="H127" s="1592" t="str">
        <f>IF(AND($O$9=1,Courses!B121="",OR(Courses!F121&lt;&gt;"",Courses!H121&lt;&gt;"",Courses!J121&lt;&gt;"",Courses!K121&lt;&gt;"",Courses!L121&lt;&gt;"",Courses!M121&lt;&gt;0,Courses!N121&lt;&gt;0,Courses!O121&lt;&gt;0,Courses!P121&lt;&gt;0,Courses!Q121&lt;&gt;0,Courses!R121&lt;&gt;0,Courses!S121&lt;&gt;0,Courses!T121&lt;&gt;0,Courses!U121&lt;&gt;0,Courses!V121&lt;&gt;0,Courses!W121&lt;&gt;0,Courses!X121&lt;&gt;0,Courses!Y121&lt;&gt;0,Courses!Z121&lt;&gt;0,Courses!AA121&lt;&gt;0)),"Row "&amp;Courses!A121&amp;" (none); ","")</f>
        <v/>
      </c>
      <c r="I127" s="17"/>
      <c r="K127" s="1592" t="str">
        <f>Courses!B121&amp;Courses!K121&amp;Courses!L121</f>
        <v/>
      </c>
      <c r="L127" s="1592" t="str">
        <f>IF(AND($P$9=1,Courses!$B121&lt;&gt;"",COUNTIF(Dummy,Courses!$C121)&lt;&gt;1),IF(SUMPRODUCT(--($K$20:$K$219=$K127))&gt;1,"Row "&amp;Courses!$A121&amp;"; ",""),"")</f>
        <v/>
      </c>
      <c r="N127" s="118"/>
      <c r="O127" s="1593" t="str">
        <f>IF(AND($Q$9=1,Courses!E121&lt;&gt;"",Courses!F121=""),"Row "&amp;Courses!A121&amp;", "&amp;Courses!$E$10&amp;"; ","")</f>
        <v/>
      </c>
      <c r="P127" t="str">
        <f>IF(AND($Q$9=1,Courses!G121&lt;&gt;"",Courses!H121=""),"Row "&amp;Courses!A121&amp;", "&amp;Courses!$G$10&amp;"; ","")</f>
        <v/>
      </c>
      <c r="Q127" s="183" t="str">
        <f>IF(AND($Q$9=1,Courses!I121&lt;&gt;"",Courses!J121=""),"Row "&amp;Courses!A121&amp;", "&amp;Courses!$I$10&amp;"; ","")</f>
        <v/>
      </c>
      <c r="S127" s="17"/>
      <c r="T127" s="118"/>
      <c r="U127" s="1594" t="str">
        <f>IF(AND($R$9=1,Courses!B121&lt;&gt;"",Courses!E121&lt;&gt;"",Courses!G121="",Courses!I121="",Courses!F121&lt;&gt;1),"Row "&amp;Courses!A121&amp;"; ","")</f>
        <v/>
      </c>
      <c r="V127" t="str">
        <f>IF(AND($R$9=1,Courses!B121&lt;&gt;"",Courses!I121="",Courses!F121&lt;&gt;"",Courses!G121&lt;&gt;"",Courses!H121&lt;&gt;""),IF(OR((Courses!F121+Courses!H121)&lt;&gt;1),"Row "&amp;Courses!A121&amp;"; ",""),"")</f>
        <v/>
      </c>
      <c r="W127" s="183" t="str">
        <f>IF(AND($R$9=1,Courses!B121&lt;&gt;"",Courses!I121&lt;&gt;"",Courses!J121&lt;&gt;"",Courses!H121&lt;&gt;"",Courses!G121&lt;&gt;"",Courses!F121&lt;&gt;""),IF(OR((Courses!F121+Courses!H121+Courses!J121)&lt;&gt;1),"Row "&amp;Courses!A121&amp;"; ",""),"")</f>
        <v/>
      </c>
      <c r="Y127" s="1592" t="str">
        <f>IF(AND($R$9=1,Courses!E121&lt;&gt;"",U127="",V127="",W127="",SUM(Courses!F121,Courses!H121,Courses!J121)&lt;&gt;1),"Row "&amp;Courses!A121&amp;"; ","")</f>
        <v/>
      </c>
      <c r="Z127" s="17"/>
      <c r="AB127" s="1593" t="str">
        <f>IF(AND($S$9=1,Courses!B121&lt;&gt;"",Courses!E121&lt;&gt;"",Courses!F121&lt;&gt;""),IF((TRUNC(Courses!F121*100)&lt;&gt;Courses!F121*100),"Row "&amp;Courses!A121&amp;", "&amp;Courses!$F$10&amp;"; ",""),"")</f>
        <v/>
      </c>
      <c r="AC127" t="str">
        <f>IF(AND($S$9=1,Courses!B121&lt;&gt;"",Courses!G121&lt;&gt;"",Courses!H121&lt;&gt;""),IF((TRUNC(Courses!H121*100)&lt;&gt;Courses!H121*100),"Row "&amp;Courses!A121&amp;", "&amp;Courses!$H$10&amp;"; ",""),"")</f>
        <v/>
      </c>
      <c r="AD127" s="183" t="str">
        <f>IF(AND($S$9=1,Courses!B121&lt;&gt;"",Courses!I121&lt;&gt;"",Courses!J121&lt;&gt;""),IF((TRUNC(Courses!J121*100)&lt;&gt;Courses!J121*100),"Row "&amp;Courses!A121&amp;", "&amp;Courses!$J$10&amp;"; ",""),"")</f>
        <v/>
      </c>
      <c r="AF127" s="118"/>
      <c r="AG127" s="1592" t="str">
        <f>IF(AND($T$9=1,G127="",Courses!B121&lt;&gt;"",Courses!K121&lt;&gt;$B$9,Courses!K121&lt;&gt;$B$10,Courses!K121&lt;&gt;$B$11,Courses!K121&lt;&gt;$B$12,Courses!K121&lt;&gt;$B$13,Courses!K121&lt;&gt;$B$14),"Row "&amp;Courses!A121&amp;"; ","")</f>
        <v/>
      </c>
      <c r="AH127" s="1592" t="str">
        <f>IF(AND($U$9=1,G127="",Courses!B121&lt;&gt;"",Courses!L121&lt;&gt;"Standard",Courses!L121&lt;&gt;"Long"),"Row "&amp;Courses!A121&amp;"; ","")</f>
        <v/>
      </c>
      <c r="AJ127" s="118"/>
      <c r="AK127" s="3">
        <v>108</v>
      </c>
      <c r="AL127" s="1593" t="str">
        <f>IF(AND($V$9=1,(TRUNC(Courses!M121)&lt;&gt;Courses!M121)), "Row "&amp;Courses!$A121&amp;", "&amp;AL$9&amp;", "&amp;AL$10&amp;", "&amp;AL$11&amp;"; ","")</f>
        <v/>
      </c>
      <c r="AM127" t="str">
        <f>IF(AND($V$9=1,(TRUNC(Courses!N121)&lt;&gt;Courses!N121)), "Row "&amp;Courses!$A121&amp;", "&amp;AM$9&amp;", "&amp;AM$10&amp;", "&amp;AM$11&amp;"; ","")</f>
        <v/>
      </c>
      <c r="AN127" t="str">
        <f>IF(AND($V$9=1,(TRUNC(Courses!O121)&lt;&gt;Courses!O121)), "Row "&amp;Courses!$A121&amp;", "&amp;AN$9&amp;", "&amp;AN$10&amp;", "&amp;AN$11&amp;"; ","")</f>
        <v/>
      </c>
      <c r="AO127" t="str">
        <f>IF(AND($V$9=1,(TRUNC(Courses!P121)&lt;&gt;Courses!P121)), "Row "&amp;Courses!$A121&amp;", "&amp;AO$9&amp;", "&amp;AO$10&amp;", "&amp;AO$11&amp;"; ","")</f>
        <v/>
      </c>
      <c r="AP127" s="2120" t="str">
        <f>IF(AND($V$9=1,(TRUNC(Courses!Q121)&lt;&gt;Courses!Q121)), "Row "&amp;Courses!$A121&amp;", "&amp;AP$9&amp;", "&amp;AP$10&amp;"; ","")</f>
        <v/>
      </c>
      <c r="AQ127" s="1593" t="str">
        <f>IF(AND($V$9=1,(TRUNC(Courses!R121)&lt;&gt;Courses!R121)), "Row "&amp;Courses!$A121&amp;", "&amp;AQ$9&amp;", "&amp;AQ$10&amp;", "&amp;AQ$11&amp;"; ","")</f>
        <v/>
      </c>
      <c r="AR127" t="str">
        <f>IF(AND($V$9=1,(TRUNC(Courses!S121)&lt;&gt;Courses!S121)), "Row "&amp;Courses!$A121&amp;", "&amp;AR$9&amp;", "&amp;AR$10&amp;", "&amp;AR$11&amp;"; ","")</f>
        <v/>
      </c>
      <c r="AS127" t="str">
        <f>IF(AND($V$9=1,(TRUNC(Courses!T121)&lt;&gt;Courses!T121)), "Row "&amp;Courses!$A121&amp;", "&amp;AS$9&amp;", "&amp;AS$10&amp;", "&amp;AS$11&amp;"; ","")</f>
        <v/>
      </c>
      <c r="AT127" t="str">
        <f>IF(AND($V$9=1,(TRUNC(Courses!U121)&lt;&gt;Courses!U121)), "Row "&amp;Courses!$A121&amp;", "&amp;AT$9&amp;", "&amp;AT$10&amp;", "&amp;AT$11&amp;"; ","")</f>
        <v/>
      </c>
      <c r="AU127" s="2120" t="str">
        <f>IF(AND($V$9=1,(TRUNC(Courses!V121)&lt;&gt;Courses!V121)), "Row "&amp;Courses!$A121&amp;", "&amp;AU$9&amp;", "&amp;AU$10&amp;"; ","")</f>
        <v/>
      </c>
      <c r="AV127" s="1593" t="str">
        <f>IF(AND($V$9=1,(TRUNC(Courses!W121)&lt;&gt;Courses!W121)), "Row "&amp;Courses!$A121&amp;", "&amp;AV$9&amp;", "&amp;AV$10&amp;", "&amp;AV$11&amp;"; ","")</f>
        <v/>
      </c>
      <c r="AW127" t="str">
        <f>IF(AND($V$9=1,(TRUNC(Courses!X121)&lt;&gt;Courses!X121)), "Row "&amp;Courses!$A121&amp;", "&amp;AW$9&amp;", "&amp;AW$10&amp;", "&amp;AW$11&amp;"; ","")</f>
        <v/>
      </c>
      <c r="AX127" t="str">
        <f>IF(AND($V$9=1,(TRUNC(Courses!Y121)&lt;&gt;Courses!Y121)), "Row "&amp;Courses!$A121&amp;", "&amp;AX$9&amp;", "&amp;AX$10&amp;", "&amp;AX$11&amp;"; ","")</f>
        <v/>
      </c>
      <c r="AY127" t="str">
        <f>IF(AND($V$9=1,(TRUNC(Courses!Z121)&lt;&gt;Courses!Z121)), "Row "&amp;Courses!$A121&amp;", "&amp;AY$9&amp;", "&amp;AY$10&amp;", "&amp;AY$11&amp;"; ","")</f>
        <v/>
      </c>
      <c r="AZ127" s="2120" t="str">
        <f>IF(AND($V$9=1,(TRUNC(Courses!AA121)&lt;&gt;Courses!AA121)), "Row "&amp;Courses!$A121&amp;", "&amp;AZ$9&amp;", "&amp;AZ$10&amp;"; ","")</f>
        <v/>
      </c>
      <c r="BB127" s="118"/>
      <c r="BC127" s="3">
        <v>108</v>
      </c>
      <c r="BD127" s="1593" t="str">
        <f>IF(AND($W$9=1,Courses!M121&lt;0), "Row "&amp;Courses!$A121&amp;", "&amp;BD$9&amp;", "&amp;BD$10&amp;", "&amp;BD$11&amp;"; ","")</f>
        <v/>
      </c>
      <c r="BE127" t="str">
        <f>IF(AND($W$9=1,Courses!N121&lt;0), "Row "&amp;Courses!$A121&amp;", "&amp;BE$9&amp;", "&amp;BE$10&amp;", "&amp;BE$11&amp;"; ","")</f>
        <v/>
      </c>
      <c r="BF127" t="str">
        <f>IF(AND($W$9=1,Courses!O121&lt;0), "Row "&amp;Courses!$A121&amp;", "&amp;BF$9&amp;", "&amp;BF$10&amp;", "&amp;BF$11&amp;"; ","")</f>
        <v/>
      </c>
      <c r="BG127" t="str">
        <f>IF(AND($W$9=1,Courses!P121&lt;0), "Row "&amp;Courses!$A121&amp;", "&amp;BG$9&amp;", "&amp;BG$10&amp;", "&amp;BG$11&amp;"; ","")</f>
        <v/>
      </c>
      <c r="BH127" s="2120" t="str">
        <f>IF(AND($W$9=1,Courses!Q121&lt;0), "Row "&amp;Courses!$A121&amp;", "&amp;BH$9&amp;", "&amp;BH$10&amp;"; ","")</f>
        <v/>
      </c>
      <c r="BI127" s="1593" t="str">
        <f>IF(AND($W$9=1,Courses!R121&lt;0), "Row "&amp;Courses!$A121&amp;", "&amp;BI$9&amp;", "&amp;BI$10&amp;", "&amp;BI$11&amp;"; ","")</f>
        <v/>
      </c>
      <c r="BJ127" t="str">
        <f>IF(AND($W$9=1,Courses!S121&lt;0), "Row "&amp;Courses!$A121&amp;", "&amp;BJ$9&amp;", "&amp;BJ$10&amp;", "&amp;BJ$11&amp;"; ","")</f>
        <v/>
      </c>
      <c r="BK127" t="str">
        <f>IF(AND($W$9=1,Courses!T121&lt;0), "Row "&amp;Courses!$A121&amp;", "&amp;BK$9&amp;", "&amp;BK$10&amp;", "&amp;BK$11&amp;"; ","")</f>
        <v/>
      </c>
      <c r="BL127" t="str">
        <f>IF(AND($W$9=1,Courses!U121&lt;0), "Row "&amp;Courses!$A121&amp;", "&amp;BL$9&amp;", "&amp;BL$10&amp;", "&amp;BL$11&amp;"; ","")</f>
        <v/>
      </c>
      <c r="BM127" s="2120" t="str">
        <f>IF(AND($W$9=1,Courses!V121&lt;0), "Row "&amp;Courses!$A121&amp;", "&amp;BM$9&amp;", "&amp;BM$10&amp;"; ","")</f>
        <v/>
      </c>
      <c r="BN127" s="1593" t="str">
        <f>IF(AND($W$9=1,Courses!W121&lt;0), "Row "&amp;Courses!$A121&amp;", "&amp;BN$9&amp;", "&amp;BN$10&amp;", "&amp;BN$11&amp;"; ","")</f>
        <v/>
      </c>
      <c r="BO127" t="str">
        <f>IF(AND($W$9=1,Courses!X121&lt;0), "Row "&amp;Courses!$A121&amp;", "&amp;BO$9&amp;", "&amp;BO$10&amp;", "&amp;BO$11&amp;"; ","")</f>
        <v/>
      </c>
      <c r="BP127" t="str">
        <f>IF(AND($W$9=1,Courses!Y121&lt;0), "Row "&amp;Courses!$A121&amp;", "&amp;BP$9&amp;", "&amp;BP$10&amp;", "&amp;BP$11&amp;"; ","")</f>
        <v/>
      </c>
      <c r="BQ127" t="str">
        <f>IF(AND($W$9=1,Courses!Z121&lt;0), "Row "&amp;Courses!$A121&amp;", "&amp;BQ$9&amp;", "&amp;BQ$10&amp;", "&amp;BQ$11&amp;"; ","")</f>
        <v/>
      </c>
      <c r="BR127" s="2120" t="str">
        <f>IF(AND($W$9=1,Courses!AA121&lt;0), "Row "&amp;Courses!$A121&amp;", "&amp;BR$9&amp;", "&amp;BR$10&amp;"; ","")</f>
        <v/>
      </c>
      <c r="BT127" s="40">
        <v>108</v>
      </c>
      <c r="BU127" s="40">
        <f>IF(AND($X$9=1,Courses!B121="",Courses!F121="",Courses!H121="",Courses!J121="",Courses!K121="",Courses!L121="",Courses!M121=0,Courses!N121=0,Courses!O121=0,Courses!P121=0,Courses!Q121=0,Courses!R121=0,Courses!S121=0,Courses!T121=0,Courses!U121=0,Courses!V121=0,Courses!W121=0,Courses!X121=0,Courses!Y121=0,Courses!Z121=0,Courses!AA121=0),0,1)</f>
        <v>0</v>
      </c>
      <c r="BV127" s="40">
        <f>IF(AND(BU127=0,SUM(BU128:$BU$219)&gt;0),1,0)</f>
        <v>0</v>
      </c>
      <c r="BW127" s="1595" t="str">
        <f>IF(BV127=1,"Row "&amp;Courses!A121&amp;"; ","")</f>
        <v/>
      </c>
      <c r="BX127" s="17"/>
      <c r="BZ127" s="1592" t="str">
        <f>IF(AND($Y$9=1,Courses!B121&lt;&gt;"",SUM(Courses!M121:AA121)=0),"Row "&amp;Courses!A121&amp;"; ","")</f>
        <v/>
      </c>
      <c r="CA127" s="17"/>
      <c r="CC127" s="1592" t="str">
        <f>IF(AND($Z$9=1,Courses!AD121=1,(LEN(Courses!AB121)&gt;200)),"Row "&amp;Courses!A121&amp;"; ","")</f>
        <v/>
      </c>
      <c r="CE127" s="131"/>
      <c r="CG127" s="1593" t="str">
        <f>IF(AND($AD$9=1,Courses!E121&lt;&gt;"",Courses!F121&lt;&gt;"",Courses!F121=0,SUM(Courses!H121,Courses!J121)=1),"Row "&amp;Courses!A121&amp;", "&amp;Courses!$F$10&amp;"; ","")</f>
        <v/>
      </c>
      <c r="CH127" t="str">
        <f>IF(AND($AD$9=1,Courses!G121&lt;&gt;"",Courses!H121&lt;&gt;"",Courses!H121=0,SUM(Courses!J121,Courses!F121)=1),"Row "&amp;Courses!A121&amp;", "&amp;Courses!$H$10&amp;"; ","")</f>
        <v/>
      </c>
      <c r="CI127" s="183" t="str">
        <f>IF(AND($AD$9=1,Courses!I121&lt;&gt;"",Courses!J121&lt;&gt;"",Courses!J121=0, SUM(Courses!H121,Courses!F121)=1),"Row "&amp;Courses!A121&amp;", "&amp;Courses!$J$10&amp;"; ","")</f>
        <v/>
      </c>
      <c r="CJ127" s="180"/>
      <c r="CK127" s="181"/>
      <c r="CL127" s="1592" t="str">
        <f>IF(AND(Courses!B121&lt;&gt;"",ISNA(VLOOKUP(Courses!C121,CourseInfo,2,FALSE))=FALSE,COUNTIF(Dummy,Courses!C121)&lt;&gt;1),VLOOKUP(Courses!C121,CourseInfo,6,FALSE),"")</f>
        <v/>
      </c>
      <c r="CM127" s="1592" t="str">
        <f>IF(AND($AE$9=1,Courses!B121&lt;&gt;"",'Courses Valid'!AG127="",COUNTIF(Dummy,Courses!C121)&lt;&gt;1),IF(Courses!K121&lt;&gt;'Courses Valid'!CL127,"Row "&amp;Courses!A121&amp;", Level on LARS is "&amp;'Courses Valid'!CL127&amp;"; ",""),"")</f>
        <v/>
      </c>
      <c r="CN127" s="131"/>
    </row>
    <row r="128" spans="3:92" x14ac:dyDescent="0.35">
      <c r="C128" s="1591">
        <f t="shared" si="3"/>
        <v>0</v>
      </c>
      <c r="D128" s="41"/>
      <c r="E128" s="41"/>
      <c r="F128" s="118"/>
      <c r="G128" s="1592" t="str">
        <f>IF(SUMPRODUCT(--(CourseAims=Courses!$C122))=1,"",IF(AND($N$9=1,Courses!$C122&lt;&gt;""),"Row "&amp;Courses!A122&amp;" (invalid); ",""))</f>
        <v/>
      </c>
      <c r="H128" s="1592" t="str">
        <f>IF(AND($O$9=1,Courses!B122="",OR(Courses!F122&lt;&gt;"",Courses!H122&lt;&gt;"",Courses!J122&lt;&gt;"",Courses!K122&lt;&gt;"",Courses!L122&lt;&gt;"",Courses!M122&lt;&gt;0,Courses!N122&lt;&gt;0,Courses!O122&lt;&gt;0,Courses!P122&lt;&gt;0,Courses!Q122&lt;&gt;0,Courses!R122&lt;&gt;0,Courses!S122&lt;&gt;0,Courses!T122&lt;&gt;0,Courses!U122&lt;&gt;0,Courses!V122&lt;&gt;0,Courses!W122&lt;&gt;0,Courses!X122&lt;&gt;0,Courses!Y122&lt;&gt;0,Courses!Z122&lt;&gt;0,Courses!AA122&lt;&gt;0)),"Row "&amp;Courses!A122&amp;" (none); ","")</f>
        <v/>
      </c>
      <c r="I128" s="17"/>
      <c r="K128" s="1592" t="str">
        <f>Courses!B122&amp;Courses!K122&amp;Courses!L122</f>
        <v/>
      </c>
      <c r="L128" s="1592" t="str">
        <f>IF(AND($P$9=1,Courses!$B122&lt;&gt;"",COUNTIF(Dummy,Courses!$C122)&lt;&gt;1),IF(SUMPRODUCT(--($K$20:$K$219=$K128))&gt;1,"Row "&amp;Courses!$A122&amp;"; ",""),"")</f>
        <v/>
      </c>
      <c r="N128" s="118"/>
      <c r="O128" s="1593" t="str">
        <f>IF(AND($Q$9=1,Courses!E122&lt;&gt;"",Courses!F122=""),"Row "&amp;Courses!A122&amp;", "&amp;Courses!$E$10&amp;"; ","")</f>
        <v/>
      </c>
      <c r="P128" t="str">
        <f>IF(AND($Q$9=1,Courses!G122&lt;&gt;"",Courses!H122=""),"Row "&amp;Courses!A122&amp;", "&amp;Courses!$G$10&amp;"; ","")</f>
        <v/>
      </c>
      <c r="Q128" s="183" t="str">
        <f>IF(AND($Q$9=1,Courses!I122&lt;&gt;"",Courses!J122=""),"Row "&amp;Courses!A122&amp;", "&amp;Courses!$I$10&amp;"; ","")</f>
        <v/>
      </c>
      <c r="S128" s="17"/>
      <c r="T128" s="118"/>
      <c r="U128" s="1594" t="str">
        <f>IF(AND($R$9=1,Courses!B122&lt;&gt;"",Courses!E122&lt;&gt;"",Courses!G122="",Courses!I122="",Courses!F122&lt;&gt;1),"Row "&amp;Courses!A122&amp;"; ","")</f>
        <v/>
      </c>
      <c r="V128" t="str">
        <f>IF(AND($R$9=1,Courses!B122&lt;&gt;"",Courses!I122="",Courses!F122&lt;&gt;"",Courses!G122&lt;&gt;"",Courses!H122&lt;&gt;""),IF(OR((Courses!F122+Courses!H122)&lt;&gt;1),"Row "&amp;Courses!A122&amp;"; ",""),"")</f>
        <v/>
      </c>
      <c r="W128" s="183" t="str">
        <f>IF(AND($R$9=1,Courses!B122&lt;&gt;"",Courses!I122&lt;&gt;"",Courses!J122&lt;&gt;"",Courses!H122&lt;&gt;"",Courses!G122&lt;&gt;"",Courses!F122&lt;&gt;""),IF(OR((Courses!F122+Courses!H122+Courses!J122)&lt;&gt;1),"Row "&amp;Courses!A122&amp;"; ",""),"")</f>
        <v/>
      </c>
      <c r="Y128" s="1592" t="str">
        <f>IF(AND($R$9=1,Courses!E122&lt;&gt;"",U128="",V128="",W128="",SUM(Courses!F122,Courses!H122,Courses!J122)&lt;&gt;1),"Row "&amp;Courses!A122&amp;"; ","")</f>
        <v/>
      </c>
      <c r="Z128" s="17"/>
      <c r="AB128" s="1593" t="str">
        <f>IF(AND($S$9=1,Courses!B122&lt;&gt;"",Courses!E122&lt;&gt;"",Courses!F122&lt;&gt;""),IF((TRUNC(Courses!F122*100)&lt;&gt;Courses!F122*100),"Row "&amp;Courses!A122&amp;", "&amp;Courses!$F$10&amp;"; ",""),"")</f>
        <v/>
      </c>
      <c r="AC128" t="str">
        <f>IF(AND($S$9=1,Courses!B122&lt;&gt;"",Courses!G122&lt;&gt;"",Courses!H122&lt;&gt;""),IF((TRUNC(Courses!H122*100)&lt;&gt;Courses!H122*100),"Row "&amp;Courses!A122&amp;", "&amp;Courses!$H$10&amp;"; ",""),"")</f>
        <v/>
      </c>
      <c r="AD128" s="183" t="str">
        <f>IF(AND($S$9=1,Courses!B122&lt;&gt;"",Courses!I122&lt;&gt;"",Courses!J122&lt;&gt;""),IF((TRUNC(Courses!J122*100)&lt;&gt;Courses!J122*100),"Row "&amp;Courses!A122&amp;", "&amp;Courses!$J$10&amp;"; ",""),"")</f>
        <v/>
      </c>
      <c r="AF128" s="118"/>
      <c r="AG128" s="1592" t="str">
        <f>IF(AND($T$9=1,G128="",Courses!B122&lt;&gt;"",Courses!K122&lt;&gt;$B$9,Courses!K122&lt;&gt;$B$10,Courses!K122&lt;&gt;$B$11,Courses!K122&lt;&gt;$B$12,Courses!K122&lt;&gt;$B$13,Courses!K122&lt;&gt;$B$14),"Row "&amp;Courses!A122&amp;"; ","")</f>
        <v/>
      </c>
      <c r="AH128" s="1592" t="str">
        <f>IF(AND($U$9=1,G128="",Courses!B122&lt;&gt;"",Courses!L122&lt;&gt;"Standard",Courses!L122&lt;&gt;"Long"),"Row "&amp;Courses!A122&amp;"; ","")</f>
        <v/>
      </c>
      <c r="AJ128" s="118"/>
      <c r="AK128" s="3">
        <v>109</v>
      </c>
      <c r="AL128" s="1593" t="str">
        <f>IF(AND($V$9=1,(TRUNC(Courses!M122)&lt;&gt;Courses!M122)), "Row "&amp;Courses!$A122&amp;", "&amp;AL$9&amp;", "&amp;AL$10&amp;", "&amp;AL$11&amp;"; ","")</f>
        <v/>
      </c>
      <c r="AM128" t="str">
        <f>IF(AND($V$9=1,(TRUNC(Courses!N122)&lt;&gt;Courses!N122)), "Row "&amp;Courses!$A122&amp;", "&amp;AM$9&amp;", "&amp;AM$10&amp;", "&amp;AM$11&amp;"; ","")</f>
        <v/>
      </c>
      <c r="AN128" t="str">
        <f>IF(AND($V$9=1,(TRUNC(Courses!O122)&lt;&gt;Courses!O122)), "Row "&amp;Courses!$A122&amp;", "&amp;AN$9&amp;", "&amp;AN$10&amp;", "&amp;AN$11&amp;"; ","")</f>
        <v/>
      </c>
      <c r="AO128" t="str">
        <f>IF(AND($V$9=1,(TRUNC(Courses!P122)&lt;&gt;Courses!P122)), "Row "&amp;Courses!$A122&amp;", "&amp;AO$9&amp;", "&amp;AO$10&amp;", "&amp;AO$11&amp;"; ","")</f>
        <v/>
      </c>
      <c r="AP128" s="2120" t="str">
        <f>IF(AND($V$9=1,(TRUNC(Courses!Q122)&lt;&gt;Courses!Q122)), "Row "&amp;Courses!$A122&amp;", "&amp;AP$9&amp;", "&amp;AP$10&amp;"; ","")</f>
        <v/>
      </c>
      <c r="AQ128" s="1593" t="str">
        <f>IF(AND($V$9=1,(TRUNC(Courses!R122)&lt;&gt;Courses!R122)), "Row "&amp;Courses!$A122&amp;", "&amp;AQ$9&amp;", "&amp;AQ$10&amp;", "&amp;AQ$11&amp;"; ","")</f>
        <v/>
      </c>
      <c r="AR128" t="str">
        <f>IF(AND($V$9=1,(TRUNC(Courses!S122)&lt;&gt;Courses!S122)), "Row "&amp;Courses!$A122&amp;", "&amp;AR$9&amp;", "&amp;AR$10&amp;", "&amp;AR$11&amp;"; ","")</f>
        <v/>
      </c>
      <c r="AS128" t="str">
        <f>IF(AND($V$9=1,(TRUNC(Courses!T122)&lt;&gt;Courses!T122)), "Row "&amp;Courses!$A122&amp;", "&amp;AS$9&amp;", "&amp;AS$10&amp;", "&amp;AS$11&amp;"; ","")</f>
        <v/>
      </c>
      <c r="AT128" t="str">
        <f>IF(AND($V$9=1,(TRUNC(Courses!U122)&lt;&gt;Courses!U122)), "Row "&amp;Courses!$A122&amp;", "&amp;AT$9&amp;", "&amp;AT$10&amp;", "&amp;AT$11&amp;"; ","")</f>
        <v/>
      </c>
      <c r="AU128" s="2120" t="str">
        <f>IF(AND($V$9=1,(TRUNC(Courses!V122)&lt;&gt;Courses!V122)), "Row "&amp;Courses!$A122&amp;", "&amp;AU$9&amp;", "&amp;AU$10&amp;"; ","")</f>
        <v/>
      </c>
      <c r="AV128" s="1593" t="str">
        <f>IF(AND($V$9=1,(TRUNC(Courses!W122)&lt;&gt;Courses!W122)), "Row "&amp;Courses!$A122&amp;", "&amp;AV$9&amp;", "&amp;AV$10&amp;", "&amp;AV$11&amp;"; ","")</f>
        <v/>
      </c>
      <c r="AW128" t="str">
        <f>IF(AND($V$9=1,(TRUNC(Courses!X122)&lt;&gt;Courses!X122)), "Row "&amp;Courses!$A122&amp;", "&amp;AW$9&amp;", "&amp;AW$10&amp;", "&amp;AW$11&amp;"; ","")</f>
        <v/>
      </c>
      <c r="AX128" t="str">
        <f>IF(AND($V$9=1,(TRUNC(Courses!Y122)&lt;&gt;Courses!Y122)), "Row "&amp;Courses!$A122&amp;", "&amp;AX$9&amp;", "&amp;AX$10&amp;", "&amp;AX$11&amp;"; ","")</f>
        <v/>
      </c>
      <c r="AY128" t="str">
        <f>IF(AND($V$9=1,(TRUNC(Courses!Z122)&lt;&gt;Courses!Z122)), "Row "&amp;Courses!$A122&amp;", "&amp;AY$9&amp;", "&amp;AY$10&amp;", "&amp;AY$11&amp;"; ","")</f>
        <v/>
      </c>
      <c r="AZ128" s="2120" t="str">
        <f>IF(AND($V$9=1,(TRUNC(Courses!AA122)&lt;&gt;Courses!AA122)), "Row "&amp;Courses!$A122&amp;", "&amp;AZ$9&amp;", "&amp;AZ$10&amp;"; ","")</f>
        <v/>
      </c>
      <c r="BB128" s="118"/>
      <c r="BC128" s="3">
        <v>109</v>
      </c>
      <c r="BD128" s="1593" t="str">
        <f>IF(AND($W$9=1,Courses!M122&lt;0), "Row "&amp;Courses!$A122&amp;", "&amp;BD$9&amp;", "&amp;BD$10&amp;", "&amp;BD$11&amp;"; ","")</f>
        <v/>
      </c>
      <c r="BE128" t="str">
        <f>IF(AND($W$9=1,Courses!N122&lt;0), "Row "&amp;Courses!$A122&amp;", "&amp;BE$9&amp;", "&amp;BE$10&amp;", "&amp;BE$11&amp;"; ","")</f>
        <v/>
      </c>
      <c r="BF128" t="str">
        <f>IF(AND($W$9=1,Courses!O122&lt;0), "Row "&amp;Courses!$A122&amp;", "&amp;BF$9&amp;", "&amp;BF$10&amp;", "&amp;BF$11&amp;"; ","")</f>
        <v/>
      </c>
      <c r="BG128" t="str">
        <f>IF(AND($W$9=1,Courses!P122&lt;0), "Row "&amp;Courses!$A122&amp;", "&amp;BG$9&amp;", "&amp;BG$10&amp;", "&amp;BG$11&amp;"; ","")</f>
        <v/>
      </c>
      <c r="BH128" s="2120" t="str">
        <f>IF(AND($W$9=1,Courses!Q122&lt;0), "Row "&amp;Courses!$A122&amp;", "&amp;BH$9&amp;", "&amp;BH$10&amp;"; ","")</f>
        <v/>
      </c>
      <c r="BI128" s="1593" t="str">
        <f>IF(AND($W$9=1,Courses!R122&lt;0), "Row "&amp;Courses!$A122&amp;", "&amp;BI$9&amp;", "&amp;BI$10&amp;", "&amp;BI$11&amp;"; ","")</f>
        <v/>
      </c>
      <c r="BJ128" t="str">
        <f>IF(AND($W$9=1,Courses!S122&lt;0), "Row "&amp;Courses!$A122&amp;", "&amp;BJ$9&amp;", "&amp;BJ$10&amp;", "&amp;BJ$11&amp;"; ","")</f>
        <v/>
      </c>
      <c r="BK128" t="str">
        <f>IF(AND($W$9=1,Courses!T122&lt;0), "Row "&amp;Courses!$A122&amp;", "&amp;BK$9&amp;", "&amp;BK$10&amp;", "&amp;BK$11&amp;"; ","")</f>
        <v/>
      </c>
      <c r="BL128" t="str">
        <f>IF(AND($W$9=1,Courses!U122&lt;0), "Row "&amp;Courses!$A122&amp;", "&amp;BL$9&amp;", "&amp;BL$10&amp;", "&amp;BL$11&amp;"; ","")</f>
        <v/>
      </c>
      <c r="BM128" s="2120" t="str">
        <f>IF(AND($W$9=1,Courses!V122&lt;0), "Row "&amp;Courses!$A122&amp;", "&amp;BM$9&amp;", "&amp;BM$10&amp;"; ","")</f>
        <v/>
      </c>
      <c r="BN128" s="1593" t="str">
        <f>IF(AND($W$9=1,Courses!W122&lt;0), "Row "&amp;Courses!$A122&amp;", "&amp;BN$9&amp;", "&amp;BN$10&amp;", "&amp;BN$11&amp;"; ","")</f>
        <v/>
      </c>
      <c r="BO128" t="str">
        <f>IF(AND($W$9=1,Courses!X122&lt;0), "Row "&amp;Courses!$A122&amp;", "&amp;BO$9&amp;", "&amp;BO$10&amp;", "&amp;BO$11&amp;"; ","")</f>
        <v/>
      </c>
      <c r="BP128" t="str">
        <f>IF(AND($W$9=1,Courses!Y122&lt;0), "Row "&amp;Courses!$A122&amp;", "&amp;BP$9&amp;", "&amp;BP$10&amp;", "&amp;BP$11&amp;"; ","")</f>
        <v/>
      </c>
      <c r="BQ128" t="str">
        <f>IF(AND($W$9=1,Courses!Z122&lt;0), "Row "&amp;Courses!$A122&amp;", "&amp;BQ$9&amp;", "&amp;BQ$10&amp;", "&amp;BQ$11&amp;"; ","")</f>
        <v/>
      </c>
      <c r="BR128" s="2120" t="str">
        <f>IF(AND($W$9=1,Courses!AA122&lt;0), "Row "&amp;Courses!$A122&amp;", "&amp;BR$9&amp;", "&amp;BR$10&amp;"; ","")</f>
        <v/>
      </c>
      <c r="BT128" s="40">
        <v>109</v>
      </c>
      <c r="BU128" s="40">
        <f>IF(AND($X$9=1,Courses!B122="",Courses!F122="",Courses!H122="",Courses!J122="",Courses!K122="",Courses!L122="",Courses!M122=0,Courses!N122=0,Courses!O122=0,Courses!P122=0,Courses!Q122=0,Courses!R122=0,Courses!S122=0,Courses!T122=0,Courses!U122=0,Courses!V122=0,Courses!W122=0,Courses!X122=0,Courses!Y122=0,Courses!Z122=0,Courses!AA122=0),0,1)</f>
        <v>0</v>
      </c>
      <c r="BV128" s="40">
        <f>IF(AND(BU128=0,SUM(BU129:$BU$219)&gt;0),1,0)</f>
        <v>0</v>
      </c>
      <c r="BW128" s="1595" t="str">
        <f>IF(BV128=1,"Row "&amp;Courses!A122&amp;"; ","")</f>
        <v/>
      </c>
      <c r="BX128" s="17"/>
      <c r="BZ128" s="1592" t="str">
        <f>IF(AND($Y$9=1,Courses!B122&lt;&gt;"",SUM(Courses!M122:AA122)=0),"Row "&amp;Courses!A122&amp;"; ","")</f>
        <v/>
      </c>
      <c r="CA128" s="17"/>
      <c r="CC128" s="1592" t="str">
        <f>IF(AND($Z$9=1,Courses!AD122=1,(LEN(Courses!AB122)&gt;200)),"Row "&amp;Courses!A122&amp;"; ","")</f>
        <v/>
      </c>
      <c r="CE128" s="131"/>
      <c r="CG128" s="1593" t="str">
        <f>IF(AND($AD$9=1,Courses!E122&lt;&gt;"",Courses!F122&lt;&gt;"",Courses!F122=0,SUM(Courses!H122,Courses!J122)=1),"Row "&amp;Courses!A122&amp;", "&amp;Courses!$F$10&amp;"; ","")</f>
        <v/>
      </c>
      <c r="CH128" t="str">
        <f>IF(AND($AD$9=1,Courses!G122&lt;&gt;"",Courses!H122&lt;&gt;"",Courses!H122=0,SUM(Courses!J122,Courses!F122)=1),"Row "&amp;Courses!A122&amp;", "&amp;Courses!$H$10&amp;"; ","")</f>
        <v/>
      </c>
      <c r="CI128" s="183" t="str">
        <f>IF(AND($AD$9=1,Courses!I122&lt;&gt;"",Courses!J122&lt;&gt;"",Courses!J122=0, SUM(Courses!H122,Courses!F122)=1),"Row "&amp;Courses!A122&amp;", "&amp;Courses!$J$10&amp;"; ","")</f>
        <v/>
      </c>
      <c r="CJ128" s="180"/>
      <c r="CK128" s="181"/>
      <c r="CL128" s="1592" t="str">
        <f>IF(AND(Courses!B122&lt;&gt;"",ISNA(VLOOKUP(Courses!C122,CourseInfo,2,FALSE))=FALSE,COUNTIF(Dummy,Courses!C122)&lt;&gt;1),VLOOKUP(Courses!C122,CourseInfo,6,FALSE),"")</f>
        <v/>
      </c>
      <c r="CM128" s="1592" t="str">
        <f>IF(AND($AE$9=1,Courses!B122&lt;&gt;"",'Courses Valid'!AG128="",COUNTIF(Dummy,Courses!C122)&lt;&gt;1),IF(Courses!K122&lt;&gt;'Courses Valid'!CL128,"Row "&amp;Courses!A122&amp;", Level on LARS is "&amp;'Courses Valid'!CL128&amp;"; ",""),"")</f>
        <v/>
      </c>
      <c r="CN128" s="131"/>
    </row>
    <row r="129" spans="3:92" x14ac:dyDescent="0.35">
      <c r="C129" s="1591">
        <f t="shared" si="3"/>
        <v>0</v>
      </c>
      <c r="D129" s="41"/>
      <c r="E129" s="41"/>
      <c r="F129" s="118"/>
      <c r="G129" s="1592" t="str">
        <f>IF(SUMPRODUCT(--(CourseAims=Courses!$C123))=1,"",IF(AND($N$9=1,Courses!$C123&lt;&gt;""),"Row "&amp;Courses!A123&amp;" (invalid); ",""))</f>
        <v/>
      </c>
      <c r="H129" s="1592" t="str">
        <f>IF(AND($O$9=1,Courses!B123="",OR(Courses!F123&lt;&gt;"",Courses!H123&lt;&gt;"",Courses!J123&lt;&gt;"",Courses!K123&lt;&gt;"",Courses!L123&lt;&gt;"",Courses!M123&lt;&gt;0,Courses!N123&lt;&gt;0,Courses!O123&lt;&gt;0,Courses!P123&lt;&gt;0,Courses!Q123&lt;&gt;0,Courses!R123&lt;&gt;0,Courses!S123&lt;&gt;0,Courses!T123&lt;&gt;0,Courses!U123&lt;&gt;0,Courses!V123&lt;&gt;0,Courses!W123&lt;&gt;0,Courses!X123&lt;&gt;0,Courses!Y123&lt;&gt;0,Courses!Z123&lt;&gt;0,Courses!AA123&lt;&gt;0)),"Row "&amp;Courses!A123&amp;" (none); ","")</f>
        <v/>
      </c>
      <c r="I129" s="17"/>
      <c r="K129" s="1592" t="str">
        <f>Courses!B123&amp;Courses!K123&amp;Courses!L123</f>
        <v/>
      </c>
      <c r="L129" s="1592" t="str">
        <f>IF(AND($P$9=1,Courses!$B123&lt;&gt;"",COUNTIF(Dummy,Courses!$C123)&lt;&gt;1),IF(SUMPRODUCT(--($K$20:$K$219=$K129))&gt;1,"Row "&amp;Courses!$A123&amp;"; ",""),"")</f>
        <v/>
      </c>
      <c r="N129" s="118"/>
      <c r="O129" s="1593" t="str">
        <f>IF(AND($Q$9=1,Courses!E123&lt;&gt;"",Courses!F123=""),"Row "&amp;Courses!A123&amp;", "&amp;Courses!$E$10&amp;"; ","")</f>
        <v/>
      </c>
      <c r="P129" t="str">
        <f>IF(AND($Q$9=1,Courses!G123&lt;&gt;"",Courses!H123=""),"Row "&amp;Courses!A123&amp;", "&amp;Courses!$G$10&amp;"; ","")</f>
        <v/>
      </c>
      <c r="Q129" s="183" t="str">
        <f>IF(AND($Q$9=1,Courses!I123&lt;&gt;"",Courses!J123=""),"Row "&amp;Courses!A123&amp;", "&amp;Courses!$I$10&amp;"; ","")</f>
        <v/>
      </c>
      <c r="S129" s="17"/>
      <c r="T129" s="118"/>
      <c r="U129" s="1594" t="str">
        <f>IF(AND($R$9=1,Courses!B123&lt;&gt;"",Courses!E123&lt;&gt;"",Courses!G123="",Courses!I123="",Courses!F123&lt;&gt;1),"Row "&amp;Courses!A123&amp;"; ","")</f>
        <v/>
      </c>
      <c r="V129" t="str">
        <f>IF(AND($R$9=1,Courses!B123&lt;&gt;"",Courses!I123="",Courses!F123&lt;&gt;"",Courses!G123&lt;&gt;"",Courses!H123&lt;&gt;""),IF(OR((Courses!F123+Courses!H123)&lt;&gt;1),"Row "&amp;Courses!A123&amp;"; ",""),"")</f>
        <v/>
      </c>
      <c r="W129" s="183" t="str">
        <f>IF(AND($R$9=1,Courses!B123&lt;&gt;"",Courses!I123&lt;&gt;"",Courses!J123&lt;&gt;"",Courses!H123&lt;&gt;"",Courses!G123&lt;&gt;"",Courses!F123&lt;&gt;""),IF(OR((Courses!F123+Courses!H123+Courses!J123)&lt;&gt;1),"Row "&amp;Courses!A123&amp;"; ",""),"")</f>
        <v/>
      </c>
      <c r="Y129" s="1592" t="str">
        <f>IF(AND($R$9=1,Courses!E123&lt;&gt;"",U129="",V129="",W129="",SUM(Courses!F123,Courses!H123,Courses!J123)&lt;&gt;1),"Row "&amp;Courses!A123&amp;"; ","")</f>
        <v/>
      </c>
      <c r="Z129" s="17"/>
      <c r="AB129" s="1593" t="str">
        <f>IF(AND($S$9=1,Courses!B123&lt;&gt;"",Courses!E123&lt;&gt;"",Courses!F123&lt;&gt;""),IF((TRUNC(Courses!F123*100)&lt;&gt;Courses!F123*100),"Row "&amp;Courses!A123&amp;", "&amp;Courses!$F$10&amp;"; ",""),"")</f>
        <v/>
      </c>
      <c r="AC129" t="str">
        <f>IF(AND($S$9=1,Courses!B123&lt;&gt;"",Courses!G123&lt;&gt;"",Courses!H123&lt;&gt;""),IF((TRUNC(Courses!H123*100)&lt;&gt;Courses!H123*100),"Row "&amp;Courses!A123&amp;", "&amp;Courses!$H$10&amp;"; ",""),"")</f>
        <v/>
      </c>
      <c r="AD129" s="183" t="str">
        <f>IF(AND($S$9=1,Courses!B123&lt;&gt;"",Courses!I123&lt;&gt;"",Courses!J123&lt;&gt;""),IF((TRUNC(Courses!J123*100)&lt;&gt;Courses!J123*100),"Row "&amp;Courses!A123&amp;", "&amp;Courses!$J$10&amp;"; ",""),"")</f>
        <v/>
      </c>
      <c r="AF129" s="118"/>
      <c r="AG129" s="1592" t="str">
        <f>IF(AND($T$9=1,G129="",Courses!B123&lt;&gt;"",Courses!K123&lt;&gt;$B$9,Courses!K123&lt;&gt;$B$10,Courses!K123&lt;&gt;$B$11,Courses!K123&lt;&gt;$B$12,Courses!K123&lt;&gt;$B$13,Courses!K123&lt;&gt;$B$14),"Row "&amp;Courses!A123&amp;"; ","")</f>
        <v/>
      </c>
      <c r="AH129" s="1592" t="str">
        <f>IF(AND($U$9=1,G129="",Courses!B123&lt;&gt;"",Courses!L123&lt;&gt;"Standard",Courses!L123&lt;&gt;"Long"),"Row "&amp;Courses!A123&amp;"; ","")</f>
        <v/>
      </c>
      <c r="AJ129" s="118"/>
      <c r="AK129" s="3">
        <v>110</v>
      </c>
      <c r="AL129" s="1593" t="str">
        <f>IF(AND($V$9=1,(TRUNC(Courses!M123)&lt;&gt;Courses!M123)), "Row "&amp;Courses!$A123&amp;", "&amp;AL$9&amp;", "&amp;AL$10&amp;", "&amp;AL$11&amp;"; ","")</f>
        <v/>
      </c>
      <c r="AM129" t="str">
        <f>IF(AND($V$9=1,(TRUNC(Courses!N123)&lt;&gt;Courses!N123)), "Row "&amp;Courses!$A123&amp;", "&amp;AM$9&amp;", "&amp;AM$10&amp;", "&amp;AM$11&amp;"; ","")</f>
        <v/>
      </c>
      <c r="AN129" t="str">
        <f>IF(AND($V$9=1,(TRUNC(Courses!O123)&lt;&gt;Courses!O123)), "Row "&amp;Courses!$A123&amp;", "&amp;AN$9&amp;", "&amp;AN$10&amp;", "&amp;AN$11&amp;"; ","")</f>
        <v/>
      </c>
      <c r="AO129" t="str">
        <f>IF(AND($V$9=1,(TRUNC(Courses!P123)&lt;&gt;Courses!P123)), "Row "&amp;Courses!$A123&amp;", "&amp;AO$9&amp;", "&amp;AO$10&amp;", "&amp;AO$11&amp;"; ","")</f>
        <v/>
      </c>
      <c r="AP129" s="2120" t="str">
        <f>IF(AND($V$9=1,(TRUNC(Courses!Q123)&lt;&gt;Courses!Q123)), "Row "&amp;Courses!$A123&amp;", "&amp;AP$9&amp;", "&amp;AP$10&amp;"; ","")</f>
        <v/>
      </c>
      <c r="AQ129" s="1593" t="str">
        <f>IF(AND($V$9=1,(TRUNC(Courses!R123)&lt;&gt;Courses!R123)), "Row "&amp;Courses!$A123&amp;", "&amp;AQ$9&amp;", "&amp;AQ$10&amp;", "&amp;AQ$11&amp;"; ","")</f>
        <v/>
      </c>
      <c r="AR129" t="str">
        <f>IF(AND($V$9=1,(TRUNC(Courses!S123)&lt;&gt;Courses!S123)), "Row "&amp;Courses!$A123&amp;", "&amp;AR$9&amp;", "&amp;AR$10&amp;", "&amp;AR$11&amp;"; ","")</f>
        <v/>
      </c>
      <c r="AS129" t="str">
        <f>IF(AND($V$9=1,(TRUNC(Courses!T123)&lt;&gt;Courses!T123)), "Row "&amp;Courses!$A123&amp;", "&amp;AS$9&amp;", "&amp;AS$10&amp;", "&amp;AS$11&amp;"; ","")</f>
        <v/>
      </c>
      <c r="AT129" t="str">
        <f>IF(AND($V$9=1,(TRUNC(Courses!U123)&lt;&gt;Courses!U123)), "Row "&amp;Courses!$A123&amp;", "&amp;AT$9&amp;", "&amp;AT$10&amp;", "&amp;AT$11&amp;"; ","")</f>
        <v/>
      </c>
      <c r="AU129" s="2120" t="str">
        <f>IF(AND($V$9=1,(TRUNC(Courses!V123)&lt;&gt;Courses!V123)), "Row "&amp;Courses!$A123&amp;", "&amp;AU$9&amp;", "&amp;AU$10&amp;"; ","")</f>
        <v/>
      </c>
      <c r="AV129" s="1593" t="str">
        <f>IF(AND($V$9=1,(TRUNC(Courses!W123)&lt;&gt;Courses!W123)), "Row "&amp;Courses!$A123&amp;", "&amp;AV$9&amp;", "&amp;AV$10&amp;", "&amp;AV$11&amp;"; ","")</f>
        <v/>
      </c>
      <c r="AW129" t="str">
        <f>IF(AND($V$9=1,(TRUNC(Courses!X123)&lt;&gt;Courses!X123)), "Row "&amp;Courses!$A123&amp;", "&amp;AW$9&amp;", "&amp;AW$10&amp;", "&amp;AW$11&amp;"; ","")</f>
        <v/>
      </c>
      <c r="AX129" t="str">
        <f>IF(AND($V$9=1,(TRUNC(Courses!Y123)&lt;&gt;Courses!Y123)), "Row "&amp;Courses!$A123&amp;", "&amp;AX$9&amp;", "&amp;AX$10&amp;", "&amp;AX$11&amp;"; ","")</f>
        <v/>
      </c>
      <c r="AY129" t="str">
        <f>IF(AND($V$9=1,(TRUNC(Courses!Z123)&lt;&gt;Courses!Z123)), "Row "&amp;Courses!$A123&amp;", "&amp;AY$9&amp;", "&amp;AY$10&amp;", "&amp;AY$11&amp;"; ","")</f>
        <v/>
      </c>
      <c r="AZ129" s="2120" t="str">
        <f>IF(AND($V$9=1,(TRUNC(Courses!AA123)&lt;&gt;Courses!AA123)), "Row "&amp;Courses!$A123&amp;", "&amp;AZ$9&amp;", "&amp;AZ$10&amp;"; ","")</f>
        <v/>
      </c>
      <c r="BB129" s="118"/>
      <c r="BC129" s="3">
        <v>110</v>
      </c>
      <c r="BD129" s="1593" t="str">
        <f>IF(AND($W$9=1,Courses!M123&lt;0), "Row "&amp;Courses!$A123&amp;", "&amp;BD$9&amp;", "&amp;BD$10&amp;", "&amp;BD$11&amp;"; ","")</f>
        <v/>
      </c>
      <c r="BE129" t="str">
        <f>IF(AND($W$9=1,Courses!N123&lt;0), "Row "&amp;Courses!$A123&amp;", "&amp;BE$9&amp;", "&amp;BE$10&amp;", "&amp;BE$11&amp;"; ","")</f>
        <v/>
      </c>
      <c r="BF129" t="str">
        <f>IF(AND($W$9=1,Courses!O123&lt;0), "Row "&amp;Courses!$A123&amp;", "&amp;BF$9&amp;", "&amp;BF$10&amp;", "&amp;BF$11&amp;"; ","")</f>
        <v/>
      </c>
      <c r="BG129" t="str">
        <f>IF(AND($W$9=1,Courses!P123&lt;0), "Row "&amp;Courses!$A123&amp;", "&amp;BG$9&amp;", "&amp;BG$10&amp;", "&amp;BG$11&amp;"; ","")</f>
        <v/>
      </c>
      <c r="BH129" s="2120" t="str">
        <f>IF(AND($W$9=1,Courses!Q123&lt;0), "Row "&amp;Courses!$A123&amp;", "&amp;BH$9&amp;", "&amp;BH$10&amp;"; ","")</f>
        <v/>
      </c>
      <c r="BI129" s="1593" t="str">
        <f>IF(AND($W$9=1,Courses!R123&lt;0), "Row "&amp;Courses!$A123&amp;", "&amp;BI$9&amp;", "&amp;BI$10&amp;", "&amp;BI$11&amp;"; ","")</f>
        <v/>
      </c>
      <c r="BJ129" t="str">
        <f>IF(AND($W$9=1,Courses!S123&lt;0), "Row "&amp;Courses!$A123&amp;", "&amp;BJ$9&amp;", "&amp;BJ$10&amp;", "&amp;BJ$11&amp;"; ","")</f>
        <v/>
      </c>
      <c r="BK129" t="str">
        <f>IF(AND($W$9=1,Courses!T123&lt;0), "Row "&amp;Courses!$A123&amp;", "&amp;BK$9&amp;", "&amp;BK$10&amp;", "&amp;BK$11&amp;"; ","")</f>
        <v/>
      </c>
      <c r="BL129" t="str">
        <f>IF(AND($W$9=1,Courses!U123&lt;0), "Row "&amp;Courses!$A123&amp;", "&amp;BL$9&amp;", "&amp;BL$10&amp;", "&amp;BL$11&amp;"; ","")</f>
        <v/>
      </c>
      <c r="BM129" s="2120" t="str">
        <f>IF(AND($W$9=1,Courses!V123&lt;0), "Row "&amp;Courses!$A123&amp;", "&amp;BM$9&amp;", "&amp;BM$10&amp;"; ","")</f>
        <v/>
      </c>
      <c r="BN129" s="1593" t="str">
        <f>IF(AND($W$9=1,Courses!W123&lt;0), "Row "&amp;Courses!$A123&amp;", "&amp;BN$9&amp;", "&amp;BN$10&amp;", "&amp;BN$11&amp;"; ","")</f>
        <v/>
      </c>
      <c r="BO129" t="str">
        <f>IF(AND($W$9=1,Courses!X123&lt;0), "Row "&amp;Courses!$A123&amp;", "&amp;BO$9&amp;", "&amp;BO$10&amp;", "&amp;BO$11&amp;"; ","")</f>
        <v/>
      </c>
      <c r="BP129" t="str">
        <f>IF(AND($W$9=1,Courses!Y123&lt;0), "Row "&amp;Courses!$A123&amp;", "&amp;BP$9&amp;", "&amp;BP$10&amp;", "&amp;BP$11&amp;"; ","")</f>
        <v/>
      </c>
      <c r="BQ129" t="str">
        <f>IF(AND($W$9=1,Courses!Z123&lt;0), "Row "&amp;Courses!$A123&amp;", "&amp;BQ$9&amp;", "&amp;BQ$10&amp;", "&amp;BQ$11&amp;"; ","")</f>
        <v/>
      </c>
      <c r="BR129" s="2120" t="str">
        <f>IF(AND($W$9=1,Courses!AA123&lt;0), "Row "&amp;Courses!$A123&amp;", "&amp;BR$9&amp;", "&amp;BR$10&amp;"; ","")</f>
        <v/>
      </c>
      <c r="BT129" s="40">
        <v>110</v>
      </c>
      <c r="BU129" s="40">
        <f>IF(AND($X$9=1,Courses!B123="",Courses!F123="",Courses!H123="",Courses!J123="",Courses!K123="",Courses!L123="",Courses!M123=0,Courses!N123=0,Courses!O123=0,Courses!P123=0,Courses!Q123=0,Courses!R123=0,Courses!S123=0,Courses!T123=0,Courses!U123=0,Courses!V123=0,Courses!W123=0,Courses!X123=0,Courses!Y123=0,Courses!Z123=0,Courses!AA123=0),0,1)</f>
        <v>0</v>
      </c>
      <c r="BV129" s="40">
        <f>IF(AND(BU129=0,SUM(BU130:$BU$219)&gt;0),1,0)</f>
        <v>0</v>
      </c>
      <c r="BW129" s="1595" t="str">
        <f>IF(BV129=1,"Row "&amp;Courses!A123&amp;"; ","")</f>
        <v/>
      </c>
      <c r="BX129" s="17"/>
      <c r="BZ129" s="1592" t="str">
        <f>IF(AND($Y$9=1,Courses!B123&lt;&gt;"",SUM(Courses!M123:AA123)=0),"Row "&amp;Courses!A123&amp;"; ","")</f>
        <v/>
      </c>
      <c r="CA129" s="17"/>
      <c r="CC129" s="1592" t="str">
        <f>IF(AND($Z$9=1,Courses!AD123=1,(LEN(Courses!AB123)&gt;200)),"Row "&amp;Courses!A123&amp;"; ","")</f>
        <v/>
      </c>
      <c r="CE129" s="131"/>
      <c r="CG129" s="1593" t="str">
        <f>IF(AND($AD$9=1,Courses!E123&lt;&gt;"",Courses!F123&lt;&gt;"",Courses!F123=0,SUM(Courses!H123,Courses!J123)=1),"Row "&amp;Courses!A123&amp;", "&amp;Courses!$F$10&amp;"; ","")</f>
        <v/>
      </c>
      <c r="CH129" t="str">
        <f>IF(AND($AD$9=1,Courses!G123&lt;&gt;"",Courses!H123&lt;&gt;"",Courses!H123=0,SUM(Courses!J123,Courses!F123)=1),"Row "&amp;Courses!A123&amp;", "&amp;Courses!$H$10&amp;"; ","")</f>
        <v/>
      </c>
      <c r="CI129" s="183" t="str">
        <f>IF(AND($AD$9=1,Courses!I123&lt;&gt;"",Courses!J123&lt;&gt;"",Courses!J123=0, SUM(Courses!H123,Courses!F123)=1),"Row "&amp;Courses!A123&amp;", "&amp;Courses!$J$10&amp;"; ","")</f>
        <v/>
      </c>
      <c r="CJ129" s="180"/>
      <c r="CK129" s="181"/>
      <c r="CL129" s="1592" t="str">
        <f>IF(AND(Courses!B123&lt;&gt;"",ISNA(VLOOKUP(Courses!C123,CourseInfo,2,FALSE))=FALSE,COUNTIF(Dummy,Courses!C123)&lt;&gt;1),VLOOKUP(Courses!C123,CourseInfo,6,FALSE),"")</f>
        <v/>
      </c>
      <c r="CM129" s="1592" t="str">
        <f>IF(AND($AE$9=1,Courses!B123&lt;&gt;"",'Courses Valid'!AG129="",COUNTIF(Dummy,Courses!C123)&lt;&gt;1),IF(Courses!K123&lt;&gt;'Courses Valid'!CL129,"Row "&amp;Courses!A123&amp;", Level on LARS is "&amp;'Courses Valid'!CL129&amp;"; ",""),"")</f>
        <v/>
      </c>
      <c r="CN129" s="131"/>
    </row>
    <row r="130" spans="3:92" x14ac:dyDescent="0.35">
      <c r="C130" s="1591">
        <f t="shared" si="3"/>
        <v>0</v>
      </c>
      <c r="D130" s="41"/>
      <c r="E130" s="41"/>
      <c r="F130" s="118"/>
      <c r="G130" s="1592" t="str">
        <f>IF(SUMPRODUCT(--(CourseAims=Courses!$C124))=1,"",IF(AND($N$9=1,Courses!$C124&lt;&gt;""),"Row "&amp;Courses!A124&amp;" (invalid); ",""))</f>
        <v/>
      </c>
      <c r="H130" s="1592" t="str">
        <f>IF(AND($O$9=1,Courses!B124="",OR(Courses!F124&lt;&gt;"",Courses!H124&lt;&gt;"",Courses!J124&lt;&gt;"",Courses!K124&lt;&gt;"",Courses!L124&lt;&gt;"",Courses!M124&lt;&gt;0,Courses!N124&lt;&gt;0,Courses!O124&lt;&gt;0,Courses!P124&lt;&gt;0,Courses!Q124&lt;&gt;0,Courses!R124&lt;&gt;0,Courses!S124&lt;&gt;0,Courses!T124&lt;&gt;0,Courses!U124&lt;&gt;0,Courses!V124&lt;&gt;0,Courses!W124&lt;&gt;0,Courses!X124&lt;&gt;0,Courses!Y124&lt;&gt;0,Courses!Z124&lt;&gt;0,Courses!AA124&lt;&gt;0)),"Row "&amp;Courses!A124&amp;" (none); ","")</f>
        <v/>
      </c>
      <c r="I130" s="17"/>
      <c r="K130" s="1592" t="str">
        <f>Courses!B124&amp;Courses!K124&amp;Courses!L124</f>
        <v/>
      </c>
      <c r="L130" s="1592" t="str">
        <f>IF(AND($P$9=1,Courses!$B124&lt;&gt;"",COUNTIF(Dummy,Courses!$C124)&lt;&gt;1),IF(SUMPRODUCT(--($K$20:$K$219=$K130))&gt;1,"Row "&amp;Courses!$A124&amp;"; ",""),"")</f>
        <v/>
      </c>
      <c r="N130" s="118"/>
      <c r="O130" s="1593" t="str">
        <f>IF(AND($Q$9=1,Courses!E124&lt;&gt;"",Courses!F124=""),"Row "&amp;Courses!A124&amp;", "&amp;Courses!$E$10&amp;"; ","")</f>
        <v/>
      </c>
      <c r="P130" t="str">
        <f>IF(AND($Q$9=1,Courses!G124&lt;&gt;"",Courses!H124=""),"Row "&amp;Courses!A124&amp;", "&amp;Courses!$G$10&amp;"; ","")</f>
        <v/>
      </c>
      <c r="Q130" s="183" t="str">
        <f>IF(AND($Q$9=1,Courses!I124&lt;&gt;"",Courses!J124=""),"Row "&amp;Courses!A124&amp;", "&amp;Courses!$I$10&amp;"; ","")</f>
        <v/>
      </c>
      <c r="S130" s="17"/>
      <c r="T130" s="118"/>
      <c r="U130" s="1594" t="str">
        <f>IF(AND($R$9=1,Courses!B124&lt;&gt;"",Courses!E124&lt;&gt;"",Courses!G124="",Courses!I124="",Courses!F124&lt;&gt;1),"Row "&amp;Courses!A124&amp;"; ","")</f>
        <v/>
      </c>
      <c r="V130" t="str">
        <f>IF(AND($R$9=1,Courses!B124&lt;&gt;"",Courses!I124="",Courses!F124&lt;&gt;"",Courses!G124&lt;&gt;"",Courses!H124&lt;&gt;""),IF(OR((Courses!F124+Courses!H124)&lt;&gt;1),"Row "&amp;Courses!A124&amp;"; ",""),"")</f>
        <v/>
      </c>
      <c r="W130" s="183" t="str">
        <f>IF(AND($R$9=1,Courses!B124&lt;&gt;"",Courses!I124&lt;&gt;"",Courses!J124&lt;&gt;"",Courses!H124&lt;&gt;"",Courses!G124&lt;&gt;"",Courses!F124&lt;&gt;""),IF(OR((Courses!F124+Courses!H124+Courses!J124)&lt;&gt;1),"Row "&amp;Courses!A124&amp;"; ",""),"")</f>
        <v/>
      </c>
      <c r="Y130" s="1592" t="str">
        <f>IF(AND($R$9=1,Courses!E124&lt;&gt;"",U130="",V130="",W130="",SUM(Courses!F124,Courses!H124,Courses!J124)&lt;&gt;1),"Row "&amp;Courses!A124&amp;"; ","")</f>
        <v/>
      </c>
      <c r="Z130" s="17"/>
      <c r="AB130" s="1593" t="str">
        <f>IF(AND($S$9=1,Courses!B124&lt;&gt;"",Courses!E124&lt;&gt;"",Courses!F124&lt;&gt;""),IF((TRUNC(Courses!F124*100)&lt;&gt;Courses!F124*100),"Row "&amp;Courses!A124&amp;", "&amp;Courses!$F$10&amp;"; ",""),"")</f>
        <v/>
      </c>
      <c r="AC130" t="str">
        <f>IF(AND($S$9=1,Courses!B124&lt;&gt;"",Courses!G124&lt;&gt;"",Courses!H124&lt;&gt;""),IF((TRUNC(Courses!H124*100)&lt;&gt;Courses!H124*100),"Row "&amp;Courses!A124&amp;", "&amp;Courses!$H$10&amp;"; ",""),"")</f>
        <v/>
      </c>
      <c r="AD130" s="183" t="str">
        <f>IF(AND($S$9=1,Courses!B124&lt;&gt;"",Courses!I124&lt;&gt;"",Courses!J124&lt;&gt;""),IF((TRUNC(Courses!J124*100)&lt;&gt;Courses!J124*100),"Row "&amp;Courses!A124&amp;", "&amp;Courses!$J$10&amp;"; ",""),"")</f>
        <v/>
      </c>
      <c r="AF130" s="118"/>
      <c r="AG130" s="1592" t="str">
        <f>IF(AND($T$9=1,G130="",Courses!B124&lt;&gt;"",Courses!K124&lt;&gt;$B$9,Courses!K124&lt;&gt;$B$10,Courses!K124&lt;&gt;$B$11,Courses!K124&lt;&gt;$B$12,Courses!K124&lt;&gt;$B$13,Courses!K124&lt;&gt;$B$14),"Row "&amp;Courses!A124&amp;"; ","")</f>
        <v/>
      </c>
      <c r="AH130" s="1592" t="str">
        <f>IF(AND($U$9=1,G130="",Courses!B124&lt;&gt;"",Courses!L124&lt;&gt;"Standard",Courses!L124&lt;&gt;"Long"),"Row "&amp;Courses!A124&amp;"; ","")</f>
        <v/>
      </c>
      <c r="AJ130" s="118"/>
      <c r="AK130" s="3">
        <v>111</v>
      </c>
      <c r="AL130" s="1593" t="str">
        <f>IF(AND($V$9=1,(TRUNC(Courses!M124)&lt;&gt;Courses!M124)), "Row "&amp;Courses!$A124&amp;", "&amp;AL$9&amp;", "&amp;AL$10&amp;", "&amp;AL$11&amp;"; ","")</f>
        <v/>
      </c>
      <c r="AM130" t="str">
        <f>IF(AND($V$9=1,(TRUNC(Courses!N124)&lt;&gt;Courses!N124)), "Row "&amp;Courses!$A124&amp;", "&amp;AM$9&amp;", "&amp;AM$10&amp;", "&amp;AM$11&amp;"; ","")</f>
        <v/>
      </c>
      <c r="AN130" t="str">
        <f>IF(AND($V$9=1,(TRUNC(Courses!O124)&lt;&gt;Courses!O124)), "Row "&amp;Courses!$A124&amp;", "&amp;AN$9&amp;", "&amp;AN$10&amp;", "&amp;AN$11&amp;"; ","")</f>
        <v/>
      </c>
      <c r="AO130" t="str">
        <f>IF(AND($V$9=1,(TRUNC(Courses!P124)&lt;&gt;Courses!P124)), "Row "&amp;Courses!$A124&amp;", "&amp;AO$9&amp;", "&amp;AO$10&amp;", "&amp;AO$11&amp;"; ","")</f>
        <v/>
      </c>
      <c r="AP130" s="2120" t="str">
        <f>IF(AND($V$9=1,(TRUNC(Courses!Q124)&lt;&gt;Courses!Q124)), "Row "&amp;Courses!$A124&amp;", "&amp;AP$9&amp;", "&amp;AP$10&amp;"; ","")</f>
        <v/>
      </c>
      <c r="AQ130" s="1593" t="str">
        <f>IF(AND($V$9=1,(TRUNC(Courses!R124)&lt;&gt;Courses!R124)), "Row "&amp;Courses!$A124&amp;", "&amp;AQ$9&amp;", "&amp;AQ$10&amp;", "&amp;AQ$11&amp;"; ","")</f>
        <v/>
      </c>
      <c r="AR130" t="str">
        <f>IF(AND($V$9=1,(TRUNC(Courses!S124)&lt;&gt;Courses!S124)), "Row "&amp;Courses!$A124&amp;", "&amp;AR$9&amp;", "&amp;AR$10&amp;", "&amp;AR$11&amp;"; ","")</f>
        <v/>
      </c>
      <c r="AS130" t="str">
        <f>IF(AND($V$9=1,(TRUNC(Courses!T124)&lt;&gt;Courses!T124)), "Row "&amp;Courses!$A124&amp;", "&amp;AS$9&amp;", "&amp;AS$10&amp;", "&amp;AS$11&amp;"; ","")</f>
        <v/>
      </c>
      <c r="AT130" t="str">
        <f>IF(AND($V$9=1,(TRUNC(Courses!U124)&lt;&gt;Courses!U124)), "Row "&amp;Courses!$A124&amp;", "&amp;AT$9&amp;", "&amp;AT$10&amp;", "&amp;AT$11&amp;"; ","")</f>
        <v/>
      </c>
      <c r="AU130" s="2120" t="str">
        <f>IF(AND($V$9=1,(TRUNC(Courses!V124)&lt;&gt;Courses!V124)), "Row "&amp;Courses!$A124&amp;", "&amp;AU$9&amp;", "&amp;AU$10&amp;"; ","")</f>
        <v/>
      </c>
      <c r="AV130" s="1593" t="str">
        <f>IF(AND($V$9=1,(TRUNC(Courses!W124)&lt;&gt;Courses!W124)), "Row "&amp;Courses!$A124&amp;", "&amp;AV$9&amp;", "&amp;AV$10&amp;", "&amp;AV$11&amp;"; ","")</f>
        <v/>
      </c>
      <c r="AW130" t="str">
        <f>IF(AND($V$9=1,(TRUNC(Courses!X124)&lt;&gt;Courses!X124)), "Row "&amp;Courses!$A124&amp;", "&amp;AW$9&amp;", "&amp;AW$10&amp;", "&amp;AW$11&amp;"; ","")</f>
        <v/>
      </c>
      <c r="AX130" t="str">
        <f>IF(AND($V$9=1,(TRUNC(Courses!Y124)&lt;&gt;Courses!Y124)), "Row "&amp;Courses!$A124&amp;", "&amp;AX$9&amp;", "&amp;AX$10&amp;", "&amp;AX$11&amp;"; ","")</f>
        <v/>
      </c>
      <c r="AY130" t="str">
        <f>IF(AND($V$9=1,(TRUNC(Courses!Z124)&lt;&gt;Courses!Z124)), "Row "&amp;Courses!$A124&amp;", "&amp;AY$9&amp;", "&amp;AY$10&amp;", "&amp;AY$11&amp;"; ","")</f>
        <v/>
      </c>
      <c r="AZ130" s="2120" t="str">
        <f>IF(AND($V$9=1,(TRUNC(Courses!AA124)&lt;&gt;Courses!AA124)), "Row "&amp;Courses!$A124&amp;", "&amp;AZ$9&amp;", "&amp;AZ$10&amp;"; ","")</f>
        <v/>
      </c>
      <c r="BB130" s="118"/>
      <c r="BC130" s="3">
        <v>111</v>
      </c>
      <c r="BD130" s="1593" t="str">
        <f>IF(AND($W$9=1,Courses!M124&lt;0), "Row "&amp;Courses!$A124&amp;", "&amp;BD$9&amp;", "&amp;BD$10&amp;", "&amp;BD$11&amp;"; ","")</f>
        <v/>
      </c>
      <c r="BE130" t="str">
        <f>IF(AND($W$9=1,Courses!N124&lt;0), "Row "&amp;Courses!$A124&amp;", "&amp;BE$9&amp;", "&amp;BE$10&amp;", "&amp;BE$11&amp;"; ","")</f>
        <v/>
      </c>
      <c r="BF130" t="str">
        <f>IF(AND($W$9=1,Courses!O124&lt;0), "Row "&amp;Courses!$A124&amp;", "&amp;BF$9&amp;", "&amp;BF$10&amp;", "&amp;BF$11&amp;"; ","")</f>
        <v/>
      </c>
      <c r="BG130" t="str">
        <f>IF(AND($W$9=1,Courses!P124&lt;0), "Row "&amp;Courses!$A124&amp;", "&amp;BG$9&amp;", "&amp;BG$10&amp;", "&amp;BG$11&amp;"; ","")</f>
        <v/>
      </c>
      <c r="BH130" s="2120" t="str">
        <f>IF(AND($W$9=1,Courses!Q124&lt;0), "Row "&amp;Courses!$A124&amp;", "&amp;BH$9&amp;", "&amp;BH$10&amp;"; ","")</f>
        <v/>
      </c>
      <c r="BI130" s="1593" t="str">
        <f>IF(AND($W$9=1,Courses!R124&lt;0), "Row "&amp;Courses!$A124&amp;", "&amp;BI$9&amp;", "&amp;BI$10&amp;", "&amp;BI$11&amp;"; ","")</f>
        <v/>
      </c>
      <c r="BJ130" t="str">
        <f>IF(AND($W$9=1,Courses!S124&lt;0), "Row "&amp;Courses!$A124&amp;", "&amp;BJ$9&amp;", "&amp;BJ$10&amp;", "&amp;BJ$11&amp;"; ","")</f>
        <v/>
      </c>
      <c r="BK130" t="str">
        <f>IF(AND($W$9=1,Courses!T124&lt;0), "Row "&amp;Courses!$A124&amp;", "&amp;BK$9&amp;", "&amp;BK$10&amp;", "&amp;BK$11&amp;"; ","")</f>
        <v/>
      </c>
      <c r="BL130" t="str">
        <f>IF(AND($W$9=1,Courses!U124&lt;0), "Row "&amp;Courses!$A124&amp;", "&amp;BL$9&amp;", "&amp;BL$10&amp;", "&amp;BL$11&amp;"; ","")</f>
        <v/>
      </c>
      <c r="BM130" s="2120" t="str">
        <f>IF(AND($W$9=1,Courses!V124&lt;0), "Row "&amp;Courses!$A124&amp;", "&amp;BM$9&amp;", "&amp;BM$10&amp;"; ","")</f>
        <v/>
      </c>
      <c r="BN130" s="1593" t="str">
        <f>IF(AND($W$9=1,Courses!W124&lt;0), "Row "&amp;Courses!$A124&amp;", "&amp;BN$9&amp;", "&amp;BN$10&amp;", "&amp;BN$11&amp;"; ","")</f>
        <v/>
      </c>
      <c r="BO130" t="str">
        <f>IF(AND($W$9=1,Courses!X124&lt;0), "Row "&amp;Courses!$A124&amp;", "&amp;BO$9&amp;", "&amp;BO$10&amp;", "&amp;BO$11&amp;"; ","")</f>
        <v/>
      </c>
      <c r="BP130" t="str">
        <f>IF(AND($W$9=1,Courses!Y124&lt;0), "Row "&amp;Courses!$A124&amp;", "&amp;BP$9&amp;", "&amp;BP$10&amp;", "&amp;BP$11&amp;"; ","")</f>
        <v/>
      </c>
      <c r="BQ130" t="str">
        <f>IF(AND($W$9=1,Courses!Z124&lt;0), "Row "&amp;Courses!$A124&amp;", "&amp;BQ$9&amp;", "&amp;BQ$10&amp;", "&amp;BQ$11&amp;"; ","")</f>
        <v/>
      </c>
      <c r="BR130" s="2120" t="str">
        <f>IF(AND($W$9=1,Courses!AA124&lt;0), "Row "&amp;Courses!$A124&amp;", "&amp;BR$9&amp;", "&amp;BR$10&amp;"; ","")</f>
        <v/>
      </c>
      <c r="BT130" s="40">
        <v>111</v>
      </c>
      <c r="BU130" s="40">
        <f>IF(AND($X$9=1,Courses!B124="",Courses!F124="",Courses!H124="",Courses!J124="",Courses!K124="",Courses!L124="",Courses!M124=0,Courses!N124=0,Courses!O124=0,Courses!P124=0,Courses!Q124=0,Courses!R124=0,Courses!S124=0,Courses!T124=0,Courses!U124=0,Courses!V124=0,Courses!W124=0,Courses!X124=0,Courses!Y124=0,Courses!Z124=0,Courses!AA124=0),0,1)</f>
        <v>0</v>
      </c>
      <c r="BV130" s="40">
        <f>IF(AND(BU130=0,SUM(BU131:$BU$219)&gt;0),1,0)</f>
        <v>0</v>
      </c>
      <c r="BW130" s="1595" t="str">
        <f>IF(BV130=1,"Row "&amp;Courses!A124&amp;"; ","")</f>
        <v/>
      </c>
      <c r="BX130" s="17"/>
      <c r="BZ130" s="1592" t="str">
        <f>IF(AND($Y$9=1,Courses!B124&lt;&gt;"",SUM(Courses!M124:AA124)=0),"Row "&amp;Courses!A124&amp;"; ","")</f>
        <v/>
      </c>
      <c r="CA130" s="17"/>
      <c r="CC130" s="1592" t="str">
        <f>IF(AND($Z$9=1,Courses!AD124=1,(LEN(Courses!AB124)&gt;200)),"Row "&amp;Courses!A124&amp;"; ","")</f>
        <v/>
      </c>
      <c r="CE130" s="131"/>
      <c r="CG130" s="1593" t="str">
        <f>IF(AND($AD$9=1,Courses!E124&lt;&gt;"",Courses!F124&lt;&gt;"",Courses!F124=0,SUM(Courses!H124,Courses!J124)=1),"Row "&amp;Courses!A124&amp;", "&amp;Courses!$F$10&amp;"; ","")</f>
        <v/>
      </c>
      <c r="CH130" t="str">
        <f>IF(AND($AD$9=1,Courses!G124&lt;&gt;"",Courses!H124&lt;&gt;"",Courses!H124=0,SUM(Courses!J124,Courses!F124)=1),"Row "&amp;Courses!A124&amp;", "&amp;Courses!$H$10&amp;"; ","")</f>
        <v/>
      </c>
      <c r="CI130" s="183" t="str">
        <f>IF(AND($AD$9=1,Courses!I124&lt;&gt;"",Courses!J124&lt;&gt;"",Courses!J124=0, SUM(Courses!H124,Courses!F124)=1),"Row "&amp;Courses!A124&amp;", "&amp;Courses!$J$10&amp;"; ","")</f>
        <v/>
      </c>
      <c r="CJ130" s="180"/>
      <c r="CK130" s="181"/>
      <c r="CL130" s="1592" t="str">
        <f>IF(AND(Courses!B124&lt;&gt;"",ISNA(VLOOKUP(Courses!C124,CourseInfo,2,FALSE))=FALSE,COUNTIF(Dummy,Courses!C124)&lt;&gt;1),VLOOKUP(Courses!C124,CourseInfo,6,FALSE),"")</f>
        <v/>
      </c>
      <c r="CM130" s="1592" t="str">
        <f>IF(AND($AE$9=1,Courses!B124&lt;&gt;"",'Courses Valid'!AG130="",COUNTIF(Dummy,Courses!C124)&lt;&gt;1),IF(Courses!K124&lt;&gt;'Courses Valid'!CL130,"Row "&amp;Courses!A124&amp;", Level on LARS is "&amp;'Courses Valid'!CL130&amp;"; ",""),"")</f>
        <v/>
      </c>
      <c r="CN130" s="131"/>
    </row>
    <row r="131" spans="3:92" x14ac:dyDescent="0.35">
      <c r="C131" s="1591">
        <f t="shared" si="3"/>
        <v>0</v>
      </c>
      <c r="D131" s="41"/>
      <c r="E131" s="41"/>
      <c r="F131" s="118"/>
      <c r="G131" s="1592" t="str">
        <f>IF(SUMPRODUCT(--(CourseAims=Courses!$C125))=1,"",IF(AND($N$9=1,Courses!$C125&lt;&gt;""),"Row "&amp;Courses!A125&amp;" (invalid); ",""))</f>
        <v/>
      </c>
      <c r="H131" s="1592" t="str">
        <f>IF(AND($O$9=1,Courses!B125="",OR(Courses!F125&lt;&gt;"",Courses!H125&lt;&gt;"",Courses!J125&lt;&gt;"",Courses!K125&lt;&gt;"",Courses!L125&lt;&gt;"",Courses!M125&lt;&gt;0,Courses!N125&lt;&gt;0,Courses!O125&lt;&gt;0,Courses!P125&lt;&gt;0,Courses!Q125&lt;&gt;0,Courses!R125&lt;&gt;0,Courses!S125&lt;&gt;0,Courses!T125&lt;&gt;0,Courses!U125&lt;&gt;0,Courses!V125&lt;&gt;0,Courses!W125&lt;&gt;0,Courses!X125&lt;&gt;0,Courses!Y125&lt;&gt;0,Courses!Z125&lt;&gt;0,Courses!AA125&lt;&gt;0)),"Row "&amp;Courses!A125&amp;" (none); ","")</f>
        <v/>
      </c>
      <c r="I131" s="17"/>
      <c r="K131" s="1592" t="str">
        <f>Courses!B125&amp;Courses!K125&amp;Courses!L125</f>
        <v/>
      </c>
      <c r="L131" s="1592" t="str">
        <f>IF(AND($P$9=1,Courses!$B125&lt;&gt;"",COUNTIF(Dummy,Courses!$C125)&lt;&gt;1),IF(SUMPRODUCT(--($K$20:$K$219=$K131))&gt;1,"Row "&amp;Courses!$A125&amp;"; ",""),"")</f>
        <v/>
      </c>
      <c r="N131" s="118"/>
      <c r="O131" s="1593" t="str">
        <f>IF(AND($Q$9=1,Courses!E125&lt;&gt;"",Courses!F125=""),"Row "&amp;Courses!A125&amp;", "&amp;Courses!$E$10&amp;"; ","")</f>
        <v/>
      </c>
      <c r="P131" t="str">
        <f>IF(AND($Q$9=1,Courses!G125&lt;&gt;"",Courses!H125=""),"Row "&amp;Courses!A125&amp;", "&amp;Courses!$G$10&amp;"; ","")</f>
        <v/>
      </c>
      <c r="Q131" s="183" t="str">
        <f>IF(AND($Q$9=1,Courses!I125&lt;&gt;"",Courses!J125=""),"Row "&amp;Courses!A125&amp;", "&amp;Courses!$I$10&amp;"; ","")</f>
        <v/>
      </c>
      <c r="S131" s="17"/>
      <c r="T131" s="118"/>
      <c r="U131" s="1594" t="str">
        <f>IF(AND($R$9=1,Courses!B125&lt;&gt;"",Courses!E125&lt;&gt;"",Courses!G125="",Courses!I125="",Courses!F125&lt;&gt;1),"Row "&amp;Courses!A125&amp;"; ","")</f>
        <v/>
      </c>
      <c r="V131" t="str">
        <f>IF(AND($R$9=1,Courses!B125&lt;&gt;"",Courses!I125="",Courses!F125&lt;&gt;"",Courses!G125&lt;&gt;"",Courses!H125&lt;&gt;""),IF(OR((Courses!F125+Courses!H125)&lt;&gt;1),"Row "&amp;Courses!A125&amp;"; ",""),"")</f>
        <v/>
      </c>
      <c r="W131" s="183" t="str">
        <f>IF(AND($R$9=1,Courses!B125&lt;&gt;"",Courses!I125&lt;&gt;"",Courses!J125&lt;&gt;"",Courses!H125&lt;&gt;"",Courses!G125&lt;&gt;"",Courses!F125&lt;&gt;""),IF(OR((Courses!F125+Courses!H125+Courses!J125)&lt;&gt;1),"Row "&amp;Courses!A125&amp;"; ",""),"")</f>
        <v/>
      </c>
      <c r="Y131" s="1592" t="str">
        <f>IF(AND($R$9=1,Courses!E125&lt;&gt;"",U131="",V131="",W131="",SUM(Courses!F125,Courses!H125,Courses!J125)&lt;&gt;1),"Row "&amp;Courses!A125&amp;"; ","")</f>
        <v/>
      </c>
      <c r="Z131" s="17"/>
      <c r="AB131" s="1593" t="str">
        <f>IF(AND($S$9=1,Courses!B125&lt;&gt;"",Courses!E125&lt;&gt;"",Courses!F125&lt;&gt;""),IF((TRUNC(Courses!F125*100)&lt;&gt;Courses!F125*100),"Row "&amp;Courses!A125&amp;", "&amp;Courses!$F$10&amp;"; ",""),"")</f>
        <v/>
      </c>
      <c r="AC131" t="str">
        <f>IF(AND($S$9=1,Courses!B125&lt;&gt;"",Courses!G125&lt;&gt;"",Courses!H125&lt;&gt;""),IF((TRUNC(Courses!H125*100)&lt;&gt;Courses!H125*100),"Row "&amp;Courses!A125&amp;", "&amp;Courses!$H$10&amp;"; ",""),"")</f>
        <v/>
      </c>
      <c r="AD131" s="183" t="str">
        <f>IF(AND($S$9=1,Courses!B125&lt;&gt;"",Courses!I125&lt;&gt;"",Courses!J125&lt;&gt;""),IF((TRUNC(Courses!J125*100)&lt;&gt;Courses!J125*100),"Row "&amp;Courses!A125&amp;", "&amp;Courses!$J$10&amp;"; ",""),"")</f>
        <v/>
      </c>
      <c r="AF131" s="118"/>
      <c r="AG131" s="1592" t="str">
        <f>IF(AND($T$9=1,G131="",Courses!B125&lt;&gt;"",Courses!K125&lt;&gt;$B$9,Courses!K125&lt;&gt;$B$10,Courses!K125&lt;&gt;$B$11,Courses!K125&lt;&gt;$B$12,Courses!K125&lt;&gt;$B$13,Courses!K125&lt;&gt;$B$14),"Row "&amp;Courses!A125&amp;"; ","")</f>
        <v/>
      </c>
      <c r="AH131" s="1592" t="str">
        <f>IF(AND($U$9=1,G131="",Courses!B125&lt;&gt;"",Courses!L125&lt;&gt;"Standard",Courses!L125&lt;&gt;"Long"),"Row "&amp;Courses!A125&amp;"; ","")</f>
        <v/>
      </c>
      <c r="AJ131" s="118"/>
      <c r="AK131" s="3">
        <v>112</v>
      </c>
      <c r="AL131" s="1593" t="str">
        <f>IF(AND($V$9=1,(TRUNC(Courses!M125)&lt;&gt;Courses!M125)), "Row "&amp;Courses!$A125&amp;", "&amp;AL$9&amp;", "&amp;AL$10&amp;", "&amp;AL$11&amp;"; ","")</f>
        <v/>
      </c>
      <c r="AM131" t="str">
        <f>IF(AND($V$9=1,(TRUNC(Courses!N125)&lt;&gt;Courses!N125)), "Row "&amp;Courses!$A125&amp;", "&amp;AM$9&amp;", "&amp;AM$10&amp;", "&amp;AM$11&amp;"; ","")</f>
        <v/>
      </c>
      <c r="AN131" t="str">
        <f>IF(AND($V$9=1,(TRUNC(Courses!O125)&lt;&gt;Courses!O125)), "Row "&amp;Courses!$A125&amp;", "&amp;AN$9&amp;", "&amp;AN$10&amp;", "&amp;AN$11&amp;"; ","")</f>
        <v/>
      </c>
      <c r="AO131" t="str">
        <f>IF(AND($V$9=1,(TRUNC(Courses!P125)&lt;&gt;Courses!P125)), "Row "&amp;Courses!$A125&amp;", "&amp;AO$9&amp;", "&amp;AO$10&amp;", "&amp;AO$11&amp;"; ","")</f>
        <v/>
      </c>
      <c r="AP131" s="2120" t="str">
        <f>IF(AND($V$9=1,(TRUNC(Courses!Q125)&lt;&gt;Courses!Q125)), "Row "&amp;Courses!$A125&amp;", "&amp;AP$9&amp;", "&amp;AP$10&amp;"; ","")</f>
        <v/>
      </c>
      <c r="AQ131" s="1593" t="str">
        <f>IF(AND($V$9=1,(TRUNC(Courses!R125)&lt;&gt;Courses!R125)), "Row "&amp;Courses!$A125&amp;", "&amp;AQ$9&amp;", "&amp;AQ$10&amp;", "&amp;AQ$11&amp;"; ","")</f>
        <v/>
      </c>
      <c r="AR131" t="str">
        <f>IF(AND($V$9=1,(TRUNC(Courses!S125)&lt;&gt;Courses!S125)), "Row "&amp;Courses!$A125&amp;", "&amp;AR$9&amp;", "&amp;AR$10&amp;", "&amp;AR$11&amp;"; ","")</f>
        <v/>
      </c>
      <c r="AS131" t="str">
        <f>IF(AND($V$9=1,(TRUNC(Courses!T125)&lt;&gt;Courses!T125)), "Row "&amp;Courses!$A125&amp;", "&amp;AS$9&amp;", "&amp;AS$10&amp;", "&amp;AS$11&amp;"; ","")</f>
        <v/>
      </c>
      <c r="AT131" t="str">
        <f>IF(AND($V$9=1,(TRUNC(Courses!U125)&lt;&gt;Courses!U125)), "Row "&amp;Courses!$A125&amp;", "&amp;AT$9&amp;", "&amp;AT$10&amp;", "&amp;AT$11&amp;"; ","")</f>
        <v/>
      </c>
      <c r="AU131" s="2120" t="str">
        <f>IF(AND($V$9=1,(TRUNC(Courses!V125)&lt;&gt;Courses!V125)), "Row "&amp;Courses!$A125&amp;", "&amp;AU$9&amp;", "&amp;AU$10&amp;"; ","")</f>
        <v/>
      </c>
      <c r="AV131" s="1593" t="str">
        <f>IF(AND($V$9=1,(TRUNC(Courses!W125)&lt;&gt;Courses!W125)), "Row "&amp;Courses!$A125&amp;", "&amp;AV$9&amp;", "&amp;AV$10&amp;", "&amp;AV$11&amp;"; ","")</f>
        <v/>
      </c>
      <c r="AW131" t="str">
        <f>IF(AND($V$9=1,(TRUNC(Courses!X125)&lt;&gt;Courses!X125)), "Row "&amp;Courses!$A125&amp;", "&amp;AW$9&amp;", "&amp;AW$10&amp;", "&amp;AW$11&amp;"; ","")</f>
        <v/>
      </c>
      <c r="AX131" t="str">
        <f>IF(AND($V$9=1,(TRUNC(Courses!Y125)&lt;&gt;Courses!Y125)), "Row "&amp;Courses!$A125&amp;", "&amp;AX$9&amp;", "&amp;AX$10&amp;", "&amp;AX$11&amp;"; ","")</f>
        <v/>
      </c>
      <c r="AY131" t="str">
        <f>IF(AND($V$9=1,(TRUNC(Courses!Z125)&lt;&gt;Courses!Z125)), "Row "&amp;Courses!$A125&amp;", "&amp;AY$9&amp;", "&amp;AY$10&amp;", "&amp;AY$11&amp;"; ","")</f>
        <v/>
      </c>
      <c r="AZ131" s="2120" t="str">
        <f>IF(AND($V$9=1,(TRUNC(Courses!AA125)&lt;&gt;Courses!AA125)), "Row "&amp;Courses!$A125&amp;", "&amp;AZ$9&amp;", "&amp;AZ$10&amp;"; ","")</f>
        <v/>
      </c>
      <c r="BB131" s="118"/>
      <c r="BC131" s="3">
        <v>112</v>
      </c>
      <c r="BD131" s="1593" t="str">
        <f>IF(AND($W$9=1,Courses!M125&lt;0), "Row "&amp;Courses!$A125&amp;", "&amp;BD$9&amp;", "&amp;BD$10&amp;", "&amp;BD$11&amp;"; ","")</f>
        <v/>
      </c>
      <c r="BE131" t="str">
        <f>IF(AND($W$9=1,Courses!N125&lt;0), "Row "&amp;Courses!$A125&amp;", "&amp;BE$9&amp;", "&amp;BE$10&amp;", "&amp;BE$11&amp;"; ","")</f>
        <v/>
      </c>
      <c r="BF131" t="str">
        <f>IF(AND($W$9=1,Courses!O125&lt;0), "Row "&amp;Courses!$A125&amp;", "&amp;BF$9&amp;", "&amp;BF$10&amp;", "&amp;BF$11&amp;"; ","")</f>
        <v/>
      </c>
      <c r="BG131" t="str">
        <f>IF(AND($W$9=1,Courses!P125&lt;0), "Row "&amp;Courses!$A125&amp;", "&amp;BG$9&amp;", "&amp;BG$10&amp;", "&amp;BG$11&amp;"; ","")</f>
        <v/>
      </c>
      <c r="BH131" s="2120" t="str">
        <f>IF(AND($W$9=1,Courses!Q125&lt;0), "Row "&amp;Courses!$A125&amp;", "&amp;BH$9&amp;", "&amp;BH$10&amp;"; ","")</f>
        <v/>
      </c>
      <c r="BI131" s="1593" t="str">
        <f>IF(AND($W$9=1,Courses!R125&lt;0), "Row "&amp;Courses!$A125&amp;", "&amp;BI$9&amp;", "&amp;BI$10&amp;", "&amp;BI$11&amp;"; ","")</f>
        <v/>
      </c>
      <c r="BJ131" t="str">
        <f>IF(AND($W$9=1,Courses!S125&lt;0), "Row "&amp;Courses!$A125&amp;", "&amp;BJ$9&amp;", "&amp;BJ$10&amp;", "&amp;BJ$11&amp;"; ","")</f>
        <v/>
      </c>
      <c r="BK131" t="str">
        <f>IF(AND($W$9=1,Courses!T125&lt;0), "Row "&amp;Courses!$A125&amp;", "&amp;BK$9&amp;", "&amp;BK$10&amp;", "&amp;BK$11&amp;"; ","")</f>
        <v/>
      </c>
      <c r="BL131" t="str">
        <f>IF(AND($W$9=1,Courses!U125&lt;0), "Row "&amp;Courses!$A125&amp;", "&amp;BL$9&amp;", "&amp;BL$10&amp;", "&amp;BL$11&amp;"; ","")</f>
        <v/>
      </c>
      <c r="BM131" s="2120" t="str">
        <f>IF(AND($W$9=1,Courses!V125&lt;0), "Row "&amp;Courses!$A125&amp;", "&amp;BM$9&amp;", "&amp;BM$10&amp;"; ","")</f>
        <v/>
      </c>
      <c r="BN131" s="1593" t="str">
        <f>IF(AND($W$9=1,Courses!W125&lt;0), "Row "&amp;Courses!$A125&amp;", "&amp;BN$9&amp;", "&amp;BN$10&amp;", "&amp;BN$11&amp;"; ","")</f>
        <v/>
      </c>
      <c r="BO131" t="str">
        <f>IF(AND($W$9=1,Courses!X125&lt;0), "Row "&amp;Courses!$A125&amp;", "&amp;BO$9&amp;", "&amp;BO$10&amp;", "&amp;BO$11&amp;"; ","")</f>
        <v/>
      </c>
      <c r="BP131" t="str">
        <f>IF(AND($W$9=1,Courses!Y125&lt;0), "Row "&amp;Courses!$A125&amp;", "&amp;BP$9&amp;", "&amp;BP$10&amp;", "&amp;BP$11&amp;"; ","")</f>
        <v/>
      </c>
      <c r="BQ131" t="str">
        <f>IF(AND($W$9=1,Courses!Z125&lt;0), "Row "&amp;Courses!$A125&amp;", "&amp;BQ$9&amp;", "&amp;BQ$10&amp;", "&amp;BQ$11&amp;"; ","")</f>
        <v/>
      </c>
      <c r="BR131" s="2120" t="str">
        <f>IF(AND($W$9=1,Courses!AA125&lt;0), "Row "&amp;Courses!$A125&amp;", "&amp;BR$9&amp;", "&amp;BR$10&amp;"; ","")</f>
        <v/>
      </c>
      <c r="BT131" s="40">
        <v>112</v>
      </c>
      <c r="BU131" s="40">
        <f>IF(AND($X$9=1,Courses!B125="",Courses!F125="",Courses!H125="",Courses!J125="",Courses!K125="",Courses!L125="",Courses!M125=0,Courses!N125=0,Courses!O125=0,Courses!P125=0,Courses!Q125=0,Courses!R125=0,Courses!S125=0,Courses!T125=0,Courses!U125=0,Courses!V125=0,Courses!W125=0,Courses!X125=0,Courses!Y125=0,Courses!Z125=0,Courses!AA125=0),0,1)</f>
        <v>0</v>
      </c>
      <c r="BV131" s="40">
        <f>IF(AND(BU131=0,SUM(BU132:$BU$219)&gt;0),1,0)</f>
        <v>0</v>
      </c>
      <c r="BW131" s="1595" t="str">
        <f>IF(BV131=1,"Row "&amp;Courses!A125&amp;"; ","")</f>
        <v/>
      </c>
      <c r="BX131" s="17"/>
      <c r="BZ131" s="1592" t="str">
        <f>IF(AND($Y$9=1,Courses!B125&lt;&gt;"",SUM(Courses!M125:AA125)=0),"Row "&amp;Courses!A125&amp;"; ","")</f>
        <v/>
      </c>
      <c r="CA131" s="17"/>
      <c r="CC131" s="1592" t="str">
        <f>IF(AND($Z$9=1,Courses!AD125=1,(LEN(Courses!AB125)&gt;200)),"Row "&amp;Courses!A125&amp;"; ","")</f>
        <v/>
      </c>
      <c r="CE131" s="131"/>
      <c r="CG131" s="1593" t="str">
        <f>IF(AND($AD$9=1,Courses!E125&lt;&gt;"",Courses!F125&lt;&gt;"",Courses!F125=0,SUM(Courses!H125,Courses!J125)=1),"Row "&amp;Courses!A125&amp;", "&amp;Courses!$F$10&amp;"; ","")</f>
        <v/>
      </c>
      <c r="CH131" t="str">
        <f>IF(AND($AD$9=1,Courses!G125&lt;&gt;"",Courses!H125&lt;&gt;"",Courses!H125=0,SUM(Courses!J125,Courses!F125)=1),"Row "&amp;Courses!A125&amp;", "&amp;Courses!$H$10&amp;"; ","")</f>
        <v/>
      </c>
      <c r="CI131" s="183" t="str">
        <f>IF(AND($AD$9=1,Courses!I125&lt;&gt;"",Courses!J125&lt;&gt;"",Courses!J125=0, SUM(Courses!H125,Courses!F125)=1),"Row "&amp;Courses!A125&amp;", "&amp;Courses!$J$10&amp;"; ","")</f>
        <v/>
      </c>
      <c r="CJ131" s="180"/>
      <c r="CK131" s="181"/>
      <c r="CL131" s="1592" t="str">
        <f>IF(AND(Courses!B125&lt;&gt;"",ISNA(VLOOKUP(Courses!C125,CourseInfo,2,FALSE))=FALSE,COUNTIF(Dummy,Courses!C125)&lt;&gt;1),VLOOKUP(Courses!C125,CourseInfo,6,FALSE),"")</f>
        <v/>
      </c>
      <c r="CM131" s="1592" t="str">
        <f>IF(AND($AE$9=1,Courses!B125&lt;&gt;"",'Courses Valid'!AG131="",COUNTIF(Dummy,Courses!C125)&lt;&gt;1),IF(Courses!K125&lt;&gt;'Courses Valid'!CL131,"Row "&amp;Courses!A125&amp;", Level on LARS is "&amp;'Courses Valid'!CL131&amp;"; ",""),"")</f>
        <v/>
      </c>
      <c r="CN131" s="131"/>
    </row>
    <row r="132" spans="3:92" x14ac:dyDescent="0.35">
      <c r="C132" s="1591">
        <f t="shared" si="3"/>
        <v>0</v>
      </c>
      <c r="D132" s="41"/>
      <c r="E132" s="41"/>
      <c r="F132" s="118"/>
      <c r="G132" s="1592" t="str">
        <f>IF(SUMPRODUCT(--(CourseAims=Courses!$C126))=1,"",IF(AND($N$9=1,Courses!$C126&lt;&gt;""),"Row "&amp;Courses!A126&amp;" (invalid); ",""))</f>
        <v/>
      </c>
      <c r="H132" s="1592" t="str">
        <f>IF(AND($O$9=1,Courses!B126="",OR(Courses!F126&lt;&gt;"",Courses!H126&lt;&gt;"",Courses!J126&lt;&gt;"",Courses!K126&lt;&gt;"",Courses!L126&lt;&gt;"",Courses!M126&lt;&gt;0,Courses!N126&lt;&gt;0,Courses!O126&lt;&gt;0,Courses!P126&lt;&gt;0,Courses!Q126&lt;&gt;0,Courses!R126&lt;&gt;0,Courses!S126&lt;&gt;0,Courses!T126&lt;&gt;0,Courses!U126&lt;&gt;0,Courses!V126&lt;&gt;0,Courses!W126&lt;&gt;0,Courses!X126&lt;&gt;0,Courses!Y126&lt;&gt;0,Courses!Z126&lt;&gt;0,Courses!AA126&lt;&gt;0)),"Row "&amp;Courses!A126&amp;" (none); ","")</f>
        <v/>
      </c>
      <c r="I132" s="17"/>
      <c r="K132" s="1592" t="str">
        <f>Courses!B126&amp;Courses!K126&amp;Courses!L126</f>
        <v/>
      </c>
      <c r="L132" s="1592" t="str">
        <f>IF(AND($P$9=1,Courses!$B126&lt;&gt;"",COUNTIF(Dummy,Courses!$C126)&lt;&gt;1),IF(SUMPRODUCT(--($K$20:$K$219=$K132))&gt;1,"Row "&amp;Courses!$A126&amp;"; ",""),"")</f>
        <v/>
      </c>
      <c r="N132" s="118"/>
      <c r="O132" s="1593" t="str">
        <f>IF(AND($Q$9=1,Courses!E126&lt;&gt;"",Courses!F126=""),"Row "&amp;Courses!A126&amp;", "&amp;Courses!$E$10&amp;"; ","")</f>
        <v/>
      </c>
      <c r="P132" t="str">
        <f>IF(AND($Q$9=1,Courses!G126&lt;&gt;"",Courses!H126=""),"Row "&amp;Courses!A126&amp;", "&amp;Courses!$G$10&amp;"; ","")</f>
        <v/>
      </c>
      <c r="Q132" s="183" t="str">
        <f>IF(AND($Q$9=1,Courses!I126&lt;&gt;"",Courses!J126=""),"Row "&amp;Courses!A126&amp;", "&amp;Courses!$I$10&amp;"; ","")</f>
        <v/>
      </c>
      <c r="S132" s="17"/>
      <c r="T132" s="118"/>
      <c r="U132" s="1594" t="str">
        <f>IF(AND($R$9=1,Courses!B126&lt;&gt;"",Courses!E126&lt;&gt;"",Courses!G126="",Courses!I126="",Courses!F126&lt;&gt;1),"Row "&amp;Courses!A126&amp;"; ","")</f>
        <v/>
      </c>
      <c r="V132" t="str">
        <f>IF(AND($R$9=1,Courses!B126&lt;&gt;"",Courses!I126="",Courses!F126&lt;&gt;"",Courses!G126&lt;&gt;"",Courses!H126&lt;&gt;""),IF(OR((Courses!F126+Courses!H126)&lt;&gt;1),"Row "&amp;Courses!A126&amp;"; ",""),"")</f>
        <v/>
      </c>
      <c r="W132" s="183" t="str">
        <f>IF(AND($R$9=1,Courses!B126&lt;&gt;"",Courses!I126&lt;&gt;"",Courses!J126&lt;&gt;"",Courses!H126&lt;&gt;"",Courses!G126&lt;&gt;"",Courses!F126&lt;&gt;""),IF(OR((Courses!F126+Courses!H126+Courses!J126)&lt;&gt;1),"Row "&amp;Courses!A126&amp;"; ",""),"")</f>
        <v/>
      </c>
      <c r="Y132" s="1592" t="str">
        <f>IF(AND($R$9=1,Courses!E126&lt;&gt;"",U132="",V132="",W132="",SUM(Courses!F126,Courses!H126,Courses!J126)&lt;&gt;1),"Row "&amp;Courses!A126&amp;"; ","")</f>
        <v/>
      </c>
      <c r="Z132" s="17"/>
      <c r="AB132" s="1593" t="str">
        <f>IF(AND($S$9=1,Courses!B126&lt;&gt;"",Courses!E126&lt;&gt;"",Courses!F126&lt;&gt;""),IF((TRUNC(Courses!F126*100)&lt;&gt;Courses!F126*100),"Row "&amp;Courses!A126&amp;", "&amp;Courses!$F$10&amp;"; ",""),"")</f>
        <v/>
      </c>
      <c r="AC132" t="str">
        <f>IF(AND($S$9=1,Courses!B126&lt;&gt;"",Courses!G126&lt;&gt;"",Courses!H126&lt;&gt;""),IF((TRUNC(Courses!H126*100)&lt;&gt;Courses!H126*100),"Row "&amp;Courses!A126&amp;", "&amp;Courses!$H$10&amp;"; ",""),"")</f>
        <v/>
      </c>
      <c r="AD132" s="183" t="str">
        <f>IF(AND($S$9=1,Courses!B126&lt;&gt;"",Courses!I126&lt;&gt;"",Courses!J126&lt;&gt;""),IF((TRUNC(Courses!J126*100)&lt;&gt;Courses!J126*100),"Row "&amp;Courses!A126&amp;", "&amp;Courses!$J$10&amp;"; ",""),"")</f>
        <v/>
      </c>
      <c r="AF132" s="118"/>
      <c r="AG132" s="1592" t="str">
        <f>IF(AND($T$9=1,G132="",Courses!B126&lt;&gt;"",Courses!K126&lt;&gt;$B$9,Courses!K126&lt;&gt;$B$10,Courses!K126&lt;&gt;$B$11,Courses!K126&lt;&gt;$B$12,Courses!K126&lt;&gt;$B$13,Courses!K126&lt;&gt;$B$14),"Row "&amp;Courses!A126&amp;"; ","")</f>
        <v/>
      </c>
      <c r="AH132" s="1592" t="str">
        <f>IF(AND($U$9=1,G132="",Courses!B126&lt;&gt;"",Courses!L126&lt;&gt;"Standard",Courses!L126&lt;&gt;"Long"),"Row "&amp;Courses!A126&amp;"; ","")</f>
        <v/>
      </c>
      <c r="AJ132" s="118"/>
      <c r="AK132" s="3">
        <v>113</v>
      </c>
      <c r="AL132" s="1593" t="str">
        <f>IF(AND($V$9=1,(TRUNC(Courses!M126)&lt;&gt;Courses!M126)), "Row "&amp;Courses!$A126&amp;", "&amp;AL$9&amp;", "&amp;AL$10&amp;", "&amp;AL$11&amp;"; ","")</f>
        <v/>
      </c>
      <c r="AM132" t="str">
        <f>IF(AND($V$9=1,(TRUNC(Courses!N126)&lt;&gt;Courses!N126)), "Row "&amp;Courses!$A126&amp;", "&amp;AM$9&amp;", "&amp;AM$10&amp;", "&amp;AM$11&amp;"; ","")</f>
        <v/>
      </c>
      <c r="AN132" t="str">
        <f>IF(AND($V$9=1,(TRUNC(Courses!O126)&lt;&gt;Courses!O126)), "Row "&amp;Courses!$A126&amp;", "&amp;AN$9&amp;", "&amp;AN$10&amp;", "&amp;AN$11&amp;"; ","")</f>
        <v/>
      </c>
      <c r="AO132" t="str">
        <f>IF(AND($V$9=1,(TRUNC(Courses!P126)&lt;&gt;Courses!P126)), "Row "&amp;Courses!$A126&amp;", "&amp;AO$9&amp;", "&amp;AO$10&amp;", "&amp;AO$11&amp;"; ","")</f>
        <v/>
      </c>
      <c r="AP132" s="2120" t="str">
        <f>IF(AND($V$9=1,(TRUNC(Courses!Q126)&lt;&gt;Courses!Q126)), "Row "&amp;Courses!$A126&amp;", "&amp;AP$9&amp;", "&amp;AP$10&amp;"; ","")</f>
        <v/>
      </c>
      <c r="AQ132" s="1593" t="str">
        <f>IF(AND($V$9=1,(TRUNC(Courses!R126)&lt;&gt;Courses!R126)), "Row "&amp;Courses!$A126&amp;", "&amp;AQ$9&amp;", "&amp;AQ$10&amp;", "&amp;AQ$11&amp;"; ","")</f>
        <v/>
      </c>
      <c r="AR132" t="str">
        <f>IF(AND($V$9=1,(TRUNC(Courses!S126)&lt;&gt;Courses!S126)), "Row "&amp;Courses!$A126&amp;", "&amp;AR$9&amp;", "&amp;AR$10&amp;", "&amp;AR$11&amp;"; ","")</f>
        <v/>
      </c>
      <c r="AS132" t="str">
        <f>IF(AND($V$9=1,(TRUNC(Courses!T126)&lt;&gt;Courses!T126)), "Row "&amp;Courses!$A126&amp;", "&amp;AS$9&amp;", "&amp;AS$10&amp;", "&amp;AS$11&amp;"; ","")</f>
        <v/>
      </c>
      <c r="AT132" t="str">
        <f>IF(AND($V$9=1,(TRUNC(Courses!U126)&lt;&gt;Courses!U126)), "Row "&amp;Courses!$A126&amp;", "&amp;AT$9&amp;", "&amp;AT$10&amp;", "&amp;AT$11&amp;"; ","")</f>
        <v/>
      </c>
      <c r="AU132" s="2120" t="str">
        <f>IF(AND($V$9=1,(TRUNC(Courses!V126)&lt;&gt;Courses!V126)), "Row "&amp;Courses!$A126&amp;", "&amp;AU$9&amp;", "&amp;AU$10&amp;"; ","")</f>
        <v/>
      </c>
      <c r="AV132" s="1593" t="str">
        <f>IF(AND($V$9=1,(TRUNC(Courses!W126)&lt;&gt;Courses!W126)), "Row "&amp;Courses!$A126&amp;", "&amp;AV$9&amp;", "&amp;AV$10&amp;", "&amp;AV$11&amp;"; ","")</f>
        <v/>
      </c>
      <c r="AW132" t="str">
        <f>IF(AND($V$9=1,(TRUNC(Courses!X126)&lt;&gt;Courses!X126)), "Row "&amp;Courses!$A126&amp;", "&amp;AW$9&amp;", "&amp;AW$10&amp;", "&amp;AW$11&amp;"; ","")</f>
        <v/>
      </c>
      <c r="AX132" t="str">
        <f>IF(AND($V$9=1,(TRUNC(Courses!Y126)&lt;&gt;Courses!Y126)), "Row "&amp;Courses!$A126&amp;", "&amp;AX$9&amp;", "&amp;AX$10&amp;", "&amp;AX$11&amp;"; ","")</f>
        <v/>
      </c>
      <c r="AY132" t="str">
        <f>IF(AND($V$9=1,(TRUNC(Courses!Z126)&lt;&gt;Courses!Z126)), "Row "&amp;Courses!$A126&amp;", "&amp;AY$9&amp;", "&amp;AY$10&amp;", "&amp;AY$11&amp;"; ","")</f>
        <v/>
      </c>
      <c r="AZ132" s="2120" t="str">
        <f>IF(AND($V$9=1,(TRUNC(Courses!AA126)&lt;&gt;Courses!AA126)), "Row "&amp;Courses!$A126&amp;", "&amp;AZ$9&amp;", "&amp;AZ$10&amp;"; ","")</f>
        <v/>
      </c>
      <c r="BB132" s="118"/>
      <c r="BC132" s="3">
        <v>113</v>
      </c>
      <c r="BD132" s="1593" t="str">
        <f>IF(AND($W$9=1,Courses!M126&lt;0), "Row "&amp;Courses!$A126&amp;", "&amp;BD$9&amp;", "&amp;BD$10&amp;", "&amp;BD$11&amp;"; ","")</f>
        <v/>
      </c>
      <c r="BE132" t="str">
        <f>IF(AND($W$9=1,Courses!N126&lt;0), "Row "&amp;Courses!$A126&amp;", "&amp;BE$9&amp;", "&amp;BE$10&amp;", "&amp;BE$11&amp;"; ","")</f>
        <v/>
      </c>
      <c r="BF132" t="str">
        <f>IF(AND($W$9=1,Courses!O126&lt;0), "Row "&amp;Courses!$A126&amp;", "&amp;BF$9&amp;", "&amp;BF$10&amp;", "&amp;BF$11&amp;"; ","")</f>
        <v/>
      </c>
      <c r="BG132" t="str">
        <f>IF(AND($W$9=1,Courses!P126&lt;0), "Row "&amp;Courses!$A126&amp;", "&amp;BG$9&amp;", "&amp;BG$10&amp;", "&amp;BG$11&amp;"; ","")</f>
        <v/>
      </c>
      <c r="BH132" s="2120" t="str">
        <f>IF(AND($W$9=1,Courses!Q126&lt;0), "Row "&amp;Courses!$A126&amp;", "&amp;BH$9&amp;", "&amp;BH$10&amp;"; ","")</f>
        <v/>
      </c>
      <c r="BI132" s="1593" t="str">
        <f>IF(AND($W$9=1,Courses!R126&lt;0), "Row "&amp;Courses!$A126&amp;", "&amp;BI$9&amp;", "&amp;BI$10&amp;", "&amp;BI$11&amp;"; ","")</f>
        <v/>
      </c>
      <c r="BJ132" t="str">
        <f>IF(AND($W$9=1,Courses!S126&lt;0), "Row "&amp;Courses!$A126&amp;", "&amp;BJ$9&amp;", "&amp;BJ$10&amp;", "&amp;BJ$11&amp;"; ","")</f>
        <v/>
      </c>
      <c r="BK132" t="str">
        <f>IF(AND($W$9=1,Courses!T126&lt;0), "Row "&amp;Courses!$A126&amp;", "&amp;BK$9&amp;", "&amp;BK$10&amp;", "&amp;BK$11&amp;"; ","")</f>
        <v/>
      </c>
      <c r="BL132" t="str">
        <f>IF(AND($W$9=1,Courses!U126&lt;0), "Row "&amp;Courses!$A126&amp;", "&amp;BL$9&amp;", "&amp;BL$10&amp;", "&amp;BL$11&amp;"; ","")</f>
        <v/>
      </c>
      <c r="BM132" s="2120" t="str">
        <f>IF(AND($W$9=1,Courses!V126&lt;0), "Row "&amp;Courses!$A126&amp;", "&amp;BM$9&amp;", "&amp;BM$10&amp;"; ","")</f>
        <v/>
      </c>
      <c r="BN132" s="1593" t="str">
        <f>IF(AND($W$9=1,Courses!W126&lt;0), "Row "&amp;Courses!$A126&amp;", "&amp;BN$9&amp;", "&amp;BN$10&amp;", "&amp;BN$11&amp;"; ","")</f>
        <v/>
      </c>
      <c r="BO132" t="str">
        <f>IF(AND($W$9=1,Courses!X126&lt;0), "Row "&amp;Courses!$A126&amp;", "&amp;BO$9&amp;", "&amp;BO$10&amp;", "&amp;BO$11&amp;"; ","")</f>
        <v/>
      </c>
      <c r="BP132" t="str">
        <f>IF(AND($W$9=1,Courses!Y126&lt;0), "Row "&amp;Courses!$A126&amp;", "&amp;BP$9&amp;", "&amp;BP$10&amp;", "&amp;BP$11&amp;"; ","")</f>
        <v/>
      </c>
      <c r="BQ132" t="str">
        <f>IF(AND($W$9=1,Courses!Z126&lt;0), "Row "&amp;Courses!$A126&amp;", "&amp;BQ$9&amp;", "&amp;BQ$10&amp;", "&amp;BQ$11&amp;"; ","")</f>
        <v/>
      </c>
      <c r="BR132" s="2120" t="str">
        <f>IF(AND($W$9=1,Courses!AA126&lt;0), "Row "&amp;Courses!$A126&amp;", "&amp;BR$9&amp;", "&amp;BR$10&amp;"; ","")</f>
        <v/>
      </c>
      <c r="BT132" s="40">
        <v>113</v>
      </c>
      <c r="BU132" s="40">
        <f>IF(AND($X$9=1,Courses!B126="",Courses!F126="",Courses!H126="",Courses!J126="",Courses!K126="",Courses!L126="",Courses!M126=0,Courses!N126=0,Courses!O126=0,Courses!P126=0,Courses!Q126=0,Courses!R126=0,Courses!S126=0,Courses!T126=0,Courses!U126=0,Courses!V126=0,Courses!W126=0,Courses!X126=0,Courses!Y126=0,Courses!Z126=0,Courses!AA126=0),0,1)</f>
        <v>0</v>
      </c>
      <c r="BV132" s="40">
        <f>IF(AND(BU132=0,SUM(BU133:$BU$219)&gt;0),1,0)</f>
        <v>0</v>
      </c>
      <c r="BW132" s="1595" t="str">
        <f>IF(BV132=1,"Row "&amp;Courses!A126&amp;"; ","")</f>
        <v/>
      </c>
      <c r="BX132" s="17"/>
      <c r="BZ132" s="1592" t="str">
        <f>IF(AND($Y$9=1,Courses!B126&lt;&gt;"",SUM(Courses!M126:AA126)=0),"Row "&amp;Courses!A126&amp;"; ","")</f>
        <v/>
      </c>
      <c r="CA132" s="17"/>
      <c r="CC132" s="1592" t="str">
        <f>IF(AND($Z$9=1,Courses!AD126=1,(LEN(Courses!AB126)&gt;200)),"Row "&amp;Courses!A126&amp;"; ","")</f>
        <v/>
      </c>
      <c r="CE132" s="131"/>
      <c r="CG132" s="1593" t="str">
        <f>IF(AND($AD$9=1,Courses!E126&lt;&gt;"",Courses!F126&lt;&gt;"",Courses!F126=0,SUM(Courses!H126,Courses!J126)=1),"Row "&amp;Courses!A126&amp;", "&amp;Courses!$F$10&amp;"; ","")</f>
        <v/>
      </c>
      <c r="CH132" t="str">
        <f>IF(AND($AD$9=1,Courses!G126&lt;&gt;"",Courses!H126&lt;&gt;"",Courses!H126=0,SUM(Courses!J126,Courses!F126)=1),"Row "&amp;Courses!A126&amp;", "&amp;Courses!$H$10&amp;"; ","")</f>
        <v/>
      </c>
      <c r="CI132" s="183" t="str">
        <f>IF(AND($AD$9=1,Courses!I126&lt;&gt;"",Courses!J126&lt;&gt;"",Courses!J126=0, SUM(Courses!H126,Courses!F126)=1),"Row "&amp;Courses!A126&amp;", "&amp;Courses!$J$10&amp;"; ","")</f>
        <v/>
      </c>
      <c r="CJ132" s="180"/>
      <c r="CK132" s="181"/>
      <c r="CL132" s="1592" t="str">
        <f>IF(AND(Courses!B126&lt;&gt;"",ISNA(VLOOKUP(Courses!C126,CourseInfo,2,FALSE))=FALSE,COUNTIF(Dummy,Courses!C126)&lt;&gt;1),VLOOKUP(Courses!C126,CourseInfo,6,FALSE),"")</f>
        <v/>
      </c>
      <c r="CM132" s="1592" t="str">
        <f>IF(AND($AE$9=1,Courses!B126&lt;&gt;"",'Courses Valid'!AG132="",COUNTIF(Dummy,Courses!C126)&lt;&gt;1),IF(Courses!K126&lt;&gt;'Courses Valid'!CL132,"Row "&amp;Courses!A126&amp;", Level on LARS is "&amp;'Courses Valid'!CL132&amp;"; ",""),"")</f>
        <v/>
      </c>
      <c r="CN132" s="131"/>
    </row>
    <row r="133" spans="3:92" x14ac:dyDescent="0.35">
      <c r="C133" s="1591">
        <f t="shared" si="3"/>
        <v>0</v>
      </c>
      <c r="D133" s="41"/>
      <c r="E133" s="41"/>
      <c r="F133" s="118"/>
      <c r="G133" s="1592" t="str">
        <f>IF(SUMPRODUCT(--(CourseAims=Courses!$C127))=1,"",IF(AND($N$9=1,Courses!$C127&lt;&gt;""),"Row "&amp;Courses!A127&amp;" (invalid); ",""))</f>
        <v/>
      </c>
      <c r="H133" s="1592" t="str">
        <f>IF(AND($O$9=1,Courses!B127="",OR(Courses!F127&lt;&gt;"",Courses!H127&lt;&gt;"",Courses!J127&lt;&gt;"",Courses!K127&lt;&gt;"",Courses!L127&lt;&gt;"",Courses!M127&lt;&gt;0,Courses!N127&lt;&gt;0,Courses!O127&lt;&gt;0,Courses!P127&lt;&gt;0,Courses!Q127&lt;&gt;0,Courses!R127&lt;&gt;0,Courses!S127&lt;&gt;0,Courses!T127&lt;&gt;0,Courses!U127&lt;&gt;0,Courses!V127&lt;&gt;0,Courses!W127&lt;&gt;0,Courses!X127&lt;&gt;0,Courses!Y127&lt;&gt;0,Courses!Z127&lt;&gt;0,Courses!AA127&lt;&gt;0)),"Row "&amp;Courses!A127&amp;" (none); ","")</f>
        <v/>
      </c>
      <c r="I133" s="17"/>
      <c r="K133" s="1592" t="str">
        <f>Courses!B127&amp;Courses!K127&amp;Courses!L127</f>
        <v/>
      </c>
      <c r="L133" s="1592" t="str">
        <f>IF(AND($P$9=1,Courses!$B127&lt;&gt;"",COUNTIF(Dummy,Courses!$C127)&lt;&gt;1),IF(SUMPRODUCT(--($K$20:$K$219=$K133))&gt;1,"Row "&amp;Courses!$A127&amp;"; ",""),"")</f>
        <v/>
      </c>
      <c r="N133" s="118"/>
      <c r="O133" s="1593" t="str">
        <f>IF(AND($Q$9=1,Courses!E127&lt;&gt;"",Courses!F127=""),"Row "&amp;Courses!A127&amp;", "&amp;Courses!$E$10&amp;"; ","")</f>
        <v/>
      </c>
      <c r="P133" t="str">
        <f>IF(AND($Q$9=1,Courses!G127&lt;&gt;"",Courses!H127=""),"Row "&amp;Courses!A127&amp;", "&amp;Courses!$G$10&amp;"; ","")</f>
        <v/>
      </c>
      <c r="Q133" s="183" t="str">
        <f>IF(AND($Q$9=1,Courses!I127&lt;&gt;"",Courses!J127=""),"Row "&amp;Courses!A127&amp;", "&amp;Courses!$I$10&amp;"; ","")</f>
        <v/>
      </c>
      <c r="S133" s="17"/>
      <c r="T133" s="118"/>
      <c r="U133" s="1594" t="str">
        <f>IF(AND($R$9=1,Courses!B127&lt;&gt;"",Courses!E127&lt;&gt;"",Courses!G127="",Courses!I127="",Courses!F127&lt;&gt;1),"Row "&amp;Courses!A127&amp;"; ","")</f>
        <v/>
      </c>
      <c r="V133" t="str">
        <f>IF(AND($R$9=1,Courses!B127&lt;&gt;"",Courses!I127="",Courses!F127&lt;&gt;"",Courses!G127&lt;&gt;"",Courses!H127&lt;&gt;""),IF(OR((Courses!F127+Courses!H127)&lt;&gt;1),"Row "&amp;Courses!A127&amp;"; ",""),"")</f>
        <v/>
      </c>
      <c r="W133" s="183" t="str">
        <f>IF(AND($R$9=1,Courses!B127&lt;&gt;"",Courses!I127&lt;&gt;"",Courses!J127&lt;&gt;"",Courses!H127&lt;&gt;"",Courses!G127&lt;&gt;"",Courses!F127&lt;&gt;""),IF(OR((Courses!F127+Courses!H127+Courses!J127)&lt;&gt;1),"Row "&amp;Courses!A127&amp;"; ",""),"")</f>
        <v/>
      </c>
      <c r="Y133" s="1592" t="str">
        <f>IF(AND($R$9=1,Courses!E127&lt;&gt;"",U133="",V133="",W133="",SUM(Courses!F127,Courses!H127,Courses!J127)&lt;&gt;1),"Row "&amp;Courses!A127&amp;"; ","")</f>
        <v/>
      </c>
      <c r="Z133" s="17"/>
      <c r="AB133" s="1593" t="str">
        <f>IF(AND($S$9=1,Courses!B127&lt;&gt;"",Courses!E127&lt;&gt;"",Courses!F127&lt;&gt;""),IF((TRUNC(Courses!F127*100)&lt;&gt;Courses!F127*100),"Row "&amp;Courses!A127&amp;", "&amp;Courses!$F$10&amp;"; ",""),"")</f>
        <v/>
      </c>
      <c r="AC133" t="str">
        <f>IF(AND($S$9=1,Courses!B127&lt;&gt;"",Courses!G127&lt;&gt;"",Courses!H127&lt;&gt;""),IF((TRUNC(Courses!H127*100)&lt;&gt;Courses!H127*100),"Row "&amp;Courses!A127&amp;", "&amp;Courses!$H$10&amp;"; ",""),"")</f>
        <v/>
      </c>
      <c r="AD133" s="183" t="str">
        <f>IF(AND($S$9=1,Courses!B127&lt;&gt;"",Courses!I127&lt;&gt;"",Courses!J127&lt;&gt;""),IF((TRUNC(Courses!J127*100)&lt;&gt;Courses!J127*100),"Row "&amp;Courses!A127&amp;", "&amp;Courses!$J$10&amp;"; ",""),"")</f>
        <v/>
      </c>
      <c r="AF133" s="118"/>
      <c r="AG133" s="1592" t="str">
        <f>IF(AND($T$9=1,G133="",Courses!B127&lt;&gt;"",Courses!K127&lt;&gt;$B$9,Courses!K127&lt;&gt;$B$10,Courses!K127&lt;&gt;$B$11,Courses!K127&lt;&gt;$B$12,Courses!K127&lt;&gt;$B$13,Courses!K127&lt;&gt;$B$14),"Row "&amp;Courses!A127&amp;"; ","")</f>
        <v/>
      </c>
      <c r="AH133" s="1592" t="str">
        <f>IF(AND($U$9=1,G133="",Courses!B127&lt;&gt;"",Courses!L127&lt;&gt;"Standard",Courses!L127&lt;&gt;"Long"),"Row "&amp;Courses!A127&amp;"; ","")</f>
        <v/>
      </c>
      <c r="AJ133" s="118"/>
      <c r="AK133" s="3">
        <v>114</v>
      </c>
      <c r="AL133" s="1593" t="str">
        <f>IF(AND($V$9=1,(TRUNC(Courses!M127)&lt;&gt;Courses!M127)), "Row "&amp;Courses!$A127&amp;", "&amp;AL$9&amp;", "&amp;AL$10&amp;", "&amp;AL$11&amp;"; ","")</f>
        <v/>
      </c>
      <c r="AM133" t="str">
        <f>IF(AND($V$9=1,(TRUNC(Courses!N127)&lt;&gt;Courses!N127)), "Row "&amp;Courses!$A127&amp;", "&amp;AM$9&amp;", "&amp;AM$10&amp;", "&amp;AM$11&amp;"; ","")</f>
        <v/>
      </c>
      <c r="AN133" t="str">
        <f>IF(AND($V$9=1,(TRUNC(Courses!O127)&lt;&gt;Courses!O127)), "Row "&amp;Courses!$A127&amp;", "&amp;AN$9&amp;", "&amp;AN$10&amp;", "&amp;AN$11&amp;"; ","")</f>
        <v/>
      </c>
      <c r="AO133" t="str">
        <f>IF(AND($V$9=1,(TRUNC(Courses!P127)&lt;&gt;Courses!P127)), "Row "&amp;Courses!$A127&amp;", "&amp;AO$9&amp;", "&amp;AO$10&amp;", "&amp;AO$11&amp;"; ","")</f>
        <v/>
      </c>
      <c r="AP133" s="2120" t="str">
        <f>IF(AND($V$9=1,(TRUNC(Courses!Q127)&lt;&gt;Courses!Q127)), "Row "&amp;Courses!$A127&amp;", "&amp;AP$9&amp;", "&amp;AP$10&amp;"; ","")</f>
        <v/>
      </c>
      <c r="AQ133" s="1593" t="str">
        <f>IF(AND($V$9=1,(TRUNC(Courses!R127)&lt;&gt;Courses!R127)), "Row "&amp;Courses!$A127&amp;", "&amp;AQ$9&amp;", "&amp;AQ$10&amp;", "&amp;AQ$11&amp;"; ","")</f>
        <v/>
      </c>
      <c r="AR133" t="str">
        <f>IF(AND($V$9=1,(TRUNC(Courses!S127)&lt;&gt;Courses!S127)), "Row "&amp;Courses!$A127&amp;", "&amp;AR$9&amp;", "&amp;AR$10&amp;", "&amp;AR$11&amp;"; ","")</f>
        <v/>
      </c>
      <c r="AS133" t="str">
        <f>IF(AND($V$9=1,(TRUNC(Courses!T127)&lt;&gt;Courses!T127)), "Row "&amp;Courses!$A127&amp;", "&amp;AS$9&amp;", "&amp;AS$10&amp;", "&amp;AS$11&amp;"; ","")</f>
        <v/>
      </c>
      <c r="AT133" t="str">
        <f>IF(AND($V$9=1,(TRUNC(Courses!U127)&lt;&gt;Courses!U127)), "Row "&amp;Courses!$A127&amp;", "&amp;AT$9&amp;", "&amp;AT$10&amp;", "&amp;AT$11&amp;"; ","")</f>
        <v/>
      </c>
      <c r="AU133" s="2120" t="str">
        <f>IF(AND($V$9=1,(TRUNC(Courses!V127)&lt;&gt;Courses!V127)), "Row "&amp;Courses!$A127&amp;", "&amp;AU$9&amp;", "&amp;AU$10&amp;"; ","")</f>
        <v/>
      </c>
      <c r="AV133" s="1593" t="str">
        <f>IF(AND($V$9=1,(TRUNC(Courses!W127)&lt;&gt;Courses!W127)), "Row "&amp;Courses!$A127&amp;", "&amp;AV$9&amp;", "&amp;AV$10&amp;", "&amp;AV$11&amp;"; ","")</f>
        <v/>
      </c>
      <c r="AW133" t="str">
        <f>IF(AND($V$9=1,(TRUNC(Courses!X127)&lt;&gt;Courses!X127)), "Row "&amp;Courses!$A127&amp;", "&amp;AW$9&amp;", "&amp;AW$10&amp;", "&amp;AW$11&amp;"; ","")</f>
        <v/>
      </c>
      <c r="AX133" t="str">
        <f>IF(AND($V$9=1,(TRUNC(Courses!Y127)&lt;&gt;Courses!Y127)), "Row "&amp;Courses!$A127&amp;", "&amp;AX$9&amp;", "&amp;AX$10&amp;", "&amp;AX$11&amp;"; ","")</f>
        <v/>
      </c>
      <c r="AY133" t="str">
        <f>IF(AND($V$9=1,(TRUNC(Courses!Z127)&lt;&gt;Courses!Z127)), "Row "&amp;Courses!$A127&amp;", "&amp;AY$9&amp;", "&amp;AY$10&amp;", "&amp;AY$11&amp;"; ","")</f>
        <v/>
      </c>
      <c r="AZ133" s="2120" t="str">
        <f>IF(AND($V$9=1,(TRUNC(Courses!AA127)&lt;&gt;Courses!AA127)), "Row "&amp;Courses!$A127&amp;", "&amp;AZ$9&amp;", "&amp;AZ$10&amp;"; ","")</f>
        <v/>
      </c>
      <c r="BB133" s="118"/>
      <c r="BC133" s="3">
        <v>114</v>
      </c>
      <c r="BD133" s="1593" t="str">
        <f>IF(AND($W$9=1,Courses!M127&lt;0), "Row "&amp;Courses!$A127&amp;", "&amp;BD$9&amp;", "&amp;BD$10&amp;", "&amp;BD$11&amp;"; ","")</f>
        <v/>
      </c>
      <c r="BE133" t="str">
        <f>IF(AND($W$9=1,Courses!N127&lt;0), "Row "&amp;Courses!$A127&amp;", "&amp;BE$9&amp;", "&amp;BE$10&amp;", "&amp;BE$11&amp;"; ","")</f>
        <v/>
      </c>
      <c r="BF133" t="str">
        <f>IF(AND($W$9=1,Courses!O127&lt;0), "Row "&amp;Courses!$A127&amp;", "&amp;BF$9&amp;", "&amp;BF$10&amp;", "&amp;BF$11&amp;"; ","")</f>
        <v/>
      </c>
      <c r="BG133" t="str">
        <f>IF(AND($W$9=1,Courses!P127&lt;0), "Row "&amp;Courses!$A127&amp;", "&amp;BG$9&amp;", "&amp;BG$10&amp;", "&amp;BG$11&amp;"; ","")</f>
        <v/>
      </c>
      <c r="BH133" s="2120" t="str">
        <f>IF(AND($W$9=1,Courses!Q127&lt;0), "Row "&amp;Courses!$A127&amp;", "&amp;BH$9&amp;", "&amp;BH$10&amp;"; ","")</f>
        <v/>
      </c>
      <c r="BI133" s="1593" t="str">
        <f>IF(AND($W$9=1,Courses!R127&lt;0), "Row "&amp;Courses!$A127&amp;", "&amp;BI$9&amp;", "&amp;BI$10&amp;", "&amp;BI$11&amp;"; ","")</f>
        <v/>
      </c>
      <c r="BJ133" t="str">
        <f>IF(AND($W$9=1,Courses!S127&lt;0), "Row "&amp;Courses!$A127&amp;", "&amp;BJ$9&amp;", "&amp;BJ$10&amp;", "&amp;BJ$11&amp;"; ","")</f>
        <v/>
      </c>
      <c r="BK133" t="str">
        <f>IF(AND($W$9=1,Courses!T127&lt;0), "Row "&amp;Courses!$A127&amp;", "&amp;BK$9&amp;", "&amp;BK$10&amp;", "&amp;BK$11&amp;"; ","")</f>
        <v/>
      </c>
      <c r="BL133" t="str">
        <f>IF(AND($W$9=1,Courses!U127&lt;0), "Row "&amp;Courses!$A127&amp;", "&amp;BL$9&amp;", "&amp;BL$10&amp;", "&amp;BL$11&amp;"; ","")</f>
        <v/>
      </c>
      <c r="BM133" s="2120" t="str">
        <f>IF(AND($W$9=1,Courses!V127&lt;0), "Row "&amp;Courses!$A127&amp;", "&amp;BM$9&amp;", "&amp;BM$10&amp;"; ","")</f>
        <v/>
      </c>
      <c r="BN133" s="1593" t="str">
        <f>IF(AND($W$9=1,Courses!W127&lt;0), "Row "&amp;Courses!$A127&amp;", "&amp;BN$9&amp;", "&amp;BN$10&amp;", "&amp;BN$11&amp;"; ","")</f>
        <v/>
      </c>
      <c r="BO133" t="str">
        <f>IF(AND($W$9=1,Courses!X127&lt;0), "Row "&amp;Courses!$A127&amp;", "&amp;BO$9&amp;", "&amp;BO$10&amp;", "&amp;BO$11&amp;"; ","")</f>
        <v/>
      </c>
      <c r="BP133" t="str">
        <f>IF(AND($W$9=1,Courses!Y127&lt;0), "Row "&amp;Courses!$A127&amp;", "&amp;BP$9&amp;", "&amp;BP$10&amp;", "&amp;BP$11&amp;"; ","")</f>
        <v/>
      </c>
      <c r="BQ133" t="str">
        <f>IF(AND($W$9=1,Courses!Z127&lt;0), "Row "&amp;Courses!$A127&amp;", "&amp;BQ$9&amp;", "&amp;BQ$10&amp;", "&amp;BQ$11&amp;"; ","")</f>
        <v/>
      </c>
      <c r="BR133" s="2120" t="str">
        <f>IF(AND($W$9=1,Courses!AA127&lt;0), "Row "&amp;Courses!$A127&amp;", "&amp;BR$9&amp;", "&amp;BR$10&amp;"; ","")</f>
        <v/>
      </c>
      <c r="BT133" s="40">
        <v>114</v>
      </c>
      <c r="BU133" s="40">
        <f>IF(AND($X$9=1,Courses!B127="",Courses!F127="",Courses!H127="",Courses!J127="",Courses!K127="",Courses!L127="",Courses!M127=0,Courses!N127=0,Courses!O127=0,Courses!P127=0,Courses!Q127=0,Courses!R127=0,Courses!S127=0,Courses!T127=0,Courses!U127=0,Courses!V127=0,Courses!W127=0,Courses!X127=0,Courses!Y127=0,Courses!Z127=0,Courses!AA127=0),0,1)</f>
        <v>0</v>
      </c>
      <c r="BV133" s="40">
        <f>IF(AND(BU133=0,SUM(BU134:$BU$219)&gt;0),1,0)</f>
        <v>0</v>
      </c>
      <c r="BW133" s="1595" t="str">
        <f>IF(BV133=1,"Row "&amp;Courses!A127&amp;"; ","")</f>
        <v/>
      </c>
      <c r="BX133" s="17"/>
      <c r="BZ133" s="1592" t="str">
        <f>IF(AND($Y$9=1,Courses!B127&lt;&gt;"",SUM(Courses!M127:AA127)=0),"Row "&amp;Courses!A127&amp;"; ","")</f>
        <v/>
      </c>
      <c r="CA133" s="17"/>
      <c r="CC133" s="1592" t="str">
        <f>IF(AND($Z$9=1,Courses!AD127=1,(LEN(Courses!AB127)&gt;200)),"Row "&amp;Courses!A127&amp;"; ","")</f>
        <v/>
      </c>
      <c r="CE133" s="131"/>
      <c r="CG133" s="1593" t="str">
        <f>IF(AND($AD$9=1,Courses!E127&lt;&gt;"",Courses!F127&lt;&gt;"",Courses!F127=0,SUM(Courses!H127,Courses!J127)=1),"Row "&amp;Courses!A127&amp;", "&amp;Courses!$F$10&amp;"; ","")</f>
        <v/>
      </c>
      <c r="CH133" t="str">
        <f>IF(AND($AD$9=1,Courses!G127&lt;&gt;"",Courses!H127&lt;&gt;"",Courses!H127=0,SUM(Courses!J127,Courses!F127)=1),"Row "&amp;Courses!A127&amp;", "&amp;Courses!$H$10&amp;"; ","")</f>
        <v/>
      </c>
      <c r="CI133" s="183" t="str">
        <f>IF(AND($AD$9=1,Courses!I127&lt;&gt;"",Courses!J127&lt;&gt;"",Courses!J127=0, SUM(Courses!H127,Courses!F127)=1),"Row "&amp;Courses!A127&amp;", "&amp;Courses!$J$10&amp;"; ","")</f>
        <v/>
      </c>
      <c r="CJ133" s="180"/>
      <c r="CK133" s="181"/>
      <c r="CL133" s="1592" t="str">
        <f>IF(AND(Courses!B127&lt;&gt;"",ISNA(VLOOKUP(Courses!C127,CourseInfo,2,FALSE))=FALSE,COUNTIF(Dummy,Courses!C127)&lt;&gt;1),VLOOKUP(Courses!C127,CourseInfo,6,FALSE),"")</f>
        <v/>
      </c>
      <c r="CM133" s="1592" t="str">
        <f>IF(AND($AE$9=1,Courses!B127&lt;&gt;"",'Courses Valid'!AG133="",COUNTIF(Dummy,Courses!C127)&lt;&gt;1),IF(Courses!K127&lt;&gt;'Courses Valid'!CL133,"Row "&amp;Courses!A127&amp;", Level on LARS is "&amp;'Courses Valid'!CL133&amp;"; ",""),"")</f>
        <v/>
      </c>
      <c r="CN133" s="131"/>
    </row>
    <row r="134" spans="3:92" x14ac:dyDescent="0.35">
      <c r="C134" s="1591">
        <f t="shared" si="3"/>
        <v>0</v>
      </c>
      <c r="D134" s="41"/>
      <c r="E134" s="41"/>
      <c r="F134" s="118"/>
      <c r="G134" s="1592" t="str">
        <f>IF(SUMPRODUCT(--(CourseAims=Courses!$C128))=1,"",IF(AND($N$9=1,Courses!$C128&lt;&gt;""),"Row "&amp;Courses!A128&amp;" (invalid); ",""))</f>
        <v/>
      </c>
      <c r="H134" s="1592" t="str">
        <f>IF(AND($O$9=1,Courses!B128="",OR(Courses!F128&lt;&gt;"",Courses!H128&lt;&gt;"",Courses!J128&lt;&gt;"",Courses!K128&lt;&gt;"",Courses!L128&lt;&gt;"",Courses!M128&lt;&gt;0,Courses!N128&lt;&gt;0,Courses!O128&lt;&gt;0,Courses!P128&lt;&gt;0,Courses!Q128&lt;&gt;0,Courses!R128&lt;&gt;0,Courses!S128&lt;&gt;0,Courses!T128&lt;&gt;0,Courses!U128&lt;&gt;0,Courses!V128&lt;&gt;0,Courses!W128&lt;&gt;0,Courses!X128&lt;&gt;0,Courses!Y128&lt;&gt;0,Courses!Z128&lt;&gt;0,Courses!AA128&lt;&gt;0)),"Row "&amp;Courses!A128&amp;" (none); ","")</f>
        <v/>
      </c>
      <c r="I134" s="17"/>
      <c r="K134" s="1592" t="str">
        <f>Courses!B128&amp;Courses!K128&amp;Courses!L128</f>
        <v/>
      </c>
      <c r="L134" s="1592" t="str">
        <f>IF(AND($P$9=1,Courses!$B128&lt;&gt;"",COUNTIF(Dummy,Courses!$C128)&lt;&gt;1),IF(SUMPRODUCT(--($K$20:$K$219=$K134))&gt;1,"Row "&amp;Courses!$A128&amp;"; ",""),"")</f>
        <v/>
      </c>
      <c r="N134" s="118"/>
      <c r="O134" s="1593" t="str">
        <f>IF(AND($Q$9=1,Courses!E128&lt;&gt;"",Courses!F128=""),"Row "&amp;Courses!A128&amp;", "&amp;Courses!$E$10&amp;"; ","")</f>
        <v/>
      </c>
      <c r="P134" t="str">
        <f>IF(AND($Q$9=1,Courses!G128&lt;&gt;"",Courses!H128=""),"Row "&amp;Courses!A128&amp;", "&amp;Courses!$G$10&amp;"; ","")</f>
        <v/>
      </c>
      <c r="Q134" s="183" t="str">
        <f>IF(AND($Q$9=1,Courses!I128&lt;&gt;"",Courses!J128=""),"Row "&amp;Courses!A128&amp;", "&amp;Courses!$I$10&amp;"; ","")</f>
        <v/>
      </c>
      <c r="S134" s="17"/>
      <c r="T134" s="118"/>
      <c r="U134" s="1594" t="str">
        <f>IF(AND($R$9=1,Courses!B128&lt;&gt;"",Courses!E128&lt;&gt;"",Courses!G128="",Courses!I128="",Courses!F128&lt;&gt;1),"Row "&amp;Courses!A128&amp;"; ","")</f>
        <v/>
      </c>
      <c r="V134" t="str">
        <f>IF(AND($R$9=1,Courses!B128&lt;&gt;"",Courses!I128="",Courses!F128&lt;&gt;"",Courses!G128&lt;&gt;"",Courses!H128&lt;&gt;""),IF(OR((Courses!F128+Courses!H128)&lt;&gt;1),"Row "&amp;Courses!A128&amp;"; ",""),"")</f>
        <v/>
      </c>
      <c r="W134" s="183" t="str">
        <f>IF(AND($R$9=1,Courses!B128&lt;&gt;"",Courses!I128&lt;&gt;"",Courses!J128&lt;&gt;"",Courses!H128&lt;&gt;"",Courses!G128&lt;&gt;"",Courses!F128&lt;&gt;""),IF(OR((Courses!F128+Courses!H128+Courses!J128)&lt;&gt;1),"Row "&amp;Courses!A128&amp;"; ",""),"")</f>
        <v/>
      </c>
      <c r="Y134" s="1592" t="str">
        <f>IF(AND($R$9=1,Courses!E128&lt;&gt;"",U134="",V134="",W134="",SUM(Courses!F128,Courses!H128,Courses!J128)&lt;&gt;1),"Row "&amp;Courses!A128&amp;"; ","")</f>
        <v/>
      </c>
      <c r="Z134" s="17"/>
      <c r="AB134" s="1593" t="str">
        <f>IF(AND($S$9=1,Courses!B128&lt;&gt;"",Courses!E128&lt;&gt;"",Courses!F128&lt;&gt;""),IF((TRUNC(Courses!F128*100)&lt;&gt;Courses!F128*100),"Row "&amp;Courses!A128&amp;", "&amp;Courses!$F$10&amp;"; ",""),"")</f>
        <v/>
      </c>
      <c r="AC134" t="str">
        <f>IF(AND($S$9=1,Courses!B128&lt;&gt;"",Courses!G128&lt;&gt;"",Courses!H128&lt;&gt;""),IF((TRUNC(Courses!H128*100)&lt;&gt;Courses!H128*100),"Row "&amp;Courses!A128&amp;", "&amp;Courses!$H$10&amp;"; ",""),"")</f>
        <v/>
      </c>
      <c r="AD134" s="183" t="str">
        <f>IF(AND($S$9=1,Courses!B128&lt;&gt;"",Courses!I128&lt;&gt;"",Courses!J128&lt;&gt;""),IF((TRUNC(Courses!J128*100)&lt;&gt;Courses!J128*100),"Row "&amp;Courses!A128&amp;", "&amp;Courses!$J$10&amp;"; ",""),"")</f>
        <v/>
      </c>
      <c r="AF134" s="118"/>
      <c r="AG134" s="1592" t="str">
        <f>IF(AND($T$9=1,G134="",Courses!B128&lt;&gt;"",Courses!K128&lt;&gt;$B$9,Courses!K128&lt;&gt;$B$10,Courses!K128&lt;&gt;$B$11,Courses!K128&lt;&gt;$B$12,Courses!K128&lt;&gt;$B$13,Courses!K128&lt;&gt;$B$14),"Row "&amp;Courses!A128&amp;"; ","")</f>
        <v/>
      </c>
      <c r="AH134" s="1592" t="str">
        <f>IF(AND($U$9=1,G134="",Courses!B128&lt;&gt;"",Courses!L128&lt;&gt;"Standard",Courses!L128&lt;&gt;"Long"),"Row "&amp;Courses!A128&amp;"; ","")</f>
        <v/>
      </c>
      <c r="AJ134" s="118"/>
      <c r="AK134" s="3">
        <v>115</v>
      </c>
      <c r="AL134" s="1593" t="str">
        <f>IF(AND($V$9=1,(TRUNC(Courses!M128)&lt;&gt;Courses!M128)), "Row "&amp;Courses!$A128&amp;", "&amp;AL$9&amp;", "&amp;AL$10&amp;", "&amp;AL$11&amp;"; ","")</f>
        <v/>
      </c>
      <c r="AM134" t="str">
        <f>IF(AND($V$9=1,(TRUNC(Courses!N128)&lt;&gt;Courses!N128)), "Row "&amp;Courses!$A128&amp;", "&amp;AM$9&amp;", "&amp;AM$10&amp;", "&amp;AM$11&amp;"; ","")</f>
        <v/>
      </c>
      <c r="AN134" t="str">
        <f>IF(AND($V$9=1,(TRUNC(Courses!O128)&lt;&gt;Courses!O128)), "Row "&amp;Courses!$A128&amp;", "&amp;AN$9&amp;", "&amp;AN$10&amp;", "&amp;AN$11&amp;"; ","")</f>
        <v/>
      </c>
      <c r="AO134" t="str">
        <f>IF(AND($V$9=1,(TRUNC(Courses!P128)&lt;&gt;Courses!P128)), "Row "&amp;Courses!$A128&amp;", "&amp;AO$9&amp;", "&amp;AO$10&amp;", "&amp;AO$11&amp;"; ","")</f>
        <v/>
      </c>
      <c r="AP134" s="2120" t="str">
        <f>IF(AND($V$9=1,(TRUNC(Courses!Q128)&lt;&gt;Courses!Q128)), "Row "&amp;Courses!$A128&amp;", "&amp;AP$9&amp;", "&amp;AP$10&amp;"; ","")</f>
        <v/>
      </c>
      <c r="AQ134" s="1593" t="str">
        <f>IF(AND($V$9=1,(TRUNC(Courses!R128)&lt;&gt;Courses!R128)), "Row "&amp;Courses!$A128&amp;", "&amp;AQ$9&amp;", "&amp;AQ$10&amp;", "&amp;AQ$11&amp;"; ","")</f>
        <v/>
      </c>
      <c r="AR134" t="str">
        <f>IF(AND($V$9=1,(TRUNC(Courses!S128)&lt;&gt;Courses!S128)), "Row "&amp;Courses!$A128&amp;", "&amp;AR$9&amp;", "&amp;AR$10&amp;", "&amp;AR$11&amp;"; ","")</f>
        <v/>
      </c>
      <c r="AS134" t="str">
        <f>IF(AND($V$9=1,(TRUNC(Courses!T128)&lt;&gt;Courses!T128)), "Row "&amp;Courses!$A128&amp;", "&amp;AS$9&amp;", "&amp;AS$10&amp;", "&amp;AS$11&amp;"; ","")</f>
        <v/>
      </c>
      <c r="AT134" t="str">
        <f>IF(AND($V$9=1,(TRUNC(Courses!U128)&lt;&gt;Courses!U128)), "Row "&amp;Courses!$A128&amp;", "&amp;AT$9&amp;", "&amp;AT$10&amp;", "&amp;AT$11&amp;"; ","")</f>
        <v/>
      </c>
      <c r="AU134" s="2120" t="str">
        <f>IF(AND($V$9=1,(TRUNC(Courses!V128)&lt;&gt;Courses!V128)), "Row "&amp;Courses!$A128&amp;", "&amp;AU$9&amp;", "&amp;AU$10&amp;"; ","")</f>
        <v/>
      </c>
      <c r="AV134" s="1593" t="str">
        <f>IF(AND($V$9=1,(TRUNC(Courses!W128)&lt;&gt;Courses!W128)), "Row "&amp;Courses!$A128&amp;", "&amp;AV$9&amp;", "&amp;AV$10&amp;", "&amp;AV$11&amp;"; ","")</f>
        <v/>
      </c>
      <c r="AW134" t="str">
        <f>IF(AND($V$9=1,(TRUNC(Courses!X128)&lt;&gt;Courses!X128)), "Row "&amp;Courses!$A128&amp;", "&amp;AW$9&amp;", "&amp;AW$10&amp;", "&amp;AW$11&amp;"; ","")</f>
        <v/>
      </c>
      <c r="AX134" t="str">
        <f>IF(AND($V$9=1,(TRUNC(Courses!Y128)&lt;&gt;Courses!Y128)), "Row "&amp;Courses!$A128&amp;", "&amp;AX$9&amp;", "&amp;AX$10&amp;", "&amp;AX$11&amp;"; ","")</f>
        <v/>
      </c>
      <c r="AY134" t="str">
        <f>IF(AND($V$9=1,(TRUNC(Courses!Z128)&lt;&gt;Courses!Z128)), "Row "&amp;Courses!$A128&amp;", "&amp;AY$9&amp;", "&amp;AY$10&amp;", "&amp;AY$11&amp;"; ","")</f>
        <v/>
      </c>
      <c r="AZ134" s="2120" t="str">
        <f>IF(AND($V$9=1,(TRUNC(Courses!AA128)&lt;&gt;Courses!AA128)), "Row "&amp;Courses!$A128&amp;", "&amp;AZ$9&amp;", "&amp;AZ$10&amp;"; ","")</f>
        <v/>
      </c>
      <c r="BB134" s="118"/>
      <c r="BC134" s="3">
        <v>115</v>
      </c>
      <c r="BD134" s="1593" t="str">
        <f>IF(AND($W$9=1,Courses!M128&lt;0), "Row "&amp;Courses!$A128&amp;", "&amp;BD$9&amp;", "&amp;BD$10&amp;", "&amp;BD$11&amp;"; ","")</f>
        <v/>
      </c>
      <c r="BE134" t="str">
        <f>IF(AND($W$9=1,Courses!N128&lt;0), "Row "&amp;Courses!$A128&amp;", "&amp;BE$9&amp;", "&amp;BE$10&amp;", "&amp;BE$11&amp;"; ","")</f>
        <v/>
      </c>
      <c r="BF134" t="str">
        <f>IF(AND($W$9=1,Courses!O128&lt;0), "Row "&amp;Courses!$A128&amp;", "&amp;BF$9&amp;", "&amp;BF$10&amp;", "&amp;BF$11&amp;"; ","")</f>
        <v/>
      </c>
      <c r="BG134" t="str">
        <f>IF(AND($W$9=1,Courses!P128&lt;0), "Row "&amp;Courses!$A128&amp;", "&amp;BG$9&amp;", "&amp;BG$10&amp;", "&amp;BG$11&amp;"; ","")</f>
        <v/>
      </c>
      <c r="BH134" s="2120" t="str">
        <f>IF(AND($W$9=1,Courses!Q128&lt;0), "Row "&amp;Courses!$A128&amp;", "&amp;BH$9&amp;", "&amp;BH$10&amp;"; ","")</f>
        <v/>
      </c>
      <c r="BI134" s="1593" t="str">
        <f>IF(AND($W$9=1,Courses!R128&lt;0), "Row "&amp;Courses!$A128&amp;", "&amp;BI$9&amp;", "&amp;BI$10&amp;", "&amp;BI$11&amp;"; ","")</f>
        <v/>
      </c>
      <c r="BJ134" t="str">
        <f>IF(AND($W$9=1,Courses!S128&lt;0), "Row "&amp;Courses!$A128&amp;", "&amp;BJ$9&amp;", "&amp;BJ$10&amp;", "&amp;BJ$11&amp;"; ","")</f>
        <v/>
      </c>
      <c r="BK134" t="str">
        <f>IF(AND($W$9=1,Courses!T128&lt;0), "Row "&amp;Courses!$A128&amp;", "&amp;BK$9&amp;", "&amp;BK$10&amp;", "&amp;BK$11&amp;"; ","")</f>
        <v/>
      </c>
      <c r="BL134" t="str">
        <f>IF(AND($W$9=1,Courses!U128&lt;0), "Row "&amp;Courses!$A128&amp;", "&amp;BL$9&amp;", "&amp;BL$10&amp;", "&amp;BL$11&amp;"; ","")</f>
        <v/>
      </c>
      <c r="BM134" s="2120" t="str">
        <f>IF(AND($W$9=1,Courses!V128&lt;0), "Row "&amp;Courses!$A128&amp;", "&amp;BM$9&amp;", "&amp;BM$10&amp;"; ","")</f>
        <v/>
      </c>
      <c r="BN134" s="1593" t="str">
        <f>IF(AND($W$9=1,Courses!W128&lt;0), "Row "&amp;Courses!$A128&amp;", "&amp;BN$9&amp;", "&amp;BN$10&amp;", "&amp;BN$11&amp;"; ","")</f>
        <v/>
      </c>
      <c r="BO134" t="str">
        <f>IF(AND($W$9=1,Courses!X128&lt;0), "Row "&amp;Courses!$A128&amp;", "&amp;BO$9&amp;", "&amp;BO$10&amp;", "&amp;BO$11&amp;"; ","")</f>
        <v/>
      </c>
      <c r="BP134" t="str">
        <f>IF(AND($W$9=1,Courses!Y128&lt;0), "Row "&amp;Courses!$A128&amp;", "&amp;BP$9&amp;", "&amp;BP$10&amp;", "&amp;BP$11&amp;"; ","")</f>
        <v/>
      </c>
      <c r="BQ134" t="str">
        <f>IF(AND($W$9=1,Courses!Z128&lt;0), "Row "&amp;Courses!$A128&amp;", "&amp;BQ$9&amp;", "&amp;BQ$10&amp;", "&amp;BQ$11&amp;"; ","")</f>
        <v/>
      </c>
      <c r="BR134" s="2120" t="str">
        <f>IF(AND($W$9=1,Courses!AA128&lt;0), "Row "&amp;Courses!$A128&amp;", "&amp;BR$9&amp;", "&amp;BR$10&amp;"; ","")</f>
        <v/>
      </c>
      <c r="BT134" s="40">
        <v>115</v>
      </c>
      <c r="BU134" s="40">
        <f>IF(AND($X$9=1,Courses!B128="",Courses!F128="",Courses!H128="",Courses!J128="",Courses!K128="",Courses!L128="",Courses!M128=0,Courses!N128=0,Courses!O128=0,Courses!P128=0,Courses!Q128=0,Courses!R128=0,Courses!S128=0,Courses!T128=0,Courses!U128=0,Courses!V128=0,Courses!W128=0,Courses!X128=0,Courses!Y128=0,Courses!Z128=0,Courses!AA128=0),0,1)</f>
        <v>0</v>
      </c>
      <c r="BV134" s="40">
        <f>IF(AND(BU134=0,SUM(BU135:$BU$219)&gt;0),1,0)</f>
        <v>0</v>
      </c>
      <c r="BW134" s="1595" t="str">
        <f>IF(BV134=1,"Row "&amp;Courses!A128&amp;"; ","")</f>
        <v/>
      </c>
      <c r="BX134" s="17"/>
      <c r="BZ134" s="1592" t="str">
        <f>IF(AND($Y$9=1,Courses!B128&lt;&gt;"",SUM(Courses!M128:AA128)=0),"Row "&amp;Courses!A128&amp;"; ","")</f>
        <v/>
      </c>
      <c r="CA134" s="17"/>
      <c r="CC134" s="1592" t="str">
        <f>IF(AND($Z$9=1,Courses!AD128=1,(LEN(Courses!AB128)&gt;200)),"Row "&amp;Courses!A128&amp;"; ","")</f>
        <v/>
      </c>
      <c r="CE134" s="131"/>
      <c r="CG134" s="1593" t="str">
        <f>IF(AND($AD$9=1,Courses!E128&lt;&gt;"",Courses!F128&lt;&gt;"",Courses!F128=0,SUM(Courses!H128,Courses!J128)=1),"Row "&amp;Courses!A128&amp;", "&amp;Courses!$F$10&amp;"; ","")</f>
        <v/>
      </c>
      <c r="CH134" t="str">
        <f>IF(AND($AD$9=1,Courses!G128&lt;&gt;"",Courses!H128&lt;&gt;"",Courses!H128=0,SUM(Courses!J128,Courses!F128)=1),"Row "&amp;Courses!A128&amp;", "&amp;Courses!$H$10&amp;"; ","")</f>
        <v/>
      </c>
      <c r="CI134" s="183" t="str">
        <f>IF(AND($AD$9=1,Courses!I128&lt;&gt;"",Courses!J128&lt;&gt;"",Courses!J128=0, SUM(Courses!H128,Courses!F128)=1),"Row "&amp;Courses!A128&amp;", "&amp;Courses!$J$10&amp;"; ","")</f>
        <v/>
      </c>
      <c r="CJ134" s="180"/>
      <c r="CK134" s="181"/>
      <c r="CL134" s="1592" t="str">
        <f>IF(AND(Courses!B128&lt;&gt;"",ISNA(VLOOKUP(Courses!C128,CourseInfo,2,FALSE))=FALSE,COUNTIF(Dummy,Courses!C128)&lt;&gt;1),VLOOKUP(Courses!C128,CourseInfo,6,FALSE),"")</f>
        <v/>
      </c>
      <c r="CM134" s="1592" t="str">
        <f>IF(AND($AE$9=1,Courses!B128&lt;&gt;"",'Courses Valid'!AG134="",COUNTIF(Dummy,Courses!C128)&lt;&gt;1),IF(Courses!K128&lt;&gt;'Courses Valid'!CL134,"Row "&amp;Courses!A128&amp;", Level on LARS is "&amp;'Courses Valid'!CL134&amp;"; ",""),"")</f>
        <v/>
      </c>
      <c r="CN134" s="131"/>
    </row>
    <row r="135" spans="3:92" x14ac:dyDescent="0.35">
      <c r="C135" s="1591">
        <f t="shared" si="3"/>
        <v>0</v>
      </c>
      <c r="D135" s="41"/>
      <c r="E135" s="41"/>
      <c r="F135" s="118"/>
      <c r="G135" s="1592" t="str">
        <f>IF(SUMPRODUCT(--(CourseAims=Courses!$C129))=1,"",IF(AND($N$9=1,Courses!$C129&lt;&gt;""),"Row "&amp;Courses!A129&amp;" (invalid); ",""))</f>
        <v/>
      </c>
      <c r="H135" s="1592" t="str">
        <f>IF(AND($O$9=1,Courses!B129="",OR(Courses!F129&lt;&gt;"",Courses!H129&lt;&gt;"",Courses!J129&lt;&gt;"",Courses!K129&lt;&gt;"",Courses!L129&lt;&gt;"",Courses!M129&lt;&gt;0,Courses!N129&lt;&gt;0,Courses!O129&lt;&gt;0,Courses!P129&lt;&gt;0,Courses!Q129&lt;&gt;0,Courses!R129&lt;&gt;0,Courses!S129&lt;&gt;0,Courses!T129&lt;&gt;0,Courses!U129&lt;&gt;0,Courses!V129&lt;&gt;0,Courses!W129&lt;&gt;0,Courses!X129&lt;&gt;0,Courses!Y129&lt;&gt;0,Courses!Z129&lt;&gt;0,Courses!AA129&lt;&gt;0)),"Row "&amp;Courses!A129&amp;" (none); ","")</f>
        <v/>
      </c>
      <c r="I135" s="17"/>
      <c r="K135" s="1592" t="str">
        <f>Courses!B129&amp;Courses!K129&amp;Courses!L129</f>
        <v/>
      </c>
      <c r="L135" s="1592" t="str">
        <f>IF(AND($P$9=1,Courses!$B129&lt;&gt;"",COUNTIF(Dummy,Courses!$C129)&lt;&gt;1),IF(SUMPRODUCT(--($K$20:$K$219=$K135))&gt;1,"Row "&amp;Courses!$A129&amp;"; ",""),"")</f>
        <v/>
      </c>
      <c r="N135" s="118"/>
      <c r="O135" s="1593" t="str">
        <f>IF(AND($Q$9=1,Courses!E129&lt;&gt;"",Courses!F129=""),"Row "&amp;Courses!A129&amp;", "&amp;Courses!$E$10&amp;"; ","")</f>
        <v/>
      </c>
      <c r="P135" t="str">
        <f>IF(AND($Q$9=1,Courses!G129&lt;&gt;"",Courses!H129=""),"Row "&amp;Courses!A129&amp;", "&amp;Courses!$G$10&amp;"; ","")</f>
        <v/>
      </c>
      <c r="Q135" s="183" t="str">
        <f>IF(AND($Q$9=1,Courses!I129&lt;&gt;"",Courses!J129=""),"Row "&amp;Courses!A129&amp;", "&amp;Courses!$I$10&amp;"; ","")</f>
        <v/>
      </c>
      <c r="S135" s="17"/>
      <c r="T135" s="118"/>
      <c r="U135" s="1594" t="str">
        <f>IF(AND($R$9=1,Courses!B129&lt;&gt;"",Courses!E129&lt;&gt;"",Courses!G129="",Courses!I129="",Courses!F129&lt;&gt;1),"Row "&amp;Courses!A129&amp;"; ","")</f>
        <v/>
      </c>
      <c r="V135" t="str">
        <f>IF(AND($R$9=1,Courses!B129&lt;&gt;"",Courses!I129="",Courses!F129&lt;&gt;"",Courses!G129&lt;&gt;"",Courses!H129&lt;&gt;""),IF(OR((Courses!F129+Courses!H129)&lt;&gt;1),"Row "&amp;Courses!A129&amp;"; ",""),"")</f>
        <v/>
      </c>
      <c r="W135" s="183" t="str">
        <f>IF(AND($R$9=1,Courses!B129&lt;&gt;"",Courses!I129&lt;&gt;"",Courses!J129&lt;&gt;"",Courses!H129&lt;&gt;"",Courses!G129&lt;&gt;"",Courses!F129&lt;&gt;""),IF(OR((Courses!F129+Courses!H129+Courses!J129)&lt;&gt;1),"Row "&amp;Courses!A129&amp;"; ",""),"")</f>
        <v/>
      </c>
      <c r="Y135" s="1592" t="str">
        <f>IF(AND($R$9=1,Courses!E129&lt;&gt;"",U135="",V135="",W135="",SUM(Courses!F129,Courses!H129,Courses!J129)&lt;&gt;1),"Row "&amp;Courses!A129&amp;"; ","")</f>
        <v/>
      </c>
      <c r="Z135" s="17"/>
      <c r="AB135" s="1593" t="str">
        <f>IF(AND($S$9=1,Courses!B129&lt;&gt;"",Courses!E129&lt;&gt;"",Courses!F129&lt;&gt;""),IF((TRUNC(Courses!F129*100)&lt;&gt;Courses!F129*100),"Row "&amp;Courses!A129&amp;", "&amp;Courses!$F$10&amp;"; ",""),"")</f>
        <v/>
      </c>
      <c r="AC135" t="str">
        <f>IF(AND($S$9=1,Courses!B129&lt;&gt;"",Courses!G129&lt;&gt;"",Courses!H129&lt;&gt;""),IF((TRUNC(Courses!H129*100)&lt;&gt;Courses!H129*100),"Row "&amp;Courses!A129&amp;", "&amp;Courses!$H$10&amp;"; ",""),"")</f>
        <v/>
      </c>
      <c r="AD135" s="183" t="str">
        <f>IF(AND($S$9=1,Courses!B129&lt;&gt;"",Courses!I129&lt;&gt;"",Courses!J129&lt;&gt;""),IF((TRUNC(Courses!J129*100)&lt;&gt;Courses!J129*100),"Row "&amp;Courses!A129&amp;", "&amp;Courses!$J$10&amp;"; ",""),"")</f>
        <v/>
      </c>
      <c r="AF135" s="118"/>
      <c r="AG135" s="1592" t="str">
        <f>IF(AND($T$9=1,G135="",Courses!B129&lt;&gt;"",Courses!K129&lt;&gt;$B$9,Courses!K129&lt;&gt;$B$10,Courses!K129&lt;&gt;$B$11,Courses!K129&lt;&gt;$B$12,Courses!K129&lt;&gt;$B$13,Courses!K129&lt;&gt;$B$14),"Row "&amp;Courses!A129&amp;"; ","")</f>
        <v/>
      </c>
      <c r="AH135" s="1592" t="str">
        <f>IF(AND($U$9=1,G135="",Courses!B129&lt;&gt;"",Courses!L129&lt;&gt;"Standard",Courses!L129&lt;&gt;"Long"),"Row "&amp;Courses!A129&amp;"; ","")</f>
        <v/>
      </c>
      <c r="AJ135" s="118"/>
      <c r="AK135" s="3">
        <v>116</v>
      </c>
      <c r="AL135" s="1593" t="str">
        <f>IF(AND($V$9=1,(TRUNC(Courses!M129)&lt;&gt;Courses!M129)), "Row "&amp;Courses!$A129&amp;", "&amp;AL$9&amp;", "&amp;AL$10&amp;", "&amp;AL$11&amp;"; ","")</f>
        <v/>
      </c>
      <c r="AM135" t="str">
        <f>IF(AND($V$9=1,(TRUNC(Courses!N129)&lt;&gt;Courses!N129)), "Row "&amp;Courses!$A129&amp;", "&amp;AM$9&amp;", "&amp;AM$10&amp;", "&amp;AM$11&amp;"; ","")</f>
        <v/>
      </c>
      <c r="AN135" t="str">
        <f>IF(AND($V$9=1,(TRUNC(Courses!O129)&lt;&gt;Courses!O129)), "Row "&amp;Courses!$A129&amp;", "&amp;AN$9&amp;", "&amp;AN$10&amp;", "&amp;AN$11&amp;"; ","")</f>
        <v/>
      </c>
      <c r="AO135" t="str">
        <f>IF(AND($V$9=1,(TRUNC(Courses!P129)&lt;&gt;Courses!P129)), "Row "&amp;Courses!$A129&amp;", "&amp;AO$9&amp;", "&amp;AO$10&amp;", "&amp;AO$11&amp;"; ","")</f>
        <v/>
      </c>
      <c r="AP135" s="2120" t="str">
        <f>IF(AND($V$9=1,(TRUNC(Courses!Q129)&lt;&gt;Courses!Q129)), "Row "&amp;Courses!$A129&amp;", "&amp;AP$9&amp;", "&amp;AP$10&amp;"; ","")</f>
        <v/>
      </c>
      <c r="AQ135" s="1593" t="str">
        <f>IF(AND($V$9=1,(TRUNC(Courses!R129)&lt;&gt;Courses!R129)), "Row "&amp;Courses!$A129&amp;", "&amp;AQ$9&amp;", "&amp;AQ$10&amp;", "&amp;AQ$11&amp;"; ","")</f>
        <v/>
      </c>
      <c r="AR135" t="str">
        <f>IF(AND($V$9=1,(TRUNC(Courses!S129)&lt;&gt;Courses!S129)), "Row "&amp;Courses!$A129&amp;", "&amp;AR$9&amp;", "&amp;AR$10&amp;", "&amp;AR$11&amp;"; ","")</f>
        <v/>
      </c>
      <c r="AS135" t="str">
        <f>IF(AND($V$9=1,(TRUNC(Courses!T129)&lt;&gt;Courses!T129)), "Row "&amp;Courses!$A129&amp;", "&amp;AS$9&amp;", "&amp;AS$10&amp;", "&amp;AS$11&amp;"; ","")</f>
        <v/>
      </c>
      <c r="AT135" t="str">
        <f>IF(AND($V$9=1,(TRUNC(Courses!U129)&lt;&gt;Courses!U129)), "Row "&amp;Courses!$A129&amp;", "&amp;AT$9&amp;", "&amp;AT$10&amp;", "&amp;AT$11&amp;"; ","")</f>
        <v/>
      </c>
      <c r="AU135" s="2120" t="str">
        <f>IF(AND($V$9=1,(TRUNC(Courses!V129)&lt;&gt;Courses!V129)), "Row "&amp;Courses!$A129&amp;", "&amp;AU$9&amp;", "&amp;AU$10&amp;"; ","")</f>
        <v/>
      </c>
      <c r="AV135" s="1593" t="str">
        <f>IF(AND($V$9=1,(TRUNC(Courses!W129)&lt;&gt;Courses!W129)), "Row "&amp;Courses!$A129&amp;", "&amp;AV$9&amp;", "&amp;AV$10&amp;", "&amp;AV$11&amp;"; ","")</f>
        <v/>
      </c>
      <c r="AW135" t="str">
        <f>IF(AND($V$9=1,(TRUNC(Courses!X129)&lt;&gt;Courses!X129)), "Row "&amp;Courses!$A129&amp;", "&amp;AW$9&amp;", "&amp;AW$10&amp;", "&amp;AW$11&amp;"; ","")</f>
        <v/>
      </c>
      <c r="AX135" t="str">
        <f>IF(AND($V$9=1,(TRUNC(Courses!Y129)&lt;&gt;Courses!Y129)), "Row "&amp;Courses!$A129&amp;", "&amp;AX$9&amp;", "&amp;AX$10&amp;", "&amp;AX$11&amp;"; ","")</f>
        <v/>
      </c>
      <c r="AY135" t="str">
        <f>IF(AND($V$9=1,(TRUNC(Courses!Z129)&lt;&gt;Courses!Z129)), "Row "&amp;Courses!$A129&amp;", "&amp;AY$9&amp;", "&amp;AY$10&amp;", "&amp;AY$11&amp;"; ","")</f>
        <v/>
      </c>
      <c r="AZ135" s="2120" t="str">
        <f>IF(AND($V$9=1,(TRUNC(Courses!AA129)&lt;&gt;Courses!AA129)), "Row "&amp;Courses!$A129&amp;", "&amp;AZ$9&amp;", "&amp;AZ$10&amp;"; ","")</f>
        <v/>
      </c>
      <c r="BB135" s="118"/>
      <c r="BC135" s="3">
        <v>116</v>
      </c>
      <c r="BD135" s="1593" t="str">
        <f>IF(AND($W$9=1,Courses!M129&lt;0), "Row "&amp;Courses!$A129&amp;", "&amp;BD$9&amp;", "&amp;BD$10&amp;", "&amp;BD$11&amp;"; ","")</f>
        <v/>
      </c>
      <c r="BE135" t="str">
        <f>IF(AND($W$9=1,Courses!N129&lt;0), "Row "&amp;Courses!$A129&amp;", "&amp;BE$9&amp;", "&amp;BE$10&amp;", "&amp;BE$11&amp;"; ","")</f>
        <v/>
      </c>
      <c r="BF135" t="str">
        <f>IF(AND($W$9=1,Courses!O129&lt;0), "Row "&amp;Courses!$A129&amp;", "&amp;BF$9&amp;", "&amp;BF$10&amp;", "&amp;BF$11&amp;"; ","")</f>
        <v/>
      </c>
      <c r="BG135" t="str">
        <f>IF(AND($W$9=1,Courses!P129&lt;0), "Row "&amp;Courses!$A129&amp;", "&amp;BG$9&amp;", "&amp;BG$10&amp;", "&amp;BG$11&amp;"; ","")</f>
        <v/>
      </c>
      <c r="BH135" s="2120" t="str">
        <f>IF(AND($W$9=1,Courses!Q129&lt;0), "Row "&amp;Courses!$A129&amp;", "&amp;BH$9&amp;", "&amp;BH$10&amp;"; ","")</f>
        <v/>
      </c>
      <c r="BI135" s="1593" t="str">
        <f>IF(AND($W$9=1,Courses!R129&lt;0), "Row "&amp;Courses!$A129&amp;", "&amp;BI$9&amp;", "&amp;BI$10&amp;", "&amp;BI$11&amp;"; ","")</f>
        <v/>
      </c>
      <c r="BJ135" t="str">
        <f>IF(AND($W$9=1,Courses!S129&lt;0), "Row "&amp;Courses!$A129&amp;", "&amp;BJ$9&amp;", "&amp;BJ$10&amp;", "&amp;BJ$11&amp;"; ","")</f>
        <v/>
      </c>
      <c r="BK135" t="str">
        <f>IF(AND($W$9=1,Courses!T129&lt;0), "Row "&amp;Courses!$A129&amp;", "&amp;BK$9&amp;", "&amp;BK$10&amp;", "&amp;BK$11&amp;"; ","")</f>
        <v/>
      </c>
      <c r="BL135" t="str">
        <f>IF(AND($W$9=1,Courses!U129&lt;0), "Row "&amp;Courses!$A129&amp;", "&amp;BL$9&amp;", "&amp;BL$10&amp;", "&amp;BL$11&amp;"; ","")</f>
        <v/>
      </c>
      <c r="BM135" s="2120" t="str">
        <f>IF(AND($W$9=1,Courses!V129&lt;0), "Row "&amp;Courses!$A129&amp;", "&amp;BM$9&amp;", "&amp;BM$10&amp;"; ","")</f>
        <v/>
      </c>
      <c r="BN135" s="1593" t="str">
        <f>IF(AND($W$9=1,Courses!W129&lt;0), "Row "&amp;Courses!$A129&amp;", "&amp;BN$9&amp;", "&amp;BN$10&amp;", "&amp;BN$11&amp;"; ","")</f>
        <v/>
      </c>
      <c r="BO135" t="str">
        <f>IF(AND($W$9=1,Courses!X129&lt;0), "Row "&amp;Courses!$A129&amp;", "&amp;BO$9&amp;", "&amp;BO$10&amp;", "&amp;BO$11&amp;"; ","")</f>
        <v/>
      </c>
      <c r="BP135" t="str">
        <f>IF(AND($W$9=1,Courses!Y129&lt;0), "Row "&amp;Courses!$A129&amp;", "&amp;BP$9&amp;", "&amp;BP$10&amp;", "&amp;BP$11&amp;"; ","")</f>
        <v/>
      </c>
      <c r="BQ135" t="str">
        <f>IF(AND($W$9=1,Courses!Z129&lt;0), "Row "&amp;Courses!$A129&amp;", "&amp;BQ$9&amp;", "&amp;BQ$10&amp;", "&amp;BQ$11&amp;"; ","")</f>
        <v/>
      </c>
      <c r="BR135" s="2120" t="str">
        <f>IF(AND($W$9=1,Courses!AA129&lt;0), "Row "&amp;Courses!$A129&amp;", "&amp;BR$9&amp;", "&amp;BR$10&amp;"; ","")</f>
        <v/>
      </c>
      <c r="BT135" s="40">
        <v>116</v>
      </c>
      <c r="BU135" s="40">
        <f>IF(AND($X$9=1,Courses!B129="",Courses!F129="",Courses!H129="",Courses!J129="",Courses!K129="",Courses!L129="",Courses!M129=0,Courses!N129=0,Courses!O129=0,Courses!P129=0,Courses!Q129=0,Courses!R129=0,Courses!S129=0,Courses!T129=0,Courses!U129=0,Courses!V129=0,Courses!W129=0,Courses!X129=0,Courses!Y129=0,Courses!Z129=0,Courses!AA129=0),0,1)</f>
        <v>0</v>
      </c>
      <c r="BV135" s="40">
        <f>IF(AND(BU135=0,SUM(BU136:$BU$219)&gt;0),1,0)</f>
        <v>0</v>
      </c>
      <c r="BW135" s="1595" t="str">
        <f>IF(BV135=1,"Row "&amp;Courses!A129&amp;"; ","")</f>
        <v/>
      </c>
      <c r="BX135" s="17"/>
      <c r="BZ135" s="1592" t="str">
        <f>IF(AND($Y$9=1,Courses!B129&lt;&gt;"",SUM(Courses!M129:AA129)=0),"Row "&amp;Courses!A129&amp;"; ","")</f>
        <v/>
      </c>
      <c r="CA135" s="17"/>
      <c r="CC135" s="1592" t="str">
        <f>IF(AND($Z$9=1,Courses!AD129=1,(LEN(Courses!AB129)&gt;200)),"Row "&amp;Courses!A129&amp;"; ","")</f>
        <v/>
      </c>
      <c r="CE135" s="131"/>
      <c r="CG135" s="1593" t="str">
        <f>IF(AND($AD$9=1,Courses!E129&lt;&gt;"",Courses!F129&lt;&gt;"",Courses!F129=0,SUM(Courses!H129,Courses!J129)=1),"Row "&amp;Courses!A129&amp;", "&amp;Courses!$F$10&amp;"; ","")</f>
        <v/>
      </c>
      <c r="CH135" t="str">
        <f>IF(AND($AD$9=1,Courses!G129&lt;&gt;"",Courses!H129&lt;&gt;"",Courses!H129=0,SUM(Courses!J129,Courses!F129)=1),"Row "&amp;Courses!A129&amp;", "&amp;Courses!$H$10&amp;"; ","")</f>
        <v/>
      </c>
      <c r="CI135" s="183" t="str">
        <f>IF(AND($AD$9=1,Courses!I129&lt;&gt;"",Courses!J129&lt;&gt;"",Courses!J129=0, SUM(Courses!H129,Courses!F129)=1),"Row "&amp;Courses!A129&amp;", "&amp;Courses!$J$10&amp;"; ","")</f>
        <v/>
      </c>
      <c r="CJ135" s="180"/>
      <c r="CK135" s="181"/>
      <c r="CL135" s="1592" t="str">
        <f>IF(AND(Courses!B129&lt;&gt;"",ISNA(VLOOKUP(Courses!C129,CourseInfo,2,FALSE))=FALSE,COUNTIF(Dummy,Courses!C129)&lt;&gt;1),VLOOKUP(Courses!C129,CourseInfo,6,FALSE),"")</f>
        <v/>
      </c>
      <c r="CM135" s="1592" t="str">
        <f>IF(AND($AE$9=1,Courses!B129&lt;&gt;"",'Courses Valid'!AG135="",COUNTIF(Dummy,Courses!C129)&lt;&gt;1),IF(Courses!K129&lt;&gt;'Courses Valid'!CL135,"Row "&amp;Courses!A129&amp;", Level on LARS is "&amp;'Courses Valid'!CL135&amp;"; ",""),"")</f>
        <v/>
      </c>
      <c r="CN135" s="131"/>
    </row>
    <row r="136" spans="3:92" x14ac:dyDescent="0.35">
      <c r="C136" s="1591">
        <f t="shared" si="3"/>
        <v>0</v>
      </c>
      <c r="D136" s="41"/>
      <c r="E136" s="41"/>
      <c r="F136" s="118"/>
      <c r="G136" s="1592" t="str">
        <f>IF(SUMPRODUCT(--(CourseAims=Courses!$C130))=1,"",IF(AND($N$9=1,Courses!$C130&lt;&gt;""),"Row "&amp;Courses!A130&amp;" (invalid); ",""))</f>
        <v/>
      </c>
      <c r="H136" s="1592" t="str">
        <f>IF(AND($O$9=1,Courses!B130="",OR(Courses!F130&lt;&gt;"",Courses!H130&lt;&gt;"",Courses!J130&lt;&gt;"",Courses!K130&lt;&gt;"",Courses!L130&lt;&gt;"",Courses!M130&lt;&gt;0,Courses!N130&lt;&gt;0,Courses!O130&lt;&gt;0,Courses!P130&lt;&gt;0,Courses!Q130&lt;&gt;0,Courses!R130&lt;&gt;0,Courses!S130&lt;&gt;0,Courses!T130&lt;&gt;0,Courses!U130&lt;&gt;0,Courses!V130&lt;&gt;0,Courses!W130&lt;&gt;0,Courses!X130&lt;&gt;0,Courses!Y130&lt;&gt;0,Courses!Z130&lt;&gt;0,Courses!AA130&lt;&gt;0)),"Row "&amp;Courses!A130&amp;" (none); ","")</f>
        <v/>
      </c>
      <c r="I136" s="17"/>
      <c r="K136" s="1592" t="str">
        <f>Courses!B130&amp;Courses!K130&amp;Courses!L130</f>
        <v/>
      </c>
      <c r="L136" s="1592" t="str">
        <f>IF(AND($P$9=1,Courses!$B130&lt;&gt;"",COUNTIF(Dummy,Courses!$C130)&lt;&gt;1),IF(SUMPRODUCT(--($K$20:$K$219=$K136))&gt;1,"Row "&amp;Courses!$A130&amp;"; ",""),"")</f>
        <v/>
      </c>
      <c r="N136" s="118"/>
      <c r="O136" s="1593" t="str">
        <f>IF(AND($Q$9=1,Courses!E130&lt;&gt;"",Courses!F130=""),"Row "&amp;Courses!A130&amp;", "&amp;Courses!$E$10&amp;"; ","")</f>
        <v/>
      </c>
      <c r="P136" t="str">
        <f>IF(AND($Q$9=1,Courses!G130&lt;&gt;"",Courses!H130=""),"Row "&amp;Courses!A130&amp;", "&amp;Courses!$G$10&amp;"; ","")</f>
        <v/>
      </c>
      <c r="Q136" s="183" t="str">
        <f>IF(AND($Q$9=1,Courses!I130&lt;&gt;"",Courses!J130=""),"Row "&amp;Courses!A130&amp;", "&amp;Courses!$I$10&amp;"; ","")</f>
        <v/>
      </c>
      <c r="S136" s="17"/>
      <c r="T136" s="118"/>
      <c r="U136" s="1594" t="str">
        <f>IF(AND($R$9=1,Courses!B130&lt;&gt;"",Courses!E130&lt;&gt;"",Courses!G130="",Courses!I130="",Courses!F130&lt;&gt;1),"Row "&amp;Courses!A130&amp;"; ","")</f>
        <v/>
      </c>
      <c r="V136" t="str">
        <f>IF(AND($R$9=1,Courses!B130&lt;&gt;"",Courses!I130="",Courses!F130&lt;&gt;"",Courses!G130&lt;&gt;"",Courses!H130&lt;&gt;""),IF(OR((Courses!F130+Courses!H130)&lt;&gt;1),"Row "&amp;Courses!A130&amp;"; ",""),"")</f>
        <v/>
      </c>
      <c r="W136" s="183" t="str">
        <f>IF(AND($R$9=1,Courses!B130&lt;&gt;"",Courses!I130&lt;&gt;"",Courses!J130&lt;&gt;"",Courses!H130&lt;&gt;"",Courses!G130&lt;&gt;"",Courses!F130&lt;&gt;""),IF(OR((Courses!F130+Courses!H130+Courses!J130)&lt;&gt;1),"Row "&amp;Courses!A130&amp;"; ",""),"")</f>
        <v/>
      </c>
      <c r="Y136" s="1592" t="str">
        <f>IF(AND($R$9=1,Courses!E130&lt;&gt;"",U136="",V136="",W136="",SUM(Courses!F130,Courses!H130,Courses!J130)&lt;&gt;1),"Row "&amp;Courses!A130&amp;"; ","")</f>
        <v/>
      </c>
      <c r="Z136" s="17"/>
      <c r="AB136" s="1593" t="str">
        <f>IF(AND($S$9=1,Courses!B130&lt;&gt;"",Courses!E130&lt;&gt;"",Courses!F130&lt;&gt;""),IF((TRUNC(Courses!F130*100)&lt;&gt;Courses!F130*100),"Row "&amp;Courses!A130&amp;", "&amp;Courses!$F$10&amp;"; ",""),"")</f>
        <v/>
      </c>
      <c r="AC136" t="str">
        <f>IF(AND($S$9=1,Courses!B130&lt;&gt;"",Courses!G130&lt;&gt;"",Courses!H130&lt;&gt;""),IF((TRUNC(Courses!H130*100)&lt;&gt;Courses!H130*100),"Row "&amp;Courses!A130&amp;", "&amp;Courses!$H$10&amp;"; ",""),"")</f>
        <v/>
      </c>
      <c r="AD136" s="183" t="str">
        <f>IF(AND($S$9=1,Courses!B130&lt;&gt;"",Courses!I130&lt;&gt;"",Courses!J130&lt;&gt;""),IF((TRUNC(Courses!J130*100)&lt;&gt;Courses!J130*100),"Row "&amp;Courses!A130&amp;", "&amp;Courses!$J$10&amp;"; ",""),"")</f>
        <v/>
      </c>
      <c r="AF136" s="118"/>
      <c r="AG136" s="1592" t="str">
        <f>IF(AND($T$9=1,G136="",Courses!B130&lt;&gt;"",Courses!K130&lt;&gt;$B$9,Courses!K130&lt;&gt;$B$10,Courses!K130&lt;&gt;$B$11,Courses!K130&lt;&gt;$B$12,Courses!K130&lt;&gt;$B$13,Courses!K130&lt;&gt;$B$14),"Row "&amp;Courses!A130&amp;"; ","")</f>
        <v/>
      </c>
      <c r="AH136" s="1592" t="str">
        <f>IF(AND($U$9=1,G136="",Courses!B130&lt;&gt;"",Courses!L130&lt;&gt;"Standard",Courses!L130&lt;&gt;"Long"),"Row "&amp;Courses!A130&amp;"; ","")</f>
        <v/>
      </c>
      <c r="AJ136" s="118"/>
      <c r="AK136" s="3">
        <v>117</v>
      </c>
      <c r="AL136" s="1593" t="str">
        <f>IF(AND($V$9=1,(TRUNC(Courses!M130)&lt;&gt;Courses!M130)), "Row "&amp;Courses!$A130&amp;", "&amp;AL$9&amp;", "&amp;AL$10&amp;", "&amp;AL$11&amp;"; ","")</f>
        <v/>
      </c>
      <c r="AM136" t="str">
        <f>IF(AND($V$9=1,(TRUNC(Courses!N130)&lt;&gt;Courses!N130)), "Row "&amp;Courses!$A130&amp;", "&amp;AM$9&amp;", "&amp;AM$10&amp;", "&amp;AM$11&amp;"; ","")</f>
        <v/>
      </c>
      <c r="AN136" t="str">
        <f>IF(AND($V$9=1,(TRUNC(Courses!O130)&lt;&gt;Courses!O130)), "Row "&amp;Courses!$A130&amp;", "&amp;AN$9&amp;", "&amp;AN$10&amp;", "&amp;AN$11&amp;"; ","")</f>
        <v/>
      </c>
      <c r="AO136" t="str">
        <f>IF(AND($V$9=1,(TRUNC(Courses!P130)&lt;&gt;Courses!P130)), "Row "&amp;Courses!$A130&amp;", "&amp;AO$9&amp;", "&amp;AO$10&amp;", "&amp;AO$11&amp;"; ","")</f>
        <v/>
      </c>
      <c r="AP136" s="2120" t="str">
        <f>IF(AND($V$9=1,(TRUNC(Courses!Q130)&lt;&gt;Courses!Q130)), "Row "&amp;Courses!$A130&amp;", "&amp;AP$9&amp;", "&amp;AP$10&amp;"; ","")</f>
        <v/>
      </c>
      <c r="AQ136" s="1593" t="str">
        <f>IF(AND($V$9=1,(TRUNC(Courses!R130)&lt;&gt;Courses!R130)), "Row "&amp;Courses!$A130&amp;", "&amp;AQ$9&amp;", "&amp;AQ$10&amp;", "&amp;AQ$11&amp;"; ","")</f>
        <v/>
      </c>
      <c r="AR136" t="str">
        <f>IF(AND($V$9=1,(TRUNC(Courses!S130)&lt;&gt;Courses!S130)), "Row "&amp;Courses!$A130&amp;", "&amp;AR$9&amp;", "&amp;AR$10&amp;", "&amp;AR$11&amp;"; ","")</f>
        <v/>
      </c>
      <c r="AS136" t="str">
        <f>IF(AND($V$9=1,(TRUNC(Courses!T130)&lt;&gt;Courses!T130)), "Row "&amp;Courses!$A130&amp;", "&amp;AS$9&amp;", "&amp;AS$10&amp;", "&amp;AS$11&amp;"; ","")</f>
        <v/>
      </c>
      <c r="AT136" t="str">
        <f>IF(AND($V$9=1,(TRUNC(Courses!U130)&lt;&gt;Courses!U130)), "Row "&amp;Courses!$A130&amp;", "&amp;AT$9&amp;", "&amp;AT$10&amp;", "&amp;AT$11&amp;"; ","")</f>
        <v/>
      </c>
      <c r="AU136" s="2120" t="str">
        <f>IF(AND($V$9=1,(TRUNC(Courses!V130)&lt;&gt;Courses!V130)), "Row "&amp;Courses!$A130&amp;", "&amp;AU$9&amp;", "&amp;AU$10&amp;"; ","")</f>
        <v/>
      </c>
      <c r="AV136" s="1593" t="str">
        <f>IF(AND($V$9=1,(TRUNC(Courses!W130)&lt;&gt;Courses!W130)), "Row "&amp;Courses!$A130&amp;", "&amp;AV$9&amp;", "&amp;AV$10&amp;", "&amp;AV$11&amp;"; ","")</f>
        <v/>
      </c>
      <c r="AW136" t="str">
        <f>IF(AND($V$9=1,(TRUNC(Courses!X130)&lt;&gt;Courses!X130)), "Row "&amp;Courses!$A130&amp;", "&amp;AW$9&amp;", "&amp;AW$10&amp;", "&amp;AW$11&amp;"; ","")</f>
        <v/>
      </c>
      <c r="AX136" t="str">
        <f>IF(AND($V$9=1,(TRUNC(Courses!Y130)&lt;&gt;Courses!Y130)), "Row "&amp;Courses!$A130&amp;", "&amp;AX$9&amp;", "&amp;AX$10&amp;", "&amp;AX$11&amp;"; ","")</f>
        <v/>
      </c>
      <c r="AY136" t="str">
        <f>IF(AND($V$9=1,(TRUNC(Courses!Z130)&lt;&gt;Courses!Z130)), "Row "&amp;Courses!$A130&amp;", "&amp;AY$9&amp;", "&amp;AY$10&amp;", "&amp;AY$11&amp;"; ","")</f>
        <v/>
      </c>
      <c r="AZ136" s="2120" t="str">
        <f>IF(AND($V$9=1,(TRUNC(Courses!AA130)&lt;&gt;Courses!AA130)), "Row "&amp;Courses!$A130&amp;", "&amp;AZ$9&amp;", "&amp;AZ$10&amp;"; ","")</f>
        <v/>
      </c>
      <c r="BB136" s="118"/>
      <c r="BC136" s="3">
        <v>117</v>
      </c>
      <c r="BD136" s="1593" t="str">
        <f>IF(AND($W$9=1,Courses!M130&lt;0), "Row "&amp;Courses!$A130&amp;", "&amp;BD$9&amp;", "&amp;BD$10&amp;", "&amp;BD$11&amp;"; ","")</f>
        <v/>
      </c>
      <c r="BE136" t="str">
        <f>IF(AND($W$9=1,Courses!N130&lt;0), "Row "&amp;Courses!$A130&amp;", "&amp;BE$9&amp;", "&amp;BE$10&amp;", "&amp;BE$11&amp;"; ","")</f>
        <v/>
      </c>
      <c r="BF136" t="str">
        <f>IF(AND($W$9=1,Courses!O130&lt;0), "Row "&amp;Courses!$A130&amp;", "&amp;BF$9&amp;", "&amp;BF$10&amp;", "&amp;BF$11&amp;"; ","")</f>
        <v/>
      </c>
      <c r="BG136" t="str">
        <f>IF(AND($W$9=1,Courses!P130&lt;0), "Row "&amp;Courses!$A130&amp;", "&amp;BG$9&amp;", "&amp;BG$10&amp;", "&amp;BG$11&amp;"; ","")</f>
        <v/>
      </c>
      <c r="BH136" s="2120" t="str">
        <f>IF(AND($W$9=1,Courses!Q130&lt;0), "Row "&amp;Courses!$A130&amp;", "&amp;BH$9&amp;", "&amp;BH$10&amp;"; ","")</f>
        <v/>
      </c>
      <c r="BI136" s="1593" t="str">
        <f>IF(AND($W$9=1,Courses!R130&lt;0), "Row "&amp;Courses!$A130&amp;", "&amp;BI$9&amp;", "&amp;BI$10&amp;", "&amp;BI$11&amp;"; ","")</f>
        <v/>
      </c>
      <c r="BJ136" t="str">
        <f>IF(AND($W$9=1,Courses!S130&lt;0), "Row "&amp;Courses!$A130&amp;", "&amp;BJ$9&amp;", "&amp;BJ$10&amp;", "&amp;BJ$11&amp;"; ","")</f>
        <v/>
      </c>
      <c r="BK136" t="str">
        <f>IF(AND($W$9=1,Courses!T130&lt;0), "Row "&amp;Courses!$A130&amp;", "&amp;BK$9&amp;", "&amp;BK$10&amp;", "&amp;BK$11&amp;"; ","")</f>
        <v/>
      </c>
      <c r="BL136" t="str">
        <f>IF(AND($W$9=1,Courses!U130&lt;0), "Row "&amp;Courses!$A130&amp;", "&amp;BL$9&amp;", "&amp;BL$10&amp;", "&amp;BL$11&amp;"; ","")</f>
        <v/>
      </c>
      <c r="BM136" s="2120" t="str">
        <f>IF(AND($W$9=1,Courses!V130&lt;0), "Row "&amp;Courses!$A130&amp;", "&amp;BM$9&amp;", "&amp;BM$10&amp;"; ","")</f>
        <v/>
      </c>
      <c r="BN136" s="1593" t="str">
        <f>IF(AND($W$9=1,Courses!W130&lt;0), "Row "&amp;Courses!$A130&amp;", "&amp;BN$9&amp;", "&amp;BN$10&amp;", "&amp;BN$11&amp;"; ","")</f>
        <v/>
      </c>
      <c r="BO136" t="str">
        <f>IF(AND($W$9=1,Courses!X130&lt;0), "Row "&amp;Courses!$A130&amp;", "&amp;BO$9&amp;", "&amp;BO$10&amp;", "&amp;BO$11&amp;"; ","")</f>
        <v/>
      </c>
      <c r="BP136" t="str">
        <f>IF(AND($W$9=1,Courses!Y130&lt;0), "Row "&amp;Courses!$A130&amp;", "&amp;BP$9&amp;", "&amp;BP$10&amp;", "&amp;BP$11&amp;"; ","")</f>
        <v/>
      </c>
      <c r="BQ136" t="str">
        <f>IF(AND($W$9=1,Courses!Z130&lt;0), "Row "&amp;Courses!$A130&amp;", "&amp;BQ$9&amp;", "&amp;BQ$10&amp;", "&amp;BQ$11&amp;"; ","")</f>
        <v/>
      </c>
      <c r="BR136" s="2120" t="str">
        <f>IF(AND($W$9=1,Courses!AA130&lt;0), "Row "&amp;Courses!$A130&amp;", "&amp;BR$9&amp;", "&amp;BR$10&amp;"; ","")</f>
        <v/>
      </c>
      <c r="BT136" s="40">
        <v>117</v>
      </c>
      <c r="BU136" s="40">
        <f>IF(AND($X$9=1,Courses!B130="",Courses!F130="",Courses!H130="",Courses!J130="",Courses!K130="",Courses!L130="",Courses!M130=0,Courses!N130=0,Courses!O130=0,Courses!P130=0,Courses!Q130=0,Courses!R130=0,Courses!S130=0,Courses!T130=0,Courses!U130=0,Courses!V130=0,Courses!W130=0,Courses!X130=0,Courses!Y130=0,Courses!Z130=0,Courses!AA130=0),0,1)</f>
        <v>0</v>
      </c>
      <c r="BV136" s="40">
        <f>IF(AND(BU136=0,SUM(BU137:$BU$219)&gt;0),1,0)</f>
        <v>0</v>
      </c>
      <c r="BW136" s="1595" t="str">
        <f>IF(BV136=1,"Row "&amp;Courses!A130&amp;"; ","")</f>
        <v/>
      </c>
      <c r="BX136" s="17"/>
      <c r="BZ136" s="1592" t="str">
        <f>IF(AND($Y$9=1,Courses!B130&lt;&gt;"",SUM(Courses!M130:AA130)=0),"Row "&amp;Courses!A130&amp;"; ","")</f>
        <v/>
      </c>
      <c r="CA136" s="17"/>
      <c r="CC136" s="1592" t="str">
        <f>IF(AND($Z$9=1,Courses!AD130=1,(LEN(Courses!AB130)&gt;200)),"Row "&amp;Courses!A130&amp;"; ","")</f>
        <v/>
      </c>
      <c r="CE136" s="131"/>
      <c r="CG136" s="1593" t="str">
        <f>IF(AND($AD$9=1,Courses!E130&lt;&gt;"",Courses!F130&lt;&gt;"",Courses!F130=0,SUM(Courses!H130,Courses!J130)=1),"Row "&amp;Courses!A130&amp;", "&amp;Courses!$F$10&amp;"; ","")</f>
        <v/>
      </c>
      <c r="CH136" t="str">
        <f>IF(AND($AD$9=1,Courses!G130&lt;&gt;"",Courses!H130&lt;&gt;"",Courses!H130=0,SUM(Courses!J130,Courses!F130)=1),"Row "&amp;Courses!A130&amp;", "&amp;Courses!$H$10&amp;"; ","")</f>
        <v/>
      </c>
      <c r="CI136" s="183" t="str">
        <f>IF(AND($AD$9=1,Courses!I130&lt;&gt;"",Courses!J130&lt;&gt;"",Courses!J130=0, SUM(Courses!H130,Courses!F130)=1),"Row "&amp;Courses!A130&amp;", "&amp;Courses!$J$10&amp;"; ","")</f>
        <v/>
      </c>
      <c r="CJ136" s="180"/>
      <c r="CK136" s="181"/>
      <c r="CL136" s="1592" t="str">
        <f>IF(AND(Courses!B130&lt;&gt;"",ISNA(VLOOKUP(Courses!C130,CourseInfo,2,FALSE))=FALSE,COUNTIF(Dummy,Courses!C130)&lt;&gt;1),VLOOKUP(Courses!C130,CourseInfo,6,FALSE),"")</f>
        <v/>
      </c>
      <c r="CM136" s="1592" t="str">
        <f>IF(AND($AE$9=1,Courses!B130&lt;&gt;"",'Courses Valid'!AG136="",COUNTIF(Dummy,Courses!C130)&lt;&gt;1),IF(Courses!K130&lt;&gt;'Courses Valid'!CL136,"Row "&amp;Courses!A130&amp;", Level on LARS is "&amp;'Courses Valid'!CL136&amp;"; ",""),"")</f>
        <v/>
      </c>
      <c r="CN136" s="131"/>
    </row>
    <row r="137" spans="3:92" x14ac:dyDescent="0.35">
      <c r="C137" s="1591">
        <f t="shared" si="3"/>
        <v>0</v>
      </c>
      <c r="D137" s="41"/>
      <c r="E137" s="41"/>
      <c r="F137" s="118"/>
      <c r="G137" s="1592" t="str">
        <f>IF(SUMPRODUCT(--(CourseAims=Courses!$C131))=1,"",IF(AND($N$9=1,Courses!$C131&lt;&gt;""),"Row "&amp;Courses!A131&amp;" (invalid); ",""))</f>
        <v/>
      </c>
      <c r="H137" s="1592" t="str">
        <f>IF(AND($O$9=1,Courses!B131="",OR(Courses!F131&lt;&gt;"",Courses!H131&lt;&gt;"",Courses!J131&lt;&gt;"",Courses!K131&lt;&gt;"",Courses!L131&lt;&gt;"",Courses!M131&lt;&gt;0,Courses!N131&lt;&gt;0,Courses!O131&lt;&gt;0,Courses!P131&lt;&gt;0,Courses!Q131&lt;&gt;0,Courses!R131&lt;&gt;0,Courses!S131&lt;&gt;0,Courses!T131&lt;&gt;0,Courses!U131&lt;&gt;0,Courses!V131&lt;&gt;0,Courses!W131&lt;&gt;0,Courses!X131&lt;&gt;0,Courses!Y131&lt;&gt;0,Courses!Z131&lt;&gt;0,Courses!AA131&lt;&gt;0)),"Row "&amp;Courses!A131&amp;" (none); ","")</f>
        <v/>
      </c>
      <c r="I137" s="17"/>
      <c r="K137" s="1592" t="str">
        <f>Courses!B131&amp;Courses!K131&amp;Courses!L131</f>
        <v/>
      </c>
      <c r="L137" s="1592" t="str">
        <f>IF(AND($P$9=1,Courses!$B131&lt;&gt;"",COUNTIF(Dummy,Courses!$C131)&lt;&gt;1),IF(SUMPRODUCT(--($K$20:$K$219=$K137))&gt;1,"Row "&amp;Courses!$A131&amp;"; ",""),"")</f>
        <v/>
      </c>
      <c r="N137" s="118"/>
      <c r="O137" s="1593" t="str">
        <f>IF(AND($Q$9=1,Courses!E131&lt;&gt;"",Courses!F131=""),"Row "&amp;Courses!A131&amp;", "&amp;Courses!$E$10&amp;"; ","")</f>
        <v/>
      </c>
      <c r="P137" t="str">
        <f>IF(AND($Q$9=1,Courses!G131&lt;&gt;"",Courses!H131=""),"Row "&amp;Courses!A131&amp;", "&amp;Courses!$G$10&amp;"; ","")</f>
        <v/>
      </c>
      <c r="Q137" s="183" t="str">
        <f>IF(AND($Q$9=1,Courses!I131&lt;&gt;"",Courses!J131=""),"Row "&amp;Courses!A131&amp;", "&amp;Courses!$I$10&amp;"; ","")</f>
        <v/>
      </c>
      <c r="S137" s="17"/>
      <c r="T137" s="118"/>
      <c r="U137" s="1594" t="str">
        <f>IF(AND($R$9=1,Courses!B131&lt;&gt;"",Courses!E131&lt;&gt;"",Courses!G131="",Courses!I131="",Courses!F131&lt;&gt;1),"Row "&amp;Courses!A131&amp;"; ","")</f>
        <v/>
      </c>
      <c r="V137" t="str">
        <f>IF(AND($R$9=1,Courses!B131&lt;&gt;"",Courses!I131="",Courses!F131&lt;&gt;"",Courses!G131&lt;&gt;"",Courses!H131&lt;&gt;""),IF(OR((Courses!F131+Courses!H131)&lt;&gt;1),"Row "&amp;Courses!A131&amp;"; ",""),"")</f>
        <v/>
      </c>
      <c r="W137" s="183" t="str">
        <f>IF(AND($R$9=1,Courses!B131&lt;&gt;"",Courses!I131&lt;&gt;"",Courses!J131&lt;&gt;"",Courses!H131&lt;&gt;"",Courses!G131&lt;&gt;"",Courses!F131&lt;&gt;""),IF(OR((Courses!F131+Courses!H131+Courses!J131)&lt;&gt;1),"Row "&amp;Courses!A131&amp;"; ",""),"")</f>
        <v/>
      </c>
      <c r="Y137" s="1592" t="str">
        <f>IF(AND($R$9=1,Courses!E131&lt;&gt;"",U137="",V137="",W137="",SUM(Courses!F131,Courses!H131,Courses!J131)&lt;&gt;1),"Row "&amp;Courses!A131&amp;"; ","")</f>
        <v/>
      </c>
      <c r="Z137" s="17"/>
      <c r="AB137" s="1593" t="str">
        <f>IF(AND($S$9=1,Courses!B131&lt;&gt;"",Courses!E131&lt;&gt;"",Courses!F131&lt;&gt;""),IF((TRUNC(Courses!F131*100)&lt;&gt;Courses!F131*100),"Row "&amp;Courses!A131&amp;", "&amp;Courses!$F$10&amp;"; ",""),"")</f>
        <v/>
      </c>
      <c r="AC137" t="str">
        <f>IF(AND($S$9=1,Courses!B131&lt;&gt;"",Courses!G131&lt;&gt;"",Courses!H131&lt;&gt;""),IF((TRUNC(Courses!H131*100)&lt;&gt;Courses!H131*100),"Row "&amp;Courses!A131&amp;", "&amp;Courses!$H$10&amp;"; ",""),"")</f>
        <v/>
      </c>
      <c r="AD137" s="183" t="str">
        <f>IF(AND($S$9=1,Courses!B131&lt;&gt;"",Courses!I131&lt;&gt;"",Courses!J131&lt;&gt;""),IF((TRUNC(Courses!J131*100)&lt;&gt;Courses!J131*100),"Row "&amp;Courses!A131&amp;", "&amp;Courses!$J$10&amp;"; ",""),"")</f>
        <v/>
      </c>
      <c r="AF137" s="118"/>
      <c r="AG137" s="1592" t="str">
        <f>IF(AND($T$9=1,G137="",Courses!B131&lt;&gt;"",Courses!K131&lt;&gt;$B$9,Courses!K131&lt;&gt;$B$10,Courses!K131&lt;&gt;$B$11,Courses!K131&lt;&gt;$B$12,Courses!K131&lt;&gt;$B$13,Courses!K131&lt;&gt;$B$14),"Row "&amp;Courses!A131&amp;"; ","")</f>
        <v/>
      </c>
      <c r="AH137" s="1592" t="str">
        <f>IF(AND($U$9=1,G137="",Courses!B131&lt;&gt;"",Courses!L131&lt;&gt;"Standard",Courses!L131&lt;&gt;"Long"),"Row "&amp;Courses!A131&amp;"; ","")</f>
        <v/>
      </c>
      <c r="AJ137" s="118"/>
      <c r="AK137" s="3">
        <v>118</v>
      </c>
      <c r="AL137" s="1593" t="str">
        <f>IF(AND($V$9=1,(TRUNC(Courses!M131)&lt;&gt;Courses!M131)), "Row "&amp;Courses!$A131&amp;", "&amp;AL$9&amp;", "&amp;AL$10&amp;", "&amp;AL$11&amp;"; ","")</f>
        <v/>
      </c>
      <c r="AM137" t="str">
        <f>IF(AND($V$9=1,(TRUNC(Courses!N131)&lt;&gt;Courses!N131)), "Row "&amp;Courses!$A131&amp;", "&amp;AM$9&amp;", "&amp;AM$10&amp;", "&amp;AM$11&amp;"; ","")</f>
        <v/>
      </c>
      <c r="AN137" t="str">
        <f>IF(AND($V$9=1,(TRUNC(Courses!O131)&lt;&gt;Courses!O131)), "Row "&amp;Courses!$A131&amp;", "&amp;AN$9&amp;", "&amp;AN$10&amp;", "&amp;AN$11&amp;"; ","")</f>
        <v/>
      </c>
      <c r="AO137" t="str">
        <f>IF(AND($V$9=1,(TRUNC(Courses!P131)&lt;&gt;Courses!P131)), "Row "&amp;Courses!$A131&amp;", "&amp;AO$9&amp;", "&amp;AO$10&amp;", "&amp;AO$11&amp;"; ","")</f>
        <v/>
      </c>
      <c r="AP137" s="2120" t="str">
        <f>IF(AND($V$9=1,(TRUNC(Courses!Q131)&lt;&gt;Courses!Q131)), "Row "&amp;Courses!$A131&amp;", "&amp;AP$9&amp;", "&amp;AP$10&amp;"; ","")</f>
        <v/>
      </c>
      <c r="AQ137" s="1593" t="str">
        <f>IF(AND($V$9=1,(TRUNC(Courses!R131)&lt;&gt;Courses!R131)), "Row "&amp;Courses!$A131&amp;", "&amp;AQ$9&amp;", "&amp;AQ$10&amp;", "&amp;AQ$11&amp;"; ","")</f>
        <v/>
      </c>
      <c r="AR137" t="str">
        <f>IF(AND($V$9=1,(TRUNC(Courses!S131)&lt;&gt;Courses!S131)), "Row "&amp;Courses!$A131&amp;", "&amp;AR$9&amp;", "&amp;AR$10&amp;", "&amp;AR$11&amp;"; ","")</f>
        <v/>
      </c>
      <c r="AS137" t="str">
        <f>IF(AND($V$9=1,(TRUNC(Courses!T131)&lt;&gt;Courses!T131)), "Row "&amp;Courses!$A131&amp;", "&amp;AS$9&amp;", "&amp;AS$10&amp;", "&amp;AS$11&amp;"; ","")</f>
        <v/>
      </c>
      <c r="AT137" t="str">
        <f>IF(AND($V$9=1,(TRUNC(Courses!U131)&lt;&gt;Courses!U131)), "Row "&amp;Courses!$A131&amp;", "&amp;AT$9&amp;", "&amp;AT$10&amp;", "&amp;AT$11&amp;"; ","")</f>
        <v/>
      </c>
      <c r="AU137" s="2120" t="str">
        <f>IF(AND($V$9=1,(TRUNC(Courses!V131)&lt;&gt;Courses!V131)), "Row "&amp;Courses!$A131&amp;", "&amp;AU$9&amp;", "&amp;AU$10&amp;"; ","")</f>
        <v/>
      </c>
      <c r="AV137" s="1593" t="str">
        <f>IF(AND($V$9=1,(TRUNC(Courses!W131)&lt;&gt;Courses!W131)), "Row "&amp;Courses!$A131&amp;", "&amp;AV$9&amp;", "&amp;AV$10&amp;", "&amp;AV$11&amp;"; ","")</f>
        <v/>
      </c>
      <c r="AW137" t="str">
        <f>IF(AND($V$9=1,(TRUNC(Courses!X131)&lt;&gt;Courses!X131)), "Row "&amp;Courses!$A131&amp;", "&amp;AW$9&amp;", "&amp;AW$10&amp;", "&amp;AW$11&amp;"; ","")</f>
        <v/>
      </c>
      <c r="AX137" t="str">
        <f>IF(AND($V$9=1,(TRUNC(Courses!Y131)&lt;&gt;Courses!Y131)), "Row "&amp;Courses!$A131&amp;", "&amp;AX$9&amp;", "&amp;AX$10&amp;", "&amp;AX$11&amp;"; ","")</f>
        <v/>
      </c>
      <c r="AY137" t="str">
        <f>IF(AND($V$9=1,(TRUNC(Courses!Z131)&lt;&gt;Courses!Z131)), "Row "&amp;Courses!$A131&amp;", "&amp;AY$9&amp;", "&amp;AY$10&amp;", "&amp;AY$11&amp;"; ","")</f>
        <v/>
      </c>
      <c r="AZ137" s="2120" t="str">
        <f>IF(AND($V$9=1,(TRUNC(Courses!AA131)&lt;&gt;Courses!AA131)), "Row "&amp;Courses!$A131&amp;", "&amp;AZ$9&amp;", "&amp;AZ$10&amp;"; ","")</f>
        <v/>
      </c>
      <c r="BB137" s="118"/>
      <c r="BC137" s="3">
        <v>118</v>
      </c>
      <c r="BD137" s="1593" t="str">
        <f>IF(AND($W$9=1,Courses!M131&lt;0), "Row "&amp;Courses!$A131&amp;", "&amp;BD$9&amp;", "&amp;BD$10&amp;", "&amp;BD$11&amp;"; ","")</f>
        <v/>
      </c>
      <c r="BE137" t="str">
        <f>IF(AND($W$9=1,Courses!N131&lt;0), "Row "&amp;Courses!$A131&amp;", "&amp;BE$9&amp;", "&amp;BE$10&amp;", "&amp;BE$11&amp;"; ","")</f>
        <v/>
      </c>
      <c r="BF137" t="str">
        <f>IF(AND($W$9=1,Courses!O131&lt;0), "Row "&amp;Courses!$A131&amp;", "&amp;BF$9&amp;", "&amp;BF$10&amp;", "&amp;BF$11&amp;"; ","")</f>
        <v/>
      </c>
      <c r="BG137" t="str">
        <f>IF(AND($W$9=1,Courses!P131&lt;0), "Row "&amp;Courses!$A131&amp;", "&amp;BG$9&amp;", "&amp;BG$10&amp;", "&amp;BG$11&amp;"; ","")</f>
        <v/>
      </c>
      <c r="BH137" s="2120" t="str">
        <f>IF(AND($W$9=1,Courses!Q131&lt;0), "Row "&amp;Courses!$A131&amp;", "&amp;BH$9&amp;", "&amp;BH$10&amp;"; ","")</f>
        <v/>
      </c>
      <c r="BI137" s="1593" t="str">
        <f>IF(AND($W$9=1,Courses!R131&lt;0), "Row "&amp;Courses!$A131&amp;", "&amp;BI$9&amp;", "&amp;BI$10&amp;", "&amp;BI$11&amp;"; ","")</f>
        <v/>
      </c>
      <c r="BJ137" t="str">
        <f>IF(AND($W$9=1,Courses!S131&lt;0), "Row "&amp;Courses!$A131&amp;", "&amp;BJ$9&amp;", "&amp;BJ$10&amp;", "&amp;BJ$11&amp;"; ","")</f>
        <v/>
      </c>
      <c r="BK137" t="str">
        <f>IF(AND($W$9=1,Courses!T131&lt;0), "Row "&amp;Courses!$A131&amp;", "&amp;BK$9&amp;", "&amp;BK$10&amp;", "&amp;BK$11&amp;"; ","")</f>
        <v/>
      </c>
      <c r="BL137" t="str">
        <f>IF(AND($W$9=1,Courses!U131&lt;0), "Row "&amp;Courses!$A131&amp;", "&amp;BL$9&amp;", "&amp;BL$10&amp;", "&amp;BL$11&amp;"; ","")</f>
        <v/>
      </c>
      <c r="BM137" s="2120" t="str">
        <f>IF(AND($W$9=1,Courses!V131&lt;0), "Row "&amp;Courses!$A131&amp;", "&amp;BM$9&amp;", "&amp;BM$10&amp;"; ","")</f>
        <v/>
      </c>
      <c r="BN137" s="1593" t="str">
        <f>IF(AND($W$9=1,Courses!W131&lt;0), "Row "&amp;Courses!$A131&amp;", "&amp;BN$9&amp;", "&amp;BN$10&amp;", "&amp;BN$11&amp;"; ","")</f>
        <v/>
      </c>
      <c r="BO137" t="str">
        <f>IF(AND($W$9=1,Courses!X131&lt;0), "Row "&amp;Courses!$A131&amp;", "&amp;BO$9&amp;", "&amp;BO$10&amp;", "&amp;BO$11&amp;"; ","")</f>
        <v/>
      </c>
      <c r="BP137" t="str">
        <f>IF(AND($W$9=1,Courses!Y131&lt;0), "Row "&amp;Courses!$A131&amp;", "&amp;BP$9&amp;", "&amp;BP$10&amp;", "&amp;BP$11&amp;"; ","")</f>
        <v/>
      </c>
      <c r="BQ137" t="str">
        <f>IF(AND($W$9=1,Courses!Z131&lt;0), "Row "&amp;Courses!$A131&amp;", "&amp;BQ$9&amp;", "&amp;BQ$10&amp;", "&amp;BQ$11&amp;"; ","")</f>
        <v/>
      </c>
      <c r="BR137" s="2120" t="str">
        <f>IF(AND($W$9=1,Courses!AA131&lt;0), "Row "&amp;Courses!$A131&amp;", "&amp;BR$9&amp;", "&amp;BR$10&amp;"; ","")</f>
        <v/>
      </c>
      <c r="BT137" s="40">
        <v>118</v>
      </c>
      <c r="BU137" s="40">
        <f>IF(AND($X$9=1,Courses!B131="",Courses!F131="",Courses!H131="",Courses!J131="",Courses!K131="",Courses!L131="",Courses!M131=0,Courses!N131=0,Courses!O131=0,Courses!P131=0,Courses!Q131=0,Courses!R131=0,Courses!S131=0,Courses!T131=0,Courses!U131=0,Courses!V131=0,Courses!W131=0,Courses!X131=0,Courses!Y131=0,Courses!Z131=0,Courses!AA131=0),0,1)</f>
        <v>0</v>
      </c>
      <c r="BV137" s="40">
        <f>IF(AND(BU137=0,SUM(BU138:$BU$219)&gt;0),1,0)</f>
        <v>0</v>
      </c>
      <c r="BW137" s="1595" t="str">
        <f>IF(BV137=1,"Row "&amp;Courses!A131&amp;"; ","")</f>
        <v/>
      </c>
      <c r="BX137" s="17"/>
      <c r="BZ137" s="1592" t="str">
        <f>IF(AND($Y$9=1,Courses!B131&lt;&gt;"",SUM(Courses!M131:AA131)=0),"Row "&amp;Courses!A131&amp;"; ","")</f>
        <v/>
      </c>
      <c r="CA137" s="17"/>
      <c r="CC137" s="1592" t="str">
        <f>IF(AND($Z$9=1,Courses!AD131=1,(LEN(Courses!AB131)&gt;200)),"Row "&amp;Courses!A131&amp;"; ","")</f>
        <v/>
      </c>
      <c r="CE137" s="131"/>
      <c r="CG137" s="1593" t="str">
        <f>IF(AND($AD$9=1,Courses!E131&lt;&gt;"",Courses!F131&lt;&gt;"",Courses!F131=0,SUM(Courses!H131,Courses!J131)=1),"Row "&amp;Courses!A131&amp;", "&amp;Courses!$F$10&amp;"; ","")</f>
        <v/>
      </c>
      <c r="CH137" t="str">
        <f>IF(AND($AD$9=1,Courses!G131&lt;&gt;"",Courses!H131&lt;&gt;"",Courses!H131=0,SUM(Courses!J131,Courses!F131)=1),"Row "&amp;Courses!A131&amp;", "&amp;Courses!$H$10&amp;"; ","")</f>
        <v/>
      </c>
      <c r="CI137" s="183" t="str">
        <f>IF(AND($AD$9=1,Courses!I131&lt;&gt;"",Courses!J131&lt;&gt;"",Courses!J131=0, SUM(Courses!H131,Courses!F131)=1),"Row "&amp;Courses!A131&amp;", "&amp;Courses!$J$10&amp;"; ","")</f>
        <v/>
      </c>
      <c r="CJ137" s="180"/>
      <c r="CK137" s="181"/>
      <c r="CL137" s="1592" t="str">
        <f>IF(AND(Courses!B131&lt;&gt;"",ISNA(VLOOKUP(Courses!C131,CourseInfo,2,FALSE))=FALSE,COUNTIF(Dummy,Courses!C131)&lt;&gt;1),VLOOKUP(Courses!C131,CourseInfo,6,FALSE),"")</f>
        <v/>
      </c>
      <c r="CM137" s="1592" t="str">
        <f>IF(AND($AE$9=1,Courses!B131&lt;&gt;"",'Courses Valid'!AG137="",COUNTIF(Dummy,Courses!C131)&lt;&gt;1),IF(Courses!K131&lt;&gt;'Courses Valid'!CL137,"Row "&amp;Courses!A131&amp;", Level on LARS is "&amp;'Courses Valid'!CL137&amp;"; ",""),"")</f>
        <v/>
      </c>
      <c r="CN137" s="131"/>
    </row>
    <row r="138" spans="3:92" x14ac:dyDescent="0.35">
      <c r="C138" s="1591">
        <f t="shared" si="3"/>
        <v>0</v>
      </c>
      <c r="D138" s="41"/>
      <c r="E138" s="41"/>
      <c r="F138" s="118"/>
      <c r="G138" s="1592" t="str">
        <f>IF(SUMPRODUCT(--(CourseAims=Courses!$C132))=1,"",IF(AND($N$9=1,Courses!$C132&lt;&gt;""),"Row "&amp;Courses!A132&amp;" (invalid); ",""))</f>
        <v/>
      </c>
      <c r="H138" s="1592" t="str">
        <f>IF(AND($O$9=1,Courses!B132="",OR(Courses!F132&lt;&gt;"",Courses!H132&lt;&gt;"",Courses!J132&lt;&gt;"",Courses!K132&lt;&gt;"",Courses!L132&lt;&gt;"",Courses!M132&lt;&gt;0,Courses!N132&lt;&gt;0,Courses!O132&lt;&gt;0,Courses!P132&lt;&gt;0,Courses!Q132&lt;&gt;0,Courses!R132&lt;&gt;0,Courses!S132&lt;&gt;0,Courses!T132&lt;&gt;0,Courses!U132&lt;&gt;0,Courses!V132&lt;&gt;0,Courses!W132&lt;&gt;0,Courses!X132&lt;&gt;0,Courses!Y132&lt;&gt;0,Courses!Z132&lt;&gt;0,Courses!AA132&lt;&gt;0)),"Row "&amp;Courses!A132&amp;" (none); ","")</f>
        <v/>
      </c>
      <c r="I138" s="17"/>
      <c r="K138" s="1592" t="str">
        <f>Courses!B132&amp;Courses!K132&amp;Courses!L132</f>
        <v/>
      </c>
      <c r="L138" s="1592" t="str">
        <f>IF(AND($P$9=1,Courses!$B132&lt;&gt;"",COUNTIF(Dummy,Courses!$C132)&lt;&gt;1),IF(SUMPRODUCT(--($K$20:$K$219=$K138))&gt;1,"Row "&amp;Courses!$A132&amp;"; ",""),"")</f>
        <v/>
      </c>
      <c r="N138" s="118"/>
      <c r="O138" s="1593" t="str">
        <f>IF(AND($Q$9=1,Courses!E132&lt;&gt;"",Courses!F132=""),"Row "&amp;Courses!A132&amp;", "&amp;Courses!$E$10&amp;"; ","")</f>
        <v/>
      </c>
      <c r="P138" t="str">
        <f>IF(AND($Q$9=1,Courses!G132&lt;&gt;"",Courses!H132=""),"Row "&amp;Courses!A132&amp;", "&amp;Courses!$G$10&amp;"; ","")</f>
        <v/>
      </c>
      <c r="Q138" s="183" t="str">
        <f>IF(AND($Q$9=1,Courses!I132&lt;&gt;"",Courses!J132=""),"Row "&amp;Courses!A132&amp;", "&amp;Courses!$I$10&amp;"; ","")</f>
        <v/>
      </c>
      <c r="S138" s="17"/>
      <c r="T138" s="118"/>
      <c r="U138" s="1594" t="str">
        <f>IF(AND($R$9=1,Courses!B132&lt;&gt;"",Courses!E132&lt;&gt;"",Courses!G132="",Courses!I132="",Courses!F132&lt;&gt;1),"Row "&amp;Courses!A132&amp;"; ","")</f>
        <v/>
      </c>
      <c r="V138" t="str">
        <f>IF(AND($R$9=1,Courses!B132&lt;&gt;"",Courses!I132="",Courses!F132&lt;&gt;"",Courses!G132&lt;&gt;"",Courses!H132&lt;&gt;""),IF(OR((Courses!F132+Courses!H132)&lt;&gt;1),"Row "&amp;Courses!A132&amp;"; ",""),"")</f>
        <v/>
      </c>
      <c r="W138" s="183" t="str">
        <f>IF(AND($R$9=1,Courses!B132&lt;&gt;"",Courses!I132&lt;&gt;"",Courses!J132&lt;&gt;"",Courses!H132&lt;&gt;"",Courses!G132&lt;&gt;"",Courses!F132&lt;&gt;""),IF(OR((Courses!F132+Courses!H132+Courses!J132)&lt;&gt;1),"Row "&amp;Courses!A132&amp;"; ",""),"")</f>
        <v/>
      </c>
      <c r="Y138" s="1592" t="str">
        <f>IF(AND($R$9=1,Courses!E132&lt;&gt;"",U138="",V138="",W138="",SUM(Courses!F132,Courses!H132,Courses!J132)&lt;&gt;1),"Row "&amp;Courses!A132&amp;"; ","")</f>
        <v/>
      </c>
      <c r="Z138" s="17"/>
      <c r="AB138" s="1593" t="str">
        <f>IF(AND($S$9=1,Courses!B132&lt;&gt;"",Courses!E132&lt;&gt;"",Courses!F132&lt;&gt;""),IF((TRUNC(Courses!F132*100)&lt;&gt;Courses!F132*100),"Row "&amp;Courses!A132&amp;", "&amp;Courses!$F$10&amp;"; ",""),"")</f>
        <v/>
      </c>
      <c r="AC138" t="str">
        <f>IF(AND($S$9=1,Courses!B132&lt;&gt;"",Courses!G132&lt;&gt;"",Courses!H132&lt;&gt;""),IF((TRUNC(Courses!H132*100)&lt;&gt;Courses!H132*100),"Row "&amp;Courses!A132&amp;", "&amp;Courses!$H$10&amp;"; ",""),"")</f>
        <v/>
      </c>
      <c r="AD138" s="183" t="str">
        <f>IF(AND($S$9=1,Courses!B132&lt;&gt;"",Courses!I132&lt;&gt;"",Courses!J132&lt;&gt;""),IF((TRUNC(Courses!J132*100)&lt;&gt;Courses!J132*100),"Row "&amp;Courses!A132&amp;", "&amp;Courses!$J$10&amp;"; ",""),"")</f>
        <v/>
      </c>
      <c r="AF138" s="118"/>
      <c r="AG138" s="1592" t="str">
        <f>IF(AND($T$9=1,G138="",Courses!B132&lt;&gt;"",Courses!K132&lt;&gt;$B$9,Courses!K132&lt;&gt;$B$10,Courses!K132&lt;&gt;$B$11,Courses!K132&lt;&gt;$B$12,Courses!K132&lt;&gt;$B$13,Courses!K132&lt;&gt;$B$14),"Row "&amp;Courses!A132&amp;"; ","")</f>
        <v/>
      </c>
      <c r="AH138" s="1592" t="str">
        <f>IF(AND($U$9=1,G138="",Courses!B132&lt;&gt;"",Courses!L132&lt;&gt;"Standard",Courses!L132&lt;&gt;"Long"),"Row "&amp;Courses!A132&amp;"; ","")</f>
        <v/>
      </c>
      <c r="AJ138" s="118"/>
      <c r="AK138" s="3">
        <v>119</v>
      </c>
      <c r="AL138" s="1593" t="str">
        <f>IF(AND($V$9=1,(TRUNC(Courses!M132)&lt;&gt;Courses!M132)), "Row "&amp;Courses!$A132&amp;", "&amp;AL$9&amp;", "&amp;AL$10&amp;", "&amp;AL$11&amp;"; ","")</f>
        <v/>
      </c>
      <c r="AM138" t="str">
        <f>IF(AND($V$9=1,(TRUNC(Courses!N132)&lt;&gt;Courses!N132)), "Row "&amp;Courses!$A132&amp;", "&amp;AM$9&amp;", "&amp;AM$10&amp;", "&amp;AM$11&amp;"; ","")</f>
        <v/>
      </c>
      <c r="AN138" t="str">
        <f>IF(AND($V$9=1,(TRUNC(Courses!O132)&lt;&gt;Courses!O132)), "Row "&amp;Courses!$A132&amp;", "&amp;AN$9&amp;", "&amp;AN$10&amp;", "&amp;AN$11&amp;"; ","")</f>
        <v/>
      </c>
      <c r="AO138" t="str">
        <f>IF(AND($V$9=1,(TRUNC(Courses!P132)&lt;&gt;Courses!P132)), "Row "&amp;Courses!$A132&amp;", "&amp;AO$9&amp;", "&amp;AO$10&amp;", "&amp;AO$11&amp;"; ","")</f>
        <v/>
      </c>
      <c r="AP138" s="2120" t="str">
        <f>IF(AND($V$9=1,(TRUNC(Courses!Q132)&lt;&gt;Courses!Q132)), "Row "&amp;Courses!$A132&amp;", "&amp;AP$9&amp;", "&amp;AP$10&amp;"; ","")</f>
        <v/>
      </c>
      <c r="AQ138" s="1593" t="str">
        <f>IF(AND($V$9=1,(TRUNC(Courses!R132)&lt;&gt;Courses!R132)), "Row "&amp;Courses!$A132&amp;", "&amp;AQ$9&amp;", "&amp;AQ$10&amp;", "&amp;AQ$11&amp;"; ","")</f>
        <v/>
      </c>
      <c r="AR138" t="str">
        <f>IF(AND($V$9=1,(TRUNC(Courses!S132)&lt;&gt;Courses!S132)), "Row "&amp;Courses!$A132&amp;", "&amp;AR$9&amp;", "&amp;AR$10&amp;", "&amp;AR$11&amp;"; ","")</f>
        <v/>
      </c>
      <c r="AS138" t="str">
        <f>IF(AND($V$9=1,(TRUNC(Courses!T132)&lt;&gt;Courses!T132)), "Row "&amp;Courses!$A132&amp;", "&amp;AS$9&amp;", "&amp;AS$10&amp;", "&amp;AS$11&amp;"; ","")</f>
        <v/>
      </c>
      <c r="AT138" t="str">
        <f>IF(AND($V$9=1,(TRUNC(Courses!U132)&lt;&gt;Courses!U132)), "Row "&amp;Courses!$A132&amp;", "&amp;AT$9&amp;", "&amp;AT$10&amp;", "&amp;AT$11&amp;"; ","")</f>
        <v/>
      </c>
      <c r="AU138" s="2120" t="str">
        <f>IF(AND($V$9=1,(TRUNC(Courses!V132)&lt;&gt;Courses!V132)), "Row "&amp;Courses!$A132&amp;", "&amp;AU$9&amp;", "&amp;AU$10&amp;"; ","")</f>
        <v/>
      </c>
      <c r="AV138" s="1593" t="str">
        <f>IF(AND($V$9=1,(TRUNC(Courses!W132)&lt;&gt;Courses!W132)), "Row "&amp;Courses!$A132&amp;", "&amp;AV$9&amp;", "&amp;AV$10&amp;", "&amp;AV$11&amp;"; ","")</f>
        <v/>
      </c>
      <c r="AW138" t="str">
        <f>IF(AND($V$9=1,(TRUNC(Courses!X132)&lt;&gt;Courses!X132)), "Row "&amp;Courses!$A132&amp;", "&amp;AW$9&amp;", "&amp;AW$10&amp;", "&amp;AW$11&amp;"; ","")</f>
        <v/>
      </c>
      <c r="AX138" t="str">
        <f>IF(AND($V$9=1,(TRUNC(Courses!Y132)&lt;&gt;Courses!Y132)), "Row "&amp;Courses!$A132&amp;", "&amp;AX$9&amp;", "&amp;AX$10&amp;", "&amp;AX$11&amp;"; ","")</f>
        <v/>
      </c>
      <c r="AY138" t="str">
        <f>IF(AND($V$9=1,(TRUNC(Courses!Z132)&lt;&gt;Courses!Z132)), "Row "&amp;Courses!$A132&amp;", "&amp;AY$9&amp;", "&amp;AY$10&amp;", "&amp;AY$11&amp;"; ","")</f>
        <v/>
      </c>
      <c r="AZ138" s="2120" t="str">
        <f>IF(AND($V$9=1,(TRUNC(Courses!AA132)&lt;&gt;Courses!AA132)), "Row "&amp;Courses!$A132&amp;", "&amp;AZ$9&amp;", "&amp;AZ$10&amp;"; ","")</f>
        <v/>
      </c>
      <c r="BB138" s="118"/>
      <c r="BC138" s="3">
        <v>119</v>
      </c>
      <c r="BD138" s="1593" t="str">
        <f>IF(AND($W$9=1,Courses!M132&lt;0), "Row "&amp;Courses!$A132&amp;", "&amp;BD$9&amp;", "&amp;BD$10&amp;", "&amp;BD$11&amp;"; ","")</f>
        <v/>
      </c>
      <c r="BE138" t="str">
        <f>IF(AND($W$9=1,Courses!N132&lt;0), "Row "&amp;Courses!$A132&amp;", "&amp;BE$9&amp;", "&amp;BE$10&amp;", "&amp;BE$11&amp;"; ","")</f>
        <v/>
      </c>
      <c r="BF138" t="str">
        <f>IF(AND($W$9=1,Courses!O132&lt;0), "Row "&amp;Courses!$A132&amp;", "&amp;BF$9&amp;", "&amp;BF$10&amp;", "&amp;BF$11&amp;"; ","")</f>
        <v/>
      </c>
      <c r="BG138" t="str">
        <f>IF(AND($W$9=1,Courses!P132&lt;0), "Row "&amp;Courses!$A132&amp;", "&amp;BG$9&amp;", "&amp;BG$10&amp;", "&amp;BG$11&amp;"; ","")</f>
        <v/>
      </c>
      <c r="BH138" s="2120" t="str">
        <f>IF(AND($W$9=1,Courses!Q132&lt;0), "Row "&amp;Courses!$A132&amp;", "&amp;BH$9&amp;", "&amp;BH$10&amp;"; ","")</f>
        <v/>
      </c>
      <c r="BI138" s="1593" t="str">
        <f>IF(AND($W$9=1,Courses!R132&lt;0), "Row "&amp;Courses!$A132&amp;", "&amp;BI$9&amp;", "&amp;BI$10&amp;", "&amp;BI$11&amp;"; ","")</f>
        <v/>
      </c>
      <c r="BJ138" t="str">
        <f>IF(AND($W$9=1,Courses!S132&lt;0), "Row "&amp;Courses!$A132&amp;", "&amp;BJ$9&amp;", "&amp;BJ$10&amp;", "&amp;BJ$11&amp;"; ","")</f>
        <v/>
      </c>
      <c r="BK138" t="str">
        <f>IF(AND($W$9=1,Courses!T132&lt;0), "Row "&amp;Courses!$A132&amp;", "&amp;BK$9&amp;", "&amp;BK$10&amp;", "&amp;BK$11&amp;"; ","")</f>
        <v/>
      </c>
      <c r="BL138" t="str">
        <f>IF(AND($W$9=1,Courses!U132&lt;0), "Row "&amp;Courses!$A132&amp;", "&amp;BL$9&amp;", "&amp;BL$10&amp;", "&amp;BL$11&amp;"; ","")</f>
        <v/>
      </c>
      <c r="BM138" s="2120" t="str">
        <f>IF(AND($W$9=1,Courses!V132&lt;0), "Row "&amp;Courses!$A132&amp;", "&amp;BM$9&amp;", "&amp;BM$10&amp;"; ","")</f>
        <v/>
      </c>
      <c r="BN138" s="1593" t="str">
        <f>IF(AND($W$9=1,Courses!W132&lt;0), "Row "&amp;Courses!$A132&amp;", "&amp;BN$9&amp;", "&amp;BN$10&amp;", "&amp;BN$11&amp;"; ","")</f>
        <v/>
      </c>
      <c r="BO138" t="str">
        <f>IF(AND($W$9=1,Courses!X132&lt;0), "Row "&amp;Courses!$A132&amp;", "&amp;BO$9&amp;", "&amp;BO$10&amp;", "&amp;BO$11&amp;"; ","")</f>
        <v/>
      </c>
      <c r="BP138" t="str">
        <f>IF(AND($W$9=1,Courses!Y132&lt;0), "Row "&amp;Courses!$A132&amp;", "&amp;BP$9&amp;", "&amp;BP$10&amp;", "&amp;BP$11&amp;"; ","")</f>
        <v/>
      </c>
      <c r="BQ138" t="str">
        <f>IF(AND($W$9=1,Courses!Z132&lt;0), "Row "&amp;Courses!$A132&amp;", "&amp;BQ$9&amp;", "&amp;BQ$10&amp;", "&amp;BQ$11&amp;"; ","")</f>
        <v/>
      </c>
      <c r="BR138" s="2120" t="str">
        <f>IF(AND($W$9=1,Courses!AA132&lt;0), "Row "&amp;Courses!$A132&amp;", "&amp;BR$9&amp;", "&amp;BR$10&amp;"; ","")</f>
        <v/>
      </c>
      <c r="BT138" s="40">
        <v>119</v>
      </c>
      <c r="BU138" s="40">
        <f>IF(AND($X$9=1,Courses!B132="",Courses!F132="",Courses!H132="",Courses!J132="",Courses!K132="",Courses!L132="",Courses!M132=0,Courses!N132=0,Courses!O132=0,Courses!P132=0,Courses!Q132=0,Courses!R132=0,Courses!S132=0,Courses!T132=0,Courses!U132=0,Courses!V132=0,Courses!W132=0,Courses!X132=0,Courses!Y132=0,Courses!Z132=0,Courses!AA132=0),0,1)</f>
        <v>0</v>
      </c>
      <c r="BV138" s="40">
        <f>IF(AND(BU138=0,SUM(BU139:$BU$219)&gt;0),1,0)</f>
        <v>0</v>
      </c>
      <c r="BW138" s="1595" t="str">
        <f>IF(BV138=1,"Row "&amp;Courses!A132&amp;"; ","")</f>
        <v/>
      </c>
      <c r="BX138" s="17"/>
      <c r="BZ138" s="1592" t="str">
        <f>IF(AND($Y$9=1,Courses!B132&lt;&gt;"",SUM(Courses!M132:AA132)=0),"Row "&amp;Courses!A132&amp;"; ","")</f>
        <v/>
      </c>
      <c r="CA138" s="17"/>
      <c r="CC138" s="1592" t="str">
        <f>IF(AND($Z$9=1,Courses!AD132=1,(LEN(Courses!AB132)&gt;200)),"Row "&amp;Courses!A132&amp;"; ","")</f>
        <v/>
      </c>
      <c r="CE138" s="131"/>
      <c r="CG138" s="1593" t="str">
        <f>IF(AND($AD$9=1,Courses!E132&lt;&gt;"",Courses!F132&lt;&gt;"",Courses!F132=0,SUM(Courses!H132,Courses!J132)=1),"Row "&amp;Courses!A132&amp;", "&amp;Courses!$F$10&amp;"; ","")</f>
        <v/>
      </c>
      <c r="CH138" t="str">
        <f>IF(AND($AD$9=1,Courses!G132&lt;&gt;"",Courses!H132&lt;&gt;"",Courses!H132=0,SUM(Courses!J132,Courses!F132)=1),"Row "&amp;Courses!A132&amp;", "&amp;Courses!$H$10&amp;"; ","")</f>
        <v/>
      </c>
      <c r="CI138" s="183" t="str">
        <f>IF(AND($AD$9=1,Courses!I132&lt;&gt;"",Courses!J132&lt;&gt;"",Courses!J132=0, SUM(Courses!H132,Courses!F132)=1),"Row "&amp;Courses!A132&amp;", "&amp;Courses!$J$10&amp;"; ","")</f>
        <v/>
      </c>
      <c r="CJ138" s="180"/>
      <c r="CK138" s="181"/>
      <c r="CL138" s="1592" t="str">
        <f>IF(AND(Courses!B132&lt;&gt;"",ISNA(VLOOKUP(Courses!C132,CourseInfo,2,FALSE))=FALSE,COUNTIF(Dummy,Courses!C132)&lt;&gt;1),VLOOKUP(Courses!C132,CourseInfo,6,FALSE),"")</f>
        <v/>
      </c>
      <c r="CM138" s="1592" t="str">
        <f>IF(AND($AE$9=1,Courses!B132&lt;&gt;"",'Courses Valid'!AG138="",COUNTIF(Dummy,Courses!C132)&lt;&gt;1),IF(Courses!K132&lt;&gt;'Courses Valid'!CL138,"Row "&amp;Courses!A132&amp;", Level on LARS is "&amp;'Courses Valid'!CL138&amp;"; ",""),"")</f>
        <v/>
      </c>
      <c r="CN138" s="131"/>
    </row>
    <row r="139" spans="3:92" x14ac:dyDescent="0.35">
      <c r="C139" s="1591">
        <f t="shared" si="3"/>
        <v>0</v>
      </c>
      <c r="D139" s="41"/>
      <c r="E139" s="41"/>
      <c r="F139" s="118"/>
      <c r="G139" s="1592" t="str">
        <f>IF(SUMPRODUCT(--(CourseAims=Courses!$C133))=1,"",IF(AND($N$9=1,Courses!$C133&lt;&gt;""),"Row "&amp;Courses!A133&amp;" (invalid); ",""))</f>
        <v/>
      </c>
      <c r="H139" s="1592" t="str">
        <f>IF(AND($O$9=1,Courses!B133="",OR(Courses!F133&lt;&gt;"",Courses!H133&lt;&gt;"",Courses!J133&lt;&gt;"",Courses!K133&lt;&gt;"",Courses!L133&lt;&gt;"",Courses!M133&lt;&gt;0,Courses!N133&lt;&gt;0,Courses!O133&lt;&gt;0,Courses!P133&lt;&gt;0,Courses!Q133&lt;&gt;0,Courses!R133&lt;&gt;0,Courses!S133&lt;&gt;0,Courses!T133&lt;&gt;0,Courses!U133&lt;&gt;0,Courses!V133&lt;&gt;0,Courses!W133&lt;&gt;0,Courses!X133&lt;&gt;0,Courses!Y133&lt;&gt;0,Courses!Z133&lt;&gt;0,Courses!AA133&lt;&gt;0)),"Row "&amp;Courses!A133&amp;" (none); ","")</f>
        <v/>
      </c>
      <c r="I139" s="17"/>
      <c r="K139" s="1592" t="str">
        <f>Courses!B133&amp;Courses!K133&amp;Courses!L133</f>
        <v/>
      </c>
      <c r="L139" s="1592" t="str">
        <f>IF(AND($P$9=1,Courses!$B133&lt;&gt;"",COUNTIF(Dummy,Courses!$C133)&lt;&gt;1),IF(SUMPRODUCT(--($K$20:$K$219=$K139))&gt;1,"Row "&amp;Courses!$A133&amp;"; ",""),"")</f>
        <v/>
      </c>
      <c r="N139" s="118"/>
      <c r="O139" s="1593" t="str">
        <f>IF(AND($Q$9=1,Courses!E133&lt;&gt;"",Courses!F133=""),"Row "&amp;Courses!A133&amp;", "&amp;Courses!$E$10&amp;"; ","")</f>
        <v/>
      </c>
      <c r="P139" t="str">
        <f>IF(AND($Q$9=1,Courses!G133&lt;&gt;"",Courses!H133=""),"Row "&amp;Courses!A133&amp;", "&amp;Courses!$G$10&amp;"; ","")</f>
        <v/>
      </c>
      <c r="Q139" s="183" t="str">
        <f>IF(AND($Q$9=1,Courses!I133&lt;&gt;"",Courses!J133=""),"Row "&amp;Courses!A133&amp;", "&amp;Courses!$I$10&amp;"; ","")</f>
        <v/>
      </c>
      <c r="S139" s="17"/>
      <c r="T139" s="118"/>
      <c r="U139" s="1594" t="str">
        <f>IF(AND($R$9=1,Courses!B133&lt;&gt;"",Courses!E133&lt;&gt;"",Courses!G133="",Courses!I133="",Courses!F133&lt;&gt;1),"Row "&amp;Courses!A133&amp;"; ","")</f>
        <v/>
      </c>
      <c r="V139" t="str">
        <f>IF(AND($R$9=1,Courses!B133&lt;&gt;"",Courses!I133="",Courses!F133&lt;&gt;"",Courses!G133&lt;&gt;"",Courses!H133&lt;&gt;""),IF(OR((Courses!F133+Courses!H133)&lt;&gt;1),"Row "&amp;Courses!A133&amp;"; ",""),"")</f>
        <v/>
      </c>
      <c r="W139" s="183" t="str">
        <f>IF(AND($R$9=1,Courses!B133&lt;&gt;"",Courses!I133&lt;&gt;"",Courses!J133&lt;&gt;"",Courses!H133&lt;&gt;"",Courses!G133&lt;&gt;"",Courses!F133&lt;&gt;""),IF(OR((Courses!F133+Courses!H133+Courses!J133)&lt;&gt;1),"Row "&amp;Courses!A133&amp;"; ",""),"")</f>
        <v/>
      </c>
      <c r="Y139" s="1592" t="str">
        <f>IF(AND($R$9=1,Courses!E133&lt;&gt;"",U139="",V139="",W139="",SUM(Courses!F133,Courses!H133,Courses!J133)&lt;&gt;1),"Row "&amp;Courses!A133&amp;"; ","")</f>
        <v/>
      </c>
      <c r="Z139" s="17"/>
      <c r="AB139" s="1593" t="str">
        <f>IF(AND($S$9=1,Courses!B133&lt;&gt;"",Courses!E133&lt;&gt;"",Courses!F133&lt;&gt;""),IF((TRUNC(Courses!F133*100)&lt;&gt;Courses!F133*100),"Row "&amp;Courses!A133&amp;", "&amp;Courses!$F$10&amp;"; ",""),"")</f>
        <v/>
      </c>
      <c r="AC139" t="str">
        <f>IF(AND($S$9=1,Courses!B133&lt;&gt;"",Courses!G133&lt;&gt;"",Courses!H133&lt;&gt;""),IF((TRUNC(Courses!H133*100)&lt;&gt;Courses!H133*100),"Row "&amp;Courses!A133&amp;", "&amp;Courses!$H$10&amp;"; ",""),"")</f>
        <v/>
      </c>
      <c r="AD139" s="183" t="str">
        <f>IF(AND($S$9=1,Courses!B133&lt;&gt;"",Courses!I133&lt;&gt;"",Courses!J133&lt;&gt;""),IF((TRUNC(Courses!J133*100)&lt;&gt;Courses!J133*100),"Row "&amp;Courses!A133&amp;", "&amp;Courses!$J$10&amp;"; ",""),"")</f>
        <v/>
      </c>
      <c r="AF139" s="118"/>
      <c r="AG139" s="1592" t="str">
        <f>IF(AND($T$9=1,G139="",Courses!B133&lt;&gt;"",Courses!K133&lt;&gt;$B$9,Courses!K133&lt;&gt;$B$10,Courses!K133&lt;&gt;$B$11,Courses!K133&lt;&gt;$B$12,Courses!K133&lt;&gt;$B$13,Courses!K133&lt;&gt;$B$14),"Row "&amp;Courses!A133&amp;"; ","")</f>
        <v/>
      </c>
      <c r="AH139" s="1592" t="str">
        <f>IF(AND($U$9=1,G139="",Courses!B133&lt;&gt;"",Courses!L133&lt;&gt;"Standard",Courses!L133&lt;&gt;"Long"),"Row "&amp;Courses!A133&amp;"; ","")</f>
        <v/>
      </c>
      <c r="AJ139" s="118"/>
      <c r="AK139" s="3">
        <v>120</v>
      </c>
      <c r="AL139" s="1593" t="str">
        <f>IF(AND($V$9=1,(TRUNC(Courses!M133)&lt;&gt;Courses!M133)), "Row "&amp;Courses!$A133&amp;", "&amp;AL$9&amp;", "&amp;AL$10&amp;", "&amp;AL$11&amp;"; ","")</f>
        <v/>
      </c>
      <c r="AM139" t="str">
        <f>IF(AND($V$9=1,(TRUNC(Courses!N133)&lt;&gt;Courses!N133)), "Row "&amp;Courses!$A133&amp;", "&amp;AM$9&amp;", "&amp;AM$10&amp;", "&amp;AM$11&amp;"; ","")</f>
        <v/>
      </c>
      <c r="AN139" t="str">
        <f>IF(AND($V$9=1,(TRUNC(Courses!O133)&lt;&gt;Courses!O133)), "Row "&amp;Courses!$A133&amp;", "&amp;AN$9&amp;", "&amp;AN$10&amp;", "&amp;AN$11&amp;"; ","")</f>
        <v/>
      </c>
      <c r="AO139" t="str">
        <f>IF(AND($V$9=1,(TRUNC(Courses!P133)&lt;&gt;Courses!P133)), "Row "&amp;Courses!$A133&amp;", "&amp;AO$9&amp;", "&amp;AO$10&amp;", "&amp;AO$11&amp;"; ","")</f>
        <v/>
      </c>
      <c r="AP139" s="2120" t="str">
        <f>IF(AND($V$9=1,(TRUNC(Courses!Q133)&lt;&gt;Courses!Q133)), "Row "&amp;Courses!$A133&amp;", "&amp;AP$9&amp;", "&amp;AP$10&amp;"; ","")</f>
        <v/>
      </c>
      <c r="AQ139" s="1593" t="str">
        <f>IF(AND($V$9=1,(TRUNC(Courses!R133)&lt;&gt;Courses!R133)), "Row "&amp;Courses!$A133&amp;", "&amp;AQ$9&amp;", "&amp;AQ$10&amp;", "&amp;AQ$11&amp;"; ","")</f>
        <v/>
      </c>
      <c r="AR139" t="str">
        <f>IF(AND($V$9=1,(TRUNC(Courses!S133)&lt;&gt;Courses!S133)), "Row "&amp;Courses!$A133&amp;", "&amp;AR$9&amp;", "&amp;AR$10&amp;", "&amp;AR$11&amp;"; ","")</f>
        <v/>
      </c>
      <c r="AS139" t="str">
        <f>IF(AND($V$9=1,(TRUNC(Courses!T133)&lt;&gt;Courses!T133)), "Row "&amp;Courses!$A133&amp;", "&amp;AS$9&amp;", "&amp;AS$10&amp;", "&amp;AS$11&amp;"; ","")</f>
        <v/>
      </c>
      <c r="AT139" t="str">
        <f>IF(AND($V$9=1,(TRUNC(Courses!U133)&lt;&gt;Courses!U133)), "Row "&amp;Courses!$A133&amp;", "&amp;AT$9&amp;", "&amp;AT$10&amp;", "&amp;AT$11&amp;"; ","")</f>
        <v/>
      </c>
      <c r="AU139" s="2120" t="str">
        <f>IF(AND($V$9=1,(TRUNC(Courses!V133)&lt;&gt;Courses!V133)), "Row "&amp;Courses!$A133&amp;", "&amp;AU$9&amp;", "&amp;AU$10&amp;"; ","")</f>
        <v/>
      </c>
      <c r="AV139" s="1593" t="str">
        <f>IF(AND($V$9=1,(TRUNC(Courses!W133)&lt;&gt;Courses!W133)), "Row "&amp;Courses!$A133&amp;", "&amp;AV$9&amp;", "&amp;AV$10&amp;", "&amp;AV$11&amp;"; ","")</f>
        <v/>
      </c>
      <c r="AW139" t="str">
        <f>IF(AND($V$9=1,(TRUNC(Courses!X133)&lt;&gt;Courses!X133)), "Row "&amp;Courses!$A133&amp;", "&amp;AW$9&amp;", "&amp;AW$10&amp;", "&amp;AW$11&amp;"; ","")</f>
        <v/>
      </c>
      <c r="AX139" t="str">
        <f>IF(AND($V$9=1,(TRUNC(Courses!Y133)&lt;&gt;Courses!Y133)), "Row "&amp;Courses!$A133&amp;", "&amp;AX$9&amp;", "&amp;AX$10&amp;", "&amp;AX$11&amp;"; ","")</f>
        <v/>
      </c>
      <c r="AY139" t="str">
        <f>IF(AND($V$9=1,(TRUNC(Courses!Z133)&lt;&gt;Courses!Z133)), "Row "&amp;Courses!$A133&amp;", "&amp;AY$9&amp;", "&amp;AY$10&amp;", "&amp;AY$11&amp;"; ","")</f>
        <v/>
      </c>
      <c r="AZ139" s="2120" t="str">
        <f>IF(AND($V$9=1,(TRUNC(Courses!AA133)&lt;&gt;Courses!AA133)), "Row "&amp;Courses!$A133&amp;", "&amp;AZ$9&amp;", "&amp;AZ$10&amp;"; ","")</f>
        <v/>
      </c>
      <c r="BB139" s="118"/>
      <c r="BC139" s="3">
        <v>120</v>
      </c>
      <c r="BD139" s="1593" t="str">
        <f>IF(AND($W$9=1,Courses!M133&lt;0), "Row "&amp;Courses!$A133&amp;", "&amp;BD$9&amp;", "&amp;BD$10&amp;", "&amp;BD$11&amp;"; ","")</f>
        <v/>
      </c>
      <c r="BE139" t="str">
        <f>IF(AND($W$9=1,Courses!N133&lt;0), "Row "&amp;Courses!$A133&amp;", "&amp;BE$9&amp;", "&amp;BE$10&amp;", "&amp;BE$11&amp;"; ","")</f>
        <v/>
      </c>
      <c r="BF139" t="str">
        <f>IF(AND($W$9=1,Courses!O133&lt;0), "Row "&amp;Courses!$A133&amp;", "&amp;BF$9&amp;", "&amp;BF$10&amp;", "&amp;BF$11&amp;"; ","")</f>
        <v/>
      </c>
      <c r="BG139" t="str">
        <f>IF(AND($W$9=1,Courses!P133&lt;0), "Row "&amp;Courses!$A133&amp;", "&amp;BG$9&amp;", "&amp;BG$10&amp;", "&amp;BG$11&amp;"; ","")</f>
        <v/>
      </c>
      <c r="BH139" s="2120" t="str">
        <f>IF(AND($W$9=1,Courses!Q133&lt;0), "Row "&amp;Courses!$A133&amp;", "&amp;BH$9&amp;", "&amp;BH$10&amp;"; ","")</f>
        <v/>
      </c>
      <c r="BI139" s="1593" t="str">
        <f>IF(AND($W$9=1,Courses!R133&lt;0), "Row "&amp;Courses!$A133&amp;", "&amp;BI$9&amp;", "&amp;BI$10&amp;", "&amp;BI$11&amp;"; ","")</f>
        <v/>
      </c>
      <c r="BJ139" t="str">
        <f>IF(AND($W$9=1,Courses!S133&lt;0), "Row "&amp;Courses!$A133&amp;", "&amp;BJ$9&amp;", "&amp;BJ$10&amp;", "&amp;BJ$11&amp;"; ","")</f>
        <v/>
      </c>
      <c r="BK139" t="str">
        <f>IF(AND($W$9=1,Courses!T133&lt;0), "Row "&amp;Courses!$A133&amp;", "&amp;BK$9&amp;", "&amp;BK$10&amp;", "&amp;BK$11&amp;"; ","")</f>
        <v/>
      </c>
      <c r="BL139" t="str">
        <f>IF(AND($W$9=1,Courses!U133&lt;0), "Row "&amp;Courses!$A133&amp;", "&amp;BL$9&amp;", "&amp;BL$10&amp;", "&amp;BL$11&amp;"; ","")</f>
        <v/>
      </c>
      <c r="BM139" s="2120" t="str">
        <f>IF(AND($W$9=1,Courses!V133&lt;0), "Row "&amp;Courses!$A133&amp;", "&amp;BM$9&amp;", "&amp;BM$10&amp;"; ","")</f>
        <v/>
      </c>
      <c r="BN139" s="1593" t="str">
        <f>IF(AND($W$9=1,Courses!W133&lt;0), "Row "&amp;Courses!$A133&amp;", "&amp;BN$9&amp;", "&amp;BN$10&amp;", "&amp;BN$11&amp;"; ","")</f>
        <v/>
      </c>
      <c r="BO139" t="str">
        <f>IF(AND($W$9=1,Courses!X133&lt;0), "Row "&amp;Courses!$A133&amp;", "&amp;BO$9&amp;", "&amp;BO$10&amp;", "&amp;BO$11&amp;"; ","")</f>
        <v/>
      </c>
      <c r="BP139" t="str">
        <f>IF(AND($W$9=1,Courses!Y133&lt;0), "Row "&amp;Courses!$A133&amp;", "&amp;BP$9&amp;", "&amp;BP$10&amp;", "&amp;BP$11&amp;"; ","")</f>
        <v/>
      </c>
      <c r="BQ139" t="str">
        <f>IF(AND($W$9=1,Courses!Z133&lt;0), "Row "&amp;Courses!$A133&amp;", "&amp;BQ$9&amp;", "&amp;BQ$10&amp;", "&amp;BQ$11&amp;"; ","")</f>
        <v/>
      </c>
      <c r="BR139" s="2120" t="str">
        <f>IF(AND($W$9=1,Courses!AA133&lt;0), "Row "&amp;Courses!$A133&amp;", "&amp;BR$9&amp;", "&amp;BR$10&amp;"; ","")</f>
        <v/>
      </c>
      <c r="BT139" s="40">
        <v>120</v>
      </c>
      <c r="BU139" s="40">
        <f>IF(AND($X$9=1,Courses!B133="",Courses!F133="",Courses!H133="",Courses!J133="",Courses!K133="",Courses!L133="",Courses!M133=0,Courses!N133=0,Courses!O133=0,Courses!P133=0,Courses!Q133=0,Courses!R133=0,Courses!S133=0,Courses!T133=0,Courses!U133=0,Courses!V133=0,Courses!W133=0,Courses!X133=0,Courses!Y133=0,Courses!Z133=0,Courses!AA133=0),0,1)</f>
        <v>0</v>
      </c>
      <c r="BV139" s="40">
        <f>IF(AND(BU139=0,SUM(BU140:$BU$219)&gt;0),1,0)</f>
        <v>0</v>
      </c>
      <c r="BW139" s="1595" t="str">
        <f>IF(BV139=1,"Row "&amp;Courses!A133&amp;"; ","")</f>
        <v/>
      </c>
      <c r="BX139" s="17"/>
      <c r="BZ139" s="1592" t="str">
        <f>IF(AND($Y$9=1,Courses!B133&lt;&gt;"",SUM(Courses!M133:AA133)=0),"Row "&amp;Courses!A133&amp;"; ","")</f>
        <v/>
      </c>
      <c r="CA139" s="17"/>
      <c r="CC139" s="1592" t="str">
        <f>IF(AND($Z$9=1,Courses!AD133=1,(LEN(Courses!AB133)&gt;200)),"Row "&amp;Courses!A133&amp;"; ","")</f>
        <v/>
      </c>
      <c r="CE139" s="131"/>
      <c r="CG139" s="1593" t="str">
        <f>IF(AND($AD$9=1,Courses!E133&lt;&gt;"",Courses!F133&lt;&gt;"",Courses!F133=0,SUM(Courses!H133,Courses!J133)=1),"Row "&amp;Courses!A133&amp;", "&amp;Courses!$F$10&amp;"; ","")</f>
        <v/>
      </c>
      <c r="CH139" t="str">
        <f>IF(AND($AD$9=1,Courses!G133&lt;&gt;"",Courses!H133&lt;&gt;"",Courses!H133=0,SUM(Courses!J133,Courses!F133)=1),"Row "&amp;Courses!A133&amp;", "&amp;Courses!$H$10&amp;"; ","")</f>
        <v/>
      </c>
      <c r="CI139" s="183" t="str">
        <f>IF(AND($AD$9=1,Courses!I133&lt;&gt;"",Courses!J133&lt;&gt;"",Courses!J133=0, SUM(Courses!H133,Courses!F133)=1),"Row "&amp;Courses!A133&amp;", "&amp;Courses!$J$10&amp;"; ","")</f>
        <v/>
      </c>
      <c r="CJ139" s="180"/>
      <c r="CK139" s="181"/>
      <c r="CL139" s="1592" t="str">
        <f>IF(AND(Courses!B133&lt;&gt;"",ISNA(VLOOKUP(Courses!C133,CourseInfo,2,FALSE))=FALSE,COUNTIF(Dummy,Courses!C133)&lt;&gt;1),VLOOKUP(Courses!C133,CourseInfo,6,FALSE),"")</f>
        <v/>
      </c>
      <c r="CM139" s="1592" t="str">
        <f>IF(AND($AE$9=1,Courses!B133&lt;&gt;"",'Courses Valid'!AG139="",COUNTIF(Dummy,Courses!C133)&lt;&gt;1),IF(Courses!K133&lt;&gt;'Courses Valid'!CL139,"Row "&amp;Courses!A133&amp;", Level on LARS is "&amp;'Courses Valid'!CL139&amp;"; ",""),"")</f>
        <v/>
      </c>
      <c r="CN139" s="131"/>
    </row>
    <row r="140" spans="3:92" x14ac:dyDescent="0.35">
      <c r="C140" s="1591">
        <f t="shared" si="3"/>
        <v>0</v>
      </c>
      <c r="D140" s="41"/>
      <c r="E140" s="41"/>
      <c r="F140" s="118"/>
      <c r="G140" s="1592" t="str">
        <f>IF(SUMPRODUCT(--(CourseAims=Courses!$C134))=1,"",IF(AND($N$9=1,Courses!$C134&lt;&gt;""),"Row "&amp;Courses!A134&amp;" (invalid); ",""))</f>
        <v/>
      </c>
      <c r="H140" s="1592" t="str">
        <f>IF(AND($O$9=1,Courses!B134="",OR(Courses!F134&lt;&gt;"",Courses!H134&lt;&gt;"",Courses!J134&lt;&gt;"",Courses!K134&lt;&gt;"",Courses!L134&lt;&gt;"",Courses!M134&lt;&gt;0,Courses!N134&lt;&gt;0,Courses!O134&lt;&gt;0,Courses!P134&lt;&gt;0,Courses!Q134&lt;&gt;0,Courses!R134&lt;&gt;0,Courses!S134&lt;&gt;0,Courses!T134&lt;&gt;0,Courses!U134&lt;&gt;0,Courses!V134&lt;&gt;0,Courses!W134&lt;&gt;0,Courses!X134&lt;&gt;0,Courses!Y134&lt;&gt;0,Courses!Z134&lt;&gt;0,Courses!AA134&lt;&gt;0)),"Row "&amp;Courses!A134&amp;" (none); ","")</f>
        <v/>
      </c>
      <c r="I140" s="17"/>
      <c r="K140" s="1592" t="str">
        <f>Courses!B134&amp;Courses!K134&amp;Courses!L134</f>
        <v/>
      </c>
      <c r="L140" s="1592" t="str">
        <f>IF(AND($P$9=1,Courses!$B134&lt;&gt;"",COUNTIF(Dummy,Courses!$C134)&lt;&gt;1),IF(SUMPRODUCT(--($K$20:$K$219=$K140))&gt;1,"Row "&amp;Courses!$A134&amp;"; ",""),"")</f>
        <v/>
      </c>
      <c r="N140" s="118"/>
      <c r="O140" s="1593" t="str">
        <f>IF(AND($Q$9=1,Courses!E134&lt;&gt;"",Courses!F134=""),"Row "&amp;Courses!A134&amp;", "&amp;Courses!$E$10&amp;"; ","")</f>
        <v/>
      </c>
      <c r="P140" t="str">
        <f>IF(AND($Q$9=1,Courses!G134&lt;&gt;"",Courses!H134=""),"Row "&amp;Courses!A134&amp;", "&amp;Courses!$G$10&amp;"; ","")</f>
        <v/>
      </c>
      <c r="Q140" s="183" t="str">
        <f>IF(AND($Q$9=1,Courses!I134&lt;&gt;"",Courses!J134=""),"Row "&amp;Courses!A134&amp;", "&amp;Courses!$I$10&amp;"; ","")</f>
        <v/>
      </c>
      <c r="S140" s="17"/>
      <c r="T140" s="118"/>
      <c r="U140" s="1594" t="str">
        <f>IF(AND($R$9=1,Courses!B134&lt;&gt;"",Courses!E134&lt;&gt;"",Courses!G134="",Courses!I134="",Courses!F134&lt;&gt;1),"Row "&amp;Courses!A134&amp;"; ","")</f>
        <v/>
      </c>
      <c r="V140" t="str">
        <f>IF(AND($R$9=1,Courses!B134&lt;&gt;"",Courses!I134="",Courses!F134&lt;&gt;"",Courses!G134&lt;&gt;"",Courses!H134&lt;&gt;""),IF(OR((Courses!F134+Courses!H134)&lt;&gt;1),"Row "&amp;Courses!A134&amp;"; ",""),"")</f>
        <v/>
      </c>
      <c r="W140" s="183" t="str">
        <f>IF(AND($R$9=1,Courses!B134&lt;&gt;"",Courses!I134&lt;&gt;"",Courses!J134&lt;&gt;"",Courses!H134&lt;&gt;"",Courses!G134&lt;&gt;"",Courses!F134&lt;&gt;""),IF(OR((Courses!F134+Courses!H134+Courses!J134)&lt;&gt;1),"Row "&amp;Courses!A134&amp;"; ",""),"")</f>
        <v/>
      </c>
      <c r="Y140" s="1592" t="str">
        <f>IF(AND($R$9=1,Courses!E134&lt;&gt;"",U140="",V140="",W140="",SUM(Courses!F134,Courses!H134,Courses!J134)&lt;&gt;1),"Row "&amp;Courses!A134&amp;"; ","")</f>
        <v/>
      </c>
      <c r="Z140" s="17"/>
      <c r="AB140" s="1593" t="str">
        <f>IF(AND($S$9=1,Courses!B134&lt;&gt;"",Courses!E134&lt;&gt;"",Courses!F134&lt;&gt;""),IF((TRUNC(Courses!F134*100)&lt;&gt;Courses!F134*100),"Row "&amp;Courses!A134&amp;", "&amp;Courses!$F$10&amp;"; ",""),"")</f>
        <v/>
      </c>
      <c r="AC140" t="str">
        <f>IF(AND($S$9=1,Courses!B134&lt;&gt;"",Courses!G134&lt;&gt;"",Courses!H134&lt;&gt;""),IF((TRUNC(Courses!H134*100)&lt;&gt;Courses!H134*100),"Row "&amp;Courses!A134&amp;", "&amp;Courses!$H$10&amp;"; ",""),"")</f>
        <v/>
      </c>
      <c r="AD140" s="183" t="str">
        <f>IF(AND($S$9=1,Courses!B134&lt;&gt;"",Courses!I134&lt;&gt;"",Courses!J134&lt;&gt;""),IF((TRUNC(Courses!J134*100)&lt;&gt;Courses!J134*100),"Row "&amp;Courses!A134&amp;", "&amp;Courses!$J$10&amp;"; ",""),"")</f>
        <v/>
      </c>
      <c r="AF140" s="118"/>
      <c r="AG140" s="1592" t="str">
        <f>IF(AND($T$9=1,G140="",Courses!B134&lt;&gt;"",Courses!K134&lt;&gt;$B$9,Courses!K134&lt;&gt;$B$10,Courses!K134&lt;&gt;$B$11,Courses!K134&lt;&gt;$B$12,Courses!K134&lt;&gt;$B$13,Courses!K134&lt;&gt;$B$14),"Row "&amp;Courses!A134&amp;"; ","")</f>
        <v/>
      </c>
      <c r="AH140" s="1592" t="str">
        <f>IF(AND($U$9=1,G140="",Courses!B134&lt;&gt;"",Courses!L134&lt;&gt;"Standard",Courses!L134&lt;&gt;"Long"),"Row "&amp;Courses!A134&amp;"; ","")</f>
        <v/>
      </c>
      <c r="AJ140" s="118"/>
      <c r="AK140" s="3">
        <v>121</v>
      </c>
      <c r="AL140" s="1593" t="str">
        <f>IF(AND($V$9=1,(TRUNC(Courses!M134)&lt;&gt;Courses!M134)), "Row "&amp;Courses!$A134&amp;", "&amp;AL$9&amp;", "&amp;AL$10&amp;", "&amp;AL$11&amp;"; ","")</f>
        <v/>
      </c>
      <c r="AM140" t="str">
        <f>IF(AND($V$9=1,(TRUNC(Courses!N134)&lt;&gt;Courses!N134)), "Row "&amp;Courses!$A134&amp;", "&amp;AM$9&amp;", "&amp;AM$10&amp;", "&amp;AM$11&amp;"; ","")</f>
        <v/>
      </c>
      <c r="AN140" t="str">
        <f>IF(AND($V$9=1,(TRUNC(Courses!O134)&lt;&gt;Courses!O134)), "Row "&amp;Courses!$A134&amp;", "&amp;AN$9&amp;", "&amp;AN$10&amp;", "&amp;AN$11&amp;"; ","")</f>
        <v/>
      </c>
      <c r="AO140" t="str">
        <f>IF(AND($V$9=1,(TRUNC(Courses!P134)&lt;&gt;Courses!P134)), "Row "&amp;Courses!$A134&amp;", "&amp;AO$9&amp;", "&amp;AO$10&amp;", "&amp;AO$11&amp;"; ","")</f>
        <v/>
      </c>
      <c r="AP140" s="2120" t="str">
        <f>IF(AND($V$9=1,(TRUNC(Courses!Q134)&lt;&gt;Courses!Q134)), "Row "&amp;Courses!$A134&amp;", "&amp;AP$9&amp;", "&amp;AP$10&amp;"; ","")</f>
        <v/>
      </c>
      <c r="AQ140" s="1593" t="str">
        <f>IF(AND($V$9=1,(TRUNC(Courses!R134)&lt;&gt;Courses!R134)), "Row "&amp;Courses!$A134&amp;", "&amp;AQ$9&amp;", "&amp;AQ$10&amp;", "&amp;AQ$11&amp;"; ","")</f>
        <v/>
      </c>
      <c r="AR140" t="str">
        <f>IF(AND($V$9=1,(TRUNC(Courses!S134)&lt;&gt;Courses!S134)), "Row "&amp;Courses!$A134&amp;", "&amp;AR$9&amp;", "&amp;AR$10&amp;", "&amp;AR$11&amp;"; ","")</f>
        <v/>
      </c>
      <c r="AS140" t="str">
        <f>IF(AND($V$9=1,(TRUNC(Courses!T134)&lt;&gt;Courses!T134)), "Row "&amp;Courses!$A134&amp;", "&amp;AS$9&amp;", "&amp;AS$10&amp;", "&amp;AS$11&amp;"; ","")</f>
        <v/>
      </c>
      <c r="AT140" t="str">
        <f>IF(AND($V$9=1,(TRUNC(Courses!U134)&lt;&gt;Courses!U134)), "Row "&amp;Courses!$A134&amp;", "&amp;AT$9&amp;", "&amp;AT$10&amp;", "&amp;AT$11&amp;"; ","")</f>
        <v/>
      </c>
      <c r="AU140" s="2120" t="str">
        <f>IF(AND($V$9=1,(TRUNC(Courses!V134)&lt;&gt;Courses!V134)), "Row "&amp;Courses!$A134&amp;", "&amp;AU$9&amp;", "&amp;AU$10&amp;"; ","")</f>
        <v/>
      </c>
      <c r="AV140" s="1593" t="str">
        <f>IF(AND($V$9=1,(TRUNC(Courses!W134)&lt;&gt;Courses!W134)), "Row "&amp;Courses!$A134&amp;", "&amp;AV$9&amp;", "&amp;AV$10&amp;", "&amp;AV$11&amp;"; ","")</f>
        <v/>
      </c>
      <c r="AW140" t="str">
        <f>IF(AND($V$9=1,(TRUNC(Courses!X134)&lt;&gt;Courses!X134)), "Row "&amp;Courses!$A134&amp;", "&amp;AW$9&amp;", "&amp;AW$10&amp;", "&amp;AW$11&amp;"; ","")</f>
        <v/>
      </c>
      <c r="AX140" t="str">
        <f>IF(AND($V$9=1,(TRUNC(Courses!Y134)&lt;&gt;Courses!Y134)), "Row "&amp;Courses!$A134&amp;", "&amp;AX$9&amp;", "&amp;AX$10&amp;", "&amp;AX$11&amp;"; ","")</f>
        <v/>
      </c>
      <c r="AY140" t="str">
        <f>IF(AND($V$9=1,(TRUNC(Courses!Z134)&lt;&gt;Courses!Z134)), "Row "&amp;Courses!$A134&amp;", "&amp;AY$9&amp;", "&amp;AY$10&amp;", "&amp;AY$11&amp;"; ","")</f>
        <v/>
      </c>
      <c r="AZ140" s="2120" t="str">
        <f>IF(AND($V$9=1,(TRUNC(Courses!AA134)&lt;&gt;Courses!AA134)), "Row "&amp;Courses!$A134&amp;", "&amp;AZ$9&amp;", "&amp;AZ$10&amp;"; ","")</f>
        <v/>
      </c>
      <c r="BB140" s="118"/>
      <c r="BC140" s="3">
        <v>121</v>
      </c>
      <c r="BD140" s="1593" t="str">
        <f>IF(AND($W$9=1,Courses!M134&lt;0), "Row "&amp;Courses!$A134&amp;", "&amp;BD$9&amp;", "&amp;BD$10&amp;", "&amp;BD$11&amp;"; ","")</f>
        <v/>
      </c>
      <c r="BE140" t="str">
        <f>IF(AND($W$9=1,Courses!N134&lt;0), "Row "&amp;Courses!$A134&amp;", "&amp;BE$9&amp;", "&amp;BE$10&amp;", "&amp;BE$11&amp;"; ","")</f>
        <v/>
      </c>
      <c r="BF140" t="str">
        <f>IF(AND($W$9=1,Courses!O134&lt;0), "Row "&amp;Courses!$A134&amp;", "&amp;BF$9&amp;", "&amp;BF$10&amp;", "&amp;BF$11&amp;"; ","")</f>
        <v/>
      </c>
      <c r="BG140" t="str">
        <f>IF(AND($W$9=1,Courses!P134&lt;0), "Row "&amp;Courses!$A134&amp;", "&amp;BG$9&amp;", "&amp;BG$10&amp;", "&amp;BG$11&amp;"; ","")</f>
        <v/>
      </c>
      <c r="BH140" s="2120" t="str">
        <f>IF(AND($W$9=1,Courses!Q134&lt;0), "Row "&amp;Courses!$A134&amp;", "&amp;BH$9&amp;", "&amp;BH$10&amp;"; ","")</f>
        <v/>
      </c>
      <c r="BI140" s="1593" t="str">
        <f>IF(AND($W$9=1,Courses!R134&lt;0), "Row "&amp;Courses!$A134&amp;", "&amp;BI$9&amp;", "&amp;BI$10&amp;", "&amp;BI$11&amp;"; ","")</f>
        <v/>
      </c>
      <c r="BJ140" t="str">
        <f>IF(AND($W$9=1,Courses!S134&lt;0), "Row "&amp;Courses!$A134&amp;", "&amp;BJ$9&amp;", "&amp;BJ$10&amp;", "&amp;BJ$11&amp;"; ","")</f>
        <v/>
      </c>
      <c r="BK140" t="str">
        <f>IF(AND($W$9=1,Courses!T134&lt;0), "Row "&amp;Courses!$A134&amp;", "&amp;BK$9&amp;", "&amp;BK$10&amp;", "&amp;BK$11&amp;"; ","")</f>
        <v/>
      </c>
      <c r="BL140" t="str">
        <f>IF(AND($W$9=1,Courses!U134&lt;0), "Row "&amp;Courses!$A134&amp;", "&amp;BL$9&amp;", "&amp;BL$10&amp;", "&amp;BL$11&amp;"; ","")</f>
        <v/>
      </c>
      <c r="BM140" s="2120" t="str">
        <f>IF(AND($W$9=1,Courses!V134&lt;0), "Row "&amp;Courses!$A134&amp;", "&amp;BM$9&amp;", "&amp;BM$10&amp;"; ","")</f>
        <v/>
      </c>
      <c r="BN140" s="1593" t="str">
        <f>IF(AND($W$9=1,Courses!W134&lt;0), "Row "&amp;Courses!$A134&amp;", "&amp;BN$9&amp;", "&amp;BN$10&amp;", "&amp;BN$11&amp;"; ","")</f>
        <v/>
      </c>
      <c r="BO140" t="str">
        <f>IF(AND($W$9=1,Courses!X134&lt;0), "Row "&amp;Courses!$A134&amp;", "&amp;BO$9&amp;", "&amp;BO$10&amp;", "&amp;BO$11&amp;"; ","")</f>
        <v/>
      </c>
      <c r="BP140" t="str">
        <f>IF(AND($W$9=1,Courses!Y134&lt;0), "Row "&amp;Courses!$A134&amp;", "&amp;BP$9&amp;", "&amp;BP$10&amp;", "&amp;BP$11&amp;"; ","")</f>
        <v/>
      </c>
      <c r="BQ140" t="str">
        <f>IF(AND($W$9=1,Courses!Z134&lt;0), "Row "&amp;Courses!$A134&amp;", "&amp;BQ$9&amp;", "&amp;BQ$10&amp;", "&amp;BQ$11&amp;"; ","")</f>
        <v/>
      </c>
      <c r="BR140" s="2120" t="str">
        <f>IF(AND($W$9=1,Courses!AA134&lt;0), "Row "&amp;Courses!$A134&amp;", "&amp;BR$9&amp;", "&amp;BR$10&amp;"; ","")</f>
        <v/>
      </c>
      <c r="BT140" s="40">
        <v>121</v>
      </c>
      <c r="BU140" s="40">
        <f>IF(AND($X$9=1,Courses!B134="",Courses!F134="",Courses!H134="",Courses!J134="",Courses!K134="",Courses!L134="",Courses!M134=0,Courses!N134=0,Courses!O134=0,Courses!P134=0,Courses!Q134=0,Courses!R134=0,Courses!S134=0,Courses!T134=0,Courses!U134=0,Courses!V134=0,Courses!W134=0,Courses!X134=0,Courses!Y134=0,Courses!Z134=0,Courses!AA134=0),0,1)</f>
        <v>0</v>
      </c>
      <c r="BV140" s="40">
        <f>IF(AND(BU140=0,SUM(BU141:$BU$219)&gt;0),1,0)</f>
        <v>0</v>
      </c>
      <c r="BW140" s="1595" t="str">
        <f>IF(BV140=1,"Row "&amp;Courses!A134&amp;"; ","")</f>
        <v/>
      </c>
      <c r="BX140" s="17"/>
      <c r="BZ140" s="1592" t="str">
        <f>IF(AND($Y$9=1,Courses!B134&lt;&gt;"",SUM(Courses!M134:AA134)=0),"Row "&amp;Courses!A134&amp;"; ","")</f>
        <v/>
      </c>
      <c r="CA140" s="17"/>
      <c r="CC140" s="1592" t="str">
        <f>IF(AND($Z$9=1,Courses!AD134=1,(LEN(Courses!AB134)&gt;200)),"Row "&amp;Courses!A134&amp;"; ","")</f>
        <v/>
      </c>
      <c r="CE140" s="131"/>
      <c r="CG140" s="1593" t="str">
        <f>IF(AND($AD$9=1,Courses!E134&lt;&gt;"",Courses!F134&lt;&gt;"",Courses!F134=0,SUM(Courses!H134,Courses!J134)=1),"Row "&amp;Courses!A134&amp;", "&amp;Courses!$F$10&amp;"; ","")</f>
        <v/>
      </c>
      <c r="CH140" t="str">
        <f>IF(AND($AD$9=1,Courses!G134&lt;&gt;"",Courses!H134&lt;&gt;"",Courses!H134=0,SUM(Courses!J134,Courses!F134)=1),"Row "&amp;Courses!A134&amp;", "&amp;Courses!$H$10&amp;"; ","")</f>
        <v/>
      </c>
      <c r="CI140" s="183" t="str">
        <f>IF(AND($AD$9=1,Courses!I134&lt;&gt;"",Courses!J134&lt;&gt;"",Courses!J134=0, SUM(Courses!H134,Courses!F134)=1),"Row "&amp;Courses!A134&amp;", "&amp;Courses!$J$10&amp;"; ","")</f>
        <v/>
      </c>
      <c r="CJ140" s="180"/>
      <c r="CK140" s="181"/>
      <c r="CL140" s="1592" t="str">
        <f>IF(AND(Courses!B134&lt;&gt;"",ISNA(VLOOKUP(Courses!C134,CourseInfo,2,FALSE))=FALSE,COUNTIF(Dummy,Courses!C134)&lt;&gt;1),VLOOKUP(Courses!C134,CourseInfo,6,FALSE),"")</f>
        <v/>
      </c>
      <c r="CM140" s="1592" t="str">
        <f>IF(AND($AE$9=1,Courses!B134&lt;&gt;"",'Courses Valid'!AG140="",COUNTIF(Dummy,Courses!C134)&lt;&gt;1),IF(Courses!K134&lt;&gt;'Courses Valid'!CL140,"Row "&amp;Courses!A134&amp;", Level on LARS is "&amp;'Courses Valid'!CL140&amp;"; ",""),"")</f>
        <v/>
      </c>
      <c r="CN140" s="131"/>
    </row>
    <row r="141" spans="3:92" x14ac:dyDescent="0.35">
      <c r="C141" s="1591">
        <f t="shared" si="3"/>
        <v>0</v>
      </c>
      <c r="D141" s="41"/>
      <c r="E141" s="41"/>
      <c r="F141" s="118"/>
      <c r="G141" s="1592" t="str">
        <f>IF(SUMPRODUCT(--(CourseAims=Courses!$C135))=1,"",IF(AND($N$9=1,Courses!$C135&lt;&gt;""),"Row "&amp;Courses!A135&amp;" (invalid); ",""))</f>
        <v/>
      </c>
      <c r="H141" s="1592" t="str">
        <f>IF(AND($O$9=1,Courses!B135="",OR(Courses!F135&lt;&gt;"",Courses!H135&lt;&gt;"",Courses!J135&lt;&gt;"",Courses!K135&lt;&gt;"",Courses!L135&lt;&gt;"",Courses!M135&lt;&gt;0,Courses!N135&lt;&gt;0,Courses!O135&lt;&gt;0,Courses!P135&lt;&gt;0,Courses!Q135&lt;&gt;0,Courses!R135&lt;&gt;0,Courses!S135&lt;&gt;0,Courses!T135&lt;&gt;0,Courses!U135&lt;&gt;0,Courses!V135&lt;&gt;0,Courses!W135&lt;&gt;0,Courses!X135&lt;&gt;0,Courses!Y135&lt;&gt;0,Courses!Z135&lt;&gt;0,Courses!AA135&lt;&gt;0)),"Row "&amp;Courses!A135&amp;" (none); ","")</f>
        <v/>
      </c>
      <c r="I141" s="17"/>
      <c r="K141" s="1592" t="str">
        <f>Courses!B135&amp;Courses!K135&amp;Courses!L135</f>
        <v/>
      </c>
      <c r="L141" s="1592" t="str">
        <f>IF(AND($P$9=1,Courses!$B135&lt;&gt;"",COUNTIF(Dummy,Courses!$C135)&lt;&gt;1),IF(SUMPRODUCT(--($K$20:$K$219=$K141))&gt;1,"Row "&amp;Courses!$A135&amp;"; ",""),"")</f>
        <v/>
      </c>
      <c r="N141" s="118"/>
      <c r="O141" s="1593" t="str">
        <f>IF(AND($Q$9=1,Courses!E135&lt;&gt;"",Courses!F135=""),"Row "&amp;Courses!A135&amp;", "&amp;Courses!$E$10&amp;"; ","")</f>
        <v/>
      </c>
      <c r="P141" t="str">
        <f>IF(AND($Q$9=1,Courses!G135&lt;&gt;"",Courses!H135=""),"Row "&amp;Courses!A135&amp;", "&amp;Courses!$G$10&amp;"; ","")</f>
        <v/>
      </c>
      <c r="Q141" s="183" t="str">
        <f>IF(AND($Q$9=1,Courses!I135&lt;&gt;"",Courses!J135=""),"Row "&amp;Courses!A135&amp;", "&amp;Courses!$I$10&amp;"; ","")</f>
        <v/>
      </c>
      <c r="S141" s="17"/>
      <c r="T141" s="118"/>
      <c r="U141" s="1594" t="str">
        <f>IF(AND($R$9=1,Courses!B135&lt;&gt;"",Courses!E135&lt;&gt;"",Courses!G135="",Courses!I135="",Courses!F135&lt;&gt;1),"Row "&amp;Courses!A135&amp;"; ","")</f>
        <v/>
      </c>
      <c r="V141" t="str">
        <f>IF(AND($R$9=1,Courses!B135&lt;&gt;"",Courses!I135="",Courses!F135&lt;&gt;"",Courses!G135&lt;&gt;"",Courses!H135&lt;&gt;""),IF(OR((Courses!F135+Courses!H135)&lt;&gt;1),"Row "&amp;Courses!A135&amp;"; ",""),"")</f>
        <v/>
      </c>
      <c r="W141" s="183" t="str">
        <f>IF(AND($R$9=1,Courses!B135&lt;&gt;"",Courses!I135&lt;&gt;"",Courses!J135&lt;&gt;"",Courses!H135&lt;&gt;"",Courses!G135&lt;&gt;"",Courses!F135&lt;&gt;""),IF(OR((Courses!F135+Courses!H135+Courses!J135)&lt;&gt;1),"Row "&amp;Courses!A135&amp;"; ",""),"")</f>
        <v/>
      </c>
      <c r="Y141" s="1592" t="str">
        <f>IF(AND($R$9=1,Courses!E135&lt;&gt;"",U141="",V141="",W141="",SUM(Courses!F135,Courses!H135,Courses!J135)&lt;&gt;1),"Row "&amp;Courses!A135&amp;"; ","")</f>
        <v/>
      </c>
      <c r="Z141" s="17"/>
      <c r="AB141" s="1593" t="str">
        <f>IF(AND($S$9=1,Courses!B135&lt;&gt;"",Courses!E135&lt;&gt;"",Courses!F135&lt;&gt;""),IF((TRUNC(Courses!F135*100)&lt;&gt;Courses!F135*100),"Row "&amp;Courses!A135&amp;", "&amp;Courses!$F$10&amp;"; ",""),"")</f>
        <v/>
      </c>
      <c r="AC141" t="str">
        <f>IF(AND($S$9=1,Courses!B135&lt;&gt;"",Courses!G135&lt;&gt;"",Courses!H135&lt;&gt;""),IF((TRUNC(Courses!H135*100)&lt;&gt;Courses!H135*100),"Row "&amp;Courses!A135&amp;", "&amp;Courses!$H$10&amp;"; ",""),"")</f>
        <v/>
      </c>
      <c r="AD141" s="183" t="str">
        <f>IF(AND($S$9=1,Courses!B135&lt;&gt;"",Courses!I135&lt;&gt;"",Courses!J135&lt;&gt;""),IF((TRUNC(Courses!J135*100)&lt;&gt;Courses!J135*100),"Row "&amp;Courses!A135&amp;", "&amp;Courses!$J$10&amp;"; ",""),"")</f>
        <v/>
      </c>
      <c r="AF141" s="118"/>
      <c r="AG141" s="1592" t="str">
        <f>IF(AND($T$9=1,G141="",Courses!B135&lt;&gt;"",Courses!K135&lt;&gt;$B$9,Courses!K135&lt;&gt;$B$10,Courses!K135&lt;&gt;$B$11,Courses!K135&lt;&gt;$B$12,Courses!K135&lt;&gt;$B$13,Courses!K135&lt;&gt;$B$14),"Row "&amp;Courses!A135&amp;"; ","")</f>
        <v/>
      </c>
      <c r="AH141" s="1592" t="str">
        <f>IF(AND($U$9=1,G141="",Courses!B135&lt;&gt;"",Courses!L135&lt;&gt;"Standard",Courses!L135&lt;&gt;"Long"),"Row "&amp;Courses!A135&amp;"; ","")</f>
        <v/>
      </c>
      <c r="AJ141" s="118"/>
      <c r="AK141" s="3">
        <v>122</v>
      </c>
      <c r="AL141" s="1593" t="str">
        <f>IF(AND($V$9=1,(TRUNC(Courses!M135)&lt;&gt;Courses!M135)), "Row "&amp;Courses!$A135&amp;", "&amp;AL$9&amp;", "&amp;AL$10&amp;", "&amp;AL$11&amp;"; ","")</f>
        <v/>
      </c>
      <c r="AM141" t="str">
        <f>IF(AND($V$9=1,(TRUNC(Courses!N135)&lt;&gt;Courses!N135)), "Row "&amp;Courses!$A135&amp;", "&amp;AM$9&amp;", "&amp;AM$10&amp;", "&amp;AM$11&amp;"; ","")</f>
        <v/>
      </c>
      <c r="AN141" t="str">
        <f>IF(AND($V$9=1,(TRUNC(Courses!O135)&lt;&gt;Courses!O135)), "Row "&amp;Courses!$A135&amp;", "&amp;AN$9&amp;", "&amp;AN$10&amp;", "&amp;AN$11&amp;"; ","")</f>
        <v/>
      </c>
      <c r="AO141" t="str">
        <f>IF(AND($V$9=1,(TRUNC(Courses!P135)&lt;&gt;Courses!P135)), "Row "&amp;Courses!$A135&amp;", "&amp;AO$9&amp;", "&amp;AO$10&amp;", "&amp;AO$11&amp;"; ","")</f>
        <v/>
      </c>
      <c r="AP141" s="2120" t="str">
        <f>IF(AND($V$9=1,(TRUNC(Courses!Q135)&lt;&gt;Courses!Q135)), "Row "&amp;Courses!$A135&amp;", "&amp;AP$9&amp;", "&amp;AP$10&amp;"; ","")</f>
        <v/>
      </c>
      <c r="AQ141" s="1593" t="str">
        <f>IF(AND($V$9=1,(TRUNC(Courses!R135)&lt;&gt;Courses!R135)), "Row "&amp;Courses!$A135&amp;", "&amp;AQ$9&amp;", "&amp;AQ$10&amp;", "&amp;AQ$11&amp;"; ","")</f>
        <v/>
      </c>
      <c r="AR141" t="str">
        <f>IF(AND($V$9=1,(TRUNC(Courses!S135)&lt;&gt;Courses!S135)), "Row "&amp;Courses!$A135&amp;", "&amp;AR$9&amp;", "&amp;AR$10&amp;", "&amp;AR$11&amp;"; ","")</f>
        <v/>
      </c>
      <c r="AS141" t="str">
        <f>IF(AND($V$9=1,(TRUNC(Courses!T135)&lt;&gt;Courses!T135)), "Row "&amp;Courses!$A135&amp;", "&amp;AS$9&amp;", "&amp;AS$10&amp;", "&amp;AS$11&amp;"; ","")</f>
        <v/>
      </c>
      <c r="AT141" t="str">
        <f>IF(AND($V$9=1,(TRUNC(Courses!U135)&lt;&gt;Courses!U135)), "Row "&amp;Courses!$A135&amp;", "&amp;AT$9&amp;", "&amp;AT$10&amp;", "&amp;AT$11&amp;"; ","")</f>
        <v/>
      </c>
      <c r="AU141" s="2120" t="str">
        <f>IF(AND($V$9=1,(TRUNC(Courses!V135)&lt;&gt;Courses!V135)), "Row "&amp;Courses!$A135&amp;", "&amp;AU$9&amp;", "&amp;AU$10&amp;"; ","")</f>
        <v/>
      </c>
      <c r="AV141" s="1593" t="str">
        <f>IF(AND($V$9=1,(TRUNC(Courses!W135)&lt;&gt;Courses!W135)), "Row "&amp;Courses!$A135&amp;", "&amp;AV$9&amp;", "&amp;AV$10&amp;", "&amp;AV$11&amp;"; ","")</f>
        <v/>
      </c>
      <c r="AW141" t="str">
        <f>IF(AND($V$9=1,(TRUNC(Courses!X135)&lt;&gt;Courses!X135)), "Row "&amp;Courses!$A135&amp;", "&amp;AW$9&amp;", "&amp;AW$10&amp;", "&amp;AW$11&amp;"; ","")</f>
        <v/>
      </c>
      <c r="AX141" t="str">
        <f>IF(AND($V$9=1,(TRUNC(Courses!Y135)&lt;&gt;Courses!Y135)), "Row "&amp;Courses!$A135&amp;", "&amp;AX$9&amp;", "&amp;AX$10&amp;", "&amp;AX$11&amp;"; ","")</f>
        <v/>
      </c>
      <c r="AY141" t="str">
        <f>IF(AND($V$9=1,(TRUNC(Courses!Z135)&lt;&gt;Courses!Z135)), "Row "&amp;Courses!$A135&amp;", "&amp;AY$9&amp;", "&amp;AY$10&amp;", "&amp;AY$11&amp;"; ","")</f>
        <v/>
      </c>
      <c r="AZ141" s="2120" t="str">
        <f>IF(AND($V$9=1,(TRUNC(Courses!AA135)&lt;&gt;Courses!AA135)), "Row "&amp;Courses!$A135&amp;", "&amp;AZ$9&amp;", "&amp;AZ$10&amp;"; ","")</f>
        <v/>
      </c>
      <c r="BB141" s="118"/>
      <c r="BC141" s="3">
        <v>122</v>
      </c>
      <c r="BD141" s="1593" t="str">
        <f>IF(AND($W$9=1,Courses!M135&lt;0), "Row "&amp;Courses!$A135&amp;", "&amp;BD$9&amp;", "&amp;BD$10&amp;", "&amp;BD$11&amp;"; ","")</f>
        <v/>
      </c>
      <c r="BE141" t="str">
        <f>IF(AND($W$9=1,Courses!N135&lt;0), "Row "&amp;Courses!$A135&amp;", "&amp;BE$9&amp;", "&amp;BE$10&amp;", "&amp;BE$11&amp;"; ","")</f>
        <v/>
      </c>
      <c r="BF141" t="str">
        <f>IF(AND($W$9=1,Courses!O135&lt;0), "Row "&amp;Courses!$A135&amp;", "&amp;BF$9&amp;", "&amp;BF$10&amp;", "&amp;BF$11&amp;"; ","")</f>
        <v/>
      </c>
      <c r="BG141" t="str">
        <f>IF(AND($W$9=1,Courses!P135&lt;0), "Row "&amp;Courses!$A135&amp;", "&amp;BG$9&amp;", "&amp;BG$10&amp;", "&amp;BG$11&amp;"; ","")</f>
        <v/>
      </c>
      <c r="BH141" s="2120" t="str">
        <f>IF(AND($W$9=1,Courses!Q135&lt;0), "Row "&amp;Courses!$A135&amp;", "&amp;BH$9&amp;", "&amp;BH$10&amp;"; ","")</f>
        <v/>
      </c>
      <c r="BI141" s="1593" t="str">
        <f>IF(AND($W$9=1,Courses!R135&lt;0), "Row "&amp;Courses!$A135&amp;", "&amp;BI$9&amp;", "&amp;BI$10&amp;", "&amp;BI$11&amp;"; ","")</f>
        <v/>
      </c>
      <c r="BJ141" t="str">
        <f>IF(AND($W$9=1,Courses!S135&lt;0), "Row "&amp;Courses!$A135&amp;", "&amp;BJ$9&amp;", "&amp;BJ$10&amp;", "&amp;BJ$11&amp;"; ","")</f>
        <v/>
      </c>
      <c r="BK141" t="str">
        <f>IF(AND($W$9=1,Courses!T135&lt;0), "Row "&amp;Courses!$A135&amp;", "&amp;BK$9&amp;", "&amp;BK$10&amp;", "&amp;BK$11&amp;"; ","")</f>
        <v/>
      </c>
      <c r="BL141" t="str">
        <f>IF(AND($W$9=1,Courses!U135&lt;0), "Row "&amp;Courses!$A135&amp;", "&amp;BL$9&amp;", "&amp;BL$10&amp;", "&amp;BL$11&amp;"; ","")</f>
        <v/>
      </c>
      <c r="BM141" s="2120" t="str">
        <f>IF(AND($W$9=1,Courses!V135&lt;0), "Row "&amp;Courses!$A135&amp;", "&amp;BM$9&amp;", "&amp;BM$10&amp;"; ","")</f>
        <v/>
      </c>
      <c r="BN141" s="1593" t="str">
        <f>IF(AND($W$9=1,Courses!W135&lt;0), "Row "&amp;Courses!$A135&amp;", "&amp;BN$9&amp;", "&amp;BN$10&amp;", "&amp;BN$11&amp;"; ","")</f>
        <v/>
      </c>
      <c r="BO141" t="str">
        <f>IF(AND($W$9=1,Courses!X135&lt;0), "Row "&amp;Courses!$A135&amp;", "&amp;BO$9&amp;", "&amp;BO$10&amp;", "&amp;BO$11&amp;"; ","")</f>
        <v/>
      </c>
      <c r="BP141" t="str">
        <f>IF(AND($W$9=1,Courses!Y135&lt;0), "Row "&amp;Courses!$A135&amp;", "&amp;BP$9&amp;", "&amp;BP$10&amp;", "&amp;BP$11&amp;"; ","")</f>
        <v/>
      </c>
      <c r="BQ141" t="str">
        <f>IF(AND($W$9=1,Courses!Z135&lt;0), "Row "&amp;Courses!$A135&amp;", "&amp;BQ$9&amp;", "&amp;BQ$10&amp;", "&amp;BQ$11&amp;"; ","")</f>
        <v/>
      </c>
      <c r="BR141" s="2120" t="str">
        <f>IF(AND($W$9=1,Courses!AA135&lt;0), "Row "&amp;Courses!$A135&amp;", "&amp;BR$9&amp;", "&amp;BR$10&amp;"; ","")</f>
        <v/>
      </c>
      <c r="BT141" s="40">
        <v>122</v>
      </c>
      <c r="BU141" s="40">
        <f>IF(AND($X$9=1,Courses!B135="",Courses!F135="",Courses!H135="",Courses!J135="",Courses!K135="",Courses!L135="",Courses!M135=0,Courses!N135=0,Courses!O135=0,Courses!P135=0,Courses!Q135=0,Courses!R135=0,Courses!S135=0,Courses!T135=0,Courses!U135=0,Courses!V135=0,Courses!W135=0,Courses!X135=0,Courses!Y135=0,Courses!Z135=0,Courses!AA135=0),0,1)</f>
        <v>0</v>
      </c>
      <c r="BV141" s="40">
        <f>IF(AND(BU141=0,SUM(BU142:$BU$219)&gt;0),1,0)</f>
        <v>0</v>
      </c>
      <c r="BW141" s="1595" t="str">
        <f>IF(BV141=1,"Row "&amp;Courses!A135&amp;"; ","")</f>
        <v/>
      </c>
      <c r="BX141" s="17"/>
      <c r="BZ141" s="1592" t="str">
        <f>IF(AND($Y$9=1,Courses!B135&lt;&gt;"",SUM(Courses!M135:AA135)=0),"Row "&amp;Courses!A135&amp;"; ","")</f>
        <v/>
      </c>
      <c r="CA141" s="17"/>
      <c r="CC141" s="1592" t="str">
        <f>IF(AND($Z$9=1,Courses!AD135=1,(LEN(Courses!AB135)&gt;200)),"Row "&amp;Courses!A135&amp;"; ","")</f>
        <v/>
      </c>
      <c r="CE141" s="131"/>
      <c r="CG141" s="1593" t="str">
        <f>IF(AND($AD$9=1,Courses!E135&lt;&gt;"",Courses!F135&lt;&gt;"",Courses!F135=0,SUM(Courses!H135,Courses!J135)=1),"Row "&amp;Courses!A135&amp;", "&amp;Courses!$F$10&amp;"; ","")</f>
        <v/>
      </c>
      <c r="CH141" t="str">
        <f>IF(AND($AD$9=1,Courses!G135&lt;&gt;"",Courses!H135&lt;&gt;"",Courses!H135=0,SUM(Courses!J135,Courses!F135)=1),"Row "&amp;Courses!A135&amp;", "&amp;Courses!$H$10&amp;"; ","")</f>
        <v/>
      </c>
      <c r="CI141" s="183" t="str">
        <f>IF(AND($AD$9=1,Courses!I135&lt;&gt;"",Courses!J135&lt;&gt;"",Courses!J135=0, SUM(Courses!H135,Courses!F135)=1),"Row "&amp;Courses!A135&amp;", "&amp;Courses!$J$10&amp;"; ","")</f>
        <v/>
      </c>
      <c r="CJ141" s="180"/>
      <c r="CK141" s="181"/>
      <c r="CL141" s="1592" t="str">
        <f>IF(AND(Courses!B135&lt;&gt;"",ISNA(VLOOKUP(Courses!C135,CourseInfo,2,FALSE))=FALSE,COUNTIF(Dummy,Courses!C135)&lt;&gt;1),VLOOKUP(Courses!C135,CourseInfo,6,FALSE),"")</f>
        <v/>
      </c>
      <c r="CM141" s="1592" t="str">
        <f>IF(AND($AE$9=1,Courses!B135&lt;&gt;"",'Courses Valid'!AG141="",COUNTIF(Dummy,Courses!C135)&lt;&gt;1),IF(Courses!K135&lt;&gt;'Courses Valid'!CL141,"Row "&amp;Courses!A135&amp;", Level on LARS is "&amp;'Courses Valid'!CL141&amp;"; ",""),"")</f>
        <v/>
      </c>
      <c r="CN141" s="131"/>
    </row>
    <row r="142" spans="3:92" x14ac:dyDescent="0.35">
      <c r="C142" s="1591">
        <f t="shared" si="3"/>
        <v>0</v>
      </c>
      <c r="D142" s="41"/>
      <c r="E142" s="41"/>
      <c r="F142" s="118"/>
      <c r="G142" s="1592" t="str">
        <f>IF(SUMPRODUCT(--(CourseAims=Courses!$C136))=1,"",IF(AND($N$9=1,Courses!$C136&lt;&gt;""),"Row "&amp;Courses!A136&amp;" (invalid); ",""))</f>
        <v/>
      </c>
      <c r="H142" s="1592" t="str">
        <f>IF(AND($O$9=1,Courses!B136="",OR(Courses!F136&lt;&gt;"",Courses!H136&lt;&gt;"",Courses!J136&lt;&gt;"",Courses!K136&lt;&gt;"",Courses!L136&lt;&gt;"",Courses!M136&lt;&gt;0,Courses!N136&lt;&gt;0,Courses!O136&lt;&gt;0,Courses!P136&lt;&gt;0,Courses!Q136&lt;&gt;0,Courses!R136&lt;&gt;0,Courses!S136&lt;&gt;0,Courses!T136&lt;&gt;0,Courses!U136&lt;&gt;0,Courses!V136&lt;&gt;0,Courses!W136&lt;&gt;0,Courses!X136&lt;&gt;0,Courses!Y136&lt;&gt;0,Courses!Z136&lt;&gt;0,Courses!AA136&lt;&gt;0)),"Row "&amp;Courses!A136&amp;" (none); ","")</f>
        <v/>
      </c>
      <c r="I142" s="17"/>
      <c r="K142" s="1592" t="str">
        <f>Courses!B136&amp;Courses!K136&amp;Courses!L136</f>
        <v/>
      </c>
      <c r="L142" s="1592" t="str">
        <f>IF(AND($P$9=1,Courses!$B136&lt;&gt;"",COUNTIF(Dummy,Courses!$C136)&lt;&gt;1),IF(SUMPRODUCT(--($K$20:$K$219=$K142))&gt;1,"Row "&amp;Courses!$A136&amp;"; ",""),"")</f>
        <v/>
      </c>
      <c r="N142" s="118"/>
      <c r="O142" s="1593" t="str">
        <f>IF(AND($Q$9=1,Courses!E136&lt;&gt;"",Courses!F136=""),"Row "&amp;Courses!A136&amp;", "&amp;Courses!$E$10&amp;"; ","")</f>
        <v/>
      </c>
      <c r="P142" t="str">
        <f>IF(AND($Q$9=1,Courses!G136&lt;&gt;"",Courses!H136=""),"Row "&amp;Courses!A136&amp;", "&amp;Courses!$G$10&amp;"; ","")</f>
        <v/>
      </c>
      <c r="Q142" s="183" t="str">
        <f>IF(AND($Q$9=1,Courses!I136&lt;&gt;"",Courses!J136=""),"Row "&amp;Courses!A136&amp;", "&amp;Courses!$I$10&amp;"; ","")</f>
        <v/>
      </c>
      <c r="S142" s="17"/>
      <c r="T142" s="118"/>
      <c r="U142" s="1594" t="str">
        <f>IF(AND($R$9=1,Courses!B136&lt;&gt;"",Courses!E136&lt;&gt;"",Courses!G136="",Courses!I136="",Courses!F136&lt;&gt;1),"Row "&amp;Courses!A136&amp;"; ","")</f>
        <v/>
      </c>
      <c r="V142" t="str">
        <f>IF(AND($R$9=1,Courses!B136&lt;&gt;"",Courses!I136="",Courses!F136&lt;&gt;"",Courses!G136&lt;&gt;"",Courses!H136&lt;&gt;""),IF(OR((Courses!F136+Courses!H136)&lt;&gt;1),"Row "&amp;Courses!A136&amp;"; ",""),"")</f>
        <v/>
      </c>
      <c r="W142" s="183" t="str">
        <f>IF(AND($R$9=1,Courses!B136&lt;&gt;"",Courses!I136&lt;&gt;"",Courses!J136&lt;&gt;"",Courses!H136&lt;&gt;"",Courses!G136&lt;&gt;"",Courses!F136&lt;&gt;""),IF(OR((Courses!F136+Courses!H136+Courses!J136)&lt;&gt;1),"Row "&amp;Courses!A136&amp;"; ",""),"")</f>
        <v/>
      </c>
      <c r="Y142" s="1592" t="str">
        <f>IF(AND($R$9=1,Courses!E136&lt;&gt;"",U142="",V142="",W142="",SUM(Courses!F136,Courses!H136,Courses!J136)&lt;&gt;1),"Row "&amp;Courses!A136&amp;"; ","")</f>
        <v/>
      </c>
      <c r="Z142" s="17"/>
      <c r="AB142" s="1593" t="str">
        <f>IF(AND($S$9=1,Courses!B136&lt;&gt;"",Courses!E136&lt;&gt;"",Courses!F136&lt;&gt;""),IF((TRUNC(Courses!F136*100)&lt;&gt;Courses!F136*100),"Row "&amp;Courses!A136&amp;", "&amp;Courses!$F$10&amp;"; ",""),"")</f>
        <v/>
      </c>
      <c r="AC142" t="str">
        <f>IF(AND($S$9=1,Courses!B136&lt;&gt;"",Courses!G136&lt;&gt;"",Courses!H136&lt;&gt;""),IF((TRUNC(Courses!H136*100)&lt;&gt;Courses!H136*100),"Row "&amp;Courses!A136&amp;", "&amp;Courses!$H$10&amp;"; ",""),"")</f>
        <v/>
      </c>
      <c r="AD142" s="183" t="str">
        <f>IF(AND($S$9=1,Courses!B136&lt;&gt;"",Courses!I136&lt;&gt;"",Courses!J136&lt;&gt;""),IF((TRUNC(Courses!J136*100)&lt;&gt;Courses!J136*100),"Row "&amp;Courses!A136&amp;", "&amp;Courses!$J$10&amp;"; ",""),"")</f>
        <v/>
      </c>
      <c r="AF142" s="118"/>
      <c r="AG142" s="1592" t="str">
        <f>IF(AND($T$9=1,G142="",Courses!B136&lt;&gt;"",Courses!K136&lt;&gt;$B$9,Courses!K136&lt;&gt;$B$10,Courses!K136&lt;&gt;$B$11,Courses!K136&lt;&gt;$B$12,Courses!K136&lt;&gt;$B$13,Courses!K136&lt;&gt;$B$14),"Row "&amp;Courses!A136&amp;"; ","")</f>
        <v/>
      </c>
      <c r="AH142" s="1592" t="str">
        <f>IF(AND($U$9=1,G142="",Courses!B136&lt;&gt;"",Courses!L136&lt;&gt;"Standard",Courses!L136&lt;&gt;"Long"),"Row "&amp;Courses!A136&amp;"; ","")</f>
        <v/>
      </c>
      <c r="AJ142" s="118"/>
      <c r="AK142" s="3">
        <v>123</v>
      </c>
      <c r="AL142" s="1593" t="str">
        <f>IF(AND($V$9=1,(TRUNC(Courses!M136)&lt;&gt;Courses!M136)), "Row "&amp;Courses!$A136&amp;", "&amp;AL$9&amp;", "&amp;AL$10&amp;", "&amp;AL$11&amp;"; ","")</f>
        <v/>
      </c>
      <c r="AM142" t="str">
        <f>IF(AND($V$9=1,(TRUNC(Courses!N136)&lt;&gt;Courses!N136)), "Row "&amp;Courses!$A136&amp;", "&amp;AM$9&amp;", "&amp;AM$10&amp;", "&amp;AM$11&amp;"; ","")</f>
        <v/>
      </c>
      <c r="AN142" t="str">
        <f>IF(AND($V$9=1,(TRUNC(Courses!O136)&lt;&gt;Courses!O136)), "Row "&amp;Courses!$A136&amp;", "&amp;AN$9&amp;", "&amp;AN$10&amp;", "&amp;AN$11&amp;"; ","")</f>
        <v/>
      </c>
      <c r="AO142" t="str">
        <f>IF(AND($V$9=1,(TRUNC(Courses!P136)&lt;&gt;Courses!P136)), "Row "&amp;Courses!$A136&amp;", "&amp;AO$9&amp;", "&amp;AO$10&amp;", "&amp;AO$11&amp;"; ","")</f>
        <v/>
      </c>
      <c r="AP142" s="2120" t="str">
        <f>IF(AND($V$9=1,(TRUNC(Courses!Q136)&lt;&gt;Courses!Q136)), "Row "&amp;Courses!$A136&amp;", "&amp;AP$9&amp;", "&amp;AP$10&amp;"; ","")</f>
        <v/>
      </c>
      <c r="AQ142" s="1593" t="str">
        <f>IF(AND($V$9=1,(TRUNC(Courses!R136)&lt;&gt;Courses!R136)), "Row "&amp;Courses!$A136&amp;", "&amp;AQ$9&amp;", "&amp;AQ$10&amp;", "&amp;AQ$11&amp;"; ","")</f>
        <v/>
      </c>
      <c r="AR142" t="str">
        <f>IF(AND($V$9=1,(TRUNC(Courses!S136)&lt;&gt;Courses!S136)), "Row "&amp;Courses!$A136&amp;", "&amp;AR$9&amp;", "&amp;AR$10&amp;", "&amp;AR$11&amp;"; ","")</f>
        <v/>
      </c>
      <c r="AS142" t="str">
        <f>IF(AND($V$9=1,(TRUNC(Courses!T136)&lt;&gt;Courses!T136)), "Row "&amp;Courses!$A136&amp;", "&amp;AS$9&amp;", "&amp;AS$10&amp;", "&amp;AS$11&amp;"; ","")</f>
        <v/>
      </c>
      <c r="AT142" t="str">
        <f>IF(AND($V$9=1,(TRUNC(Courses!U136)&lt;&gt;Courses!U136)), "Row "&amp;Courses!$A136&amp;", "&amp;AT$9&amp;", "&amp;AT$10&amp;", "&amp;AT$11&amp;"; ","")</f>
        <v/>
      </c>
      <c r="AU142" s="2120" t="str">
        <f>IF(AND($V$9=1,(TRUNC(Courses!V136)&lt;&gt;Courses!V136)), "Row "&amp;Courses!$A136&amp;", "&amp;AU$9&amp;", "&amp;AU$10&amp;"; ","")</f>
        <v/>
      </c>
      <c r="AV142" s="1593" t="str">
        <f>IF(AND($V$9=1,(TRUNC(Courses!W136)&lt;&gt;Courses!W136)), "Row "&amp;Courses!$A136&amp;", "&amp;AV$9&amp;", "&amp;AV$10&amp;", "&amp;AV$11&amp;"; ","")</f>
        <v/>
      </c>
      <c r="AW142" t="str">
        <f>IF(AND($V$9=1,(TRUNC(Courses!X136)&lt;&gt;Courses!X136)), "Row "&amp;Courses!$A136&amp;", "&amp;AW$9&amp;", "&amp;AW$10&amp;", "&amp;AW$11&amp;"; ","")</f>
        <v/>
      </c>
      <c r="AX142" t="str">
        <f>IF(AND($V$9=1,(TRUNC(Courses!Y136)&lt;&gt;Courses!Y136)), "Row "&amp;Courses!$A136&amp;", "&amp;AX$9&amp;", "&amp;AX$10&amp;", "&amp;AX$11&amp;"; ","")</f>
        <v/>
      </c>
      <c r="AY142" t="str">
        <f>IF(AND($V$9=1,(TRUNC(Courses!Z136)&lt;&gt;Courses!Z136)), "Row "&amp;Courses!$A136&amp;", "&amp;AY$9&amp;", "&amp;AY$10&amp;", "&amp;AY$11&amp;"; ","")</f>
        <v/>
      </c>
      <c r="AZ142" s="2120" t="str">
        <f>IF(AND($V$9=1,(TRUNC(Courses!AA136)&lt;&gt;Courses!AA136)), "Row "&amp;Courses!$A136&amp;", "&amp;AZ$9&amp;", "&amp;AZ$10&amp;"; ","")</f>
        <v/>
      </c>
      <c r="BB142" s="118"/>
      <c r="BC142" s="3">
        <v>123</v>
      </c>
      <c r="BD142" s="1593" t="str">
        <f>IF(AND($W$9=1,Courses!M136&lt;0), "Row "&amp;Courses!$A136&amp;", "&amp;BD$9&amp;", "&amp;BD$10&amp;", "&amp;BD$11&amp;"; ","")</f>
        <v/>
      </c>
      <c r="BE142" t="str">
        <f>IF(AND($W$9=1,Courses!N136&lt;0), "Row "&amp;Courses!$A136&amp;", "&amp;BE$9&amp;", "&amp;BE$10&amp;", "&amp;BE$11&amp;"; ","")</f>
        <v/>
      </c>
      <c r="BF142" t="str">
        <f>IF(AND($W$9=1,Courses!O136&lt;0), "Row "&amp;Courses!$A136&amp;", "&amp;BF$9&amp;", "&amp;BF$10&amp;", "&amp;BF$11&amp;"; ","")</f>
        <v/>
      </c>
      <c r="BG142" t="str">
        <f>IF(AND($W$9=1,Courses!P136&lt;0), "Row "&amp;Courses!$A136&amp;", "&amp;BG$9&amp;", "&amp;BG$10&amp;", "&amp;BG$11&amp;"; ","")</f>
        <v/>
      </c>
      <c r="BH142" s="2120" t="str">
        <f>IF(AND($W$9=1,Courses!Q136&lt;0), "Row "&amp;Courses!$A136&amp;", "&amp;BH$9&amp;", "&amp;BH$10&amp;"; ","")</f>
        <v/>
      </c>
      <c r="BI142" s="1593" t="str">
        <f>IF(AND($W$9=1,Courses!R136&lt;0), "Row "&amp;Courses!$A136&amp;", "&amp;BI$9&amp;", "&amp;BI$10&amp;", "&amp;BI$11&amp;"; ","")</f>
        <v/>
      </c>
      <c r="BJ142" t="str">
        <f>IF(AND($W$9=1,Courses!S136&lt;0), "Row "&amp;Courses!$A136&amp;", "&amp;BJ$9&amp;", "&amp;BJ$10&amp;", "&amp;BJ$11&amp;"; ","")</f>
        <v/>
      </c>
      <c r="BK142" t="str">
        <f>IF(AND($W$9=1,Courses!T136&lt;0), "Row "&amp;Courses!$A136&amp;", "&amp;BK$9&amp;", "&amp;BK$10&amp;", "&amp;BK$11&amp;"; ","")</f>
        <v/>
      </c>
      <c r="BL142" t="str">
        <f>IF(AND($W$9=1,Courses!U136&lt;0), "Row "&amp;Courses!$A136&amp;", "&amp;BL$9&amp;", "&amp;BL$10&amp;", "&amp;BL$11&amp;"; ","")</f>
        <v/>
      </c>
      <c r="BM142" s="2120" t="str">
        <f>IF(AND($W$9=1,Courses!V136&lt;0), "Row "&amp;Courses!$A136&amp;", "&amp;BM$9&amp;", "&amp;BM$10&amp;"; ","")</f>
        <v/>
      </c>
      <c r="BN142" s="1593" t="str">
        <f>IF(AND($W$9=1,Courses!W136&lt;0), "Row "&amp;Courses!$A136&amp;", "&amp;BN$9&amp;", "&amp;BN$10&amp;", "&amp;BN$11&amp;"; ","")</f>
        <v/>
      </c>
      <c r="BO142" t="str">
        <f>IF(AND($W$9=1,Courses!X136&lt;0), "Row "&amp;Courses!$A136&amp;", "&amp;BO$9&amp;", "&amp;BO$10&amp;", "&amp;BO$11&amp;"; ","")</f>
        <v/>
      </c>
      <c r="BP142" t="str">
        <f>IF(AND($W$9=1,Courses!Y136&lt;0), "Row "&amp;Courses!$A136&amp;", "&amp;BP$9&amp;", "&amp;BP$10&amp;", "&amp;BP$11&amp;"; ","")</f>
        <v/>
      </c>
      <c r="BQ142" t="str">
        <f>IF(AND($W$9=1,Courses!Z136&lt;0), "Row "&amp;Courses!$A136&amp;", "&amp;BQ$9&amp;", "&amp;BQ$10&amp;", "&amp;BQ$11&amp;"; ","")</f>
        <v/>
      </c>
      <c r="BR142" s="2120" t="str">
        <f>IF(AND($W$9=1,Courses!AA136&lt;0), "Row "&amp;Courses!$A136&amp;", "&amp;BR$9&amp;", "&amp;BR$10&amp;"; ","")</f>
        <v/>
      </c>
      <c r="BT142" s="40">
        <v>123</v>
      </c>
      <c r="BU142" s="40">
        <f>IF(AND($X$9=1,Courses!B136="",Courses!F136="",Courses!H136="",Courses!J136="",Courses!K136="",Courses!L136="",Courses!M136=0,Courses!N136=0,Courses!O136=0,Courses!P136=0,Courses!Q136=0,Courses!R136=0,Courses!S136=0,Courses!T136=0,Courses!U136=0,Courses!V136=0,Courses!W136=0,Courses!X136=0,Courses!Y136=0,Courses!Z136=0,Courses!AA136=0),0,1)</f>
        <v>0</v>
      </c>
      <c r="BV142" s="40">
        <f>IF(AND(BU142=0,SUM(BU143:$BU$219)&gt;0),1,0)</f>
        <v>0</v>
      </c>
      <c r="BW142" s="1595" t="str">
        <f>IF(BV142=1,"Row "&amp;Courses!A136&amp;"; ","")</f>
        <v/>
      </c>
      <c r="BX142" s="17"/>
      <c r="BZ142" s="1592" t="str">
        <f>IF(AND($Y$9=1,Courses!B136&lt;&gt;"",SUM(Courses!M136:AA136)=0),"Row "&amp;Courses!A136&amp;"; ","")</f>
        <v/>
      </c>
      <c r="CA142" s="17"/>
      <c r="CC142" s="1592" t="str">
        <f>IF(AND($Z$9=1,Courses!AD136=1,(LEN(Courses!AB136)&gt;200)),"Row "&amp;Courses!A136&amp;"; ","")</f>
        <v/>
      </c>
      <c r="CE142" s="131"/>
      <c r="CG142" s="1593" t="str">
        <f>IF(AND($AD$9=1,Courses!E136&lt;&gt;"",Courses!F136&lt;&gt;"",Courses!F136=0,SUM(Courses!H136,Courses!J136)=1),"Row "&amp;Courses!A136&amp;", "&amp;Courses!$F$10&amp;"; ","")</f>
        <v/>
      </c>
      <c r="CH142" t="str">
        <f>IF(AND($AD$9=1,Courses!G136&lt;&gt;"",Courses!H136&lt;&gt;"",Courses!H136=0,SUM(Courses!J136,Courses!F136)=1),"Row "&amp;Courses!A136&amp;", "&amp;Courses!$H$10&amp;"; ","")</f>
        <v/>
      </c>
      <c r="CI142" s="183" t="str">
        <f>IF(AND($AD$9=1,Courses!I136&lt;&gt;"",Courses!J136&lt;&gt;"",Courses!J136=0, SUM(Courses!H136,Courses!F136)=1),"Row "&amp;Courses!A136&amp;", "&amp;Courses!$J$10&amp;"; ","")</f>
        <v/>
      </c>
      <c r="CJ142" s="180"/>
      <c r="CK142" s="181"/>
      <c r="CL142" s="1592" t="str">
        <f>IF(AND(Courses!B136&lt;&gt;"",ISNA(VLOOKUP(Courses!C136,CourseInfo,2,FALSE))=FALSE,COUNTIF(Dummy,Courses!C136)&lt;&gt;1),VLOOKUP(Courses!C136,CourseInfo,6,FALSE),"")</f>
        <v/>
      </c>
      <c r="CM142" s="1592" t="str">
        <f>IF(AND($AE$9=1,Courses!B136&lt;&gt;"",'Courses Valid'!AG142="",COUNTIF(Dummy,Courses!C136)&lt;&gt;1),IF(Courses!K136&lt;&gt;'Courses Valid'!CL142,"Row "&amp;Courses!A136&amp;", Level on LARS is "&amp;'Courses Valid'!CL142&amp;"; ",""),"")</f>
        <v/>
      </c>
      <c r="CN142" s="131"/>
    </row>
    <row r="143" spans="3:92" x14ac:dyDescent="0.35">
      <c r="C143" s="1591">
        <f t="shared" si="3"/>
        <v>0</v>
      </c>
      <c r="D143" s="41"/>
      <c r="E143" s="41"/>
      <c r="F143" s="118"/>
      <c r="G143" s="1592" t="str">
        <f>IF(SUMPRODUCT(--(CourseAims=Courses!$C137))=1,"",IF(AND($N$9=1,Courses!$C137&lt;&gt;""),"Row "&amp;Courses!A137&amp;" (invalid); ",""))</f>
        <v/>
      </c>
      <c r="H143" s="1592" t="str">
        <f>IF(AND($O$9=1,Courses!B137="",OR(Courses!F137&lt;&gt;"",Courses!H137&lt;&gt;"",Courses!J137&lt;&gt;"",Courses!K137&lt;&gt;"",Courses!L137&lt;&gt;"",Courses!M137&lt;&gt;0,Courses!N137&lt;&gt;0,Courses!O137&lt;&gt;0,Courses!P137&lt;&gt;0,Courses!Q137&lt;&gt;0,Courses!R137&lt;&gt;0,Courses!S137&lt;&gt;0,Courses!T137&lt;&gt;0,Courses!U137&lt;&gt;0,Courses!V137&lt;&gt;0,Courses!W137&lt;&gt;0,Courses!X137&lt;&gt;0,Courses!Y137&lt;&gt;0,Courses!Z137&lt;&gt;0,Courses!AA137&lt;&gt;0)),"Row "&amp;Courses!A137&amp;" (none); ","")</f>
        <v/>
      </c>
      <c r="I143" s="17"/>
      <c r="K143" s="1592" t="str">
        <f>Courses!B137&amp;Courses!K137&amp;Courses!L137</f>
        <v/>
      </c>
      <c r="L143" s="1592" t="str">
        <f>IF(AND($P$9=1,Courses!$B137&lt;&gt;"",COUNTIF(Dummy,Courses!$C137)&lt;&gt;1),IF(SUMPRODUCT(--($K$20:$K$219=$K143))&gt;1,"Row "&amp;Courses!$A137&amp;"; ",""),"")</f>
        <v/>
      </c>
      <c r="N143" s="118"/>
      <c r="O143" s="1593" t="str">
        <f>IF(AND($Q$9=1,Courses!E137&lt;&gt;"",Courses!F137=""),"Row "&amp;Courses!A137&amp;", "&amp;Courses!$E$10&amp;"; ","")</f>
        <v/>
      </c>
      <c r="P143" t="str">
        <f>IF(AND($Q$9=1,Courses!G137&lt;&gt;"",Courses!H137=""),"Row "&amp;Courses!A137&amp;", "&amp;Courses!$G$10&amp;"; ","")</f>
        <v/>
      </c>
      <c r="Q143" s="183" t="str">
        <f>IF(AND($Q$9=1,Courses!I137&lt;&gt;"",Courses!J137=""),"Row "&amp;Courses!A137&amp;", "&amp;Courses!$I$10&amp;"; ","")</f>
        <v/>
      </c>
      <c r="S143" s="17"/>
      <c r="T143" s="118"/>
      <c r="U143" s="1594" t="str">
        <f>IF(AND($R$9=1,Courses!B137&lt;&gt;"",Courses!E137&lt;&gt;"",Courses!G137="",Courses!I137="",Courses!F137&lt;&gt;1),"Row "&amp;Courses!A137&amp;"; ","")</f>
        <v/>
      </c>
      <c r="V143" t="str">
        <f>IF(AND($R$9=1,Courses!B137&lt;&gt;"",Courses!I137="",Courses!F137&lt;&gt;"",Courses!G137&lt;&gt;"",Courses!H137&lt;&gt;""),IF(OR((Courses!F137+Courses!H137)&lt;&gt;1),"Row "&amp;Courses!A137&amp;"; ",""),"")</f>
        <v/>
      </c>
      <c r="W143" s="183" t="str">
        <f>IF(AND($R$9=1,Courses!B137&lt;&gt;"",Courses!I137&lt;&gt;"",Courses!J137&lt;&gt;"",Courses!H137&lt;&gt;"",Courses!G137&lt;&gt;"",Courses!F137&lt;&gt;""),IF(OR((Courses!F137+Courses!H137+Courses!J137)&lt;&gt;1),"Row "&amp;Courses!A137&amp;"; ",""),"")</f>
        <v/>
      </c>
      <c r="Y143" s="1592" t="str">
        <f>IF(AND($R$9=1,Courses!E137&lt;&gt;"",U143="",V143="",W143="",SUM(Courses!F137,Courses!H137,Courses!J137)&lt;&gt;1),"Row "&amp;Courses!A137&amp;"; ","")</f>
        <v/>
      </c>
      <c r="Z143" s="17"/>
      <c r="AB143" s="1593" t="str">
        <f>IF(AND($S$9=1,Courses!B137&lt;&gt;"",Courses!E137&lt;&gt;"",Courses!F137&lt;&gt;""),IF((TRUNC(Courses!F137*100)&lt;&gt;Courses!F137*100),"Row "&amp;Courses!A137&amp;", "&amp;Courses!$F$10&amp;"; ",""),"")</f>
        <v/>
      </c>
      <c r="AC143" t="str">
        <f>IF(AND($S$9=1,Courses!B137&lt;&gt;"",Courses!G137&lt;&gt;"",Courses!H137&lt;&gt;""),IF((TRUNC(Courses!H137*100)&lt;&gt;Courses!H137*100),"Row "&amp;Courses!A137&amp;", "&amp;Courses!$H$10&amp;"; ",""),"")</f>
        <v/>
      </c>
      <c r="AD143" s="183" t="str">
        <f>IF(AND($S$9=1,Courses!B137&lt;&gt;"",Courses!I137&lt;&gt;"",Courses!J137&lt;&gt;""),IF((TRUNC(Courses!J137*100)&lt;&gt;Courses!J137*100),"Row "&amp;Courses!A137&amp;", "&amp;Courses!$J$10&amp;"; ",""),"")</f>
        <v/>
      </c>
      <c r="AF143" s="118"/>
      <c r="AG143" s="1592" t="str">
        <f>IF(AND($T$9=1,G143="",Courses!B137&lt;&gt;"",Courses!K137&lt;&gt;$B$9,Courses!K137&lt;&gt;$B$10,Courses!K137&lt;&gt;$B$11,Courses!K137&lt;&gt;$B$12,Courses!K137&lt;&gt;$B$13,Courses!K137&lt;&gt;$B$14),"Row "&amp;Courses!A137&amp;"; ","")</f>
        <v/>
      </c>
      <c r="AH143" s="1592" t="str">
        <f>IF(AND($U$9=1,G143="",Courses!B137&lt;&gt;"",Courses!L137&lt;&gt;"Standard",Courses!L137&lt;&gt;"Long"),"Row "&amp;Courses!A137&amp;"; ","")</f>
        <v/>
      </c>
      <c r="AJ143" s="118"/>
      <c r="AK143" s="3">
        <v>124</v>
      </c>
      <c r="AL143" s="1593" t="str">
        <f>IF(AND($V$9=1,(TRUNC(Courses!M137)&lt;&gt;Courses!M137)), "Row "&amp;Courses!$A137&amp;", "&amp;AL$9&amp;", "&amp;AL$10&amp;", "&amp;AL$11&amp;"; ","")</f>
        <v/>
      </c>
      <c r="AM143" t="str">
        <f>IF(AND($V$9=1,(TRUNC(Courses!N137)&lt;&gt;Courses!N137)), "Row "&amp;Courses!$A137&amp;", "&amp;AM$9&amp;", "&amp;AM$10&amp;", "&amp;AM$11&amp;"; ","")</f>
        <v/>
      </c>
      <c r="AN143" t="str">
        <f>IF(AND($V$9=1,(TRUNC(Courses!O137)&lt;&gt;Courses!O137)), "Row "&amp;Courses!$A137&amp;", "&amp;AN$9&amp;", "&amp;AN$10&amp;", "&amp;AN$11&amp;"; ","")</f>
        <v/>
      </c>
      <c r="AO143" t="str">
        <f>IF(AND($V$9=1,(TRUNC(Courses!P137)&lt;&gt;Courses!P137)), "Row "&amp;Courses!$A137&amp;", "&amp;AO$9&amp;", "&amp;AO$10&amp;", "&amp;AO$11&amp;"; ","")</f>
        <v/>
      </c>
      <c r="AP143" s="2120" t="str">
        <f>IF(AND($V$9=1,(TRUNC(Courses!Q137)&lt;&gt;Courses!Q137)), "Row "&amp;Courses!$A137&amp;", "&amp;AP$9&amp;", "&amp;AP$10&amp;"; ","")</f>
        <v/>
      </c>
      <c r="AQ143" s="1593" t="str">
        <f>IF(AND($V$9=1,(TRUNC(Courses!R137)&lt;&gt;Courses!R137)), "Row "&amp;Courses!$A137&amp;", "&amp;AQ$9&amp;", "&amp;AQ$10&amp;", "&amp;AQ$11&amp;"; ","")</f>
        <v/>
      </c>
      <c r="AR143" t="str">
        <f>IF(AND($V$9=1,(TRUNC(Courses!S137)&lt;&gt;Courses!S137)), "Row "&amp;Courses!$A137&amp;", "&amp;AR$9&amp;", "&amp;AR$10&amp;", "&amp;AR$11&amp;"; ","")</f>
        <v/>
      </c>
      <c r="AS143" t="str">
        <f>IF(AND($V$9=1,(TRUNC(Courses!T137)&lt;&gt;Courses!T137)), "Row "&amp;Courses!$A137&amp;", "&amp;AS$9&amp;", "&amp;AS$10&amp;", "&amp;AS$11&amp;"; ","")</f>
        <v/>
      </c>
      <c r="AT143" t="str">
        <f>IF(AND($V$9=1,(TRUNC(Courses!U137)&lt;&gt;Courses!U137)), "Row "&amp;Courses!$A137&amp;", "&amp;AT$9&amp;", "&amp;AT$10&amp;", "&amp;AT$11&amp;"; ","")</f>
        <v/>
      </c>
      <c r="AU143" s="2120" t="str">
        <f>IF(AND($V$9=1,(TRUNC(Courses!V137)&lt;&gt;Courses!V137)), "Row "&amp;Courses!$A137&amp;", "&amp;AU$9&amp;", "&amp;AU$10&amp;"; ","")</f>
        <v/>
      </c>
      <c r="AV143" s="1593" t="str">
        <f>IF(AND($V$9=1,(TRUNC(Courses!W137)&lt;&gt;Courses!W137)), "Row "&amp;Courses!$A137&amp;", "&amp;AV$9&amp;", "&amp;AV$10&amp;", "&amp;AV$11&amp;"; ","")</f>
        <v/>
      </c>
      <c r="AW143" t="str">
        <f>IF(AND($V$9=1,(TRUNC(Courses!X137)&lt;&gt;Courses!X137)), "Row "&amp;Courses!$A137&amp;", "&amp;AW$9&amp;", "&amp;AW$10&amp;", "&amp;AW$11&amp;"; ","")</f>
        <v/>
      </c>
      <c r="AX143" t="str">
        <f>IF(AND($V$9=1,(TRUNC(Courses!Y137)&lt;&gt;Courses!Y137)), "Row "&amp;Courses!$A137&amp;", "&amp;AX$9&amp;", "&amp;AX$10&amp;", "&amp;AX$11&amp;"; ","")</f>
        <v/>
      </c>
      <c r="AY143" t="str">
        <f>IF(AND($V$9=1,(TRUNC(Courses!Z137)&lt;&gt;Courses!Z137)), "Row "&amp;Courses!$A137&amp;", "&amp;AY$9&amp;", "&amp;AY$10&amp;", "&amp;AY$11&amp;"; ","")</f>
        <v/>
      </c>
      <c r="AZ143" s="2120" t="str">
        <f>IF(AND($V$9=1,(TRUNC(Courses!AA137)&lt;&gt;Courses!AA137)), "Row "&amp;Courses!$A137&amp;", "&amp;AZ$9&amp;", "&amp;AZ$10&amp;"; ","")</f>
        <v/>
      </c>
      <c r="BB143" s="118"/>
      <c r="BC143" s="3">
        <v>124</v>
      </c>
      <c r="BD143" s="1593" t="str">
        <f>IF(AND($W$9=1,Courses!M137&lt;0), "Row "&amp;Courses!$A137&amp;", "&amp;BD$9&amp;", "&amp;BD$10&amp;", "&amp;BD$11&amp;"; ","")</f>
        <v/>
      </c>
      <c r="BE143" t="str">
        <f>IF(AND($W$9=1,Courses!N137&lt;0), "Row "&amp;Courses!$A137&amp;", "&amp;BE$9&amp;", "&amp;BE$10&amp;", "&amp;BE$11&amp;"; ","")</f>
        <v/>
      </c>
      <c r="BF143" t="str">
        <f>IF(AND($W$9=1,Courses!O137&lt;0), "Row "&amp;Courses!$A137&amp;", "&amp;BF$9&amp;", "&amp;BF$10&amp;", "&amp;BF$11&amp;"; ","")</f>
        <v/>
      </c>
      <c r="BG143" t="str">
        <f>IF(AND($W$9=1,Courses!P137&lt;0), "Row "&amp;Courses!$A137&amp;", "&amp;BG$9&amp;", "&amp;BG$10&amp;", "&amp;BG$11&amp;"; ","")</f>
        <v/>
      </c>
      <c r="BH143" s="2120" t="str">
        <f>IF(AND($W$9=1,Courses!Q137&lt;0), "Row "&amp;Courses!$A137&amp;", "&amp;BH$9&amp;", "&amp;BH$10&amp;"; ","")</f>
        <v/>
      </c>
      <c r="BI143" s="1593" t="str">
        <f>IF(AND($W$9=1,Courses!R137&lt;0), "Row "&amp;Courses!$A137&amp;", "&amp;BI$9&amp;", "&amp;BI$10&amp;", "&amp;BI$11&amp;"; ","")</f>
        <v/>
      </c>
      <c r="BJ143" t="str">
        <f>IF(AND($W$9=1,Courses!S137&lt;0), "Row "&amp;Courses!$A137&amp;", "&amp;BJ$9&amp;", "&amp;BJ$10&amp;", "&amp;BJ$11&amp;"; ","")</f>
        <v/>
      </c>
      <c r="BK143" t="str">
        <f>IF(AND($W$9=1,Courses!T137&lt;0), "Row "&amp;Courses!$A137&amp;", "&amp;BK$9&amp;", "&amp;BK$10&amp;", "&amp;BK$11&amp;"; ","")</f>
        <v/>
      </c>
      <c r="BL143" t="str">
        <f>IF(AND($W$9=1,Courses!U137&lt;0), "Row "&amp;Courses!$A137&amp;", "&amp;BL$9&amp;", "&amp;BL$10&amp;", "&amp;BL$11&amp;"; ","")</f>
        <v/>
      </c>
      <c r="BM143" s="2120" t="str">
        <f>IF(AND($W$9=1,Courses!V137&lt;0), "Row "&amp;Courses!$A137&amp;", "&amp;BM$9&amp;", "&amp;BM$10&amp;"; ","")</f>
        <v/>
      </c>
      <c r="BN143" s="1593" t="str">
        <f>IF(AND($W$9=1,Courses!W137&lt;0), "Row "&amp;Courses!$A137&amp;", "&amp;BN$9&amp;", "&amp;BN$10&amp;", "&amp;BN$11&amp;"; ","")</f>
        <v/>
      </c>
      <c r="BO143" t="str">
        <f>IF(AND($W$9=1,Courses!X137&lt;0), "Row "&amp;Courses!$A137&amp;", "&amp;BO$9&amp;", "&amp;BO$10&amp;", "&amp;BO$11&amp;"; ","")</f>
        <v/>
      </c>
      <c r="BP143" t="str">
        <f>IF(AND($W$9=1,Courses!Y137&lt;0), "Row "&amp;Courses!$A137&amp;", "&amp;BP$9&amp;", "&amp;BP$10&amp;", "&amp;BP$11&amp;"; ","")</f>
        <v/>
      </c>
      <c r="BQ143" t="str">
        <f>IF(AND($W$9=1,Courses!Z137&lt;0), "Row "&amp;Courses!$A137&amp;", "&amp;BQ$9&amp;", "&amp;BQ$10&amp;", "&amp;BQ$11&amp;"; ","")</f>
        <v/>
      </c>
      <c r="BR143" s="2120" t="str">
        <f>IF(AND($W$9=1,Courses!AA137&lt;0), "Row "&amp;Courses!$A137&amp;", "&amp;BR$9&amp;", "&amp;BR$10&amp;"; ","")</f>
        <v/>
      </c>
      <c r="BT143" s="40">
        <v>124</v>
      </c>
      <c r="BU143" s="40">
        <f>IF(AND($X$9=1,Courses!B137="",Courses!F137="",Courses!H137="",Courses!J137="",Courses!K137="",Courses!L137="",Courses!M137=0,Courses!N137=0,Courses!O137=0,Courses!P137=0,Courses!Q137=0,Courses!R137=0,Courses!S137=0,Courses!T137=0,Courses!U137=0,Courses!V137=0,Courses!W137=0,Courses!X137=0,Courses!Y137=0,Courses!Z137=0,Courses!AA137=0),0,1)</f>
        <v>0</v>
      </c>
      <c r="BV143" s="40">
        <f>IF(AND(BU143=0,SUM(BU144:$BU$219)&gt;0),1,0)</f>
        <v>0</v>
      </c>
      <c r="BW143" s="1595" t="str">
        <f>IF(BV143=1,"Row "&amp;Courses!A137&amp;"; ","")</f>
        <v/>
      </c>
      <c r="BX143" s="17"/>
      <c r="BZ143" s="1592" t="str">
        <f>IF(AND($Y$9=1,Courses!B137&lt;&gt;"",SUM(Courses!M137:AA137)=0),"Row "&amp;Courses!A137&amp;"; ","")</f>
        <v/>
      </c>
      <c r="CA143" s="17"/>
      <c r="CC143" s="1592" t="str">
        <f>IF(AND($Z$9=1,Courses!AD137=1,(LEN(Courses!AB137)&gt;200)),"Row "&amp;Courses!A137&amp;"; ","")</f>
        <v/>
      </c>
      <c r="CE143" s="131"/>
      <c r="CG143" s="1593" t="str">
        <f>IF(AND($AD$9=1,Courses!E137&lt;&gt;"",Courses!F137&lt;&gt;"",Courses!F137=0,SUM(Courses!H137,Courses!J137)=1),"Row "&amp;Courses!A137&amp;", "&amp;Courses!$F$10&amp;"; ","")</f>
        <v/>
      </c>
      <c r="CH143" t="str">
        <f>IF(AND($AD$9=1,Courses!G137&lt;&gt;"",Courses!H137&lt;&gt;"",Courses!H137=0,SUM(Courses!J137,Courses!F137)=1),"Row "&amp;Courses!A137&amp;", "&amp;Courses!$H$10&amp;"; ","")</f>
        <v/>
      </c>
      <c r="CI143" s="183" t="str">
        <f>IF(AND($AD$9=1,Courses!I137&lt;&gt;"",Courses!J137&lt;&gt;"",Courses!J137=0, SUM(Courses!H137,Courses!F137)=1),"Row "&amp;Courses!A137&amp;", "&amp;Courses!$J$10&amp;"; ","")</f>
        <v/>
      </c>
      <c r="CJ143" s="180"/>
      <c r="CK143" s="181"/>
      <c r="CL143" s="1592" t="str">
        <f>IF(AND(Courses!B137&lt;&gt;"",ISNA(VLOOKUP(Courses!C137,CourseInfo,2,FALSE))=FALSE,COUNTIF(Dummy,Courses!C137)&lt;&gt;1),VLOOKUP(Courses!C137,CourseInfo,6,FALSE),"")</f>
        <v/>
      </c>
      <c r="CM143" s="1592" t="str">
        <f>IF(AND($AE$9=1,Courses!B137&lt;&gt;"",'Courses Valid'!AG143="",COUNTIF(Dummy,Courses!C137)&lt;&gt;1),IF(Courses!K137&lt;&gt;'Courses Valid'!CL143,"Row "&amp;Courses!A137&amp;", Level on LARS is "&amp;'Courses Valid'!CL143&amp;"; ",""),"")</f>
        <v/>
      </c>
      <c r="CN143" s="131"/>
    </row>
    <row r="144" spans="3:92" x14ac:dyDescent="0.35">
      <c r="C144" s="1591">
        <f t="shared" si="3"/>
        <v>0</v>
      </c>
      <c r="D144" s="41"/>
      <c r="E144" s="41"/>
      <c r="F144" s="118"/>
      <c r="G144" s="1592" t="str">
        <f>IF(SUMPRODUCT(--(CourseAims=Courses!$C138))=1,"",IF(AND($N$9=1,Courses!$C138&lt;&gt;""),"Row "&amp;Courses!A138&amp;" (invalid); ",""))</f>
        <v/>
      </c>
      <c r="H144" s="1592" t="str">
        <f>IF(AND($O$9=1,Courses!B138="",OR(Courses!F138&lt;&gt;"",Courses!H138&lt;&gt;"",Courses!J138&lt;&gt;"",Courses!K138&lt;&gt;"",Courses!L138&lt;&gt;"",Courses!M138&lt;&gt;0,Courses!N138&lt;&gt;0,Courses!O138&lt;&gt;0,Courses!P138&lt;&gt;0,Courses!Q138&lt;&gt;0,Courses!R138&lt;&gt;0,Courses!S138&lt;&gt;0,Courses!T138&lt;&gt;0,Courses!U138&lt;&gt;0,Courses!V138&lt;&gt;0,Courses!W138&lt;&gt;0,Courses!X138&lt;&gt;0,Courses!Y138&lt;&gt;0,Courses!Z138&lt;&gt;0,Courses!AA138&lt;&gt;0)),"Row "&amp;Courses!A138&amp;" (none); ","")</f>
        <v/>
      </c>
      <c r="I144" s="17"/>
      <c r="K144" s="1592" t="str">
        <f>Courses!B138&amp;Courses!K138&amp;Courses!L138</f>
        <v/>
      </c>
      <c r="L144" s="1592" t="str">
        <f>IF(AND($P$9=1,Courses!$B138&lt;&gt;"",COUNTIF(Dummy,Courses!$C138)&lt;&gt;1),IF(SUMPRODUCT(--($K$20:$K$219=$K144))&gt;1,"Row "&amp;Courses!$A138&amp;"; ",""),"")</f>
        <v/>
      </c>
      <c r="N144" s="118"/>
      <c r="O144" s="1593" t="str">
        <f>IF(AND($Q$9=1,Courses!E138&lt;&gt;"",Courses!F138=""),"Row "&amp;Courses!A138&amp;", "&amp;Courses!$E$10&amp;"; ","")</f>
        <v/>
      </c>
      <c r="P144" t="str">
        <f>IF(AND($Q$9=1,Courses!G138&lt;&gt;"",Courses!H138=""),"Row "&amp;Courses!A138&amp;", "&amp;Courses!$G$10&amp;"; ","")</f>
        <v/>
      </c>
      <c r="Q144" s="183" t="str">
        <f>IF(AND($Q$9=1,Courses!I138&lt;&gt;"",Courses!J138=""),"Row "&amp;Courses!A138&amp;", "&amp;Courses!$I$10&amp;"; ","")</f>
        <v/>
      </c>
      <c r="S144" s="17"/>
      <c r="T144" s="118"/>
      <c r="U144" s="1594" t="str">
        <f>IF(AND($R$9=1,Courses!B138&lt;&gt;"",Courses!E138&lt;&gt;"",Courses!G138="",Courses!I138="",Courses!F138&lt;&gt;1),"Row "&amp;Courses!A138&amp;"; ","")</f>
        <v/>
      </c>
      <c r="V144" t="str">
        <f>IF(AND($R$9=1,Courses!B138&lt;&gt;"",Courses!I138="",Courses!F138&lt;&gt;"",Courses!G138&lt;&gt;"",Courses!H138&lt;&gt;""),IF(OR((Courses!F138+Courses!H138)&lt;&gt;1),"Row "&amp;Courses!A138&amp;"; ",""),"")</f>
        <v/>
      </c>
      <c r="W144" s="183" t="str">
        <f>IF(AND($R$9=1,Courses!B138&lt;&gt;"",Courses!I138&lt;&gt;"",Courses!J138&lt;&gt;"",Courses!H138&lt;&gt;"",Courses!G138&lt;&gt;"",Courses!F138&lt;&gt;""),IF(OR((Courses!F138+Courses!H138+Courses!J138)&lt;&gt;1),"Row "&amp;Courses!A138&amp;"; ",""),"")</f>
        <v/>
      </c>
      <c r="Y144" s="1592" t="str">
        <f>IF(AND($R$9=1,Courses!E138&lt;&gt;"",U144="",V144="",W144="",SUM(Courses!F138,Courses!H138,Courses!J138)&lt;&gt;1),"Row "&amp;Courses!A138&amp;"; ","")</f>
        <v/>
      </c>
      <c r="Z144" s="17"/>
      <c r="AB144" s="1593" t="str">
        <f>IF(AND($S$9=1,Courses!B138&lt;&gt;"",Courses!E138&lt;&gt;"",Courses!F138&lt;&gt;""),IF((TRUNC(Courses!F138*100)&lt;&gt;Courses!F138*100),"Row "&amp;Courses!A138&amp;", "&amp;Courses!$F$10&amp;"; ",""),"")</f>
        <v/>
      </c>
      <c r="AC144" t="str">
        <f>IF(AND($S$9=1,Courses!B138&lt;&gt;"",Courses!G138&lt;&gt;"",Courses!H138&lt;&gt;""),IF((TRUNC(Courses!H138*100)&lt;&gt;Courses!H138*100),"Row "&amp;Courses!A138&amp;", "&amp;Courses!$H$10&amp;"; ",""),"")</f>
        <v/>
      </c>
      <c r="AD144" s="183" t="str">
        <f>IF(AND($S$9=1,Courses!B138&lt;&gt;"",Courses!I138&lt;&gt;"",Courses!J138&lt;&gt;""),IF((TRUNC(Courses!J138*100)&lt;&gt;Courses!J138*100),"Row "&amp;Courses!A138&amp;", "&amp;Courses!$J$10&amp;"; ",""),"")</f>
        <v/>
      </c>
      <c r="AF144" s="118"/>
      <c r="AG144" s="1592" t="str">
        <f>IF(AND($T$9=1,G144="",Courses!B138&lt;&gt;"",Courses!K138&lt;&gt;$B$9,Courses!K138&lt;&gt;$B$10,Courses!K138&lt;&gt;$B$11,Courses!K138&lt;&gt;$B$12,Courses!K138&lt;&gt;$B$13,Courses!K138&lt;&gt;$B$14),"Row "&amp;Courses!A138&amp;"; ","")</f>
        <v/>
      </c>
      <c r="AH144" s="1592" t="str">
        <f>IF(AND($U$9=1,G144="",Courses!B138&lt;&gt;"",Courses!L138&lt;&gt;"Standard",Courses!L138&lt;&gt;"Long"),"Row "&amp;Courses!A138&amp;"; ","")</f>
        <v/>
      </c>
      <c r="AJ144" s="118"/>
      <c r="AK144" s="3">
        <v>125</v>
      </c>
      <c r="AL144" s="1593" t="str">
        <f>IF(AND($V$9=1,(TRUNC(Courses!M138)&lt;&gt;Courses!M138)), "Row "&amp;Courses!$A138&amp;", "&amp;AL$9&amp;", "&amp;AL$10&amp;", "&amp;AL$11&amp;"; ","")</f>
        <v/>
      </c>
      <c r="AM144" t="str">
        <f>IF(AND($V$9=1,(TRUNC(Courses!N138)&lt;&gt;Courses!N138)), "Row "&amp;Courses!$A138&amp;", "&amp;AM$9&amp;", "&amp;AM$10&amp;", "&amp;AM$11&amp;"; ","")</f>
        <v/>
      </c>
      <c r="AN144" t="str">
        <f>IF(AND($V$9=1,(TRUNC(Courses!O138)&lt;&gt;Courses!O138)), "Row "&amp;Courses!$A138&amp;", "&amp;AN$9&amp;", "&amp;AN$10&amp;", "&amp;AN$11&amp;"; ","")</f>
        <v/>
      </c>
      <c r="AO144" t="str">
        <f>IF(AND($V$9=1,(TRUNC(Courses!P138)&lt;&gt;Courses!P138)), "Row "&amp;Courses!$A138&amp;", "&amp;AO$9&amp;", "&amp;AO$10&amp;", "&amp;AO$11&amp;"; ","")</f>
        <v/>
      </c>
      <c r="AP144" s="2120" t="str">
        <f>IF(AND($V$9=1,(TRUNC(Courses!Q138)&lt;&gt;Courses!Q138)), "Row "&amp;Courses!$A138&amp;", "&amp;AP$9&amp;", "&amp;AP$10&amp;"; ","")</f>
        <v/>
      </c>
      <c r="AQ144" s="1593" t="str">
        <f>IF(AND($V$9=1,(TRUNC(Courses!R138)&lt;&gt;Courses!R138)), "Row "&amp;Courses!$A138&amp;", "&amp;AQ$9&amp;", "&amp;AQ$10&amp;", "&amp;AQ$11&amp;"; ","")</f>
        <v/>
      </c>
      <c r="AR144" t="str">
        <f>IF(AND($V$9=1,(TRUNC(Courses!S138)&lt;&gt;Courses!S138)), "Row "&amp;Courses!$A138&amp;", "&amp;AR$9&amp;", "&amp;AR$10&amp;", "&amp;AR$11&amp;"; ","")</f>
        <v/>
      </c>
      <c r="AS144" t="str">
        <f>IF(AND($V$9=1,(TRUNC(Courses!T138)&lt;&gt;Courses!T138)), "Row "&amp;Courses!$A138&amp;", "&amp;AS$9&amp;", "&amp;AS$10&amp;", "&amp;AS$11&amp;"; ","")</f>
        <v/>
      </c>
      <c r="AT144" t="str">
        <f>IF(AND($V$9=1,(TRUNC(Courses!U138)&lt;&gt;Courses!U138)), "Row "&amp;Courses!$A138&amp;", "&amp;AT$9&amp;", "&amp;AT$10&amp;", "&amp;AT$11&amp;"; ","")</f>
        <v/>
      </c>
      <c r="AU144" s="2120" t="str">
        <f>IF(AND($V$9=1,(TRUNC(Courses!V138)&lt;&gt;Courses!V138)), "Row "&amp;Courses!$A138&amp;", "&amp;AU$9&amp;", "&amp;AU$10&amp;"; ","")</f>
        <v/>
      </c>
      <c r="AV144" s="1593" t="str">
        <f>IF(AND($V$9=1,(TRUNC(Courses!W138)&lt;&gt;Courses!W138)), "Row "&amp;Courses!$A138&amp;", "&amp;AV$9&amp;", "&amp;AV$10&amp;", "&amp;AV$11&amp;"; ","")</f>
        <v/>
      </c>
      <c r="AW144" t="str">
        <f>IF(AND($V$9=1,(TRUNC(Courses!X138)&lt;&gt;Courses!X138)), "Row "&amp;Courses!$A138&amp;", "&amp;AW$9&amp;", "&amp;AW$10&amp;", "&amp;AW$11&amp;"; ","")</f>
        <v/>
      </c>
      <c r="AX144" t="str">
        <f>IF(AND($V$9=1,(TRUNC(Courses!Y138)&lt;&gt;Courses!Y138)), "Row "&amp;Courses!$A138&amp;", "&amp;AX$9&amp;", "&amp;AX$10&amp;", "&amp;AX$11&amp;"; ","")</f>
        <v/>
      </c>
      <c r="AY144" t="str">
        <f>IF(AND($V$9=1,(TRUNC(Courses!Z138)&lt;&gt;Courses!Z138)), "Row "&amp;Courses!$A138&amp;", "&amp;AY$9&amp;", "&amp;AY$10&amp;", "&amp;AY$11&amp;"; ","")</f>
        <v/>
      </c>
      <c r="AZ144" s="2120" t="str">
        <f>IF(AND($V$9=1,(TRUNC(Courses!AA138)&lt;&gt;Courses!AA138)), "Row "&amp;Courses!$A138&amp;", "&amp;AZ$9&amp;", "&amp;AZ$10&amp;"; ","")</f>
        <v/>
      </c>
      <c r="BB144" s="118"/>
      <c r="BC144" s="3">
        <v>125</v>
      </c>
      <c r="BD144" s="1593" t="str">
        <f>IF(AND($W$9=1,Courses!M138&lt;0), "Row "&amp;Courses!$A138&amp;", "&amp;BD$9&amp;", "&amp;BD$10&amp;", "&amp;BD$11&amp;"; ","")</f>
        <v/>
      </c>
      <c r="BE144" t="str">
        <f>IF(AND($W$9=1,Courses!N138&lt;0), "Row "&amp;Courses!$A138&amp;", "&amp;BE$9&amp;", "&amp;BE$10&amp;", "&amp;BE$11&amp;"; ","")</f>
        <v/>
      </c>
      <c r="BF144" t="str">
        <f>IF(AND($W$9=1,Courses!O138&lt;0), "Row "&amp;Courses!$A138&amp;", "&amp;BF$9&amp;", "&amp;BF$10&amp;", "&amp;BF$11&amp;"; ","")</f>
        <v/>
      </c>
      <c r="BG144" t="str">
        <f>IF(AND($W$9=1,Courses!P138&lt;0), "Row "&amp;Courses!$A138&amp;", "&amp;BG$9&amp;", "&amp;BG$10&amp;", "&amp;BG$11&amp;"; ","")</f>
        <v/>
      </c>
      <c r="BH144" s="2120" t="str">
        <f>IF(AND($W$9=1,Courses!Q138&lt;0), "Row "&amp;Courses!$A138&amp;", "&amp;BH$9&amp;", "&amp;BH$10&amp;"; ","")</f>
        <v/>
      </c>
      <c r="BI144" s="1593" t="str">
        <f>IF(AND($W$9=1,Courses!R138&lt;0), "Row "&amp;Courses!$A138&amp;", "&amp;BI$9&amp;", "&amp;BI$10&amp;", "&amp;BI$11&amp;"; ","")</f>
        <v/>
      </c>
      <c r="BJ144" t="str">
        <f>IF(AND($W$9=1,Courses!S138&lt;0), "Row "&amp;Courses!$A138&amp;", "&amp;BJ$9&amp;", "&amp;BJ$10&amp;", "&amp;BJ$11&amp;"; ","")</f>
        <v/>
      </c>
      <c r="BK144" t="str">
        <f>IF(AND($W$9=1,Courses!T138&lt;0), "Row "&amp;Courses!$A138&amp;", "&amp;BK$9&amp;", "&amp;BK$10&amp;", "&amp;BK$11&amp;"; ","")</f>
        <v/>
      </c>
      <c r="BL144" t="str">
        <f>IF(AND($W$9=1,Courses!U138&lt;0), "Row "&amp;Courses!$A138&amp;", "&amp;BL$9&amp;", "&amp;BL$10&amp;", "&amp;BL$11&amp;"; ","")</f>
        <v/>
      </c>
      <c r="BM144" s="2120" t="str">
        <f>IF(AND($W$9=1,Courses!V138&lt;0), "Row "&amp;Courses!$A138&amp;", "&amp;BM$9&amp;", "&amp;BM$10&amp;"; ","")</f>
        <v/>
      </c>
      <c r="BN144" s="1593" t="str">
        <f>IF(AND($W$9=1,Courses!W138&lt;0), "Row "&amp;Courses!$A138&amp;", "&amp;BN$9&amp;", "&amp;BN$10&amp;", "&amp;BN$11&amp;"; ","")</f>
        <v/>
      </c>
      <c r="BO144" t="str">
        <f>IF(AND($W$9=1,Courses!X138&lt;0), "Row "&amp;Courses!$A138&amp;", "&amp;BO$9&amp;", "&amp;BO$10&amp;", "&amp;BO$11&amp;"; ","")</f>
        <v/>
      </c>
      <c r="BP144" t="str">
        <f>IF(AND($W$9=1,Courses!Y138&lt;0), "Row "&amp;Courses!$A138&amp;", "&amp;BP$9&amp;", "&amp;BP$10&amp;", "&amp;BP$11&amp;"; ","")</f>
        <v/>
      </c>
      <c r="BQ144" t="str">
        <f>IF(AND($W$9=1,Courses!Z138&lt;0), "Row "&amp;Courses!$A138&amp;", "&amp;BQ$9&amp;", "&amp;BQ$10&amp;", "&amp;BQ$11&amp;"; ","")</f>
        <v/>
      </c>
      <c r="BR144" s="2120" t="str">
        <f>IF(AND($W$9=1,Courses!AA138&lt;0), "Row "&amp;Courses!$A138&amp;", "&amp;BR$9&amp;", "&amp;BR$10&amp;"; ","")</f>
        <v/>
      </c>
      <c r="BT144" s="40">
        <v>125</v>
      </c>
      <c r="BU144" s="40">
        <f>IF(AND($X$9=1,Courses!B138="",Courses!F138="",Courses!H138="",Courses!J138="",Courses!K138="",Courses!L138="",Courses!M138=0,Courses!N138=0,Courses!O138=0,Courses!P138=0,Courses!Q138=0,Courses!R138=0,Courses!S138=0,Courses!T138=0,Courses!U138=0,Courses!V138=0,Courses!W138=0,Courses!X138=0,Courses!Y138=0,Courses!Z138=0,Courses!AA138=0),0,1)</f>
        <v>0</v>
      </c>
      <c r="BV144" s="40">
        <f>IF(AND(BU144=0,SUM(BU145:$BU$219)&gt;0),1,0)</f>
        <v>0</v>
      </c>
      <c r="BW144" s="1595" t="str">
        <f>IF(BV144=1,"Row "&amp;Courses!A138&amp;"; ","")</f>
        <v/>
      </c>
      <c r="BX144" s="17"/>
      <c r="BZ144" s="1592" t="str">
        <f>IF(AND($Y$9=1,Courses!B138&lt;&gt;"",SUM(Courses!M138:AA138)=0),"Row "&amp;Courses!A138&amp;"; ","")</f>
        <v/>
      </c>
      <c r="CA144" s="17"/>
      <c r="CC144" s="1592" t="str">
        <f>IF(AND($Z$9=1,Courses!AD138=1,(LEN(Courses!AB138)&gt;200)),"Row "&amp;Courses!A138&amp;"; ","")</f>
        <v/>
      </c>
      <c r="CE144" s="131"/>
      <c r="CG144" s="1593" t="str">
        <f>IF(AND($AD$9=1,Courses!E138&lt;&gt;"",Courses!F138&lt;&gt;"",Courses!F138=0,SUM(Courses!H138,Courses!J138)=1),"Row "&amp;Courses!A138&amp;", "&amp;Courses!$F$10&amp;"; ","")</f>
        <v/>
      </c>
      <c r="CH144" t="str">
        <f>IF(AND($AD$9=1,Courses!G138&lt;&gt;"",Courses!H138&lt;&gt;"",Courses!H138=0,SUM(Courses!J138,Courses!F138)=1),"Row "&amp;Courses!A138&amp;", "&amp;Courses!$H$10&amp;"; ","")</f>
        <v/>
      </c>
      <c r="CI144" s="183" t="str">
        <f>IF(AND($AD$9=1,Courses!I138&lt;&gt;"",Courses!J138&lt;&gt;"",Courses!J138=0, SUM(Courses!H138,Courses!F138)=1),"Row "&amp;Courses!A138&amp;", "&amp;Courses!$J$10&amp;"; ","")</f>
        <v/>
      </c>
      <c r="CJ144" s="180"/>
      <c r="CK144" s="181"/>
      <c r="CL144" s="1592" t="str">
        <f>IF(AND(Courses!B138&lt;&gt;"",ISNA(VLOOKUP(Courses!C138,CourseInfo,2,FALSE))=FALSE,COUNTIF(Dummy,Courses!C138)&lt;&gt;1),VLOOKUP(Courses!C138,CourseInfo,6,FALSE),"")</f>
        <v/>
      </c>
      <c r="CM144" s="1592" t="str">
        <f>IF(AND($AE$9=1,Courses!B138&lt;&gt;"",'Courses Valid'!AG144="",COUNTIF(Dummy,Courses!C138)&lt;&gt;1),IF(Courses!K138&lt;&gt;'Courses Valid'!CL144,"Row "&amp;Courses!A138&amp;", Level on LARS is "&amp;'Courses Valid'!CL144&amp;"; ",""),"")</f>
        <v/>
      </c>
      <c r="CN144" s="131"/>
    </row>
    <row r="145" spans="3:92" x14ac:dyDescent="0.35">
      <c r="C145" s="1591">
        <f t="shared" si="3"/>
        <v>0</v>
      </c>
      <c r="D145" s="41"/>
      <c r="E145" s="41"/>
      <c r="F145" s="118"/>
      <c r="G145" s="1592" t="str">
        <f>IF(SUMPRODUCT(--(CourseAims=Courses!$C139))=1,"",IF(AND($N$9=1,Courses!$C139&lt;&gt;""),"Row "&amp;Courses!A139&amp;" (invalid); ",""))</f>
        <v/>
      </c>
      <c r="H145" s="1592" t="str">
        <f>IF(AND($O$9=1,Courses!B139="",OR(Courses!F139&lt;&gt;"",Courses!H139&lt;&gt;"",Courses!J139&lt;&gt;"",Courses!K139&lt;&gt;"",Courses!L139&lt;&gt;"",Courses!M139&lt;&gt;0,Courses!N139&lt;&gt;0,Courses!O139&lt;&gt;0,Courses!P139&lt;&gt;0,Courses!Q139&lt;&gt;0,Courses!R139&lt;&gt;0,Courses!S139&lt;&gt;0,Courses!T139&lt;&gt;0,Courses!U139&lt;&gt;0,Courses!V139&lt;&gt;0,Courses!W139&lt;&gt;0,Courses!X139&lt;&gt;0,Courses!Y139&lt;&gt;0,Courses!Z139&lt;&gt;0,Courses!AA139&lt;&gt;0)),"Row "&amp;Courses!A139&amp;" (none); ","")</f>
        <v/>
      </c>
      <c r="I145" s="17"/>
      <c r="K145" s="1592" t="str">
        <f>Courses!B139&amp;Courses!K139&amp;Courses!L139</f>
        <v/>
      </c>
      <c r="L145" s="1592" t="str">
        <f>IF(AND($P$9=1,Courses!$B139&lt;&gt;"",COUNTIF(Dummy,Courses!$C139)&lt;&gt;1),IF(SUMPRODUCT(--($K$20:$K$219=$K145))&gt;1,"Row "&amp;Courses!$A139&amp;"; ",""),"")</f>
        <v/>
      </c>
      <c r="N145" s="118"/>
      <c r="O145" s="1593" t="str">
        <f>IF(AND($Q$9=1,Courses!E139&lt;&gt;"",Courses!F139=""),"Row "&amp;Courses!A139&amp;", "&amp;Courses!$E$10&amp;"; ","")</f>
        <v/>
      </c>
      <c r="P145" t="str">
        <f>IF(AND($Q$9=1,Courses!G139&lt;&gt;"",Courses!H139=""),"Row "&amp;Courses!A139&amp;", "&amp;Courses!$G$10&amp;"; ","")</f>
        <v/>
      </c>
      <c r="Q145" s="183" t="str">
        <f>IF(AND($Q$9=1,Courses!I139&lt;&gt;"",Courses!J139=""),"Row "&amp;Courses!A139&amp;", "&amp;Courses!$I$10&amp;"; ","")</f>
        <v/>
      </c>
      <c r="S145" s="17"/>
      <c r="T145" s="118"/>
      <c r="U145" s="1594" t="str">
        <f>IF(AND($R$9=1,Courses!B139&lt;&gt;"",Courses!E139&lt;&gt;"",Courses!G139="",Courses!I139="",Courses!F139&lt;&gt;1),"Row "&amp;Courses!A139&amp;"; ","")</f>
        <v/>
      </c>
      <c r="V145" t="str">
        <f>IF(AND($R$9=1,Courses!B139&lt;&gt;"",Courses!I139="",Courses!F139&lt;&gt;"",Courses!G139&lt;&gt;"",Courses!H139&lt;&gt;""),IF(OR((Courses!F139+Courses!H139)&lt;&gt;1),"Row "&amp;Courses!A139&amp;"; ",""),"")</f>
        <v/>
      </c>
      <c r="W145" s="183" t="str">
        <f>IF(AND($R$9=1,Courses!B139&lt;&gt;"",Courses!I139&lt;&gt;"",Courses!J139&lt;&gt;"",Courses!H139&lt;&gt;"",Courses!G139&lt;&gt;"",Courses!F139&lt;&gt;""),IF(OR((Courses!F139+Courses!H139+Courses!J139)&lt;&gt;1),"Row "&amp;Courses!A139&amp;"; ",""),"")</f>
        <v/>
      </c>
      <c r="Y145" s="1592" t="str">
        <f>IF(AND($R$9=1,Courses!E139&lt;&gt;"",U145="",V145="",W145="",SUM(Courses!F139,Courses!H139,Courses!J139)&lt;&gt;1),"Row "&amp;Courses!A139&amp;"; ","")</f>
        <v/>
      </c>
      <c r="Z145" s="17"/>
      <c r="AB145" s="1593" t="str">
        <f>IF(AND($S$9=1,Courses!B139&lt;&gt;"",Courses!E139&lt;&gt;"",Courses!F139&lt;&gt;""),IF((TRUNC(Courses!F139*100)&lt;&gt;Courses!F139*100),"Row "&amp;Courses!A139&amp;", "&amp;Courses!$F$10&amp;"; ",""),"")</f>
        <v/>
      </c>
      <c r="AC145" t="str">
        <f>IF(AND($S$9=1,Courses!B139&lt;&gt;"",Courses!G139&lt;&gt;"",Courses!H139&lt;&gt;""),IF((TRUNC(Courses!H139*100)&lt;&gt;Courses!H139*100),"Row "&amp;Courses!A139&amp;", "&amp;Courses!$H$10&amp;"; ",""),"")</f>
        <v/>
      </c>
      <c r="AD145" s="183" t="str">
        <f>IF(AND($S$9=1,Courses!B139&lt;&gt;"",Courses!I139&lt;&gt;"",Courses!J139&lt;&gt;""),IF((TRUNC(Courses!J139*100)&lt;&gt;Courses!J139*100),"Row "&amp;Courses!A139&amp;", "&amp;Courses!$J$10&amp;"; ",""),"")</f>
        <v/>
      </c>
      <c r="AF145" s="118"/>
      <c r="AG145" s="1592" t="str">
        <f>IF(AND($T$9=1,G145="",Courses!B139&lt;&gt;"",Courses!K139&lt;&gt;$B$9,Courses!K139&lt;&gt;$B$10,Courses!K139&lt;&gt;$B$11,Courses!K139&lt;&gt;$B$12,Courses!K139&lt;&gt;$B$13,Courses!K139&lt;&gt;$B$14),"Row "&amp;Courses!A139&amp;"; ","")</f>
        <v/>
      </c>
      <c r="AH145" s="1592" t="str">
        <f>IF(AND($U$9=1,G145="",Courses!B139&lt;&gt;"",Courses!L139&lt;&gt;"Standard",Courses!L139&lt;&gt;"Long"),"Row "&amp;Courses!A139&amp;"; ","")</f>
        <v/>
      </c>
      <c r="AJ145" s="118"/>
      <c r="AK145" s="3">
        <v>126</v>
      </c>
      <c r="AL145" s="1593" t="str">
        <f>IF(AND($V$9=1,(TRUNC(Courses!M139)&lt;&gt;Courses!M139)), "Row "&amp;Courses!$A139&amp;", "&amp;AL$9&amp;", "&amp;AL$10&amp;", "&amp;AL$11&amp;"; ","")</f>
        <v/>
      </c>
      <c r="AM145" t="str">
        <f>IF(AND($V$9=1,(TRUNC(Courses!N139)&lt;&gt;Courses!N139)), "Row "&amp;Courses!$A139&amp;", "&amp;AM$9&amp;", "&amp;AM$10&amp;", "&amp;AM$11&amp;"; ","")</f>
        <v/>
      </c>
      <c r="AN145" t="str">
        <f>IF(AND($V$9=1,(TRUNC(Courses!O139)&lt;&gt;Courses!O139)), "Row "&amp;Courses!$A139&amp;", "&amp;AN$9&amp;", "&amp;AN$10&amp;", "&amp;AN$11&amp;"; ","")</f>
        <v/>
      </c>
      <c r="AO145" t="str">
        <f>IF(AND($V$9=1,(TRUNC(Courses!P139)&lt;&gt;Courses!P139)), "Row "&amp;Courses!$A139&amp;", "&amp;AO$9&amp;", "&amp;AO$10&amp;", "&amp;AO$11&amp;"; ","")</f>
        <v/>
      </c>
      <c r="AP145" s="2120" t="str">
        <f>IF(AND($V$9=1,(TRUNC(Courses!Q139)&lt;&gt;Courses!Q139)), "Row "&amp;Courses!$A139&amp;", "&amp;AP$9&amp;", "&amp;AP$10&amp;"; ","")</f>
        <v/>
      </c>
      <c r="AQ145" s="1593" t="str">
        <f>IF(AND($V$9=1,(TRUNC(Courses!R139)&lt;&gt;Courses!R139)), "Row "&amp;Courses!$A139&amp;", "&amp;AQ$9&amp;", "&amp;AQ$10&amp;", "&amp;AQ$11&amp;"; ","")</f>
        <v/>
      </c>
      <c r="AR145" t="str">
        <f>IF(AND($V$9=1,(TRUNC(Courses!S139)&lt;&gt;Courses!S139)), "Row "&amp;Courses!$A139&amp;", "&amp;AR$9&amp;", "&amp;AR$10&amp;", "&amp;AR$11&amp;"; ","")</f>
        <v/>
      </c>
      <c r="AS145" t="str">
        <f>IF(AND($V$9=1,(TRUNC(Courses!T139)&lt;&gt;Courses!T139)), "Row "&amp;Courses!$A139&amp;", "&amp;AS$9&amp;", "&amp;AS$10&amp;", "&amp;AS$11&amp;"; ","")</f>
        <v/>
      </c>
      <c r="AT145" t="str">
        <f>IF(AND($V$9=1,(TRUNC(Courses!U139)&lt;&gt;Courses!U139)), "Row "&amp;Courses!$A139&amp;", "&amp;AT$9&amp;", "&amp;AT$10&amp;", "&amp;AT$11&amp;"; ","")</f>
        <v/>
      </c>
      <c r="AU145" s="2120" t="str">
        <f>IF(AND($V$9=1,(TRUNC(Courses!V139)&lt;&gt;Courses!V139)), "Row "&amp;Courses!$A139&amp;", "&amp;AU$9&amp;", "&amp;AU$10&amp;"; ","")</f>
        <v/>
      </c>
      <c r="AV145" s="1593" t="str">
        <f>IF(AND($V$9=1,(TRUNC(Courses!W139)&lt;&gt;Courses!W139)), "Row "&amp;Courses!$A139&amp;", "&amp;AV$9&amp;", "&amp;AV$10&amp;", "&amp;AV$11&amp;"; ","")</f>
        <v/>
      </c>
      <c r="AW145" t="str">
        <f>IF(AND($V$9=1,(TRUNC(Courses!X139)&lt;&gt;Courses!X139)), "Row "&amp;Courses!$A139&amp;", "&amp;AW$9&amp;", "&amp;AW$10&amp;", "&amp;AW$11&amp;"; ","")</f>
        <v/>
      </c>
      <c r="AX145" t="str">
        <f>IF(AND($V$9=1,(TRUNC(Courses!Y139)&lt;&gt;Courses!Y139)), "Row "&amp;Courses!$A139&amp;", "&amp;AX$9&amp;", "&amp;AX$10&amp;", "&amp;AX$11&amp;"; ","")</f>
        <v/>
      </c>
      <c r="AY145" t="str">
        <f>IF(AND($V$9=1,(TRUNC(Courses!Z139)&lt;&gt;Courses!Z139)), "Row "&amp;Courses!$A139&amp;", "&amp;AY$9&amp;", "&amp;AY$10&amp;", "&amp;AY$11&amp;"; ","")</f>
        <v/>
      </c>
      <c r="AZ145" s="2120" t="str">
        <f>IF(AND($V$9=1,(TRUNC(Courses!AA139)&lt;&gt;Courses!AA139)), "Row "&amp;Courses!$A139&amp;", "&amp;AZ$9&amp;", "&amp;AZ$10&amp;"; ","")</f>
        <v/>
      </c>
      <c r="BB145" s="118"/>
      <c r="BC145" s="3">
        <v>126</v>
      </c>
      <c r="BD145" s="1593" t="str">
        <f>IF(AND($W$9=1,Courses!M139&lt;0), "Row "&amp;Courses!$A139&amp;", "&amp;BD$9&amp;", "&amp;BD$10&amp;", "&amp;BD$11&amp;"; ","")</f>
        <v/>
      </c>
      <c r="BE145" t="str">
        <f>IF(AND($W$9=1,Courses!N139&lt;0), "Row "&amp;Courses!$A139&amp;", "&amp;BE$9&amp;", "&amp;BE$10&amp;", "&amp;BE$11&amp;"; ","")</f>
        <v/>
      </c>
      <c r="BF145" t="str">
        <f>IF(AND($W$9=1,Courses!O139&lt;0), "Row "&amp;Courses!$A139&amp;", "&amp;BF$9&amp;", "&amp;BF$10&amp;", "&amp;BF$11&amp;"; ","")</f>
        <v/>
      </c>
      <c r="BG145" t="str">
        <f>IF(AND($W$9=1,Courses!P139&lt;0), "Row "&amp;Courses!$A139&amp;", "&amp;BG$9&amp;", "&amp;BG$10&amp;", "&amp;BG$11&amp;"; ","")</f>
        <v/>
      </c>
      <c r="BH145" s="2120" t="str">
        <f>IF(AND($W$9=1,Courses!Q139&lt;0), "Row "&amp;Courses!$A139&amp;", "&amp;BH$9&amp;", "&amp;BH$10&amp;"; ","")</f>
        <v/>
      </c>
      <c r="BI145" s="1593" t="str">
        <f>IF(AND($W$9=1,Courses!R139&lt;0), "Row "&amp;Courses!$A139&amp;", "&amp;BI$9&amp;", "&amp;BI$10&amp;", "&amp;BI$11&amp;"; ","")</f>
        <v/>
      </c>
      <c r="BJ145" t="str">
        <f>IF(AND($W$9=1,Courses!S139&lt;0), "Row "&amp;Courses!$A139&amp;", "&amp;BJ$9&amp;", "&amp;BJ$10&amp;", "&amp;BJ$11&amp;"; ","")</f>
        <v/>
      </c>
      <c r="BK145" t="str">
        <f>IF(AND($W$9=1,Courses!T139&lt;0), "Row "&amp;Courses!$A139&amp;", "&amp;BK$9&amp;", "&amp;BK$10&amp;", "&amp;BK$11&amp;"; ","")</f>
        <v/>
      </c>
      <c r="BL145" t="str">
        <f>IF(AND($W$9=1,Courses!U139&lt;0), "Row "&amp;Courses!$A139&amp;", "&amp;BL$9&amp;", "&amp;BL$10&amp;", "&amp;BL$11&amp;"; ","")</f>
        <v/>
      </c>
      <c r="BM145" s="2120" t="str">
        <f>IF(AND($W$9=1,Courses!V139&lt;0), "Row "&amp;Courses!$A139&amp;", "&amp;BM$9&amp;", "&amp;BM$10&amp;"; ","")</f>
        <v/>
      </c>
      <c r="BN145" s="1593" t="str">
        <f>IF(AND($W$9=1,Courses!W139&lt;0), "Row "&amp;Courses!$A139&amp;", "&amp;BN$9&amp;", "&amp;BN$10&amp;", "&amp;BN$11&amp;"; ","")</f>
        <v/>
      </c>
      <c r="BO145" t="str">
        <f>IF(AND($W$9=1,Courses!X139&lt;0), "Row "&amp;Courses!$A139&amp;", "&amp;BO$9&amp;", "&amp;BO$10&amp;", "&amp;BO$11&amp;"; ","")</f>
        <v/>
      </c>
      <c r="BP145" t="str">
        <f>IF(AND($W$9=1,Courses!Y139&lt;0), "Row "&amp;Courses!$A139&amp;", "&amp;BP$9&amp;", "&amp;BP$10&amp;", "&amp;BP$11&amp;"; ","")</f>
        <v/>
      </c>
      <c r="BQ145" t="str">
        <f>IF(AND($W$9=1,Courses!Z139&lt;0), "Row "&amp;Courses!$A139&amp;", "&amp;BQ$9&amp;", "&amp;BQ$10&amp;", "&amp;BQ$11&amp;"; ","")</f>
        <v/>
      </c>
      <c r="BR145" s="2120" t="str">
        <f>IF(AND($W$9=1,Courses!AA139&lt;0), "Row "&amp;Courses!$A139&amp;", "&amp;BR$9&amp;", "&amp;BR$10&amp;"; ","")</f>
        <v/>
      </c>
      <c r="BT145" s="40">
        <v>126</v>
      </c>
      <c r="BU145" s="40">
        <f>IF(AND($X$9=1,Courses!B139="",Courses!F139="",Courses!H139="",Courses!J139="",Courses!K139="",Courses!L139="",Courses!M139=0,Courses!N139=0,Courses!O139=0,Courses!P139=0,Courses!Q139=0,Courses!R139=0,Courses!S139=0,Courses!T139=0,Courses!U139=0,Courses!V139=0,Courses!W139=0,Courses!X139=0,Courses!Y139=0,Courses!Z139=0,Courses!AA139=0),0,1)</f>
        <v>0</v>
      </c>
      <c r="BV145" s="40">
        <f>IF(AND(BU145=0,SUM(BU146:$BU$219)&gt;0),1,0)</f>
        <v>0</v>
      </c>
      <c r="BW145" s="1595" t="str">
        <f>IF(BV145=1,"Row "&amp;Courses!A139&amp;"; ","")</f>
        <v/>
      </c>
      <c r="BX145" s="17"/>
      <c r="BZ145" s="1592" t="str">
        <f>IF(AND($Y$9=1,Courses!B139&lt;&gt;"",SUM(Courses!M139:AA139)=0),"Row "&amp;Courses!A139&amp;"; ","")</f>
        <v/>
      </c>
      <c r="CA145" s="17"/>
      <c r="CC145" s="1592" t="str">
        <f>IF(AND($Z$9=1,Courses!AD139=1,(LEN(Courses!AB139)&gt;200)),"Row "&amp;Courses!A139&amp;"; ","")</f>
        <v/>
      </c>
      <c r="CE145" s="131"/>
      <c r="CG145" s="1593" t="str">
        <f>IF(AND($AD$9=1,Courses!E139&lt;&gt;"",Courses!F139&lt;&gt;"",Courses!F139=0,SUM(Courses!H139,Courses!J139)=1),"Row "&amp;Courses!A139&amp;", "&amp;Courses!$F$10&amp;"; ","")</f>
        <v/>
      </c>
      <c r="CH145" t="str">
        <f>IF(AND($AD$9=1,Courses!G139&lt;&gt;"",Courses!H139&lt;&gt;"",Courses!H139=0,SUM(Courses!J139,Courses!F139)=1),"Row "&amp;Courses!A139&amp;", "&amp;Courses!$H$10&amp;"; ","")</f>
        <v/>
      </c>
      <c r="CI145" s="183" t="str">
        <f>IF(AND($AD$9=1,Courses!I139&lt;&gt;"",Courses!J139&lt;&gt;"",Courses!J139=0, SUM(Courses!H139,Courses!F139)=1),"Row "&amp;Courses!A139&amp;", "&amp;Courses!$J$10&amp;"; ","")</f>
        <v/>
      </c>
      <c r="CJ145" s="180"/>
      <c r="CK145" s="181"/>
      <c r="CL145" s="1592" t="str">
        <f>IF(AND(Courses!B139&lt;&gt;"",ISNA(VLOOKUP(Courses!C139,CourseInfo,2,FALSE))=FALSE,COUNTIF(Dummy,Courses!C139)&lt;&gt;1),VLOOKUP(Courses!C139,CourseInfo,6,FALSE),"")</f>
        <v/>
      </c>
      <c r="CM145" s="1592" t="str">
        <f>IF(AND($AE$9=1,Courses!B139&lt;&gt;"",'Courses Valid'!AG145="",COUNTIF(Dummy,Courses!C139)&lt;&gt;1),IF(Courses!K139&lt;&gt;'Courses Valid'!CL145,"Row "&amp;Courses!A139&amp;", Level on LARS is "&amp;'Courses Valid'!CL145&amp;"; ",""),"")</f>
        <v/>
      </c>
      <c r="CN145" s="131"/>
    </row>
    <row r="146" spans="3:92" x14ac:dyDescent="0.35">
      <c r="C146" s="1591">
        <f t="shared" si="3"/>
        <v>0</v>
      </c>
      <c r="D146" s="41"/>
      <c r="E146" s="41"/>
      <c r="F146" s="118"/>
      <c r="G146" s="1592" t="str">
        <f>IF(SUMPRODUCT(--(CourseAims=Courses!$C140))=1,"",IF(AND($N$9=1,Courses!$C140&lt;&gt;""),"Row "&amp;Courses!A140&amp;" (invalid); ",""))</f>
        <v/>
      </c>
      <c r="H146" s="1592" t="str">
        <f>IF(AND($O$9=1,Courses!B140="",OR(Courses!F140&lt;&gt;"",Courses!H140&lt;&gt;"",Courses!J140&lt;&gt;"",Courses!K140&lt;&gt;"",Courses!L140&lt;&gt;"",Courses!M140&lt;&gt;0,Courses!N140&lt;&gt;0,Courses!O140&lt;&gt;0,Courses!P140&lt;&gt;0,Courses!Q140&lt;&gt;0,Courses!R140&lt;&gt;0,Courses!S140&lt;&gt;0,Courses!T140&lt;&gt;0,Courses!U140&lt;&gt;0,Courses!V140&lt;&gt;0,Courses!W140&lt;&gt;0,Courses!X140&lt;&gt;0,Courses!Y140&lt;&gt;0,Courses!Z140&lt;&gt;0,Courses!AA140&lt;&gt;0)),"Row "&amp;Courses!A140&amp;" (none); ","")</f>
        <v/>
      </c>
      <c r="I146" s="17"/>
      <c r="K146" s="1592" t="str">
        <f>Courses!B140&amp;Courses!K140&amp;Courses!L140</f>
        <v/>
      </c>
      <c r="L146" s="1592" t="str">
        <f>IF(AND($P$9=1,Courses!$B140&lt;&gt;"",COUNTIF(Dummy,Courses!$C140)&lt;&gt;1),IF(SUMPRODUCT(--($K$20:$K$219=$K146))&gt;1,"Row "&amp;Courses!$A140&amp;"; ",""),"")</f>
        <v/>
      </c>
      <c r="N146" s="118"/>
      <c r="O146" s="1593" t="str">
        <f>IF(AND($Q$9=1,Courses!E140&lt;&gt;"",Courses!F140=""),"Row "&amp;Courses!A140&amp;", "&amp;Courses!$E$10&amp;"; ","")</f>
        <v/>
      </c>
      <c r="P146" t="str">
        <f>IF(AND($Q$9=1,Courses!G140&lt;&gt;"",Courses!H140=""),"Row "&amp;Courses!A140&amp;", "&amp;Courses!$G$10&amp;"; ","")</f>
        <v/>
      </c>
      <c r="Q146" s="183" t="str">
        <f>IF(AND($Q$9=1,Courses!I140&lt;&gt;"",Courses!J140=""),"Row "&amp;Courses!A140&amp;", "&amp;Courses!$I$10&amp;"; ","")</f>
        <v/>
      </c>
      <c r="S146" s="17"/>
      <c r="T146" s="118"/>
      <c r="U146" s="1594" t="str">
        <f>IF(AND($R$9=1,Courses!B140&lt;&gt;"",Courses!E140&lt;&gt;"",Courses!G140="",Courses!I140="",Courses!F140&lt;&gt;1),"Row "&amp;Courses!A140&amp;"; ","")</f>
        <v/>
      </c>
      <c r="V146" t="str">
        <f>IF(AND($R$9=1,Courses!B140&lt;&gt;"",Courses!I140="",Courses!F140&lt;&gt;"",Courses!G140&lt;&gt;"",Courses!H140&lt;&gt;""),IF(OR((Courses!F140+Courses!H140)&lt;&gt;1),"Row "&amp;Courses!A140&amp;"; ",""),"")</f>
        <v/>
      </c>
      <c r="W146" s="183" t="str">
        <f>IF(AND($R$9=1,Courses!B140&lt;&gt;"",Courses!I140&lt;&gt;"",Courses!J140&lt;&gt;"",Courses!H140&lt;&gt;"",Courses!G140&lt;&gt;"",Courses!F140&lt;&gt;""),IF(OR((Courses!F140+Courses!H140+Courses!J140)&lt;&gt;1),"Row "&amp;Courses!A140&amp;"; ",""),"")</f>
        <v/>
      </c>
      <c r="Y146" s="1592" t="str">
        <f>IF(AND($R$9=1,Courses!E140&lt;&gt;"",U146="",V146="",W146="",SUM(Courses!F140,Courses!H140,Courses!J140)&lt;&gt;1),"Row "&amp;Courses!A140&amp;"; ","")</f>
        <v/>
      </c>
      <c r="Z146" s="17"/>
      <c r="AB146" s="1593" t="str">
        <f>IF(AND($S$9=1,Courses!B140&lt;&gt;"",Courses!E140&lt;&gt;"",Courses!F140&lt;&gt;""),IF((TRUNC(Courses!F140*100)&lt;&gt;Courses!F140*100),"Row "&amp;Courses!A140&amp;", "&amp;Courses!$F$10&amp;"; ",""),"")</f>
        <v/>
      </c>
      <c r="AC146" t="str">
        <f>IF(AND($S$9=1,Courses!B140&lt;&gt;"",Courses!G140&lt;&gt;"",Courses!H140&lt;&gt;""),IF((TRUNC(Courses!H140*100)&lt;&gt;Courses!H140*100),"Row "&amp;Courses!A140&amp;", "&amp;Courses!$H$10&amp;"; ",""),"")</f>
        <v/>
      </c>
      <c r="AD146" s="183" t="str">
        <f>IF(AND($S$9=1,Courses!B140&lt;&gt;"",Courses!I140&lt;&gt;"",Courses!J140&lt;&gt;""),IF((TRUNC(Courses!J140*100)&lt;&gt;Courses!J140*100),"Row "&amp;Courses!A140&amp;", "&amp;Courses!$J$10&amp;"; ",""),"")</f>
        <v/>
      </c>
      <c r="AF146" s="118"/>
      <c r="AG146" s="1592" t="str">
        <f>IF(AND($T$9=1,G146="",Courses!B140&lt;&gt;"",Courses!K140&lt;&gt;$B$9,Courses!K140&lt;&gt;$B$10,Courses!K140&lt;&gt;$B$11,Courses!K140&lt;&gt;$B$12,Courses!K140&lt;&gt;$B$13,Courses!K140&lt;&gt;$B$14),"Row "&amp;Courses!A140&amp;"; ","")</f>
        <v/>
      </c>
      <c r="AH146" s="1592" t="str">
        <f>IF(AND($U$9=1,G146="",Courses!B140&lt;&gt;"",Courses!L140&lt;&gt;"Standard",Courses!L140&lt;&gt;"Long"),"Row "&amp;Courses!A140&amp;"; ","")</f>
        <v/>
      </c>
      <c r="AJ146" s="118"/>
      <c r="AK146" s="3">
        <v>127</v>
      </c>
      <c r="AL146" s="1593" t="str">
        <f>IF(AND($V$9=1,(TRUNC(Courses!M140)&lt;&gt;Courses!M140)), "Row "&amp;Courses!$A140&amp;", "&amp;AL$9&amp;", "&amp;AL$10&amp;", "&amp;AL$11&amp;"; ","")</f>
        <v/>
      </c>
      <c r="AM146" t="str">
        <f>IF(AND($V$9=1,(TRUNC(Courses!N140)&lt;&gt;Courses!N140)), "Row "&amp;Courses!$A140&amp;", "&amp;AM$9&amp;", "&amp;AM$10&amp;", "&amp;AM$11&amp;"; ","")</f>
        <v/>
      </c>
      <c r="AN146" t="str">
        <f>IF(AND($V$9=1,(TRUNC(Courses!O140)&lt;&gt;Courses!O140)), "Row "&amp;Courses!$A140&amp;", "&amp;AN$9&amp;", "&amp;AN$10&amp;", "&amp;AN$11&amp;"; ","")</f>
        <v/>
      </c>
      <c r="AO146" t="str">
        <f>IF(AND($V$9=1,(TRUNC(Courses!P140)&lt;&gt;Courses!P140)), "Row "&amp;Courses!$A140&amp;", "&amp;AO$9&amp;", "&amp;AO$10&amp;", "&amp;AO$11&amp;"; ","")</f>
        <v/>
      </c>
      <c r="AP146" s="2120" t="str">
        <f>IF(AND($V$9=1,(TRUNC(Courses!Q140)&lt;&gt;Courses!Q140)), "Row "&amp;Courses!$A140&amp;", "&amp;AP$9&amp;", "&amp;AP$10&amp;"; ","")</f>
        <v/>
      </c>
      <c r="AQ146" s="1593" t="str">
        <f>IF(AND($V$9=1,(TRUNC(Courses!R140)&lt;&gt;Courses!R140)), "Row "&amp;Courses!$A140&amp;", "&amp;AQ$9&amp;", "&amp;AQ$10&amp;", "&amp;AQ$11&amp;"; ","")</f>
        <v/>
      </c>
      <c r="AR146" t="str">
        <f>IF(AND($V$9=1,(TRUNC(Courses!S140)&lt;&gt;Courses!S140)), "Row "&amp;Courses!$A140&amp;", "&amp;AR$9&amp;", "&amp;AR$10&amp;", "&amp;AR$11&amp;"; ","")</f>
        <v/>
      </c>
      <c r="AS146" t="str">
        <f>IF(AND($V$9=1,(TRUNC(Courses!T140)&lt;&gt;Courses!T140)), "Row "&amp;Courses!$A140&amp;", "&amp;AS$9&amp;", "&amp;AS$10&amp;", "&amp;AS$11&amp;"; ","")</f>
        <v/>
      </c>
      <c r="AT146" t="str">
        <f>IF(AND($V$9=1,(TRUNC(Courses!U140)&lt;&gt;Courses!U140)), "Row "&amp;Courses!$A140&amp;", "&amp;AT$9&amp;", "&amp;AT$10&amp;", "&amp;AT$11&amp;"; ","")</f>
        <v/>
      </c>
      <c r="AU146" s="2120" t="str">
        <f>IF(AND($V$9=1,(TRUNC(Courses!V140)&lt;&gt;Courses!V140)), "Row "&amp;Courses!$A140&amp;", "&amp;AU$9&amp;", "&amp;AU$10&amp;"; ","")</f>
        <v/>
      </c>
      <c r="AV146" s="1593" t="str">
        <f>IF(AND($V$9=1,(TRUNC(Courses!W140)&lt;&gt;Courses!W140)), "Row "&amp;Courses!$A140&amp;", "&amp;AV$9&amp;", "&amp;AV$10&amp;", "&amp;AV$11&amp;"; ","")</f>
        <v/>
      </c>
      <c r="AW146" t="str">
        <f>IF(AND($V$9=1,(TRUNC(Courses!X140)&lt;&gt;Courses!X140)), "Row "&amp;Courses!$A140&amp;", "&amp;AW$9&amp;", "&amp;AW$10&amp;", "&amp;AW$11&amp;"; ","")</f>
        <v/>
      </c>
      <c r="AX146" t="str">
        <f>IF(AND($V$9=1,(TRUNC(Courses!Y140)&lt;&gt;Courses!Y140)), "Row "&amp;Courses!$A140&amp;", "&amp;AX$9&amp;", "&amp;AX$10&amp;", "&amp;AX$11&amp;"; ","")</f>
        <v/>
      </c>
      <c r="AY146" t="str">
        <f>IF(AND($V$9=1,(TRUNC(Courses!Z140)&lt;&gt;Courses!Z140)), "Row "&amp;Courses!$A140&amp;", "&amp;AY$9&amp;", "&amp;AY$10&amp;", "&amp;AY$11&amp;"; ","")</f>
        <v/>
      </c>
      <c r="AZ146" s="2120" t="str">
        <f>IF(AND($V$9=1,(TRUNC(Courses!AA140)&lt;&gt;Courses!AA140)), "Row "&amp;Courses!$A140&amp;", "&amp;AZ$9&amp;", "&amp;AZ$10&amp;"; ","")</f>
        <v/>
      </c>
      <c r="BB146" s="118"/>
      <c r="BC146" s="3">
        <v>127</v>
      </c>
      <c r="BD146" s="1593" t="str">
        <f>IF(AND($W$9=1,Courses!M140&lt;0), "Row "&amp;Courses!$A140&amp;", "&amp;BD$9&amp;", "&amp;BD$10&amp;", "&amp;BD$11&amp;"; ","")</f>
        <v/>
      </c>
      <c r="BE146" t="str">
        <f>IF(AND($W$9=1,Courses!N140&lt;0), "Row "&amp;Courses!$A140&amp;", "&amp;BE$9&amp;", "&amp;BE$10&amp;", "&amp;BE$11&amp;"; ","")</f>
        <v/>
      </c>
      <c r="BF146" t="str">
        <f>IF(AND($W$9=1,Courses!O140&lt;0), "Row "&amp;Courses!$A140&amp;", "&amp;BF$9&amp;", "&amp;BF$10&amp;", "&amp;BF$11&amp;"; ","")</f>
        <v/>
      </c>
      <c r="BG146" t="str">
        <f>IF(AND($W$9=1,Courses!P140&lt;0), "Row "&amp;Courses!$A140&amp;", "&amp;BG$9&amp;", "&amp;BG$10&amp;", "&amp;BG$11&amp;"; ","")</f>
        <v/>
      </c>
      <c r="BH146" s="2120" t="str">
        <f>IF(AND($W$9=1,Courses!Q140&lt;0), "Row "&amp;Courses!$A140&amp;", "&amp;BH$9&amp;", "&amp;BH$10&amp;"; ","")</f>
        <v/>
      </c>
      <c r="BI146" s="1593" t="str">
        <f>IF(AND($W$9=1,Courses!R140&lt;0), "Row "&amp;Courses!$A140&amp;", "&amp;BI$9&amp;", "&amp;BI$10&amp;", "&amp;BI$11&amp;"; ","")</f>
        <v/>
      </c>
      <c r="BJ146" t="str">
        <f>IF(AND($W$9=1,Courses!S140&lt;0), "Row "&amp;Courses!$A140&amp;", "&amp;BJ$9&amp;", "&amp;BJ$10&amp;", "&amp;BJ$11&amp;"; ","")</f>
        <v/>
      </c>
      <c r="BK146" t="str">
        <f>IF(AND($W$9=1,Courses!T140&lt;0), "Row "&amp;Courses!$A140&amp;", "&amp;BK$9&amp;", "&amp;BK$10&amp;", "&amp;BK$11&amp;"; ","")</f>
        <v/>
      </c>
      <c r="BL146" t="str">
        <f>IF(AND($W$9=1,Courses!U140&lt;0), "Row "&amp;Courses!$A140&amp;", "&amp;BL$9&amp;", "&amp;BL$10&amp;", "&amp;BL$11&amp;"; ","")</f>
        <v/>
      </c>
      <c r="BM146" s="2120" t="str">
        <f>IF(AND($W$9=1,Courses!V140&lt;0), "Row "&amp;Courses!$A140&amp;", "&amp;BM$9&amp;", "&amp;BM$10&amp;"; ","")</f>
        <v/>
      </c>
      <c r="BN146" s="1593" t="str">
        <f>IF(AND($W$9=1,Courses!W140&lt;0), "Row "&amp;Courses!$A140&amp;", "&amp;BN$9&amp;", "&amp;BN$10&amp;", "&amp;BN$11&amp;"; ","")</f>
        <v/>
      </c>
      <c r="BO146" t="str">
        <f>IF(AND($W$9=1,Courses!X140&lt;0), "Row "&amp;Courses!$A140&amp;", "&amp;BO$9&amp;", "&amp;BO$10&amp;", "&amp;BO$11&amp;"; ","")</f>
        <v/>
      </c>
      <c r="BP146" t="str">
        <f>IF(AND($W$9=1,Courses!Y140&lt;0), "Row "&amp;Courses!$A140&amp;", "&amp;BP$9&amp;", "&amp;BP$10&amp;", "&amp;BP$11&amp;"; ","")</f>
        <v/>
      </c>
      <c r="BQ146" t="str">
        <f>IF(AND($W$9=1,Courses!Z140&lt;0), "Row "&amp;Courses!$A140&amp;", "&amp;BQ$9&amp;", "&amp;BQ$10&amp;", "&amp;BQ$11&amp;"; ","")</f>
        <v/>
      </c>
      <c r="BR146" s="2120" t="str">
        <f>IF(AND($W$9=1,Courses!AA140&lt;0), "Row "&amp;Courses!$A140&amp;", "&amp;BR$9&amp;", "&amp;BR$10&amp;"; ","")</f>
        <v/>
      </c>
      <c r="BT146" s="40">
        <v>127</v>
      </c>
      <c r="BU146" s="40">
        <f>IF(AND($X$9=1,Courses!B140="",Courses!F140="",Courses!H140="",Courses!J140="",Courses!K140="",Courses!L140="",Courses!M140=0,Courses!N140=0,Courses!O140=0,Courses!P140=0,Courses!Q140=0,Courses!R140=0,Courses!S140=0,Courses!T140=0,Courses!U140=0,Courses!V140=0,Courses!W140=0,Courses!X140=0,Courses!Y140=0,Courses!Z140=0,Courses!AA140=0),0,1)</f>
        <v>0</v>
      </c>
      <c r="BV146" s="40">
        <f>IF(AND(BU146=0,SUM(BU147:$BU$219)&gt;0),1,0)</f>
        <v>0</v>
      </c>
      <c r="BW146" s="1595" t="str">
        <f>IF(BV146=1,"Row "&amp;Courses!A140&amp;"; ","")</f>
        <v/>
      </c>
      <c r="BX146" s="17"/>
      <c r="BZ146" s="1592" t="str">
        <f>IF(AND($Y$9=1,Courses!B140&lt;&gt;"",SUM(Courses!M140:AA140)=0),"Row "&amp;Courses!A140&amp;"; ","")</f>
        <v/>
      </c>
      <c r="CA146" s="17"/>
      <c r="CC146" s="1592" t="str">
        <f>IF(AND($Z$9=1,Courses!AD140=1,(LEN(Courses!AB140)&gt;200)),"Row "&amp;Courses!A140&amp;"; ","")</f>
        <v/>
      </c>
      <c r="CE146" s="131"/>
      <c r="CG146" s="1593" t="str">
        <f>IF(AND($AD$9=1,Courses!E140&lt;&gt;"",Courses!F140&lt;&gt;"",Courses!F140=0,SUM(Courses!H140,Courses!J140)=1),"Row "&amp;Courses!A140&amp;", "&amp;Courses!$F$10&amp;"; ","")</f>
        <v/>
      </c>
      <c r="CH146" t="str">
        <f>IF(AND($AD$9=1,Courses!G140&lt;&gt;"",Courses!H140&lt;&gt;"",Courses!H140=0,SUM(Courses!J140,Courses!F140)=1),"Row "&amp;Courses!A140&amp;", "&amp;Courses!$H$10&amp;"; ","")</f>
        <v/>
      </c>
      <c r="CI146" s="183" t="str">
        <f>IF(AND($AD$9=1,Courses!I140&lt;&gt;"",Courses!J140&lt;&gt;"",Courses!J140=0, SUM(Courses!H140,Courses!F140)=1),"Row "&amp;Courses!A140&amp;", "&amp;Courses!$J$10&amp;"; ","")</f>
        <v/>
      </c>
      <c r="CJ146" s="180"/>
      <c r="CK146" s="181"/>
      <c r="CL146" s="1592" t="str">
        <f>IF(AND(Courses!B140&lt;&gt;"",ISNA(VLOOKUP(Courses!C140,CourseInfo,2,FALSE))=FALSE,COUNTIF(Dummy,Courses!C140)&lt;&gt;1),VLOOKUP(Courses!C140,CourseInfo,6,FALSE),"")</f>
        <v/>
      </c>
      <c r="CM146" s="1592" t="str">
        <f>IF(AND($AE$9=1,Courses!B140&lt;&gt;"",'Courses Valid'!AG146="",COUNTIF(Dummy,Courses!C140)&lt;&gt;1),IF(Courses!K140&lt;&gt;'Courses Valid'!CL146,"Row "&amp;Courses!A140&amp;", Level on LARS is "&amp;'Courses Valid'!CL146&amp;"; ",""),"")</f>
        <v/>
      </c>
      <c r="CN146" s="131"/>
    </row>
    <row r="147" spans="3:92" x14ac:dyDescent="0.35">
      <c r="C147" s="1591">
        <f t="shared" si="3"/>
        <v>0</v>
      </c>
      <c r="D147" s="41"/>
      <c r="E147" s="41"/>
      <c r="F147" s="118"/>
      <c r="G147" s="1592" t="str">
        <f>IF(SUMPRODUCT(--(CourseAims=Courses!$C141))=1,"",IF(AND($N$9=1,Courses!$C141&lt;&gt;""),"Row "&amp;Courses!A141&amp;" (invalid); ",""))</f>
        <v/>
      </c>
      <c r="H147" s="1592" t="str">
        <f>IF(AND($O$9=1,Courses!B141="",OR(Courses!F141&lt;&gt;"",Courses!H141&lt;&gt;"",Courses!J141&lt;&gt;"",Courses!K141&lt;&gt;"",Courses!L141&lt;&gt;"",Courses!M141&lt;&gt;0,Courses!N141&lt;&gt;0,Courses!O141&lt;&gt;0,Courses!P141&lt;&gt;0,Courses!Q141&lt;&gt;0,Courses!R141&lt;&gt;0,Courses!S141&lt;&gt;0,Courses!T141&lt;&gt;0,Courses!U141&lt;&gt;0,Courses!V141&lt;&gt;0,Courses!W141&lt;&gt;0,Courses!X141&lt;&gt;0,Courses!Y141&lt;&gt;0,Courses!Z141&lt;&gt;0,Courses!AA141&lt;&gt;0)),"Row "&amp;Courses!A141&amp;" (none); ","")</f>
        <v/>
      </c>
      <c r="I147" s="17"/>
      <c r="K147" s="1592" t="str">
        <f>Courses!B141&amp;Courses!K141&amp;Courses!L141</f>
        <v/>
      </c>
      <c r="L147" s="1592" t="str">
        <f>IF(AND($P$9=1,Courses!$B141&lt;&gt;"",COUNTIF(Dummy,Courses!$C141)&lt;&gt;1),IF(SUMPRODUCT(--($K$20:$K$219=$K147))&gt;1,"Row "&amp;Courses!$A141&amp;"; ",""),"")</f>
        <v/>
      </c>
      <c r="N147" s="118"/>
      <c r="O147" s="1593" t="str">
        <f>IF(AND($Q$9=1,Courses!E141&lt;&gt;"",Courses!F141=""),"Row "&amp;Courses!A141&amp;", "&amp;Courses!$E$10&amp;"; ","")</f>
        <v/>
      </c>
      <c r="P147" t="str">
        <f>IF(AND($Q$9=1,Courses!G141&lt;&gt;"",Courses!H141=""),"Row "&amp;Courses!A141&amp;", "&amp;Courses!$G$10&amp;"; ","")</f>
        <v/>
      </c>
      <c r="Q147" s="183" t="str">
        <f>IF(AND($Q$9=1,Courses!I141&lt;&gt;"",Courses!J141=""),"Row "&amp;Courses!A141&amp;", "&amp;Courses!$I$10&amp;"; ","")</f>
        <v/>
      </c>
      <c r="S147" s="17"/>
      <c r="T147" s="118"/>
      <c r="U147" s="1594" t="str">
        <f>IF(AND($R$9=1,Courses!B141&lt;&gt;"",Courses!E141&lt;&gt;"",Courses!G141="",Courses!I141="",Courses!F141&lt;&gt;1),"Row "&amp;Courses!A141&amp;"; ","")</f>
        <v/>
      </c>
      <c r="V147" t="str">
        <f>IF(AND($R$9=1,Courses!B141&lt;&gt;"",Courses!I141="",Courses!F141&lt;&gt;"",Courses!G141&lt;&gt;"",Courses!H141&lt;&gt;""),IF(OR((Courses!F141+Courses!H141)&lt;&gt;1),"Row "&amp;Courses!A141&amp;"; ",""),"")</f>
        <v/>
      </c>
      <c r="W147" s="183" t="str">
        <f>IF(AND($R$9=1,Courses!B141&lt;&gt;"",Courses!I141&lt;&gt;"",Courses!J141&lt;&gt;"",Courses!H141&lt;&gt;"",Courses!G141&lt;&gt;"",Courses!F141&lt;&gt;""),IF(OR((Courses!F141+Courses!H141+Courses!J141)&lt;&gt;1),"Row "&amp;Courses!A141&amp;"; ",""),"")</f>
        <v/>
      </c>
      <c r="Y147" s="1592" t="str">
        <f>IF(AND($R$9=1,Courses!E141&lt;&gt;"",U147="",V147="",W147="",SUM(Courses!F141,Courses!H141,Courses!J141)&lt;&gt;1),"Row "&amp;Courses!A141&amp;"; ","")</f>
        <v/>
      </c>
      <c r="Z147" s="17"/>
      <c r="AB147" s="1593" t="str">
        <f>IF(AND($S$9=1,Courses!B141&lt;&gt;"",Courses!E141&lt;&gt;"",Courses!F141&lt;&gt;""),IF((TRUNC(Courses!F141*100)&lt;&gt;Courses!F141*100),"Row "&amp;Courses!A141&amp;", "&amp;Courses!$F$10&amp;"; ",""),"")</f>
        <v/>
      </c>
      <c r="AC147" t="str">
        <f>IF(AND($S$9=1,Courses!B141&lt;&gt;"",Courses!G141&lt;&gt;"",Courses!H141&lt;&gt;""),IF((TRUNC(Courses!H141*100)&lt;&gt;Courses!H141*100),"Row "&amp;Courses!A141&amp;", "&amp;Courses!$H$10&amp;"; ",""),"")</f>
        <v/>
      </c>
      <c r="AD147" s="183" t="str">
        <f>IF(AND($S$9=1,Courses!B141&lt;&gt;"",Courses!I141&lt;&gt;"",Courses!J141&lt;&gt;""),IF((TRUNC(Courses!J141*100)&lt;&gt;Courses!J141*100),"Row "&amp;Courses!A141&amp;", "&amp;Courses!$J$10&amp;"; ",""),"")</f>
        <v/>
      </c>
      <c r="AF147" s="118"/>
      <c r="AG147" s="1592" t="str">
        <f>IF(AND($T$9=1,G147="",Courses!B141&lt;&gt;"",Courses!K141&lt;&gt;$B$9,Courses!K141&lt;&gt;$B$10,Courses!K141&lt;&gt;$B$11,Courses!K141&lt;&gt;$B$12,Courses!K141&lt;&gt;$B$13,Courses!K141&lt;&gt;$B$14),"Row "&amp;Courses!A141&amp;"; ","")</f>
        <v/>
      </c>
      <c r="AH147" s="1592" t="str">
        <f>IF(AND($U$9=1,G147="",Courses!B141&lt;&gt;"",Courses!L141&lt;&gt;"Standard",Courses!L141&lt;&gt;"Long"),"Row "&amp;Courses!A141&amp;"; ","")</f>
        <v/>
      </c>
      <c r="AJ147" s="118"/>
      <c r="AK147" s="3">
        <v>128</v>
      </c>
      <c r="AL147" s="1593" t="str">
        <f>IF(AND($V$9=1,(TRUNC(Courses!M141)&lt;&gt;Courses!M141)), "Row "&amp;Courses!$A141&amp;", "&amp;AL$9&amp;", "&amp;AL$10&amp;", "&amp;AL$11&amp;"; ","")</f>
        <v/>
      </c>
      <c r="AM147" t="str">
        <f>IF(AND($V$9=1,(TRUNC(Courses!N141)&lt;&gt;Courses!N141)), "Row "&amp;Courses!$A141&amp;", "&amp;AM$9&amp;", "&amp;AM$10&amp;", "&amp;AM$11&amp;"; ","")</f>
        <v/>
      </c>
      <c r="AN147" t="str">
        <f>IF(AND($V$9=1,(TRUNC(Courses!O141)&lt;&gt;Courses!O141)), "Row "&amp;Courses!$A141&amp;", "&amp;AN$9&amp;", "&amp;AN$10&amp;", "&amp;AN$11&amp;"; ","")</f>
        <v/>
      </c>
      <c r="AO147" t="str">
        <f>IF(AND($V$9=1,(TRUNC(Courses!P141)&lt;&gt;Courses!P141)), "Row "&amp;Courses!$A141&amp;", "&amp;AO$9&amp;", "&amp;AO$10&amp;", "&amp;AO$11&amp;"; ","")</f>
        <v/>
      </c>
      <c r="AP147" s="2120" t="str">
        <f>IF(AND($V$9=1,(TRUNC(Courses!Q141)&lt;&gt;Courses!Q141)), "Row "&amp;Courses!$A141&amp;", "&amp;AP$9&amp;", "&amp;AP$10&amp;"; ","")</f>
        <v/>
      </c>
      <c r="AQ147" s="1593" t="str">
        <f>IF(AND($V$9=1,(TRUNC(Courses!R141)&lt;&gt;Courses!R141)), "Row "&amp;Courses!$A141&amp;", "&amp;AQ$9&amp;", "&amp;AQ$10&amp;", "&amp;AQ$11&amp;"; ","")</f>
        <v/>
      </c>
      <c r="AR147" t="str">
        <f>IF(AND($V$9=1,(TRUNC(Courses!S141)&lt;&gt;Courses!S141)), "Row "&amp;Courses!$A141&amp;", "&amp;AR$9&amp;", "&amp;AR$10&amp;", "&amp;AR$11&amp;"; ","")</f>
        <v/>
      </c>
      <c r="AS147" t="str">
        <f>IF(AND($V$9=1,(TRUNC(Courses!T141)&lt;&gt;Courses!T141)), "Row "&amp;Courses!$A141&amp;", "&amp;AS$9&amp;", "&amp;AS$10&amp;", "&amp;AS$11&amp;"; ","")</f>
        <v/>
      </c>
      <c r="AT147" t="str">
        <f>IF(AND($V$9=1,(TRUNC(Courses!U141)&lt;&gt;Courses!U141)), "Row "&amp;Courses!$A141&amp;", "&amp;AT$9&amp;", "&amp;AT$10&amp;", "&amp;AT$11&amp;"; ","")</f>
        <v/>
      </c>
      <c r="AU147" s="2120" t="str">
        <f>IF(AND($V$9=1,(TRUNC(Courses!V141)&lt;&gt;Courses!V141)), "Row "&amp;Courses!$A141&amp;", "&amp;AU$9&amp;", "&amp;AU$10&amp;"; ","")</f>
        <v/>
      </c>
      <c r="AV147" s="1593" t="str">
        <f>IF(AND($V$9=1,(TRUNC(Courses!W141)&lt;&gt;Courses!W141)), "Row "&amp;Courses!$A141&amp;", "&amp;AV$9&amp;", "&amp;AV$10&amp;", "&amp;AV$11&amp;"; ","")</f>
        <v/>
      </c>
      <c r="AW147" t="str">
        <f>IF(AND($V$9=1,(TRUNC(Courses!X141)&lt;&gt;Courses!X141)), "Row "&amp;Courses!$A141&amp;", "&amp;AW$9&amp;", "&amp;AW$10&amp;", "&amp;AW$11&amp;"; ","")</f>
        <v/>
      </c>
      <c r="AX147" t="str">
        <f>IF(AND($V$9=1,(TRUNC(Courses!Y141)&lt;&gt;Courses!Y141)), "Row "&amp;Courses!$A141&amp;", "&amp;AX$9&amp;", "&amp;AX$10&amp;", "&amp;AX$11&amp;"; ","")</f>
        <v/>
      </c>
      <c r="AY147" t="str">
        <f>IF(AND($V$9=1,(TRUNC(Courses!Z141)&lt;&gt;Courses!Z141)), "Row "&amp;Courses!$A141&amp;", "&amp;AY$9&amp;", "&amp;AY$10&amp;", "&amp;AY$11&amp;"; ","")</f>
        <v/>
      </c>
      <c r="AZ147" s="2120" t="str">
        <f>IF(AND($V$9=1,(TRUNC(Courses!AA141)&lt;&gt;Courses!AA141)), "Row "&amp;Courses!$A141&amp;", "&amp;AZ$9&amp;", "&amp;AZ$10&amp;"; ","")</f>
        <v/>
      </c>
      <c r="BB147" s="118"/>
      <c r="BC147" s="3">
        <v>128</v>
      </c>
      <c r="BD147" s="1593" t="str">
        <f>IF(AND($W$9=1,Courses!M141&lt;0), "Row "&amp;Courses!$A141&amp;", "&amp;BD$9&amp;", "&amp;BD$10&amp;", "&amp;BD$11&amp;"; ","")</f>
        <v/>
      </c>
      <c r="BE147" t="str">
        <f>IF(AND($W$9=1,Courses!N141&lt;0), "Row "&amp;Courses!$A141&amp;", "&amp;BE$9&amp;", "&amp;BE$10&amp;", "&amp;BE$11&amp;"; ","")</f>
        <v/>
      </c>
      <c r="BF147" t="str">
        <f>IF(AND($W$9=1,Courses!O141&lt;0), "Row "&amp;Courses!$A141&amp;", "&amp;BF$9&amp;", "&amp;BF$10&amp;", "&amp;BF$11&amp;"; ","")</f>
        <v/>
      </c>
      <c r="BG147" t="str">
        <f>IF(AND($W$9=1,Courses!P141&lt;0), "Row "&amp;Courses!$A141&amp;", "&amp;BG$9&amp;", "&amp;BG$10&amp;", "&amp;BG$11&amp;"; ","")</f>
        <v/>
      </c>
      <c r="BH147" s="2120" t="str">
        <f>IF(AND($W$9=1,Courses!Q141&lt;0), "Row "&amp;Courses!$A141&amp;", "&amp;BH$9&amp;", "&amp;BH$10&amp;"; ","")</f>
        <v/>
      </c>
      <c r="BI147" s="1593" t="str">
        <f>IF(AND($W$9=1,Courses!R141&lt;0), "Row "&amp;Courses!$A141&amp;", "&amp;BI$9&amp;", "&amp;BI$10&amp;", "&amp;BI$11&amp;"; ","")</f>
        <v/>
      </c>
      <c r="BJ147" t="str">
        <f>IF(AND($W$9=1,Courses!S141&lt;0), "Row "&amp;Courses!$A141&amp;", "&amp;BJ$9&amp;", "&amp;BJ$10&amp;", "&amp;BJ$11&amp;"; ","")</f>
        <v/>
      </c>
      <c r="BK147" t="str">
        <f>IF(AND($W$9=1,Courses!T141&lt;0), "Row "&amp;Courses!$A141&amp;", "&amp;BK$9&amp;", "&amp;BK$10&amp;", "&amp;BK$11&amp;"; ","")</f>
        <v/>
      </c>
      <c r="BL147" t="str">
        <f>IF(AND($W$9=1,Courses!U141&lt;0), "Row "&amp;Courses!$A141&amp;", "&amp;BL$9&amp;", "&amp;BL$10&amp;", "&amp;BL$11&amp;"; ","")</f>
        <v/>
      </c>
      <c r="BM147" s="2120" t="str">
        <f>IF(AND($W$9=1,Courses!V141&lt;0), "Row "&amp;Courses!$A141&amp;", "&amp;BM$9&amp;", "&amp;BM$10&amp;"; ","")</f>
        <v/>
      </c>
      <c r="BN147" s="1593" t="str">
        <f>IF(AND($W$9=1,Courses!W141&lt;0), "Row "&amp;Courses!$A141&amp;", "&amp;BN$9&amp;", "&amp;BN$10&amp;", "&amp;BN$11&amp;"; ","")</f>
        <v/>
      </c>
      <c r="BO147" t="str">
        <f>IF(AND($W$9=1,Courses!X141&lt;0), "Row "&amp;Courses!$A141&amp;", "&amp;BO$9&amp;", "&amp;BO$10&amp;", "&amp;BO$11&amp;"; ","")</f>
        <v/>
      </c>
      <c r="BP147" t="str">
        <f>IF(AND($W$9=1,Courses!Y141&lt;0), "Row "&amp;Courses!$A141&amp;", "&amp;BP$9&amp;", "&amp;BP$10&amp;", "&amp;BP$11&amp;"; ","")</f>
        <v/>
      </c>
      <c r="BQ147" t="str">
        <f>IF(AND($W$9=1,Courses!Z141&lt;0), "Row "&amp;Courses!$A141&amp;", "&amp;BQ$9&amp;", "&amp;BQ$10&amp;", "&amp;BQ$11&amp;"; ","")</f>
        <v/>
      </c>
      <c r="BR147" s="2120" t="str">
        <f>IF(AND($W$9=1,Courses!AA141&lt;0), "Row "&amp;Courses!$A141&amp;", "&amp;BR$9&amp;", "&amp;BR$10&amp;"; ","")</f>
        <v/>
      </c>
      <c r="BT147" s="40">
        <v>128</v>
      </c>
      <c r="BU147" s="40">
        <f>IF(AND($X$9=1,Courses!B141="",Courses!F141="",Courses!H141="",Courses!J141="",Courses!K141="",Courses!L141="",Courses!M141=0,Courses!N141=0,Courses!O141=0,Courses!P141=0,Courses!Q141=0,Courses!R141=0,Courses!S141=0,Courses!T141=0,Courses!U141=0,Courses!V141=0,Courses!W141=0,Courses!X141=0,Courses!Y141=0,Courses!Z141=0,Courses!AA141=0),0,1)</f>
        <v>0</v>
      </c>
      <c r="BV147" s="40">
        <f>IF(AND(BU147=0,SUM(BU148:$BU$219)&gt;0),1,0)</f>
        <v>0</v>
      </c>
      <c r="BW147" s="1595" t="str">
        <f>IF(BV147=1,"Row "&amp;Courses!A141&amp;"; ","")</f>
        <v/>
      </c>
      <c r="BX147" s="17"/>
      <c r="BZ147" s="1592" t="str">
        <f>IF(AND($Y$9=1,Courses!B141&lt;&gt;"",SUM(Courses!M141:AA141)=0),"Row "&amp;Courses!A141&amp;"; ","")</f>
        <v/>
      </c>
      <c r="CA147" s="17"/>
      <c r="CC147" s="1592" t="str">
        <f>IF(AND($Z$9=1,Courses!AD141=1,(LEN(Courses!AB141)&gt;200)),"Row "&amp;Courses!A141&amp;"; ","")</f>
        <v/>
      </c>
      <c r="CE147" s="131"/>
      <c r="CG147" s="1593" t="str">
        <f>IF(AND($AD$9=1,Courses!E141&lt;&gt;"",Courses!F141&lt;&gt;"",Courses!F141=0,SUM(Courses!H141,Courses!J141)=1),"Row "&amp;Courses!A141&amp;", "&amp;Courses!$F$10&amp;"; ","")</f>
        <v/>
      </c>
      <c r="CH147" t="str">
        <f>IF(AND($AD$9=1,Courses!G141&lt;&gt;"",Courses!H141&lt;&gt;"",Courses!H141=0,SUM(Courses!J141,Courses!F141)=1),"Row "&amp;Courses!A141&amp;", "&amp;Courses!$H$10&amp;"; ","")</f>
        <v/>
      </c>
      <c r="CI147" s="183" t="str">
        <f>IF(AND($AD$9=1,Courses!I141&lt;&gt;"",Courses!J141&lt;&gt;"",Courses!J141=0, SUM(Courses!H141,Courses!F141)=1),"Row "&amp;Courses!A141&amp;", "&amp;Courses!$J$10&amp;"; ","")</f>
        <v/>
      </c>
      <c r="CJ147" s="180"/>
      <c r="CK147" s="181"/>
      <c r="CL147" s="1592" t="str">
        <f>IF(AND(Courses!B141&lt;&gt;"",ISNA(VLOOKUP(Courses!C141,CourseInfo,2,FALSE))=FALSE,COUNTIF(Dummy,Courses!C141)&lt;&gt;1),VLOOKUP(Courses!C141,CourseInfo,6,FALSE),"")</f>
        <v/>
      </c>
      <c r="CM147" s="1592" t="str">
        <f>IF(AND($AE$9=1,Courses!B141&lt;&gt;"",'Courses Valid'!AG147="",COUNTIF(Dummy,Courses!C141)&lt;&gt;1),IF(Courses!K141&lt;&gt;'Courses Valid'!CL147,"Row "&amp;Courses!A141&amp;", Level on LARS is "&amp;'Courses Valid'!CL147&amp;"; ",""),"")</f>
        <v/>
      </c>
      <c r="CN147" s="131"/>
    </row>
    <row r="148" spans="3:92" x14ac:dyDescent="0.35">
      <c r="C148" s="1591">
        <f t="shared" si="3"/>
        <v>0</v>
      </c>
      <c r="D148" s="41"/>
      <c r="E148" s="41"/>
      <c r="F148" s="118"/>
      <c r="G148" s="1592" t="str">
        <f>IF(SUMPRODUCT(--(CourseAims=Courses!$C142))=1,"",IF(AND($N$9=1,Courses!$C142&lt;&gt;""),"Row "&amp;Courses!A142&amp;" (invalid); ",""))</f>
        <v/>
      </c>
      <c r="H148" s="1592" t="str">
        <f>IF(AND($O$9=1,Courses!B142="",OR(Courses!F142&lt;&gt;"",Courses!H142&lt;&gt;"",Courses!J142&lt;&gt;"",Courses!K142&lt;&gt;"",Courses!L142&lt;&gt;"",Courses!M142&lt;&gt;0,Courses!N142&lt;&gt;0,Courses!O142&lt;&gt;0,Courses!P142&lt;&gt;0,Courses!Q142&lt;&gt;0,Courses!R142&lt;&gt;0,Courses!S142&lt;&gt;0,Courses!T142&lt;&gt;0,Courses!U142&lt;&gt;0,Courses!V142&lt;&gt;0,Courses!W142&lt;&gt;0,Courses!X142&lt;&gt;0,Courses!Y142&lt;&gt;0,Courses!Z142&lt;&gt;0,Courses!AA142&lt;&gt;0)),"Row "&amp;Courses!A142&amp;" (none); ","")</f>
        <v/>
      </c>
      <c r="I148" s="17"/>
      <c r="K148" s="1592" t="str">
        <f>Courses!B142&amp;Courses!K142&amp;Courses!L142</f>
        <v/>
      </c>
      <c r="L148" s="1592" t="str">
        <f>IF(AND($P$9=1,Courses!$B142&lt;&gt;"",COUNTIF(Dummy,Courses!$C142)&lt;&gt;1),IF(SUMPRODUCT(--($K$20:$K$219=$K148))&gt;1,"Row "&amp;Courses!$A142&amp;"; ",""),"")</f>
        <v/>
      </c>
      <c r="N148" s="118"/>
      <c r="O148" s="1593" t="str">
        <f>IF(AND($Q$9=1,Courses!E142&lt;&gt;"",Courses!F142=""),"Row "&amp;Courses!A142&amp;", "&amp;Courses!$E$10&amp;"; ","")</f>
        <v/>
      </c>
      <c r="P148" t="str">
        <f>IF(AND($Q$9=1,Courses!G142&lt;&gt;"",Courses!H142=""),"Row "&amp;Courses!A142&amp;", "&amp;Courses!$G$10&amp;"; ","")</f>
        <v/>
      </c>
      <c r="Q148" s="183" t="str">
        <f>IF(AND($Q$9=1,Courses!I142&lt;&gt;"",Courses!J142=""),"Row "&amp;Courses!A142&amp;", "&amp;Courses!$I$10&amp;"; ","")</f>
        <v/>
      </c>
      <c r="S148" s="17"/>
      <c r="T148" s="118"/>
      <c r="U148" s="1594" t="str">
        <f>IF(AND($R$9=1,Courses!B142&lt;&gt;"",Courses!E142&lt;&gt;"",Courses!G142="",Courses!I142="",Courses!F142&lt;&gt;1),"Row "&amp;Courses!A142&amp;"; ","")</f>
        <v/>
      </c>
      <c r="V148" t="str">
        <f>IF(AND($R$9=1,Courses!B142&lt;&gt;"",Courses!I142="",Courses!F142&lt;&gt;"",Courses!G142&lt;&gt;"",Courses!H142&lt;&gt;""),IF(OR((Courses!F142+Courses!H142)&lt;&gt;1),"Row "&amp;Courses!A142&amp;"; ",""),"")</f>
        <v/>
      </c>
      <c r="W148" s="183" t="str">
        <f>IF(AND($R$9=1,Courses!B142&lt;&gt;"",Courses!I142&lt;&gt;"",Courses!J142&lt;&gt;"",Courses!H142&lt;&gt;"",Courses!G142&lt;&gt;"",Courses!F142&lt;&gt;""),IF(OR((Courses!F142+Courses!H142+Courses!J142)&lt;&gt;1),"Row "&amp;Courses!A142&amp;"; ",""),"")</f>
        <v/>
      </c>
      <c r="Y148" s="1592" t="str">
        <f>IF(AND($R$9=1,Courses!E142&lt;&gt;"",U148="",V148="",W148="",SUM(Courses!F142,Courses!H142,Courses!J142)&lt;&gt;1),"Row "&amp;Courses!A142&amp;"; ","")</f>
        <v/>
      </c>
      <c r="Z148" s="17"/>
      <c r="AB148" s="1593" t="str">
        <f>IF(AND($S$9=1,Courses!B142&lt;&gt;"",Courses!E142&lt;&gt;"",Courses!F142&lt;&gt;""),IF((TRUNC(Courses!F142*100)&lt;&gt;Courses!F142*100),"Row "&amp;Courses!A142&amp;", "&amp;Courses!$F$10&amp;"; ",""),"")</f>
        <v/>
      </c>
      <c r="AC148" t="str">
        <f>IF(AND($S$9=1,Courses!B142&lt;&gt;"",Courses!G142&lt;&gt;"",Courses!H142&lt;&gt;""),IF((TRUNC(Courses!H142*100)&lt;&gt;Courses!H142*100),"Row "&amp;Courses!A142&amp;", "&amp;Courses!$H$10&amp;"; ",""),"")</f>
        <v/>
      </c>
      <c r="AD148" s="183" t="str">
        <f>IF(AND($S$9=1,Courses!B142&lt;&gt;"",Courses!I142&lt;&gt;"",Courses!J142&lt;&gt;""),IF((TRUNC(Courses!J142*100)&lt;&gt;Courses!J142*100),"Row "&amp;Courses!A142&amp;", "&amp;Courses!$J$10&amp;"; ",""),"")</f>
        <v/>
      </c>
      <c r="AF148" s="118"/>
      <c r="AG148" s="1592" t="str">
        <f>IF(AND($T$9=1,G148="",Courses!B142&lt;&gt;"",Courses!K142&lt;&gt;$B$9,Courses!K142&lt;&gt;$B$10,Courses!K142&lt;&gt;$B$11,Courses!K142&lt;&gt;$B$12,Courses!K142&lt;&gt;$B$13,Courses!K142&lt;&gt;$B$14),"Row "&amp;Courses!A142&amp;"; ","")</f>
        <v/>
      </c>
      <c r="AH148" s="1592" t="str">
        <f>IF(AND($U$9=1,G148="",Courses!B142&lt;&gt;"",Courses!L142&lt;&gt;"Standard",Courses!L142&lt;&gt;"Long"),"Row "&amp;Courses!A142&amp;"; ","")</f>
        <v/>
      </c>
      <c r="AJ148" s="118"/>
      <c r="AK148" s="3">
        <v>129</v>
      </c>
      <c r="AL148" s="1593" t="str">
        <f>IF(AND($V$9=1,(TRUNC(Courses!M142)&lt;&gt;Courses!M142)), "Row "&amp;Courses!$A142&amp;", "&amp;AL$9&amp;", "&amp;AL$10&amp;", "&amp;AL$11&amp;"; ","")</f>
        <v/>
      </c>
      <c r="AM148" t="str">
        <f>IF(AND($V$9=1,(TRUNC(Courses!N142)&lt;&gt;Courses!N142)), "Row "&amp;Courses!$A142&amp;", "&amp;AM$9&amp;", "&amp;AM$10&amp;", "&amp;AM$11&amp;"; ","")</f>
        <v/>
      </c>
      <c r="AN148" t="str">
        <f>IF(AND($V$9=1,(TRUNC(Courses!O142)&lt;&gt;Courses!O142)), "Row "&amp;Courses!$A142&amp;", "&amp;AN$9&amp;", "&amp;AN$10&amp;", "&amp;AN$11&amp;"; ","")</f>
        <v/>
      </c>
      <c r="AO148" t="str">
        <f>IF(AND($V$9=1,(TRUNC(Courses!P142)&lt;&gt;Courses!P142)), "Row "&amp;Courses!$A142&amp;", "&amp;AO$9&amp;", "&amp;AO$10&amp;", "&amp;AO$11&amp;"; ","")</f>
        <v/>
      </c>
      <c r="AP148" s="2120" t="str">
        <f>IF(AND($V$9=1,(TRUNC(Courses!Q142)&lt;&gt;Courses!Q142)), "Row "&amp;Courses!$A142&amp;", "&amp;AP$9&amp;", "&amp;AP$10&amp;"; ","")</f>
        <v/>
      </c>
      <c r="AQ148" s="1593" t="str">
        <f>IF(AND($V$9=1,(TRUNC(Courses!R142)&lt;&gt;Courses!R142)), "Row "&amp;Courses!$A142&amp;", "&amp;AQ$9&amp;", "&amp;AQ$10&amp;", "&amp;AQ$11&amp;"; ","")</f>
        <v/>
      </c>
      <c r="AR148" t="str">
        <f>IF(AND($V$9=1,(TRUNC(Courses!S142)&lt;&gt;Courses!S142)), "Row "&amp;Courses!$A142&amp;", "&amp;AR$9&amp;", "&amp;AR$10&amp;", "&amp;AR$11&amp;"; ","")</f>
        <v/>
      </c>
      <c r="AS148" t="str">
        <f>IF(AND($V$9=1,(TRUNC(Courses!T142)&lt;&gt;Courses!T142)), "Row "&amp;Courses!$A142&amp;", "&amp;AS$9&amp;", "&amp;AS$10&amp;", "&amp;AS$11&amp;"; ","")</f>
        <v/>
      </c>
      <c r="AT148" t="str">
        <f>IF(AND($V$9=1,(TRUNC(Courses!U142)&lt;&gt;Courses!U142)), "Row "&amp;Courses!$A142&amp;", "&amp;AT$9&amp;", "&amp;AT$10&amp;", "&amp;AT$11&amp;"; ","")</f>
        <v/>
      </c>
      <c r="AU148" s="2120" t="str">
        <f>IF(AND($V$9=1,(TRUNC(Courses!V142)&lt;&gt;Courses!V142)), "Row "&amp;Courses!$A142&amp;", "&amp;AU$9&amp;", "&amp;AU$10&amp;"; ","")</f>
        <v/>
      </c>
      <c r="AV148" s="1593" t="str">
        <f>IF(AND($V$9=1,(TRUNC(Courses!W142)&lt;&gt;Courses!W142)), "Row "&amp;Courses!$A142&amp;", "&amp;AV$9&amp;", "&amp;AV$10&amp;", "&amp;AV$11&amp;"; ","")</f>
        <v/>
      </c>
      <c r="AW148" t="str">
        <f>IF(AND($V$9=1,(TRUNC(Courses!X142)&lt;&gt;Courses!X142)), "Row "&amp;Courses!$A142&amp;", "&amp;AW$9&amp;", "&amp;AW$10&amp;", "&amp;AW$11&amp;"; ","")</f>
        <v/>
      </c>
      <c r="AX148" t="str">
        <f>IF(AND($V$9=1,(TRUNC(Courses!Y142)&lt;&gt;Courses!Y142)), "Row "&amp;Courses!$A142&amp;", "&amp;AX$9&amp;", "&amp;AX$10&amp;", "&amp;AX$11&amp;"; ","")</f>
        <v/>
      </c>
      <c r="AY148" t="str">
        <f>IF(AND($V$9=1,(TRUNC(Courses!Z142)&lt;&gt;Courses!Z142)), "Row "&amp;Courses!$A142&amp;", "&amp;AY$9&amp;", "&amp;AY$10&amp;", "&amp;AY$11&amp;"; ","")</f>
        <v/>
      </c>
      <c r="AZ148" s="2120" t="str">
        <f>IF(AND($V$9=1,(TRUNC(Courses!AA142)&lt;&gt;Courses!AA142)), "Row "&amp;Courses!$A142&amp;", "&amp;AZ$9&amp;", "&amp;AZ$10&amp;"; ","")</f>
        <v/>
      </c>
      <c r="BB148" s="118"/>
      <c r="BC148" s="3">
        <v>129</v>
      </c>
      <c r="BD148" s="1593" t="str">
        <f>IF(AND($W$9=1,Courses!M142&lt;0), "Row "&amp;Courses!$A142&amp;", "&amp;BD$9&amp;", "&amp;BD$10&amp;", "&amp;BD$11&amp;"; ","")</f>
        <v/>
      </c>
      <c r="BE148" t="str">
        <f>IF(AND($W$9=1,Courses!N142&lt;0), "Row "&amp;Courses!$A142&amp;", "&amp;BE$9&amp;", "&amp;BE$10&amp;", "&amp;BE$11&amp;"; ","")</f>
        <v/>
      </c>
      <c r="BF148" t="str">
        <f>IF(AND($W$9=1,Courses!O142&lt;0), "Row "&amp;Courses!$A142&amp;", "&amp;BF$9&amp;", "&amp;BF$10&amp;", "&amp;BF$11&amp;"; ","")</f>
        <v/>
      </c>
      <c r="BG148" t="str">
        <f>IF(AND($W$9=1,Courses!P142&lt;0), "Row "&amp;Courses!$A142&amp;", "&amp;BG$9&amp;", "&amp;BG$10&amp;", "&amp;BG$11&amp;"; ","")</f>
        <v/>
      </c>
      <c r="BH148" s="2120" t="str">
        <f>IF(AND($W$9=1,Courses!Q142&lt;0), "Row "&amp;Courses!$A142&amp;", "&amp;BH$9&amp;", "&amp;BH$10&amp;"; ","")</f>
        <v/>
      </c>
      <c r="BI148" s="1593" t="str">
        <f>IF(AND($W$9=1,Courses!R142&lt;0), "Row "&amp;Courses!$A142&amp;", "&amp;BI$9&amp;", "&amp;BI$10&amp;", "&amp;BI$11&amp;"; ","")</f>
        <v/>
      </c>
      <c r="BJ148" t="str">
        <f>IF(AND($W$9=1,Courses!S142&lt;0), "Row "&amp;Courses!$A142&amp;", "&amp;BJ$9&amp;", "&amp;BJ$10&amp;", "&amp;BJ$11&amp;"; ","")</f>
        <v/>
      </c>
      <c r="BK148" t="str">
        <f>IF(AND($W$9=1,Courses!T142&lt;0), "Row "&amp;Courses!$A142&amp;", "&amp;BK$9&amp;", "&amp;BK$10&amp;", "&amp;BK$11&amp;"; ","")</f>
        <v/>
      </c>
      <c r="BL148" t="str">
        <f>IF(AND($W$9=1,Courses!U142&lt;0), "Row "&amp;Courses!$A142&amp;", "&amp;BL$9&amp;", "&amp;BL$10&amp;", "&amp;BL$11&amp;"; ","")</f>
        <v/>
      </c>
      <c r="BM148" s="2120" t="str">
        <f>IF(AND($W$9=1,Courses!V142&lt;0), "Row "&amp;Courses!$A142&amp;", "&amp;BM$9&amp;", "&amp;BM$10&amp;"; ","")</f>
        <v/>
      </c>
      <c r="BN148" s="1593" t="str">
        <f>IF(AND($W$9=1,Courses!W142&lt;0), "Row "&amp;Courses!$A142&amp;", "&amp;BN$9&amp;", "&amp;BN$10&amp;", "&amp;BN$11&amp;"; ","")</f>
        <v/>
      </c>
      <c r="BO148" t="str">
        <f>IF(AND($W$9=1,Courses!X142&lt;0), "Row "&amp;Courses!$A142&amp;", "&amp;BO$9&amp;", "&amp;BO$10&amp;", "&amp;BO$11&amp;"; ","")</f>
        <v/>
      </c>
      <c r="BP148" t="str">
        <f>IF(AND($W$9=1,Courses!Y142&lt;0), "Row "&amp;Courses!$A142&amp;", "&amp;BP$9&amp;", "&amp;BP$10&amp;", "&amp;BP$11&amp;"; ","")</f>
        <v/>
      </c>
      <c r="BQ148" t="str">
        <f>IF(AND($W$9=1,Courses!Z142&lt;0), "Row "&amp;Courses!$A142&amp;", "&amp;BQ$9&amp;", "&amp;BQ$10&amp;", "&amp;BQ$11&amp;"; ","")</f>
        <v/>
      </c>
      <c r="BR148" s="2120" t="str">
        <f>IF(AND($W$9=1,Courses!AA142&lt;0), "Row "&amp;Courses!$A142&amp;", "&amp;BR$9&amp;", "&amp;BR$10&amp;"; ","")</f>
        <v/>
      </c>
      <c r="BT148" s="40">
        <v>129</v>
      </c>
      <c r="BU148" s="40">
        <f>IF(AND($X$9=1,Courses!B142="",Courses!F142="",Courses!H142="",Courses!J142="",Courses!K142="",Courses!L142="",Courses!M142=0,Courses!N142=0,Courses!O142=0,Courses!P142=0,Courses!Q142=0,Courses!R142=0,Courses!S142=0,Courses!T142=0,Courses!U142=0,Courses!V142=0,Courses!W142=0,Courses!X142=0,Courses!Y142=0,Courses!Z142=0,Courses!AA142=0),0,1)</f>
        <v>0</v>
      </c>
      <c r="BV148" s="40">
        <f>IF(AND(BU148=0,SUM(BU149:$BU$219)&gt;0),1,0)</f>
        <v>0</v>
      </c>
      <c r="BW148" s="1595" t="str">
        <f>IF(BV148=1,"Row "&amp;Courses!A142&amp;"; ","")</f>
        <v/>
      </c>
      <c r="BX148" s="17"/>
      <c r="BZ148" s="1592" t="str">
        <f>IF(AND($Y$9=1,Courses!B142&lt;&gt;"",SUM(Courses!M142:AA142)=0),"Row "&amp;Courses!A142&amp;"; ","")</f>
        <v/>
      </c>
      <c r="CA148" s="17"/>
      <c r="CC148" s="1592" t="str">
        <f>IF(AND($Z$9=1,Courses!AD142=1,(LEN(Courses!AB142)&gt;200)),"Row "&amp;Courses!A142&amp;"; ","")</f>
        <v/>
      </c>
      <c r="CE148" s="131"/>
      <c r="CG148" s="1593" t="str">
        <f>IF(AND($AD$9=1,Courses!E142&lt;&gt;"",Courses!F142&lt;&gt;"",Courses!F142=0,SUM(Courses!H142,Courses!J142)=1),"Row "&amp;Courses!A142&amp;", "&amp;Courses!$F$10&amp;"; ","")</f>
        <v/>
      </c>
      <c r="CH148" t="str">
        <f>IF(AND($AD$9=1,Courses!G142&lt;&gt;"",Courses!H142&lt;&gt;"",Courses!H142=0,SUM(Courses!J142,Courses!F142)=1),"Row "&amp;Courses!A142&amp;", "&amp;Courses!$H$10&amp;"; ","")</f>
        <v/>
      </c>
      <c r="CI148" s="183" t="str">
        <f>IF(AND($AD$9=1,Courses!I142&lt;&gt;"",Courses!J142&lt;&gt;"",Courses!J142=0, SUM(Courses!H142,Courses!F142)=1),"Row "&amp;Courses!A142&amp;", "&amp;Courses!$J$10&amp;"; ","")</f>
        <v/>
      </c>
      <c r="CJ148" s="180"/>
      <c r="CK148" s="181"/>
      <c r="CL148" s="1592" t="str">
        <f>IF(AND(Courses!B142&lt;&gt;"",ISNA(VLOOKUP(Courses!C142,CourseInfo,2,FALSE))=FALSE,COUNTIF(Dummy,Courses!C142)&lt;&gt;1),VLOOKUP(Courses!C142,CourseInfo,6,FALSE),"")</f>
        <v/>
      </c>
      <c r="CM148" s="1592" t="str">
        <f>IF(AND($AE$9=1,Courses!B142&lt;&gt;"",'Courses Valid'!AG148="",COUNTIF(Dummy,Courses!C142)&lt;&gt;1),IF(Courses!K142&lt;&gt;'Courses Valid'!CL148,"Row "&amp;Courses!A142&amp;", Level on LARS is "&amp;'Courses Valid'!CL148&amp;"; ",""),"")</f>
        <v/>
      </c>
      <c r="CN148" s="131"/>
    </row>
    <row r="149" spans="3:92" x14ac:dyDescent="0.35">
      <c r="C149" s="1591">
        <f t="shared" ref="C149:C212" si="4">IF(AND(G149="",H149="",O149="",P149="",Q149="",U149="",V149="",W149="",Y149="",AB149="",AC149="",AD149="",AG149="",AH149="",AL149="",AM149="",AN149="",AO149="",AP149="",AQ149="",AR149="",AS149="",AT149="",AU149="",AV149="",AW149="",AX149="",AY149="",AZ149="",BD149="",BE149="",BF149="",BG149="",BH149="",BI149="",BJ149="",BK149="",BL149="",BM149="",BN149="",BO149="",BP149="",BQ149="",BR149="",BW149="",BZ149=""),0,1)</f>
        <v>0</v>
      </c>
      <c r="D149" s="41"/>
      <c r="E149" s="41"/>
      <c r="F149" s="118"/>
      <c r="G149" s="1592" t="str">
        <f>IF(SUMPRODUCT(--(CourseAims=Courses!$C143))=1,"",IF(AND($N$9=1,Courses!$C143&lt;&gt;""),"Row "&amp;Courses!A143&amp;" (invalid); ",""))</f>
        <v/>
      </c>
      <c r="H149" s="1592" t="str">
        <f>IF(AND($O$9=1,Courses!B143="",OR(Courses!F143&lt;&gt;"",Courses!H143&lt;&gt;"",Courses!J143&lt;&gt;"",Courses!K143&lt;&gt;"",Courses!L143&lt;&gt;"",Courses!M143&lt;&gt;0,Courses!N143&lt;&gt;0,Courses!O143&lt;&gt;0,Courses!P143&lt;&gt;0,Courses!Q143&lt;&gt;0,Courses!R143&lt;&gt;0,Courses!S143&lt;&gt;0,Courses!T143&lt;&gt;0,Courses!U143&lt;&gt;0,Courses!V143&lt;&gt;0,Courses!W143&lt;&gt;0,Courses!X143&lt;&gt;0,Courses!Y143&lt;&gt;0,Courses!Z143&lt;&gt;0,Courses!AA143&lt;&gt;0)),"Row "&amp;Courses!A143&amp;" (none); ","")</f>
        <v/>
      </c>
      <c r="I149" s="17"/>
      <c r="K149" s="1592" t="str">
        <f>Courses!B143&amp;Courses!K143&amp;Courses!L143</f>
        <v/>
      </c>
      <c r="L149" s="1592" t="str">
        <f>IF(AND($P$9=1,Courses!$B143&lt;&gt;"",COUNTIF(Dummy,Courses!$C143)&lt;&gt;1),IF(SUMPRODUCT(--($K$20:$K$219=$K149))&gt;1,"Row "&amp;Courses!$A143&amp;"; ",""),"")</f>
        <v/>
      </c>
      <c r="N149" s="118"/>
      <c r="O149" s="1593" t="str">
        <f>IF(AND($Q$9=1,Courses!E143&lt;&gt;"",Courses!F143=""),"Row "&amp;Courses!A143&amp;", "&amp;Courses!$E$10&amp;"; ","")</f>
        <v/>
      </c>
      <c r="P149" t="str">
        <f>IF(AND($Q$9=1,Courses!G143&lt;&gt;"",Courses!H143=""),"Row "&amp;Courses!A143&amp;", "&amp;Courses!$G$10&amp;"; ","")</f>
        <v/>
      </c>
      <c r="Q149" s="183" t="str">
        <f>IF(AND($Q$9=1,Courses!I143&lt;&gt;"",Courses!J143=""),"Row "&amp;Courses!A143&amp;", "&amp;Courses!$I$10&amp;"; ","")</f>
        <v/>
      </c>
      <c r="S149" s="17"/>
      <c r="T149" s="118"/>
      <c r="U149" s="1594" t="str">
        <f>IF(AND($R$9=1,Courses!B143&lt;&gt;"",Courses!E143&lt;&gt;"",Courses!G143="",Courses!I143="",Courses!F143&lt;&gt;1),"Row "&amp;Courses!A143&amp;"; ","")</f>
        <v/>
      </c>
      <c r="V149" t="str">
        <f>IF(AND($R$9=1,Courses!B143&lt;&gt;"",Courses!I143="",Courses!F143&lt;&gt;"",Courses!G143&lt;&gt;"",Courses!H143&lt;&gt;""),IF(OR((Courses!F143+Courses!H143)&lt;&gt;1),"Row "&amp;Courses!A143&amp;"; ",""),"")</f>
        <v/>
      </c>
      <c r="W149" s="183" t="str">
        <f>IF(AND($R$9=1,Courses!B143&lt;&gt;"",Courses!I143&lt;&gt;"",Courses!J143&lt;&gt;"",Courses!H143&lt;&gt;"",Courses!G143&lt;&gt;"",Courses!F143&lt;&gt;""),IF(OR((Courses!F143+Courses!H143+Courses!J143)&lt;&gt;1),"Row "&amp;Courses!A143&amp;"; ",""),"")</f>
        <v/>
      </c>
      <c r="Y149" s="1592" t="str">
        <f>IF(AND($R$9=1,Courses!E143&lt;&gt;"",U149="",V149="",W149="",SUM(Courses!F143,Courses!H143,Courses!J143)&lt;&gt;1),"Row "&amp;Courses!A143&amp;"; ","")</f>
        <v/>
      </c>
      <c r="Z149" s="17"/>
      <c r="AB149" s="1593" t="str">
        <f>IF(AND($S$9=1,Courses!B143&lt;&gt;"",Courses!E143&lt;&gt;"",Courses!F143&lt;&gt;""),IF((TRUNC(Courses!F143*100)&lt;&gt;Courses!F143*100),"Row "&amp;Courses!A143&amp;", "&amp;Courses!$F$10&amp;"; ",""),"")</f>
        <v/>
      </c>
      <c r="AC149" t="str">
        <f>IF(AND($S$9=1,Courses!B143&lt;&gt;"",Courses!G143&lt;&gt;"",Courses!H143&lt;&gt;""),IF((TRUNC(Courses!H143*100)&lt;&gt;Courses!H143*100),"Row "&amp;Courses!A143&amp;", "&amp;Courses!$H$10&amp;"; ",""),"")</f>
        <v/>
      </c>
      <c r="AD149" s="183" t="str">
        <f>IF(AND($S$9=1,Courses!B143&lt;&gt;"",Courses!I143&lt;&gt;"",Courses!J143&lt;&gt;""),IF((TRUNC(Courses!J143*100)&lt;&gt;Courses!J143*100),"Row "&amp;Courses!A143&amp;", "&amp;Courses!$J$10&amp;"; ",""),"")</f>
        <v/>
      </c>
      <c r="AF149" s="118"/>
      <c r="AG149" s="1592" t="str">
        <f>IF(AND($T$9=1,G149="",Courses!B143&lt;&gt;"",Courses!K143&lt;&gt;$B$9,Courses!K143&lt;&gt;$B$10,Courses!K143&lt;&gt;$B$11,Courses!K143&lt;&gt;$B$12,Courses!K143&lt;&gt;$B$13,Courses!K143&lt;&gt;$B$14),"Row "&amp;Courses!A143&amp;"; ","")</f>
        <v/>
      </c>
      <c r="AH149" s="1592" t="str">
        <f>IF(AND($U$9=1,G149="",Courses!B143&lt;&gt;"",Courses!L143&lt;&gt;"Standard",Courses!L143&lt;&gt;"Long"),"Row "&amp;Courses!A143&amp;"; ","")</f>
        <v/>
      </c>
      <c r="AJ149" s="118"/>
      <c r="AK149" s="3">
        <v>130</v>
      </c>
      <c r="AL149" s="1593" t="str">
        <f>IF(AND($V$9=1,(TRUNC(Courses!M143)&lt;&gt;Courses!M143)), "Row "&amp;Courses!$A143&amp;", "&amp;AL$9&amp;", "&amp;AL$10&amp;", "&amp;AL$11&amp;"; ","")</f>
        <v/>
      </c>
      <c r="AM149" t="str">
        <f>IF(AND($V$9=1,(TRUNC(Courses!N143)&lt;&gt;Courses!N143)), "Row "&amp;Courses!$A143&amp;", "&amp;AM$9&amp;", "&amp;AM$10&amp;", "&amp;AM$11&amp;"; ","")</f>
        <v/>
      </c>
      <c r="AN149" t="str">
        <f>IF(AND($V$9=1,(TRUNC(Courses!O143)&lt;&gt;Courses!O143)), "Row "&amp;Courses!$A143&amp;", "&amp;AN$9&amp;", "&amp;AN$10&amp;", "&amp;AN$11&amp;"; ","")</f>
        <v/>
      </c>
      <c r="AO149" t="str">
        <f>IF(AND($V$9=1,(TRUNC(Courses!P143)&lt;&gt;Courses!P143)), "Row "&amp;Courses!$A143&amp;", "&amp;AO$9&amp;", "&amp;AO$10&amp;", "&amp;AO$11&amp;"; ","")</f>
        <v/>
      </c>
      <c r="AP149" s="2120" t="str">
        <f>IF(AND($V$9=1,(TRUNC(Courses!Q143)&lt;&gt;Courses!Q143)), "Row "&amp;Courses!$A143&amp;", "&amp;AP$9&amp;", "&amp;AP$10&amp;"; ","")</f>
        <v/>
      </c>
      <c r="AQ149" s="1593" t="str">
        <f>IF(AND($V$9=1,(TRUNC(Courses!R143)&lt;&gt;Courses!R143)), "Row "&amp;Courses!$A143&amp;", "&amp;AQ$9&amp;", "&amp;AQ$10&amp;", "&amp;AQ$11&amp;"; ","")</f>
        <v/>
      </c>
      <c r="AR149" t="str">
        <f>IF(AND($V$9=1,(TRUNC(Courses!S143)&lt;&gt;Courses!S143)), "Row "&amp;Courses!$A143&amp;", "&amp;AR$9&amp;", "&amp;AR$10&amp;", "&amp;AR$11&amp;"; ","")</f>
        <v/>
      </c>
      <c r="AS149" t="str">
        <f>IF(AND($V$9=1,(TRUNC(Courses!T143)&lt;&gt;Courses!T143)), "Row "&amp;Courses!$A143&amp;", "&amp;AS$9&amp;", "&amp;AS$10&amp;", "&amp;AS$11&amp;"; ","")</f>
        <v/>
      </c>
      <c r="AT149" t="str">
        <f>IF(AND($V$9=1,(TRUNC(Courses!U143)&lt;&gt;Courses!U143)), "Row "&amp;Courses!$A143&amp;", "&amp;AT$9&amp;", "&amp;AT$10&amp;", "&amp;AT$11&amp;"; ","")</f>
        <v/>
      </c>
      <c r="AU149" s="2120" t="str">
        <f>IF(AND($V$9=1,(TRUNC(Courses!V143)&lt;&gt;Courses!V143)), "Row "&amp;Courses!$A143&amp;", "&amp;AU$9&amp;", "&amp;AU$10&amp;"; ","")</f>
        <v/>
      </c>
      <c r="AV149" s="1593" t="str">
        <f>IF(AND($V$9=1,(TRUNC(Courses!W143)&lt;&gt;Courses!W143)), "Row "&amp;Courses!$A143&amp;", "&amp;AV$9&amp;", "&amp;AV$10&amp;", "&amp;AV$11&amp;"; ","")</f>
        <v/>
      </c>
      <c r="AW149" t="str">
        <f>IF(AND($V$9=1,(TRUNC(Courses!X143)&lt;&gt;Courses!X143)), "Row "&amp;Courses!$A143&amp;", "&amp;AW$9&amp;", "&amp;AW$10&amp;", "&amp;AW$11&amp;"; ","")</f>
        <v/>
      </c>
      <c r="AX149" t="str">
        <f>IF(AND($V$9=1,(TRUNC(Courses!Y143)&lt;&gt;Courses!Y143)), "Row "&amp;Courses!$A143&amp;", "&amp;AX$9&amp;", "&amp;AX$10&amp;", "&amp;AX$11&amp;"; ","")</f>
        <v/>
      </c>
      <c r="AY149" t="str">
        <f>IF(AND($V$9=1,(TRUNC(Courses!Z143)&lt;&gt;Courses!Z143)), "Row "&amp;Courses!$A143&amp;", "&amp;AY$9&amp;", "&amp;AY$10&amp;", "&amp;AY$11&amp;"; ","")</f>
        <v/>
      </c>
      <c r="AZ149" s="2120" t="str">
        <f>IF(AND($V$9=1,(TRUNC(Courses!AA143)&lt;&gt;Courses!AA143)), "Row "&amp;Courses!$A143&amp;", "&amp;AZ$9&amp;", "&amp;AZ$10&amp;"; ","")</f>
        <v/>
      </c>
      <c r="BB149" s="118"/>
      <c r="BC149" s="3">
        <v>130</v>
      </c>
      <c r="BD149" s="1593" t="str">
        <f>IF(AND($W$9=1,Courses!M143&lt;0), "Row "&amp;Courses!$A143&amp;", "&amp;BD$9&amp;", "&amp;BD$10&amp;", "&amp;BD$11&amp;"; ","")</f>
        <v/>
      </c>
      <c r="BE149" t="str">
        <f>IF(AND($W$9=1,Courses!N143&lt;0), "Row "&amp;Courses!$A143&amp;", "&amp;BE$9&amp;", "&amp;BE$10&amp;", "&amp;BE$11&amp;"; ","")</f>
        <v/>
      </c>
      <c r="BF149" t="str">
        <f>IF(AND($W$9=1,Courses!O143&lt;0), "Row "&amp;Courses!$A143&amp;", "&amp;BF$9&amp;", "&amp;BF$10&amp;", "&amp;BF$11&amp;"; ","")</f>
        <v/>
      </c>
      <c r="BG149" t="str">
        <f>IF(AND($W$9=1,Courses!P143&lt;0), "Row "&amp;Courses!$A143&amp;", "&amp;BG$9&amp;", "&amp;BG$10&amp;", "&amp;BG$11&amp;"; ","")</f>
        <v/>
      </c>
      <c r="BH149" s="2120" t="str">
        <f>IF(AND($W$9=1,Courses!Q143&lt;0), "Row "&amp;Courses!$A143&amp;", "&amp;BH$9&amp;", "&amp;BH$10&amp;"; ","")</f>
        <v/>
      </c>
      <c r="BI149" s="1593" t="str">
        <f>IF(AND($W$9=1,Courses!R143&lt;0), "Row "&amp;Courses!$A143&amp;", "&amp;BI$9&amp;", "&amp;BI$10&amp;", "&amp;BI$11&amp;"; ","")</f>
        <v/>
      </c>
      <c r="BJ149" t="str">
        <f>IF(AND($W$9=1,Courses!S143&lt;0), "Row "&amp;Courses!$A143&amp;", "&amp;BJ$9&amp;", "&amp;BJ$10&amp;", "&amp;BJ$11&amp;"; ","")</f>
        <v/>
      </c>
      <c r="BK149" t="str">
        <f>IF(AND($W$9=1,Courses!T143&lt;0), "Row "&amp;Courses!$A143&amp;", "&amp;BK$9&amp;", "&amp;BK$10&amp;", "&amp;BK$11&amp;"; ","")</f>
        <v/>
      </c>
      <c r="BL149" t="str">
        <f>IF(AND($W$9=1,Courses!U143&lt;0), "Row "&amp;Courses!$A143&amp;", "&amp;BL$9&amp;", "&amp;BL$10&amp;", "&amp;BL$11&amp;"; ","")</f>
        <v/>
      </c>
      <c r="BM149" s="2120" t="str">
        <f>IF(AND($W$9=1,Courses!V143&lt;0), "Row "&amp;Courses!$A143&amp;", "&amp;BM$9&amp;", "&amp;BM$10&amp;"; ","")</f>
        <v/>
      </c>
      <c r="BN149" s="1593" t="str">
        <f>IF(AND($W$9=1,Courses!W143&lt;0), "Row "&amp;Courses!$A143&amp;", "&amp;BN$9&amp;", "&amp;BN$10&amp;", "&amp;BN$11&amp;"; ","")</f>
        <v/>
      </c>
      <c r="BO149" t="str">
        <f>IF(AND($W$9=1,Courses!X143&lt;0), "Row "&amp;Courses!$A143&amp;", "&amp;BO$9&amp;", "&amp;BO$10&amp;", "&amp;BO$11&amp;"; ","")</f>
        <v/>
      </c>
      <c r="BP149" t="str">
        <f>IF(AND($W$9=1,Courses!Y143&lt;0), "Row "&amp;Courses!$A143&amp;", "&amp;BP$9&amp;", "&amp;BP$10&amp;", "&amp;BP$11&amp;"; ","")</f>
        <v/>
      </c>
      <c r="BQ149" t="str">
        <f>IF(AND($W$9=1,Courses!Z143&lt;0), "Row "&amp;Courses!$A143&amp;", "&amp;BQ$9&amp;", "&amp;BQ$10&amp;", "&amp;BQ$11&amp;"; ","")</f>
        <v/>
      </c>
      <c r="BR149" s="2120" t="str">
        <f>IF(AND($W$9=1,Courses!AA143&lt;0), "Row "&amp;Courses!$A143&amp;", "&amp;BR$9&amp;", "&amp;BR$10&amp;"; ","")</f>
        <v/>
      </c>
      <c r="BT149" s="40">
        <v>130</v>
      </c>
      <c r="BU149" s="40">
        <f>IF(AND($X$9=1,Courses!B143="",Courses!F143="",Courses!H143="",Courses!J143="",Courses!K143="",Courses!L143="",Courses!M143=0,Courses!N143=0,Courses!O143=0,Courses!P143=0,Courses!Q143=0,Courses!R143=0,Courses!S143=0,Courses!T143=0,Courses!U143=0,Courses!V143=0,Courses!W143=0,Courses!X143=0,Courses!Y143=0,Courses!Z143=0,Courses!AA143=0),0,1)</f>
        <v>0</v>
      </c>
      <c r="BV149" s="40">
        <f>IF(AND(BU149=0,SUM(BU150:$BU$219)&gt;0),1,0)</f>
        <v>0</v>
      </c>
      <c r="BW149" s="1595" t="str">
        <f>IF(BV149=1,"Row "&amp;Courses!A143&amp;"; ","")</f>
        <v/>
      </c>
      <c r="BX149" s="17"/>
      <c r="BZ149" s="1592" t="str">
        <f>IF(AND($Y$9=1,Courses!B143&lt;&gt;"",SUM(Courses!M143:AA143)=0),"Row "&amp;Courses!A143&amp;"; ","")</f>
        <v/>
      </c>
      <c r="CA149" s="17"/>
      <c r="CC149" s="1592" t="str">
        <f>IF(AND($Z$9=1,Courses!AD143=1,(LEN(Courses!AB143)&gt;200)),"Row "&amp;Courses!A143&amp;"; ","")</f>
        <v/>
      </c>
      <c r="CE149" s="131"/>
      <c r="CG149" s="1593" t="str">
        <f>IF(AND($AD$9=1,Courses!E143&lt;&gt;"",Courses!F143&lt;&gt;"",Courses!F143=0,SUM(Courses!H143,Courses!J143)=1),"Row "&amp;Courses!A143&amp;", "&amp;Courses!$F$10&amp;"; ","")</f>
        <v/>
      </c>
      <c r="CH149" t="str">
        <f>IF(AND($AD$9=1,Courses!G143&lt;&gt;"",Courses!H143&lt;&gt;"",Courses!H143=0,SUM(Courses!J143,Courses!F143)=1),"Row "&amp;Courses!A143&amp;", "&amp;Courses!$H$10&amp;"; ","")</f>
        <v/>
      </c>
      <c r="CI149" s="183" t="str">
        <f>IF(AND($AD$9=1,Courses!I143&lt;&gt;"",Courses!J143&lt;&gt;"",Courses!J143=0, SUM(Courses!H143,Courses!F143)=1),"Row "&amp;Courses!A143&amp;", "&amp;Courses!$J$10&amp;"; ","")</f>
        <v/>
      </c>
      <c r="CJ149" s="180"/>
      <c r="CK149" s="181"/>
      <c r="CL149" s="1592" t="str">
        <f>IF(AND(Courses!B143&lt;&gt;"",ISNA(VLOOKUP(Courses!C143,CourseInfo,2,FALSE))=FALSE,COUNTIF(Dummy,Courses!C143)&lt;&gt;1),VLOOKUP(Courses!C143,CourseInfo,6,FALSE),"")</f>
        <v/>
      </c>
      <c r="CM149" s="1592" t="str">
        <f>IF(AND($AE$9=1,Courses!B143&lt;&gt;"",'Courses Valid'!AG149="",COUNTIF(Dummy,Courses!C143)&lt;&gt;1),IF(Courses!K143&lt;&gt;'Courses Valid'!CL149,"Row "&amp;Courses!A143&amp;", Level on LARS is "&amp;'Courses Valid'!CL149&amp;"; ",""),"")</f>
        <v/>
      </c>
      <c r="CN149" s="131"/>
    </row>
    <row r="150" spans="3:92" x14ac:dyDescent="0.35">
      <c r="C150" s="1591">
        <f t="shared" si="4"/>
        <v>0</v>
      </c>
      <c r="D150" s="41"/>
      <c r="E150" s="41"/>
      <c r="F150" s="118"/>
      <c r="G150" s="1592" t="str">
        <f>IF(SUMPRODUCT(--(CourseAims=Courses!$C144))=1,"",IF(AND($N$9=1,Courses!$C144&lt;&gt;""),"Row "&amp;Courses!A144&amp;" (invalid); ",""))</f>
        <v/>
      </c>
      <c r="H150" s="1592" t="str">
        <f>IF(AND($O$9=1,Courses!B144="",OR(Courses!F144&lt;&gt;"",Courses!H144&lt;&gt;"",Courses!J144&lt;&gt;"",Courses!K144&lt;&gt;"",Courses!L144&lt;&gt;"",Courses!M144&lt;&gt;0,Courses!N144&lt;&gt;0,Courses!O144&lt;&gt;0,Courses!P144&lt;&gt;0,Courses!Q144&lt;&gt;0,Courses!R144&lt;&gt;0,Courses!S144&lt;&gt;0,Courses!T144&lt;&gt;0,Courses!U144&lt;&gt;0,Courses!V144&lt;&gt;0,Courses!W144&lt;&gt;0,Courses!X144&lt;&gt;0,Courses!Y144&lt;&gt;0,Courses!Z144&lt;&gt;0,Courses!AA144&lt;&gt;0)),"Row "&amp;Courses!A144&amp;" (none); ","")</f>
        <v/>
      </c>
      <c r="I150" s="17"/>
      <c r="K150" s="1592" t="str">
        <f>Courses!B144&amp;Courses!K144&amp;Courses!L144</f>
        <v/>
      </c>
      <c r="L150" s="1592" t="str">
        <f>IF(AND($P$9=1,Courses!$B144&lt;&gt;"",COUNTIF(Dummy,Courses!$C144)&lt;&gt;1),IF(SUMPRODUCT(--($K$20:$K$219=$K150))&gt;1,"Row "&amp;Courses!$A144&amp;"; ",""),"")</f>
        <v/>
      </c>
      <c r="N150" s="118"/>
      <c r="O150" s="1593" t="str">
        <f>IF(AND($Q$9=1,Courses!E144&lt;&gt;"",Courses!F144=""),"Row "&amp;Courses!A144&amp;", "&amp;Courses!$E$10&amp;"; ","")</f>
        <v/>
      </c>
      <c r="P150" t="str">
        <f>IF(AND($Q$9=1,Courses!G144&lt;&gt;"",Courses!H144=""),"Row "&amp;Courses!A144&amp;", "&amp;Courses!$G$10&amp;"; ","")</f>
        <v/>
      </c>
      <c r="Q150" s="183" t="str">
        <f>IF(AND($Q$9=1,Courses!I144&lt;&gt;"",Courses!J144=""),"Row "&amp;Courses!A144&amp;", "&amp;Courses!$I$10&amp;"; ","")</f>
        <v/>
      </c>
      <c r="S150" s="17"/>
      <c r="T150" s="118"/>
      <c r="U150" s="1594" t="str">
        <f>IF(AND($R$9=1,Courses!B144&lt;&gt;"",Courses!E144&lt;&gt;"",Courses!G144="",Courses!I144="",Courses!F144&lt;&gt;1),"Row "&amp;Courses!A144&amp;"; ","")</f>
        <v/>
      </c>
      <c r="V150" t="str">
        <f>IF(AND($R$9=1,Courses!B144&lt;&gt;"",Courses!I144="",Courses!F144&lt;&gt;"",Courses!G144&lt;&gt;"",Courses!H144&lt;&gt;""),IF(OR((Courses!F144+Courses!H144)&lt;&gt;1),"Row "&amp;Courses!A144&amp;"; ",""),"")</f>
        <v/>
      </c>
      <c r="W150" s="183" t="str">
        <f>IF(AND($R$9=1,Courses!B144&lt;&gt;"",Courses!I144&lt;&gt;"",Courses!J144&lt;&gt;"",Courses!H144&lt;&gt;"",Courses!G144&lt;&gt;"",Courses!F144&lt;&gt;""),IF(OR((Courses!F144+Courses!H144+Courses!J144)&lt;&gt;1),"Row "&amp;Courses!A144&amp;"; ",""),"")</f>
        <v/>
      </c>
      <c r="Y150" s="1592" t="str">
        <f>IF(AND($R$9=1,Courses!E144&lt;&gt;"",U150="",V150="",W150="",SUM(Courses!F144,Courses!H144,Courses!J144)&lt;&gt;1),"Row "&amp;Courses!A144&amp;"; ","")</f>
        <v/>
      </c>
      <c r="Z150" s="17"/>
      <c r="AB150" s="1593" t="str">
        <f>IF(AND($S$9=1,Courses!B144&lt;&gt;"",Courses!E144&lt;&gt;"",Courses!F144&lt;&gt;""),IF((TRUNC(Courses!F144*100)&lt;&gt;Courses!F144*100),"Row "&amp;Courses!A144&amp;", "&amp;Courses!$F$10&amp;"; ",""),"")</f>
        <v/>
      </c>
      <c r="AC150" t="str">
        <f>IF(AND($S$9=1,Courses!B144&lt;&gt;"",Courses!G144&lt;&gt;"",Courses!H144&lt;&gt;""),IF((TRUNC(Courses!H144*100)&lt;&gt;Courses!H144*100),"Row "&amp;Courses!A144&amp;", "&amp;Courses!$H$10&amp;"; ",""),"")</f>
        <v/>
      </c>
      <c r="AD150" s="183" t="str">
        <f>IF(AND($S$9=1,Courses!B144&lt;&gt;"",Courses!I144&lt;&gt;"",Courses!J144&lt;&gt;""),IF((TRUNC(Courses!J144*100)&lt;&gt;Courses!J144*100),"Row "&amp;Courses!A144&amp;", "&amp;Courses!$J$10&amp;"; ",""),"")</f>
        <v/>
      </c>
      <c r="AF150" s="118"/>
      <c r="AG150" s="1593" t="str">
        <f>IF(AND($T$9=1,G150="",Courses!B144&lt;&gt;"",Courses!K144&lt;&gt;$B$9,Courses!K144&lt;&gt;$B$10,Courses!K144&lt;&gt;$B$11,Courses!K144&lt;&gt;$B$12,Courses!K144&lt;&gt;$B$13,Courses!K144&lt;&gt;$B$14),"Row "&amp;Courses!A144&amp;"; ","")</f>
        <v/>
      </c>
      <c r="AH150" s="1592" t="str">
        <f>IF(AND($U$9=1,G150="",Courses!B144&lt;&gt;"",Courses!L144&lt;&gt;"Standard",Courses!L144&lt;&gt;"Long"),"Row "&amp;Courses!A144&amp;"; ","")</f>
        <v/>
      </c>
      <c r="AJ150" s="118"/>
      <c r="AK150" s="3">
        <v>131</v>
      </c>
      <c r="AL150" s="1593" t="str">
        <f>IF(AND($V$9=1,(TRUNC(Courses!M144)&lt;&gt;Courses!M144)), "Row "&amp;Courses!$A144&amp;", "&amp;AL$9&amp;", "&amp;AL$10&amp;", "&amp;AL$11&amp;"; ","")</f>
        <v/>
      </c>
      <c r="AM150" t="str">
        <f>IF(AND($V$9=1,(TRUNC(Courses!N144)&lt;&gt;Courses!N144)), "Row "&amp;Courses!$A144&amp;", "&amp;AM$9&amp;", "&amp;AM$10&amp;", "&amp;AM$11&amp;"; ","")</f>
        <v/>
      </c>
      <c r="AN150" t="str">
        <f>IF(AND($V$9=1,(TRUNC(Courses!O144)&lt;&gt;Courses!O144)), "Row "&amp;Courses!$A144&amp;", "&amp;AN$9&amp;", "&amp;AN$10&amp;", "&amp;AN$11&amp;"; ","")</f>
        <v/>
      </c>
      <c r="AO150" t="str">
        <f>IF(AND($V$9=1,(TRUNC(Courses!P144)&lt;&gt;Courses!P144)), "Row "&amp;Courses!$A144&amp;", "&amp;AO$9&amp;", "&amp;AO$10&amp;", "&amp;AO$11&amp;"; ","")</f>
        <v/>
      </c>
      <c r="AP150" s="2120" t="str">
        <f>IF(AND($V$9=1,(TRUNC(Courses!Q144)&lt;&gt;Courses!Q144)), "Row "&amp;Courses!$A144&amp;", "&amp;AP$9&amp;", "&amp;AP$10&amp;"; ","")</f>
        <v/>
      </c>
      <c r="AQ150" s="1593" t="str">
        <f>IF(AND($V$9=1,(TRUNC(Courses!R144)&lt;&gt;Courses!R144)), "Row "&amp;Courses!$A144&amp;", "&amp;AQ$9&amp;", "&amp;AQ$10&amp;", "&amp;AQ$11&amp;"; ","")</f>
        <v/>
      </c>
      <c r="AR150" t="str">
        <f>IF(AND($V$9=1,(TRUNC(Courses!S144)&lt;&gt;Courses!S144)), "Row "&amp;Courses!$A144&amp;", "&amp;AR$9&amp;", "&amp;AR$10&amp;", "&amp;AR$11&amp;"; ","")</f>
        <v/>
      </c>
      <c r="AS150" t="str">
        <f>IF(AND($V$9=1,(TRUNC(Courses!T144)&lt;&gt;Courses!T144)), "Row "&amp;Courses!$A144&amp;", "&amp;AS$9&amp;", "&amp;AS$10&amp;", "&amp;AS$11&amp;"; ","")</f>
        <v/>
      </c>
      <c r="AT150" t="str">
        <f>IF(AND($V$9=1,(TRUNC(Courses!U144)&lt;&gt;Courses!U144)), "Row "&amp;Courses!$A144&amp;", "&amp;AT$9&amp;", "&amp;AT$10&amp;", "&amp;AT$11&amp;"; ","")</f>
        <v/>
      </c>
      <c r="AU150" s="2120" t="str">
        <f>IF(AND($V$9=1,(TRUNC(Courses!V144)&lt;&gt;Courses!V144)), "Row "&amp;Courses!$A144&amp;", "&amp;AU$9&amp;", "&amp;AU$10&amp;"; ","")</f>
        <v/>
      </c>
      <c r="AV150" s="1593" t="str">
        <f>IF(AND($V$9=1,(TRUNC(Courses!W144)&lt;&gt;Courses!W144)), "Row "&amp;Courses!$A144&amp;", "&amp;AV$9&amp;", "&amp;AV$10&amp;", "&amp;AV$11&amp;"; ","")</f>
        <v/>
      </c>
      <c r="AW150" t="str">
        <f>IF(AND($V$9=1,(TRUNC(Courses!X144)&lt;&gt;Courses!X144)), "Row "&amp;Courses!$A144&amp;", "&amp;AW$9&amp;", "&amp;AW$10&amp;", "&amp;AW$11&amp;"; ","")</f>
        <v/>
      </c>
      <c r="AX150" t="str">
        <f>IF(AND($V$9=1,(TRUNC(Courses!Y144)&lt;&gt;Courses!Y144)), "Row "&amp;Courses!$A144&amp;", "&amp;AX$9&amp;", "&amp;AX$10&amp;", "&amp;AX$11&amp;"; ","")</f>
        <v/>
      </c>
      <c r="AY150" t="str">
        <f>IF(AND($V$9=1,(TRUNC(Courses!Z144)&lt;&gt;Courses!Z144)), "Row "&amp;Courses!$A144&amp;", "&amp;AY$9&amp;", "&amp;AY$10&amp;", "&amp;AY$11&amp;"; ","")</f>
        <v/>
      </c>
      <c r="AZ150" s="2120" t="str">
        <f>IF(AND($V$9=1,(TRUNC(Courses!AA144)&lt;&gt;Courses!AA144)), "Row "&amp;Courses!$A144&amp;", "&amp;AZ$9&amp;", "&amp;AZ$10&amp;"; ","")</f>
        <v/>
      </c>
      <c r="BB150" s="118"/>
      <c r="BC150" s="3">
        <v>131</v>
      </c>
      <c r="BD150" s="1593" t="str">
        <f>IF(AND($W$9=1,Courses!M144&lt;0), "Row "&amp;Courses!$A144&amp;", "&amp;BD$9&amp;", "&amp;BD$10&amp;", "&amp;BD$11&amp;"; ","")</f>
        <v/>
      </c>
      <c r="BE150" t="str">
        <f>IF(AND($W$9=1,Courses!N144&lt;0), "Row "&amp;Courses!$A144&amp;", "&amp;BE$9&amp;", "&amp;BE$10&amp;", "&amp;BE$11&amp;"; ","")</f>
        <v/>
      </c>
      <c r="BF150" t="str">
        <f>IF(AND($W$9=1,Courses!O144&lt;0), "Row "&amp;Courses!$A144&amp;", "&amp;BF$9&amp;", "&amp;BF$10&amp;", "&amp;BF$11&amp;"; ","")</f>
        <v/>
      </c>
      <c r="BG150" t="str">
        <f>IF(AND($W$9=1,Courses!P144&lt;0), "Row "&amp;Courses!$A144&amp;", "&amp;BG$9&amp;", "&amp;BG$10&amp;", "&amp;BG$11&amp;"; ","")</f>
        <v/>
      </c>
      <c r="BH150" s="2120" t="str">
        <f>IF(AND($W$9=1,Courses!Q144&lt;0), "Row "&amp;Courses!$A144&amp;", "&amp;BH$9&amp;", "&amp;BH$10&amp;"; ","")</f>
        <v/>
      </c>
      <c r="BI150" s="1593" t="str">
        <f>IF(AND($W$9=1,Courses!R144&lt;0), "Row "&amp;Courses!$A144&amp;", "&amp;BI$9&amp;", "&amp;BI$10&amp;", "&amp;BI$11&amp;"; ","")</f>
        <v/>
      </c>
      <c r="BJ150" t="str">
        <f>IF(AND($W$9=1,Courses!S144&lt;0), "Row "&amp;Courses!$A144&amp;", "&amp;BJ$9&amp;", "&amp;BJ$10&amp;", "&amp;BJ$11&amp;"; ","")</f>
        <v/>
      </c>
      <c r="BK150" t="str">
        <f>IF(AND($W$9=1,Courses!T144&lt;0), "Row "&amp;Courses!$A144&amp;", "&amp;BK$9&amp;", "&amp;BK$10&amp;", "&amp;BK$11&amp;"; ","")</f>
        <v/>
      </c>
      <c r="BL150" t="str">
        <f>IF(AND($W$9=1,Courses!U144&lt;0), "Row "&amp;Courses!$A144&amp;", "&amp;BL$9&amp;", "&amp;BL$10&amp;", "&amp;BL$11&amp;"; ","")</f>
        <v/>
      </c>
      <c r="BM150" s="2120" t="str">
        <f>IF(AND($W$9=1,Courses!V144&lt;0), "Row "&amp;Courses!$A144&amp;", "&amp;BM$9&amp;", "&amp;BM$10&amp;"; ","")</f>
        <v/>
      </c>
      <c r="BN150" t="str">
        <f>IF(AND($W$9=1,Courses!W144&lt;0), "Row "&amp;Courses!$A144&amp;", "&amp;BN$9&amp;", "&amp;BN$10&amp;", "&amp;BN$11&amp;"; ","")</f>
        <v/>
      </c>
      <c r="BO150" t="str">
        <f>IF(AND($W$9=1,Courses!X144&lt;0), "Row "&amp;Courses!$A144&amp;", "&amp;BO$9&amp;", "&amp;BO$10&amp;", "&amp;BO$11&amp;"; ","")</f>
        <v/>
      </c>
      <c r="BP150" t="str">
        <f>IF(AND($W$9=1,Courses!Y144&lt;0), "Row "&amp;Courses!$A144&amp;", "&amp;BP$9&amp;", "&amp;BP$10&amp;", "&amp;BP$11&amp;"; ","")</f>
        <v/>
      </c>
      <c r="BQ150" t="str">
        <f>IF(AND($W$9=1,Courses!Z144&lt;0), "Row "&amp;Courses!$A144&amp;", "&amp;BQ$9&amp;", "&amp;BQ$10&amp;", "&amp;BQ$11&amp;"; ","")</f>
        <v/>
      </c>
      <c r="BR150" s="2120" t="str">
        <f>IF(AND($W$9=1,Courses!AA144&lt;0), "Row "&amp;Courses!$A144&amp;", "&amp;BR$9&amp;", "&amp;BR$10&amp;"; ","")</f>
        <v/>
      </c>
      <c r="BT150" s="3">
        <v>131</v>
      </c>
      <c r="BU150" s="40">
        <f>IF(AND($X$9=1,Courses!B144="",Courses!F144="",Courses!H144="",Courses!J144="",Courses!K144="",Courses!L144="",Courses!M144=0,Courses!N144=0,Courses!O144=0,Courses!P144=0,Courses!Q144=0,Courses!R144=0,Courses!S144=0,Courses!T144=0,Courses!U144=0,Courses!V144=0,Courses!W144=0,Courses!X144=0,Courses!Y144=0,Courses!Z144=0,Courses!AA144=0),0,1)</f>
        <v>0</v>
      </c>
      <c r="BV150" s="40">
        <f>IF(AND(BU150=0,SUM(BU151:$BU$219)&gt;0),1,0)</f>
        <v>0</v>
      </c>
      <c r="BW150" s="1595" t="str">
        <f>IF(BV150=1,"Row "&amp;Courses!A144&amp;"; ","")</f>
        <v/>
      </c>
      <c r="BX150" s="17"/>
      <c r="BZ150" s="1592" t="str">
        <f>IF(AND($Y$9=1,Courses!B144&lt;&gt;"",SUM(Courses!M144:AA144)=0),"Row "&amp;Courses!A144&amp;"; ","")</f>
        <v/>
      </c>
      <c r="CA150" s="17"/>
      <c r="CC150" s="1592" t="str">
        <f>IF(AND($Z$9=1,Courses!AD144=1,(LEN(Courses!AB144)&gt;200)),"Row "&amp;Courses!A144&amp;"; ","")</f>
        <v/>
      </c>
      <c r="CE150" s="131"/>
      <c r="CG150" s="1593" t="str">
        <f>IF(AND($AD$9=1,Courses!E144&lt;&gt;"",Courses!F144&lt;&gt;"",Courses!F144=0,SUM(Courses!H144,Courses!J144)=1),"Row "&amp;Courses!A144&amp;", "&amp;Courses!$F$10&amp;"; ","")</f>
        <v/>
      </c>
      <c r="CH150" t="str">
        <f>IF(AND($AD$9=1,Courses!G144&lt;&gt;"",Courses!H144&lt;&gt;"",Courses!H144=0,SUM(Courses!J144,Courses!F144)=1),"Row "&amp;Courses!A144&amp;", "&amp;Courses!$H$10&amp;"; ","")</f>
        <v/>
      </c>
      <c r="CI150" s="183" t="str">
        <f>IF(AND($AD$9=1,Courses!I144&lt;&gt;"",Courses!J144&lt;&gt;"",Courses!J144=0, SUM(Courses!H144,Courses!F144)=1),"Row "&amp;Courses!A144&amp;", "&amp;Courses!$J$10&amp;"; ","")</f>
        <v/>
      </c>
      <c r="CJ150" s="180"/>
      <c r="CK150" s="181"/>
      <c r="CL150" s="1592" t="str">
        <f>IF(AND(Courses!B144&lt;&gt;"",ISNA(VLOOKUP(Courses!C144,CourseInfo,2,FALSE))=FALSE,COUNTIF(Dummy,Courses!C144)&lt;&gt;1),VLOOKUP(Courses!C144,CourseInfo,6,FALSE),"")</f>
        <v/>
      </c>
      <c r="CM150" s="1592" t="str">
        <f>IF(AND($AE$9=1,Courses!B144&lt;&gt;"",'Courses Valid'!AG150="",COUNTIF(Dummy,Courses!C144)&lt;&gt;1),IF(Courses!K144&lt;&gt;'Courses Valid'!CL150,"Row "&amp;Courses!A144&amp;", Level on LARS is "&amp;'Courses Valid'!CL150&amp;"; ",""),"")</f>
        <v/>
      </c>
      <c r="CN150" s="131"/>
    </row>
    <row r="151" spans="3:92" x14ac:dyDescent="0.35">
      <c r="C151" s="1591">
        <f t="shared" si="4"/>
        <v>0</v>
      </c>
      <c r="D151" s="41"/>
      <c r="E151" s="41"/>
      <c r="F151" s="118"/>
      <c r="G151" s="1592" t="str">
        <f>IF(SUMPRODUCT(--(CourseAims=Courses!$C145))=1,"",IF(AND($N$9=1,Courses!$C145&lt;&gt;""),"Row "&amp;Courses!A145&amp;" (invalid); ",""))</f>
        <v/>
      </c>
      <c r="H151" s="1592" t="str">
        <f>IF(AND($O$9=1,Courses!B145="",OR(Courses!F145&lt;&gt;"",Courses!H145&lt;&gt;"",Courses!J145&lt;&gt;"",Courses!K145&lt;&gt;"",Courses!L145&lt;&gt;"",Courses!M145&lt;&gt;0,Courses!N145&lt;&gt;0,Courses!O145&lt;&gt;0,Courses!P145&lt;&gt;0,Courses!Q145&lt;&gt;0,Courses!R145&lt;&gt;0,Courses!S145&lt;&gt;0,Courses!T145&lt;&gt;0,Courses!U145&lt;&gt;0,Courses!V145&lt;&gt;0,Courses!W145&lt;&gt;0,Courses!X145&lt;&gt;0,Courses!Y145&lt;&gt;0,Courses!Z145&lt;&gt;0,Courses!AA145&lt;&gt;0)),"Row "&amp;Courses!A145&amp;" (none); ","")</f>
        <v/>
      </c>
      <c r="I151" s="1596"/>
      <c r="K151" s="1592" t="str">
        <f>Courses!B145&amp;Courses!K145&amp;Courses!L145</f>
        <v/>
      </c>
      <c r="L151" s="1592" t="str">
        <f>IF(AND($P$9=1,Courses!$B145&lt;&gt;"",COUNTIF(Dummy,Courses!$C145)&lt;&gt;1),IF(SUMPRODUCT(--($K$20:$K$219=$K151))&gt;1,"Row "&amp;Courses!$A145&amp;"; ",""),"")</f>
        <v/>
      </c>
      <c r="N151" s="118"/>
      <c r="O151" s="1593" t="str">
        <f>IF(AND($Q$9=1,Courses!E145&lt;&gt;"",Courses!F145=""),"Row "&amp;Courses!A145&amp;", "&amp;Courses!$E$10&amp;"; ","")</f>
        <v/>
      </c>
      <c r="P151" t="str">
        <f>IF(AND($Q$9=1,Courses!G145&lt;&gt;"",Courses!H145=""),"Row "&amp;Courses!A145&amp;", "&amp;Courses!$G$10&amp;"; ","")</f>
        <v/>
      </c>
      <c r="Q151" s="183" t="str">
        <f>IF(AND($Q$9=1,Courses!I145&lt;&gt;"",Courses!J145=""),"Row "&amp;Courses!A145&amp;", "&amp;Courses!$I$10&amp;"; ","")</f>
        <v/>
      </c>
      <c r="S151" s="17"/>
      <c r="T151" s="118"/>
      <c r="U151" s="1593" t="str">
        <f>IF(AND($R$9=1,Courses!B145&lt;&gt;"",Courses!E145&lt;&gt;"",Courses!G145="",Courses!I145="",Courses!F145&lt;&gt;1),"Row "&amp;Courses!A145&amp;"; ","")</f>
        <v/>
      </c>
      <c r="V151" t="str">
        <f>IF(AND($R$9=1,Courses!B145&lt;&gt;"",Courses!I145="",Courses!F145&lt;&gt;"",Courses!G145&lt;&gt;"",Courses!H145&lt;&gt;""),IF(OR((Courses!F145+Courses!H145)&lt;&gt;1),"Row "&amp;Courses!A145&amp;"; ",""),"")</f>
        <v/>
      </c>
      <c r="W151" s="183" t="str">
        <f>IF(AND($R$9=1,Courses!B145&lt;&gt;"",Courses!I145&lt;&gt;"",Courses!J145&lt;&gt;"",Courses!H145&lt;&gt;"",Courses!G145&lt;&gt;"",Courses!F145&lt;&gt;""),IF(OR((Courses!F145+Courses!H145+Courses!J145)&lt;&gt;1),"Row "&amp;Courses!A145&amp;"; ",""),"")</f>
        <v/>
      </c>
      <c r="Y151" s="1592" t="str">
        <f>IF(AND($R$9=1,Courses!E145&lt;&gt;"",U151="",V151="",W151="",SUM(Courses!F145,Courses!H145,Courses!J145)&lt;&gt;1),"Row "&amp;Courses!A145&amp;"; ","")</f>
        <v/>
      </c>
      <c r="AA151" s="118"/>
      <c r="AB151" s="1593" t="str">
        <f>IF(AND($S$9=1,Courses!B145&lt;&gt;"",Courses!E145&lt;&gt;"",Courses!F145&lt;&gt;""),IF((TRUNC(Courses!F145*100)&lt;&gt;Courses!F145*100),"Row "&amp;Courses!A145&amp;", "&amp;Courses!$F$10&amp;"; ",""),"")</f>
        <v/>
      </c>
      <c r="AC151" t="str">
        <f>IF(AND($S$9=1,Courses!B145&lt;&gt;"",Courses!G145&lt;&gt;"",Courses!H145&lt;&gt;""),IF((TRUNC(Courses!H145*100)&lt;&gt;Courses!H145*100),"Row "&amp;Courses!A145&amp;", "&amp;Courses!$H$10&amp;"; ",""),"")</f>
        <v/>
      </c>
      <c r="AD151" s="183" t="str">
        <f>IF(AND($S$9=1,Courses!B145&lt;&gt;"",Courses!I145&lt;&gt;"",Courses!J145&lt;&gt;""),IF((TRUNC(Courses!J145*100)&lt;&gt;Courses!J145*100),"Row "&amp;Courses!A145&amp;", "&amp;Courses!$J$10&amp;"; ",""),"")</f>
        <v/>
      </c>
      <c r="AF151" s="118"/>
      <c r="AG151" s="1593" t="str">
        <f>IF(AND($T$9=1,G151="",Courses!B145&lt;&gt;"",Courses!K145&lt;&gt;$B$9,Courses!K145&lt;&gt;$B$10,Courses!K145&lt;&gt;$B$11,Courses!K145&lt;&gt;$B$12,Courses!K145&lt;&gt;$B$13,Courses!K145&lt;&gt;$B$14),"Row "&amp;Courses!A145&amp;"; ","")</f>
        <v/>
      </c>
      <c r="AH151" s="1592" t="str">
        <f>IF(AND($U$9=1,G151="",Courses!B145&lt;&gt;"",Courses!L145&lt;&gt;"Standard",Courses!L145&lt;&gt;"Long"),"Row "&amp;Courses!A145&amp;"; ","")</f>
        <v/>
      </c>
      <c r="AJ151" s="118"/>
      <c r="AK151" s="3">
        <v>132</v>
      </c>
      <c r="AL151" s="1593" t="str">
        <f>IF(AND($V$9=1,(TRUNC(Courses!M145)&lt;&gt;Courses!M145)), "Row "&amp;Courses!$A145&amp;", "&amp;AL$9&amp;", "&amp;AL$10&amp;", "&amp;AL$11&amp;"; ","")</f>
        <v/>
      </c>
      <c r="AM151" t="str">
        <f>IF(AND($V$9=1,(TRUNC(Courses!N145)&lt;&gt;Courses!N145)), "Row "&amp;Courses!$A145&amp;", "&amp;AM$9&amp;", "&amp;AM$10&amp;", "&amp;AM$11&amp;"; ","")</f>
        <v/>
      </c>
      <c r="AN151" t="str">
        <f>IF(AND($V$9=1,(TRUNC(Courses!O145)&lt;&gt;Courses!O145)), "Row "&amp;Courses!$A145&amp;", "&amp;AN$9&amp;", "&amp;AN$10&amp;", "&amp;AN$11&amp;"; ","")</f>
        <v/>
      </c>
      <c r="AO151" t="str">
        <f>IF(AND($V$9=1,(TRUNC(Courses!P145)&lt;&gt;Courses!P145)), "Row "&amp;Courses!$A145&amp;", "&amp;AO$9&amp;", "&amp;AO$10&amp;", "&amp;AO$11&amp;"; ","")</f>
        <v/>
      </c>
      <c r="AP151" s="2120" t="str">
        <f>IF(AND($V$9=1,(TRUNC(Courses!Q145)&lt;&gt;Courses!Q145)), "Row "&amp;Courses!$A145&amp;", "&amp;AP$9&amp;", "&amp;AP$10&amp;"; ","")</f>
        <v/>
      </c>
      <c r="AQ151" s="1593" t="str">
        <f>IF(AND($V$9=1,(TRUNC(Courses!R145)&lt;&gt;Courses!R145)), "Row "&amp;Courses!$A145&amp;", "&amp;AQ$9&amp;", "&amp;AQ$10&amp;", "&amp;AQ$11&amp;"; ","")</f>
        <v/>
      </c>
      <c r="AR151" t="str">
        <f>IF(AND($V$9=1,(TRUNC(Courses!S145)&lt;&gt;Courses!S145)), "Row "&amp;Courses!$A145&amp;", "&amp;AR$9&amp;", "&amp;AR$10&amp;", "&amp;AR$11&amp;"; ","")</f>
        <v/>
      </c>
      <c r="AS151" t="str">
        <f>IF(AND($V$9=1,(TRUNC(Courses!T145)&lt;&gt;Courses!T145)), "Row "&amp;Courses!$A145&amp;", "&amp;AS$9&amp;", "&amp;AS$10&amp;", "&amp;AS$11&amp;"; ","")</f>
        <v/>
      </c>
      <c r="AT151" t="str">
        <f>IF(AND($V$9=1,(TRUNC(Courses!U145)&lt;&gt;Courses!U145)), "Row "&amp;Courses!$A145&amp;", "&amp;AT$9&amp;", "&amp;AT$10&amp;", "&amp;AT$11&amp;"; ","")</f>
        <v/>
      </c>
      <c r="AU151" s="2120" t="str">
        <f>IF(AND($V$9=1,(TRUNC(Courses!V145)&lt;&gt;Courses!V145)), "Row "&amp;Courses!$A145&amp;", "&amp;AU$9&amp;", "&amp;AU$10&amp;"; ","")</f>
        <v/>
      </c>
      <c r="AV151" s="1593" t="str">
        <f>IF(AND($V$9=1,(TRUNC(Courses!W145)&lt;&gt;Courses!W145)), "Row "&amp;Courses!$A145&amp;", "&amp;AV$9&amp;", "&amp;AV$10&amp;", "&amp;AV$11&amp;"; ","")</f>
        <v/>
      </c>
      <c r="AW151" t="str">
        <f>IF(AND($V$9=1,(TRUNC(Courses!X145)&lt;&gt;Courses!X145)), "Row "&amp;Courses!$A145&amp;", "&amp;AW$9&amp;", "&amp;AW$10&amp;", "&amp;AW$11&amp;"; ","")</f>
        <v/>
      </c>
      <c r="AX151" t="str">
        <f>IF(AND($V$9=1,(TRUNC(Courses!Y145)&lt;&gt;Courses!Y145)), "Row "&amp;Courses!$A145&amp;", "&amp;AX$9&amp;", "&amp;AX$10&amp;", "&amp;AX$11&amp;"; ","")</f>
        <v/>
      </c>
      <c r="AY151" t="str">
        <f>IF(AND($V$9=1,(TRUNC(Courses!Z145)&lt;&gt;Courses!Z145)), "Row "&amp;Courses!$A145&amp;", "&amp;AY$9&amp;", "&amp;AY$10&amp;", "&amp;AY$11&amp;"; ","")</f>
        <v/>
      </c>
      <c r="AZ151" s="2120" t="str">
        <f>IF(AND($V$9=1,(TRUNC(Courses!AA145)&lt;&gt;Courses!AA145)), "Row "&amp;Courses!$A145&amp;", "&amp;AZ$9&amp;", "&amp;AZ$10&amp;"; ","")</f>
        <v/>
      </c>
      <c r="BB151" s="118"/>
      <c r="BC151" s="3">
        <v>132</v>
      </c>
      <c r="BD151" s="1593" t="str">
        <f>IF(AND($W$9=1,Courses!M145&lt;0), "Row "&amp;Courses!$A145&amp;", "&amp;BD$9&amp;", "&amp;BD$10&amp;", "&amp;BD$11&amp;"; ","")</f>
        <v/>
      </c>
      <c r="BE151" t="str">
        <f>IF(AND($W$9=1,Courses!N145&lt;0), "Row "&amp;Courses!$A145&amp;", "&amp;BE$9&amp;", "&amp;BE$10&amp;", "&amp;BE$11&amp;"; ","")</f>
        <v/>
      </c>
      <c r="BF151" t="str">
        <f>IF(AND($W$9=1,Courses!O145&lt;0), "Row "&amp;Courses!$A145&amp;", "&amp;BF$9&amp;", "&amp;BF$10&amp;", "&amp;BF$11&amp;"; ","")</f>
        <v/>
      </c>
      <c r="BG151" t="str">
        <f>IF(AND($W$9=1,Courses!P145&lt;0), "Row "&amp;Courses!$A145&amp;", "&amp;BG$9&amp;", "&amp;BG$10&amp;", "&amp;BG$11&amp;"; ","")</f>
        <v/>
      </c>
      <c r="BH151" s="2120" t="str">
        <f>IF(AND($W$9=1,Courses!Q145&lt;0), "Row "&amp;Courses!$A145&amp;", "&amp;BH$9&amp;", "&amp;BH$10&amp;"; ","")</f>
        <v/>
      </c>
      <c r="BI151" s="1593" t="str">
        <f>IF(AND($W$9=1,Courses!R145&lt;0), "Row "&amp;Courses!$A145&amp;", "&amp;BI$9&amp;", "&amp;BI$10&amp;", "&amp;BI$11&amp;"; ","")</f>
        <v/>
      </c>
      <c r="BJ151" t="str">
        <f>IF(AND($W$9=1,Courses!S145&lt;0), "Row "&amp;Courses!$A145&amp;", "&amp;BJ$9&amp;", "&amp;BJ$10&amp;", "&amp;BJ$11&amp;"; ","")</f>
        <v/>
      </c>
      <c r="BK151" t="str">
        <f>IF(AND($W$9=1,Courses!T145&lt;0), "Row "&amp;Courses!$A145&amp;", "&amp;BK$9&amp;", "&amp;BK$10&amp;", "&amp;BK$11&amp;"; ","")</f>
        <v/>
      </c>
      <c r="BL151" t="str">
        <f>IF(AND($W$9=1,Courses!U145&lt;0), "Row "&amp;Courses!$A145&amp;", "&amp;BL$9&amp;", "&amp;BL$10&amp;", "&amp;BL$11&amp;"; ","")</f>
        <v/>
      </c>
      <c r="BM151" s="2120" t="str">
        <f>IF(AND($W$9=1,Courses!V145&lt;0), "Row "&amp;Courses!$A145&amp;", "&amp;BM$9&amp;", "&amp;BM$10&amp;"; ","")</f>
        <v/>
      </c>
      <c r="BN151" t="str">
        <f>IF(AND($W$9=1,Courses!W145&lt;0), "Row "&amp;Courses!$A145&amp;", "&amp;BN$9&amp;", "&amp;BN$10&amp;", "&amp;BN$11&amp;"; ","")</f>
        <v/>
      </c>
      <c r="BO151" t="str">
        <f>IF(AND($W$9=1,Courses!X145&lt;0), "Row "&amp;Courses!$A145&amp;", "&amp;BO$9&amp;", "&amp;BO$10&amp;", "&amp;BO$11&amp;"; ","")</f>
        <v/>
      </c>
      <c r="BP151" t="str">
        <f>IF(AND($W$9=1,Courses!Y145&lt;0), "Row "&amp;Courses!$A145&amp;", "&amp;BP$9&amp;", "&amp;BP$10&amp;", "&amp;BP$11&amp;"; ","")</f>
        <v/>
      </c>
      <c r="BQ151" t="str">
        <f>IF(AND($W$9=1,Courses!Z145&lt;0), "Row "&amp;Courses!$A145&amp;", "&amp;BQ$9&amp;", "&amp;BQ$10&amp;", "&amp;BQ$11&amp;"; ","")</f>
        <v/>
      </c>
      <c r="BR151" s="2120" t="str">
        <f>IF(AND($W$9=1,Courses!AA145&lt;0), "Row "&amp;Courses!$A145&amp;", "&amp;BR$9&amp;", "&amp;BR$10&amp;"; ","")</f>
        <v/>
      </c>
      <c r="BT151" s="3">
        <v>132</v>
      </c>
      <c r="BU151" s="40">
        <f>IF(AND($X$9=1,Courses!B145="",Courses!F145="",Courses!H145="",Courses!J145="",Courses!K145="",Courses!L145="",Courses!M145=0,Courses!N145=0,Courses!O145=0,Courses!P145=0,Courses!Q145=0,Courses!R145=0,Courses!S145=0,Courses!T145=0,Courses!U145=0,Courses!V145=0,Courses!W145=0,Courses!X145=0,Courses!Y145=0,Courses!Z145=0,Courses!AA145=0),0,1)</f>
        <v>0</v>
      </c>
      <c r="BV151" s="40">
        <f>IF(AND(BU151=0,SUM(BU152:$BU$219)&gt;0),1,0)</f>
        <v>0</v>
      </c>
      <c r="BW151" s="1592" t="str">
        <f>IF(BV151=1,"Row "&amp;Courses!A145&amp;"; ","")</f>
        <v/>
      </c>
      <c r="BX151" s="17"/>
      <c r="BZ151" s="1592" t="str">
        <f>IF(AND($Y$9=1,Courses!B145&lt;&gt;"",SUM(Courses!M145:AA145)=0),"Row "&amp;Courses!A145&amp;"; ","")</f>
        <v/>
      </c>
      <c r="CA151" s="17"/>
      <c r="CC151" s="1592" t="str">
        <f>IF(AND($Z$9=1,Courses!AD145=1,(LEN(Courses!AB145)&gt;200)),"Row "&amp;Courses!A145&amp;"; ","")</f>
        <v/>
      </c>
      <c r="CE151" s="131"/>
      <c r="CG151" s="1593" t="str">
        <f>IF(AND($AD$9=1,Courses!E145&lt;&gt;"",Courses!F145&lt;&gt;"",Courses!F145=0,SUM(Courses!H145,Courses!J145)=1),"Row "&amp;Courses!A145&amp;", "&amp;Courses!$F$10&amp;"; ","")</f>
        <v/>
      </c>
      <c r="CH151" t="str">
        <f>IF(AND($AD$9=1,Courses!G145&lt;&gt;"",Courses!H145&lt;&gt;"",Courses!H145=0,SUM(Courses!J145,Courses!F145)=1),"Row "&amp;Courses!A145&amp;", "&amp;Courses!$H$10&amp;"; ","")</f>
        <v/>
      </c>
      <c r="CI151" s="183" t="str">
        <f>IF(AND($AD$9=1,Courses!I145&lt;&gt;"",Courses!J145&lt;&gt;"",Courses!J145=0, SUM(Courses!H145,Courses!F145)=1),"Row "&amp;Courses!A145&amp;", "&amp;Courses!$J$10&amp;"; ","")</f>
        <v/>
      </c>
      <c r="CJ151" s="180"/>
      <c r="CK151" s="181"/>
      <c r="CL151" s="1592" t="str">
        <f>IF(AND(Courses!B145&lt;&gt;"",ISNA(VLOOKUP(Courses!C145,CourseInfo,2,FALSE))=FALSE,COUNTIF(Dummy,Courses!C145)&lt;&gt;1),VLOOKUP(Courses!C145,CourseInfo,6,FALSE),"")</f>
        <v/>
      </c>
      <c r="CM151" s="1592" t="str">
        <f>IF(AND($AE$9=1,Courses!B145&lt;&gt;"",'Courses Valid'!AG151="",COUNTIF(Dummy,Courses!C145)&lt;&gt;1),IF(Courses!K145&lt;&gt;'Courses Valid'!CL151,"Row "&amp;Courses!A145&amp;", Level on LARS is "&amp;'Courses Valid'!CL151&amp;"; ",""),"")</f>
        <v/>
      </c>
      <c r="CN151" s="131"/>
    </row>
    <row r="152" spans="3:92" x14ac:dyDescent="0.35">
      <c r="C152" s="1591">
        <f t="shared" si="4"/>
        <v>0</v>
      </c>
      <c r="D152" s="41"/>
      <c r="E152" s="41"/>
      <c r="F152" s="118"/>
      <c r="G152" s="1592" t="str">
        <f>IF(SUMPRODUCT(--(CourseAims=Courses!$C146))=1,"",IF(AND($N$9=1,Courses!$C146&lt;&gt;""),"Row "&amp;Courses!A146&amp;" (invalid); ",""))</f>
        <v/>
      </c>
      <c r="H152" s="1592" t="str">
        <f>IF(AND($O$9=1,Courses!B146="",OR(Courses!F146&lt;&gt;"",Courses!H146&lt;&gt;"",Courses!J146&lt;&gt;"",Courses!K146&lt;&gt;"",Courses!L146&lt;&gt;"",Courses!M146&lt;&gt;0,Courses!N146&lt;&gt;0,Courses!O146&lt;&gt;0,Courses!P146&lt;&gt;0,Courses!Q146&lt;&gt;0,Courses!R146&lt;&gt;0,Courses!S146&lt;&gt;0,Courses!T146&lt;&gt;0,Courses!U146&lt;&gt;0,Courses!V146&lt;&gt;0,Courses!W146&lt;&gt;0,Courses!X146&lt;&gt;0,Courses!Y146&lt;&gt;0,Courses!Z146&lt;&gt;0,Courses!AA146&lt;&gt;0)),"Row "&amp;Courses!A146&amp;" (none); ","")</f>
        <v/>
      </c>
      <c r="I152" s="1596"/>
      <c r="K152" s="1592" t="str">
        <f>Courses!B146&amp;Courses!K146&amp;Courses!L146</f>
        <v/>
      </c>
      <c r="L152" s="1592" t="str">
        <f>IF(AND($P$9=1,Courses!$B146&lt;&gt;"",COUNTIF(Dummy,Courses!$C146)&lt;&gt;1),IF(SUMPRODUCT(--($K$20:$K$219=$K152))&gt;1,"Row "&amp;Courses!$A146&amp;"; ",""),"")</f>
        <v/>
      </c>
      <c r="N152" s="118"/>
      <c r="O152" s="1593" t="str">
        <f>IF(AND($Q$9=1,Courses!E146&lt;&gt;"",Courses!F146=""),"Row "&amp;Courses!A146&amp;", "&amp;Courses!$E$10&amp;"; ","")</f>
        <v/>
      </c>
      <c r="P152" t="str">
        <f>IF(AND($Q$9=1,Courses!G146&lt;&gt;"",Courses!H146=""),"Row "&amp;Courses!A146&amp;", "&amp;Courses!$G$10&amp;"; ","")</f>
        <v/>
      </c>
      <c r="Q152" s="183" t="str">
        <f>IF(AND($Q$9=1,Courses!I146&lt;&gt;"",Courses!J146=""),"Row "&amp;Courses!A146&amp;", "&amp;Courses!$I$10&amp;"; ","")</f>
        <v/>
      </c>
      <c r="T152" s="118"/>
      <c r="U152" s="1593" t="str">
        <f>IF(AND($R$9=1,Courses!B146&lt;&gt;"",Courses!E146&lt;&gt;"",Courses!G146="",Courses!I146="",Courses!F146&lt;&gt;1),"Row "&amp;Courses!A146&amp;"; ","")</f>
        <v/>
      </c>
      <c r="V152" t="str">
        <f>IF(AND($R$9=1,Courses!B146&lt;&gt;"",Courses!I146="",Courses!F146&lt;&gt;"",Courses!G146&lt;&gt;"",Courses!H146&lt;&gt;""),IF(OR((Courses!F146+Courses!H146)&lt;&gt;1),"Row "&amp;Courses!A146&amp;"; ",""),"")</f>
        <v/>
      </c>
      <c r="W152" s="183" t="str">
        <f>IF(AND($R$9=1,Courses!B146&lt;&gt;"",Courses!I146&lt;&gt;"",Courses!J146&lt;&gt;"",Courses!H146&lt;&gt;"",Courses!G146&lt;&gt;"",Courses!F146&lt;&gt;""),IF(OR((Courses!F146+Courses!H146+Courses!J146)&lt;&gt;1),"Row "&amp;Courses!A146&amp;"; ",""),"")</f>
        <v/>
      </c>
      <c r="Y152" s="1592" t="str">
        <f>IF(AND($R$9=1,Courses!E146&lt;&gt;"",U152="",V152="",W152="",SUM(Courses!F146,Courses!H146,Courses!J146)&lt;&gt;1),"Row "&amp;Courses!A146&amp;"; ","")</f>
        <v/>
      </c>
      <c r="AA152" s="118"/>
      <c r="AB152" s="1593" t="str">
        <f>IF(AND($S$9=1,Courses!B146&lt;&gt;"",Courses!E146&lt;&gt;"",Courses!F146&lt;&gt;""),IF((TRUNC(Courses!F146*100)&lt;&gt;Courses!F146*100),"Row "&amp;Courses!A146&amp;", "&amp;Courses!$F$10&amp;"; ",""),"")</f>
        <v/>
      </c>
      <c r="AC152" t="str">
        <f>IF(AND($S$9=1,Courses!B146&lt;&gt;"",Courses!G146&lt;&gt;"",Courses!H146&lt;&gt;""),IF((TRUNC(Courses!H146*100)&lt;&gt;Courses!H146*100),"Row "&amp;Courses!A146&amp;", "&amp;Courses!$H$10&amp;"; ",""),"")</f>
        <v/>
      </c>
      <c r="AD152" s="183" t="str">
        <f>IF(AND($S$9=1,Courses!B146&lt;&gt;"",Courses!I146&lt;&gt;"",Courses!J146&lt;&gt;""),IF((TRUNC(Courses!J146*100)&lt;&gt;Courses!J146*100),"Row "&amp;Courses!A146&amp;", "&amp;Courses!$J$10&amp;"; ",""),"")</f>
        <v/>
      </c>
      <c r="AF152" s="118"/>
      <c r="AG152" s="1593" t="str">
        <f>IF(AND($T$9=1,G152="",Courses!B146&lt;&gt;"",Courses!K146&lt;&gt;$B$9,Courses!K146&lt;&gt;$B$10,Courses!K146&lt;&gt;$B$11,Courses!K146&lt;&gt;$B$12,Courses!K146&lt;&gt;$B$13,Courses!K146&lt;&gt;$B$14),"Row "&amp;Courses!A146&amp;"; ","")</f>
        <v/>
      </c>
      <c r="AH152" s="1592" t="str">
        <f>IF(AND($U$9=1,G152="",Courses!B146&lt;&gt;"",Courses!L146&lt;&gt;"Standard",Courses!L146&lt;&gt;"Long"),"Row "&amp;Courses!A146&amp;"; ","")</f>
        <v/>
      </c>
      <c r="AJ152" s="118"/>
      <c r="AK152" s="3">
        <v>133</v>
      </c>
      <c r="AL152" s="1593" t="str">
        <f>IF(AND($V$9=1,(TRUNC(Courses!M146)&lt;&gt;Courses!M146)), "Row "&amp;Courses!$A146&amp;", "&amp;AL$9&amp;", "&amp;AL$10&amp;", "&amp;AL$11&amp;"; ","")</f>
        <v/>
      </c>
      <c r="AM152" t="str">
        <f>IF(AND($V$9=1,(TRUNC(Courses!N146)&lt;&gt;Courses!N146)), "Row "&amp;Courses!$A146&amp;", "&amp;AM$9&amp;", "&amp;AM$10&amp;", "&amp;AM$11&amp;"; ","")</f>
        <v/>
      </c>
      <c r="AN152" t="str">
        <f>IF(AND($V$9=1,(TRUNC(Courses!O146)&lt;&gt;Courses!O146)), "Row "&amp;Courses!$A146&amp;", "&amp;AN$9&amp;", "&amp;AN$10&amp;", "&amp;AN$11&amp;"; ","")</f>
        <v/>
      </c>
      <c r="AO152" t="str">
        <f>IF(AND($V$9=1,(TRUNC(Courses!P146)&lt;&gt;Courses!P146)), "Row "&amp;Courses!$A146&amp;", "&amp;AO$9&amp;", "&amp;AO$10&amp;", "&amp;AO$11&amp;"; ","")</f>
        <v/>
      </c>
      <c r="AP152" s="2120" t="str">
        <f>IF(AND($V$9=1,(TRUNC(Courses!Q146)&lt;&gt;Courses!Q146)), "Row "&amp;Courses!$A146&amp;", "&amp;AP$9&amp;", "&amp;AP$10&amp;"; ","")</f>
        <v/>
      </c>
      <c r="AQ152" s="1593" t="str">
        <f>IF(AND($V$9=1,(TRUNC(Courses!R146)&lt;&gt;Courses!R146)), "Row "&amp;Courses!$A146&amp;", "&amp;AQ$9&amp;", "&amp;AQ$10&amp;", "&amp;AQ$11&amp;"; ","")</f>
        <v/>
      </c>
      <c r="AR152" t="str">
        <f>IF(AND($V$9=1,(TRUNC(Courses!S146)&lt;&gt;Courses!S146)), "Row "&amp;Courses!$A146&amp;", "&amp;AR$9&amp;", "&amp;AR$10&amp;", "&amp;AR$11&amp;"; ","")</f>
        <v/>
      </c>
      <c r="AS152" t="str">
        <f>IF(AND($V$9=1,(TRUNC(Courses!T146)&lt;&gt;Courses!T146)), "Row "&amp;Courses!$A146&amp;", "&amp;AS$9&amp;", "&amp;AS$10&amp;", "&amp;AS$11&amp;"; ","")</f>
        <v/>
      </c>
      <c r="AT152" t="str">
        <f>IF(AND($V$9=1,(TRUNC(Courses!U146)&lt;&gt;Courses!U146)), "Row "&amp;Courses!$A146&amp;", "&amp;AT$9&amp;", "&amp;AT$10&amp;", "&amp;AT$11&amp;"; ","")</f>
        <v/>
      </c>
      <c r="AU152" s="2120" t="str">
        <f>IF(AND($V$9=1,(TRUNC(Courses!V146)&lt;&gt;Courses!V146)), "Row "&amp;Courses!$A146&amp;", "&amp;AU$9&amp;", "&amp;AU$10&amp;"; ","")</f>
        <v/>
      </c>
      <c r="AV152" s="1593" t="str">
        <f>IF(AND($V$9=1,(TRUNC(Courses!W146)&lt;&gt;Courses!W146)), "Row "&amp;Courses!$A146&amp;", "&amp;AV$9&amp;", "&amp;AV$10&amp;", "&amp;AV$11&amp;"; ","")</f>
        <v/>
      </c>
      <c r="AW152" t="str">
        <f>IF(AND($V$9=1,(TRUNC(Courses!X146)&lt;&gt;Courses!X146)), "Row "&amp;Courses!$A146&amp;", "&amp;AW$9&amp;", "&amp;AW$10&amp;", "&amp;AW$11&amp;"; ","")</f>
        <v/>
      </c>
      <c r="AX152" t="str">
        <f>IF(AND($V$9=1,(TRUNC(Courses!Y146)&lt;&gt;Courses!Y146)), "Row "&amp;Courses!$A146&amp;", "&amp;AX$9&amp;", "&amp;AX$10&amp;", "&amp;AX$11&amp;"; ","")</f>
        <v/>
      </c>
      <c r="AY152" t="str">
        <f>IF(AND($V$9=1,(TRUNC(Courses!Z146)&lt;&gt;Courses!Z146)), "Row "&amp;Courses!$A146&amp;", "&amp;AY$9&amp;", "&amp;AY$10&amp;", "&amp;AY$11&amp;"; ","")</f>
        <v/>
      </c>
      <c r="AZ152" s="2120" t="str">
        <f>IF(AND($V$9=1,(TRUNC(Courses!AA146)&lt;&gt;Courses!AA146)), "Row "&amp;Courses!$A146&amp;", "&amp;AZ$9&amp;", "&amp;AZ$10&amp;"; ","")</f>
        <v/>
      </c>
      <c r="BB152" s="118"/>
      <c r="BC152" s="3">
        <v>133</v>
      </c>
      <c r="BD152" s="1593" t="str">
        <f>IF(AND($W$9=1,Courses!M146&lt;0), "Row "&amp;Courses!$A146&amp;", "&amp;BD$9&amp;", "&amp;BD$10&amp;", "&amp;BD$11&amp;"; ","")</f>
        <v/>
      </c>
      <c r="BE152" t="str">
        <f>IF(AND($W$9=1,Courses!N146&lt;0), "Row "&amp;Courses!$A146&amp;", "&amp;BE$9&amp;", "&amp;BE$10&amp;", "&amp;BE$11&amp;"; ","")</f>
        <v/>
      </c>
      <c r="BF152" t="str">
        <f>IF(AND($W$9=1,Courses!O146&lt;0), "Row "&amp;Courses!$A146&amp;", "&amp;BF$9&amp;", "&amp;BF$10&amp;", "&amp;BF$11&amp;"; ","")</f>
        <v/>
      </c>
      <c r="BG152" t="str">
        <f>IF(AND($W$9=1,Courses!P146&lt;0), "Row "&amp;Courses!$A146&amp;", "&amp;BG$9&amp;", "&amp;BG$10&amp;", "&amp;BG$11&amp;"; ","")</f>
        <v/>
      </c>
      <c r="BH152" s="2120" t="str">
        <f>IF(AND($W$9=1,Courses!Q146&lt;0), "Row "&amp;Courses!$A146&amp;", "&amp;BH$9&amp;", "&amp;BH$10&amp;"; ","")</f>
        <v/>
      </c>
      <c r="BI152" s="1593" t="str">
        <f>IF(AND($W$9=1,Courses!R146&lt;0), "Row "&amp;Courses!$A146&amp;", "&amp;BI$9&amp;", "&amp;BI$10&amp;", "&amp;BI$11&amp;"; ","")</f>
        <v/>
      </c>
      <c r="BJ152" t="str">
        <f>IF(AND($W$9=1,Courses!S146&lt;0), "Row "&amp;Courses!$A146&amp;", "&amp;BJ$9&amp;", "&amp;BJ$10&amp;", "&amp;BJ$11&amp;"; ","")</f>
        <v/>
      </c>
      <c r="BK152" t="str">
        <f>IF(AND($W$9=1,Courses!T146&lt;0), "Row "&amp;Courses!$A146&amp;", "&amp;BK$9&amp;", "&amp;BK$10&amp;", "&amp;BK$11&amp;"; ","")</f>
        <v/>
      </c>
      <c r="BL152" t="str">
        <f>IF(AND($W$9=1,Courses!U146&lt;0), "Row "&amp;Courses!$A146&amp;", "&amp;BL$9&amp;", "&amp;BL$10&amp;", "&amp;BL$11&amp;"; ","")</f>
        <v/>
      </c>
      <c r="BM152" s="2120" t="str">
        <f>IF(AND($W$9=1,Courses!V146&lt;0), "Row "&amp;Courses!$A146&amp;", "&amp;BM$9&amp;", "&amp;BM$10&amp;"; ","")</f>
        <v/>
      </c>
      <c r="BN152" t="str">
        <f>IF(AND($W$9=1,Courses!W146&lt;0), "Row "&amp;Courses!$A146&amp;", "&amp;BN$9&amp;", "&amp;BN$10&amp;", "&amp;BN$11&amp;"; ","")</f>
        <v/>
      </c>
      <c r="BO152" t="str">
        <f>IF(AND($W$9=1,Courses!X146&lt;0), "Row "&amp;Courses!$A146&amp;", "&amp;BO$9&amp;", "&amp;BO$10&amp;", "&amp;BO$11&amp;"; ","")</f>
        <v/>
      </c>
      <c r="BP152" t="str">
        <f>IF(AND($W$9=1,Courses!Y146&lt;0), "Row "&amp;Courses!$A146&amp;", "&amp;BP$9&amp;", "&amp;BP$10&amp;", "&amp;BP$11&amp;"; ","")</f>
        <v/>
      </c>
      <c r="BQ152" t="str">
        <f>IF(AND($W$9=1,Courses!Z146&lt;0), "Row "&amp;Courses!$A146&amp;", "&amp;BQ$9&amp;", "&amp;BQ$10&amp;", "&amp;BQ$11&amp;"; ","")</f>
        <v/>
      </c>
      <c r="BR152" s="2120" t="str">
        <f>IF(AND($W$9=1,Courses!AA146&lt;0), "Row "&amp;Courses!$A146&amp;", "&amp;BR$9&amp;", "&amp;BR$10&amp;"; ","")</f>
        <v/>
      </c>
      <c r="BT152" s="3">
        <v>133</v>
      </c>
      <c r="BU152" s="40">
        <f>IF(AND($X$9=1,Courses!B146="",Courses!F146="",Courses!H146="",Courses!J146="",Courses!K146="",Courses!L146="",Courses!M146=0,Courses!N146=0,Courses!O146=0,Courses!P146=0,Courses!Q146=0,Courses!R146=0,Courses!S146=0,Courses!T146=0,Courses!U146=0,Courses!V146=0,Courses!W146=0,Courses!X146=0,Courses!Y146=0,Courses!Z146=0,Courses!AA146=0),0,1)</f>
        <v>0</v>
      </c>
      <c r="BV152" s="40">
        <f>IF(AND(BU152=0,SUM(BU153:$BU$219)&gt;0),1,0)</f>
        <v>0</v>
      </c>
      <c r="BW152" s="1592" t="str">
        <f>IF(BV152=1,"Row "&amp;Courses!A146&amp;"; ","")</f>
        <v/>
      </c>
      <c r="BX152" s="17"/>
      <c r="BZ152" s="1592" t="str">
        <f>IF(AND($Y$9=1,Courses!B146&lt;&gt;"",SUM(Courses!M146:AA146)=0),"Row "&amp;Courses!A146&amp;"; ","")</f>
        <v/>
      </c>
      <c r="CA152" s="17"/>
      <c r="CC152" s="1592" t="str">
        <f>IF(AND($Z$9=1,Courses!AD146=1,(LEN(Courses!AB146)&gt;200)),"Row "&amp;Courses!A146&amp;"; ","")</f>
        <v/>
      </c>
      <c r="CE152" s="131"/>
      <c r="CG152" s="1593" t="str">
        <f>IF(AND($AD$9=1,Courses!E146&lt;&gt;"",Courses!F146&lt;&gt;"",Courses!F146=0,SUM(Courses!H146,Courses!J146)=1),"Row "&amp;Courses!A146&amp;", "&amp;Courses!$F$10&amp;"; ","")</f>
        <v/>
      </c>
      <c r="CH152" t="str">
        <f>IF(AND($AD$9=1,Courses!G146&lt;&gt;"",Courses!H146&lt;&gt;"",Courses!H146=0,SUM(Courses!J146,Courses!F146)=1),"Row "&amp;Courses!A146&amp;", "&amp;Courses!$H$10&amp;"; ","")</f>
        <v/>
      </c>
      <c r="CI152" s="183" t="str">
        <f>IF(AND($AD$9=1,Courses!I146&lt;&gt;"",Courses!J146&lt;&gt;"",Courses!J146=0, SUM(Courses!H146,Courses!F146)=1),"Row "&amp;Courses!A146&amp;", "&amp;Courses!$J$10&amp;"; ","")</f>
        <v/>
      </c>
      <c r="CJ152" s="180"/>
      <c r="CK152" s="181"/>
      <c r="CL152" s="1592" t="str">
        <f>IF(AND(Courses!B146&lt;&gt;"",ISNA(VLOOKUP(Courses!C146,CourseInfo,2,FALSE))=FALSE,COUNTIF(Dummy,Courses!C146)&lt;&gt;1),VLOOKUP(Courses!C146,CourseInfo,6,FALSE),"")</f>
        <v/>
      </c>
      <c r="CM152" s="1592" t="str">
        <f>IF(AND($AE$9=1,Courses!B146&lt;&gt;"",'Courses Valid'!AG152="",COUNTIF(Dummy,Courses!C146)&lt;&gt;1),IF(Courses!K146&lt;&gt;'Courses Valid'!CL152,"Row "&amp;Courses!A146&amp;", Level on LARS is "&amp;'Courses Valid'!CL152&amp;"; ",""),"")</f>
        <v/>
      </c>
      <c r="CN152" s="131"/>
    </row>
    <row r="153" spans="3:92" x14ac:dyDescent="0.35">
      <c r="C153" s="1591">
        <f t="shared" si="4"/>
        <v>0</v>
      </c>
      <c r="D153" s="41"/>
      <c r="E153" s="41"/>
      <c r="F153" s="118"/>
      <c r="G153" s="1592" t="str">
        <f>IF(SUMPRODUCT(--(CourseAims=Courses!$C147))=1,"",IF(AND($N$9=1,Courses!$C147&lt;&gt;""),"Row "&amp;Courses!A147&amp;" (invalid); ",""))</f>
        <v/>
      </c>
      <c r="H153" s="1592" t="str">
        <f>IF(AND($O$9=1,Courses!B147="",OR(Courses!F147&lt;&gt;"",Courses!H147&lt;&gt;"",Courses!J147&lt;&gt;"",Courses!K147&lt;&gt;"",Courses!L147&lt;&gt;"",Courses!M147&lt;&gt;0,Courses!N147&lt;&gt;0,Courses!O147&lt;&gt;0,Courses!P147&lt;&gt;0,Courses!Q147&lt;&gt;0,Courses!R147&lt;&gt;0,Courses!S147&lt;&gt;0,Courses!T147&lt;&gt;0,Courses!U147&lt;&gt;0,Courses!V147&lt;&gt;0,Courses!W147&lt;&gt;0,Courses!X147&lt;&gt;0,Courses!Y147&lt;&gt;0,Courses!Z147&lt;&gt;0,Courses!AA147&lt;&gt;0)),"Row "&amp;Courses!A147&amp;" (none); ","")</f>
        <v/>
      </c>
      <c r="I153" s="1596"/>
      <c r="K153" s="1592" t="str">
        <f>Courses!B147&amp;Courses!K147&amp;Courses!L147</f>
        <v/>
      </c>
      <c r="L153" s="1592" t="str">
        <f>IF(AND($P$9=1,Courses!$B147&lt;&gt;"",COUNTIF(Dummy,Courses!$C147)&lt;&gt;1),IF(SUMPRODUCT(--($K$20:$K$219=$K153))&gt;1,"Row "&amp;Courses!$A147&amp;"; ",""),"")</f>
        <v/>
      </c>
      <c r="N153" s="118"/>
      <c r="O153" s="1593" t="str">
        <f>IF(AND($Q$9=1,Courses!E147&lt;&gt;"",Courses!F147=""),"Row "&amp;Courses!A147&amp;", "&amp;Courses!$E$10&amp;"; ","")</f>
        <v/>
      </c>
      <c r="P153" t="str">
        <f>IF(AND($Q$9=1,Courses!G147&lt;&gt;"",Courses!H147=""),"Row "&amp;Courses!A147&amp;", "&amp;Courses!$G$10&amp;"; ","")</f>
        <v/>
      </c>
      <c r="Q153" s="183" t="str">
        <f>IF(AND($Q$9=1,Courses!I147&lt;&gt;"",Courses!J147=""),"Row "&amp;Courses!A147&amp;", "&amp;Courses!$I$10&amp;"; ","")</f>
        <v/>
      </c>
      <c r="T153" s="118"/>
      <c r="U153" s="1593" t="str">
        <f>IF(AND($R$9=1,Courses!B147&lt;&gt;"",Courses!E147&lt;&gt;"",Courses!G147="",Courses!I147="",Courses!F147&lt;&gt;1),"Row "&amp;Courses!A147&amp;"; ","")</f>
        <v/>
      </c>
      <c r="V153" t="str">
        <f>IF(AND($R$9=1,Courses!B147&lt;&gt;"",Courses!I147="",Courses!F147&lt;&gt;"",Courses!G147&lt;&gt;"",Courses!H147&lt;&gt;""),IF(OR((Courses!F147+Courses!H147)&lt;&gt;1),"Row "&amp;Courses!A147&amp;"; ",""),"")</f>
        <v/>
      </c>
      <c r="W153" s="183" t="str">
        <f>IF(AND($R$9=1,Courses!B147&lt;&gt;"",Courses!I147&lt;&gt;"",Courses!J147&lt;&gt;"",Courses!H147&lt;&gt;"",Courses!G147&lt;&gt;"",Courses!F147&lt;&gt;""),IF(OR((Courses!F147+Courses!H147+Courses!J147)&lt;&gt;1),"Row "&amp;Courses!A147&amp;"; ",""),"")</f>
        <v/>
      </c>
      <c r="Y153" s="1592" t="str">
        <f>IF(AND($R$9=1,Courses!E147&lt;&gt;"",U153="",V153="",W153="",SUM(Courses!F147,Courses!H147,Courses!J147)&lt;&gt;1),"Row "&amp;Courses!A147&amp;"; ","")</f>
        <v/>
      </c>
      <c r="AA153" s="118"/>
      <c r="AB153" s="1593" t="str">
        <f>IF(AND($S$9=1,Courses!B147&lt;&gt;"",Courses!E147&lt;&gt;"",Courses!F147&lt;&gt;""),IF((TRUNC(Courses!F147*100)&lt;&gt;Courses!F147*100),"Row "&amp;Courses!A147&amp;", "&amp;Courses!$F$10&amp;"; ",""),"")</f>
        <v/>
      </c>
      <c r="AC153" t="str">
        <f>IF(AND($S$9=1,Courses!B147&lt;&gt;"",Courses!G147&lt;&gt;"",Courses!H147&lt;&gt;""),IF((TRUNC(Courses!H147*100)&lt;&gt;Courses!H147*100),"Row "&amp;Courses!A147&amp;", "&amp;Courses!$H$10&amp;"; ",""),"")</f>
        <v/>
      </c>
      <c r="AD153" s="183" t="str">
        <f>IF(AND($S$9=1,Courses!B147&lt;&gt;"",Courses!I147&lt;&gt;"",Courses!J147&lt;&gt;""),IF((TRUNC(Courses!J147*100)&lt;&gt;Courses!J147*100),"Row "&amp;Courses!A147&amp;", "&amp;Courses!$J$10&amp;"; ",""),"")</f>
        <v/>
      </c>
      <c r="AF153" s="118"/>
      <c r="AG153" s="1593" t="str">
        <f>IF(AND($T$9=1,G153="",Courses!B147&lt;&gt;"",Courses!K147&lt;&gt;$B$9,Courses!K147&lt;&gt;$B$10,Courses!K147&lt;&gt;$B$11,Courses!K147&lt;&gt;$B$12,Courses!K147&lt;&gt;$B$13,Courses!K147&lt;&gt;$B$14),"Row "&amp;Courses!A147&amp;"; ","")</f>
        <v/>
      </c>
      <c r="AH153" s="1592" t="str">
        <f>IF(AND($U$9=1,G153="",Courses!B147&lt;&gt;"",Courses!L147&lt;&gt;"Standard",Courses!L147&lt;&gt;"Long"),"Row "&amp;Courses!A147&amp;"; ","")</f>
        <v/>
      </c>
      <c r="AJ153" s="118"/>
      <c r="AK153" s="3">
        <v>134</v>
      </c>
      <c r="AL153" s="1593" t="str">
        <f>IF(AND($V$9=1,(TRUNC(Courses!M147)&lt;&gt;Courses!M147)), "Row "&amp;Courses!$A147&amp;", "&amp;AL$9&amp;", "&amp;AL$10&amp;", "&amp;AL$11&amp;"; ","")</f>
        <v/>
      </c>
      <c r="AM153" t="str">
        <f>IF(AND($V$9=1,(TRUNC(Courses!N147)&lt;&gt;Courses!N147)), "Row "&amp;Courses!$A147&amp;", "&amp;AM$9&amp;", "&amp;AM$10&amp;", "&amp;AM$11&amp;"; ","")</f>
        <v/>
      </c>
      <c r="AN153" t="str">
        <f>IF(AND($V$9=1,(TRUNC(Courses!O147)&lt;&gt;Courses!O147)), "Row "&amp;Courses!$A147&amp;", "&amp;AN$9&amp;", "&amp;AN$10&amp;", "&amp;AN$11&amp;"; ","")</f>
        <v/>
      </c>
      <c r="AO153" t="str">
        <f>IF(AND($V$9=1,(TRUNC(Courses!P147)&lt;&gt;Courses!P147)), "Row "&amp;Courses!$A147&amp;", "&amp;AO$9&amp;", "&amp;AO$10&amp;", "&amp;AO$11&amp;"; ","")</f>
        <v/>
      </c>
      <c r="AP153" s="2120" t="str">
        <f>IF(AND($V$9=1,(TRUNC(Courses!Q147)&lt;&gt;Courses!Q147)), "Row "&amp;Courses!$A147&amp;", "&amp;AP$9&amp;", "&amp;AP$10&amp;"; ","")</f>
        <v/>
      </c>
      <c r="AQ153" s="1593" t="str">
        <f>IF(AND($V$9=1,(TRUNC(Courses!R147)&lt;&gt;Courses!R147)), "Row "&amp;Courses!$A147&amp;", "&amp;AQ$9&amp;", "&amp;AQ$10&amp;", "&amp;AQ$11&amp;"; ","")</f>
        <v/>
      </c>
      <c r="AR153" t="str">
        <f>IF(AND($V$9=1,(TRUNC(Courses!S147)&lt;&gt;Courses!S147)), "Row "&amp;Courses!$A147&amp;", "&amp;AR$9&amp;", "&amp;AR$10&amp;", "&amp;AR$11&amp;"; ","")</f>
        <v/>
      </c>
      <c r="AS153" t="str">
        <f>IF(AND($V$9=1,(TRUNC(Courses!T147)&lt;&gt;Courses!T147)), "Row "&amp;Courses!$A147&amp;", "&amp;AS$9&amp;", "&amp;AS$10&amp;", "&amp;AS$11&amp;"; ","")</f>
        <v/>
      </c>
      <c r="AT153" t="str">
        <f>IF(AND($V$9=1,(TRUNC(Courses!U147)&lt;&gt;Courses!U147)), "Row "&amp;Courses!$A147&amp;", "&amp;AT$9&amp;", "&amp;AT$10&amp;", "&amp;AT$11&amp;"; ","")</f>
        <v/>
      </c>
      <c r="AU153" s="2120" t="str">
        <f>IF(AND($V$9=1,(TRUNC(Courses!V147)&lt;&gt;Courses!V147)), "Row "&amp;Courses!$A147&amp;", "&amp;AU$9&amp;", "&amp;AU$10&amp;"; ","")</f>
        <v/>
      </c>
      <c r="AV153" s="1593" t="str">
        <f>IF(AND($V$9=1,(TRUNC(Courses!W147)&lt;&gt;Courses!W147)), "Row "&amp;Courses!$A147&amp;", "&amp;AV$9&amp;", "&amp;AV$10&amp;", "&amp;AV$11&amp;"; ","")</f>
        <v/>
      </c>
      <c r="AW153" t="str">
        <f>IF(AND($V$9=1,(TRUNC(Courses!X147)&lt;&gt;Courses!X147)), "Row "&amp;Courses!$A147&amp;", "&amp;AW$9&amp;", "&amp;AW$10&amp;", "&amp;AW$11&amp;"; ","")</f>
        <v/>
      </c>
      <c r="AX153" t="str">
        <f>IF(AND($V$9=1,(TRUNC(Courses!Y147)&lt;&gt;Courses!Y147)), "Row "&amp;Courses!$A147&amp;", "&amp;AX$9&amp;", "&amp;AX$10&amp;", "&amp;AX$11&amp;"; ","")</f>
        <v/>
      </c>
      <c r="AY153" t="str">
        <f>IF(AND($V$9=1,(TRUNC(Courses!Z147)&lt;&gt;Courses!Z147)), "Row "&amp;Courses!$A147&amp;", "&amp;AY$9&amp;", "&amp;AY$10&amp;", "&amp;AY$11&amp;"; ","")</f>
        <v/>
      </c>
      <c r="AZ153" s="2120" t="str">
        <f>IF(AND($V$9=1,(TRUNC(Courses!AA147)&lt;&gt;Courses!AA147)), "Row "&amp;Courses!$A147&amp;", "&amp;AZ$9&amp;", "&amp;AZ$10&amp;"; ","")</f>
        <v/>
      </c>
      <c r="BB153" s="118"/>
      <c r="BC153" s="3">
        <v>134</v>
      </c>
      <c r="BD153" s="1593" t="str">
        <f>IF(AND($W$9=1,Courses!M147&lt;0), "Row "&amp;Courses!$A147&amp;", "&amp;BD$9&amp;", "&amp;BD$10&amp;", "&amp;BD$11&amp;"; ","")</f>
        <v/>
      </c>
      <c r="BE153" t="str">
        <f>IF(AND($W$9=1,Courses!N147&lt;0), "Row "&amp;Courses!$A147&amp;", "&amp;BE$9&amp;", "&amp;BE$10&amp;", "&amp;BE$11&amp;"; ","")</f>
        <v/>
      </c>
      <c r="BF153" t="str">
        <f>IF(AND($W$9=1,Courses!O147&lt;0), "Row "&amp;Courses!$A147&amp;", "&amp;BF$9&amp;", "&amp;BF$10&amp;", "&amp;BF$11&amp;"; ","")</f>
        <v/>
      </c>
      <c r="BG153" t="str">
        <f>IF(AND($W$9=1,Courses!P147&lt;0), "Row "&amp;Courses!$A147&amp;", "&amp;BG$9&amp;", "&amp;BG$10&amp;", "&amp;BG$11&amp;"; ","")</f>
        <v/>
      </c>
      <c r="BH153" s="2120" t="str">
        <f>IF(AND($W$9=1,Courses!Q147&lt;0), "Row "&amp;Courses!$A147&amp;", "&amp;BH$9&amp;", "&amp;BH$10&amp;"; ","")</f>
        <v/>
      </c>
      <c r="BI153" s="1593" t="str">
        <f>IF(AND($W$9=1,Courses!R147&lt;0), "Row "&amp;Courses!$A147&amp;", "&amp;BI$9&amp;", "&amp;BI$10&amp;", "&amp;BI$11&amp;"; ","")</f>
        <v/>
      </c>
      <c r="BJ153" t="str">
        <f>IF(AND($W$9=1,Courses!S147&lt;0), "Row "&amp;Courses!$A147&amp;", "&amp;BJ$9&amp;", "&amp;BJ$10&amp;", "&amp;BJ$11&amp;"; ","")</f>
        <v/>
      </c>
      <c r="BK153" t="str">
        <f>IF(AND($W$9=1,Courses!T147&lt;0), "Row "&amp;Courses!$A147&amp;", "&amp;BK$9&amp;", "&amp;BK$10&amp;", "&amp;BK$11&amp;"; ","")</f>
        <v/>
      </c>
      <c r="BL153" t="str">
        <f>IF(AND($W$9=1,Courses!U147&lt;0), "Row "&amp;Courses!$A147&amp;", "&amp;BL$9&amp;", "&amp;BL$10&amp;", "&amp;BL$11&amp;"; ","")</f>
        <v/>
      </c>
      <c r="BM153" s="2120" t="str">
        <f>IF(AND($W$9=1,Courses!V147&lt;0), "Row "&amp;Courses!$A147&amp;", "&amp;BM$9&amp;", "&amp;BM$10&amp;"; ","")</f>
        <v/>
      </c>
      <c r="BN153" t="str">
        <f>IF(AND($W$9=1,Courses!W147&lt;0), "Row "&amp;Courses!$A147&amp;", "&amp;BN$9&amp;", "&amp;BN$10&amp;", "&amp;BN$11&amp;"; ","")</f>
        <v/>
      </c>
      <c r="BO153" t="str">
        <f>IF(AND($W$9=1,Courses!X147&lt;0), "Row "&amp;Courses!$A147&amp;", "&amp;BO$9&amp;", "&amp;BO$10&amp;", "&amp;BO$11&amp;"; ","")</f>
        <v/>
      </c>
      <c r="BP153" t="str">
        <f>IF(AND($W$9=1,Courses!Y147&lt;0), "Row "&amp;Courses!$A147&amp;", "&amp;BP$9&amp;", "&amp;BP$10&amp;", "&amp;BP$11&amp;"; ","")</f>
        <v/>
      </c>
      <c r="BQ153" t="str">
        <f>IF(AND($W$9=1,Courses!Z147&lt;0), "Row "&amp;Courses!$A147&amp;", "&amp;BQ$9&amp;", "&amp;BQ$10&amp;", "&amp;BQ$11&amp;"; ","")</f>
        <v/>
      </c>
      <c r="BR153" s="2120" t="str">
        <f>IF(AND($W$9=1,Courses!AA147&lt;0), "Row "&amp;Courses!$A147&amp;", "&amp;BR$9&amp;", "&amp;BR$10&amp;"; ","")</f>
        <v/>
      </c>
      <c r="BT153" s="3">
        <v>134</v>
      </c>
      <c r="BU153" s="40">
        <f>IF(AND($X$9=1,Courses!B147="",Courses!F147="",Courses!H147="",Courses!J147="",Courses!K147="",Courses!L147="",Courses!M147=0,Courses!N147=0,Courses!O147=0,Courses!P147=0,Courses!Q147=0,Courses!R147=0,Courses!S147=0,Courses!T147=0,Courses!U147=0,Courses!V147=0,Courses!W147=0,Courses!X147=0,Courses!Y147=0,Courses!Z147=0,Courses!AA147=0),0,1)</f>
        <v>0</v>
      </c>
      <c r="BV153" s="40">
        <f>IF(AND(BU153=0,SUM(BU154:$BU$219)&gt;0),1,0)</f>
        <v>0</v>
      </c>
      <c r="BW153" s="1592" t="str">
        <f>IF(BV153=1,"Row "&amp;Courses!A147&amp;"; ","")</f>
        <v/>
      </c>
      <c r="BX153" s="17"/>
      <c r="BZ153" s="1592" t="str">
        <f>IF(AND($Y$9=1,Courses!B147&lt;&gt;"",SUM(Courses!M147:AA147)=0),"Row "&amp;Courses!A147&amp;"; ","")</f>
        <v/>
      </c>
      <c r="CA153" s="17"/>
      <c r="CC153" s="1592" t="str">
        <f>IF(AND($Z$9=1,Courses!AD147=1,(LEN(Courses!AB147)&gt;200)),"Row "&amp;Courses!A147&amp;"; ","")</f>
        <v/>
      </c>
      <c r="CE153" s="131"/>
      <c r="CG153" s="1593" t="str">
        <f>IF(AND($AD$9=1,Courses!E147&lt;&gt;"",Courses!F147&lt;&gt;"",Courses!F147=0,SUM(Courses!H147,Courses!J147)=1),"Row "&amp;Courses!A147&amp;", "&amp;Courses!$F$10&amp;"; ","")</f>
        <v/>
      </c>
      <c r="CH153" t="str">
        <f>IF(AND($AD$9=1,Courses!G147&lt;&gt;"",Courses!H147&lt;&gt;"",Courses!H147=0,SUM(Courses!J147,Courses!F147)=1),"Row "&amp;Courses!A147&amp;", "&amp;Courses!$H$10&amp;"; ","")</f>
        <v/>
      </c>
      <c r="CI153" s="183" t="str">
        <f>IF(AND($AD$9=1,Courses!I147&lt;&gt;"",Courses!J147&lt;&gt;"",Courses!J147=0, SUM(Courses!H147,Courses!F147)=1),"Row "&amp;Courses!A147&amp;", "&amp;Courses!$J$10&amp;"; ","")</f>
        <v/>
      </c>
      <c r="CJ153" s="180"/>
      <c r="CK153" s="181"/>
      <c r="CL153" s="1592" t="str">
        <f>IF(AND(Courses!B147&lt;&gt;"",ISNA(VLOOKUP(Courses!C147,CourseInfo,2,FALSE))=FALSE,COUNTIF(Dummy,Courses!C147)&lt;&gt;1),VLOOKUP(Courses!C147,CourseInfo,6,FALSE),"")</f>
        <v/>
      </c>
      <c r="CM153" s="1592" t="str">
        <f>IF(AND($AE$9=1,Courses!B147&lt;&gt;"",'Courses Valid'!AG153="",COUNTIF(Dummy,Courses!C147)&lt;&gt;1),IF(Courses!K147&lt;&gt;'Courses Valid'!CL153,"Row "&amp;Courses!A147&amp;", Level on LARS is "&amp;'Courses Valid'!CL153&amp;"; ",""),"")</f>
        <v/>
      </c>
      <c r="CN153" s="131"/>
    </row>
    <row r="154" spans="3:92" x14ac:dyDescent="0.35">
      <c r="C154" s="1591">
        <f t="shared" si="4"/>
        <v>0</v>
      </c>
      <c r="D154" s="41"/>
      <c r="E154" s="41"/>
      <c r="F154" s="118"/>
      <c r="G154" s="1592" t="str">
        <f>IF(SUMPRODUCT(--(CourseAims=Courses!$C148))=1,"",IF(AND($N$9=1,Courses!$C148&lt;&gt;""),"Row "&amp;Courses!A148&amp;" (invalid); ",""))</f>
        <v/>
      </c>
      <c r="H154" s="1592" t="str">
        <f>IF(AND($O$9=1,Courses!B148="",OR(Courses!F148&lt;&gt;"",Courses!H148&lt;&gt;"",Courses!J148&lt;&gt;"",Courses!K148&lt;&gt;"",Courses!L148&lt;&gt;"",Courses!M148&lt;&gt;0,Courses!N148&lt;&gt;0,Courses!O148&lt;&gt;0,Courses!P148&lt;&gt;0,Courses!Q148&lt;&gt;0,Courses!R148&lt;&gt;0,Courses!S148&lt;&gt;0,Courses!T148&lt;&gt;0,Courses!U148&lt;&gt;0,Courses!V148&lt;&gt;0,Courses!W148&lt;&gt;0,Courses!X148&lt;&gt;0,Courses!Y148&lt;&gt;0,Courses!Z148&lt;&gt;0,Courses!AA148&lt;&gt;0)),"Row "&amp;Courses!A148&amp;" (none); ","")</f>
        <v/>
      </c>
      <c r="I154" s="1596"/>
      <c r="K154" s="1592" t="str">
        <f>Courses!B148&amp;Courses!K148&amp;Courses!L148</f>
        <v/>
      </c>
      <c r="L154" s="1592" t="str">
        <f>IF(AND($P$9=1,Courses!$B148&lt;&gt;"",COUNTIF(Dummy,Courses!$C148)&lt;&gt;1),IF(SUMPRODUCT(--($K$20:$K$219=$K154))&gt;1,"Row "&amp;Courses!$A148&amp;"; ",""),"")</f>
        <v/>
      </c>
      <c r="N154" s="118"/>
      <c r="O154" s="1593" t="str">
        <f>IF(AND($Q$9=1,Courses!E148&lt;&gt;"",Courses!F148=""),"Row "&amp;Courses!A148&amp;", "&amp;Courses!$E$10&amp;"; ","")</f>
        <v/>
      </c>
      <c r="P154" t="str">
        <f>IF(AND($Q$9=1,Courses!G148&lt;&gt;"",Courses!H148=""),"Row "&amp;Courses!A148&amp;", "&amp;Courses!$G$10&amp;"; ","")</f>
        <v/>
      </c>
      <c r="Q154" s="183" t="str">
        <f>IF(AND($Q$9=1,Courses!I148&lt;&gt;"",Courses!J148=""),"Row "&amp;Courses!A148&amp;", "&amp;Courses!$I$10&amp;"; ","")</f>
        <v/>
      </c>
      <c r="T154" s="118"/>
      <c r="U154" s="1593" t="str">
        <f>IF(AND($R$9=1,Courses!B148&lt;&gt;"",Courses!E148&lt;&gt;"",Courses!G148="",Courses!I148="",Courses!F148&lt;&gt;1),"Row "&amp;Courses!A148&amp;"; ","")</f>
        <v/>
      </c>
      <c r="V154" t="str">
        <f>IF(AND($R$9=1,Courses!B148&lt;&gt;"",Courses!I148="",Courses!F148&lt;&gt;"",Courses!G148&lt;&gt;"",Courses!H148&lt;&gt;""),IF(OR((Courses!F148+Courses!H148)&lt;&gt;1),"Row "&amp;Courses!A148&amp;"; ",""),"")</f>
        <v/>
      </c>
      <c r="W154" s="183" t="str">
        <f>IF(AND($R$9=1,Courses!B148&lt;&gt;"",Courses!I148&lt;&gt;"",Courses!J148&lt;&gt;"",Courses!H148&lt;&gt;"",Courses!G148&lt;&gt;"",Courses!F148&lt;&gt;""),IF(OR((Courses!F148+Courses!H148+Courses!J148)&lt;&gt;1),"Row "&amp;Courses!A148&amp;"; ",""),"")</f>
        <v/>
      </c>
      <c r="Y154" s="1592" t="str">
        <f>IF(AND($R$9=1,Courses!E148&lt;&gt;"",U154="",V154="",W154="",SUM(Courses!F148,Courses!H148,Courses!J148)&lt;&gt;1),"Row "&amp;Courses!A148&amp;"; ","")</f>
        <v/>
      </c>
      <c r="AA154" s="118"/>
      <c r="AB154" s="1593" t="str">
        <f>IF(AND($S$9=1,Courses!B148&lt;&gt;"",Courses!E148&lt;&gt;"",Courses!F148&lt;&gt;""),IF((TRUNC(Courses!F148*100)&lt;&gt;Courses!F148*100),"Row "&amp;Courses!A148&amp;", "&amp;Courses!$F$10&amp;"; ",""),"")</f>
        <v/>
      </c>
      <c r="AC154" t="str">
        <f>IF(AND($S$9=1,Courses!B148&lt;&gt;"",Courses!G148&lt;&gt;"",Courses!H148&lt;&gt;""),IF((TRUNC(Courses!H148*100)&lt;&gt;Courses!H148*100),"Row "&amp;Courses!A148&amp;", "&amp;Courses!$H$10&amp;"; ",""),"")</f>
        <v/>
      </c>
      <c r="AD154" s="183" t="str">
        <f>IF(AND($S$9=1,Courses!B148&lt;&gt;"",Courses!I148&lt;&gt;"",Courses!J148&lt;&gt;""),IF((TRUNC(Courses!J148*100)&lt;&gt;Courses!J148*100),"Row "&amp;Courses!A148&amp;", "&amp;Courses!$J$10&amp;"; ",""),"")</f>
        <v/>
      </c>
      <c r="AF154" s="118"/>
      <c r="AG154" s="1593" t="str">
        <f>IF(AND($T$9=1,G154="",Courses!B148&lt;&gt;"",Courses!K148&lt;&gt;$B$9,Courses!K148&lt;&gt;$B$10,Courses!K148&lt;&gt;$B$11,Courses!K148&lt;&gt;$B$12,Courses!K148&lt;&gt;$B$13,Courses!K148&lt;&gt;$B$14),"Row "&amp;Courses!A148&amp;"; ","")</f>
        <v/>
      </c>
      <c r="AH154" s="1592" t="str">
        <f>IF(AND($U$9=1,G154="",Courses!B148&lt;&gt;"",Courses!L148&lt;&gt;"Standard",Courses!L148&lt;&gt;"Long"),"Row "&amp;Courses!A148&amp;"; ","")</f>
        <v/>
      </c>
      <c r="AJ154" s="118"/>
      <c r="AK154" s="3">
        <v>135</v>
      </c>
      <c r="AL154" s="1593" t="str">
        <f>IF(AND($V$9=1,(TRUNC(Courses!M148)&lt;&gt;Courses!M148)), "Row "&amp;Courses!$A148&amp;", "&amp;AL$9&amp;", "&amp;AL$10&amp;", "&amp;AL$11&amp;"; ","")</f>
        <v/>
      </c>
      <c r="AM154" t="str">
        <f>IF(AND($V$9=1,(TRUNC(Courses!N148)&lt;&gt;Courses!N148)), "Row "&amp;Courses!$A148&amp;", "&amp;AM$9&amp;", "&amp;AM$10&amp;", "&amp;AM$11&amp;"; ","")</f>
        <v/>
      </c>
      <c r="AN154" t="str">
        <f>IF(AND($V$9=1,(TRUNC(Courses!O148)&lt;&gt;Courses!O148)), "Row "&amp;Courses!$A148&amp;", "&amp;AN$9&amp;", "&amp;AN$10&amp;", "&amp;AN$11&amp;"; ","")</f>
        <v/>
      </c>
      <c r="AO154" t="str">
        <f>IF(AND($V$9=1,(TRUNC(Courses!P148)&lt;&gt;Courses!P148)), "Row "&amp;Courses!$A148&amp;", "&amp;AO$9&amp;", "&amp;AO$10&amp;", "&amp;AO$11&amp;"; ","")</f>
        <v/>
      </c>
      <c r="AP154" s="2120" t="str">
        <f>IF(AND($V$9=1,(TRUNC(Courses!Q148)&lt;&gt;Courses!Q148)), "Row "&amp;Courses!$A148&amp;", "&amp;AP$9&amp;", "&amp;AP$10&amp;"; ","")</f>
        <v/>
      </c>
      <c r="AQ154" s="1593" t="str">
        <f>IF(AND($V$9=1,(TRUNC(Courses!R148)&lt;&gt;Courses!R148)), "Row "&amp;Courses!$A148&amp;", "&amp;AQ$9&amp;", "&amp;AQ$10&amp;", "&amp;AQ$11&amp;"; ","")</f>
        <v/>
      </c>
      <c r="AR154" t="str">
        <f>IF(AND($V$9=1,(TRUNC(Courses!S148)&lt;&gt;Courses!S148)), "Row "&amp;Courses!$A148&amp;", "&amp;AR$9&amp;", "&amp;AR$10&amp;", "&amp;AR$11&amp;"; ","")</f>
        <v/>
      </c>
      <c r="AS154" t="str">
        <f>IF(AND($V$9=1,(TRUNC(Courses!T148)&lt;&gt;Courses!T148)), "Row "&amp;Courses!$A148&amp;", "&amp;AS$9&amp;", "&amp;AS$10&amp;", "&amp;AS$11&amp;"; ","")</f>
        <v/>
      </c>
      <c r="AT154" t="str">
        <f>IF(AND($V$9=1,(TRUNC(Courses!U148)&lt;&gt;Courses!U148)), "Row "&amp;Courses!$A148&amp;", "&amp;AT$9&amp;", "&amp;AT$10&amp;", "&amp;AT$11&amp;"; ","")</f>
        <v/>
      </c>
      <c r="AU154" s="2120" t="str">
        <f>IF(AND($V$9=1,(TRUNC(Courses!V148)&lt;&gt;Courses!V148)), "Row "&amp;Courses!$A148&amp;", "&amp;AU$9&amp;", "&amp;AU$10&amp;"; ","")</f>
        <v/>
      </c>
      <c r="AV154" s="1593" t="str">
        <f>IF(AND($V$9=1,(TRUNC(Courses!W148)&lt;&gt;Courses!W148)), "Row "&amp;Courses!$A148&amp;", "&amp;AV$9&amp;", "&amp;AV$10&amp;", "&amp;AV$11&amp;"; ","")</f>
        <v/>
      </c>
      <c r="AW154" t="str">
        <f>IF(AND($V$9=1,(TRUNC(Courses!X148)&lt;&gt;Courses!X148)), "Row "&amp;Courses!$A148&amp;", "&amp;AW$9&amp;", "&amp;AW$10&amp;", "&amp;AW$11&amp;"; ","")</f>
        <v/>
      </c>
      <c r="AX154" t="str">
        <f>IF(AND($V$9=1,(TRUNC(Courses!Y148)&lt;&gt;Courses!Y148)), "Row "&amp;Courses!$A148&amp;", "&amp;AX$9&amp;", "&amp;AX$10&amp;", "&amp;AX$11&amp;"; ","")</f>
        <v/>
      </c>
      <c r="AY154" t="str">
        <f>IF(AND($V$9=1,(TRUNC(Courses!Z148)&lt;&gt;Courses!Z148)), "Row "&amp;Courses!$A148&amp;", "&amp;AY$9&amp;", "&amp;AY$10&amp;", "&amp;AY$11&amp;"; ","")</f>
        <v/>
      </c>
      <c r="AZ154" s="2120" t="str">
        <f>IF(AND($V$9=1,(TRUNC(Courses!AA148)&lt;&gt;Courses!AA148)), "Row "&amp;Courses!$A148&amp;", "&amp;AZ$9&amp;", "&amp;AZ$10&amp;"; ","")</f>
        <v/>
      </c>
      <c r="BB154" s="118"/>
      <c r="BC154" s="3">
        <v>135</v>
      </c>
      <c r="BD154" s="1593" t="str">
        <f>IF(AND($W$9=1,Courses!M148&lt;0), "Row "&amp;Courses!$A148&amp;", "&amp;BD$9&amp;", "&amp;BD$10&amp;", "&amp;BD$11&amp;"; ","")</f>
        <v/>
      </c>
      <c r="BE154" t="str">
        <f>IF(AND($W$9=1,Courses!N148&lt;0), "Row "&amp;Courses!$A148&amp;", "&amp;BE$9&amp;", "&amp;BE$10&amp;", "&amp;BE$11&amp;"; ","")</f>
        <v/>
      </c>
      <c r="BF154" t="str">
        <f>IF(AND($W$9=1,Courses!O148&lt;0), "Row "&amp;Courses!$A148&amp;", "&amp;BF$9&amp;", "&amp;BF$10&amp;", "&amp;BF$11&amp;"; ","")</f>
        <v/>
      </c>
      <c r="BG154" t="str">
        <f>IF(AND($W$9=1,Courses!P148&lt;0), "Row "&amp;Courses!$A148&amp;", "&amp;BG$9&amp;", "&amp;BG$10&amp;", "&amp;BG$11&amp;"; ","")</f>
        <v/>
      </c>
      <c r="BH154" s="2120" t="str">
        <f>IF(AND($W$9=1,Courses!Q148&lt;0), "Row "&amp;Courses!$A148&amp;", "&amp;BH$9&amp;", "&amp;BH$10&amp;"; ","")</f>
        <v/>
      </c>
      <c r="BI154" s="1593" t="str">
        <f>IF(AND($W$9=1,Courses!R148&lt;0), "Row "&amp;Courses!$A148&amp;", "&amp;BI$9&amp;", "&amp;BI$10&amp;", "&amp;BI$11&amp;"; ","")</f>
        <v/>
      </c>
      <c r="BJ154" t="str">
        <f>IF(AND($W$9=1,Courses!S148&lt;0), "Row "&amp;Courses!$A148&amp;", "&amp;BJ$9&amp;", "&amp;BJ$10&amp;", "&amp;BJ$11&amp;"; ","")</f>
        <v/>
      </c>
      <c r="BK154" t="str">
        <f>IF(AND($W$9=1,Courses!T148&lt;0), "Row "&amp;Courses!$A148&amp;", "&amp;BK$9&amp;", "&amp;BK$10&amp;", "&amp;BK$11&amp;"; ","")</f>
        <v/>
      </c>
      <c r="BL154" t="str">
        <f>IF(AND($W$9=1,Courses!U148&lt;0), "Row "&amp;Courses!$A148&amp;", "&amp;BL$9&amp;", "&amp;BL$10&amp;", "&amp;BL$11&amp;"; ","")</f>
        <v/>
      </c>
      <c r="BM154" s="2120" t="str">
        <f>IF(AND($W$9=1,Courses!V148&lt;0), "Row "&amp;Courses!$A148&amp;", "&amp;BM$9&amp;", "&amp;BM$10&amp;"; ","")</f>
        <v/>
      </c>
      <c r="BN154" t="str">
        <f>IF(AND($W$9=1,Courses!W148&lt;0), "Row "&amp;Courses!$A148&amp;", "&amp;BN$9&amp;", "&amp;BN$10&amp;", "&amp;BN$11&amp;"; ","")</f>
        <v/>
      </c>
      <c r="BO154" t="str">
        <f>IF(AND($W$9=1,Courses!X148&lt;0), "Row "&amp;Courses!$A148&amp;", "&amp;BO$9&amp;", "&amp;BO$10&amp;", "&amp;BO$11&amp;"; ","")</f>
        <v/>
      </c>
      <c r="BP154" t="str">
        <f>IF(AND($W$9=1,Courses!Y148&lt;0), "Row "&amp;Courses!$A148&amp;", "&amp;BP$9&amp;", "&amp;BP$10&amp;", "&amp;BP$11&amp;"; ","")</f>
        <v/>
      </c>
      <c r="BQ154" t="str">
        <f>IF(AND($W$9=1,Courses!Z148&lt;0), "Row "&amp;Courses!$A148&amp;", "&amp;BQ$9&amp;", "&amp;BQ$10&amp;", "&amp;BQ$11&amp;"; ","")</f>
        <v/>
      </c>
      <c r="BR154" s="2120" t="str">
        <f>IF(AND($W$9=1,Courses!AA148&lt;0), "Row "&amp;Courses!$A148&amp;", "&amp;BR$9&amp;", "&amp;BR$10&amp;"; ","")</f>
        <v/>
      </c>
      <c r="BT154" s="3">
        <v>135</v>
      </c>
      <c r="BU154" s="40">
        <f>IF(AND($X$9=1,Courses!B148="",Courses!F148="",Courses!H148="",Courses!J148="",Courses!K148="",Courses!L148="",Courses!M148=0,Courses!N148=0,Courses!O148=0,Courses!P148=0,Courses!Q148=0,Courses!R148=0,Courses!S148=0,Courses!T148=0,Courses!U148=0,Courses!V148=0,Courses!W148=0,Courses!X148=0,Courses!Y148=0,Courses!Z148=0,Courses!AA148=0),0,1)</f>
        <v>0</v>
      </c>
      <c r="BV154" s="40">
        <f>IF(AND(BU154=0,SUM(BU155:$BU$219)&gt;0),1,0)</f>
        <v>0</v>
      </c>
      <c r="BW154" s="1592" t="str">
        <f>IF(BV154=1,"Row "&amp;Courses!A148&amp;"; ","")</f>
        <v/>
      </c>
      <c r="BX154" s="17"/>
      <c r="BZ154" s="1592" t="str">
        <f>IF(AND($Y$9=1,Courses!B148&lt;&gt;"",SUM(Courses!M148:AA148)=0),"Row "&amp;Courses!A148&amp;"; ","")</f>
        <v/>
      </c>
      <c r="CA154" s="17"/>
      <c r="CC154" s="1592" t="str">
        <f>IF(AND($Z$9=1,Courses!AD148=1,(LEN(Courses!AB148)&gt;200)),"Row "&amp;Courses!A148&amp;"; ","")</f>
        <v/>
      </c>
      <c r="CE154" s="131"/>
      <c r="CG154" s="1593" t="str">
        <f>IF(AND($AD$9=1,Courses!E148&lt;&gt;"",Courses!F148&lt;&gt;"",Courses!F148=0,SUM(Courses!H148,Courses!J148)=1),"Row "&amp;Courses!A148&amp;", "&amp;Courses!$F$10&amp;"; ","")</f>
        <v/>
      </c>
      <c r="CH154" t="str">
        <f>IF(AND($AD$9=1,Courses!G148&lt;&gt;"",Courses!H148&lt;&gt;"",Courses!H148=0,SUM(Courses!J148,Courses!F148)=1),"Row "&amp;Courses!A148&amp;", "&amp;Courses!$H$10&amp;"; ","")</f>
        <v/>
      </c>
      <c r="CI154" s="183" t="str">
        <f>IF(AND($AD$9=1,Courses!I148&lt;&gt;"",Courses!J148&lt;&gt;"",Courses!J148=0, SUM(Courses!H148,Courses!F148)=1),"Row "&amp;Courses!A148&amp;", "&amp;Courses!$J$10&amp;"; ","")</f>
        <v/>
      </c>
      <c r="CJ154" s="180"/>
      <c r="CK154" s="181"/>
      <c r="CL154" s="1592" t="str">
        <f>IF(AND(Courses!B148&lt;&gt;"",ISNA(VLOOKUP(Courses!C148,CourseInfo,2,FALSE))=FALSE,COUNTIF(Dummy,Courses!C148)&lt;&gt;1),VLOOKUP(Courses!C148,CourseInfo,6,FALSE),"")</f>
        <v/>
      </c>
      <c r="CM154" s="1592" t="str">
        <f>IF(AND($AE$9=1,Courses!B148&lt;&gt;"",'Courses Valid'!AG154="",COUNTIF(Dummy,Courses!C148)&lt;&gt;1),IF(Courses!K148&lt;&gt;'Courses Valid'!CL154,"Row "&amp;Courses!A148&amp;", Level on LARS is "&amp;'Courses Valid'!CL154&amp;"; ",""),"")</f>
        <v/>
      </c>
      <c r="CN154" s="131"/>
    </row>
    <row r="155" spans="3:92" x14ac:dyDescent="0.35">
      <c r="C155" s="1591">
        <f t="shared" si="4"/>
        <v>0</v>
      </c>
      <c r="D155" s="41"/>
      <c r="E155" s="41"/>
      <c r="F155" s="118"/>
      <c r="G155" s="1592" t="str">
        <f>IF(SUMPRODUCT(--(CourseAims=Courses!$C149))=1,"",IF(AND($N$9=1,Courses!$C149&lt;&gt;""),"Row "&amp;Courses!A149&amp;" (invalid); ",""))</f>
        <v/>
      </c>
      <c r="H155" s="1592" t="str">
        <f>IF(AND($O$9=1,Courses!B149="",OR(Courses!F149&lt;&gt;"",Courses!H149&lt;&gt;"",Courses!J149&lt;&gt;"",Courses!K149&lt;&gt;"",Courses!L149&lt;&gt;"",Courses!M149&lt;&gt;0,Courses!N149&lt;&gt;0,Courses!O149&lt;&gt;0,Courses!P149&lt;&gt;0,Courses!Q149&lt;&gt;0,Courses!R149&lt;&gt;0,Courses!S149&lt;&gt;0,Courses!T149&lt;&gt;0,Courses!U149&lt;&gt;0,Courses!V149&lt;&gt;0,Courses!W149&lt;&gt;0,Courses!X149&lt;&gt;0,Courses!Y149&lt;&gt;0,Courses!Z149&lt;&gt;0,Courses!AA149&lt;&gt;0)),"Row "&amp;Courses!A149&amp;" (none); ","")</f>
        <v/>
      </c>
      <c r="I155" s="1596"/>
      <c r="K155" s="1592" t="str">
        <f>Courses!B149&amp;Courses!K149&amp;Courses!L149</f>
        <v/>
      </c>
      <c r="L155" s="1592" t="str">
        <f>IF(AND($P$9=1,Courses!$B149&lt;&gt;"",COUNTIF(Dummy,Courses!$C149)&lt;&gt;1),IF(SUMPRODUCT(--($K$20:$K$219=$K155))&gt;1,"Row "&amp;Courses!$A149&amp;"; ",""),"")</f>
        <v/>
      </c>
      <c r="N155" s="118"/>
      <c r="O155" s="1593" t="str">
        <f>IF(AND($Q$9=1,Courses!E149&lt;&gt;"",Courses!F149=""),"Row "&amp;Courses!A149&amp;", "&amp;Courses!$E$10&amp;"; ","")</f>
        <v/>
      </c>
      <c r="P155" t="str">
        <f>IF(AND($Q$9=1,Courses!G149&lt;&gt;"",Courses!H149=""),"Row "&amp;Courses!A149&amp;", "&amp;Courses!$G$10&amp;"; ","")</f>
        <v/>
      </c>
      <c r="Q155" s="183" t="str">
        <f>IF(AND($Q$9=1,Courses!I149&lt;&gt;"",Courses!J149=""),"Row "&amp;Courses!A149&amp;", "&amp;Courses!$I$10&amp;"; ","")</f>
        <v/>
      </c>
      <c r="T155" s="118"/>
      <c r="U155" s="1593" t="str">
        <f>IF(AND($R$9=1,Courses!B149&lt;&gt;"",Courses!E149&lt;&gt;"",Courses!G149="",Courses!I149="",Courses!F149&lt;&gt;1),"Row "&amp;Courses!A149&amp;"; ","")</f>
        <v/>
      </c>
      <c r="V155" t="str">
        <f>IF(AND($R$9=1,Courses!B149&lt;&gt;"",Courses!I149="",Courses!F149&lt;&gt;"",Courses!G149&lt;&gt;"",Courses!H149&lt;&gt;""),IF(OR((Courses!F149+Courses!H149)&lt;&gt;1),"Row "&amp;Courses!A149&amp;"; ",""),"")</f>
        <v/>
      </c>
      <c r="W155" s="183" t="str">
        <f>IF(AND($R$9=1,Courses!B149&lt;&gt;"",Courses!I149&lt;&gt;"",Courses!J149&lt;&gt;"",Courses!H149&lt;&gt;"",Courses!G149&lt;&gt;"",Courses!F149&lt;&gt;""),IF(OR((Courses!F149+Courses!H149+Courses!J149)&lt;&gt;1),"Row "&amp;Courses!A149&amp;"; ",""),"")</f>
        <v/>
      </c>
      <c r="Y155" s="1592" t="str">
        <f>IF(AND($R$9=1,Courses!E149&lt;&gt;"",U155="",V155="",W155="",SUM(Courses!F149,Courses!H149,Courses!J149)&lt;&gt;1),"Row "&amp;Courses!A149&amp;"; ","")</f>
        <v/>
      </c>
      <c r="AA155" s="118"/>
      <c r="AB155" s="1593" t="str">
        <f>IF(AND($S$9=1,Courses!B149&lt;&gt;"",Courses!E149&lt;&gt;"",Courses!F149&lt;&gt;""),IF((TRUNC(Courses!F149*100)&lt;&gt;Courses!F149*100),"Row "&amp;Courses!A149&amp;", "&amp;Courses!$F$10&amp;"; ",""),"")</f>
        <v/>
      </c>
      <c r="AC155" t="str">
        <f>IF(AND($S$9=1,Courses!B149&lt;&gt;"",Courses!G149&lt;&gt;"",Courses!H149&lt;&gt;""),IF((TRUNC(Courses!H149*100)&lt;&gt;Courses!H149*100),"Row "&amp;Courses!A149&amp;", "&amp;Courses!$H$10&amp;"; ",""),"")</f>
        <v/>
      </c>
      <c r="AD155" s="183" t="str">
        <f>IF(AND($S$9=1,Courses!B149&lt;&gt;"",Courses!I149&lt;&gt;"",Courses!J149&lt;&gt;""),IF((TRUNC(Courses!J149*100)&lt;&gt;Courses!J149*100),"Row "&amp;Courses!A149&amp;", "&amp;Courses!$J$10&amp;"; ",""),"")</f>
        <v/>
      </c>
      <c r="AF155" s="118"/>
      <c r="AG155" s="1593" t="str">
        <f>IF(AND($T$9=1,G155="",Courses!B149&lt;&gt;"",Courses!K149&lt;&gt;$B$9,Courses!K149&lt;&gt;$B$10,Courses!K149&lt;&gt;$B$11,Courses!K149&lt;&gt;$B$12,Courses!K149&lt;&gt;$B$13,Courses!K149&lt;&gt;$B$14),"Row "&amp;Courses!A149&amp;"; ","")</f>
        <v/>
      </c>
      <c r="AH155" s="1592" t="str">
        <f>IF(AND($U$9=1,G155="",Courses!B149&lt;&gt;"",Courses!L149&lt;&gt;"Standard",Courses!L149&lt;&gt;"Long"),"Row "&amp;Courses!A149&amp;"; ","")</f>
        <v/>
      </c>
      <c r="AJ155" s="118"/>
      <c r="AK155" s="3">
        <v>136</v>
      </c>
      <c r="AL155" s="1593" t="str">
        <f>IF(AND($V$9=1,(TRUNC(Courses!M149)&lt;&gt;Courses!M149)), "Row "&amp;Courses!$A149&amp;", "&amp;AL$9&amp;", "&amp;AL$10&amp;", "&amp;AL$11&amp;"; ","")</f>
        <v/>
      </c>
      <c r="AM155" t="str">
        <f>IF(AND($V$9=1,(TRUNC(Courses!N149)&lt;&gt;Courses!N149)), "Row "&amp;Courses!$A149&amp;", "&amp;AM$9&amp;", "&amp;AM$10&amp;", "&amp;AM$11&amp;"; ","")</f>
        <v/>
      </c>
      <c r="AN155" t="str">
        <f>IF(AND($V$9=1,(TRUNC(Courses!O149)&lt;&gt;Courses!O149)), "Row "&amp;Courses!$A149&amp;", "&amp;AN$9&amp;", "&amp;AN$10&amp;", "&amp;AN$11&amp;"; ","")</f>
        <v/>
      </c>
      <c r="AO155" t="str">
        <f>IF(AND($V$9=1,(TRUNC(Courses!P149)&lt;&gt;Courses!P149)), "Row "&amp;Courses!$A149&amp;", "&amp;AO$9&amp;", "&amp;AO$10&amp;", "&amp;AO$11&amp;"; ","")</f>
        <v/>
      </c>
      <c r="AP155" s="2120" t="str">
        <f>IF(AND($V$9=1,(TRUNC(Courses!Q149)&lt;&gt;Courses!Q149)), "Row "&amp;Courses!$A149&amp;", "&amp;AP$9&amp;", "&amp;AP$10&amp;"; ","")</f>
        <v/>
      </c>
      <c r="AQ155" s="1593" t="str">
        <f>IF(AND($V$9=1,(TRUNC(Courses!R149)&lt;&gt;Courses!R149)), "Row "&amp;Courses!$A149&amp;", "&amp;AQ$9&amp;", "&amp;AQ$10&amp;", "&amp;AQ$11&amp;"; ","")</f>
        <v/>
      </c>
      <c r="AR155" t="str">
        <f>IF(AND($V$9=1,(TRUNC(Courses!S149)&lt;&gt;Courses!S149)), "Row "&amp;Courses!$A149&amp;", "&amp;AR$9&amp;", "&amp;AR$10&amp;", "&amp;AR$11&amp;"; ","")</f>
        <v/>
      </c>
      <c r="AS155" t="str">
        <f>IF(AND($V$9=1,(TRUNC(Courses!T149)&lt;&gt;Courses!T149)), "Row "&amp;Courses!$A149&amp;", "&amp;AS$9&amp;", "&amp;AS$10&amp;", "&amp;AS$11&amp;"; ","")</f>
        <v/>
      </c>
      <c r="AT155" t="str">
        <f>IF(AND($V$9=1,(TRUNC(Courses!U149)&lt;&gt;Courses!U149)), "Row "&amp;Courses!$A149&amp;", "&amp;AT$9&amp;", "&amp;AT$10&amp;", "&amp;AT$11&amp;"; ","")</f>
        <v/>
      </c>
      <c r="AU155" s="2120" t="str">
        <f>IF(AND($V$9=1,(TRUNC(Courses!V149)&lt;&gt;Courses!V149)), "Row "&amp;Courses!$A149&amp;", "&amp;AU$9&amp;", "&amp;AU$10&amp;"; ","")</f>
        <v/>
      </c>
      <c r="AV155" s="1593" t="str">
        <f>IF(AND($V$9=1,(TRUNC(Courses!W149)&lt;&gt;Courses!W149)), "Row "&amp;Courses!$A149&amp;", "&amp;AV$9&amp;", "&amp;AV$10&amp;", "&amp;AV$11&amp;"; ","")</f>
        <v/>
      </c>
      <c r="AW155" t="str">
        <f>IF(AND($V$9=1,(TRUNC(Courses!X149)&lt;&gt;Courses!X149)), "Row "&amp;Courses!$A149&amp;", "&amp;AW$9&amp;", "&amp;AW$10&amp;", "&amp;AW$11&amp;"; ","")</f>
        <v/>
      </c>
      <c r="AX155" t="str">
        <f>IF(AND($V$9=1,(TRUNC(Courses!Y149)&lt;&gt;Courses!Y149)), "Row "&amp;Courses!$A149&amp;", "&amp;AX$9&amp;", "&amp;AX$10&amp;", "&amp;AX$11&amp;"; ","")</f>
        <v/>
      </c>
      <c r="AY155" t="str">
        <f>IF(AND($V$9=1,(TRUNC(Courses!Z149)&lt;&gt;Courses!Z149)), "Row "&amp;Courses!$A149&amp;", "&amp;AY$9&amp;", "&amp;AY$10&amp;", "&amp;AY$11&amp;"; ","")</f>
        <v/>
      </c>
      <c r="AZ155" s="2120" t="str">
        <f>IF(AND($V$9=1,(TRUNC(Courses!AA149)&lt;&gt;Courses!AA149)), "Row "&amp;Courses!$A149&amp;", "&amp;AZ$9&amp;", "&amp;AZ$10&amp;"; ","")</f>
        <v/>
      </c>
      <c r="BB155" s="118"/>
      <c r="BC155" s="3">
        <v>136</v>
      </c>
      <c r="BD155" s="1593" t="str">
        <f>IF(AND($W$9=1,Courses!M149&lt;0), "Row "&amp;Courses!$A149&amp;", "&amp;BD$9&amp;", "&amp;BD$10&amp;", "&amp;BD$11&amp;"; ","")</f>
        <v/>
      </c>
      <c r="BE155" t="str">
        <f>IF(AND($W$9=1,Courses!N149&lt;0), "Row "&amp;Courses!$A149&amp;", "&amp;BE$9&amp;", "&amp;BE$10&amp;", "&amp;BE$11&amp;"; ","")</f>
        <v/>
      </c>
      <c r="BF155" t="str">
        <f>IF(AND($W$9=1,Courses!O149&lt;0), "Row "&amp;Courses!$A149&amp;", "&amp;BF$9&amp;", "&amp;BF$10&amp;", "&amp;BF$11&amp;"; ","")</f>
        <v/>
      </c>
      <c r="BG155" t="str">
        <f>IF(AND($W$9=1,Courses!P149&lt;0), "Row "&amp;Courses!$A149&amp;", "&amp;BG$9&amp;", "&amp;BG$10&amp;", "&amp;BG$11&amp;"; ","")</f>
        <v/>
      </c>
      <c r="BH155" s="2120" t="str">
        <f>IF(AND($W$9=1,Courses!Q149&lt;0), "Row "&amp;Courses!$A149&amp;", "&amp;BH$9&amp;", "&amp;BH$10&amp;"; ","")</f>
        <v/>
      </c>
      <c r="BI155" s="1593" t="str">
        <f>IF(AND($W$9=1,Courses!R149&lt;0), "Row "&amp;Courses!$A149&amp;", "&amp;BI$9&amp;", "&amp;BI$10&amp;", "&amp;BI$11&amp;"; ","")</f>
        <v/>
      </c>
      <c r="BJ155" t="str">
        <f>IF(AND($W$9=1,Courses!S149&lt;0), "Row "&amp;Courses!$A149&amp;", "&amp;BJ$9&amp;", "&amp;BJ$10&amp;", "&amp;BJ$11&amp;"; ","")</f>
        <v/>
      </c>
      <c r="BK155" t="str">
        <f>IF(AND($W$9=1,Courses!T149&lt;0), "Row "&amp;Courses!$A149&amp;", "&amp;BK$9&amp;", "&amp;BK$10&amp;", "&amp;BK$11&amp;"; ","")</f>
        <v/>
      </c>
      <c r="BL155" t="str">
        <f>IF(AND($W$9=1,Courses!U149&lt;0), "Row "&amp;Courses!$A149&amp;", "&amp;BL$9&amp;", "&amp;BL$10&amp;", "&amp;BL$11&amp;"; ","")</f>
        <v/>
      </c>
      <c r="BM155" s="2120" t="str">
        <f>IF(AND($W$9=1,Courses!V149&lt;0), "Row "&amp;Courses!$A149&amp;", "&amp;BM$9&amp;", "&amp;BM$10&amp;"; ","")</f>
        <v/>
      </c>
      <c r="BN155" t="str">
        <f>IF(AND($W$9=1,Courses!W149&lt;0), "Row "&amp;Courses!$A149&amp;", "&amp;BN$9&amp;", "&amp;BN$10&amp;", "&amp;BN$11&amp;"; ","")</f>
        <v/>
      </c>
      <c r="BO155" t="str">
        <f>IF(AND($W$9=1,Courses!X149&lt;0), "Row "&amp;Courses!$A149&amp;", "&amp;BO$9&amp;", "&amp;BO$10&amp;", "&amp;BO$11&amp;"; ","")</f>
        <v/>
      </c>
      <c r="BP155" t="str">
        <f>IF(AND($W$9=1,Courses!Y149&lt;0), "Row "&amp;Courses!$A149&amp;", "&amp;BP$9&amp;", "&amp;BP$10&amp;", "&amp;BP$11&amp;"; ","")</f>
        <v/>
      </c>
      <c r="BQ155" t="str">
        <f>IF(AND($W$9=1,Courses!Z149&lt;0), "Row "&amp;Courses!$A149&amp;", "&amp;BQ$9&amp;", "&amp;BQ$10&amp;", "&amp;BQ$11&amp;"; ","")</f>
        <v/>
      </c>
      <c r="BR155" s="2120" t="str">
        <f>IF(AND($W$9=1,Courses!AA149&lt;0), "Row "&amp;Courses!$A149&amp;", "&amp;BR$9&amp;", "&amp;BR$10&amp;"; ","")</f>
        <v/>
      </c>
      <c r="BT155" s="3">
        <v>136</v>
      </c>
      <c r="BU155" s="40">
        <f>IF(AND($X$9=1,Courses!B149="",Courses!F149="",Courses!H149="",Courses!J149="",Courses!K149="",Courses!L149="",Courses!M149=0,Courses!N149=0,Courses!O149=0,Courses!P149=0,Courses!Q149=0,Courses!R149=0,Courses!S149=0,Courses!T149=0,Courses!U149=0,Courses!V149=0,Courses!W149=0,Courses!X149=0,Courses!Y149=0,Courses!Z149=0,Courses!AA149=0),0,1)</f>
        <v>0</v>
      </c>
      <c r="BV155" s="40">
        <f>IF(AND(BU155=0,SUM(BU156:$BU$219)&gt;0),1,0)</f>
        <v>0</v>
      </c>
      <c r="BW155" s="1592" t="str">
        <f>IF(BV155=1,"Row "&amp;Courses!A149&amp;"; ","")</f>
        <v/>
      </c>
      <c r="BX155" s="17"/>
      <c r="BZ155" s="1592" t="str">
        <f>IF(AND($Y$9=1,Courses!B149&lt;&gt;"",SUM(Courses!M149:AA149)=0),"Row "&amp;Courses!A149&amp;"; ","")</f>
        <v/>
      </c>
      <c r="CA155" s="17"/>
      <c r="CC155" s="1592" t="str">
        <f>IF(AND($Z$9=1,Courses!AD149=1,(LEN(Courses!AB149)&gt;200)),"Row "&amp;Courses!A149&amp;"; ","")</f>
        <v/>
      </c>
      <c r="CE155" s="131"/>
      <c r="CG155" s="1593" t="str">
        <f>IF(AND($AD$9=1,Courses!E149&lt;&gt;"",Courses!F149&lt;&gt;"",Courses!F149=0,SUM(Courses!H149,Courses!J149)=1),"Row "&amp;Courses!A149&amp;", "&amp;Courses!$F$10&amp;"; ","")</f>
        <v/>
      </c>
      <c r="CH155" t="str">
        <f>IF(AND($AD$9=1,Courses!G149&lt;&gt;"",Courses!H149&lt;&gt;"",Courses!H149=0,SUM(Courses!J149,Courses!F149)=1),"Row "&amp;Courses!A149&amp;", "&amp;Courses!$H$10&amp;"; ","")</f>
        <v/>
      </c>
      <c r="CI155" s="183" t="str">
        <f>IF(AND($AD$9=1,Courses!I149&lt;&gt;"",Courses!J149&lt;&gt;"",Courses!J149=0, SUM(Courses!H149,Courses!F149)=1),"Row "&amp;Courses!A149&amp;", "&amp;Courses!$J$10&amp;"; ","")</f>
        <v/>
      </c>
      <c r="CJ155" s="180"/>
      <c r="CK155" s="181"/>
      <c r="CL155" s="1592" t="str">
        <f>IF(AND(Courses!B149&lt;&gt;"",ISNA(VLOOKUP(Courses!C149,CourseInfo,2,FALSE))=FALSE,COUNTIF(Dummy,Courses!C149)&lt;&gt;1),VLOOKUP(Courses!C149,CourseInfo,6,FALSE),"")</f>
        <v/>
      </c>
      <c r="CM155" s="1592" t="str">
        <f>IF(AND($AE$9=1,Courses!B149&lt;&gt;"",'Courses Valid'!AG155="",COUNTIF(Dummy,Courses!C149)&lt;&gt;1),IF(Courses!K149&lt;&gt;'Courses Valid'!CL155,"Row "&amp;Courses!A149&amp;", Level on LARS is "&amp;'Courses Valid'!CL155&amp;"; ",""),"")</f>
        <v/>
      </c>
      <c r="CN155" s="131"/>
    </row>
    <row r="156" spans="3:92" x14ac:dyDescent="0.35">
      <c r="C156" s="1591">
        <f t="shared" si="4"/>
        <v>0</v>
      </c>
      <c r="D156" s="41"/>
      <c r="E156" s="41"/>
      <c r="F156" s="118"/>
      <c r="G156" s="1592" t="str">
        <f>IF(SUMPRODUCT(--(CourseAims=Courses!$C150))=1,"",IF(AND($N$9=1,Courses!$C150&lt;&gt;""),"Row "&amp;Courses!A150&amp;" (invalid); ",""))</f>
        <v/>
      </c>
      <c r="H156" s="1592" t="str">
        <f>IF(AND($O$9=1,Courses!B150="",OR(Courses!F150&lt;&gt;"",Courses!H150&lt;&gt;"",Courses!J150&lt;&gt;"",Courses!K150&lt;&gt;"",Courses!L150&lt;&gt;"",Courses!M150&lt;&gt;0,Courses!N150&lt;&gt;0,Courses!O150&lt;&gt;0,Courses!P150&lt;&gt;0,Courses!Q150&lt;&gt;0,Courses!R150&lt;&gt;0,Courses!S150&lt;&gt;0,Courses!T150&lt;&gt;0,Courses!U150&lt;&gt;0,Courses!V150&lt;&gt;0,Courses!W150&lt;&gt;0,Courses!X150&lt;&gt;0,Courses!Y150&lt;&gt;0,Courses!Z150&lt;&gt;0,Courses!AA150&lt;&gt;0)),"Row "&amp;Courses!A150&amp;" (none); ","")</f>
        <v/>
      </c>
      <c r="I156" s="1596"/>
      <c r="K156" s="1592" t="str">
        <f>Courses!B150&amp;Courses!K150&amp;Courses!L150</f>
        <v/>
      </c>
      <c r="L156" s="1592" t="str">
        <f>IF(AND($P$9=1,Courses!$B150&lt;&gt;"",COUNTIF(Dummy,Courses!$C150)&lt;&gt;1),IF(SUMPRODUCT(--($K$20:$K$219=$K156))&gt;1,"Row "&amp;Courses!$A150&amp;"; ",""),"")</f>
        <v/>
      </c>
      <c r="N156" s="118"/>
      <c r="O156" s="1593" t="str">
        <f>IF(AND($Q$9=1,Courses!E150&lt;&gt;"",Courses!F150=""),"Row "&amp;Courses!A150&amp;", "&amp;Courses!$E$10&amp;"; ","")</f>
        <v/>
      </c>
      <c r="P156" t="str">
        <f>IF(AND($Q$9=1,Courses!G150&lt;&gt;"",Courses!H150=""),"Row "&amp;Courses!A150&amp;", "&amp;Courses!$G$10&amp;"; ","")</f>
        <v/>
      </c>
      <c r="Q156" s="183" t="str">
        <f>IF(AND($Q$9=1,Courses!I150&lt;&gt;"",Courses!J150=""),"Row "&amp;Courses!A150&amp;", "&amp;Courses!$I$10&amp;"; ","")</f>
        <v/>
      </c>
      <c r="T156" s="118"/>
      <c r="U156" s="1593" t="str">
        <f>IF(AND($R$9=1,Courses!B150&lt;&gt;"",Courses!E150&lt;&gt;"",Courses!G150="",Courses!I150="",Courses!F150&lt;&gt;1),"Row "&amp;Courses!A150&amp;"; ","")</f>
        <v/>
      </c>
      <c r="V156" t="str">
        <f>IF(AND($R$9=1,Courses!B150&lt;&gt;"",Courses!I150="",Courses!F150&lt;&gt;"",Courses!G150&lt;&gt;"",Courses!H150&lt;&gt;""),IF(OR((Courses!F150+Courses!H150)&lt;&gt;1),"Row "&amp;Courses!A150&amp;"; ",""),"")</f>
        <v/>
      </c>
      <c r="W156" s="183" t="str">
        <f>IF(AND($R$9=1,Courses!B150&lt;&gt;"",Courses!I150&lt;&gt;"",Courses!J150&lt;&gt;"",Courses!H150&lt;&gt;"",Courses!G150&lt;&gt;"",Courses!F150&lt;&gt;""),IF(OR((Courses!F150+Courses!H150+Courses!J150)&lt;&gt;1),"Row "&amp;Courses!A150&amp;"; ",""),"")</f>
        <v/>
      </c>
      <c r="Y156" s="1592" t="str">
        <f>IF(AND($R$9=1,Courses!E150&lt;&gt;"",U156="",V156="",W156="",SUM(Courses!F150,Courses!H150,Courses!J150)&lt;&gt;1),"Row "&amp;Courses!A150&amp;"; ","")</f>
        <v/>
      </c>
      <c r="AA156" s="118"/>
      <c r="AB156" s="1593" t="str">
        <f>IF(AND($S$9=1,Courses!B150&lt;&gt;"",Courses!E150&lt;&gt;"",Courses!F150&lt;&gt;""),IF((TRUNC(Courses!F150*100)&lt;&gt;Courses!F150*100),"Row "&amp;Courses!A150&amp;", "&amp;Courses!$F$10&amp;"; ",""),"")</f>
        <v/>
      </c>
      <c r="AC156" t="str">
        <f>IF(AND($S$9=1,Courses!B150&lt;&gt;"",Courses!G150&lt;&gt;"",Courses!H150&lt;&gt;""),IF((TRUNC(Courses!H150*100)&lt;&gt;Courses!H150*100),"Row "&amp;Courses!A150&amp;", "&amp;Courses!$H$10&amp;"; ",""),"")</f>
        <v/>
      </c>
      <c r="AD156" s="183" t="str">
        <f>IF(AND($S$9=1,Courses!B150&lt;&gt;"",Courses!I150&lt;&gt;"",Courses!J150&lt;&gt;""),IF((TRUNC(Courses!J150*100)&lt;&gt;Courses!J150*100),"Row "&amp;Courses!A150&amp;", "&amp;Courses!$J$10&amp;"; ",""),"")</f>
        <v/>
      </c>
      <c r="AF156" s="118"/>
      <c r="AG156" s="1593" t="str">
        <f>IF(AND($T$9=1,G156="",Courses!B150&lt;&gt;"",Courses!K150&lt;&gt;$B$9,Courses!K150&lt;&gt;$B$10,Courses!K150&lt;&gt;$B$11,Courses!K150&lt;&gt;$B$12,Courses!K150&lt;&gt;$B$13,Courses!K150&lt;&gt;$B$14),"Row "&amp;Courses!A150&amp;"; ","")</f>
        <v/>
      </c>
      <c r="AH156" s="1592" t="str">
        <f>IF(AND($U$9=1,G156="",Courses!B150&lt;&gt;"",Courses!L150&lt;&gt;"Standard",Courses!L150&lt;&gt;"Long"),"Row "&amp;Courses!A150&amp;"; ","")</f>
        <v/>
      </c>
      <c r="AJ156" s="118"/>
      <c r="AK156" s="3">
        <v>137</v>
      </c>
      <c r="AL156" s="1593" t="str">
        <f>IF(AND($V$9=1,(TRUNC(Courses!M150)&lt;&gt;Courses!M150)), "Row "&amp;Courses!$A150&amp;", "&amp;AL$9&amp;", "&amp;AL$10&amp;", "&amp;AL$11&amp;"; ","")</f>
        <v/>
      </c>
      <c r="AM156" t="str">
        <f>IF(AND($V$9=1,(TRUNC(Courses!N150)&lt;&gt;Courses!N150)), "Row "&amp;Courses!$A150&amp;", "&amp;AM$9&amp;", "&amp;AM$10&amp;", "&amp;AM$11&amp;"; ","")</f>
        <v/>
      </c>
      <c r="AN156" t="str">
        <f>IF(AND($V$9=1,(TRUNC(Courses!O150)&lt;&gt;Courses!O150)), "Row "&amp;Courses!$A150&amp;", "&amp;AN$9&amp;", "&amp;AN$10&amp;", "&amp;AN$11&amp;"; ","")</f>
        <v/>
      </c>
      <c r="AO156" t="str">
        <f>IF(AND($V$9=1,(TRUNC(Courses!P150)&lt;&gt;Courses!P150)), "Row "&amp;Courses!$A150&amp;", "&amp;AO$9&amp;", "&amp;AO$10&amp;", "&amp;AO$11&amp;"; ","")</f>
        <v/>
      </c>
      <c r="AP156" s="2120" t="str">
        <f>IF(AND($V$9=1,(TRUNC(Courses!Q150)&lt;&gt;Courses!Q150)), "Row "&amp;Courses!$A150&amp;", "&amp;AP$9&amp;", "&amp;AP$10&amp;"; ","")</f>
        <v/>
      </c>
      <c r="AQ156" s="1593" t="str">
        <f>IF(AND($V$9=1,(TRUNC(Courses!R150)&lt;&gt;Courses!R150)), "Row "&amp;Courses!$A150&amp;", "&amp;AQ$9&amp;", "&amp;AQ$10&amp;", "&amp;AQ$11&amp;"; ","")</f>
        <v/>
      </c>
      <c r="AR156" t="str">
        <f>IF(AND($V$9=1,(TRUNC(Courses!S150)&lt;&gt;Courses!S150)), "Row "&amp;Courses!$A150&amp;", "&amp;AR$9&amp;", "&amp;AR$10&amp;", "&amp;AR$11&amp;"; ","")</f>
        <v/>
      </c>
      <c r="AS156" t="str">
        <f>IF(AND($V$9=1,(TRUNC(Courses!T150)&lt;&gt;Courses!T150)), "Row "&amp;Courses!$A150&amp;", "&amp;AS$9&amp;", "&amp;AS$10&amp;", "&amp;AS$11&amp;"; ","")</f>
        <v/>
      </c>
      <c r="AT156" t="str">
        <f>IF(AND($V$9=1,(TRUNC(Courses!U150)&lt;&gt;Courses!U150)), "Row "&amp;Courses!$A150&amp;", "&amp;AT$9&amp;", "&amp;AT$10&amp;", "&amp;AT$11&amp;"; ","")</f>
        <v/>
      </c>
      <c r="AU156" s="2120" t="str">
        <f>IF(AND($V$9=1,(TRUNC(Courses!V150)&lt;&gt;Courses!V150)), "Row "&amp;Courses!$A150&amp;", "&amp;AU$9&amp;", "&amp;AU$10&amp;"; ","")</f>
        <v/>
      </c>
      <c r="AV156" s="1593" t="str">
        <f>IF(AND($V$9=1,(TRUNC(Courses!W150)&lt;&gt;Courses!W150)), "Row "&amp;Courses!$A150&amp;", "&amp;AV$9&amp;", "&amp;AV$10&amp;", "&amp;AV$11&amp;"; ","")</f>
        <v/>
      </c>
      <c r="AW156" t="str">
        <f>IF(AND($V$9=1,(TRUNC(Courses!X150)&lt;&gt;Courses!X150)), "Row "&amp;Courses!$A150&amp;", "&amp;AW$9&amp;", "&amp;AW$10&amp;", "&amp;AW$11&amp;"; ","")</f>
        <v/>
      </c>
      <c r="AX156" t="str">
        <f>IF(AND($V$9=1,(TRUNC(Courses!Y150)&lt;&gt;Courses!Y150)), "Row "&amp;Courses!$A150&amp;", "&amp;AX$9&amp;", "&amp;AX$10&amp;", "&amp;AX$11&amp;"; ","")</f>
        <v/>
      </c>
      <c r="AY156" t="str">
        <f>IF(AND($V$9=1,(TRUNC(Courses!Z150)&lt;&gt;Courses!Z150)), "Row "&amp;Courses!$A150&amp;", "&amp;AY$9&amp;", "&amp;AY$10&amp;", "&amp;AY$11&amp;"; ","")</f>
        <v/>
      </c>
      <c r="AZ156" s="2120" t="str">
        <f>IF(AND($V$9=1,(TRUNC(Courses!AA150)&lt;&gt;Courses!AA150)), "Row "&amp;Courses!$A150&amp;", "&amp;AZ$9&amp;", "&amp;AZ$10&amp;"; ","")</f>
        <v/>
      </c>
      <c r="BB156" s="118"/>
      <c r="BC156" s="3">
        <v>137</v>
      </c>
      <c r="BD156" s="1593" t="str">
        <f>IF(AND($W$9=1,Courses!M150&lt;0), "Row "&amp;Courses!$A150&amp;", "&amp;BD$9&amp;", "&amp;BD$10&amp;", "&amp;BD$11&amp;"; ","")</f>
        <v/>
      </c>
      <c r="BE156" t="str">
        <f>IF(AND($W$9=1,Courses!N150&lt;0), "Row "&amp;Courses!$A150&amp;", "&amp;BE$9&amp;", "&amp;BE$10&amp;", "&amp;BE$11&amp;"; ","")</f>
        <v/>
      </c>
      <c r="BF156" t="str">
        <f>IF(AND($W$9=1,Courses!O150&lt;0), "Row "&amp;Courses!$A150&amp;", "&amp;BF$9&amp;", "&amp;BF$10&amp;", "&amp;BF$11&amp;"; ","")</f>
        <v/>
      </c>
      <c r="BG156" t="str">
        <f>IF(AND($W$9=1,Courses!P150&lt;0), "Row "&amp;Courses!$A150&amp;", "&amp;BG$9&amp;", "&amp;BG$10&amp;", "&amp;BG$11&amp;"; ","")</f>
        <v/>
      </c>
      <c r="BH156" s="2120" t="str">
        <f>IF(AND($W$9=1,Courses!Q150&lt;0), "Row "&amp;Courses!$A150&amp;", "&amp;BH$9&amp;", "&amp;BH$10&amp;"; ","")</f>
        <v/>
      </c>
      <c r="BI156" s="1593" t="str">
        <f>IF(AND($W$9=1,Courses!R150&lt;0), "Row "&amp;Courses!$A150&amp;", "&amp;BI$9&amp;", "&amp;BI$10&amp;", "&amp;BI$11&amp;"; ","")</f>
        <v/>
      </c>
      <c r="BJ156" t="str">
        <f>IF(AND($W$9=1,Courses!S150&lt;0), "Row "&amp;Courses!$A150&amp;", "&amp;BJ$9&amp;", "&amp;BJ$10&amp;", "&amp;BJ$11&amp;"; ","")</f>
        <v/>
      </c>
      <c r="BK156" t="str">
        <f>IF(AND($W$9=1,Courses!T150&lt;0), "Row "&amp;Courses!$A150&amp;", "&amp;BK$9&amp;", "&amp;BK$10&amp;", "&amp;BK$11&amp;"; ","")</f>
        <v/>
      </c>
      <c r="BL156" t="str">
        <f>IF(AND($W$9=1,Courses!U150&lt;0), "Row "&amp;Courses!$A150&amp;", "&amp;BL$9&amp;", "&amp;BL$10&amp;", "&amp;BL$11&amp;"; ","")</f>
        <v/>
      </c>
      <c r="BM156" s="2120" t="str">
        <f>IF(AND($W$9=1,Courses!V150&lt;0), "Row "&amp;Courses!$A150&amp;", "&amp;BM$9&amp;", "&amp;BM$10&amp;"; ","")</f>
        <v/>
      </c>
      <c r="BN156" t="str">
        <f>IF(AND($W$9=1,Courses!W150&lt;0), "Row "&amp;Courses!$A150&amp;", "&amp;BN$9&amp;", "&amp;BN$10&amp;", "&amp;BN$11&amp;"; ","")</f>
        <v/>
      </c>
      <c r="BO156" t="str">
        <f>IF(AND($W$9=1,Courses!X150&lt;0), "Row "&amp;Courses!$A150&amp;", "&amp;BO$9&amp;", "&amp;BO$10&amp;", "&amp;BO$11&amp;"; ","")</f>
        <v/>
      </c>
      <c r="BP156" t="str">
        <f>IF(AND($W$9=1,Courses!Y150&lt;0), "Row "&amp;Courses!$A150&amp;", "&amp;BP$9&amp;", "&amp;BP$10&amp;", "&amp;BP$11&amp;"; ","")</f>
        <v/>
      </c>
      <c r="BQ156" t="str">
        <f>IF(AND($W$9=1,Courses!Z150&lt;0), "Row "&amp;Courses!$A150&amp;", "&amp;BQ$9&amp;", "&amp;BQ$10&amp;", "&amp;BQ$11&amp;"; ","")</f>
        <v/>
      </c>
      <c r="BR156" s="2120" t="str">
        <f>IF(AND($W$9=1,Courses!AA150&lt;0), "Row "&amp;Courses!$A150&amp;", "&amp;BR$9&amp;", "&amp;BR$10&amp;"; ","")</f>
        <v/>
      </c>
      <c r="BT156" s="3">
        <v>137</v>
      </c>
      <c r="BU156" s="40">
        <f>IF(AND($X$9=1,Courses!B150="",Courses!F150="",Courses!H150="",Courses!J150="",Courses!K150="",Courses!L150="",Courses!M150=0,Courses!N150=0,Courses!O150=0,Courses!P150=0,Courses!Q150=0,Courses!R150=0,Courses!S150=0,Courses!T150=0,Courses!U150=0,Courses!V150=0,Courses!W150=0,Courses!X150=0,Courses!Y150=0,Courses!Z150=0,Courses!AA150=0),0,1)</f>
        <v>0</v>
      </c>
      <c r="BV156" s="40">
        <f>IF(AND(BU156=0,SUM(BU157:$BU$219)&gt;0),1,0)</f>
        <v>0</v>
      </c>
      <c r="BW156" s="1592" t="str">
        <f>IF(BV156=1,"Row "&amp;Courses!A150&amp;"; ","")</f>
        <v/>
      </c>
      <c r="BX156" s="17"/>
      <c r="BZ156" s="1592" t="str">
        <f>IF(AND($Y$9=1,Courses!B150&lt;&gt;"",SUM(Courses!M150:AA150)=0),"Row "&amp;Courses!A150&amp;"; ","")</f>
        <v/>
      </c>
      <c r="CA156" s="17"/>
      <c r="CC156" s="1592" t="str">
        <f>IF(AND($Z$9=1,Courses!AD150=1,(LEN(Courses!AB150)&gt;200)),"Row "&amp;Courses!A150&amp;"; ","")</f>
        <v/>
      </c>
      <c r="CE156" s="131"/>
      <c r="CG156" s="1593" t="str">
        <f>IF(AND($AD$9=1,Courses!E150&lt;&gt;"",Courses!F150&lt;&gt;"",Courses!F150=0,SUM(Courses!H150,Courses!J150)=1),"Row "&amp;Courses!A150&amp;", "&amp;Courses!$F$10&amp;"; ","")</f>
        <v/>
      </c>
      <c r="CH156" t="str">
        <f>IF(AND($AD$9=1,Courses!G150&lt;&gt;"",Courses!H150&lt;&gt;"",Courses!H150=0,SUM(Courses!J150,Courses!F150)=1),"Row "&amp;Courses!A150&amp;", "&amp;Courses!$H$10&amp;"; ","")</f>
        <v/>
      </c>
      <c r="CI156" s="183" t="str">
        <f>IF(AND($AD$9=1,Courses!I150&lt;&gt;"",Courses!J150&lt;&gt;"",Courses!J150=0, SUM(Courses!H150,Courses!F150)=1),"Row "&amp;Courses!A150&amp;", "&amp;Courses!$J$10&amp;"; ","")</f>
        <v/>
      </c>
      <c r="CJ156" s="180"/>
      <c r="CK156" s="181"/>
      <c r="CL156" s="1592" t="str">
        <f>IF(AND(Courses!B150&lt;&gt;"",ISNA(VLOOKUP(Courses!C150,CourseInfo,2,FALSE))=FALSE,COUNTIF(Dummy,Courses!C150)&lt;&gt;1),VLOOKUP(Courses!C150,CourseInfo,6,FALSE),"")</f>
        <v/>
      </c>
      <c r="CM156" s="1592" t="str">
        <f>IF(AND($AE$9=1,Courses!B150&lt;&gt;"",'Courses Valid'!AG156="",COUNTIF(Dummy,Courses!C150)&lt;&gt;1),IF(Courses!K150&lt;&gt;'Courses Valid'!CL156,"Row "&amp;Courses!A150&amp;", Level on LARS is "&amp;'Courses Valid'!CL156&amp;"; ",""),"")</f>
        <v/>
      </c>
      <c r="CN156" s="131"/>
    </row>
    <row r="157" spans="3:92" x14ac:dyDescent="0.35">
      <c r="C157" s="1591">
        <f t="shared" si="4"/>
        <v>0</v>
      </c>
      <c r="D157" s="41"/>
      <c r="E157" s="41"/>
      <c r="F157" s="118"/>
      <c r="G157" s="1592" t="str">
        <f>IF(SUMPRODUCT(--(CourseAims=Courses!$C151))=1,"",IF(AND($N$9=1,Courses!$C151&lt;&gt;""),"Row "&amp;Courses!A151&amp;" (invalid); ",""))</f>
        <v/>
      </c>
      <c r="H157" s="1592" t="str">
        <f>IF(AND($O$9=1,Courses!B151="",OR(Courses!F151&lt;&gt;"",Courses!H151&lt;&gt;"",Courses!J151&lt;&gt;"",Courses!K151&lt;&gt;"",Courses!L151&lt;&gt;"",Courses!M151&lt;&gt;0,Courses!N151&lt;&gt;0,Courses!O151&lt;&gt;0,Courses!P151&lt;&gt;0,Courses!Q151&lt;&gt;0,Courses!R151&lt;&gt;0,Courses!S151&lt;&gt;0,Courses!T151&lt;&gt;0,Courses!U151&lt;&gt;0,Courses!V151&lt;&gt;0,Courses!W151&lt;&gt;0,Courses!X151&lt;&gt;0,Courses!Y151&lt;&gt;0,Courses!Z151&lt;&gt;0,Courses!AA151&lt;&gt;0)),"Row "&amp;Courses!A151&amp;" (none); ","")</f>
        <v/>
      </c>
      <c r="I157" s="1596"/>
      <c r="K157" s="1592" t="str">
        <f>Courses!B151&amp;Courses!K151&amp;Courses!L151</f>
        <v/>
      </c>
      <c r="L157" s="1592" t="str">
        <f>IF(AND($P$9=1,Courses!$B151&lt;&gt;"",COUNTIF(Dummy,Courses!$C151)&lt;&gt;1),IF(SUMPRODUCT(--($K$20:$K$219=$K157))&gt;1,"Row "&amp;Courses!$A151&amp;"; ",""),"")</f>
        <v/>
      </c>
      <c r="N157" s="118"/>
      <c r="O157" s="1593" t="str">
        <f>IF(AND($Q$9=1,Courses!E151&lt;&gt;"",Courses!F151=""),"Row "&amp;Courses!A151&amp;", "&amp;Courses!$E$10&amp;"; ","")</f>
        <v/>
      </c>
      <c r="P157" t="str">
        <f>IF(AND($Q$9=1,Courses!G151&lt;&gt;"",Courses!H151=""),"Row "&amp;Courses!A151&amp;", "&amp;Courses!$G$10&amp;"; ","")</f>
        <v/>
      </c>
      <c r="Q157" s="183" t="str">
        <f>IF(AND($Q$9=1,Courses!I151&lt;&gt;"",Courses!J151=""),"Row "&amp;Courses!A151&amp;", "&amp;Courses!$I$10&amp;"; ","")</f>
        <v/>
      </c>
      <c r="T157" s="118"/>
      <c r="U157" s="1593" t="str">
        <f>IF(AND($R$9=1,Courses!B151&lt;&gt;"",Courses!E151&lt;&gt;"",Courses!G151="",Courses!I151="",Courses!F151&lt;&gt;1),"Row "&amp;Courses!A151&amp;"; ","")</f>
        <v/>
      </c>
      <c r="V157" t="str">
        <f>IF(AND($R$9=1,Courses!B151&lt;&gt;"",Courses!I151="",Courses!F151&lt;&gt;"",Courses!G151&lt;&gt;"",Courses!H151&lt;&gt;""),IF(OR((Courses!F151+Courses!H151)&lt;&gt;1),"Row "&amp;Courses!A151&amp;"; ",""),"")</f>
        <v/>
      </c>
      <c r="W157" s="183" t="str">
        <f>IF(AND($R$9=1,Courses!B151&lt;&gt;"",Courses!I151&lt;&gt;"",Courses!J151&lt;&gt;"",Courses!H151&lt;&gt;"",Courses!G151&lt;&gt;"",Courses!F151&lt;&gt;""),IF(OR((Courses!F151+Courses!H151+Courses!J151)&lt;&gt;1),"Row "&amp;Courses!A151&amp;"; ",""),"")</f>
        <v/>
      </c>
      <c r="Y157" s="1592" t="str">
        <f>IF(AND($R$9=1,Courses!E151&lt;&gt;"",U157="",V157="",W157="",SUM(Courses!F151,Courses!H151,Courses!J151)&lt;&gt;1),"Row "&amp;Courses!A151&amp;"; ","")</f>
        <v/>
      </c>
      <c r="AA157" s="118"/>
      <c r="AB157" s="1593" t="str">
        <f>IF(AND($S$9=1,Courses!B151&lt;&gt;"",Courses!E151&lt;&gt;"",Courses!F151&lt;&gt;""),IF((TRUNC(Courses!F151*100)&lt;&gt;Courses!F151*100),"Row "&amp;Courses!A151&amp;", "&amp;Courses!$F$10&amp;"; ",""),"")</f>
        <v/>
      </c>
      <c r="AC157" t="str">
        <f>IF(AND($S$9=1,Courses!B151&lt;&gt;"",Courses!G151&lt;&gt;"",Courses!H151&lt;&gt;""),IF((TRUNC(Courses!H151*100)&lt;&gt;Courses!H151*100),"Row "&amp;Courses!A151&amp;", "&amp;Courses!$H$10&amp;"; ",""),"")</f>
        <v/>
      </c>
      <c r="AD157" s="183" t="str">
        <f>IF(AND($S$9=1,Courses!B151&lt;&gt;"",Courses!I151&lt;&gt;"",Courses!J151&lt;&gt;""),IF((TRUNC(Courses!J151*100)&lt;&gt;Courses!J151*100),"Row "&amp;Courses!A151&amp;", "&amp;Courses!$J$10&amp;"; ",""),"")</f>
        <v/>
      </c>
      <c r="AF157" s="118"/>
      <c r="AG157" s="1593" t="str">
        <f>IF(AND($T$9=1,G157="",Courses!B151&lt;&gt;"",Courses!K151&lt;&gt;$B$9,Courses!K151&lt;&gt;$B$10,Courses!K151&lt;&gt;$B$11,Courses!K151&lt;&gt;$B$12,Courses!K151&lt;&gt;$B$13,Courses!K151&lt;&gt;$B$14),"Row "&amp;Courses!A151&amp;"; ","")</f>
        <v/>
      </c>
      <c r="AH157" s="1592" t="str">
        <f>IF(AND($U$9=1,G157="",Courses!B151&lt;&gt;"",Courses!L151&lt;&gt;"Standard",Courses!L151&lt;&gt;"Long"),"Row "&amp;Courses!A151&amp;"; ","")</f>
        <v/>
      </c>
      <c r="AJ157" s="118"/>
      <c r="AK157" s="3">
        <v>138</v>
      </c>
      <c r="AL157" s="1593" t="str">
        <f>IF(AND($V$9=1,(TRUNC(Courses!M151)&lt;&gt;Courses!M151)), "Row "&amp;Courses!$A151&amp;", "&amp;AL$9&amp;", "&amp;AL$10&amp;", "&amp;AL$11&amp;"; ","")</f>
        <v/>
      </c>
      <c r="AM157" t="str">
        <f>IF(AND($V$9=1,(TRUNC(Courses!N151)&lt;&gt;Courses!N151)), "Row "&amp;Courses!$A151&amp;", "&amp;AM$9&amp;", "&amp;AM$10&amp;", "&amp;AM$11&amp;"; ","")</f>
        <v/>
      </c>
      <c r="AN157" t="str">
        <f>IF(AND($V$9=1,(TRUNC(Courses!O151)&lt;&gt;Courses!O151)), "Row "&amp;Courses!$A151&amp;", "&amp;AN$9&amp;", "&amp;AN$10&amp;", "&amp;AN$11&amp;"; ","")</f>
        <v/>
      </c>
      <c r="AO157" t="str">
        <f>IF(AND($V$9=1,(TRUNC(Courses!P151)&lt;&gt;Courses!P151)), "Row "&amp;Courses!$A151&amp;", "&amp;AO$9&amp;", "&amp;AO$10&amp;", "&amp;AO$11&amp;"; ","")</f>
        <v/>
      </c>
      <c r="AP157" s="2120" t="str">
        <f>IF(AND($V$9=1,(TRUNC(Courses!Q151)&lt;&gt;Courses!Q151)), "Row "&amp;Courses!$A151&amp;", "&amp;AP$9&amp;", "&amp;AP$10&amp;"; ","")</f>
        <v/>
      </c>
      <c r="AQ157" s="1593" t="str">
        <f>IF(AND($V$9=1,(TRUNC(Courses!R151)&lt;&gt;Courses!R151)), "Row "&amp;Courses!$A151&amp;", "&amp;AQ$9&amp;", "&amp;AQ$10&amp;", "&amp;AQ$11&amp;"; ","")</f>
        <v/>
      </c>
      <c r="AR157" t="str">
        <f>IF(AND($V$9=1,(TRUNC(Courses!S151)&lt;&gt;Courses!S151)), "Row "&amp;Courses!$A151&amp;", "&amp;AR$9&amp;", "&amp;AR$10&amp;", "&amp;AR$11&amp;"; ","")</f>
        <v/>
      </c>
      <c r="AS157" t="str">
        <f>IF(AND($V$9=1,(TRUNC(Courses!T151)&lt;&gt;Courses!T151)), "Row "&amp;Courses!$A151&amp;", "&amp;AS$9&amp;", "&amp;AS$10&amp;", "&amp;AS$11&amp;"; ","")</f>
        <v/>
      </c>
      <c r="AT157" t="str">
        <f>IF(AND($V$9=1,(TRUNC(Courses!U151)&lt;&gt;Courses!U151)), "Row "&amp;Courses!$A151&amp;", "&amp;AT$9&amp;", "&amp;AT$10&amp;", "&amp;AT$11&amp;"; ","")</f>
        <v/>
      </c>
      <c r="AU157" s="2120" t="str">
        <f>IF(AND($V$9=1,(TRUNC(Courses!V151)&lt;&gt;Courses!V151)), "Row "&amp;Courses!$A151&amp;", "&amp;AU$9&amp;", "&amp;AU$10&amp;"; ","")</f>
        <v/>
      </c>
      <c r="AV157" s="1593" t="str">
        <f>IF(AND($V$9=1,(TRUNC(Courses!W151)&lt;&gt;Courses!W151)), "Row "&amp;Courses!$A151&amp;", "&amp;AV$9&amp;", "&amp;AV$10&amp;", "&amp;AV$11&amp;"; ","")</f>
        <v/>
      </c>
      <c r="AW157" t="str">
        <f>IF(AND($V$9=1,(TRUNC(Courses!X151)&lt;&gt;Courses!X151)), "Row "&amp;Courses!$A151&amp;", "&amp;AW$9&amp;", "&amp;AW$10&amp;", "&amp;AW$11&amp;"; ","")</f>
        <v/>
      </c>
      <c r="AX157" t="str">
        <f>IF(AND($V$9=1,(TRUNC(Courses!Y151)&lt;&gt;Courses!Y151)), "Row "&amp;Courses!$A151&amp;", "&amp;AX$9&amp;", "&amp;AX$10&amp;", "&amp;AX$11&amp;"; ","")</f>
        <v/>
      </c>
      <c r="AY157" t="str">
        <f>IF(AND($V$9=1,(TRUNC(Courses!Z151)&lt;&gt;Courses!Z151)), "Row "&amp;Courses!$A151&amp;", "&amp;AY$9&amp;", "&amp;AY$10&amp;", "&amp;AY$11&amp;"; ","")</f>
        <v/>
      </c>
      <c r="AZ157" s="2120" t="str">
        <f>IF(AND($V$9=1,(TRUNC(Courses!AA151)&lt;&gt;Courses!AA151)), "Row "&amp;Courses!$A151&amp;", "&amp;AZ$9&amp;", "&amp;AZ$10&amp;"; ","")</f>
        <v/>
      </c>
      <c r="BB157" s="118"/>
      <c r="BC157" s="3">
        <v>138</v>
      </c>
      <c r="BD157" s="1593" t="str">
        <f>IF(AND($W$9=1,Courses!M151&lt;0), "Row "&amp;Courses!$A151&amp;", "&amp;BD$9&amp;", "&amp;BD$10&amp;", "&amp;BD$11&amp;"; ","")</f>
        <v/>
      </c>
      <c r="BE157" t="str">
        <f>IF(AND($W$9=1,Courses!N151&lt;0), "Row "&amp;Courses!$A151&amp;", "&amp;BE$9&amp;", "&amp;BE$10&amp;", "&amp;BE$11&amp;"; ","")</f>
        <v/>
      </c>
      <c r="BF157" t="str">
        <f>IF(AND($W$9=1,Courses!O151&lt;0), "Row "&amp;Courses!$A151&amp;", "&amp;BF$9&amp;", "&amp;BF$10&amp;", "&amp;BF$11&amp;"; ","")</f>
        <v/>
      </c>
      <c r="BG157" t="str">
        <f>IF(AND($W$9=1,Courses!P151&lt;0), "Row "&amp;Courses!$A151&amp;", "&amp;BG$9&amp;", "&amp;BG$10&amp;", "&amp;BG$11&amp;"; ","")</f>
        <v/>
      </c>
      <c r="BH157" s="2120" t="str">
        <f>IF(AND($W$9=1,Courses!Q151&lt;0), "Row "&amp;Courses!$A151&amp;", "&amp;BH$9&amp;", "&amp;BH$10&amp;"; ","")</f>
        <v/>
      </c>
      <c r="BI157" s="1593" t="str">
        <f>IF(AND($W$9=1,Courses!R151&lt;0), "Row "&amp;Courses!$A151&amp;", "&amp;BI$9&amp;", "&amp;BI$10&amp;", "&amp;BI$11&amp;"; ","")</f>
        <v/>
      </c>
      <c r="BJ157" t="str">
        <f>IF(AND($W$9=1,Courses!S151&lt;0), "Row "&amp;Courses!$A151&amp;", "&amp;BJ$9&amp;", "&amp;BJ$10&amp;", "&amp;BJ$11&amp;"; ","")</f>
        <v/>
      </c>
      <c r="BK157" t="str">
        <f>IF(AND($W$9=1,Courses!T151&lt;0), "Row "&amp;Courses!$A151&amp;", "&amp;BK$9&amp;", "&amp;BK$10&amp;", "&amp;BK$11&amp;"; ","")</f>
        <v/>
      </c>
      <c r="BL157" t="str">
        <f>IF(AND($W$9=1,Courses!U151&lt;0), "Row "&amp;Courses!$A151&amp;", "&amp;BL$9&amp;", "&amp;BL$10&amp;", "&amp;BL$11&amp;"; ","")</f>
        <v/>
      </c>
      <c r="BM157" s="2120" t="str">
        <f>IF(AND($W$9=1,Courses!V151&lt;0), "Row "&amp;Courses!$A151&amp;", "&amp;BM$9&amp;", "&amp;BM$10&amp;"; ","")</f>
        <v/>
      </c>
      <c r="BN157" t="str">
        <f>IF(AND($W$9=1,Courses!W151&lt;0), "Row "&amp;Courses!$A151&amp;", "&amp;BN$9&amp;", "&amp;BN$10&amp;", "&amp;BN$11&amp;"; ","")</f>
        <v/>
      </c>
      <c r="BO157" t="str">
        <f>IF(AND($W$9=1,Courses!X151&lt;0), "Row "&amp;Courses!$A151&amp;", "&amp;BO$9&amp;", "&amp;BO$10&amp;", "&amp;BO$11&amp;"; ","")</f>
        <v/>
      </c>
      <c r="BP157" t="str">
        <f>IF(AND($W$9=1,Courses!Y151&lt;0), "Row "&amp;Courses!$A151&amp;", "&amp;BP$9&amp;", "&amp;BP$10&amp;", "&amp;BP$11&amp;"; ","")</f>
        <v/>
      </c>
      <c r="BQ157" t="str">
        <f>IF(AND($W$9=1,Courses!Z151&lt;0), "Row "&amp;Courses!$A151&amp;", "&amp;BQ$9&amp;", "&amp;BQ$10&amp;", "&amp;BQ$11&amp;"; ","")</f>
        <v/>
      </c>
      <c r="BR157" s="2120" t="str">
        <f>IF(AND($W$9=1,Courses!AA151&lt;0), "Row "&amp;Courses!$A151&amp;", "&amp;BR$9&amp;", "&amp;BR$10&amp;"; ","")</f>
        <v/>
      </c>
      <c r="BT157" s="3">
        <v>138</v>
      </c>
      <c r="BU157" s="40">
        <f>IF(AND($X$9=1,Courses!B151="",Courses!F151="",Courses!H151="",Courses!J151="",Courses!K151="",Courses!L151="",Courses!M151=0,Courses!N151=0,Courses!O151=0,Courses!P151=0,Courses!Q151=0,Courses!R151=0,Courses!S151=0,Courses!T151=0,Courses!U151=0,Courses!V151=0,Courses!W151=0,Courses!X151=0,Courses!Y151=0,Courses!Z151=0,Courses!AA151=0),0,1)</f>
        <v>0</v>
      </c>
      <c r="BV157" s="40">
        <f>IF(AND(BU157=0,SUM(BU158:$BU$219)&gt;0),1,0)</f>
        <v>0</v>
      </c>
      <c r="BW157" s="1592" t="str">
        <f>IF(BV157=1,"Row "&amp;Courses!A151&amp;"; ","")</f>
        <v/>
      </c>
      <c r="BX157" s="17"/>
      <c r="BZ157" s="1592" t="str">
        <f>IF(AND($Y$9=1,Courses!B151&lt;&gt;"",SUM(Courses!M151:AA151)=0),"Row "&amp;Courses!A151&amp;"; ","")</f>
        <v/>
      </c>
      <c r="CA157" s="17"/>
      <c r="CC157" s="1592" t="str">
        <f>IF(AND($Z$9=1,Courses!AD151=1,(LEN(Courses!AB151)&gt;200)),"Row "&amp;Courses!A151&amp;"; ","")</f>
        <v/>
      </c>
      <c r="CE157" s="131"/>
      <c r="CG157" s="1593" t="str">
        <f>IF(AND($AD$9=1,Courses!E151&lt;&gt;"",Courses!F151&lt;&gt;"",Courses!F151=0,SUM(Courses!H151,Courses!J151)=1),"Row "&amp;Courses!A151&amp;", "&amp;Courses!$F$10&amp;"; ","")</f>
        <v/>
      </c>
      <c r="CH157" t="str">
        <f>IF(AND($AD$9=1,Courses!G151&lt;&gt;"",Courses!H151&lt;&gt;"",Courses!H151=0,SUM(Courses!J151,Courses!F151)=1),"Row "&amp;Courses!A151&amp;", "&amp;Courses!$H$10&amp;"; ","")</f>
        <v/>
      </c>
      <c r="CI157" s="183" t="str">
        <f>IF(AND($AD$9=1,Courses!I151&lt;&gt;"",Courses!J151&lt;&gt;"",Courses!J151=0, SUM(Courses!H151,Courses!F151)=1),"Row "&amp;Courses!A151&amp;", "&amp;Courses!$J$10&amp;"; ","")</f>
        <v/>
      </c>
      <c r="CJ157" s="180"/>
      <c r="CK157" s="181"/>
      <c r="CL157" s="1592" t="str">
        <f>IF(AND(Courses!B151&lt;&gt;"",ISNA(VLOOKUP(Courses!C151,CourseInfo,2,FALSE))=FALSE,COUNTIF(Dummy,Courses!C151)&lt;&gt;1),VLOOKUP(Courses!C151,CourseInfo,6,FALSE),"")</f>
        <v/>
      </c>
      <c r="CM157" s="1592" t="str">
        <f>IF(AND($AE$9=1,Courses!B151&lt;&gt;"",'Courses Valid'!AG157="",COUNTIF(Dummy,Courses!C151)&lt;&gt;1),IF(Courses!K151&lt;&gt;'Courses Valid'!CL157,"Row "&amp;Courses!A151&amp;", Level on LARS is "&amp;'Courses Valid'!CL157&amp;"; ",""),"")</f>
        <v/>
      </c>
      <c r="CN157" s="131"/>
    </row>
    <row r="158" spans="3:92" x14ac:dyDescent="0.35">
      <c r="C158" s="1591">
        <f t="shared" si="4"/>
        <v>0</v>
      </c>
      <c r="D158" s="41"/>
      <c r="E158" s="41"/>
      <c r="F158" s="118"/>
      <c r="G158" s="1592" t="str">
        <f>IF(SUMPRODUCT(--(CourseAims=Courses!$C152))=1,"",IF(AND($N$9=1,Courses!$C152&lt;&gt;""),"Row "&amp;Courses!A152&amp;" (invalid); ",""))</f>
        <v/>
      </c>
      <c r="H158" s="1592" t="str">
        <f>IF(AND($O$9=1,Courses!B152="",OR(Courses!F152&lt;&gt;"",Courses!H152&lt;&gt;"",Courses!J152&lt;&gt;"",Courses!K152&lt;&gt;"",Courses!L152&lt;&gt;"",Courses!M152&lt;&gt;0,Courses!N152&lt;&gt;0,Courses!O152&lt;&gt;0,Courses!P152&lt;&gt;0,Courses!Q152&lt;&gt;0,Courses!R152&lt;&gt;0,Courses!S152&lt;&gt;0,Courses!T152&lt;&gt;0,Courses!U152&lt;&gt;0,Courses!V152&lt;&gt;0,Courses!W152&lt;&gt;0,Courses!X152&lt;&gt;0,Courses!Y152&lt;&gt;0,Courses!Z152&lt;&gt;0,Courses!AA152&lt;&gt;0)),"Row "&amp;Courses!A152&amp;" (none); ","")</f>
        <v/>
      </c>
      <c r="I158" s="1596"/>
      <c r="K158" s="1592" t="str">
        <f>Courses!B152&amp;Courses!K152&amp;Courses!L152</f>
        <v/>
      </c>
      <c r="L158" s="1592" t="str">
        <f>IF(AND($P$9=1,Courses!$B152&lt;&gt;"",COUNTIF(Dummy,Courses!$C152)&lt;&gt;1),IF(SUMPRODUCT(--($K$20:$K$219=$K158))&gt;1,"Row "&amp;Courses!$A152&amp;"; ",""),"")</f>
        <v/>
      </c>
      <c r="N158" s="118"/>
      <c r="O158" s="1593" t="str">
        <f>IF(AND($Q$9=1,Courses!E152&lt;&gt;"",Courses!F152=""),"Row "&amp;Courses!A152&amp;", "&amp;Courses!$E$10&amp;"; ","")</f>
        <v/>
      </c>
      <c r="P158" t="str">
        <f>IF(AND($Q$9=1,Courses!G152&lt;&gt;"",Courses!H152=""),"Row "&amp;Courses!A152&amp;", "&amp;Courses!$G$10&amp;"; ","")</f>
        <v/>
      </c>
      <c r="Q158" s="183" t="str">
        <f>IF(AND($Q$9=1,Courses!I152&lt;&gt;"",Courses!J152=""),"Row "&amp;Courses!A152&amp;", "&amp;Courses!$I$10&amp;"; ","")</f>
        <v/>
      </c>
      <c r="T158" s="118"/>
      <c r="U158" s="1593" t="str">
        <f>IF(AND($R$9=1,Courses!B152&lt;&gt;"",Courses!E152&lt;&gt;"",Courses!G152="",Courses!I152="",Courses!F152&lt;&gt;1),"Row "&amp;Courses!A152&amp;"; ","")</f>
        <v/>
      </c>
      <c r="V158" t="str">
        <f>IF(AND($R$9=1,Courses!B152&lt;&gt;"",Courses!I152="",Courses!F152&lt;&gt;"",Courses!G152&lt;&gt;"",Courses!H152&lt;&gt;""),IF(OR((Courses!F152+Courses!H152)&lt;&gt;1),"Row "&amp;Courses!A152&amp;"; ",""),"")</f>
        <v/>
      </c>
      <c r="W158" s="183" t="str">
        <f>IF(AND($R$9=1,Courses!B152&lt;&gt;"",Courses!I152&lt;&gt;"",Courses!J152&lt;&gt;"",Courses!H152&lt;&gt;"",Courses!G152&lt;&gt;"",Courses!F152&lt;&gt;""),IF(OR((Courses!F152+Courses!H152+Courses!J152)&lt;&gt;1),"Row "&amp;Courses!A152&amp;"; ",""),"")</f>
        <v/>
      </c>
      <c r="Y158" s="1592" t="str">
        <f>IF(AND($R$9=1,Courses!E152&lt;&gt;"",U158="",V158="",W158="",SUM(Courses!F152,Courses!H152,Courses!J152)&lt;&gt;1),"Row "&amp;Courses!A152&amp;"; ","")</f>
        <v/>
      </c>
      <c r="AA158" s="118"/>
      <c r="AB158" s="1593" t="str">
        <f>IF(AND($S$9=1,Courses!B152&lt;&gt;"",Courses!E152&lt;&gt;"",Courses!F152&lt;&gt;""),IF((TRUNC(Courses!F152*100)&lt;&gt;Courses!F152*100),"Row "&amp;Courses!A152&amp;", "&amp;Courses!$F$10&amp;"; ",""),"")</f>
        <v/>
      </c>
      <c r="AC158" t="str">
        <f>IF(AND($S$9=1,Courses!B152&lt;&gt;"",Courses!G152&lt;&gt;"",Courses!H152&lt;&gt;""),IF((TRUNC(Courses!H152*100)&lt;&gt;Courses!H152*100),"Row "&amp;Courses!A152&amp;", "&amp;Courses!$H$10&amp;"; ",""),"")</f>
        <v/>
      </c>
      <c r="AD158" s="183" t="str">
        <f>IF(AND($S$9=1,Courses!B152&lt;&gt;"",Courses!I152&lt;&gt;"",Courses!J152&lt;&gt;""),IF((TRUNC(Courses!J152*100)&lt;&gt;Courses!J152*100),"Row "&amp;Courses!A152&amp;", "&amp;Courses!$J$10&amp;"; ",""),"")</f>
        <v/>
      </c>
      <c r="AF158" s="118"/>
      <c r="AG158" s="1593" t="str">
        <f>IF(AND($T$9=1,G158="",Courses!B152&lt;&gt;"",Courses!K152&lt;&gt;$B$9,Courses!K152&lt;&gt;$B$10,Courses!K152&lt;&gt;$B$11,Courses!K152&lt;&gt;$B$12,Courses!K152&lt;&gt;$B$13,Courses!K152&lt;&gt;$B$14),"Row "&amp;Courses!A152&amp;"; ","")</f>
        <v/>
      </c>
      <c r="AH158" s="1592" t="str">
        <f>IF(AND($U$9=1,G158="",Courses!B152&lt;&gt;"",Courses!L152&lt;&gt;"Standard",Courses!L152&lt;&gt;"Long"),"Row "&amp;Courses!A152&amp;"; ","")</f>
        <v/>
      </c>
      <c r="AJ158" s="118"/>
      <c r="AK158" s="3">
        <v>139</v>
      </c>
      <c r="AL158" s="1593" t="str">
        <f>IF(AND($V$9=1,(TRUNC(Courses!M152)&lt;&gt;Courses!M152)), "Row "&amp;Courses!$A152&amp;", "&amp;AL$9&amp;", "&amp;AL$10&amp;", "&amp;AL$11&amp;"; ","")</f>
        <v/>
      </c>
      <c r="AM158" t="str">
        <f>IF(AND($V$9=1,(TRUNC(Courses!N152)&lt;&gt;Courses!N152)), "Row "&amp;Courses!$A152&amp;", "&amp;AM$9&amp;", "&amp;AM$10&amp;", "&amp;AM$11&amp;"; ","")</f>
        <v/>
      </c>
      <c r="AN158" t="str">
        <f>IF(AND($V$9=1,(TRUNC(Courses!O152)&lt;&gt;Courses!O152)), "Row "&amp;Courses!$A152&amp;", "&amp;AN$9&amp;", "&amp;AN$10&amp;", "&amp;AN$11&amp;"; ","")</f>
        <v/>
      </c>
      <c r="AO158" t="str">
        <f>IF(AND($V$9=1,(TRUNC(Courses!P152)&lt;&gt;Courses!P152)), "Row "&amp;Courses!$A152&amp;", "&amp;AO$9&amp;", "&amp;AO$10&amp;", "&amp;AO$11&amp;"; ","")</f>
        <v/>
      </c>
      <c r="AP158" s="2120" t="str">
        <f>IF(AND($V$9=1,(TRUNC(Courses!Q152)&lt;&gt;Courses!Q152)), "Row "&amp;Courses!$A152&amp;", "&amp;AP$9&amp;", "&amp;AP$10&amp;"; ","")</f>
        <v/>
      </c>
      <c r="AQ158" s="1593" t="str">
        <f>IF(AND($V$9=1,(TRUNC(Courses!R152)&lt;&gt;Courses!R152)), "Row "&amp;Courses!$A152&amp;", "&amp;AQ$9&amp;", "&amp;AQ$10&amp;", "&amp;AQ$11&amp;"; ","")</f>
        <v/>
      </c>
      <c r="AR158" t="str">
        <f>IF(AND($V$9=1,(TRUNC(Courses!S152)&lt;&gt;Courses!S152)), "Row "&amp;Courses!$A152&amp;", "&amp;AR$9&amp;", "&amp;AR$10&amp;", "&amp;AR$11&amp;"; ","")</f>
        <v/>
      </c>
      <c r="AS158" t="str">
        <f>IF(AND($V$9=1,(TRUNC(Courses!T152)&lt;&gt;Courses!T152)), "Row "&amp;Courses!$A152&amp;", "&amp;AS$9&amp;", "&amp;AS$10&amp;", "&amp;AS$11&amp;"; ","")</f>
        <v/>
      </c>
      <c r="AT158" t="str">
        <f>IF(AND($V$9=1,(TRUNC(Courses!U152)&lt;&gt;Courses!U152)), "Row "&amp;Courses!$A152&amp;", "&amp;AT$9&amp;", "&amp;AT$10&amp;", "&amp;AT$11&amp;"; ","")</f>
        <v/>
      </c>
      <c r="AU158" s="2120" t="str">
        <f>IF(AND($V$9=1,(TRUNC(Courses!V152)&lt;&gt;Courses!V152)), "Row "&amp;Courses!$A152&amp;", "&amp;AU$9&amp;", "&amp;AU$10&amp;"; ","")</f>
        <v/>
      </c>
      <c r="AV158" s="1593" t="str">
        <f>IF(AND($V$9=1,(TRUNC(Courses!W152)&lt;&gt;Courses!W152)), "Row "&amp;Courses!$A152&amp;", "&amp;AV$9&amp;", "&amp;AV$10&amp;", "&amp;AV$11&amp;"; ","")</f>
        <v/>
      </c>
      <c r="AW158" t="str">
        <f>IF(AND($V$9=1,(TRUNC(Courses!X152)&lt;&gt;Courses!X152)), "Row "&amp;Courses!$A152&amp;", "&amp;AW$9&amp;", "&amp;AW$10&amp;", "&amp;AW$11&amp;"; ","")</f>
        <v/>
      </c>
      <c r="AX158" t="str">
        <f>IF(AND($V$9=1,(TRUNC(Courses!Y152)&lt;&gt;Courses!Y152)), "Row "&amp;Courses!$A152&amp;", "&amp;AX$9&amp;", "&amp;AX$10&amp;", "&amp;AX$11&amp;"; ","")</f>
        <v/>
      </c>
      <c r="AY158" t="str">
        <f>IF(AND($V$9=1,(TRUNC(Courses!Z152)&lt;&gt;Courses!Z152)), "Row "&amp;Courses!$A152&amp;", "&amp;AY$9&amp;", "&amp;AY$10&amp;", "&amp;AY$11&amp;"; ","")</f>
        <v/>
      </c>
      <c r="AZ158" s="2120" t="str">
        <f>IF(AND($V$9=1,(TRUNC(Courses!AA152)&lt;&gt;Courses!AA152)), "Row "&amp;Courses!$A152&amp;", "&amp;AZ$9&amp;", "&amp;AZ$10&amp;"; ","")</f>
        <v/>
      </c>
      <c r="BB158" s="118"/>
      <c r="BC158" s="3">
        <v>139</v>
      </c>
      <c r="BD158" s="1593" t="str">
        <f>IF(AND($W$9=1,Courses!M152&lt;0), "Row "&amp;Courses!$A152&amp;", "&amp;BD$9&amp;", "&amp;BD$10&amp;", "&amp;BD$11&amp;"; ","")</f>
        <v/>
      </c>
      <c r="BE158" t="str">
        <f>IF(AND($W$9=1,Courses!N152&lt;0), "Row "&amp;Courses!$A152&amp;", "&amp;BE$9&amp;", "&amp;BE$10&amp;", "&amp;BE$11&amp;"; ","")</f>
        <v/>
      </c>
      <c r="BF158" t="str">
        <f>IF(AND($W$9=1,Courses!O152&lt;0), "Row "&amp;Courses!$A152&amp;", "&amp;BF$9&amp;", "&amp;BF$10&amp;", "&amp;BF$11&amp;"; ","")</f>
        <v/>
      </c>
      <c r="BG158" t="str">
        <f>IF(AND($W$9=1,Courses!P152&lt;0), "Row "&amp;Courses!$A152&amp;", "&amp;BG$9&amp;", "&amp;BG$10&amp;", "&amp;BG$11&amp;"; ","")</f>
        <v/>
      </c>
      <c r="BH158" s="2120" t="str">
        <f>IF(AND($W$9=1,Courses!Q152&lt;0), "Row "&amp;Courses!$A152&amp;", "&amp;BH$9&amp;", "&amp;BH$10&amp;"; ","")</f>
        <v/>
      </c>
      <c r="BI158" s="1593" t="str">
        <f>IF(AND($W$9=1,Courses!R152&lt;0), "Row "&amp;Courses!$A152&amp;", "&amp;BI$9&amp;", "&amp;BI$10&amp;", "&amp;BI$11&amp;"; ","")</f>
        <v/>
      </c>
      <c r="BJ158" t="str">
        <f>IF(AND($W$9=1,Courses!S152&lt;0), "Row "&amp;Courses!$A152&amp;", "&amp;BJ$9&amp;", "&amp;BJ$10&amp;", "&amp;BJ$11&amp;"; ","")</f>
        <v/>
      </c>
      <c r="BK158" t="str">
        <f>IF(AND($W$9=1,Courses!T152&lt;0), "Row "&amp;Courses!$A152&amp;", "&amp;BK$9&amp;", "&amp;BK$10&amp;", "&amp;BK$11&amp;"; ","")</f>
        <v/>
      </c>
      <c r="BL158" t="str">
        <f>IF(AND($W$9=1,Courses!U152&lt;0), "Row "&amp;Courses!$A152&amp;", "&amp;BL$9&amp;", "&amp;BL$10&amp;", "&amp;BL$11&amp;"; ","")</f>
        <v/>
      </c>
      <c r="BM158" s="2120" t="str">
        <f>IF(AND($W$9=1,Courses!V152&lt;0), "Row "&amp;Courses!$A152&amp;", "&amp;BM$9&amp;", "&amp;BM$10&amp;"; ","")</f>
        <v/>
      </c>
      <c r="BN158" t="str">
        <f>IF(AND($W$9=1,Courses!W152&lt;0), "Row "&amp;Courses!$A152&amp;", "&amp;BN$9&amp;", "&amp;BN$10&amp;", "&amp;BN$11&amp;"; ","")</f>
        <v/>
      </c>
      <c r="BO158" t="str">
        <f>IF(AND($W$9=1,Courses!X152&lt;0), "Row "&amp;Courses!$A152&amp;", "&amp;BO$9&amp;", "&amp;BO$10&amp;", "&amp;BO$11&amp;"; ","")</f>
        <v/>
      </c>
      <c r="BP158" t="str">
        <f>IF(AND($W$9=1,Courses!Y152&lt;0), "Row "&amp;Courses!$A152&amp;", "&amp;BP$9&amp;", "&amp;BP$10&amp;", "&amp;BP$11&amp;"; ","")</f>
        <v/>
      </c>
      <c r="BQ158" t="str">
        <f>IF(AND($W$9=1,Courses!Z152&lt;0), "Row "&amp;Courses!$A152&amp;", "&amp;BQ$9&amp;", "&amp;BQ$10&amp;", "&amp;BQ$11&amp;"; ","")</f>
        <v/>
      </c>
      <c r="BR158" s="2120" t="str">
        <f>IF(AND($W$9=1,Courses!AA152&lt;0), "Row "&amp;Courses!$A152&amp;", "&amp;BR$9&amp;", "&amp;BR$10&amp;"; ","")</f>
        <v/>
      </c>
      <c r="BT158" s="3">
        <v>139</v>
      </c>
      <c r="BU158" s="40">
        <f>IF(AND($X$9=1,Courses!B152="",Courses!F152="",Courses!H152="",Courses!J152="",Courses!K152="",Courses!L152="",Courses!M152=0,Courses!N152=0,Courses!O152=0,Courses!P152=0,Courses!Q152=0,Courses!R152=0,Courses!S152=0,Courses!T152=0,Courses!U152=0,Courses!V152=0,Courses!W152=0,Courses!X152=0,Courses!Y152=0,Courses!Z152=0,Courses!AA152=0),0,1)</f>
        <v>0</v>
      </c>
      <c r="BV158" s="40">
        <f>IF(AND(BU158=0,SUM(BU159:$BU$219)&gt;0),1,0)</f>
        <v>0</v>
      </c>
      <c r="BW158" s="1592" t="str">
        <f>IF(BV158=1,"Row "&amp;Courses!A152&amp;"; ","")</f>
        <v/>
      </c>
      <c r="BX158" s="17"/>
      <c r="BZ158" s="1592" t="str">
        <f>IF(AND($Y$9=1,Courses!B152&lt;&gt;"",SUM(Courses!M152:AA152)=0),"Row "&amp;Courses!A152&amp;"; ","")</f>
        <v/>
      </c>
      <c r="CA158" s="17"/>
      <c r="CC158" s="1592" t="str">
        <f>IF(AND($Z$9=1,Courses!AD152=1,(LEN(Courses!AB152)&gt;200)),"Row "&amp;Courses!A152&amp;"; ","")</f>
        <v/>
      </c>
      <c r="CE158" s="131"/>
      <c r="CG158" s="1593" t="str">
        <f>IF(AND($AD$9=1,Courses!E152&lt;&gt;"",Courses!F152&lt;&gt;"",Courses!F152=0,SUM(Courses!H152,Courses!J152)=1),"Row "&amp;Courses!A152&amp;", "&amp;Courses!$F$10&amp;"; ","")</f>
        <v/>
      </c>
      <c r="CH158" t="str">
        <f>IF(AND($AD$9=1,Courses!G152&lt;&gt;"",Courses!H152&lt;&gt;"",Courses!H152=0,SUM(Courses!J152,Courses!F152)=1),"Row "&amp;Courses!A152&amp;", "&amp;Courses!$H$10&amp;"; ","")</f>
        <v/>
      </c>
      <c r="CI158" s="183" t="str">
        <f>IF(AND($AD$9=1,Courses!I152&lt;&gt;"",Courses!J152&lt;&gt;"",Courses!J152=0, SUM(Courses!H152,Courses!F152)=1),"Row "&amp;Courses!A152&amp;", "&amp;Courses!$J$10&amp;"; ","")</f>
        <v/>
      </c>
      <c r="CJ158" s="180"/>
      <c r="CK158" s="181"/>
      <c r="CL158" s="1592" t="str">
        <f>IF(AND(Courses!B152&lt;&gt;"",ISNA(VLOOKUP(Courses!C152,CourseInfo,2,FALSE))=FALSE,COUNTIF(Dummy,Courses!C152)&lt;&gt;1),VLOOKUP(Courses!C152,CourseInfo,6,FALSE),"")</f>
        <v/>
      </c>
      <c r="CM158" s="1592" t="str">
        <f>IF(AND($AE$9=1,Courses!B152&lt;&gt;"",'Courses Valid'!AG158="",COUNTIF(Dummy,Courses!C152)&lt;&gt;1),IF(Courses!K152&lt;&gt;'Courses Valid'!CL158,"Row "&amp;Courses!A152&amp;", Level on LARS is "&amp;'Courses Valid'!CL158&amp;"; ",""),"")</f>
        <v/>
      </c>
      <c r="CN158" s="131"/>
    </row>
    <row r="159" spans="3:92" x14ac:dyDescent="0.35">
      <c r="C159" s="1591">
        <f t="shared" si="4"/>
        <v>0</v>
      </c>
      <c r="D159" s="41"/>
      <c r="E159" s="41"/>
      <c r="F159" s="118"/>
      <c r="G159" s="1592" t="str">
        <f>IF(SUMPRODUCT(--(CourseAims=Courses!$C153))=1,"",IF(AND($N$9=1,Courses!$C153&lt;&gt;""),"Row "&amp;Courses!A153&amp;" (invalid); ",""))</f>
        <v/>
      </c>
      <c r="H159" s="1592" t="str">
        <f>IF(AND($O$9=1,Courses!B153="",OR(Courses!F153&lt;&gt;"",Courses!H153&lt;&gt;"",Courses!J153&lt;&gt;"",Courses!K153&lt;&gt;"",Courses!L153&lt;&gt;"",Courses!M153&lt;&gt;0,Courses!N153&lt;&gt;0,Courses!O153&lt;&gt;0,Courses!P153&lt;&gt;0,Courses!Q153&lt;&gt;0,Courses!R153&lt;&gt;0,Courses!S153&lt;&gt;0,Courses!T153&lt;&gt;0,Courses!U153&lt;&gt;0,Courses!V153&lt;&gt;0,Courses!W153&lt;&gt;0,Courses!X153&lt;&gt;0,Courses!Y153&lt;&gt;0,Courses!Z153&lt;&gt;0,Courses!AA153&lt;&gt;0)),"Row "&amp;Courses!A153&amp;" (none); ","")</f>
        <v/>
      </c>
      <c r="I159" s="1596"/>
      <c r="K159" s="1592" t="str">
        <f>Courses!B153&amp;Courses!K153&amp;Courses!L153</f>
        <v/>
      </c>
      <c r="L159" s="1592" t="str">
        <f>IF(AND($P$9=1,Courses!$B153&lt;&gt;"",COUNTIF(Dummy,Courses!$C153)&lt;&gt;1),IF(SUMPRODUCT(--($K$20:$K$219=$K159))&gt;1,"Row "&amp;Courses!$A153&amp;"; ",""),"")</f>
        <v/>
      </c>
      <c r="N159" s="118"/>
      <c r="O159" s="1593" t="str">
        <f>IF(AND($Q$9=1,Courses!E153&lt;&gt;"",Courses!F153=""),"Row "&amp;Courses!A153&amp;", "&amp;Courses!$E$10&amp;"; ","")</f>
        <v/>
      </c>
      <c r="P159" t="str">
        <f>IF(AND($Q$9=1,Courses!G153&lt;&gt;"",Courses!H153=""),"Row "&amp;Courses!A153&amp;", "&amp;Courses!$G$10&amp;"; ","")</f>
        <v/>
      </c>
      <c r="Q159" s="183" t="str">
        <f>IF(AND($Q$9=1,Courses!I153&lt;&gt;"",Courses!J153=""),"Row "&amp;Courses!A153&amp;", "&amp;Courses!$I$10&amp;"; ","")</f>
        <v/>
      </c>
      <c r="T159" s="118"/>
      <c r="U159" s="1593" t="str">
        <f>IF(AND($R$9=1,Courses!B153&lt;&gt;"",Courses!E153&lt;&gt;"",Courses!G153="",Courses!I153="",Courses!F153&lt;&gt;1),"Row "&amp;Courses!A153&amp;"; ","")</f>
        <v/>
      </c>
      <c r="V159" t="str">
        <f>IF(AND($R$9=1,Courses!B153&lt;&gt;"",Courses!I153="",Courses!F153&lt;&gt;"",Courses!G153&lt;&gt;"",Courses!H153&lt;&gt;""),IF(OR((Courses!F153+Courses!H153)&lt;&gt;1),"Row "&amp;Courses!A153&amp;"; ",""),"")</f>
        <v/>
      </c>
      <c r="W159" s="183" t="str">
        <f>IF(AND($R$9=1,Courses!B153&lt;&gt;"",Courses!I153&lt;&gt;"",Courses!J153&lt;&gt;"",Courses!H153&lt;&gt;"",Courses!G153&lt;&gt;"",Courses!F153&lt;&gt;""),IF(OR((Courses!F153+Courses!H153+Courses!J153)&lt;&gt;1),"Row "&amp;Courses!A153&amp;"; ",""),"")</f>
        <v/>
      </c>
      <c r="Y159" s="1592" t="str">
        <f>IF(AND($R$9=1,Courses!E153&lt;&gt;"",U159="",V159="",W159="",SUM(Courses!F153,Courses!H153,Courses!J153)&lt;&gt;1),"Row "&amp;Courses!A153&amp;"; ","")</f>
        <v/>
      </c>
      <c r="AA159" s="118"/>
      <c r="AB159" s="1593" t="str">
        <f>IF(AND($S$9=1,Courses!B153&lt;&gt;"",Courses!E153&lt;&gt;"",Courses!F153&lt;&gt;""),IF((TRUNC(Courses!F153*100)&lt;&gt;Courses!F153*100),"Row "&amp;Courses!A153&amp;", "&amp;Courses!$F$10&amp;"; ",""),"")</f>
        <v/>
      </c>
      <c r="AC159" t="str">
        <f>IF(AND($S$9=1,Courses!B153&lt;&gt;"",Courses!G153&lt;&gt;"",Courses!H153&lt;&gt;""),IF((TRUNC(Courses!H153*100)&lt;&gt;Courses!H153*100),"Row "&amp;Courses!A153&amp;", "&amp;Courses!$H$10&amp;"; ",""),"")</f>
        <v/>
      </c>
      <c r="AD159" s="183" t="str">
        <f>IF(AND($S$9=1,Courses!B153&lt;&gt;"",Courses!I153&lt;&gt;"",Courses!J153&lt;&gt;""),IF((TRUNC(Courses!J153*100)&lt;&gt;Courses!J153*100),"Row "&amp;Courses!A153&amp;", "&amp;Courses!$J$10&amp;"; ",""),"")</f>
        <v/>
      </c>
      <c r="AF159" s="118"/>
      <c r="AG159" s="1593" t="str">
        <f>IF(AND($T$9=1,G159="",Courses!B153&lt;&gt;"",Courses!K153&lt;&gt;$B$9,Courses!K153&lt;&gt;$B$10,Courses!K153&lt;&gt;$B$11,Courses!K153&lt;&gt;$B$12,Courses!K153&lt;&gt;$B$13,Courses!K153&lt;&gt;$B$14),"Row "&amp;Courses!A153&amp;"; ","")</f>
        <v/>
      </c>
      <c r="AH159" s="1592" t="str">
        <f>IF(AND($U$9=1,G159="",Courses!B153&lt;&gt;"",Courses!L153&lt;&gt;"Standard",Courses!L153&lt;&gt;"Long"),"Row "&amp;Courses!A153&amp;"; ","")</f>
        <v/>
      </c>
      <c r="AJ159" s="118"/>
      <c r="AK159" s="3">
        <v>140</v>
      </c>
      <c r="AL159" s="1593" t="str">
        <f>IF(AND($V$9=1,(TRUNC(Courses!M153)&lt;&gt;Courses!M153)), "Row "&amp;Courses!$A153&amp;", "&amp;AL$9&amp;", "&amp;AL$10&amp;", "&amp;AL$11&amp;"; ","")</f>
        <v/>
      </c>
      <c r="AM159" t="str">
        <f>IF(AND($V$9=1,(TRUNC(Courses!N153)&lt;&gt;Courses!N153)), "Row "&amp;Courses!$A153&amp;", "&amp;AM$9&amp;", "&amp;AM$10&amp;", "&amp;AM$11&amp;"; ","")</f>
        <v/>
      </c>
      <c r="AN159" t="str">
        <f>IF(AND($V$9=1,(TRUNC(Courses!O153)&lt;&gt;Courses!O153)), "Row "&amp;Courses!$A153&amp;", "&amp;AN$9&amp;", "&amp;AN$10&amp;", "&amp;AN$11&amp;"; ","")</f>
        <v/>
      </c>
      <c r="AO159" t="str">
        <f>IF(AND($V$9=1,(TRUNC(Courses!P153)&lt;&gt;Courses!P153)), "Row "&amp;Courses!$A153&amp;", "&amp;AO$9&amp;", "&amp;AO$10&amp;", "&amp;AO$11&amp;"; ","")</f>
        <v/>
      </c>
      <c r="AP159" s="2120" t="str">
        <f>IF(AND($V$9=1,(TRUNC(Courses!Q153)&lt;&gt;Courses!Q153)), "Row "&amp;Courses!$A153&amp;", "&amp;AP$9&amp;", "&amp;AP$10&amp;"; ","")</f>
        <v/>
      </c>
      <c r="AQ159" s="1593" t="str">
        <f>IF(AND($V$9=1,(TRUNC(Courses!R153)&lt;&gt;Courses!R153)), "Row "&amp;Courses!$A153&amp;", "&amp;AQ$9&amp;", "&amp;AQ$10&amp;", "&amp;AQ$11&amp;"; ","")</f>
        <v/>
      </c>
      <c r="AR159" t="str">
        <f>IF(AND($V$9=1,(TRUNC(Courses!S153)&lt;&gt;Courses!S153)), "Row "&amp;Courses!$A153&amp;", "&amp;AR$9&amp;", "&amp;AR$10&amp;", "&amp;AR$11&amp;"; ","")</f>
        <v/>
      </c>
      <c r="AS159" t="str">
        <f>IF(AND($V$9=1,(TRUNC(Courses!T153)&lt;&gt;Courses!T153)), "Row "&amp;Courses!$A153&amp;", "&amp;AS$9&amp;", "&amp;AS$10&amp;", "&amp;AS$11&amp;"; ","")</f>
        <v/>
      </c>
      <c r="AT159" t="str">
        <f>IF(AND($V$9=1,(TRUNC(Courses!U153)&lt;&gt;Courses!U153)), "Row "&amp;Courses!$A153&amp;", "&amp;AT$9&amp;", "&amp;AT$10&amp;", "&amp;AT$11&amp;"; ","")</f>
        <v/>
      </c>
      <c r="AU159" s="2120" t="str">
        <f>IF(AND($V$9=1,(TRUNC(Courses!V153)&lt;&gt;Courses!V153)), "Row "&amp;Courses!$A153&amp;", "&amp;AU$9&amp;", "&amp;AU$10&amp;"; ","")</f>
        <v/>
      </c>
      <c r="AV159" s="1593" t="str">
        <f>IF(AND($V$9=1,(TRUNC(Courses!W153)&lt;&gt;Courses!W153)), "Row "&amp;Courses!$A153&amp;", "&amp;AV$9&amp;", "&amp;AV$10&amp;", "&amp;AV$11&amp;"; ","")</f>
        <v/>
      </c>
      <c r="AW159" t="str">
        <f>IF(AND($V$9=1,(TRUNC(Courses!X153)&lt;&gt;Courses!X153)), "Row "&amp;Courses!$A153&amp;", "&amp;AW$9&amp;", "&amp;AW$10&amp;", "&amp;AW$11&amp;"; ","")</f>
        <v/>
      </c>
      <c r="AX159" t="str">
        <f>IF(AND($V$9=1,(TRUNC(Courses!Y153)&lt;&gt;Courses!Y153)), "Row "&amp;Courses!$A153&amp;", "&amp;AX$9&amp;", "&amp;AX$10&amp;", "&amp;AX$11&amp;"; ","")</f>
        <v/>
      </c>
      <c r="AY159" t="str">
        <f>IF(AND($V$9=1,(TRUNC(Courses!Z153)&lt;&gt;Courses!Z153)), "Row "&amp;Courses!$A153&amp;", "&amp;AY$9&amp;", "&amp;AY$10&amp;", "&amp;AY$11&amp;"; ","")</f>
        <v/>
      </c>
      <c r="AZ159" s="2120" t="str">
        <f>IF(AND($V$9=1,(TRUNC(Courses!AA153)&lt;&gt;Courses!AA153)), "Row "&amp;Courses!$A153&amp;", "&amp;AZ$9&amp;", "&amp;AZ$10&amp;"; ","")</f>
        <v/>
      </c>
      <c r="BB159" s="118"/>
      <c r="BC159" s="3">
        <v>140</v>
      </c>
      <c r="BD159" s="1593" t="str">
        <f>IF(AND($W$9=1,Courses!M153&lt;0), "Row "&amp;Courses!$A153&amp;", "&amp;BD$9&amp;", "&amp;BD$10&amp;", "&amp;BD$11&amp;"; ","")</f>
        <v/>
      </c>
      <c r="BE159" t="str">
        <f>IF(AND($W$9=1,Courses!N153&lt;0), "Row "&amp;Courses!$A153&amp;", "&amp;BE$9&amp;", "&amp;BE$10&amp;", "&amp;BE$11&amp;"; ","")</f>
        <v/>
      </c>
      <c r="BF159" t="str">
        <f>IF(AND($W$9=1,Courses!O153&lt;0), "Row "&amp;Courses!$A153&amp;", "&amp;BF$9&amp;", "&amp;BF$10&amp;", "&amp;BF$11&amp;"; ","")</f>
        <v/>
      </c>
      <c r="BG159" t="str">
        <f>IF(AND($W$9=1,Courses!P153&lt;0), "Row "&amp;Courses!$A153&amp;", "&amp;BG$9&amp;", "&amp;BG$10&amp;", "&amp;BG$11&amp;"; ","")</f>
        <v/>
      </c>
      <c r="BH159" s="2120" t="str">
        <f>IF(AND($W$9=1,Courses!Q153&lt;0), "Row "&amp;Courses!$A153&amp;", "&amp;BH$9&amp;", "&amp;BH$10&amp;"; ","")</f>
        <v/>
      </c>
      <c r="BI159" s="1593" t="str">
        <f>IF(AND($W$9=1,Courses!R153&lt;0), "Row "&amp;Courses!$A153&amp;", "&amp;BI$9&amp;", "&amp;BI$10&amp;", "&amp;BI$11&amp;"; ","")</f>
        <v/>
      </c>
      <c r="BJ159" t="str">
        <f>IF(AND($W$9=1,Courses!S153&lt;0), "Row "&amp;Courses!$A153&amp;", "&amp;BJ$9&amp;", "&amp;BJ$10&amp;", "&amp;BJ$11&amp;"; ","")</f>
        <v/>
      </c>
      <c r="BK159" t="str">
        <f>IF(AND($W$9=1,Courses!T153&lt;0), "Row "&amp;Courses!$A153&amp;", "&amp;BK$9&amp;", "&amp;BK$10&amp;", "&amp;BK$11&amp;"; ","")</f>
        <v/>
      </c>
      <c r="BL159" t="str">
        <f>IF(AND($W$9=1,Courses!U153&lt;0), "Row "&amp;Courses!$A153&amp;", "&amp;BL$9&amp;", "&amp;BL$10&amp;", "&amp;BL$11&amp;"; ","")</f>
        <v/>
      </c>
      <c r="BM159" s="2120" t="str">
        <f>IF(AND($W$9=1,Courses!V153&lt;0), "Row "&amp;Courses!$A153&amp;", "&amp;BM$9&amp;", "&amp;BM$10&amp;"; ","")</f>
        <v/>
      </c>
      <c r="BN159" t="str">
        <f>IF(AND($W$9=1,Courses!W153&lt;0), "Row "&amp;Courses!$A153&amp;", "&amp;BN$9&amp;", "&amp;BN$10&amp;", "&amp;BN$11&amp;"; ","")</f>
        <v/>
      </c>
      <c r="BO159" t="str">
        <f>IF(AND($W$9=1,Courses!X153&lt;0), "Row "&amp;Courses!$A153&amp;", "&amp;BO$9&amp;", "&amp;BO$10&amp;", "&amp;BO$11&amp;"; ","")</f>
        <v/>
      </c>
      <c r="BP159" t="str">
        <f>IF(AND($W$9=1,Courses!Y153&lt;0), "Row "&amp;Courses!$A153&amp;", "&amp;BP$9&amp;", "&amp;BP$10&amp;", "&amp;BP$11&amp;"; ","")</f>
        <v/>
      </c>
      <c r="BQ159" t="str">
        <f>IF(AND($W$9=1,Courses!Z153&lt;0), "Row "&amp;Courses!$A153&amp;", "&amp;BQ$9&amp;", "&amp;BQ$10&amp;", "&amp;BQ$11&amp;"; ","")</f>
        <v/>
      </c>
      <c r="BR159" s="2120" t="str">
        <f>IF(AND($W$9=1,Courses!AA153&lt;0), "Row "&amp;Courses!$A153&amp;", "&amp;BR$9&amp;", "&amp;BR$10&amp;"; ","")</f>
        <v/>
      </c>
      <c r="BT159" s="3">
        <v>140</v>
      </c>
      <c r="BU159" s="40">
        <f>IF(AND($X$9=1,Courses!B153="",Courses!F153="",Courses!H153="",Courses!J153="",Courses!K153="",Courses!L153="",Courses!M153=0,Courses!N153=0,Courses!O153=0,Courses!P153=0,Courses!Q153=0,Courses!R153=0,Courses!S153=0,Courses!T153=0,Courses!U153=0,Courses!V153=0,Courses!W153=0,Courses!X153=0,Courses!Y153=0,Courses!Z153=0,Courses!AA153=0),0,1)</f>
        <v>0</v>
      </c>
      <c r="BV159" s="40">
        <f>IF(AND(BU159=0,SUM(BU160:$BU$219)&gt;0),1,0)</f>
        <v>0</v>
      </c>
      <c r="BW159" s="1592" t="str">
        <f>IF(BV159=1,"Row "&amp;Courses!A153&amp;"; ","")</f>
        <v/>
      </c>
      <c r="BX159" s="17"/>
      <c r="BZ159" s="1592" t="str">
        <f>IF(AND($Y$9=1,Courses!B153&lt;&gt;"",SUM(Courses!M153:AA153)=0),"Row "&amp;Courses!A153&amp;"; ","")</f>
        <v/>
      </c>
      <c r="CA159" s="17"/>
      <c r="CC159" s="1592" t="str">
        <f>IF(AND($Z$9=1,Courses!AD153=1,(LEN(Courses!AB153)&gt;200)),"Row "&amp;Courses!A153&amp;"; ","")</f>
        <v/>
      </c>
      <c r="CE159" s="131"/>
      <c r="CG159" s="1593" t="str">
        <f>IF(AND($AD$9=1,Courses!E153&lt;&gt;"",Courses!F153&lt;&gt;"",Courses!F153=0,SUM(Courses!H153,Courses!J153)=1),"Row "&amp;Courses!A153&amp;", "&amp;Courses!$F$10&amp;"; ","")</f>
        <v/>
      </c>
      <c r="CH159" t="str">
        <f>IF(AND($AD$9=1,Courses!G153&lt;&gt;"",Courses!H153&lt;&gt;"",Courses!H153=0,SUM(Courses!J153,Courses!F153)=1),"Row "&amp;Courses!A153&amp;", "&amp;Courses!$H$10&amp;"; ","")</f>
        <v/>
      </c>
      <c r="CI159" s="183" t="str">
        <f>IF(AND($AD$9=1,Courses!I153&lt;&gt;"",Courses!J153&lt;&gt;"",Courses!J153=0, SUM(Courses!H153,Courses!F153)=1),"Row "&amp;Courses!A153&amp;", "&amp;Courses!$J$10&amp;"; ","")</f>
        <v/>
      </c>
      <c r="CJ159" s="180"/>
      <c r="CK159" s="181"/>
      <c r="CL159" s="1592" t="str">
        <f>IF(AND(Courses!B153&lt;&gt;"",ISNA(VLOOKUP(Courses!C153,CourseInfo,2,FALSE))=FALSE,COUNTIF(Dummy,Courses!C153)&lt;&gt;1),VLOOKUP(Courses!C153,CourseInfo,6,FALSE),"")</f>
        <v/>
      </c>
      <c r="CM159" s="1592" t="str">
        <f>IF(AND($AE$9=1,Courses!B153&lt;&gt;"",'Courses Valid'!AG159="",COUNTIF(Dummy,Courses!C153)&lt;&gt;1),IF(Courses!K153&lt;&gt;'Courses Valid'!CL159,"Row "&amp;Courses!A153&amp;", Level on LARS is "&amp;'Courses Valid'!CL159&amp;"; ",""),"")</f>
        <v/>
      </c>
      <c r="CN159" s="131"/>
    </row>
    <row r="160" spans="3:92" x14ac:dyDescent="0.35">
      <c r="C160" s="1591">
        <f t="shared" si="4"/>
        <v>0</v>
      </c>
      <c r="D160" s="41"/>
      <c r="E160" s="41"/>
      <c r="F160" s="118"/>
      <c r="G160" s="1592" t="str">
        <f>IF(SUMPRODUCT(--(CourseAims=Courses!$C154))=1,"",IF(AND($N$9=1,Courses!$C154&lt;&gt;""),"Row "&amp;Courses!A154&amp;" (invalid); ",""))</f>
        <v/>
      </c>
      <c r="H160" s="1592" t="str">
        <f>IF(AND($O$9=1,Courses!B154="",OR(Courses!F154&lt;&gt;"",Courses!H154&lt;&gt;"",Courses!J154&lt;&gt;"",Courses!K154&lt;&gt;"",Courses!L154&lt;&gt;"",Courses!M154&lt;&gt;0,Courses!N154&lt;&gt;0,Courses!O154&lt;&gt;0,Courses!P154&lt;&gt;0,Courses!Q154&lt;&gt;0,Courses!R154&lt;&gt;0,Courses!S154&lt;&gt;0,Courses!T154&lt;&gt;0,Courses!U154&lt;&gt;0,Courses!V154&lt;&gt;0,Courses!W154&lt;&gt;0,Courses!X154&lt;&gt;0,Courses!Y154&lt;&gt;0,Courses!Z154&lt;&gt;0,Courses!AA154&lt;&gt;0)),"Row "&amp;Courses!A154&amp;" (none); ","")</f>
        <v/>
      </c>
      <c r="I160" s="1596"/>
      <c r="K160" s="1592" t="str">
        <f>Courses!B154&amp;Courses!K154&amp;Courses!L154</f>
        <v/>
      </c>
      <c r="L160" s="1592" t="str">
        <f>IF(AND($P$9=1,Courses!$B154&lt;&gt;"",COUNTIF(Dummy,Courses!$C154)&lt;&gt;1),IF(SUMPRODUCT(--($K$20:$K$219=$K160))&gt;1,"Row "&amp;Courses!$A154&amp;"; ",""),"")</f>
        <v/>
      </c>
      <c r="N160" s="118"/>
      <c r="O160" s="1593" t="str">
        <f>IF(AND($Q$9=1,Courses!E154&lt;&gt;"",Courses!F154=""),"Row "&amp;Courses!A154&amp;", "&amp;Courses!$E$10&amp;"; ","")</f>
        <v/>
      </c>
      <c r="P160" t="str">
        <f>IF(AND($Q$9=1,Courses!G154&lt;&gt;"",Courses!H154=""),"Row "&amp;Courses!A154&amp;", "&amp;Courses!$G$10&amp;"; ","")</f>
        <v/>
      </c>
      <c r="Q160" s="183" t="str">
        <f>IF(AND($Q$9=1,Courses!I154&lt;&gt;"",Courses!J154=""),"Row "&amp;Courses!A154&amp;", "&amp;Courses!$I$10&amp;"; ","")</f>
        <v/>
      </c>
      <c r="T160" s="118"/>
      <c r="U160" s="1593" t="str">
        <f>IF(AND($R$9=1,Courses!B154&lt;&gt;"",Courses!E154&lt;&gt;"",Courses!G154="",Courses!I154="",Courses!F154&lt;&gt;1),"Row "&amp;Courses!A154&amp;"; ","")</f>
        <v/>
      </c>
      <c r="V160" t="str">
        <f>IF(AND($R$9=1,Courses!B154&lt;&gt;"",Courses!I154="",Courses!F154&lt;&gt;"",Courses!G154&lt;&gt;"",Courses!H154&lt;&gt;""),IF(OR((Courses!F154+Courses!H154)&lt;&gt;1),"Row "&amp;Courses!A154&amp;"; ",""),"")</f>
        <v/>
      </c>
      <c r="W160" s="183" t="str">
        <f>IF(AND($R$9=1,Courses!B154&lt;&gt;"",Courses!I154&lt;&gt;"",Courses!J154&lt;&gt;"",Courses!H154&lt;&gt;"",Courses!G154&lt;&gt;"",Courses!F154&lt;&gt;""),IF(OR((Courses!F154+Courses!H154+Courses!J154)&lt;&gt;1),"Row "&amp;Courses!A154&amp;"; ",""),"")</f>
        <v/>
      </c>
      <c r="Y160" s="1592" t="str">
        <f>IF(AND($R$9=1,Courses!E154&lt;&gt;"",U160="",V160="",W160="",SUM(Courses!F154,Courses!H154,Courses!J154)&lt;&gt;1),"Row "&amp;Courses!A154&amp;"; ","")</f>
        <v/>
      </c>
      <c r="AA160" s="118"/>
      <c r="AB160" s="1593" t="str">
        <f>IF(AND($S$9=1,Courses!B154&lt;&gt;"",Courses!E154&lt;&gt;"",Courses!F154&lt;&gt;""),IF((TRUNC(Courses!F154*100)&lt;&gt;Courses!F154*100),"Row "&amp;Courses!A154&amp;", "&amp;Courses!$F$10&amp;"; ",""),"")</f>
        <v/>
      </c>
      <c r="AC160" t="str">
        <f>IF(AND($S$9=1,Courses!B154&lt;&gt;"",Courses!G154&lt;&gt;"",Courses!H154&lt;&gt;""),IF((TRUNC(Courses!H154*100)&lt;&gt;Courses!H154*100),"Row "&amp;Courses!A154&amp;", "&amp;Courses!$H$10&amp;"; ",""),"")</f>
        <v/>
      </c>
      <c r="AD160" s="183" t="str">
        <f>IF(AND($S$9=1,Courses!B154&lt;&gt;"",Courses!I154&lt;&gt;"",Courses!J154&lt;&gt;""),IF((TRUNC(Courses!J154*100)&lt;&gt;Courses!J154*100),"Row "&amp;Courses!A154&amp;", "&amp;Courses!$J$10&amp;"; ",""),"")</f>
        <v/>
      </c>
      <c r="AF160" s="118"/>
      <c r="AG160" s="1593" t="str">
        <f>IF(AND($T$9=1,G160="",Courses!B154&lt;&gt;"",Courses!K154&lt;&gt;$B$9,Courses!K154&lt;&gt;$B$10,Courses!K154&lt;&gt;$B$11,Courses!K154&lt;&gt;$B$12,Courses!K154&lt;&gt;$B$13,Courses!K154&lt;&gt;$B$14),"Row "&amp;Courses!A154&amp;"; ","")</f>
        <v/>
      </c>
      <c r="AH160" s="1592" t="str">
        <f>IF(AND($U$9=1,G160="",Courses!B154&lt;&gt;"",Courses!L154&lt;&gt;"Standard",Courses!L154&lt;&gt;"Long"),"Row "&amp;Courses!A154&amp;"; ","")</f>
        <v/>
      </c>
      <c r="AJ160" s="118"/>
      <c r="AK160" s="3">
        <v>141</v>
      </c>
      <c r="AL160" s="1593" t="str">
        <f>IF(AND($V$9=1,(TRUNC(Courses!M154)&lt;&gt;Courses!M154)), "Row "&amp;Courses!$A154&amp;", "&amp;AL$9&amp;", "&amp;AL$10&amp;", "&amp;AL$11&amp;"; ","")</f>
        <v/>
      </c>
      <c r="AM160" t="str">
        <f>IF(AND($V$9=1,(TRUNC(Courses!N154)&lt;&gt;Courses!N154)), "Row "&amp;Courses!$A154&amp;", "&amp;AM$9&amp;", "&amp;AM$10&amp;", "&amp;AM$11&amp;"; ","")</f>
        <v/>
      </c>
      <c r="AN160" t="str">
        <f>IF(AND($V$9=1,(TRUNC(Courses!O154)&lt;&gt;Courses!O154)), "Row "&amp;Courses!$A154&amp;", "&amp;AN$9&amp;", "&amp;AN$10&amp;", "&amp;AN$11&amp;"; ","")</f>
        <v/>
      </c>
      <c r="AO160" t="str">
        <f>IF(AND($V$9=1,(TRUNC(Courses!P154)&lt;&gt;Courses!P154)), "Row "&amp;Courses!$A154&amp;", "&amp;AO$9&amp;", "&amp;AO$10&amp;", "&amp;AO$11&amp;"; ","")</f>
        <v/>
      </c>
      <c r="AP160" s="2120" t="str">
        <f>IF(AND($V$9=1,(TRUNC(Courses!Q154)&lt;&gt;Courses!Q154)), "Row "&amp;Courses!$A154&amp;", "&amp;AP$9&amp;", "&amp;AP$10&amp;"; ","")</f>
        <v/>
      </c>
      <c r="AQ160" s="1593" t="str">
        <f>IF(AND($V$9=1,(TRUNC(Courses!R154)&lt;&gt;Courses!R154)), "Row "&amp;Courses!$A154&amp;", "&amp;AQ$9&amp;", "&amp;AQ$10&amp;", "&amp;AQ$11&amp;"; ","")</f>
        <v/>
      </c>
      <c r="AR160" t="str">
        <f>IF(AND($V$9=1,(TRUNC(Courses!S154)&lt;&gt;Courses!S154)), "Row "&amp;Courses!$A154&amp;", "&amp;AR$9&amp;", "&amp;AR$10&amp;", "&amp;AR$11&amp;"; ","")</f>
        <v/>
      </c>
      <c r="AS160" t="str">
        <f>IF(AND($V$9=1,(TRUNC(Courses!T154)&lt;&gt;Courses!T154)), "Row "&amp;Courses!$A154&amp;", "&amp;AS$9&amp;", "&amp;AS$10&amp;", "&amp;AS$11&amp;"; ","")</f>
        <v/>
      </c>
      <c r="AT160" t="str">
        <f>IF(AND($V$9=1,(TRUNC(Courses!U154)&lt;&gt;Courses!U154)), "Row "&amp;Courses!$A154&amp;", "&amp;AT$9&amp;", "&amp;AT$10&amp;", "&amp;AT$11&amp;"; ","")</f>
        <v/>
      </c>
      <c r="AU160" s="2120" t="str">
        <f>IF(AND($V$9=1,(TRUNC(Courses!V154)&lt;&gt;Courses!V154)), "Row "&amp;Courses!$A154&amp;", "&amp;AU$9&amp;", "&amp;AU$10&amp;"; ","")</f>
        <v/>
      </c>
      <c r="AV160" s="1593" t="str">
        <f>IF(AND($V$9=1,(TRUNC(Courses!W154)&lt;&gt;Courses!W154)), "Row "&amp;Courses!$A154&amp;", "&amp;AV$9&amp;", "&amp;AV$10&amp;", "&amp;AV$11&amp;"; ","")</f>
        <v/>
      </c>
      <c r="AW160" t="str">
        <f>IF(AND($V$9=1,(TRUNC(Courses!X154)&lt;&gt;Courses!X154)), "Row "&amp;Courses!$A154&amp;", "&amp;AW$9&amp;", "&amp;AW$10&amp;", "&amp;AW$11&amp;"; ","")</f>
        <v/>
      </c>
      <c r="AX160" t="str">
        <f>IF(AND($V$9=1,(TRUNC(Courses!Y154)&lt;&gt;Courses!Y154)), "Row "&amp;Courses!$A154&amp;", "&amp;AX$9&amp;", "&amp;AX$10&amp;", "&amp;AX$11&amp;"; ","")</f>
        <v/>
      </c>
      <c r="AY160" t="str">
        <f>IF(AND($V$9=1,(TRUNC(Courses!Z154)&lt;&gt;Courses!Z154)), "Row "&amp;Courses!$A154&amp;", "&amp;AY$9&amp;", "&amp;AY$10&amp;", "&amp;AY$11&amp;"; ","")</f>
        <v/>
      </c>
      <c r="AZ160" s="2120" t="str">
        <f>IF(AND($V$9=1,(TRUNC(Courses!AA154)&lt;&gt;Courses!AA154)), "Row "&amp;Courses!$A154&amp;", "&amp;AZ$9&amp;", "&amp;AZ$10&amp;"; ","")</f>
        <v/>
      </c>
      <c r="BB160" s="118"/>
      <c r="BC160" s="3">
        <v>141</v>
      </c>
      <c r="BD160" s="1593" t="str">
        <f>IF(AND($W$9=1,Courses!M154&lt;0), "Row "&amp;Courses!$A154&amp;", "&amp;BD$9&amp;", "&amp;BD$10&amp;", "&amp;BD$11&amp;"; ","")</f>
        <v/>
      </c>
      <c r="BE160" t="str">
        <f>IF(AND($W$9=1,Courses!N154&lt;0), "Row "&amp;Courses!$A154&amp;", "&amp;BE$9&amp;", "&amp;BE$10&amp;", "&amp;BE$11&amp;"; ","")</f>
        <v/>
      </c>
      <c r="BF160" t="str">
        <f>IF(AND($W$9=1,Courses!O154&lt;0), "Row "&amp;Courses!$A154&amp;", "&amp;BF$9&amp;", "&amp;BF$10&amp;", "&amp;BF$11&amp;"; ","")</f>
        <v/>
      </c>
      <c r="BG160" t="str">
        <f>IF(AND($W$9=1,Courses!P154&lt;0), "Row "&amp;Courses!$A154&amp;", "&amp;BG$9&amp;", "&amp;BG$10&amp;", "&amp;BG$11&amp;"; ","")</f>
        <v/>
      </c>
      <c r="BH160" s="2120" t="str">
        <f>IF(AND($W$9=1,Courses!Q154&lt;0), "Row "&amp;Courses!$A154&amp;", "&amp;BH$9&amp;", "&amp;BH$10&amp;"; ","")</f>
        <v/>
      </c>
      <c r="BI160" s="1593" t="str">
        <f>IF(AND($W$9=1,Courses!R154&lt;0), "Row "&amp;Courses!$A154&amp;", "&amp;BI$9&amp;", "&amp;BI$10&amp;", "&amp;BI$11&amp;"; ","")</f>
        <v/>
      </c>
      <c r="BJ160" t="str">
        <f>IF(AND($W$9=1,Courses!S154&lt;0), "Row "&amp;Courses!$A154&amp;", "&amp;BJ$9&amp;", "&amp;BJ$10&amp;", "&amp;BJ$11&amp;"; ","")</f>
        <v/>
      </c>
      <c r="BK160" t="str">
        <f>IF(AND($W$9=1,Courses!T154&lt;0), "Row "&amp;Courses!$A154&amp;", "&amp;BK$9&amp;", "&amp;BK$10&amp;", "&amp;BK$11&amp;"; ","")</f>
        <v/>
      </c>
      <c r="BL160" t="str">
        <f>IF(AND($W$9=1,Courses!U154&lt;0), "Row "&amp;Courses!$A154&amp;", "&amp;BL$9&amp;", "&amp;BL$10&amp;", "&amp;BL$11&amp;"; ","")</f>
        <v/>
      </c>
      <c r="BM160" s="2120" t="str">
        <f>IF(AND($W$9=1,Courses!V154&lt;0), "Row "&amp;Courses!$A154&amp;", "&amp;BM$9&amp;", "&amp;BM$10&amp;"; ","")</f>
        <v/>
      </c>
      <c r="BN160" t="str">
        <f>IF(AND($W$9=1,Courses!W154&lt;0), "Row "&amp;Courses!$A154&amp;", "&amp;BN$9&amp;", "&amp;BN$10&amp;", "&amp;BN$11&amp;"; ","")</f>
        <v/>
      </c>
      <c r="BO160" t="str">
        <f>IF(AND($W$9=1,Courses!X154&lt;0), "Row "&amp;Courses!$A154&amp;", "&amp;BO$9&amp;", "&amp;BO$10&amp;", "&amp;BO$11&amp;"; ","")</f>
        <v/>
      </c>
      <c r="BP160" t="str">
        <f>IF(AND($W$9=1,Courses!Y154&lt;0), "Row "&amp;Courses!$A154&amp;", "&amp;BP$9&amp;", "&amp;BP$10&amp;", "&amp;BP$11&amp;"; ","")</f>
        <v/>
      </c>
      <c r="BQ160" t="str">
        <f>IF(AND($W$9=1,Courses!Z154&lt;0), "Row "&amp;Courses!$A154&amp;", "&amp;BQ$9&amp;", "&amp;BQ$10&amp;", "&amp;BQ$11&amp;"; ","")</f>
        <v/>
      </c>
      <c r="BR160" s="2120" t="str">
        <f>IF(AND($W$9=1,Courses!AA154&lt;0), "Row "&amp;Courses!$A154&amp;", "&amp;BR$9&amp;", "&amp;BR$10&amp;"; ","")</f>
        <v/>
      </c>
      <c r="BT160" s="3">
        <v>141</v>
      </c>
      <c r="BU160" s="40">
        <f>IF(AND($X$9=1,Courses!B154="",Courses!F154="",Courses!H154="",Courses!J154="",Courses!K154="",Courses!L154="",Courses!M154=0,Courses!N154=0,Courses!O154=0,Courses!P154=0,Courses!Q154=0,Courses!R154=0,Courses!S154=0,Courses!T154=0,Courses!U154=0,Courses!V154=0,Courses!W154=0,Courses!X154=0,Courses!Y154=0,Courses!Z154=0,Courses!AA154=0),0,1)</f>
        <v>0</v>
      </c>
      <c r="BV160" s="40">
        <f>IF(AND(BU160=0,SUM(BU161:$BU$219)&gt;0),1,0)</f>
        <v>0</v>
      </c>
      <c r="BW160" s="1592" t="str">
        <f>IF(BV160=1,"Row "&amp;Courses!A154&amp;"; ","")</f>
        <v/>
      </c>
      <c r="BX160" s="17"/>
      <c r="BZ160" s="1592" t="str">
        <f>IF(AND($Y$9=1,Courses!B154&lt;&gt;"",SUM(Courses!M154:AA154)=0),"Row "&amp;Courses!A154&amp;"; ","")</f>
        <v/>
      </c>
      <c r="CA160" s="17"/>
      <c r="CC160" s="1592" t="str">
        <f>IF(AND($Z$9=1,Courses!AD154=1,(LEN(Courses!AB154)&gt;200)),"Row "&amp;Courses!A154&amp;"; ","")</f>
        <v/>
      </c>
      <c r="CE160" s="131"/>
      <c r="CG160" s="1593" t="str">
        <f>IF(AND($AD$9=1,Courses!E154&lt;&gt;"",Courses!F154&lt;&gt;"",Courses!F154=0,SUM(Courses!H154,Courses!J154)=1),"Row "&amp;Courses!A154&amp;", "&amp;Courses!$F$10&amp;"; ","")</f>
        <v/>
      </c>
      <c r="CH160" t="str">
        <f>IF(AND($AD$9=1,Courses!G154&lt;&gt;"",Courses!H154&lt;&gt;"",Courses!H154=0,SUM(Courses!J154,Courses!F154)=1),"Row "&amp;Courses!A154&amp;", "&amp;Courses!$H$10&amp;"; ","")</f>
        <v/>
      </c>
      <c r="CI160" s="183" t="str">
        <f>IF(AND($AD$9=1,Courses!I154&lt;&gt;"",Courses!J154&lt;&gt;"",Courses!J154=0, SUM(Courses!H154,Courses!F154)=1),"Row "&amp;Courses!A154&amp;", "&amp;Courses!$J$10&amp;"; ","")</f>
        <v/>
      </c>
      <c r="CJ160" s="180"/>
      <c r="CK160" s="181"/>
      <c r="CL160" s="1592" t="str">
        <f>IF(AND(Courses!B154&lt;&gt;"",ISNA(VLOOKUP(Courses!C154,CourseInfo,2,FALSE))=FALSE,COUNTIF(Dummy,Courses!C154)&lt;&gt;1),VLOOKUP(Courses!C154,CourseInfo,6,FALSE),"")</f>
        <v/>
      </c>
      <c r="CM160" s="1592" t="str">
        <f>IF(AND($AE$9=1,Courses!B154&lt;&gt;"",'Courses Valid'!AG160="",COUNTIF(Dummy,Courses!C154)&lt;&gt;1),IF(Courses!K154&lt;&gt;'Courses Valid'!CL160,"Row "&amp;Courses!A154&amp;", Level on LARS is "&amp;'Courses Valid'!CL160&amp;"; ",""),"")</f>
        <v/>
      </c>
      <c r="CN160" s="131"/>
    </row>
    <row r="161" spans="3:92" x14ac:dyDescent="0.35">
      <c r="C161" s="1591">
        <f t="shared" si="4"/>
        <v>0</v>
      </c>
      <c r="D161" s="41"/>
      <c r="E161" s="41"/>
      <c r="F161" s="118"/>
      <c r="G161" s="1592" t="str">
        <f>IF(SUMPRODUCT(--(CourseAims=Courses!$C155))=1,"",IF(AND($N$9=1,Courses!$C155&lt;&gt;""),"Row "&amp;Courses!A155&amp;" (invalid); ",""))</f>
        <v/>
      </c>
      <c r="H161" s="1592" t="str">
        <f>IF(AND($O$9=1,Courses!B155="",OR(Courses!F155&lt;&gt;"",Courses!H155&lt;&gt;"",Courses!J155&lt;&gt;"",Courses!K155&lt;&gt;"",Courses!L155&lt;&gt;"",Courses!M155&lt;&gt;0,Courses!N155&lt;&gt;0,Courses!O155&lt;&gt;0,Courses!P155&lt;&gt;0,Courses!Q155&lt;&gt;0,Courses!R155&lt;&gt;0,Courses!S155&lt;&gt;0,Courses!T155&lt;&gt;0,Courses!U155&lt;&gt;0,Courses!V155&lt;&gt;0,Courses!W155&lt;&gt;0,Courses!X155&lt;&gt;0,Courses!Y155&lt;&gt;0,Courses!Z155&lt;&gt;0,Courses!AA155&lt;&gt;0)),"Row "&amp;Courses!A155&amp;" (none); ","")</f>
        <v/>
      </c>
      <c r="I161" s="1596"/>
      <c r="K161" s="1592" t="str">
        <f>Courses!B155&amp;Courses!K155&amp;Courses!L155</f>
        <v/>
      </c>
      <c r="L161" s="1592" t="str">
        <f>IF(AND($P$9=1,Courses!$B155&lt;&gt;"",COUNTIF(Dummy,Courses!$C155)&lt;&gt;1),IF(SUMPRODUCT(--($K$20:$K$219=$K161))&gt;1,"Row "&amp;Courses!$A155&amp;"; ",""),"")</f>
        <v/>
      </c>
      <c r="N161" s="118"/>
      <c r="O161" s="1593" t="str">
        <f>IF(AND($Q$9=1,Courses!E155&lt;&gt;"",Courses!F155=""),"Row "&amp;Courses!A155&amp;", "&amp;Courses!$E$10&amp;"; ","")</f>
        <v/>
      </c>
      <c r="P161" t="str">
        <f>IF(AND($Q$9=1,Courses!G155&lt;&gt;"",Courses!H155=""),"Row "&amp;Courses!A155&amp;", "&amp;Courses!$G$10&amp;"; ","")</f>
        <v/>
      </c>
      <c r="Q161" s="183" t="str">
        <f>IF(AND($Q$9=1,Courses!I155&lt;&gt;"",Courses!J155=""),"Row "&amp;Courses!A155&amp;", "&amp;Courses!$I$10&amp;"; ","")</f>
        <v/>
      </c>
      <c r="T161" s="118"/>
      <c r="U161" s="1593" t="str">
        <f>IF(AND($R$9=1,Courses!B155&lt;&gt;"",Courses!E155&lt;&gt;"",Courses!G155="",Courses!I155="",Courses!F155&lt;&gt;1),"Row "&amp;Courses!A155&amp;"; ","")</f>
        <v/>
      </c>
      <c r="V161" t="str">
        <f>IF(AND($R$9=1,Courses!B155&lt;&gt;"",Courses!I155="",Courses!F155&lt;&gt;"",Courses!G155&lt;&gt;"",Courses!H155&lt;&gt;""),IF(OR((Courses!F155+Courses!H155)&lt;&gt;1),"Row "&amp;Courses!A155&amp;"; ",""),"")</f>
        <v/>
      </c>
      <c r="W161" s="183" t="str">
        <f>IF(AND($R$9=1,Courses!B155&lt;&gt;"",Courses!I155&lt;&gt;"",Courses!J155&lt;&gt;"",Courses!H155&lt;&gt;"",Courses!G155&lt;&gt;"",Courses!F155&lt;&gt;""),IF(OR((Courses!F155+Courses!H155+Courses!J155)&lt;&gt;1),"Row "&amp;Courses!A155&amp;"; ",""),"")</f>
        <v/>
      </c>
      <c r="Y161" s="1592" t="str">
        <f>IF(AND($R$9=1,Courses!E155&lt;&gt;"",U161="",V161="",W161="",SUM(Courses!F155,Courses!H155,Courses!J155)&lt;&gt;1),"Row "&amp;Courses!A155&amp;"; ","")</f>
        <v/>
      </c>
      <c r="AA161" s="118"/>
      <c r="AB161" s="1593" t="str">
        <f>IF(AND($S$9=1,Courses!B155&lt;&gt;"",Courses!E155&lt;&gt;"",Courses!F155&lt;&gt;""),IF((TRUNC(Courses!F155*100)&lt;&gt;Courses!F155*100),"Row "&amp;Courses!A155&amp;", "&amp;Courses!$F$10&amp;"; ",""),"")</f>
        <v/>
      </c>
      <c r="AC161" t="str">
        <f>IF(AND($S$9=1,Courses!B155&lt;&gt;"",Courses!G155&lt;&gt;"",Courses!H155&lt;&gt;""),IF((TRUNC(Courses!H155*100)&lt;&gt;Courses!H155*100),"Row "&amp;Courses!A155&amp;", "&amp;Courses!$H$10&amp;"; ",""),"")</f>
        <v/>
      </c>
      <c r="AD161" s="183" t="str">
        <f>IF(AND($S$9=1,Courses!B155&lt;&gt;"",Courses!I155&lt;&gt;"",Courses!J155&lt;&gt;""),IF((TRUNC(Courses!J155*100)&lt;&gt;Courses!J155*100),"Row "&amp;Courses!A155&amp;", "&amp;Courses!$J$10&amp;"; ",""),"")</f>
        <v/>
      </c>
      <c r="AF161" s="118"/>
      <c r="AG161" s="1593" t="str">
        <f>IF(AND($T$9=1,G161="",Courses!B155&lt;&gt;"",Courses!K155&lt;&gt;$B$9,Courses!K155&lt;&gt;$B$10,Courses!K155&lt;&gt;$B$11,Courses!K155&lt;&gt;$B$12,Courses!K155&lt;&gt;$B$13,Courses!K155&lt;&gt;$B$14),"Row "&amp;Courses!A155&amp;"; ","")</f>
        <v/>
      </c>
      <c r="AH161" s="1592" t="str">
        <f>IF(AND($U$9=1,G161="",Courses!B155&lt;&gt;"",Courses!L155&lt;&gt;"Standard",Courses!L155&lt;&gt;"Long"),"Row "&amp;Courses!A155&amp;"; ","")</f>
        <v/>
      </c>
      <c r="AJ161" s="118"/>
      <c r="AK161" s="3">
        <v>142</v>
      </c>
      <c r="AL161" s="1593" t="str">
        <f>IF(AND($V$9=1,(TRUNC(Courses!M155)&lt;&gt;Courses!M155)), "Row "&amp;Courses!$A155&amp;", "&amp;AL$9&amp;", "&amp;AL$10&amp;", "&amp;AL$11&amp;"; ","")</f>
        <v/>
      </c>
      <c r="AM161" t="str">
        <f>IF(AND($V$9=1,(TRUNC(Courses!N155)&lt;&gt;Courses!N155)), "Row "&amp;Courses!$A155&amp;", "&amp;AM$9&amp;", "&amp;AM$10&amp;", "&amp;AM$11&amp;"; ","")</f>
        <v/>
      </c>
      <c r="AN161" t="str">
        <f>IF(AND($V$9=1,(TRUNC(Courses!O155)&lt;&gt;Courses!O155)), "Row "&amp;Courses!$A155&amp;", "&amp;AN$9&amp;", "&amp;AN$10&amp;", "&amp;AN$11&amp;"; ","")</f>
        <v/>
      </c>
      <c r="AO161" t="str">
        <f>IF(AND($V$9=1,(TRUNC(Courses!P155)&lt;&gt;Courses!P155)), "Row "&amp;Courses!$A155&amp;", "&amp;AO$9&amp;", "&amp;AO$10&amp;", "&amp;AO$11&amp;"; ","")</f>
        <v/>
      </c>
      <c r="AP161" s="2120" t="str">
        <f>IF(AND($V$9=1,(TRUNC(Courses!Q155)&lt;&gt;Courses!Q155)), "Row "&amp;Courses!$A155&amp;", "&amp;AP$9&amp;", "&amp;AP$10&amp;"; ","")</f>
        <v/>
      </c>
      <c r="AQ161" s="1593" t="str">
        <f>IF(AND($V$9=1,(TRUNC(Courses!R155)&lt;&gt;Courses!R155)), "Row "&amp;Courses!$A155&amp;", "&amp;AQ$9&amp;", "&amp;AQ$10&amp;", "&amp;AQ$11&amp;"; ","")</f>
        <v/>
      </c>
      <c r="AR161" t="str">
        <f>IF(AND($V$9=1,(TRUNC(Courses!S155)&lt;&gt;Courses!S155)), "Row "&amp;Courses!$A155&amp;", "&amp;AR$9&amp;", "&amp;AR$10&amp;", "&amp;AR$11&amp;"; ","")</f>
        <v/>
      </c>
      <c r="AS161" t="str">
        <f>IF(AND($V$9=1,(TRUNC(Courses!T155)&lt;&gt;Courses!T155)), "Row "&amp;Courses!$A155&amp;", "&amp;AS$9&amp;", "&amp;AS$10&amp;", "&amp;AS$11&amp;"; ","")</f>
        <v/>
      </c>
      <c r="AT161" t="str">
        <f>IF(AND($V$9=1,(TRUNC(Courses!U155)&lt;&gt;Courses!U155)), "Row "&amp;Courses!$A155&amp;", "&amp;AT$9&amp;", "&amp;AT$10&amp;", "&amp;AT$11&amp;"; ","")</f>
        <v/>
      </c>
      <c r="AU161" s="2120" t="str">
        <f>IF(AND($V$9=1,(TRUNC(Courses!V155)&lt;&gt;Courses!V155)), "Row "&amp;Courses!$A155&amp;", "&amp;AU$9&amp;", "&amp;AU$10&amp;"; ","")</f>
        <v/>
      </c>
      <c r="AV161" s="1593" t="str">
        <f>IF(AND($V$9=1,(TRUNC(Courses!W155)&lt;&gt;Courses!W155)), "Row "&amp;Courses!$A155&amp;", "&amp;AV$9&amp;", "&amp;AV$10&amp;", "&amp;AV$11&amp;"; ","")</f>
        <v/>
      </c>
      <c r="AW161" t="str">
        <f>IF(AND($V$9=1,(TRUNC(Courses!X155)&lt;&gt;Courses!X155)), "Row "&amp;Courses!$A155&amp;", "&amp;AW$9&amp;", "&amp;AW$10&amp;", "&amp;AW$11&amp;"; ","")</f>
        <v/>
      </c>
      <c r="AX161" t="str">
        <f>IF(AND($V$9=1,(TRUNC(Courses!Y155)&lt;&gt;Courses!Y155)), "Row "&amp;Courses!$A155&amp;", "&amp;AX$9&amp;", "&amp;AX$10&amp;", "&amp;AX$11&amp;"; ","")</f>
        <v/>
      </c>
      <c r="AY161" t="str">
        <f>IF(AND($V$9=1,(TRUNC(Courses!Z155)&lt;&gt;Courses!Z155)), "Row "&amp;Courses!$A155&amp;", "&amp;AY$9&amp;", "&amp;AY$10&amp;", "&amp;AY$11&amp;"; ","")</f>
        <v/>
      </c>
      <c r="AZ161" s="2120" t="str">
        <f>IF(AND($V$9=1,(TRUNC(Courses!AA155)&lt;&gt;Courses!AA155)), "Row "&amp;Courses!$A155&amp;", "&amp;AZ$9&amp;", "&amp;AZ$10&amp;"; ","")</f>
        <v/>
      </c>
      <c r="BB161" s="118"/>
      <c r="BC161" s="3">
        <v>142</v>
      </c>
      <c r="BD161" s="1593" t="str">
        <f>IF(AND($W$9=1,Courses!M155&lt;0), "Row "&amp;Courses!$A155&amp;", "&amp;BD$9&amp;", "&amp;BD$10&amp;", "&amp;BD$11&amp;"; ","")</f>
        <v/>
      </c>
      <c r="BE161" t="str">
        <f>IF(AND($W$9=1,Courses!N155&lt;0), "Row "&amp;Courses!$A155&amp;", "&amp;BE$9&amp;", "&amp;BE$10&amp;", "&amp;BE$11&amp;"; ","")</f>
        <v/>
      </c>
      <c r="BF161" t="str">
        <f>IF(AND($W$9=1,Courses!O155&lt;0), "Row "&amp;Courses!$A155&amp;", "&amp;BF$9&amp;", "&amp;BF$10&amp;", "&amp;BF$11&amp;"; ","")</f>
        <v/>
      </c>
      <c r="BG161" t="str">
        <f>IF(AND($W$9=1,Courses!P155&lt;0), "Row "&amp;Courses!$A155&amp;", "&amp;BG$9&amp;", "&amp;BG$10&amp;", "&amp;BG$11&amp;"; ","")</f>
        <v/>
      </c>
      <c r="BH161" s="2120" t="str">
        <f>IF(AND($W$9=1,Courses!Q155&lt;0), "Row "&amp;Courses!$A155&amp;", "&amp;BH$9&amp;", "&amp;BH$10&amp;"; ","")</f>
        <v/>
      </c>
      <c r="BI161" s="1593" t="str">
        <f>IF(AND($W$9=1,Courses!R155&lt;0), "Row "&amp;Courses!$A155&amp;", "&amp;BI$9&amp;", "&amp;BI$10&amp;", "&amp;BI$11&amp;"; ","")</f>
        <v/>
      </c>
      <c r="BJ161" t="str">
        <f>IF(AND($W$9=1,Courses!S155&lt;0), "Row "&amp;Courses!$A155&amp;", "&amp;BJ$9&amp;", "&amp;BJ$10&amp;", "&amp;BJ$11&amp;"; ","")</f>
        <v/>
      </c>
      <c r="BK161" t="str">
        <f>IF(AND($W$9=1,Courses!T155&lt;0), "Row "&amp;Courses!$A155&amp;", "&amp;BK$9&amp;", "&amp;BK$10&amp;", "&amp;BK$11&amp;"; ","")</f>
        <v/>
      </c>
      <c r="BL161" t="str">
        <f>IF(AND($W$9=1,Courses!U155&lt;0), "Row "&amp;Courses!$A155&amp;", "&amp;BL$9&amp;", "&amp;BL$10&amp;", "&amp;BL$11&amp;"; ","")</f>
        <v/>
      </c>
      <c r="BM161" s="2120" t="str">
        <f>IF(AND($W$9=1,Courses!V155&lt;0), "Row "&amp;Courses!$A155&amp;", "&amp;BM$9&amp;", "&amp;BM$10&amp;"; ","")</f>
        <v/>
      </c>
      <c r="BN161" t="str">
        <f>IF(AND($W$9=1,Courses!W155&lt;0), "Row "&amp;Courses!$A155&amp;", "&amp;BN$9&amp;", "&amp;BN$10&amp;", "&amp;BN$11&amp;"; ","")</f>
        <v/>
      </c>
      <c r="BO161" t="str">
        <f>IF(AND($W$9=1,Courses!X155&lt;0), "Row "&amp;Courses!$A155&amp;", "&amp;BO$9&amp;", "&amp;BO$10&amp;", "&amp;BO$11&amp;"; ","")</f>
        <v/>
      </c>
      <c r="BP161" t="str">
        <f>IF(AND($W$9=1,Courses!Y155&lt;0), "Row "&amp;Courses!$A155&amp;", "&amp;BP$9&amp;", "&amp;BP$10&amp;", "&amp;BP$11&amp;"; ","")</f>
        <v/>
      </c>
      <c r="BQ161" t="str">
        <f>IF(AND($W$9=1,Courses!Z155&lt;0), "Row "&amp;Courses!$A155&amp;", "&amp;BQ$9&amp;", "&amp;BQ$10&amp;", "&amp;BQ$11&amp;"; ","")</f>
        <v/>
      </c>
      <c r="BR161" s="2120" t="str">
        <f>IF(AND($W$9=1,Courses!AA155&lt;0), "Row "&amp;Courses!$A155&amp;", "&amp;BR$9&amp;", "&amp;BR$10&amp;"; ","")</f>
        <v/>
      </c>
      <c r="BT161" s="3">
        <v>142</v>
      </c>
      <c r="BU161" s="40">
        <f>IF(AND($X$9=1,Courses!B155="",Courses!F155="",Courses!H155="",Courses!J155="",Courses!K155="",Courses!L155="",Courses!M155=0,Courses!N155=0,Courses!O155=0,Courses!P155=0,Courses!Q155=0,Courses!R155=0,Courses!S155=0,Courses!T155=0,Courses!U155=0,Courses!V155=0,Courses!W155=0,Courses!X155=0,Courses!Y155=0,Courses!Z155=0,Courses!AA155=0),0,1)</f>
        <v>0</v>
      </c>
      <c r="BV161" s="40">
        <f>IF(AND(BU161=0,SUM(BU162:$BU$219)&gt;0),1,0)</f>
        <v>0</v>
      </c>
      <c r="BW161" s="1592" t="str">
        <f>IF(BV161=1,"Row "&amp;Courses!A155&amp;"; ","")</f>
        <v/>
      </c>
      <c r="BX161" s="17"/>
      <c r="BZ161" s="1592" t="str">
        <f>IF(AND($Y$9=1,Courses!B155&lt;&gt;"",SUM(Courses!M155:AA155)=0),"Row "&amp;Courses!A155&amp;"; ","")</f>
        <v/>
      </c>
      <c r="CA161" s="17"/>
      <c r="CC161" s="1592" t="str">
        <f>IF(AND($Z$9=1,Courses!AD155=1,(LEN(Courses!AB155)&gt;200)),"Row "&amp;Courses!A155&amp;"; ","")</f>
        <v/>
      </c>
      <c r="CE161" s="131"/>
      <c r="CG161" s="1593" t="str">
        <f>IF(AND($AD$9=1,Courses!E155&lt;&gt;"",Courses!F155&lt;&gt;"",Courses!F155=0,SUM(Courses!H155,Courses!J155)=1),"Row "&amp;Courses!A155&amp;", "&amp;Courses!$F$10&amp;"; ","")</f>
        <v/>
      </c>
      <c r="CH161" t="str">
        <f>IF(AND($AD$9=1,Courses!G155&lt;&gt;"",Courses!H155&lt;&gt;"",Courses!H155=0,SUM(Courses!J155,Courses!F155)=1),"Row "&amp;Courses!A155&amp;", "&amp;Courses!$H$10&amp;"; ","")</f>
        <v/>
      </c>
      <c r="CI161" s="183" t="str">
        <f>IF(AND($AD$9=1,Courses!I155&lt;&gt;"",Courses!J155&lt;&gt;"",Courses!J155=0, SUM(Courses!H155,Courses!F155)=1),"Row "&amp;Courses!A155&amp;", "&amp;Courses!$J$10&amp;"; ","")</f>
        <v/>
      </c>
      <c r="CJ161" s="180"/>
      <c r="CK161" s="181"/>
      <c r="CL161" s="1592" t="str">
        <f>IF(AND(Courses!B155&lt;&gt;"",ISNA(VLOOKUP(Courses!C155,CourseInfo,2,FALSE))=FALSE,COUNTIF(Dummy,Courses!C155)&lt;&gt;1),VLOOKUP(Courses!C155,CourseInfo,6,FALSE),"")</f>
        <v/>
      </c>
      <c r="CM161" s="1592" t="str">
        <f>IF(AND($AE$9=1,Courses!B155&lt;&gt;"",'Courses Valid'!AG161="",COUNTIF(Dummy,Courses!C155)&lt;&gt;1),IF(Courses!K155&lt;&gt;'Courses Valid'!CL161,"Row "&amp;Courses!A155&amp;", Level on LARS is "&amp;'Courses Valid'!CL161&amp;"; ",""),"")</f>
        <v/>
      </c>
      <c r="CN161" s="131"/>
    </row>
    <row r="162" spans="3:92" x14ac:dyDescent="0.35">
      <c r="C162" s="1591">
        <f t="shared" si="4"/>
        <v>0</v>
      </c>
      <c r="D162" s="41"/>
      <c r="E162" s="41"/>
      <c r="F162" s="118"/>
      <c r="G162" s="1592" t="str">
        <f>IF(SUMPRODUCT(--(CourseAims=Courses!$C156))=1,"",IF(AND($N$9=1,Courses!$C156&lt;&gt;""),"Row "&amp;Courses!A156&amp;" (invalid); ",""))</f>
        <v/>
      </c>
      <c r="H162" s="1592" t="str">
        <f>IF(AND($O$9=1,Courses!B156="",OR(Courses!F156&lt;&gt;"",Courses!H156&lt;&gt;"",Courses!J156&lt;&gt;"",Courses!K156&lt;&gt;"",Courses!L156&lt;&gt;"",Courses!M156&lt;&gt;0,Courses!N156&lt;&gt;0,Courses!O156&lt;&gt;0,Courses!P156&lt;&gt;0,Courses!Q156&lt;&gt;0,Courses!R156&lt;&gt;0,Courses!S156&lt;&gt;0,Courses!T156&lt;&gt;0,Courses!U156&lt;&gt;0,Courses!V156&lt;&gt;0,Courses!W156&lt;&gt;0,Courses!X156&lt;&gt;0,Courses!Y156&lt;&gt;0,Courses!Z156&lt;&gt;0,Courses!AA156&lt;&gt;0)),"Row "&amp;Courses!A156&amp;" (none); ","")</f>
        <v/>
      </c>
      <c r="I162" s="1596"/>
      <c r="K162" s="1592" t="str">
        <f>Courses!B156&amp;Courses!K156&amp;Courses!L156</f>
        <v/>
      </c>
      <c r="L162" s="1592" t="str">
        <f>IF(AND($P$9=1,Courses!$B156&lt;&gt;"",COUNTIF(Dummy,Courses!$C156)&lt;&gt;1),IF(SUMPRODUCT(--($K$20:$K$219=$K162))&gt;1,"Row "&amp;Courses!$A156&amp;"; ",""),"")</f>
        <v/>
      </c>
      <c r="N162" s="118"/>
      <c r="O162" s="1593" t="str">
        <f>IF(AND($Q$9=1,Courses!E156&lt;&gt;"",Courses!F156=""),"Row "&amp;Courses!A156&amp;", "&amp;Courses!$E$10&amp;"; ","")</f>
        <v/>
      </c>
      <c r="P162" t="str">
        <f>IF(AND($Q$9=1,Courses!G156&lt;&gt;"",Courses!H156=""),"Row "&amp;Courses!A156&amp;", "&amp;Courses!$G$10&amp;"; ","")</f>
        <v/>
      </c>
      <c r="Q162" s="183" t="str">
        <f>IF(AND($Q$9=1,Courses!I156&lt;&gt;"",Courses!J156=""),"Row "&amp;Courses!A156&amp;", "&amp;Courses!$I$10&amp;"; ","")</f>
        <v/>
      </c>
      <c r="T162" s="118"/>
      <c r="U162" s="1593" t="str">
        <f>IF(AND($R$9=1,Courses!B156&lt;&gt;"",Courses!E156&lt;&gt;"",Courses!G156="",Courses!I156="",Courses!F156&lt;&gt;1),"Row "&amp;Courses!A156&amp;"; ","")</f>
        <v/>
      </c>
      <c r="V162" t="str">
        <f>IF(AND($R$9=1,Courses!B156&lt;&gt;"",Courses!I156="",Courses!F156&lt;&gt;"",Courses!G156&lt;&gt;"",Courses!H156&lt;&gt;""),IF(OR((Courses!F156+Courses!H156)&lt;&gt;1),"Row "&amp;Courses!A156&amp;"; ",""),"")</f>
        <v/>
      </c>
      <c r="W162" s="183" t="str">
        <f>IF(AND($R$9=1,Courses!B156&lt;&gt;"",Courses!I156&lt;&gt;"",Courses!J156&lt;&gt;"",Courses!H156&lt;&gt;"",Courses!G156&lt;&gt;"",Courses!F156&lt;&gt;""),IF(OR((Courses!F156+Courses!H156+Courses!J156)&lt;&gt;1),"Row "&amp;Courses!A156&amp;"; ",""),"")</f>
        <v/>
      </c>
      <c r="Y162" s="1592" t="str">
        <f>IF(AND($R$9=1,Courses!E156&lt;&gt;"",U162="",V162="",W162="",SUM(Courses!F156,Courses!H156,Courses!J156)&lt;&gt;1),"Row "&amp;Courses!A156&amp;"; ","")</f>
        <v/>
      </c>
      <c r="AA162" s="118"/>
      <c r="AB162" s="1593" t="str">
        <f>IF(AND($S$9=1,Courses!B156&lt;&gt;"",Courses!E156&lt;&gt;"",Courses!F156&lt;&gt;""),IF((TRUNC(Courses!F156*100)&lt;&gt;Courses!F156*100),"Row "&amp;Courses!A156&amp;", "&amp;Courses!$F$10&amp;"; ",""),"")</f>
        <v/>
      </c>
      <c r="AC162" t="str">
        <f>IF(AND($S$9=1,Courses!B156&lt;&gt;"",Courses!G156&lt;&gt;"",Courses!H156&lt;&gt;""),IF((TRUNC(Courses!H156*100)&lt;&gt;Courses!H156*100),"Row "&amp;Courses!A156&amp;", "&amp;Courses!$H$10&amp;"; ",""),"")</f>
        <v/>
      </c>
      <c r="AD162" s="183" t="str">
        <f>IF(AND($S$9=1,Courses!B156&lt;&gt;"",Courses!I156&lt;&gt;"",Courses!J156&lt;&gt;""),IF((TRUNC(Courses!J156*100)&lt;&gt;Courses!J156*100),"Row "&amp;Courses!A156&amp;", "&amp;Courses!$J$10&amp;"; ",""),"")</f>
        <v/>
      </c>
      <c r="AF162" s="118"/>
      <c r="AG162" s="1593" t="str">
        <f>IF(AND($T$9=1,G162="",Courses!B156&lt;&gt;"",Courses!K156&lt;&gt;$B$9,Courses!K156&lt;&gt;$B$10,Courses!K156&lt;&gt;$B$11,Courses!K156&lt;&gt;$B$12,Courses!K156&lt;&gt;$B$13,Courses!K156&lt;&gt;$B$14),"Row "&amp;Courses!A156&amp;"; ","")</f>
        <v/>
      </c>
      <c r="AH162" s="1592" t="str">
        <f>IF(AND($U$9=1,G162="",Courses!B156&lt;&gt;"",Courses!L156&lt;&gt;"Standard",Courses!L156&lt;&gt;"Long"),"Row "&amp;Courses!A156&amp;"; ","")</f>
        <v/>
      </c>
      <c r="AJ162" s="118"/>
      <c r="AK162" s="3">
        <v>143</v>
      </c>
      <c r="AL162" s="1593" t="str">
        <f>IF(AND($V$9=1,(TRUNC(Courses!M156)&lt;&gt;Courses!M156)), "Row "&amp;Courses!$A156&amp;", "&amp;AL$9&amp;", "&amp;AL$10&amp;", "&amp;AL$11&amp;"; ","")</f>
        <v/>
      </c>
      <c r="AM162" t="str">
        <f>IF(AND($V$9=1,(TRUNC(Courses!N156)&lt;&gt;Courses!N156)), "Row "&amp;Courses!$A156&amp;", "&amp;AM$9&amp;", "&amp;AM$10&amp;", "&amp;AM$11&amp;"; ","")</f>
        <v/>
      </c>
      <c r="AN162" t="str">
        <f>IF(AND($V$9=1,(TRUNC(Courses!O156)&lt;&gt;Courses!O156)), "Row "&amp;Courses!$A156&amp;", "&amp;AN$9&amp;", "&amp;AN$10&amp;", "&amp;AN$11&amp;"; ","")</f>
        <v/>
      </c>
      <c r="AO162" t="str">
        <f>IF(AND($V$9=1,(TRUNC(Courses!P156)&lt;&gt;Courses!P156)), "Row "&amp;Courses!$A156&amp;", "&amp;AO$9&amp;", "&amp;AO$10&amp;", "&amp;AO$11&amp;"; ","")</f>
        <v/>
      </c>
      <c r="AP162" s="2120" t="str">
        <f>IF(AND($V$9=1,(TRUNC(Courses!Q156)&lt;&gt;Courses!Q156)), "Row "&amp;Courses!$A156&amp;", "&amp;AP$9&amp;", "&amp;AP$10&amp;"; ","")</f>
        <v/>
      </c>
      <c r="AQ162" s="1593" t="str">
        <f>IF(AND($V$9=1,(TRUNC(Courses!R156)&lt;&gt;Courses!R156)), "Row "&amp;Courses!$A156&amp;", "&amp;AQ$9&amp;", "&amp;AQ$10&amp;", "&amp;AQ$11&amp;"; ","")</f>
        <v/>
      </c>
      <c r="AR162" t="str">
        <f>IF(AND($V$9=1,(TRUNC(Courses!S156)&lt;&gt;Courses!S156)), "Row "&amp;Courses!$A156&amp;", "&amp;AR$9&amp;", "&amp;AR$10&amp;", "&amp;AR$11&amp;"; ","")</f>
        <v/>
      </c>
      <c r="AS162" t="str">
        <f>IF(AND($V$9=1,(TRUNC(Courses!T156)&lt;&gt;Courses!T156)), "Row "&amp;Courses!$A156&amp;", "&amp;AS$9&amp;", "&amp;AS$10&amp;", "&amp;AS$11&amp;"; ","")</f>
        <v/>
      </c>
      <c r="AT162" t="str">
        <f>IF(AND($V$9=1,(TRUNC(Courses!U156)&lt;&gt;Courses!U156)), "Row "&amp;Courses!$A156&amp;", "&amp;AT$9&amp;", "&amp;AT$10&amp;", "&amp;AT$11&amp;"; ","")</f>
        <v/>
      </c>
      <c r="AU162" s="2120" t="str">
        <f>IF(AND($V$9=1,(TRUNC(Courses!V156)&lt;&gt;Courses!V156)), "Row "&amp;Courses!$A156&amp;", "&amp;AU$9&amp;", "&amp;AU$10&amp;"; ","")</f>
        <v/>
      </c>
      <c r="AV162" s="1593" t="str">
        <f>IF(AND($V$9=1,(TRUNC(Courses!W156)&lt;&gt;Courses!W156)), "Row "&amp;Courses!$A156&amp;", "&amp;AV$9&amp;", "&amp;AV$10&amp;", "&amp;AV$11&amp;"; ","")</f>
        <v/>
      </c>
      <c r="AW162" t="str">
        <f>IF(AND($V$9=1,(TRUNC(Courses!X156)&lt;&gt;Courses!X156)), "Row "&amp;Courses!$A156&amp;", "&amp;AW$9&amp;", "&amp;AW$10&amp;", "&amp;AW$11&amp;"; ","")</f>
        <v/>
      </c>
      <c r="AX162" t="str">
        <f>IF(AND($V$9=1,(TRUNC(Courses!Y156)&lt;&gt;Courses!Y156)), "Row "&amp;Courses!$A156&amp;", "&amp;AX$9&amp;", "&amp;AX$10&amp;", "&amp;AX$11&amp;"; ","")</f>
        <v/>
      </c>
      <c r="AY162" t="str">
        <f>IF(AND($V$9=1,(TRUNC(Courses!Z156)&lt;&gt;Courses!Z156)), "Row "&amp;Courses!$A156&amp;", "&amp;AY$9&amp;", "&amp;AY$10&amp;", "&amp;AY$11&amp;"; ","")</f>
        <v/>
      </c>
      <c r="AZ162" s="2120" t="str">
        <f>IF(AND($V$9=1,(TRUNC(Courses!AA156)&lt;&gt;Courses!AA156)), "Row "&amp;Courses!$A156&amp;", "&amp;AZ$9&amp;", "&amp;AZ$10&amp;"; ","")</f>
        <v/>
      </c>
      <c r="BB162" s="118"/>
      <c r="BC162" s="3">
        <v>143</v>
      </c>
      <c r="BD162" s="1593" t="str">
        <f>IF(AND($W$9=1,Courses!M156&lt;0), "Row "&amp;Courses!$A156&amp;", "&amp;BD$9&amp;", "&amp;BD$10&amp;", "&amp;BD$11&amp;"; ","")</f>
        <v/>
      </c>
      <c r="BE162" t="str">
        <f>IF(AND($W$9=1,Courses!N156&lt;0), "Row "&amp;Courses!$A156&amp;", "&amp;BE$9&amp;", "&amp;BE$10&amp;", "&amp;BE$11&amp;"; ","")</f>
        <v/>
      </c>
      <c r="BF162" t="str">
        <f>IF(AND($W$9=1,Courses!O156&lt;0), "Row "&amp;Courses!$A156&amp;", "&amp;BF$9&amp;", "&amp;BF$10&amp;", "&amp;BF$11&amp;"; ","")</f>
        <v/>
      </c>
      <c r="BG162" t="str">
        <f>IF(AND($W$9=1,Courses!P156&lt;0), "Row "&amp;Courses!$A156&amp;", "&amp;BG$9&amp;", "&amp;BG$10&amp;", "&amp;BG$11&amp;"; ","")</f>
        <v/>
      </c>
      <c r="BH162" s="2120" t="str">
        <f>IF(AND($W$9=1,Courses!Q156&lt;0), "Row "&amp;Courses!$A156&amp;", "&amp;BH$9&amp;", "&amp;BH$10&amp;"; ","")</f>
        <v/>
      </c>
      <c r="BI162" s="1593" t="str">
        <f>IF(AND($W$9=1,Courses!R156&lt;0), "Row "&amp;Courses!$A156&amp;", "&amp;BI$9&amp;", "&amp;BI$10&amp;", "&amp;BI$11&amp;"; ","")</f>
        <v/>
      </c>
      <c r="BJ162" t="str">
        <f>IF(AND($W$9=1,Courses!S156&lt;0), "Row "&amp;Courses!$A156&amp;", "&amp;BJ$9&amp;", "&amp;BJ$10&amp;", "&amp;BJ$11&amp;"; ","")</f>
        <v/>
      </c>
      <c r="BK162" t="str">
        <f>IF(AND($W$9=1,Courses!T156&lt;0), "Row "&amp;Courses!$A156&amp;", "&amp;BK$9&amp;", "&amp;BK$10&amp;", "&amp;BK$11&amp;"; ","")</f>
        <v/>
      </c>
      <c r="BL162" t="str">
        <f>IF(AND($W$9=1,Courses!U156&lt;0), "Row "&amp;Courses!$A156&amp;", "&amp;BL$9&amp;", "&amp;BL$10&amp;", "&amp;BL$11&amp;"; ","")</f>
        <v/>
      </c>
      <c r="BM162" s="2120" t="str">
        <f>IF(AND($W$9=1,Courses!V156&lt;0), "Row "&amp;Courses!$A156&amp;", "&amp;BM$9&amp;", "&amp;BM$10&amp;"; ","")</f>
        <v/>
      </c>
      <c r="BN162" t="str">
        <f>IF(AND($W$9=1,Courses!W156&lt;0), "Row "&amp;Courses!$A156&amp;", "&amp;BN$9&amp;", "&amp;BN$10&amp;", "&amp;BN$11&amp;"; ","")</f>
        <v/>
      </c>
      <c r="BO162" t="str">
        <f>IF(AND($W$9=1,Courses!X156&lt;0), "Row "&amp;Courses!$A156&amp;", "&amp;BO$9&amp;", "&amp;BO$10&amp;", "&amp;BO$11&amp;"; ","")</f>
        <v/>
      </c>
      <c r="BP162" t="str">
        <f>IF(AND($W$9=1,Courses!Y156&lt;0), "Row "&amp;Courses!$A156&amp;", "&amp;BP$9&amp;", "&amp;BP$10&amp;", "&amp;BP$11&amp;"; ","")</f>
        <v/>
      </c>
      <c r="BQ162" t="str">
        <f>IF(AND($W$9=1,Courses!Z156&lt;0), "Row "&amp;Courses!$A156&amp;", "&amp;BQ$9&amp;", "&amp;BQ$10&amp;", "&amp;BQ$11&amp;"; ","")</f>
        <v/>
      </c>
      <c r="BR162" s="2120" t="str">
        <f>IF(AND($W$9=1,Courses!AA156&lt;0), "Row "&amp;Courses!$A156&amp;", "&amp;BR$9&amp;", "&amp;BR$10&amp;"; ","")</f>
        <v/>
      </c>
      <c r="BT162" s="3">
        <v>143</v>
      </c>
      <c r="BU162" s="40">
        <f>IF(AND($X$9=1,Courses!B156="",Courses!F156="",Courses!H156="",Courses!J156="",Courses!K156="",Courses!L156="",Courses!M156=0,Courses!N156=0,Courses!O156=0,Courses!P156=0,Courses!Q156=0,Courses!R156=0,Courses!S156=0,Courses!T156=0,Courses!U156=0,Courses!V156=0,Courses!W156=0,Courses!X156=0,Courses!Y156=0,Courses!Z156=0,Courses!AA156=0),0,1)</f>
        <v>0</v>
      </c>
      <c r="BV162" s="40">
        <f>IF(AND(BU162=0,SUM(BU163:$BU$219)&gt;0),1,0)</f>
        <v>0</v>
      </c>
      <c r="BW162" s="1592" t="str">
        <f>IF(BV162=1,"Row "&amp;Courses!A156&amp;"; ","")</f>
        <v/>
      </c>
      <c r="BX162" s="17"/>
      <c r="BZ162" s="1592" t="str">
        <f>IF(AND($Y$9=1,Courses!B156&lt;&gt;"",SUM(Courses!M156:AA156)=0),"Row "&amp;Courses!A156&amp;"; ","")</f>
        <v/>
      </c>
      <c r="CA162" s="17"/>
      <c r="CC162" s="1592" t="str">
        <f>IF(AND($Z$9=1,Courses!AD156=1,(LEN(Courses!AB156)&gt;200)),"Row "&amp;Courses!A156&amp;"; ","")</f>
        <v/>
      </c>
      <c r="CE162" s="131"/>
      <c r="CG162" s="1593" t="str">
        <f>IF(AND($AD$9=1,Courses!E156&lt;&gt;"",Courses!F156&lt;&gt;"",Courses!F156=0,SUM(Courses!H156,Courses!J156)=1),"Row "&amp;Courses!A156&amp;", "&amp;Courses!$F$10&amp;"; ","")</f>
        <v/>
      </c>
      <c r="CH162" t="str">
        <f>IF(AND($AD$9=1,Courses!G156&lt;&gt;"",Courses!H156&lt;&gt;"",Courses!H156=0,SUM(Courses!J156,Courses!F156)=1),"Row "&amp;Courses!A156&amp;", "&amp;Courses!$H$10&amp;"; ","")</f>
        <v/>
      </c>
      <c r="CI162" s="183" t="str">
        <f>IF(AND($AD$9=1,Courses!I156&lt;&gt;"",Courses!J156&lt;&gt;"",Courses!J156=0, SUM(Courses!H156,Courses!F156)=1),"Row "&amp;Courses!A156&amp;", "&amp;Courses!$J$10&amp;"; ","")</f>
        <v/>
      </c>
      <c r="CJ162" s="180"/>
      <c r="CK162" s="181"/>
      <c r="CL162" s="1592" t="str">
        <f>IF(AND(Courses!B156&lt;&gt;"",ISNA(VLOOKUP(Courses!C156,CourseInfo,2,FALSE))=FALSE,COUNTIF(Dummy,Courses!C156)&lt;&gt;1),VLOOKUP(Courses!C156,CourseInfo,6,FALSE),"")</f>
        <v/>
      </c>
      <c r="CM162" s="1592" t="str">
        <f>IF(AND($AE$9=1,Courses!B156&lt;&gt;"",'Courses Valid'!AG162="",COUNTIF(Dummy,Courses!C156)&lt;&gt;1),IF(Courses!K156&lt;&gt;'Courses Valid'!CL162,"Row "&amp;Courses!A156&amp;", Level on LARS is "&amp;'Courses Valid'!CL162&amp;"; ",""),"")</f>
        <v/>
      </c>
      <c r="CN162" s="131"/>
    </row>
    <row r="163" spans="3:92" x14ac:dyDescent="0.35">
      <c r="C163" s="1591">
        <f t="shared" si="4"/>
        <v>0</v>
      </c>
      <c r="D163" s="41"/>
      <c r="E163" s="41"/>
      <c r="F163" s="118"/>
      <c r="G163" s="1592" t="str">
        <f>IF(SUMPRODUCT(--(CourseAims=Courses!$C157))=1,"",IF(AND($N$9=1,Courses!$C157&lt;&gt;""),"Row "&amp;Courses!A157&amp;" (invalid); ",""))</f>
        <v/>
      </c>
      <c r="H163" s="1592" t="str">
        <f>IF(AND($O$9=1,Courses!B157="",OR(Courses!F157&lt;&gt;"",Courses!H157&lt;&gt;"",Courses!J157&lt;&gt;"",Courses!K157&lt;&gt;"",Courses!L157&lt;&gt;"",Courses!M157&lt;&gt;0,Courses!N157&lt;&gt;0,Courses!O157&lt;&gt;0,Courses!P157&lt;&gt;0,Courses!Q157&lt;&gt;0,Courses!R157&lt;&gt;0,Courses!S157&lt;&gt;0,Courses!T157&lt;&gt;0,Courses!U157&lt;&gt;0,Courses!V157&lt;&gt;0,Courses!W157&lt;&gt;0,Courses!X157&lt;&gt;0,Courses!Y157&lt;&gt;0,Courses!Z157&lt;&gt;0,Courses!AA157&lt;&gt;0)),"Row "&amp;Courses!A157&amp;" (none); ","")</f>
        <v/>
      </c>
      <c r="I163" s="1596"/>
      <c r="K163" s="1592" t="str">
        <f>Courses!B157&amp;Courses!K157&amp;Courses!L157</f>
        <v/>
      </c>
      <c r="L163" s="1592" t="str">
        <f>IF(AND($P$9=1,Courses!$B157&lt;&gt;"",COUNTIF(Dummy,Courses!$C157)&lt;&gt;1),IF(SUMPRODUCT(--($K$20:$K$219=$K163))&gt;1,"Row "&amp;Courses!$A157&amp;"; ",""),"")</f>
        <v/>
      </c>
      <c r="N163" s="118"/>
      <c r="O163" s="1593" t="str">
        <f>IF(AND($Q$9=1,Courses!E157&lt;&gt;"",Courses!F157=""),"Row "&amp;Courses!A157&amp;", "&amp;Courses!$E$10&amp;"; ","")</f>
        <v/>
      </c>
      <c r="P163" t="str">
        <f>IF(AND($Q$9=1,Courses!G157&lt;&gt;"",Courses!H157=""),"Row "&amp;Courses!A157&amp;", "&amp;Courses!$G$10&amp;"; ","")</f>
        <v/>
      </c>
      <c r="Q163" s="183" t="str">
        <f>IF(AND($Q$9=1,Courses!I157&lt;&gt;"",Courses!J157=""),"Row "&amp;Courses!A157&amp;", "&amp;Courses!$I$10&amp;"; ","")</f>
        <v/>
      </c>
      <c r="T163" s="118"/>
      <c r="U163" s="1593" t="str">
        <f>IF(AND($R$9=1,Courses!B157&lt;&gt;"",Courses!E157&lt;&gt;"",Courses!G157="",Courses!I157="",Courses!F157&lt;&gt;1),"Row "&amp;Courses!A157&amp;"; ","")</f>
        <v/>
      </c>
      <c r="V163" t="str">
        <f>IF(AND($R$9=1,Courses!B157&lt;&gt;"",Courses!I157="",Courses!F157&lt;&gt;"",Courses!G157&lt;&gt;"",Courses!H157&lt;&gt;""),IF(OR((Courses!F157+Courses!H157)&lt;&gt;1),"Row "&amp;Courses!A157&amp;"; ",""),"")</f>
        <v/>
      </c>
      <c r="W163" s="183" t="str">
        <f>IF(AND($R$9=1,Courses!B157&lt;&gt;"",Courses!I157&lt;&gt;"",Courses!J157&lt;&gt;"",Courses!H157&lt;&gt;"",Courses!G157&lt;&gt;"",Courses!F157&lt;&gt;""),IF(OR((Courses!F157+Courses!H157+Courses!J157)&lt;&gt;1),"Row "&amp;Courses!A157&amp;"; ",""),"")</f>
        <v/>
      </c>
      <c r="Y163" s="1592" t="str">
        <f>IF(AND($R$9=1,Courses!E157&lt;&gt;"",U163="",V163="",W163="",SUM(Courses!F157,Courses!H157,Courses!J157)&lt;&gt;1),"Row "&amp;Courses!A157&amp;"; ","")</f>
        <v/>
      </c>
      <c r="AA163" s="118"/>
      <c r="AB163" s="1593" t="str">
        <f>IF(AND($S$9=1,Courses!B157&lt;&gt;"",Courses!E157&lt;&gt;"",Courses!F157&lt;&gt;""),IF((TRUNC(Courses!F157*100)&lt;&gt;Courses!F157*100),"Row "&amp;Courses!A157&amp;", "&amp;Courses!$F$10&amp;"; ",""),"")</f>
        <v/>
      </c>
      <c r="AC163" t="str">
        <f>IF(AND($S$9=1,Courses!B157&lt;&gt;"",Courses!G157&lt;&gt;"",Courses!H157&lt;&gt;""),IF((TRUNC(Courses!H157*100)&lt;&gt;Courses!H157*100),"Row "&amp;Courses!A157&amp;", "&amp;Courses!$H$10&amp;"; ",""),"")</f>
        <v/>
      </c>
      <c r="AD163" s="183" t="str">
        <f>IF(AND($S$9=1,Courses!B157&lt;&gt;"",Courses!I157&lt;&gt;"",Courses!J157&lt;&gt;""),IF((TRUNC(Courses!J157*100)&lt;&gt;Courses!J157*100),"Row "&amp;Courses!A157&amp;", "&amp;Courses!$J$10&amp;"; ",""),"")</f>
        <v/>
      </c>
      <c r="AF163" s="118"/>
      <c r="AG163" s="1593" t="str">
        <f>IF(AND($T$9=1,G163="",Courses!B157&lt;&gt;"",Courses!K157&lt;&gt;$B$9,Courses!K157&lt;&gt;$B$10,Courses!K157&lt;&gt;$B$11,Courses!K157&lt;&gt;$B$12,Courses!K157&lt;&gt;$B$13,Courses!K157&lt;&gt;$B$14),"Row "&amp;Courses!A157&amp;"; ","")</f>
        <v/>
      </c>
      <c r="AH163" s="1592" t="str">
        <f>IF(AND($U$9=1,G163="",Courses!B157&lt;&gt;"",Courses!L157&lt;&gt;"Standard",Courses!L157&lt;&gt;"Long"),"Row "&amp;Courses!A157&amp;"; ","")</f>
        <v/>
      </c>
      <c r="AJ163" s="118"/>
      <c r="AK163" s="3">
        <v>144</v>
      </c>
      <c r="AL163" s="1593" t="str">
        <f>IF(AND($V$9=1,(TRUNC(Courses!M157)&lt;&gt;Courses!M157)), "Row "&amp;Courses!$A157&amp;", "&amp;AL$9&amp;", "&amp;AL$10&amp;", "&amp;AL$11&amp;"; ","")</f>
        <v/>
      </c>
      <c r="AM163" t="str">
        <f>IF(AND($V$9=1,(TRUNC(Courses!N157)&lt;&gt;Courses!N157)), "Row "&amp;Courses!$A157&amp;", "&amp;AM$9&amp;", "&amp;AM$10&amp;", "&amp;AM$11&amp;"; ","")</f>
        <v/>
      </c>
      <c r="AN163" t="str">
        <f>IF(AND($V$9=1,(TRUNC(Courses!O157)&lt;&gt;Courses!O157)), "Row "&amp;Courses!$A157&amp;", "&amp;AN$9&amp;", "&amp;AN$10&amp;", "&amp;AN$11&amp;"; ","")</f>
        <v/>
      </c>
      <c r="AO163" t="str">
        <f>IF(AND($V$9=1,(TRUNC(Courses!P157)&lt;&gt;Courses!P157)), "Row "&amp;Courses!$A157&amp;", "&amp;AO$9&amp;", "&amp;AO$10&amp;", "&amp;AO$11&amp;"; ","")</f>
        <v/>
      </c>
      <c r="AP163" s="2120" t="str">
        <f>IF(AND($V$9=1,(TRUNC(Courses!Q157)&lt;&gt;Courses!Q157)), "Row "&amp;Courses!$A157&amp;", "&amp;AP$9&amp;", "&amp;AP$10&amp;"; ","")</f>
        <v/>
      </c>
      <c r="AQ163" s="1593" t="str">
        <f>IF(AND($V$9=1,(TRUNC(Courses!R157)&lt;&gt;Courses!R157)), "Row "&amp;Courses!$A157&amp;", "&amp;AQ$9&amp;", "&amp;AQ$10&amp;", "&amp;AQ$11&amp;"; ","")</f>
        <v/>
      </c>
      <c r="AR163" t="str">
        <f>IF(AND($V$9=1,(TRUNC(Courses!S157)&lt;&gt;Courses!S157)), "Row "&amp;Courses!$A157&amp;", "&amp;AR$9&amp;", "&amp;AR$10&amp;", "&amp;AR$11&amp;"; ","")</f>
        <v/>
      </c>
      <c r="AS163" t="str">
        <f>IF(AND($V$9=1,(TRUNC(Courses!T157)&lt;&gt;Courses!T157)), "Row "&amp;Courses!$A157&amp;", "&amp;AS$9&amp;", "&amp;AS$10&amp;", "&amp;AS$11&amp;"; ","")</f>
        <v/>
      </c>
      <c r="AT163" t="str">
        <f>IF(AND($V$9=1,(TRUNC(Courses!U157)&lt;&gt;Courses!U157)), "Row "&amp;Courses!$A157&amp;", "&amp;AT$9&amp;", "&amp;AT$10&amp;", "&amp;AT$11&amp;"; ","")</f>
        <v/>
      </c>
      <c r="AU163" s="2120" t="str">
        <f>IF(AND($V$9=1,(TRUNC(Courses!V157)&lt;&gt;Courses!V157)), "Row "&amp;Courses!$A157&amp;", "&amp;AU$9&amp;", "&amp;AU$10&amp;"; ","")</f>
        <v/>
      </c>
      <c r="AV163" s="1593" t="str">
        <f>IF(AND($V$9=1,(TRUNC(Courses!W157)&lt;&gt;Courses!W157)), "Row "&amp;Courses!$A157&amp;", "&amp;AV$9&amp;", "&amp;AV$10&amp;", "&amp;AV$11&amp;"; ","")</f>
        <v/>
      </c>
      <c r="AW163" t="str">
        <f>IF(AND($V$9=1,(TRUNC(Courses!X157)&lt;&gt;Courses!X157)), "Row "&amp;Courses!$A157&amp;", "&amp;AW$9&amp;", "&amp;AW$10&amp;", "&amp;AW$11&amp;"; ","")</f>
        <v/>
      </c>
      <c r="AX163" t="str">
        <f>IF(AND($V$9=1,(TRUNC(Courses!Y157)&lt;&gt;Courses!Y157)), "Row "&amp;Courses!$A157&amp;", "&amp;AX$9&amp;", "&amp;AX$10&amp;", "&amp;AX$11&amp;"; ","")</f>
        <v/>
      </c>
      <c r="AY163" t="str">
        <f>IF(AND($V$9=1,(TRUNC(Courses!Z157)&lt;&gt;Courses!Z157)), "Row "&amp;Courses!$A157&amp;", "&amp;AY$9&amp;", "&amp;AY$10&amp;", "&amp;AY$11&amp;"; ","")</f>
        <v/>
      </c>
      <c r="AZ163" s="2120" t="str">
        <f>IF(AND($V$9=1,(TRUNC(Courses!AA157)&lt;&gt;Courses!AA157)), "Row "&amp;Courses!$A157&amp;", "&amp;AZ$9&amp;", "&amp;AZ$10&amp;"; ","")</f>
        <v/>
      </c>
      <c r="BB163" s="118"/>
      <c r="BC163" s="3">
        <v>144</v>
      </c>
      <c r="BD163" s="1593" t="str">
        <f>IF(AND($W$9=1,Courses!M157&lt;0), "Row "&amp;Courses!$A157&amp;", "&amp;BD$9&amp;", "&amp;BD$10&amp;", "&amp;BD$11&amp;"; ","")</f>
        <v/>
      </c>
      <c r="BE163" t="str">
        <f>IF(AND($W$9=1,Courses!N157&lt;0), "Row "&amp;Courses!$A157&amp;", "&amp;BE$9&amp;", "&amp;BE$10&amp;", "&amp;BE$11&amp;"; ","")</f>
        <v/>
      </c>
      <c r="BF163" t="str">
        <f>IF(AND($W$9=1,Courses!O157&lt;0), "Row "&amp;Courses!$A157&amp;", "&amp;BF$9&amp;", "&amp;BF$10&amp;", "&amp;BF$11&amp;"; ","")</f>
        <v/>
      </c>
      <c r="BG163" t="str">
        <f>IF(AND($W$9=1,Courses!P157&lt;0), "Row "&amp;Courses!$A157&amp;", "&amp;BG$9&amp;", "&amp;BG$10&amp;", "&amp;BG$11&amp;"; ","")</f>
        <v/>
      </c>
      <c r="BH163" s="2120" t="str">
        <f>IF(AND($W$9=1,Courses!Q157&lt;0), "Row "&amp;Courses!$A157&amp;", "&amp;BH$9&amp;", "&amp;BH$10&amp;"; ","")</f>
        <v/>
      </c>
      <c r="BI163" s="1593" t="str">
        <f>IF(AND($W$9=1,Courses!R157&lt;0), "Row "&amp;Courses!$A157&amp;", "&amp;BI$9&amp;", "&amp;BI$10&amp;", "&amp;BI$11&amp;"; ","")</f>
        <v/>
      </c>
      <c r="BJ163" t="str">
        <f>IF(AND($W$9=1,Courses!S157&lt;0), "Row "&amp;Courses!$A157&amp;", "&amp;BJ$9&amp;", "&amp;BJ$10&amp;", "&amp;BJ$11&amp;"; ","")</f>
        <v/>
      </c>
      <c r="BK163" t="str">
        <f>IF(AND($W$9=1,Courses!T157&lt;0), "Row "&amp;Courses!$A157&amp;", "&amp;BK$9&amp;", "&amp;BK$10&amp;", "&amp;BK$11&amp;"; ","")</f>
        <v/>
      </c>
      <c r="BL163" t="str">
        <f>IF(AND($W$9=1,Courses!U157&lt;0), "Row "&amp;Courses!$A157&amp;", "&amp;BL$9&amp;", "&amp;BL$10&amp;", "&amp;BL$11&amp;"; ","")</f>
        <v/>
      </c>
      <c r="BM163" s="2120" t="str">
        <f>IF(AND($W$9=1,Courses!V157&lt;0), "Row "&amp;Courses!$A157&amp;", "&amp;BM$9&amp;", "&amp;BM$10&amp;"; ","")</f>
        <v/>
      </c>
      <c r="BN163" t="str">
        <f>IF(AND($W$9=1,Courses!W157&lt;0), "Row "&amp;Courses!$A157&amp;", "&amp;BN$9&amp;", "&amp;BN$10&amp;", "&amp;BN$11&amp;"; ","")</f>
        <v/>
      </c>
      <c r="BO163" t="str">
        <f>IF(AND($W$9=1,Courses!X157&lt;0), "Row "&amp;Courses!$A157&amp;", "&amp;BO$9&amp;", "&amp;BO$10&amp;", "&amp;BO$11&amp;"; ","")</f>
        <v/>
      </c>
      <c r="BP163" t="str">
        <f>IF(AND($W$9=1,Courses!Y157&lt;0), "Row "&amp;Courses!$A157&amp;", "&amp;BP$9&amp;", "&amp;BP$10&amp;", "&amp;BP$11&amp;"; ","")</f>
        <v/>
      </c>
      <c r="BQ163" t="str">
        <f>IF(AND($W$9=1,Courses!Z157&lt;0), "Row "&amp;Courses!$A157&amp;", "&amp;BQ$9&amp;", "&amp;BQ$10&amp;", "&amp;BQ$11&amp;"; ","")</f>
        <v/>
      </c>
      <c r="BR163" s="2120" t="str">
        <f>IF(AND($W$9=1,Courses!AA157&lt;0), "Row "&amp;Courses!$A157&amp;", "&amp;BR$9&amp;", "&amp;BR$10&amp;"; ","")</f>
        <v/>
      </c>
      <c r="BT163" s="3">
        <v>144</v>
      </c>
      <c r="BU163" s="40">
        <f>IF(AND($X$9=1,Courses!B157="",Courses!F157="",Courses!H157="",Courses!J157="",Courses!K157="",Courses!L157="",Courses!M157=0,Courses!N157=0,Courses!O157=0,Courses!P157=0,Courses!Q157=0,Courses!R157=0,Courses!S157=0,Courses!T157=0,Courses!U157=0,Courses!V157=0,Courses!W157=0,Courses!X157=0,Courses!Y157=0,Courses!Z157=0,Courses!AA157=0),0,1)</f>
        <v>0</v>
      </c>
      <c r="BV163" s="40">
        <f>IF(AND(BU163=0,SUM(BU164:$BU$219)&gt;0),1,0)</f>
        <v>0</v>
      </c>
      <c r="BW163" s="1592" t="str">
        <f>IF(BV163=1,"Row "&amp;Courses!A157&amp;"; ","")</f>
        <v/>
      </c>
      <c r="BX163" s="17"/>
      <c r="BZ163" s="1592" t="str">
        <f>IF(AND($Y$9=1,Courses!B157&lt;&gt;"",SUM(Courses!M157:AA157)=0),"Row "&amp;Courses!A157&amp;"; ","")</f>
        <v/>
      </c>
      <c r="CA163" s="17"/>
      <c r="CC163" s="1592" t="str">
        <f>IF(AND($Z$9=1,Courses!AD157=1,(LEN(Courses!AB157)&gt;200)),"Row "&amp;Courses!A157&amp;"; ","")</f>
        <v/>
      </c>
      <c r="CE163" s="131"/>
      <c r="CG163" s="1593" t="str">
        <f>IF(AND($AD$9=1,Courses!E157&lt;&gt;"",Courses!F157&lt;&gt;"",Courses!F157=0,SUM(Courses!H157,Courses!J157)=1),"Row "&amp;Courses!A157&amp;", "&amp;Courses!$F$10&amp;"; ","")</f>
        <v/>
      </c>
      <c r="CH163" t="str">
        <f>IF(AND($AD$9=1,Courses!G157&lt;&gt;"",Courses!H157&lt;&gt;"",Courses!H157=0,SUM(Courses!J157,Courses!F157)=1),"Row "&amp;Courses!A157&amp;", "&amp;Courses!$H$10&amp;"; ","")</f>
        <v/>
      </c>
      <c r="CI163" s="183" t="str">
        <f>IF(AND($AD$9=1,Courses!I157&lt;&gt;"",Courses!J157&lt;&gt;"",Courses!J157=0, SUM(Courses!H157,Courses!F157)=1),"Row "&amp;Courses!A157&amp;", "&amp;Courses!$J$10&amp;"; ","")</f>
        <v/>
      </c>
      <c r="CJ163" s="180"/>
      <c r="CK163" s="181"/>
      <c r="CL163" s="1592" t="str">
        <f>IF(AND(Courses!B157&lt;&gt;"",ISNA(VLOOKUP(Courses!C157,CourseInfo,2,FALSE))=FALSE,COUNTIF(Dummy,Courses!C157)&lt;&gt;1),VLOOKUP(Courses!C157,CourseInfo,6,FALSE),"")</f>
        <v/>
      </c>
      <c r="CM163" s="1592" t="str">
        <f>IF(AND($AE$9=1,Courses!B157&lt;&gt;"",'Courses Valid'!AG163="",COUNTIF(Dummy,Courses!C157)&lt;&gt;1),IF(Courses!K157&lt;&gt;'Courses Valid'!CL163,"Row "&amp;Courses!A157&amp;", Level on LARS is "&amp;'Courses Valid'!CL163&amp;"; ",""),"")</f>
        <v/>
      </c>
      <c r="CN163" s="131"/>
    </row>
    <row r="164" spans="3:92" x14ac:dyDescent="0.35">
      <c r="C164" s="1591">
        <f t="shared" si="4"/>
        <v>0</v>
      </c>
      <c r="D164" s="41"/>
      <c r="E164" s="41"/>
      <c r="F164" s="118"/>
      <c r="G164" s="1592" t="str">
        <f>IF(SUMPRODUCT(--(CourseAims=Courses!$C158))=1,"",IF(AND($N$9=1,Courses!$C158&lt;&gt;""),"Row "&amp;Courses!A158&amp;" (invalid); ",""))</f>
        <v/>
      </c>
      <c r="H164" s="1592" t="str">
        <f>IF(AND($O$9=1,Courses!B158="",OR(Courses!F158&lt;&gt;"",Courses!H158&lt;&gt;"",Courses!J158&lt;&gt;"",Courses!K158&lt;&gt;"",Courses!L158&lt;&gt;"",Courses!M158&lt;&gt;0,Courses!N158&lt;&gt;0,Courses!O158&lt;&gt;0,Courses!P158&lt;&gt;0,Courses!Q158&lt;&gt;0,Courses!R158&lt;&gt;0,Courses!S158&lt;&gt;0,Courses!T158&lt;&gt;0,Courses!U158&lt;&gt;0,Courses!V158&lt;&gt;0,Courses!W158&lt;&gt;0,Courses!X158&lt;&gt;0,Courses!Y158&lt;&gt;0,Courses!Z158&lt;&gt;0,Courses!AA158&lt;&gt;0)),"Row "&amp;Courses!A158&amp;" (none); ","")</f>
        <v/>
      </c>
      <c r="I164" s="1596"/>
      <c r="K164" s="1592" t="str">
        <f>Courses!B158&amp;Courses!K158&amp;Courses!L158</f>
        <v/>
      </c>
      <c r="L164" s="1592" t="str">
        <f>IF(AND($P$9=1,Courses!$B158&lt;&gt;"",COUNTIF(Dummy,Courses!$C158)&lt;&gt;1),IF(SUMPRODUCT(--($K$20:$K$219=$K164))&gt;1,"Row "&amp;Courses!$A158&amp;"; ",""),"")</f>
        <v/>
      </c>
      <c r="N164" s="118"/>
      <c r="O164" s="1593" t="str">
        <f>IF(AND($Q$9=1,Courses!E158&lt;&gt;"",Courses!F158=""),"Row "&amp;Courses!A158&amp;", "&amp;Courses!$E$10&amp;"; ","")</f>
        <v/>
      </c>
      <c r="P164" t="str">
        <f>IF(AND($Q$9=1,Courses!G158&lt;&gt;"",Courses!H158=""),"Row "&amp;Courses!A158&amp;", "&amp;Courses!$G$10&amp;"; ","")</f>
        <v/>
      </c>
      <c r="Q164" s="183" t="str">
        <f>IF(AND($Q$9=1,Courses!I158&lt;&gt;"",Courses!J158=""),"Row "&amp;Courses!A158&amp;", "&amp;Courses!$I$10&amp;"; ","")</f>
        <v/>
      </c>
      <c r="T164" s="118"/>
      <c r="U164" s="1593" t="str">
        <f>IF(AND($R$9=1,Courses!B158&lt;&gt;"",Courses!E158&lt;&gt;"",Courses!G158="",Courses!I158="",Courses!F158&lt;&gt;1),"Row "&amp;Courses!A158&amp;"; ","")</f>
        <v/>
      </c>
      <c r="V164" t="str">
        <f>IF(AND($R$9=1,Courses!B158&lt;&gt;"",Courses!I158="",Courses!F158&lt;&gt;"",Courses!G158&lt;&gt;"",Courses!H158&lt;&gt;""),IF(OR((Courses!F158+Courses!H158)&lt;&gt;1),"Row "&amp;Courses!A158&amp;"; ",""),"")</f>
        <v/>
      </c>
      <c r="W164" s="183" t="str">
        <f>IF(AND($R$9=1,Courses!B158&lt;&gt;"",Courses!I158&lt;&gt;"",Courses!J158&lt;&gt;"",Courses!H158&lt;&gt;"",Courses!G158&lt;&gt;"",Courses!F158&lt;&gt;""),IF(OR((Courses!F158+Courses!H158+Courses!J158)&lt;&gt;1),"Row "&amp;Courses!A158&amp;"; ",""),"")</f>
        <v/>
      </c>
      <c r="Y164" s="1592" t="str">
        <f>IF(AND($R$9=1,Courses!E158&lt;&gt;"",U164="",V164="",W164="",SUM(Courses!F158,Courses!H158,Courses!J158)&lt;&gt;1),"Row "&amp;Courses!A158&amp;"; ","")</f>
        <v/>
      </c>
      <c r="AA164" s="118"/>
      <c r="AB164" s="1593" t="str">
        <f>IF(AND($S$9=1,Courses!B158&lt;&gt;"",Courses!E158&lt;&gt;"",Courses!F158&lt;&gt;""),IF((TRUNC(Courses!F158*100)&lt;&gt;Courses!F158*100),"Row "&amp;Courses!A158&amp;", "&amp;Courses!$F$10&amp;"; ",""),"")</f>
        <v/>
      </c>
      <c r="AC164" t="str">
        <f>IF(AND($S$9=1,Courses!B158&lt;&gt;"",Courses!G158&lt;&gt;"",Courses!H158&lt;&gt;""),IF((TRUNC(Courses!H158*100)&lt;&gt;Courses!H158*100),"Row "&amp;Courses!A158&amp;", "&amp;Courses!$H$10&amp;"; ",""),"")</f>
        <v/>
      </c>
      <c r="AD164" s="183" t="str">
        <f>IF(AND($S$9=1,Courses!B158&lt;&gt;"",Courses!I158&lt;&gt;"",Courses!J158&lt;&gt;""),IF((TRUNC(Courses!J158*100)&lt;&gt;Courses!J158*100),"Row "&amp;Courses!A158&amp;", "&amp;Courses!$J$10&amp;"; ",""),"")</f>
        <v/>
      </c>
      <c r="AF164" s="118"/>
      <c r="AG164" s="1593" t="str">
        <f>IF(AND($T$9=1,G164="",Courses!B158&lt;&gt;"",Courses!K158&lt;&gt;$B$9,Courses!K158&lt;&gt;$B$10,Courses!K158&lt;&gt;$B$11,Courses!K158&lt;&gt;$B$12,Courses!K158&lt;&gt;$B$13,Courses!K158&lt;&gt;$B$14),"Row "&amp;Courses!A158&amp;"; ","")</f>
        <v/>
      </c>
      <c r="AH164" s="1592" t="str">
        <f>IF(AND($U$9=1,G164="",Courses!B158&lt;&gt;"",Courses!L158&lt;&gt;"Standard",Courses!L158&lt;&gt;"Long"),"Row "&amp;Courses!A158&amp;"; ","")</f>
        <v/>
      </c>
      <c r="AJ164" s="118"/>
      <c r="AK164" s="3">
        <v>145</v>
      </c>
      <c r="AL164" s="1593" t="str">
        <f>IF(AND($V$9=1,(TRUNC(Courses!M158)&lt;&gt;Courses!M158)), "Row "&amp;Courses!$A158&amp;", "&amp;AL$9&amp;", "&amp;AL$10&amp;", "&amp;AL$11&amp;"; ","")</f>
        <v/>
      </c>
      <c r="AM164" t="str">
        <f>IF(AND($V$9=1,(TRUNC(Courses!N158)&lt;&gt;Courses!N158)), "Row "&amp;Courses!$A158&amp;", "&amp;AM$9&amp;", "&amp;AM$10&amp;", "&amp;AM$11&amp;"; ","")</f>
        <v/>
      </c>
      <c r="AN164" t="str">
        <f>IF(AND($V$9=1,(TRUNC(Courses!O158)&lt;&gt;Courses!O158)), "Row "&amp;Courses!$A158&amp;", "&amp;AN$9&amp;", "&amp;AN$10&amp;", "&amp;AN$11&amp;"; ","")</f>
        <v/>
      </c>
      <c r="AO164" t="str">
        <f>IF(AND($V$9=1,(TRUNC(Courses!P158)&lt;&gt;Courses!P158)), "Row "&amp;Courses!$A158&amp;", "&amp;AO$9&amp;", "&amp;AO$10&amp;", "&amp;AO$11&amp;"; ","")</f>
        <v/>
      </c>
      <c r="AP164" s="2120" t="str">
        <f>IF(AND($V$9=1,(TRUNC(Courses!Q158)&lt;&gt;Courses!Q158)), "Row "&amp;Courses!$A158&amp;", "&amp;AP$9&amp;", "&amp;AP$10&amp;"; ","")</f>
        <v/>
      </c>
      <c r="AQ164" s="1593" t="str">
        <f>IF(AND($V$9=1,(TRUNC(Courses!R158)&lt;&gt;Courses!R158)), "Row "&amp;Courses!$A158&amp;", "&amp;AQ$9&amp;", "&amp;AQ$10&amp;", "&amp;AQ$11&amp;"; ","")</f>
        <v/>
      </c>
      <c r="AR164" t="str">
        <f>IF(AND($V$9=1,(TRUNC(Courses!S158)&lt;&gt;Courses!S158)), "Row "&amp;Courses!$A158&amp;", "&amp;AR$9&amp;", "&amp;AR$10&amp;", "&amp;AR$11&amp;"; ","")</f>
        <v/>
      </c>
      <c r="AS164" t="str">
        <f>IF(AND($V$9=1,(TRUNC(Courses!T158)&lt;&gt;Courses!T158)), "Row "&amp;Courses!$A158&amp;", "&amp;AS$9&amp;", "&amp;AS$10&amp;", "&amp;AS$11&amp;"; ","")</f>
        <v/>
      </c>
      <c r="AT164" t="str">
        <f>IF(AND($V$9=1,(TRUNC(Courses!U158)&lt;&gt;Courses!U158)), "Row "&amp;Courses!$A158&amp;", "&amp;AT$9&amp;", "&amp;AT$10&amp;", "&amp;AT$11&amp;"; ","")</f>
        <v/>
      </c>
      <c r="AU164" s="2120" t="str">
        <f>IF(AND($V$9=1,(TRUNC(Courses!V158)&lt;&gt;Courses!V158)), "Row "&amp;Courses!$A158&amp;", "&amp;AU$9&amp;", "&amp;AU$10&amp;"; ","")</f>
        <v/>
      </c>
      <c r="AV164" s="1593" t="str">
        <f>IF(AND($V$9=1,(TRUNC(Courses!W158)&lt;&gt;Courses!W158)), "Row "&amp;Courses!$A158&amp;", "&amp;AV$9&amp;", "&amp;AV$10&amp;", "&amp;AV$11&amp;"; ","")</f>
        <v/>
      </c>
      <c r="AW164" t="str">
        <f>IF(AND($V$9=1,(TRUNC(Courses!X158)&lt;&gt;Courses!X158)), "Row "&amp;Courses!$A158&amp;", "&amp;AW$9&amp;", "&amp;AW$10&amp;", "&amp;AW$11&amp;"; ","")</f>
        <v/>
      </c>
      <c r="AX164" t="str">
        <f>IF(AND($V$9=1,(TRUNC(Courses!Y158)&lt;&gt;Courses!Y158)), "Row "&amp;Courses!$A158&amp;", "&amp;AX$9&amp;", "&amp;AX$10&amp;", "&amp;AX$11&amp;"; ","")</f>
        <v/>
      </c>
      <c r="AY164" t="str">
        <f>IF(AND($V$9=1,(TRUNC(Courses!Z158)&lt;&gt;Courses!Z158)), "Row "&amp;Courses!$A158&amp;", "&amp;AY$9&amp;", "&amp;AY$10&amp;", "&amp;AY$11&amp;"; ","")</f>
        <v/>
      </c>
      <c r="AZ164" s="2120" t="str">
        <f>IF(AND($V$9=1,(TRUNC(Courses!AA158)&lt;&gt;Courses!AA158)), "Row "&amp;Courses!$A158&amp;", "&amp;AZ$9&amp;", "&amp;AZ$10&amp;"; ","")</f>
        <v/>
      </c>
      <c r="BB164" s="118"/>
      <c r="BC164" s="3">
        <v>145</v>
      </c>
      <c r="BD164" s="1593" t="str">
        <f>IF(AND($W$9=1,Courses!M158&lt;0), "Row "&amp;Courses!$A158&amp;", "&amp;BD$9&amp;", "&amp;BD$10&amp;", "&amp;BD$11&amp;"; ","")</f>
        <v/>
      </c>
      <c r="BE164" t="str">
        <f>IF(AND($W$9=1,Courses!N158&lt;0), "Row "&amp;Courses!$A158&amp;", "&amp;BE$9&amp;", "&amp;BE$10&amp;", "&amp;BE$11&amp;"; ","")</f>
        <v/>
      </c>
      <c r="BF164" t="str">
        <f>IF(AND($W$9=1,Courses!O158&lt;0), "Row "&amp;Courses!$A158&amp;", "&amp;BF$9&amp;", "&amp;BF$10&amp;", "&amp;BF$11&amp;"; ","")</f>
        <v/>
      </c>
      <c r="BG164" t="str">
        <f>IF(AND($W$9=1,Courses!P158&lt;0), "Row "&amp;Courses!$A158&amp;", "&amp;BG$9&amp;", "&amp;BG$10&amp;", "&amp;BG$11&amp;"; ","")</f>
        <v/>
      </c>
      <c r="BH164" s="2120" t="str">
        <f>IF(AND($W$9=1,Courses!Q158&lt;0), "Row "&amp;Courses!$A158&amp;", "&amp;BH$9&amp;", "&amp;BH$10&amp;"; ","")</f>
        <v/>
      </c>
      <c r="BI164" s="1593" t="str">
        <f>IF(AND($W$9=1,Courses!R158&lt;0), "Row "&amp;Courses!$A158&amp;", "&amp;BI$9&amp;", "&amp;BI$10&amp;", "&amp;BI$11&amp;"; ","")</f>
        <v/>
      </c>
      <c r="BJ164" t="str">
        <f>IF(AND($W$9=1,Courses!S158&lt;0), "Row "&amp;Courses!$A158&amp;", "&amp;BJ$9&amp;", "&amp;BJ$10&amp;", "&amp;BJ$11&amp;"; ","")</f>
        <v/>
      </c>
      <c r="BK164" t="str">
        <f>IF(AND($W$9=1,Courses!T158&lt;0), "Row "&amp;Courses!$A158&amp;", "&amp;BK$9&amp;", "&amp;BK$10&amp;", "&amp;BK$11&amp;"; ","")</f>
        <v/>
      </c>
      <c r="BL164" t="str">
        <f>IF(AND($W$9=1,Courses!U158&lt;0), "Row "&amp;Courses!$A158&amp;", "&amp;BL$9&amp;", "&amp;BL$10&amp;", "&amp;BL$11&amp;"; ","")</f>
        <v/>
      </c>
      <c r="BM164" s="2120" t="str">
        <f>IF(AND($W$9=1,Courses!V158&lt;0), "Row "&amp;Courses!$A158&amp;", "&amp;BM$9&amp;", "&amp;BM$10&amp;"; ","")</f>
        <v/>
      </c>
      <c r="BN164" t="str">
        <f>IF(AND($W$9=1,Courses!W158&lt;0), "Row "&amp;Courses!$A158&amp;", "&amp;BN$9&amp;", "&amp;BN$10&amp;", "&amp;BN$11&amp;"; ","")</f>
        <v/>
      </c>
      <c r="BO164" t="str">
        <f>IF(AND($W$9=1,Courses!X158&lt;0), "Row "&amp;Courses!$A158&amp;", "&amp;BO$9&amp;", "&amp;BO$10&amp;", "&amp;BO$11&amp;"; ","")</f>
        <v/>
      </c>
      <c r="BP164" t="str">
        <f>IF(AND($W$9=1,Courses!Y158&lt;0), "Row "&amp;Courses!$A158&amp;", "&amp;BP$9&amp;", "&amp;BP$10&amp;", "&amp;BP$11&amp;"; ","")</f>
        <v/>
      </c>
      <c r="BQ164" t="str">
        <f>IF(AND($W$9=1,Courses!Z158&lt;0), "Row "&amp;Courses!$A158&amp;", "&amp;BQ$9&amp;", "&amp;BQ$10&amp;", "&amp;BQ$11&amp;"; ","")</f>
        <v/>
      </c>
      <c r="BR164" s="2120" t="str">
        <f>IF(AND($W$9=1,Courses!AA158&lt;0), "Row "&amp;Courses!$A158&amp;", "&amp;BR$9&amp;", "&amp;BR$10&amp;"; ","")</f>
        <v/>
      </c>
      <c r="BT164" s="3">
        <v>145</v>
      </c>
      <c r="BU164" s="40">
        <f>IF(AND($X$9=1,Courses!B158="",Courses!F158="",Courses!H158="",Courses!J158="",Courses!K158="",Courses!L158="",Courses!M158=0,Courses!N158=0,Courses!O158=0,Courses!P158=0,Courses!Q158=0,Courses!R158=0,Courses!S158=0,Courses!T158=0,Courses!U158=0,Courses!V158=0,Courses!W158=0,Courses!X158=0,Courses!Y158=0,Courses!Z158=0,Courses!AA158=0),0,1)</f>
        <v>0</v>
      </c>
      <c r="BV164" s="40">
        <f>IF(AND(BU164=0,SUM(BU165:$BU$219)&gt;0),1,0)</f>
        <v>0</v>
      </c>
      <c r="BW164" s="1592" t="str">
        <f>IF(BV164=1,"Row "&amp;Courses!A158&amp;"; ","")</f>
        <v/>
      </c>
      <c r="BX164" s="17"/>
      <c r="BZ164" s="1592" t="str">
        <f>IF(AND($Y$9=1,Courses!B158&lt;&gt;"",SUM(Courses!M158:AA158)=0),"Row "&amp;Courses!A158&amp;"; ","")</f>
        <v/>
      </c>
      <c r="CA164" s="17"/>
      <c r="CC164" s="1592" t="str">
        <f>IF(AND($Z$9=1,Courses!AD158=1,(LEN(Courses!AB158)&gt;200)),"Row "&amp;Courses!A158&amp;"; ","")</f>
        <v/>
      </c>
      <c r="CE164" s="131"/>
      <c r="CG164" s="1593" t="str">
        <f>IF(AND($AD$9=1,Courses!E158&lt;&gt;"",Courses!F158&lt;&gt;"",Courses!F158=0,SUM(Courses!H158,Courses!J158)=1),"Row "&amp;Courses!A158&amp;", "&amp;Courses!$F$10&amp;"; ","")</f>
        <v/>
      </c>
      <c r="CH164" t="str">
        <f>IF(AND($AD$9=1,Courses!G158&lt;&gt;"",Courses!H158&lt;&gt;"",Courses!H158=0,SUM(Courses!J158,Courses!F158)=1),"Row "&amp;Courses!A158&amp;", "&amp;Courses!$H$10&amp;"; ","")</f>
        <v/>
      </c>
      <c r="CI164" s="183" t="str">
        <f>IF(AND($AD$9=1,Courses!I158&lt;&gt;"",Courses!J158&lt;&gt;"",Courses!J158=0, SUM(Courses!H158,Courses!F158)=1),"Row "&amp;Courses!A158&amp;", "&amp;Courses!$J$10&amp;"; ","")</f>
        <v/>
      </c>
      <c r="CJ164" s="180"/>
      <c r="CK164" s="181"/>
      <c r="CL164" s="1592" t="str">
        <f>IF(AND(Courses!B158&lt;&gt;"",ISNA(VLOOKUP(Courses!C158,CourseInfo,2,FALSE))=FALSE,COUNTIF(Dummy,Courses!C158)&lt;&gt;1),VLOOKUP(Courses!C158,CourseInfo,6,FALSE),"")</f>
        <v/>
      </c>
      <c r="CM164" s="1592" t="str">
        <f>IF(AND($AE$9=1,Courses!B158&lt;&gt;"",'Courses Valid'!AG164="",COUNTIF(Dummy,Courses!C158)&lt;&gt;1),IF(Courses!K158&lt;&gt;'Courses Valid'!CL164,"Row "&amp;Courses!A158&amp;", Level on LARS is "&amp;'Courses Valid'!CL164&amp;"; ",""),"")</f>
        <v/>
      </c>
      <c r="CN164" s="131"/>
    </row>
    <row r="165" spans="3:92" x14ac:dyDescent="0.35">
      <c r="C165" s="1591">
        <f t="shared" si="4"/>
        <v>0</v>
      </c>
      <c r="D165" s="41"/>
      <c r="E165" s="41"/>
      <c r="F165" s="118"/>
      <c r="G165" s="1592" t="str">
        <f>IF(SUMPRODUCT(--(CourseAims=Courses!$C159))=1,"",IF(AND($N$9=1,Courses!$C159&lt;&gt;""),"Row "&amp;Courses!A159&amp;" (invalid); ",""))</f>
        <v/>
      </c>
      <c r="H165" s="1592" t="str">
        <f>IF(AND($O$9=1,Courses!B159="",OR(Courses!F159&lt;&gt;"",Courses!H159&lt;&gt;"",Courses!J159&lt;&gt;"",Courses!K159&lt;&gt;"",Courses!L159&lt;&gt;"",Courses!M159&lt;&gt;0,Courses!N159&lt;&gt;0,Courses!O159&lt;&gt;0,Courses!P159&lt;&gt;0,Courses!Q159&lt;&gt;0,Courses!R159&lt;&gt;0,Courses!S159&lt;&gt;0,Courses!T159&lt;&gt;0,Courses!U159&lt;&gt;0,Courses!V159&lt;&gt;0,Courses!W159&lt;&gt;0,Courses!X159&lt;&gt;0,Courses!Y159&lt;&gt;0,Courses!Z159&lt;&gt;0,Courses!AA159&lt;&gt;0)),"Row "&amp;Courses!A159&amp;" (none); ","")</f>
        <v/>
      </c>
      <c r="I165" s="1596"/>
      <c r="K165" s="1592" t="str">
        <f>Courses!B159&amp;Courses!K159&amp;Courses!L159</f>
        <v/>
      </c>
      <c r="L165" s="1592" t="str">
        <f>IF(AND($P$9=1,Courses!$B159&lt;&gt;"",COUNTIF(Dummy,Courses!$C159)&lt;&gt;1),IF(SUMPRODUCT(--($K$20:$K$219=$K165))&gt;1,"Row "&amp;Courses!$A159&amp;"; ",""),"")</f>
        <v/>
      </c>
      <c r="N165" s="118"/>
      <c r="O165" s="1593" t="str">
        <f>IF(AND($Q$9=1,Courses!E159&lt;&gt;"",Courses!F159=""),"Row "&amp;Courses!A159&amp;", "&amp;Courses!$E$10&amp;"; ","")</f>
        <v/>
      </c>
      <c r="P165" t="str">
        <f>IF(AND($Q$9=1,Courses!G159&lt;&gt;"",Courses!H159=""),"Row "&amp;Courses!A159&amp;", "&amp;Courses!$G$10&amp;"; ","")</f>
        <v/>
      </c>
      <c r="Q165" s="183" t="str">
        <f>IF(AND($Q$9=1,Courses!I159&lt;&gt;"",Courses!J159=""),"Row "&amp;Courses!A159&amp;", "&amp;Courses!$I$10&amp;"; ","")</f>
        <v/>
      </c>
      <c r="T165" s="118"/>
      <c r="U165" s="1593" t="str">
        <f>IF(AND($R$9=1,Courses!B159&lt;&gt;"",Courses!E159&lt;&gt;"",Courses!G159="",Courses!I159="",Courses!F159&lt;&gt;1),"Row "&amp;Courses!A159&amp;"; ","")</f>
        <v/>
      </c>
      <c r="V165" t="str">
        <f>IF(AND($R$9=1,Courses!B159&lt;&gt;"",Courses!I159="",Courses!F159&lt;&gt;"",Courses!G159&lt;&gt;"",Courses!H159&lt;&gt;""),IF(OR((Courses!F159+Courses!H159)&lt;&gt;1),"Row "&amp;Courses!A159&amp;"; ",""),"")</f>
        <v/>
      </c>
      <c r="W165" s="183" t="str">
        <f>IF(AND($R$9=1,Courses!B159&lt;&gt;"",Courses!I159&lt;&gt;"",Courses!J159&lt;&gt;"",Courses!H159&lt;&gt;"",Courses!G159&lt;&gt;"",Courses!F159&lt;&gt;""),IF(OR((Courses!F159+Courses!H159+Courses!J159)&lt;&gt;1),"Row "&amp;Courses!A159&amp;"; ",""),"")</f>
        <v/>
      </c>
      <c r="Y165" s="1592" t="str">
        <f>IF(AND($R$9=1,Courses!E159&lt;&gt;"",U165="",V165="",W165="",SUM(Courses!F159,Courses!H159,Courses!J159)&lt;&gt;1),"Row "&amp;Courses!A159&amp;"; ","")</f>
        <v/>
      </c>
      <c r="AA165" s="118"/>
      <c r="AB165" s="1593" t="str">
        <f>IF(AND($S$9=1,Courses!B159&lt;&gt;"",Courses!E159&lt;&gt;"",Courses!F159&lt;&gt;""),IF((TRUNC(Courses!F159*100)&lt;&gt;Courses!F159*100),"Row "&amp;Courses!A159&amp;", "&amp;Courses!$F$10&amp;"; ",""),"")</f>
        <v/>
      </c>
      <c r="AC165" t="str">
        <f>IF(AND($S$9=1,Courses!B159&lt;&gt;"",Courses!G159&lt;&gt;"",Courses!H159&lt;&gt;""),IF((TRUNC(Courses!H159*100)&lt;&gt;Courses!H159*100),"Row "&amp;Courses!A159&amp;", "&amp;Courses!$H$10&amp;"; ",""),"")</f>
        <v/>
      </c>
      <c r="AD165" s="183" t="str">
        <f>IF(AND($S$9=1,Courses!B159&lt;&gt;"",Courses!I159&lt;&gt;"",Courses!J159&lt;&gt;""),IF((TRUNC(Courses!J159*100)&lt;&gt;Courses!J159*100),"Row "&amp;Courses!A159&amp;", "&amp;Courses!$J$10&amp;"; ",""),"")</f>
        <v/>
      </c>
      <c r="AF165" s="118"/>
      <c r="AG165" s="1593" t="str">
        <f>IF(AND($T$9=1,G165="",Courses!B159&lt;&gt;"",Courses!K159&lt;&gt;$B$9,Courses!K159&lt;&gt;$B$10,Courses!K159&lt;&gt;$B$11,Courses!K159&lt;&gt;$B$12,Courses!K159&lt;&gt;$B$13,Courses!K159&lt;&gt;$B$14),"Row "&amp;Courses!A159&amp;"; ","")</f>
        <v/>
      </c>
      <c r="AH165" s="1592" t="str">
        <f>IF(AND($U$9=1,G165="",Courses!B159&lt;&gt;"",Courses!L159&lt;&gt;"Standard",Courses!L159&lt;&gt;"Long"),"Row "&amp;Courses!A159&amp;"; ","")</f>
        <v/>
      </c>
      <c r="AJ165" s="118"/>
      <c r="AK165" s="3">
        <v>146</v>
      </c>
      <c r="AL165" s="1593" t="str">
        <f>IF(AND($V$9=1,(TRUNC(Courses!M159)&lt;&gt;Courses!M159)), "Row "&amp;Courses!$A159&amp;", "&amp;AL$9&amp;", "&amp;AL$10&amp;", "&amp;AL$11&amp;"; ","")</f>
        <v/>
      </c>
      <c r="AM165" t="str">
        <f>IF(AND($V$9=1,(TRUNC(Courses!N159)&lt;&gt;Courses!N159)), "Row "&amp;Courses!$A159&amp;", "&amp;AM$9&amp;", "&amp;AM$10&amp;", "&amp;AM$11&amp;"; ","")</f>
        <v/>
      </c>
      <c r="AN165" t="str">
        <f>IF(AND($V$9=1,(TRUNC(Courses!O159)&lt;&gt;Courses!O159)), "Row "&amp;Courses!$A159&amp;", "&amp;AN$9&amp;", "&amp;AN$10&amp;", "&amp;AN$11&amp;"; ","")</f>
        <v/>
      </c>
      <c r="AO165" t="str">
        <f>IF(AND($V$9=1,(TRUNC(Courses!P159)&lt;&gt;Courses!P159)), "Row "&amp;Courses!$A159&amp;", "&amp;AO$9&amp;", "&amp;AO$10&amp;", "&amp;AO$11&amp;"; ","")</f>
        <v/>
      </c>
      <c r="AP165" s="2120" t="str">
        <f>IF(AND($V$9=1,(TRUNC(Courses!Q159)&lt;&gt;Courses!Q159)), "Row "&amp;Courses!$A159&amp;", "&amp;AP$9&amp;", "&amp;AP$10&amp;"; ","")</f>
        <v/>
      </c>
      <c r="AQ165" s="1593" t="str">
        <f>IF(AND($V$9=1,(TRUNC(Courses!R159)&lt;&gt;Courses!R159)), "Row "&amp;Courses!$A159&amp;", "&amp;AQ$9&amp;", "&amp;AQ$10&amp;", "&amp;AQ$11&amp;"; ","")</f>
        <v/>
      </c>
      <c r="AR165" t="str">
        <f>IF(AND($V$9=1,(TRUNC(Courses!S159)&lt;&gt;Courses!S159)), "Row "&amp;Courses!$A159&amp;", "&amp;AR$9&amp;", "&amp;AR$10&amp;", "&amp;AR$11&amp;"; ","")</f>
        <v/>
      </c>
      <c r="AS165" t="str">
        <f>IF(AND($V$9=1,(TRUNC(Courses!T159)&lt;&gt;Courses!T159)), "Row "&amp;Courses!$A159&amp;", "&amp;AS$9&amp;", "&amp;AS$10&amp;", "&amp;AS$11&amp;"; ","")</f>
        <v/>
      </c>
      <c r="AT165" t="str">
        <f>IF(AND($V$9=1,(TRUNC(Courses!U159)&lt;&gt;Courses!U159)), "Row "&amp;Courses!$A159&amp;", "&amp;AT$9&amp;", "&amp;AT$10&amp;", "&amp;AT$11&amp;"; ","")</f>
        <v/>
      </c>
      <c r="AU165" s="2120" t="str">
        <f>IF(AND($V$9=1,(TRUNC(Courses!V159)&lt;&gt;Courses!V159)), "Row "&amp;Courses!$A159&amp;", "&amp;AU$9&amp;", "&amp;AU$10&amp;"; ","")</f>
        <v/>
      </c>
      <c r="AV165" s="1593" t="str">
        <f>IF(AND($V$9=1,(TRUNC(Courses!W159)&lt;&gt;Courses!W159)), "Row "&amp;Courses!$A159&amp;", "&amp;AV$9&amp;", "&amp;AV$10&amp;", "&amp;AV$11&amp;"; ","")</f>
        <v/>
      </c>
      <c r="AW165" t="str">
        <f>IF(AND($V$9=1,(TRUNC(Courses!X159)&lt;&gt;Courses!X159)), "Row "&amp;Courses!$A159&amp;", "&amp;AW$9&amp;", "&amp;AW$10&amp;", "&amp;AW$11&amp;"; ","")</f>
        <v/>
      </c>
      <c r="AX165" t="str">
        <f>IF(AND($V$9=1,(TRUNC(Courses!Y159)&lt;&gt;Courses!Y159)), "Row "&amp;Courses!$A159&amp;", "&amp;AX$9&amp;", "&amp;AX$10&amp;", "&amp;AX$11&amp;"; ","")</f>
        <v/>
      </c>
      <c r="AY165" t="str">
        <f>IF(AND($V$9=1,(TRUNC(Courses!Z159)&lt;&gt;Courses!Z159)), "Row "&amp;Courses!$A159&amp;", "&amp;AY$9&amp;", "&amp;AY$10&amp;", "&amp;AY$11&amp;"; ","")</f>
        <v/>
      </c>
      <c r="AZ165" s="2120" t="str">
        <f>IF(AND($V$9=1,(TRUNC(Courses!AA159)&lt;&gt;Courses!AA159)), "Row "&amp;Courses!$A159&amp;", "&amp;AZ$9&amp;", "&amp;AZ$10&amp;"; ","")</f>
        <v/>
      </c>
      <c r="BB165" s="118"/>
      <c r="BC165" s="3">
        <v>146</v>
      </c>
      <c r="BD165" s="1593" t="str">
        <f>IF(AND($W$9=1,Courses!M159&lt;0), "Row "&amp;Courses!$A159&amp;", "&amp;BD$9&amp;", "&amp;BD$10&amp;", "&amp;BD$11&amp;"; ","")</f>
        <v/>
      </c>
      <c r="BE165" t="str">
        <f>IF(AND($W$9=1,Courses!N159&lt;0), "Row "&amp;Courses!$A159&amp;", "&amp;BE$9&amp;", "&amp;BE$10&amp;", "&amp;BE$11&amp;"; ","")</f>
        <v/>
      </c>
      <c r="BF165" t="str">
        <f>IF(AND($W$9=1,Courses!O159&lt;0), "Row "&amp;Courses!$A159&amp;", "&amp;BF$9&amp;", "&amp;BF$10&amp;", "&amp;BF$11&amp;"; ","")</f>
        <v/>
      </c>
      <c r="BG165" t="str">
        <f>IF(AND($W$9=1,Courses!P159&lt;0), "Row "&amp;Courses!$A159&amp;", "&amp;BG$9&amp;", "&amp;BG$10&amp;", "&amp;BG$11&amp;"; ","")</f>
        <v/>
      </c>
      <c r="BH165" s="2120" t="str">
        <f>IF(AND($W$9=1,Courses!Q159&lt;0), "Row "&amp;Courses!$A159&amp;", "&amp;BH$9&amp;", "&amp;BH$10&amp;"; ","")</f>
        <v/>
      </c>
      <c r="BI165" s="1593" t="str">
        <f>IF(AND($W$9=1,Courses!R159&lt;0), "Row "&amp;Courses!$A159&amp;", "&amp;BI$9&amp;", "&amp;BI$10&amp;", "&amp;BI$11&amp;"; ","")</f>
        <v/>
      </c>
      <c r="BJ165" t="str">
        <f>IF(AND($W$9=1,Courses!S159&lt;0), "Row "&amp;Courses!$A159&amp;", "&amp;BJ$9&amp;", "&amp;BJ$10&amp;", "&amp;BJ$11&amp;"; ","")</f>
        <v/>
      </c>
      <c r="BK165" t="str">
        <f>IF(AND($W$9=1,Courses!T159&lt;0), "Row "&amp;Courses!$A159&amp;", "&amp;BK$9&amp;", "&amp;BK$10&amp;", "&amp;BK$11&amp;"; ","")</f>
        <v/>
      </c>
      <c r="BL165" t="str">
        <f>IF(AND($W$9=1,Courses!U159&lt;0), "Row "&amp;Courses!$A159&amp;", "&amp;BL$9&amp;", "&amp;BL$10&amp;", "&amp;BL$11&amp;"; ","")</f>
        <v/>
      </c>
      <c r="BM165" s="2120" t="str">
        <f>IF(AND($W$9=1,Courses!V159&lt;0), "Row "&amp;Courses!$A159&amp;", "&amp;BM$9&amp;", "&amp;BM$10&amp;"; ","")</f>
        <v/>
      </c>
      <c r="BN165" t="str">
        <f>IF(AND($W$9=1,Courses!W159&lt;0), "Row "&amp;Courses!$A159&amp;", "&amp;BN$9&amp;", "&amp;BN$10&amp;", "&amp;BN$11&amp;"; ","")</f>
        <v/>
      </c>
      <c r="BO165" t="str">
        <f>IF(AND($W$9=1,Courses!X159&lt;0), "Row "&amp;Courses!$A159&amp;", "&amp;BO$9&amp;", "&amp;BO$10&amp;", "&amp;BO$11&amp;"; ","")</f>
        <v/>
      </c>
      <c r="BP165" t="str">
        <f>IF(AND($W$9=1,Courses!Y159&lt;0), "Row "&amp;Courses!$A159&amp;", "&amp;BP$9&amp;", "&amp;BP$10&amp;", "&amp;BP$11&amp;"; ","")</f>
        <v/>
      </c>
      <c r="BQ165" t="str">
        <f>IF(AND($W$9=1,Courses!Z159&lt;0), "Row "&amp;Courses!$A159&amp;", "&amp;BQ$9&amp;", "&amp;BQ$10&amp;", "&amp;BQ$11&amp;"; ","")</f>
        <v/>
      </c>
      <c r="BR165" s="2120" t="str">
        <f>IF(AND($W$9=1,Courses!AA159&lt;0), "Row "&amp;Courses!$A159&amp;", "&amp;BR$9&amp;", "&amp;BR$10&amp;"; ","")</f>
        <v/>
      </c>
      <c r="BT165" s="3">
        <v>146</v>
      </c>
      <c r="BU165" s="40">
        <f>IF(AND($X$9=1,Courses!B159="",Courses!F159="",Courses!H159="",Courses!J159="",Courses!K159="",Courses!L159="",Courses!M159=0,Courses!N159=0,Courses!O159=0,Courses!P159=0,Courses!Q159=0,Courses!R159=0,Courses!S159=0,Courses!T159=0,Courses!U159=0,Courses!V159=0,Courses!W159=0,Courses!X159=0,Courses!Y159=0,Courses!Z159=0,Courses!AA159=0),0,1)</f>
        <v>0</v>
      </c>
      <c r="BV165" s="40">
        <f>IF(AND(BU165=0,SUM(BU166:$BU$219)&gt;0),1,0)</f>
        <v>0</v>
      </c>
      <c r="BW165" s="1592" t="str">
        <f>IF(BV165=1,"Row "&amp;Courses!A159&amp;"; ","")</f>
        <v/>
      </c>
      <c r="BX165" s="17"/>
      <c r="BZ165" s="1592" t="str">
        <f>IF(AND($Y$9=1,Courses!B159&lt;&gt;"",SUM(Courses!M159:AA159)=0),"Row "&amp;Courses!A159&amp;"; ","")</f>
        <v/>
      </c>
      <c r="CA165" s="17"/>
      <c r="CC165" s="1592" t="str">
        <f>IF(AND($Z$9=1,Courses!AD159=1,(LEN(Courses!AB159)&gt;200)),"Row "&amp;Courses!A159&amp;"; ","")</f>
        <v/>
      </c>
      <c r="CE165" s="131"/>
      <c r="CG165" s="1593" t="str">
        <f>IF(AND($AD$9=1,Courses!E159&lt;&gt;"",Courses!F159&lt;&gt;"",Courses!F159=0,SUM(Courses!H159,Courses!J159)=1),"Row "&amp;Courses!A159&amp;", "&amp;Courses!$F$10&amp;"; ","")</f>
        <v/>
      </c>
      <c r="CH165" t="str">
        <f>IF(AND($AD$9=1,Courses!G159&lt;&gt;"",Courses!H159&lt;&gt;"",Courses!H159=0,SUM(Courses!J159,Courses!F159)=1),"Row "&amp;Courses!A159&amp;", "&amp;Courses!$H$10&amp;"; ","")</f>
        <v/>
      </c>
      <c r="CI165" s="183" t="str">
        <f>IF(AND($AD$9=1,Courses!I159&lt;&gt;"",Courses!J159&lt;&gt;"",Courses!J159=0, SUM(Courses!H159,Courses!F159)=1),"Row "&amp;Courses!A159&amp;", "&amp;Courses!$J$10&amp;"; ","")</f>
        <v/>
      </c>
      <c r="CJ165" s="180"/>
      <c r="CK165" s="181"/>
      <c r="CL165" s="1592" t="str">
        <f>IF(AND(Courses!B159&lt;&gt;"",ISNA(VLOOKUP(Courses!C159,CourseInfo,2,FALSE))=FALSE,COUNTIF(Dummy,Courses!C159)&lt;&gt;1),VLOOKUP(Courses!C159,CourseInfo,6,FALSE),"")</f>
        <v/>
      </c>
      <c r="CM165" s="1592" t="str">
        <f>IF(AND($AE$9=1,Courses!B159&lt;&gt;"",'Courses Valid'!AG165="",COUNTIF(Dummy,Courses!C159)&lt;&gt;1),IF(Courses!K159&lt;&gt;'Courses Valid'!CL165,"Row "&amp;Courses!A159&amp;", Level on LARS is "&amp;'Courses Valid'!CL165&amp;"; ",""),"")</f>
        <v/>
      </c>
      <c r="CN165" s="131"/>
    </row>
    <row r="166" spans="3:92" x14ac:dyDescent="0.35">
      <c r="C166" s="1591">
        <f t="shared" si="4"/>
        <v>0</v>
      </c>
      <c r="D166" s="41"/>
      <c r="E166" s="41"/>
      <c r="F166" s="118"/>
      <c r="G166" s="1592" t="str">
        <f>IF(SUMPRODUCT(--(CourseAims=Courses!$C160))=1,"",IF(AND($N$9=1,Courses!$C160&lt;&gt;""),"Row "&amp;Courses!A160&amp;" (invalid); ",""))</f>
        <v/>
      </c>
      <c r="H166" s="1592" t="str">
        <f>IF(AND($O$9=1,Courses!B160="",OR(Courses!F160&lt;&gt;"",Courses!H160&lt;&gt;"",Courses!J160&lt;&gt;"",Courses!K160&lt;&gt;"",Courses!L160&lt;&gt;"",Courses!M160&lt;&gt;0,Courses!N160&lt;&gt;0,Courses!O160&lt;&gt;0,Courses!P160&lt;&gt;0,Courses!Q160&lt;&gt;0,Courses!R160&lt;&gt;0,Courses!S160&lt;&gt;0,Courses!T160&lt;&gt;0,Courses!U160&lt;&gt;0,Courses!V160&lt;&gt;0,Courses!W160&lt;&gt;0,Courses!X160&lt;&gt;0,Courses!Y160&lt;&gt;0,Courses!Z160&lt;&gt;0,Courses!AA160&lt;&gt;0)),"Row "&amp;Courses!A160&amp;" (none); ","")</f>
        <v/>
      </c>
      <c r="I166" s="1596"/>
      <c r="K166" s="1592" t="str">
        <f>Courses!B160&amp;Courses!K160&amp;Courses!L160</f>
        <v/>
      </c>
      <c r="L166" s="1592" t="str">
        <f>IF(AND($P$9=1,Courses!$B160&lt;&gt;"",COUNTIF(Dummy,Courses!$C160)&lt;&gt;1),IF(SUMPRODUCT(--($K$20:$K$219=$K166))&gt;1,"Row "&amp;Courses!$A160&amp;"; ",""),"")</f>
        <v/>
      </c>
      <c r="N166" s="118"/>
      <c r="O166" s="1593" t="str">
        <f>IF(AND($Q$9=1,Courses!E160&lt;&gt;"",Courses!F160=""),"Row "&amp;Courses!A160&amp;", "&amp;Courses!$E$10&amp;"; ","")</f>
        <v/>
      </c>
      <c r="P166" t="str">
        <f>IF(AND($Q$9=1,Courses!G160&lt;&gt;"",Courses!H160=""),"Row "&amp;Courses!A160&amp;", "&amp;Courses!$G$10&amp;"; ","")</f>
        <v/>
      </c>
      <c r="Q166" s="183" t="str">
        <f>IF(AND($Q$9=1,Courses!I160&lt;&gt;"",Courses!J160=""),"Row "&amp;Courses!A160&amp;", "&amp;Courses!$I$10&amp;"; ","")</f>
        <v/>
      </c>
      <c r="T166" s="118"/>
      <c r="U166" s="1593" t="str">
        <f>IF(AND($R$9=1,Courses!B160&lt;&gt;"",Courses!E160&lt;&gt;"",Courses!G160="",Courses!I160="",Courses!F160&lt;&gt;1),"Row "&amp;Courses!A160&amp;"; ","")</f>
        <v/>
      </c>
      <c r="V166" t="str">
        <f>IF(AND($R$9=1,Courses!B160&lt;&gt;"",Courses!I160="",Courses!F160&lt;&gt;"",Courses!G160&lt;&gt;"",Courses!H160&lt;&gt;""),IF(OR((Courses!F160+Courses!H160)&lt;&gt;1),"Row "&amp;Courses!A160&amp;"; ",""),"")</f>
        <v/>
      </c>
      <c r="W166" s="183" t="str">
        <f>IF(AND($R$9=1,Courses!B160&lt;&gt;"",Courses!I160&lt;&gt;"",Courses!J160&lt;&gt;"",Courses!H160&lt;&gt;"",Courses!G160&lt;&gt;"",Courses!F160&lt;&gt;""),IF(OR((Courses!F160+Courses!H160+Courses!J160)&lt;&gt;1),"Row "&amp;Courses!A160&amp;"; ",""),"")</f>
        <v/>
      </c>
      <c r="Y166" s="1592" t="str">
        <f>IF(AND($R$9=1,Courses!E160&lt;&gt;"",U166="",V166="",W166="",SUM(Courses!F160,Courses!H160,Courses!J160)&lt;&gt;1),"Row "&amp;Courses!A160&amp;"; ","")</f>
        <v/>
      </c>
      <c r="AA166" s="118"/>
      <c r="AB166" s="1593" t="str">
        <f>IF(AND($S$9=1,Courses!B160&lt;&gt;"",Courses!E160&lt;&gt;"",Courses!F160&lt;&gt;""),IF((TRUNC(Courses!F160*100)&lt;&gt;Courses!F160*100),"Row "&amp;Courses!A160&amp;", "&amp;Courses!$F$10&amp;"; ",""),"")</f>
        <v/>
      </c>
      <c r="AC166" t="str">
        <f>IF(AND($S$9=1,Courses!B160&lt;&gt;"",Courses!G160&lt;&gt;"",Courses!H160&lt;&gt;""),IF((TRUNC(Courses!H160*100)&lt;&gt;Courses!H160*100),"Row "&amp;Courses!A160&amp;", "&amp;Courses!$H$10&amp;"; ",""),"")</f>
        <v/>
      </c>
      <c r="AD166" s="183" t="str">
        <f>IF(AND($S$9=1,Courses!B160&lt;&gt;"",Courses!I160&lt;&gt;"",Courses!J160&lt;&gt;""),IF((TRUNC(Courses!J160*100)&lt;&gt;Courses!J160*100),"Row "&amp;Courses!A160&amp;", "&amp;Courses!$J$10&amp;"; ",""),"")</f>
        <v/>
      </c>
      <c r="AF166" s="118"/>
      <c r="AG166" s="1593" t="str">
        <f>IF(AND($T$9=1,G166="",Courses!B160&lt;&gt;"",Courses!K160&lt;&gt;$B$9,Courses!K160&lt;&gt;$B$10,Courses!K160&lt;&gt;$B$11,Courses!K160&lt;&gt;$B$12,Courses!K160&lt;&gt;$B$13,Courses!K160&lt;&gt;$B$14),"Row "&amp;Courses!A160&amp;"; ","")</f>
        <v/>
      </c>
      <c r="AH166" s="1592" t="str">
        <f>IF(AND($U$9=1,G166="",Courses!B160&lt;&gt;"",Courses!L160&lt;&gt;"Standard",Courses!L160&lt;&gt;"Long"),"Row "&amp;Courses!A160&amp;"; ","")</f>
        <v/>
      </c>
      <c r="AJ166" s="118"/>
      <c r="AK166" s="3">
        <v>147</v>
      </c>
      <c r="AL166" s="1593" t="str">
        <f>IF(AND($V$9=1,(TRUNC(Courses!M160)&lt;&gt;Courses!M160)), "Row "&amp;Courses!$A160&amp;", "&amp;AL$9&amp;", "&amp;AL$10&amp;", "&amp;AL$11&amp;"; ","")</f>
        <v/>
      </c>
      <c r="AM166" t="str">
        <f>IF(AND($V$9=1,(TRUNC(Courses!N160)&lt;&gt;Courses!N160)), "Row "&amp;Courses!$A160&amp;", "&amp;AM$9&amp;", "&amp;AM$10&amp;", "&amp;AM$11&amp;"; ","")</f>
        <v/>
      </c>
      <c r="AN166" t="str">
        <f>IF(AND($V$9=1,(TRUNC(Courses!O160)&lt;&gt;Courses!O160)), "Row "&amp;Courses!$A160&amp;", "&amp;AN$9&amp;", "&amp;AN$10&amp;", "&amp;AN$11&amp;"; ","")</f>
        <v/>
      </c>
      <c r="AO166" t="str">
        <f>IF(AND($V$9=1,(TRUNC(Courses!P160)&lt;&gt;Courses!P160)), "Row "&amp;Courses!$A160&amp;", "&amp;AO$9&amp;", "&amp;AO$10&amp;", "&amp;AO$11&amp;"; ","")</f>
        <v/>
      </c>
      <c r="AP166" s="2120" t="str">
        <f>IF(AND($V$9=1,(TRUNC(Courses!Q160)&lt;&gt;Courses!Q160)), "Row "&amp;Courses!$A160&amp;", "&amp;AP$9&amp;", "&amp;AP$10&amp;"; ","")</f>
        <v/>
      </c>
      <c r="AQ166" s="1593" t="str">
        <f>IF(AND($V$9=1,(TRUNC(Courses!R160)&lt;&gt;Courses!R160)), "Row "&amp;Courses!$A160&amp;", "&amp;AQ$9&amp;", "&amp;AQ$10&amp;", "&amp;AQ$11&amp;"; ","")</f>
        <v/>
      </c>
      <c r="AR166" t="str">
        <f>IF(AND($V$9=1,(TRUNC(Courses!S160)&lt;&gt;Courses!S160)), "Row "&amp;Courses!$A160&amp;", "&amp;AR$9&amp;", "&amp;AR$10&amp;", "&amp;AR$11&amp;"; ","")</f>
        <v/>
      </c>
      <c r="AS166" t="str">
        <f>IF(AND($V$9=1,(TRUNC(Courses!T160)&lt;&gt;Courses!T160)), "Row "&amp;Courses!$A160&amp;", "&amp;AS$9&amp;", "&amp;AS$10&amp;", "&amp;AS$11&amp;"; ","")</f>
        <v/>
      </c>
      <c r="AT166" t="str">
        <f>IF(AND($V$9=1,(TRUNC(Courses!U160)&lt;&gt;Courses!U160)), "Row "&amp;Courses!$A160&amp;", "&amp;AT$9&amp;", "&amp;AT$10&amp;", "&amp;AT$11&amp;"; ","")</f>
        <v/>
      </c>
      <c r="AU166" s="2120" t="str">
        <f>IF(AND($V$9=1,(TRUNC(Courses!V160)&lt;&gt;Courses!V160)), "Row "&amp;Courses!$A160&amp;", "&amp;AU$9&amp;", "&amp;AU$10&amp;"; ","")</f>
        <v/>
      </c>
      <c r="AV166" s="1593" t="str">
        <f>IF(AND($V$9=1,(TRUNC(Courses!W160)&lt;&gt;Courses!W160)), "Row "&amp;Courses!$A160&amp;", "&amp;AV$9&amp;", "&amp;AV$10&amp;", "&amp;AV$11&amp;"; ","")</f>
        <v/>
      </c>
      <c r="AW166" t="str">
        <f>IF(AND($V$9=1,(TRUNC(Courses!X160)&lt;&gt;Courses!X160)), "Row "&amp;Courses!$A160&amp;", "&amp;AW$9&amp;", "&amp;AW$10&amp;", "&amp;AW$11&amp;"; ","")</f>
        <v/>
      </c>
      <c r="AX166" t="str">
        <f>IF(AND($V$9=1,(TRUNC(Courses!Y160)&lt;&gt;Courses!Y160)), "Row "&amp;Courses!$A160&amp;", "&amp;AX$9&amp;", "&amp;AX$10&amp;", "&amp;AX$11&amp;"; ","")</f>
        <v/>
      </c>
      <c r="AY166" t="str">
        <f>IF(AND($V$9=1,(TRUNC(Courses!Z160)&lt;&gt;Courses!Z160)), "Row "&amp;Courses!$A160&amp;", "&amp;AY$9&amp;", "&amp;AY$10&amp;", "&amp;AY$11&amp;"; ","")</f>
        <v/>
      </c>
      <c r="AZ166" s="2120" t="str">
        <f>IF(AND($V$9=1,(TRUNC(Courses!AA160)&lt;&gt;Courses!AA160)), "Row "&amp;Courses!$A160&amp;", "&amp;AZ$9&amp;", "&amp;AZ$10&amp;"; ","")</f>
        <v/>
      </c>
      <c r="BB166" s="118"/>
      <c r="BC166" s="3">
        <v>147</v>
      </c>
      <c r="BD166" s="1593" t="str">
        <f>IF(AND($W$9=1,Courses!M160&lt;0), "Row "&amp;Courses!$A160&amp;", "&amp;BD$9&amp;", "&amp;BD$10&amp;", "&amp;BD$11&amp;"; ","")</f>
        <v/>
      </c>
      <c r="BE166" t="str">
        <f>IF(AND($W$9=1,Courses!N160&lt;0), "Row "&amp;Courses!$A160&amp;", "&amp;BE$9&amp;", "&amp;BE$10&amp;", "&amp;BE$11&amp;"; ","")</f>
        <v/>
      </c>
      <c r="BF166" t="str">
        <f>IF(AND($W$9=1,Courses!O160&lt;0), "Row "&amp;Courses!$A160&amp;", "&amp;BF$9&amp;", "&amp;BF$10&amp;", "&amp;BF$11&amp;"; ","")</f>
        <v/>
      </c>
      <c r="BG166" t="str">
        <f>IF(AND($W$9=1,Courses!P160&lt;0), "Row "&amp;Courses!$A160&amp;", "&amp;BG$9&amp;", "&amp;BG$10&amp;", "&amp;BG$11&amp;"; ","")</f>
        <v/>
      </c>
      <c r="BH166" s="2120" t="str">
        <f>IF(AND($W$9=1,Courses!Q160&lt;0), "Row "&amp;Courses!$A160&amp;", "&amp;BH$9&amp;", "&amp;BH$10&amp;"; ","")</f>
        <v/>
      </c>
      <c r="BI166" s="1593" t="str">
        <f>IF(AND($W$9=1,Courses!R160&lt;0), "Row "&amp;Courses!$A160&amp;", "&amp;BI$9&amp;", "&amp;BI$10&amp;", "&amp;BI$11&amp;"; ","")</f>
        <v/>
      </c>
      <c r="BJ166" t="str">
        <f>IF(AND($W$9=1,Courses!S160&lt;0), "Row "&amp;Courses!$A160&amp;", "&amp;BJ$9&amp;", "&amp;BJ$10&amp;", "&amp;BJ$11&amp;"; ","")</f>
        <v/>
      </c>
      <c r="BK166" t="str">
        <f>IF(AND($W$9=1,Courses!T160&lt;0), "Row "&amp;Courses!$A160&amp;", "&amp;BK$9&amp;", "&amp;BK$10&amp;", "&amp;BK$11&amp;"; ","")</f>
        <v/>
      </c>
      <c r="BL166" t="str">
        <f>IF(AND($W$9=1,Courses!U160&lt;0), "Row "&amp;Courses!$A160&amp;", "&amp;BL$9&amp;", "&amp;BL$10&amp;", "&amp;BL$11&amp;"; ","")</f>
        <v/>
      </c>
      <c r="BM166" s="2120" t="str">
        <f>IF(AND($W$9=1,Courses!V160&lt;0), "Row "&amp;Courses!$A160&amp;", "&amp;BM$9&amp;", "&amp;BM$10&amp;"; ","")</f>
        <v/>
      </c>
      <c r="BN166" t="str">
        <f>IF(AND($W$9=1,Courses!W160&lt;0), "Row "&amp;Courses!$A160&amp;", "&amp;BN$9&amp;", "&amp;BN$10&amp;", "&amp;BN$11&amp;"; ","")</f>
        <v/>
      </c>
      <c r="BO166" t="str">
        <f>IF(AND($W$9=1,Courses!X160&lt;0), "Row "&amp;Courses!$A160&amp;", "&amp;BO$9&amp;", "&amp;BO$10&amp;", "&amp;BO$11&amp;"; ","")</f>
        <v/>
      </c>
      <c r="BP166" t="str">
        <f>IF(AND($W$9=1,Courses!Y160&lt;0), "Row "&amp;Courses!$A160&amp;", "&amp;BP$9&amp;", "&amp;BP$10&amp;", "&amp;BP$11&amp;"; ","")</f>
        <v/>
      </c>
      <c r="BQ166" t="str">
        <f>IF(AND($W$9=1,Courses!Z160&lt;0), "Row "&amp;Courses!$A160&amp;", "&amp;BQ$9&amp;", "&amp;BQ$10&amp;", "&amp;BQ$11&amp;"; ","")</f>
        <v/>
      </c>
      <c r="BR166" s="2120" t="str">
        <f>IF(AND($W$9=1,Courses!AA160&lt;0), "Row "&amp;Courses!$A160&amp;", "&amp;BR$9&amp;", "&amp;BR$10&amp;"; ","")</f>
        <v/>
      </c>
      <c r="BT166" s="3">
        <v>147</v>
      </c>
      <c r="BU166" s="40">
        <f>IF(AND($X$9=1,Courses!B160="",Courses!F160="",Courses!H160="",Courses!J160="",Courses!K160="",Courses!L160="",Courses!M160=0,Courses!N160=0,Courses!O160=0,Courses!P160=0,Courses!Q160=0,Courses!R160=0,Courses!S160=0,Courses!T160=0,Courses!U160=0,Courses!V160=0,Courses!W160=0,Courses!X160=0,Courses!Y160=0,Courses!Z160=0,Courses!AA160=0),0,1)</f>
        <v>0</v>
      </c>
      <c r="BV166" s="40">
        <f>IF(AND(BU166=0,SUM(BU167:$BU$219)&gt;0),1,0)</f>
        <v>0</v>
      </c>
      <c r="BW166" s="1592" t="str">
        <f>IF(BV166=1,"Row "&amp;Courses!A160&amp;"; ","")</f>
        <v/>
      </c>
      <c r="BX166" s="17"/>
      <c r="BZ166" s="1592" t="str">
        <f>IF(AND($Y$9=1,Courses!B160&lt;&gt;"",SUM(Courses!M160:AA160)=0),"Row "&amp;Courses!A160&amp;"; ","")</f>
        <v/>
      </c>
      <c r="CA166" s="17"/>
      <c r="CC166" s="1592" t="str">
        <f>IF(AND($Z$9=1,Courses!AD160=1,(LEN(Courses!AB160)&gt;200)),"Row "&amp;Courses!A160&amp;"; ","")</f>
        <v/>
      </c>
      <c r="CE166" s="131"/>
      <c r="CG166" s="1593" t="str">
        <f>IF(AND($AD$9=1,Courses!E160&lt;&gt;"",Courses!F160&lt;&gt;"",Courses!F160=0,SUM(Courses!H160,Courses!J160)=1),"Row "&amp;Courses!A160&amp;", "&amp;Courses!$F$10&amp;"; ","")</f>
        <v/>
      </c>
      <c r="CH166" t="str">
        <f>IF(AND($AD$9=1,Courses!G160&lt;&gt;"",Courses!H160&lt;&gt;"",Courses!H160=0,SUM(Courses!J160,Courses!F160)=1),"Row "&amp;Courses!A160&amp;", "&amp;Courses!$H$10&amp;"; ","")</f>
        <v/>
      </c>
      <c r="CI166" s="183" t="str">
        <f>IF(AND($AD$9=1,Courses!I160&lt;&gt;"",Courses!J160&lt;&gt;"",Courses!J160=0, SUM(Courses!H160,Courses!F160)=1),"Row "&amp;Courses!A160&amp;", "&amp;Courses!$J$10&amp;"; ","")</f>
        <v/>
      </c>
      <c r="CJ166" s="180"/>
      <c r="CK166" s="181"/>
      <c r="CL166" s="1592" t="str">
        <f>IF(AND(Courses!B160&lt;&gt;"",ISNA(VLOOKUP(Courses!C160,CourseInfo,2,FALSE))=FALSE,COUNTIF(Dummy,Courses!C160)&lt;&gt;1),VLOOKUP(Courses!C160,CourseInfo,6,FALSE),"")</f>
        <v/>
      </c>
      <c r="CM166" s="1592" t="str">
        <f>IF(AND($AE$9=1,Courses!B160&lt;&gt;"",'Courses Valid'!AG166="",COUNTIF(Dummy,Courses!C160)&lt;&gt;1),IF(Courses!K160&lt;&gt;'Courses Valid'!CL166,"Row "&amp;Courses!A160&amp;", Level on LARS is "&amp;'Courses Valid'!CL166&amp;"; ",""),"")</f>
        <v/>
      </c>
      <c r="CN166" s="131"/>
    </row>
    <row r="167" spans="3:92" x14ac:dyDescent="0.35">
      <c r="C167" s="1591">
        <f t="shared" si="4"/>
        <v>0</v>
      </c>
      <c r="D167" s="41"/>
      <c r="E167" s="41"/>
      <c r="F167" s="118"/>
      <c r="G167" s="1592" t="str">
        <f>IF(SUMPRODUCT(--(CourseAims=Courses!$C161))=1,"",IF(AND($N$9=1,Courses!$C161&lt;&gt;""),"Row "&amp;Courses!A161&amp;" (invalid); ",""))</f>
        <v/>
      </c>
      <c r="H167" s="1592" t="str">
        <f>IF(AND($O$9=1,Courses!B161="",OR(Courses!F161&lt;&gt;"",Courses!H161&lt;&gt;"",Courses!J161&lt;&gt;"",Courses!K161&lt;&gt;"",Courses!L161&lt;&gt;"",Courses!M161&lt;&gt;0,Courses!N161&lt;&gt;0,Courses!O161&lt;&gt;0,Courses!P161&lt;&gt;0,Courses!Q161&lt;&gt;0,Courses!R161&lt;&gt;0,Courses!S161&lt;&gt;0,Courses!T161&lt;&gt;0,Courses!U161&lt;&gt;0,Courses!V161&lt;&gt;0,Courses!W161&lt;&gt;0,Courses!X161&lt;&gt;0,Courses!Y161&lt;&gt;0,Courses!Z161&lt;&gt;0,Courses!AA161&lt;&gt;0)),"Row "&amp;Courses!A161&amp;" (none); ","")</f>
        <v/>
      </c>
      <c r="I167" s="1596"/>
      <c r="K167" s="1592" t="str">
        <f>Courses!B161&amp;Courses!K161&amp;Courses!L161</f>
        <v/>
      </c>
      <c r="L167" s="1592" t="str">
        <f>IF(AND($P$9=1,Courses!$B161&lt;&gt;"",COUNTIF(Dummy,Courses!$C161)&lt;&gt;1),IF(SUMPRODUCT(--($K$20:$K$219=$K167))&gt;1,"Row "&amp;Courses!$A161&amp;"; ",""),"")</f>
        <v/>
      </c>
      <c r="N167" s="118"/>
      <c r="O167" s="1593" t="str">
        <f>IF(AND($Q$9=1,Courses!E161&lt;&gt;"",Courses!F161=""),"Row "&amp;Courses!A161&amp;", "&amp;Courses!$E$10&amp;"; ","")</f>
        <v/>
      </c>
      <c r="P167" t="str">
        <f>IF(AND($Q$9=1,Courses!G161&lt;&gt;"",Courses!H161=""),"Row "&amp;Courses!A161&amp;", "&amp;Courses!$G$10&amp;"; ","")</f>
        <v/>
      </c>
      <c r="Q167" s="183" t="str">
        <f>IF(AND($Q$9=1,Courses!I161&lt;&gt;"",Courses!J161=""),"Row "&amp;Courses!A161&amp;", "&amp;Courses!$I$10&amp;"; ","")</f>
        <v/>
      </c>
      <c r="T167" s="118"/>
      <c r="U167" s="1593" t="str">
        <f>IF(AND($R$9=1,Courses!B161&lt;&gt;"",Courses!E161&lt;&gt;"",Courses!G161="",Courses!I161="",Courses!F161&lt;&gt;1),"Row "&amp;Courses!A161&amp;"; ","")</f>
        <v/>
      </c>
      <c r="V167" t="str">
        <f>IF(AND($R$9=1,Courses!B161&lt;&gt;"",Courses!I161="",Courses!F161&lt;&gt;"",Courses!G161&lt;&gt;"",Courses!H161&lt;&gt;""),IF(OR((Courses!F161+Courses!H161)&lt;&gt;1),"Row "&amp;Courses!A161&amp;"; ",""),"")</f>
        <v/>
      </c>
      <c r="W167" s="183" t="str">
        <f>IF(AND($R$9=1,Courses!B161&lt;&gt;"",Courses!I161&lt;&gt;"",Courses!J161&lt;&gt;"",Courses!H161&lt;&gt;"",Courses!G161&lt;&gt;"",Courses!F161&lt;&gt;""),IF(OR((Courses!F161+Courses!H161+Courses!J161)&lt;&gt;1),"Row "&amp;Courses!A161&amp;"; ",""),"")</f>
        <v/>
      </c>
      <c r="Y167" s="1592" t="str">
        <f>IF(AND($R$9=1,Courses!E161&lt;&gt;"",U167="",V167="",W167="",SUM(Courses!F161,Courses!H161,Courses!J161)&lt;&gt;1),"Row "&amp;Courses!A161&amp;"; ","")</f>
        <v/>
      </c>
      <c r="AA167" s="118"/>
      <c r="AB167" s="1593" t="str">
        <f>IF(AND($S$9=1,Courses!B161&lt;&gt;"",Courses!E161&lt;&gt;"",Courses!F161&lt;&gt;""),IF((TRUNC(Courses!F161*100)&lt;&gt;Courses!F161*100),"Row "&amp;Courses!A161&amp;", "&amp;Courses!$F$10&amp;"; ",""),"")</f>
        <v/>
      </c>
      <c r="AC167" t="str">
        <f>IF(AND($S$9=1,Courses!B161&lt;&gt;"",Courses!G161&lt;&gt;"",Courses!H161&lt;&gt;""),IF((TRUNC(Courses!H161*100)&lt;&gt;Courses!H161*100),"Row "&amp;Courses!A161&amp;", "&amp;Courses!$H$10&amp;"; ",""),"")</f>
        <v/>
      </c>
      <c r="AD167" s="183" t="str">
        <f>IF(AND($S$9=1,Courses!B161&lt;&gt;"",Courses!I161&lt;&gt;"",Courses!J161&lt;&gt;""),IF((TRUNC(Courses!J161*100)&lt;&gt;Courses!J161*100),"Row "&amp;Courses!A161&amp;", "&amp;Courses!$J$10&amp;"; ",""),"")</f>
        <v/>
      </c>
      <c r="AF167" s="118"/>
      <c r="AG167" s="1593" t="str">
        <f>IF(AND($T$9=1,G167="",Courses!B161&lt;&gt;"",Courses!K161&lt;&gt;$B$9,Courses!K161&lt;&gt;$B$10,Courses!K161&lt;&gt;$B$11,Courses!K161&lt;&gt;$B$12,Courses!K161&lt;&gt;$B$13,Courses!K161&lt;&gt;$B$14),"Row "&amp;Courses!A161&amp;"; ","")</f>
        <v/>
      </c>
      <c r="AH167" s="1592" t="str">
        <f>IF(AND($U$9=1,G167="",Courses!B161&lt;&gt;"",Courses!L161&lt;&gt;"Standard",Courses!L161&lt;&gt;"Long"),"Row "&amp;Courses!A161&amp;"; ","")</f>
        <v/>
      </c>
      <c r="AJ167" s="118"/>
      <c r="AK167" s="3">
        <v>148</v>
      </c>
      <c r="AL167" s="1593" t="str">
        <f>IF(AND($V$9=1,(TRUNC(Courses!M161)&lt;&gt;Courses!M161)), "Row "&amp;Courses!$A161&amp;", "&amp;AL$9&amp;", "&amp;AL$10&amp;", "&amp;AL$11&amp;"; ","")</f>
        <v/>
      </c>
      <c r="AM167" t="str">
        <f>IF(AND($V$9=1,(TRUNC(Courses!N161)&lt;&gt;Courses!N161)), "Row "&amp;Courses!$A161&amp;", "&amp;AM$9&amp;", "&amp;AM$10&amp;", "&amp;AM$11&amp;"; ","")</f>
        <v/>
      </c>
      <c r="AN167" t="str">
        <f>IF(AND($V$9=1,(TRUNC(Courses!O161)&lt;&gt;Courses!O161)), "Row "&amp;Courses!$A161&amp;", "&amp;AN$9&amp;", "&amp;AN$10&amp;", "&amp;AN$11&amp;"; ","")</f>
        <v/>
      </c>
      <c r="AO167" t="str">
        <f>IF(AND($V$9=1,(TRUNC(Courses!P161)&lt;&gt;Courses!P161)), "Row "&amp;Courses!$A161&amp;", "&amp;AO$9&amp;", "&amp;AO$10&amp;", "&amp;AO$11&amp;"; ","")</f>
        <v/>
      </c>
      <c r="AP167" s="2120" t="str">
        <f>IF(AND($V$9=1,(TRUNC(Courses!Q161)&lt;&gt;Courses!Q161)), "Row "&amp;Courses!$A161&amp;", "&amp;AP$9&amp;", "&amp;AP$10&amp;"; ","")</f>
        <v/>
      </c>
      <c r="AQ167" s="1593" t="str">
        <f>IF(AND($V$9=1,(TRUNC(Courses!R161)&lt;&gt;Courses!R161)), "Row "&amp;Courses!$A161&amp;", "&amp;AQ$9&amp;", "&amp;AQ$10&amp;", "&amp;AQ$11&amp;"; ","")</f>
        <v/>
      </c>
      <c r="AR167" t="str">
        <f>IF(AND($V$9=1,(TRUNC(Courses!S161)&lt;&gt;Courses!S161)), "Row "&amp;Courses!$A161&amp;", "&amp;AR$9&amp;", "&amp;AR$10&amp;", "&amp;AR$11&amp;"; ","")</f>
        <v/>
      </c>
      <c r="AS167" t="str">
        <f>IF(AND($V$9=1,(TRUNC(Courses!T161)&lt;&gt;Courses!T161)), "Row "&amp;Courses!$A161&amp;", "&amp;AS$9&amp;", "&amp;AS$10&amp;", "&amp;AS$11&amp;"; ","")</f>
        <v/>
      </c>
      <c r="AT167" t="str">
        <f>IF(AND($V$9=1,(TRUNC(Courses!U161)&lt;&gt;Courses!U161)), "Row "&amp;Courses!$A161&amp;", "&amp;AT$9&amp;", "&amp;AT$10&amp;", "&amp;AT$11&amp;"; ","")</f>
        <v/>
      </c>
      <c r="AU167" s="2120" t="str">
        <f>IF(AND($V$9=1,(TRUNC(Courses!V161)&lt;&gt;Courses!V161)), "Row "&amp;Courses!$A161&amp;", "&amp;AU$9&amp;", "&amp;AU$10&amp;"; ","")</f>
        <v/>
      </c>
      <c r="AV167" s="1593" t="str">
        <f>IF(AND($V$9=1,(TRUNC(Courses!W161)&lt;&gt;Courses!W161)), "Row "&amp;Courses!$A161&amp;", "&amp;AV$9&amp;", "&amp;AV$10&amp;", "&amp;AV$11&amp;"; ","")</f>
        <v/>
      </c>
      <c r="AW167" t="str">
        <f>IF(AND($V$9=1,(TRUNC(Courses!X161)&lt;&gt;Courses!X161)), "Row "&amp;Courses!$A161&amp;", "&amp;AW$9&amp;", "&amp;AW$10&amp;", "&amp;AW$11&amp;"; ","")</f>
        <v/>
      </c>
      <c r="AX167" t="str">
        <f>IF(AND($V$9=1,(TRUNC(Courses!Y161)&lt;&gt;Courses!Y161)), "Row "&amp;Courses!$A161&amp;", "&amp;AX$9&amp;", "&amp;AX$10&amp;", "&amp;AX$11&amp;"; ","")</f>
        <v/>
      </c>
      <c r="AY167" t="str">
        <f>IF(AND($V$9=1,(TRUNC(Courses!Z161)&lt;&gt;Courses!Z161)), "Row "&amp;Courses!$A161&amp;", "&amp;AY$9&amp;", "&amp;AY$10&amp;", "&amp;AY$11&amp;"; ","")</f>
        <v/>
      </c>
      <c r="AZ167" s="2120" t="str">
        <f>IF(AND($V$9=1,(TRUNC(Courses!AA161)&lt;&gt;Courses!AA161)), "Row "&amp;Courses!$A161&amp;", "&amp;AZ$9&amp;", "&amp;AZ$10&amp;"; ","")</f>
        <v/>
      </c>
      <c r="BB167" s="118"/>
      <c r="BC167" s="3">
        <v>148</v>
      </c>
      <c r="BD167" s="1593" t="str">
        <f>IF(AND($W$9=1,Courses!M161&lt;0), "Row "&amp;Courses!$A161&amp;", "&amp;BD$9&amp;", "&amp;BD$10&amp;", "&amp;BD$11&amp;"; ","")</f>
        <v/>
      </c>
      <c r="BE167" t="str">
        <f>IF(AND($W$9=1,Courses!N161&lt;0), "Row "&amp;Courses!$A161&amp;", "&amp;BE$9&amp;", "&amp;BE$10&amp;", "&amp;BE$11&amp;"; ","")</f>
        <v/>
      </c>
      <c r="BF167" t="str">
        <f>IF(AND($W$9=1,Courses!O161&lt;0), "Row "&amp;Courses!$A161&amp;", "&amp;BF$9&amp;", "&amp;BF$10&amp;", "&amp;BF$11&amp;"; ","")</f>
        <v/>
      </c>
      <c r="BG167" t="str">
        <f>IF(AND($W$9=1,Courses!P161&lt;0), "Row "&amp;Courses!$A161&amp;", "&amp;BG$9&amp;", "&amp;BG$10&amp;", "&amp;BG$11&amp;"; ","")</f>
        <v/>
      </c>
      <c r="BH167" s="2120" t="str">
        <f>IF(AND($W$9=1,Courses!Q161&lt;0), "Row "&amp;Courses!$A161&amp;", "&amp;BH$9&amp;", "&amp;BH$10&amp;"; ","")</f>
        <v/>
      </c>
      <c r="BI167" s="1593" t="str">
        <f>IF(AND($W$9=1,Courses!R161&lt;0), "Row "&amp;Courses!$A161&amp;", "&amp;BI$9&amp;", "&amp;BI$10&amp;", "&amp;BI$11&amp;"; ","")</f>
        <v/>
      </c>
      <c r="BJ167" t="str">
        <f>IF(AND($W$9=1,Courses!S161&lt;0), "Row "&amp;Courses!$A161&amp;", "&amp;BJ$9&amp;", "&amp;BJ$10&amp;", "&amp;BJ$11&amp;"; ","")</f>
        <v/>
      </c>
      <c r="BK167" t="str">
        <f>IF(AND($W$9=1,Courses!T161&lt;0), "Row "&amp;Courses!$A161&amp;", "&amp;BK$9&amp;", "&amp;BK$10&amp;", "&amp;BK$11&amp;"; ","")</f>
        <v/>
      </c>
      <c r="BL167" t="str">
        <f>IF(AND($W$9=1,Courses!U161&lt;0), "Row "&amp;Courses!$A161&amp;", "&amp;BL$9&amp;", "&amp;BL$10&amp;", "&amp;BL$11&amp;"; ","")</f>
        <v/>
      </c>
      <c r="BM167" s="2120" t="str">
        <f>IF(AND($W$9=1,Courses!V161&lt;0), "Row "&amp;Courses!$A161&amp;", "&amp;BM$9&amp;", "&amp;BM$10&amp;"; ","")</f>
        <v/>
      </c>
      <c r="BN167" t="str">
        <f>IF(AND($W$9=1,Courses!W161&lt;0), "Row "&amp;Courses!$A161&amp;", "&amp;BN$9&amp;", "&amp;BN$10&amp;", "&amp;BN$11&amp;"; ","")</f>
        <v/>
      </c>
      <c r="BO167" t="str">
        <f>IF(AND($W$9=1,Courses!X161&lt;0), "Row "&amp;Courses!$A161&amp;", "&amp;BO$9&amp;", "&amp;BO$10&amp;", "&amp;BO$11&amp;"; ","")</f>
        <v/>
      </c>
      <c r="BP167" t="str">
        <f>IF(AND($W$9=1,Courses!Y161&lt;0), "Row "&amp;Courses!$A161&amp;", "&amp;BP$9&amp;", "&amp;BP$10&amp;", "&amp;BP$11&amp;"; ","")</f>
        <v/>
      </c>
      <c r="BQ167" t="str">
        <f>IF(AND($W$9=1,Courses!Z161&lt;0), "Row "&amp;Courses!$A161&amp;", "&amp;BQ$9&amp;", "&amp;BQ$10&amp;", "&amp;BQ$11&amp;"; ","")</f>
        <v/>
      </c>
      <c r="BR167" s="2120" t="str">
        <f>IF(AND($W$9=1,Courses!AA161&lt;0), "Row "&amp;Courses!$A161&amp;", "&amp;BR$9&amp;", "&amp;BR$10&amp;"; ","")</f>
        <v/>
      </c>
      <c r="BT167" s="3">
        <v>148</v>
      </c>
      <c r="BU167" s="40">
        <f>IF(AND($X$9=1,Courses!B161="",Courses!F161="",Courses!H161="",Courses!J161="",Courses!K161="",Courses!L161="",Courses!M161=0,Courses!N161=0,Courses!O161=0,Courses!P161=0,Courses!Q161=0,Courses!R161=0,Courses!S161=0,Courses!T161=0,Courses!U161=0,Courses!V161=0,Courses!W161=0,Courses!X161=0,Courses!Y161=0,Courses!Z161=0,Courses!AA161=0),0,1)</f>
        <v>0</v>
      </c>
      <c r="BV167" s="40">
        <f>IF(AND(BU167=0,SUM(BU168:$BU$219)&gt;0),1,0)</f>
        <v>0</v>
      </c>
      <c r="BW167" s="1592" t="str">
        <f>IF(BV167=1,"Row "&amp;Courses!A161&amp;"; ","")</f>
        <v/>
      </c>
      <c r="BX167" s="17"/>
      <c r="BZ167" s="1592" t="str">
        <f>IF(AND($Y$9=1,Courses!B161&lt;&gt;"",SUM(Courses!M161:AA161)=0),"Row "&amp;Courses!A161&amp;"; ","")</f>
        <v/>
      </c>
      <c r="CA167" s="17"/>
      <c r="CC167" s="1592" t="str">
        <f>IF(AND($Z$9=1,Courses!AD161=1,(LEN(Courses!AB161)&gt;200)),"Row "&amp;Courses!A161&amp;"; ","")</f>
        <v/>
      </c>
      <c r="CE167" s="131"/>
      <c r="CG167" s="1593" t="str">
        <f>IF(AND($AD$9=1,Courses!E161&lt;&gt;"",Courses!F161&lt;&gt;"",Courses!F161=0,SUM(Courses!H161,Courses!J161)=1),"Row "&amp;Courses!A161&amp;", "&amp;Courses!$F$10&amp;"; ","")</f>
        <v/>
      </c>
      <c r="CH167" t="str">
        <f>IF(AND($AD$9=1,Courses!G161&lt;&gt;"",Courses!H161&lt;&gt;"",Courses!H161=0,SUM(Courses!J161,Courses!F161)=1),"Row "&amp;Courses!A161&amp;", "&amp;Courses!$H$10&amp;"; ","")</f>
        <v/>
      </c>
      <c r="CI167" s="183" t="str">
        <f>IF(AND($AD$9=1,Courses!I161&lt;&gt;"",Courses!J161&lt;&gt;"",Courses!J161=0, SUM(Courses!H161,Courses!F161)=1),"Row "&amp;Courses!A161&amp;", "&amp;Courses!$J$10&amp;"; ","")</f>
        <v/>
      </c>
      <c r="CJ167" s="180"/>
      <c r="CK167" s="181"/>
      <c r="CL167" s="1592" t="str">
        <f>IF(AND(Courses!B161&lt;&gt;"",ISNA(VLOOKUP(Courses!C161,CourseInfo,2,FALSE))=FALSE,COUNTIF(Dummy,Courses!C161)&lt;&gt;1),VLOOKUP(Courses!C161,CourseInfo,6,FALSE),"")</f>
        <v/>
      </c>
      <c r="CM167" s="1592" t="str">
        <f>IF(AND($AE$9=1,Courses!B161&lt;&gt;"",'Courses Valid'!AG167="",COUNTIF(Dummy,Courses!C161)&lt;&gt;1),IF(Courses!K161&lt;&gt;'Courses Valid'!CL167,"Row "&amp;Courses!A161&amp;", Level on LARS is "&amp;'Courses Valid'!CL167&amp;"; ",""),"")</f>
        <v/>
      </c>
      <c r="CN167" s="131"/>
    </row>
    <row r="168" spans="3:92" x14ac:dyDescent="0.35">
      <c r="C168" s="1591">
        <f t="shared" si="4"/>
        <v>0</v>
      </c>
      <c r="D168" s="41"/>
      <c r="E168" s="41"/>
      <c r="F168" s="118"/>
      <c r="G168" s="1592" t="str">
        <f>IF(SUMPRODUCT(--(CourseAims=Courses!$C162))=1,"",IF(AND($N$9=1,Courses!$C162&lt;&gt;""),"Row "&amp;Courses!A162&amp;" (invalid); ",""))</f>
        <v/>
      </c>
      <c r="H168" s="1592" t="str">
        <f>IF(AND($O$9=1,Courses!B162="",OR(Courses!F162&lt;&gt;"",Courses!H162&lt;&gt;"",Courses!J162&lt;&gt;"",Courses!K162&lt;&gt;"",Courses!L162&lt;&gt;"",Courses!M162&lt;&gt;0,Courses!N162&lt;&gt;0,Courses!O162&lt;&gt;0,Courses!P162&lt;&gt;0,Courses!Q162&lt;&gt;0,Courses!R162&lt;&gt;0,Courses!S162&lt;&gt;0,Courses!T162&lt;&gt;0,Courses!U162&lt;&gt;0,Courses!V162&lt;&gt;0,Courses!W162&lt;&gt;0,Courses!X162&lt;&gt;0,Courses!Y162&lt;&gt;0,Courses!Z162&lt;&gt;0,Courses!AA162&lt;&gt;0)),"Row "&amp;Courses!A162&amp;" (none); ","")</f>
        <v/>
      </c>
      <c r="I168" s="1596"/>
      <c r="K168" s="1592" t="str">
        <f>Courses!B162&amp;Courses!K162&amp;Courses!L162</f>
        <v/>
      </c>
      <c r="L168" s="1592" t="str">
        <f>IF(AND($P$9=1,Courses!$B162&lt;&gt;"",COUNTIF(Dummy,Courses!$C162)&lt;&gt;1),IF(SUMPRODUCT(--($K$20:$K$219=$K168))&gt;1,"Row "&amp;Courses!$A162&amp;"; ",""),"")</f>
        <v/>
      </c>
      <c r="N168" s="118"/>
      <c r="O168" s="1593" t="str">
        <f>IF(AND($Q$9=1,Courses!E162&lt;&gt;"",Courses!F162=""),"Row "&amp;Courses!A162&amp;", "&amp;Courses!$E$10&amp;"; ","")</f>
        <v/>
      </c>
      <c r="P168" t="str">
        <f>IF(AND($Q$9=1,Courses!G162&lt;&gt;"",Courses!H162=""),"Row "&amp;Courses!A162&amp;", "&amp;Courses!$G$10&amp;"; ","")</f>
        <v/>
      </c>
      <c r="Q168" s="183" t="str">
        <f>IF(AND($Q$9=1,Courses!I162&lt;&gt;"",Courses!J162=""),"Row "&amp;Courses!A162&amp;", "&amp;Courses!$I$10&amp;"; ","")</f>
        <v/>
      </c>
      <c r="T168" s="118"/>
      <c r="U168" s="1593" t="str">
        <f>IF(AND($R$9=1,Courses!B162&lt;&gt;"",Courses!E162&lt;&gt;"",Courses!G162="",Courses!I162="",Courses!F162&lt;&gt;1),"Row "&amp;Courses!A162&amp;"; ","")</f>
        <v/>
      </c>
      <c r="V168" t="str">
        <f>IF(AND($R$9=1,Courses!B162&lt;&gt;"",Courses!I162="",Courses!F162&lt;&gt;"",Courses!G162&lt;&gt;"",Courses!H162&lt;&gt;""),IF(OR((Courses!F162+Courses!H162)&lt;&gt;1),"Row "&amp;Courses!A162&amp;"; ",""),"")</f>
        <v/>
      </c>
      <c r="W168" s="183" t="str">
        <f>IF(AND($R$9=1,Courses!B162&lt;&gt;"",Courses!I162&lt;&gt;"",Courses!J162&lt;&gt;"",Courses!H162&lt;&gt;"",Courses!G162&lt;&gt;"",Courses!F162&lt;&gt;""),IF(OR((Courses!F162+Courses!H162+Courses!J162)&lt;&gt;1),"Row "&amp;Courses!A162&amp;"; ",""),"")</f>
        <v/>
      </c>
      <c r="Y168" s="1592" t="str">
        <f>IF(AND($R$9=1,Courses!E162&lt;&gt;"",U168="",V168="",W168="",SUM(Courses!F162,Courses!H162,Courses!J162)&lt;&gt;1),"Row "&amp;Courses!A162&amp;"; ","")</f>
        <v/>
      </c>
      <c r="AA168" s="118"/>
      <c r="AB168" s="1593" t="str">
        <f>IF(AND($S$9=1,Courses!B162&lt;&gt;"",Courses!E162&lt;&gt;"",Courses!F162&lt;&gt;""),IF((TRUNC(Courses!F162*100)&lt;&gt;Courses!F162*100),"Row "&amp;Courses!A162&amp;", "&amp;Courses!$F$10&amp;"; ",""),"")</f>
        <v/>
      </c>
      <c r="AC168" t="str">
        <f>IF(AND($S$9=1,Courses!B162&lt;&gt;"",Courses!G162&lt;&gt;"",Courses!H162&lt;&gt;""),IF((TRUNC(Courses!H162*100)&lt;&gt;Courses!H162*100),"Row "&amp;Courses!A162&amp;", "&amp;Courses!$H$10&amp;"; ",""),"")</f>
        <v/>
      </c>
      <c r="AD168" s="183" t="str">
        <f>IF(AND($S$9=1,Courses!B162&lt;&gt;"",Courses!I162&lt;&gt;"",Courses!J162&lt;&gt;""),IF((TRUNC(Courses!J162*100)&lt;&gt;Courses!J162*100),"Row "&amp;Courses!A162&amp;", "&amp;Courses!$J$10&amp;"; ",""),"")</f>
        <v/>
      </c>
      <c r="AF168" s="118"/>
      <c r="AG168" s="1593" t="str">
        <f>IF(AND($T$9=1,G168="",Courses!B162&lt;&gt;"",Courses!K162&lt;&gt;$B$9,Courses!K162&lt;&gt;$B$10,Courses!K162&lt;&gt;$B$11,Courses!K162&lt;&gt;$B$12,Courses!K162&lt;&gt;$B$13,Courses!K162&lt;&gt;$B$14),"Row "&amp;Courses!A162&amp;"; ","")</f>
        <v/>
      </c>
      <c r="AH168" s="1592" t="str">
        <f>IF(AND($U$9=1,G168="",Courses!B162&lt;&gt;"",Courses!L162&lt;&gt;"Standard",Courses!L162&lt;&gt;"Long"),"Row "&amp;Courses!A162&amp;"; ","")</f>
        <v/>
      </c>
      <c r="AJ168" s="118"/>
      <c r="AK168" s="3">
        <v>149</v>
      </c>
      <c r="AL168" s="1593" t="str">
        <f>IF(AND($V$9=1,(TRUNC(Courses!M162)&lt;&gt;Courses!M162)), "Row "&amp;Courses!$A162&amp;", "&amp;AL$9&amp;", "&amp;AL$10&amp;", "&amp;AL$11&amp;"; ","")</f>
        <v/>
      </c>
      <c r="AM168" t="str">
        <f>IF(AND($V$9=1,(TRUNC(Courses!N162)&lt;&gt;Courses!N162)), "Row "&amp;Courses!$A162&amp;", "&amp;AM$9&amp;", "&amp;AM$10&amp;", "&amp;AM$11&amp;"; ","")</f>
        <v/>
      </c>
      <c r="AN168" t="str">
        <f>IF(AND($V$9=1,(TRUNC(Courses!O162)&lt;&gt;Courses!O162)), "Row "&amp;Courses!$A162&amp;", "&amp;AN$9&amp;", "&amp;AN$10&amp;", "&amp;AN$11&amp;"; ","")</f>
        <v/>
      </c>
      <c r="AO168" t="str">
        <f>IF(AND($V$9=1,(TRUNC(Courses!P162)&lt;&gt;Courses!P162)), "Row "&amp;Courses!$A162&amp;", "&amp;AO$9&amp;", "&amp;AO$10&amp;", "&amp;AO$11&amp;"; ","")</f>
        <v/>
      </c>
      <c r="AP168" s="2120" t="str">
        <f>IF(AND($V$9=1,(TRUNC(Courses!Q162)&lt;&gt;Courses!Q162)), "Row "&amp;Courses!$A162&amp;", "&amp;AP$9&amp;", "&amp;AP$10&amp;"; ","")</f>
        <v/>
      </c>
      <c r="AQ168" s="1593" t="str">
        <f>IF(AND($V$9=1,(TRUNC(Courses!R162)&lt;&gt;Courses!R162)), "Row "&amp;Courses!$A162&amp;", "&amp;AQ$9&amp;", "&amp;AQ$10&amp;", "&amp;AQ$11&amp;"; ","")</f>
        <v/>
      </c>
      <c r="AR168" t="str">
        <f>IF(AND($V$9=1,(TRUNC(Courses!S162)&lt;&gt;Courses!S162)), "Row "&amp;Courses!$A162&amp;", "&amp;AR$9&amp;", "&amp;AR$10&amp;", "&amp;AR$11&amp;"; ","")</f>
        <v/>
      </c>
      <c r="AS168" t="str">
        <f>IF(AND($V$9=1,(TRUNC(Courses!T162)&lt;&gt;Courses!T162)), "Row "&amp;Courses!$A162&amp;", "&amp;AS$9&amp;", "&amp;AS$10&amp;", "&amp;AS$11&amp;"; ","")</f>
        <v/>
      </c>
      <c r="AT168" t="str">
        <f>IF(AND($V$9=1,(TRUNC(Courses!U162)&lt;&gt;Courses!U162)), "Row "&amp;Courses!$A162&amp;", "&amp;AT$9&amp;", "&amp;AT$10&amp;", "&amp;AT$11&amp;"; ","")</f>
        <v/>
      </c>
      <c r="AU168" s="2120" t="str">
        <f>IF(AND($V$9=1,(TRUNC(Courses!V162)&lt;&gt;Courses!V162)), "Row "&amp;Courses!$A162&amp;", "&amp;AU$9&amp;", "&amp;AU$10&amp;"; ","")</f>
        <v/>
      </c>
      <c r="AV168" s="1593" t="str">
        <f>IF(AND($V$9=1,(TRUNC(Courses!W162)&lt;&gt;Courses!W162)), "Row "&amp;Courses!$A162&amp;", "&amp;AV$9&amp;", "&amp;AV$10&amp;", "&amp;AV$11&amp;"; ","")</f>
        <v/>
      </c>
      <c r="AW168" t="str">
        <f>IF(AND($V$9=1,(TRUNC(Courses!X162)&lt;&gt;Courses!X162)), "Row "&amp;Courses!$A162&amp;", "&amp;AW$9&amp;", "&amp;AW$10&amp;", "&amp;AW$11&amp;"; ","")</f>
        <v/>
      </c>
      <c r="AX168" t="str">
        <f>IF(AND($V$9=1,(TRUNC(Courses!Y162)&lt;&gt;Courses!Y162)), "Row "&amp;Courses!$A162&amp;", "&amp;AX$9&amp;", "&amp;AX$10&amp;", "&amp;AX$11&amp;"; ","")</f>
        <v/>
      </c>
      <c r="AY168" t="str">
        <f>IF(AND($V$9=1,(TRUNC(Courses!Z162)&lt;&gt;Courses!Z162)), "Row "&amp;Courses!$A162&amp;", "&amp;AY$9&amp;", "&amp;AY$10&amp;", "&amp;AY$11&amp;"; ","")</f>
        <v/>
      </c>
      <c r="AZ168" s="2120" t="str">
        <f>IF(AND($V$9=1,(TRUNC(Courses!AA162)&lt;&gt;Courses!AA162)), "Row "&amp;Courses!$A162&amp;", "&amp;AZ$9&amp;", "&amp;AZ$10&amp;"; ","")</f>
        <v/>
      </c>
      <c r="BB168" s="118"/>
      <c r="BC168" s="3">
        <v>149</v>
      </c>
      <c r="BD168" s="1593" t="str">
        <f>IF(AND($W$9=1,Courses!M162&lt;0), "Row "&amp;Courses!$A162&amp;", "&amp;BD$9&amp;", "&amp;BD$10&amp;", "&amp;BD$11&amp;"; ","")</f>
        <v/>
      </c>
      <c r="BE168" t="str">
        <f>IF(AND($W$9=1,Courses!N162&lt;0), "Row "&amp;Courses!$A162&amp;", "&amp;BE$9&amp;", "&amp;BE$10&amp;", "&amp;BE$11&amp;"; ","")</f>
        <v/>
      </c>
      <c r="BF168" t="str">
        <f>IF(AND($W$9=1,Courses!O162&lt;0), "Row "&amp;Courses!$A162&amp;", "&amp;BF$9&amp;", "&amp;BF$10&amp;", "&amp;BF$11&amp;"; ","")</f>
        <v/>
      </c>
      <c r="BG168" t="str">
        <f>IF(AND($W$9=1,Courses!P162&lt;0), "Row "&amp;Courses!$A162&amp;", "&amp;BG$9&amp;", "&amp;BG$10&amp;", "&amp;BG$11&amp;"; ","")</f>
        <v/>
      </c>
      <c r="BH168" s="2120" t="str">
        <f>IF(AND($W$9=1,Courses!Q162&lt;0), "Row "&amp;Courses!$A162&amp;", "&amp;BH$9&amp;", "&amp;BH$10&amp;"; ","")</f>
        <v/>
      </c>
      <c r="BI168" s="1593" t="str">
        <f>IF(AND($W$9=1,Courses!R162&lt;0), "Row "&amp;Courses!$A162&amp;", "&amp;BI$9&amp;", "&amp;BI$10&amp;", "&amp;BI$11&amp;"; ","")</f>
        <v/>
      </c>
      <c r="BJ168" t="str">
        <f>IF(AND($W$9=1,Courses!S162&lt;0), "Row "&amp;Courses!$A162&amp;", "&amp;BJ$9&amp;", "&amp;BJ$10&amp;", "&amp;BJ$11&amp;"; ","")</f>
        <v/>
      </c>
      <c r="BK168" t="str">
        <f>IF(AND($W$9=1,Courses!T162&lt;0), "Row "&amp;Courses!$A162&amp;", "&amp;BK$9&amp;", "&amp;BK$10&amp;", "&amp;BK$11&amp;"; ","")</f>
        <v/>
      </c>
      <c r="BL168" t="str">
        <f>IF(AND($W$9=1,Courses!U162&lt;0), "Row "&amp;Courses!$A162&amp;", "&amp;BL$9&amp;", "&amp;BL$10&amp;", "&amp;BL$11&amp;"; ","")</f>
        <v/>
      </c>
      <c r="BM168" s="2120" t="str">
        <f>IF(AND($W$9=1,Courses!V162&lt;0), "Row "&amp;Courses!$A162&amp;", "&amp;BM$9&amp;", "&amp;BM$10&amp;"; ","")</f>
        <v/>
      </c>
      <c r="BN168" t="str">
        <f>IF(AND($W$9=1,Courses!W162&lt;0), "Row "&amp;Courses!$A162&amp;", "&amp;BN$9&amp;", "&amp;BN$10&amp;", "&amp;BN$11&amp;"; ","")</f>
        <v/>
      </c>
      <c r="BO168" t="str">
        <f>IF(AND($W$9=1,Courses!X162&lt;0), "Row "&amp;Courses!$A162&amp;", "&amp;BO$9&amp;", "&amp;BO$10&amp;", "&amp;BO$11&amp;"; ","")</f>
        <v/>
      </c>
      <c r="BP168" t="str">
        <f>IF(AND($W$9=1,Courses!Y162&lt;0), "Row "&amp;Courses!$A162&amp;", "&amp;BP$9&amp;", "&amp;BP$10&amp;", "&amp;BP$11&amp;"; ","")</f>
        <v/>
      </c>
      <c r="BQ168" t="str">
        <f>IF(AND($W$9=1,Courses!Z162&lt;0), "Row "&amp;Courses!$A162&amp;", "&amp;BQ$9&amp;", "&amp;BQ$10&amp;", "&amp;BQ$11&amp;"; ","")</f>
        <v/>
      </c>
      <c r="BR168" s="2120" t="str">
        <f>IF(AND($W$9=1,Courses!AA162&lt;0), "Row "&amp;Courses!$A162&amp;", "&amp;BR$9&amp;", "&amp;BR$10&amp;"; ","")</f>
        <v/>
      </c>
      <c r="BT168" s="3">
        <v>149</v>
      </c>
      <c r="BU168" s="40">
        <f>IF(AND($X$9=1,Courses!B162="",Courses!F162="",Courses!H162="",Courses!J162="",Courses!K162="",Courses!L162="",Courses!M162=0,Courses!N162=0,Courses!O162=0,Courses!P162=0,Courses!Q162=0,Courses!R162=0,Courses!S162=0,Courses!T162=0,Courses!U162=0,Courses!V162=0,Courses!W162=0,Courses!X162=0,Courses!Y162=0,Courses!Z162=0,Courses!AA162=0),0,1)</f>
        <v>0</v>
      </c>
      <c r="BV168" s="40">
        <f>IF(AND(BU168=0,SUM(BU169:$BU$219)&gt;0),1,0)</f>
        <v>0</v>
      </c>
      <c r="BW168" s="1592" t="str">
        <f>IF(BV168=1,"Row "&amp;Courses!A162&amp;"; ","")</f>
        <v/>
      </c>
      <c r="BX168" s="17"/>
      <c r="BZ168" s="1592" t="str">
        <f>IF(AND($Y$9=1,Courses!B162&lt;&gt;"",SUM(Courses!M162:AA162)=0),"Row "&amp;Courses!A162&amp;"; ","")</f>
        <v/>
      </c>
      <c r="CA168" s="17"/>
      <c r="CC168" s="1592" t="str">
        <f>IF(AND($Z$9=1,Courses!AD162=1,(LEN(Courses!AB162)&gt;200)),"Row "&amp;Courses!A162&amp;"; ","")</f>
        <v/>
      </c>
      <c r="CE168" s="131"/>
      <c r="CG168" s="1593" t="str">
        <f>IF(AND($AD$9=1,Courses!E162&lt;&gt;"",Courses!F162&lt;&gt;"",Courses!F162=0,SUM(Courses!H162,Courses!J162)=1),"Row "&amp;Courses!A162&amp;", "&amp;Courses!$F$10&amp;"; ","")</f>
        <v/>
      </c>
      <c r="CH168" t="str">
        <f>IF(AND($AD$9=1,Courses!G162&lt;&gt;"",Courses!H162&lt;&gt;"",Courses!H162=0,SUM(Courses!J162,Courses!F162)=1),"Row "&amp;Courses!A162&amp;", "&amp;Courses!$H$10&amp;"; ","")</f>
        <v/>
      </c>
      <c r="CI168" s="183" t="str">
        <f>IF(AND($AD$9=1,Courses!I162&lt;&gt;"",Courses!J162&lt;&gt;"",Courses!J162=0, SUM(Courses!H162,Courses!F162)=1),"Row "&amp;Courses!A162&amp;", "&amp;Courses!$J$10&amp;"; ","")</f>
        <v/>
      </c>
      <c r="CJ168" s="180"/>
      <c r="CK168" s="181"/>
      <c r="CL168" s="1592" t="str">
        <f>IF(AND(Courses!B162&lt;&gt;"",ISNA(VLOOKUP(Courses!C162,CourseInfo,2,FALSE))=FALSE,COUNTIF(Dummy,Courses!C162)&lt;&gt;1),VLOOKUP(Courses!C162,CourseInfo,6,FALSE),"")</f>
        <v/>
      </c>
      <c r="CM168" s="1592" t="str">
        <f>IF(AND($AE$9=1,Courses!B162&lt;&gt;"",'Courses Valid'!AG168="",COUNTIF(Dummy,Courses!C162)&lt;&gt;1),IF(Courses!K162&lt;&gt;'Courses Valid'!CL168,"Row "&amp;Courses!A162&amp;", Level on LARS is "&amp;'Courses Valid'!CL168&amp;"; ",""),"")</f>
        <v/>
      </c>
      <c r="CN168" s="131"/>
    </row>
    <row r="169" spans="3:92" x14ac:dyDescent="0.35">
      <c r="C169" s="1591">
        <f t="shared" si="4"/>
        <v>0</v>
      </c>
      <c r="D169" s="41"/>
      <c r="E169" s="41"/>
      <c r="F169" s="118"/>
      <c r="G169" s="1592" t="str">
        <f>IF(SUMPRODUCT(--(CourseAims=Courses!$C163))=1,"",IF(AND($N$9=1,Courses!$C163&lt;&gt;""),"Row "&amp;Courses!A163&amp;" (invalid); ",""))</f>
        <v/>
      </c>
      <c r="H169" s="1592" t="str">
        <f>IF(AND($O$9=1,Courses!B163="",OR(Courses!F163&lt;&gt;"",Courses!H163&lt;&gt;"",Courses!J163&lt;&gt;"",Courses!K163&lt;&gt;"",Courses!L163&lt;&gt;"",Courses!M163&lt;&gt;0,Courses!N163&lt;&gt;0,Courses!O163&lt;&gt;0,Courses!P163&lt;&gt;0,Courses!Q163&lt;&gt;0,Courses!R163&lt;&gt;0,Courses!S163&lt;&gt;0,Courses!T163&lt;&gt;0,Courses!U163&lt;&gt;0,Courses!V163&lt;&gt;0,Courses!W163&lt;&gt;0,Courses!X163&lt;&gt;0,Courses!Y163&lt;&gt;0,Courses!Z163&lt;&gt;0,Courses!AA163&lt;&gt;0)),"Row "&amp;Courses!A163&amp;" (none); ","")</f>
        <v/>
      </c>
      <c r="I169" s="1596"/>
      <c r="K169" s="1592" t="str">
        <f>Courses!B163&amp;Courses!K163&amp;Courses!L163</f>
        <v/>
      </c>
      <c r="L169" s="1592" t="str">
        <f>IF(AND($P$9=1,Courses!$B163&lt;&gt;"",COUNTIF(Dummy,Courses!$C163)&lt;&gt;1),IF(SUMPRODUCT(--($K$20:$K$219=$K169))&gt;1,"Row "&amp;Courses!$A163&amp;"; ",""),"")</f>
        <v/>
      </c>
      <c r="N169" s="118"/>
      <c r="O169" s="1593" t="str">
        <f>IF(AND($Q$9=1,Courses!E163&lt;&gt;"",Courses!F163=""),"Row "&amp;Courses!A163&amp;", "&amp;Courses!$E$10&amp;"; ","")</f>
        <v/>
      </c>
      <c r="P169" t="str">
        <f>IF(AND($Q$9=1,Courses!G163&lt;&gt;"",Courses!H163=""),"Row "&amp;Courses!A163&amp;", "&amp;Courses!$G$10&amp;"; ","")</f>
        <v/>
      </c>
      <c r="Q169" s="183" t="str">
        <f>IF(AND($Q$9=1,Courses!I163&lt;&gt;"",Courses!J163=""),"Row "&amp;Courses!A163&amp;", "&amp;Courses!$I$10&amp;"; ","")</f>
        <v/>
      </c>
      <c r="T169" s="118"/>
      <c r="U169" s="1593" t="str">
        <f>IF(AND($R$9=1,Courses!B163&lt;&gt;"",Courses!E163&lt;&gt;"",Courses!G163="",Courses!I163="",Courses!F163&lt;&gt;1),"Row "&amp;Courses!A163&amp;"; ","")</f>
        <v/>
      </c>
      <c r="V169" t="str">
        <f>IF(AND($R$9=1,Courses!B163&lt;&gt;"",Courses!I163="",Courses!F163&lt;&gt;"",Courses!G163&lt;&gt;"",Courses!H163&lt;&gt;""),IF(OR((Courses!F163+Courses!H163)&lt;&gt;1),"Row "&amp;Courses!A163&amp;"; ",""),"")</f>
        <v/>
      </c>
      <c r="W169" s="183" t="str">
        <f>IF(AND($R$9=1,Courses!B163&lt;&gt;"",Courses!I163&lt;&gt;"",Courses!J163&lt;&gt;"",Courses!H163&lt;&gt;"",Courses!G163&lt;&gt;"",Courses!F163&lt;&gt;""),IF(OR((Courses!F163+Courses!H163+Courses!J163)&lt;&gt;1),"Row "&amp;Courses!A163&amp;"; ",""),"")</f>
        <v/>
      </c>
      <c r="Y169" s="1592" t="str">
        <f>IF(AND($R$9=1,Courses!E163&lt;&gt;"",U169="",V169="",W169="",SUM(Courses!F163,Courses!H163,Courses!J163)&lt;&gt;1),"Row "&amp;Courses!A163&amp;"; ","")</f>
        <v/>
      </c>
      <c r="AA169" s="118"/>
      <c r="AB169" s="1593" t="str">
        <f>IF(AND($S$9=1,Courses!B163&lt;&gt;"",Courses!E163&lt;&gt;"",Courses!F163&lt;&gt;""),IF((TRUNC(Courses!F163*100)&lt;&gt;Courses!F163*100),"Row "&amp;Courses!A163&amp;", "&amp;Courses!$F$10&amp;"; ",""),"")</f>
        <v/>
      </c>
      <c r="AC169" t="str">
        <f>IF(AND($S$9=1,Courses!B163&lt;&gt;"",Courses!G163&lt;&gt;"",Courses!H163&lt;&gt;""),IF((TRUNC(Courses!H163*100)&lt;&gt;Courses!H163*100),"Row "&amp;Courses!A163&amp;", "&amp;Courses!$H$10&amp;"; ",""),"")</f>
        <v/>
      </c>
      <c r="AD169" s="183" t="str">
        <f>IF(AND($S$9=1,Courses!B163&lt;&gt;"",Courses!I163&lt;&gt;"",Courses!J163&lt;&gt;""),IF((TRUNC(Courses!J163*100)&lt;&gt;Courses!J163*100),"Row "&amp;Courses!A163&amp;", "&amp;Courses!$J$10&amp;"; ",""),"")</f>
        <v/>
      </c>
      <c r="AF169" s="118"/>
      <c r="AG169" s="1593" t="str">
        <f>IF(AND($T$9=1,G169="",Courses!B163&lt;&gt;"",Courses!K163&lt;&gt;$B$9,Courses!K163&lt;&gt;$B$10,Courses!K163&lt;&gt;$B$11,Courses!K163&lt;&gt;$B$12,Courses!K163&lt;&gt;$B$13,Courses!K163&lt;&gt;$B$14),"Row "&amp;Courses!A163&amp;"; ","")</f>
        <v/>
      </c>
      <c r="AH169" s="1592" t="str">
        <f>IF(AND($U$9=1,G169="",Courses!B163&lt;&gt;"",Courses!L163&lt;&gt;"Standard",Courses!L163&lt;&gt;"Long"),"Row "&amp;Courses!A163&amp;"; ","")</f>
        <v/>
      </c>
      <c r="AJ169" s="118"/>
      <c r="AK169" s="3">
        <v>150</v>
      </c>
      <c r="AL169" s="1593" t="str">
        <f>IF(AND($V$9=1,(TRUNC(Courses!M163)&lt;&gt;Courses!M163)), "Row "&amp;Courses!$A163&amp;", "&amp;AL$9&amp;", "&amp;AL$10&amp;", "&amp;AL$11&amp;"; ","")</f>
        <v/>
      </c>
      <c r="AM169" t="str">
        <f>IF(AND($V$9=1,(TRUNC(Courses!N163)&lt;&gt;Courses!N163)), "Row "&amp;Courses!$A163&amp;", "&amp;AM$9&amp;", "&amp;AM$10&amp;", "&amp;AM$11&amp;"; ","")</f>
        <v/>
      </c>
      <c r="AN169" t="str">
        <f>IF(AND($V$9=1,(TRUNC(Courses!O163)&lt;&gt;Courses!O163)), "Row "&amp;Courses!$A163&amp;", "&amp;AN$9&amp;", "&amp;AN$10&amp;", "&amp;AN$11&amp;"; ","")</f>
        <v/>
      </c>
      <c r="AO169" t="str">
        <f>IF(AND($V$9=1,(TRUNC(Courses!P163)&lt;&gt;Courses!P163)), "Row "&amp;Courses!$A163&amp;", "&amp;AO$9&amp;", "&amp;AO$10&amp;", "&amp;AO$11&amp;"; ","")</f>
        <v/>
      </c>
      <c r="AP169" s="2120" t="str">
        <f>IF(AND($V$9=1,(TRUNC(Courses!Q163)&lt;&gt;Courses!Q163)), "Row "&amp;Courses!$A163&amp;", "&amp;AP$9&amp;", "&amp;AP$10&amp;"; ","")</f>
        <v/>
      </c>
      <c r="AQ169" s="1593" t="str">
        <f>IF(AND($V$9=1,(TRUNC(Courses!R163)&lt;&gt;Courses!R163)), "Row "&amp;Courses!$A163&amp;", "&amp;AQ$9&amp;", "&amp;AQ$10&amp;", "&amp;AQ$11&amp;"; ","")</f>
        <v/>
      </c>
      <c r="AR169" t="str">
        <f>IF(AND($V$9=1,(TRUNC(Courses!S163)&lt;&gt;Courses!S163)), "Row "&amp;Courses!$A163&amp;", "&amp;AR$9&amp;", "&amp;AR$10&amp;", "&amp;AR$11&amp;"; ","")</f>
        <v/>
      </c>
      <c r="AS169" t="str">
        <f>IF(AND($V$9=1,(TRUNC(Courses!T163)&lt;&gt;Courses!T163)), "Row "&amp;Courses!$A163&amp;", "&amp;AS$9&amp;", "&amp;AS$10&amp;", "&amp;AS$11&amp;"; ","")</f>
        <v/>
      </c>
      <c r="AT169" t="str">
        <f>IF(AND($V$9=1,(TRUNC(Courses!U163)&lt;&gt;Courses!U163)), "Row "&amp;Courses!$A163&amp;", "&amp;AT$9&amp;", "&amp;AT$10&amp;", "&amp;AT$11&amp;"; ","")</f>
        <v/>
      </c>
      <c r="AU169" s="2120" t="str">
        <f>IF(AND($V$9=1,(TRUNC(Courses!V163)&lt;&gt;Courses!V163)), "Row "&amp;Courses!$A163&amp;", "&amp;AU$9&amp;", "&amp;AU$10&amp;"; ","")</f>
        <v/>
      </c>
      <c r="AV169" s="1593" t="str">
        <f>IF(AND($V$9=1,(TRUNC(Courses!W163)&lt;&gt;Courses!W163)), "Row "&amp;Courses!$A163&amp;", "&amp;AV$9&amp;", "&amp;AV$10&amp;", "&amp;AV$11&amp;"; ","")</f>
        <v/>
      </c>
      <c r="AW169" t="str">
        <f>IF(AND($V$9=1,(TRUNC(Courses!X163)&lt;&gt;Courses!X163)), "Row "&amp;Courses!$A163&amp;", "&amp;AW$9&amp;", "&amp;AW$10&amp;", "&amp;AW$11&amp;"; ","")</f>
        <v/>
      </c>
      <c r="AX169" t="str">
        <f>IF(AND($V$9=1,(TRUNC(Courses!Y163)&lt;&gt;Courses!Y163)), "Row "&amp;Courses!$A163&amp;", "&amp;AX$9&amp;", "&amp;AX$10&amp;", "&amp;AX$11&amp;"; ","")</f>
        <v/>
      </c>
      <c r="AY169" t="str">
        <f>IF(AND($V$9=1,(TRUNC(Courses!Z163)&lt;&gt;Courses!Z163)), "Row "&amp;Courses!$A163&amp;", "&amp;AY$9&amp;", "&amp;AY$10&amp;", "&amp;AY$11&amp;"; ","")</f>
        <v/>
      </c>
      <c r="AZ169" s="2120" t="str">
        <f>IF(AND($V$9=1,(TRUNC(Courses!AA163)&lt;&gt;Courses!AA163)), "Row "&amp;Courses!$A163&amp;", "&amp;AZ$9&amp;", "&amp;AZ$10&amp;"; ","")</f>
        <v/>
      </c>
      <c r="BB169" s="118"/>
      <c r="BC169" s="3">
        <v>150</v>
      </c>
      <c r="BD169" s="1593" t="str">
        <f>IF(AND($W$9=1,Courses!M163&lt;0), "Row "&amp;Courses!$A163&amp;", "&amp;BD$9&amp;", "&amp;BD$10&amp;", "&amp;BD$11&amp;"; ","")</f>
        <v/>
      </c>
      <c r="BE169" t="str">
        <f>IF(AND($W$9=1,Courses!N163&lt;0), "Row "&amp;Courses!$A163&amp;", "&amp;BE$9&amp;", "&amp;BE$10&amp;", "&amp;BE$11&amp;"; ","")</f>
        <v/>
      </c>
      <c r="BF169" t="str">
        <f>IF(AND($W$9=1,Courses!O163&lt;0), "Row "&amp;Courses!$A163&amp;", "&amp;BF$9&amp;", "&amp;BF$10&amp;", "&amp;BF$11&amp;"; ","")</f>
        <v/>
      </c>
      <c r="BG169" t="str">
        <f>IF(AND($W$9=1,Courses!P163&lt;0), "Row "&amp;Courses!$A163&amp;", "&amp;BG$9&amp;", "&amp;BG$10&amp;", "&amp;BG$11&amp;"; ","")</f>
        <v/>
      </c>
      <c r="BH169" s="2120" t="str">
        <f>IF(AND($W$9=1,Courses!Q163&lt;0), "Row "&amp;Courses!$A163&amp;", "&amp;BH$9&amp;", "&amp;BH$10&amp;"; ","")</f>
        <v/>
      </c>
      <c r="BI169" s="1593" t="str">
        <f>IF(AND($W$9=1,Courses!R163&lt;0), "Row "&amp;Courses!$A163&amp;", "&amp;BI$9&amp;", "&amp;BI$10&amp;", "&amp;BI$11&amp;"; ","")</f>
        <v/>
      </c>
      <c r="BJ169" t="str">
        <f>IF(AND($W$9=1,Courses!S163&lt;0), "Row "&amp;Courses!$A163&amp;", "&amp;BJ$9&amp;", "&amp;BJ$10&amp;", "&amp;BJ$11&amp;"; ","")</f>
        <v/>
      </c>
      <c r="BK169" t="str">
        <f>IF(AND($W$9=1,Courses!T163&lt;0), "Row "&amp;Courses!$A163&amp;", "&amp;BK$9&amp;", "&amp;BK$10&amp;", "&amp;BK$11&amp;"; ","")</f>
        <v/>
      </c>
      <c r="BL169" t="str">
        <f>IF(AND($W$9=1,Courses!U163&lt;0), "Row "&amp;Courses!$A163&amp;", "&amp;BL$9&amp;", "&amp;BL$10&amp;", "&amp;BL$11&amp;"; ","")</f>
        <v/>
      </c>
      <c r="BM169" s="2120" t="str">
        <f>IF(AND($W$9=1,Courses!V163&lt;0), "Row "&amp;Courses!$A163&amp;", "&amp;BM$9&amp;", "&amp;BM$10&amp;"; ","")</f>
        <v/>
      </c>
      <c r="BN169" t="str">
        <f>IF(AND($W$9=1,Courses!W163&lt;0), "Row "&amp;Courses!$A163&amp;", "&amp;BN$9&amp;", "&amp;BN$10&amp;", "&amp;BN$11&amp;"; ","")</f>
        <v/>
      </c>
      <c r="BO169" t="str">
        <f>IF(AND($W$9=1,Courses!X163&lt;0), "Row "&amp;Courses!$A163&amp;", "&amp;BO$9&amp;", "&amp;BO$10&amp;", "&amp;BO$11&amp;"; ","")</f>
        <v/>
      </c>
      <c r="BP169" t="str">
        <f>IF(AND($W$9=1,Courses!Y163&lt;0), "Row "&amp;Courses!$A163&amp;", "&amp;BP$9&amp;", "&amp;BP$10&amp;", "&amp;BP$11&amp;"; ","")</f>
        <v/>
      </c>
      <c r="BQ169" t="str">
        <f>IF(AND($W$9=1,Courses!Z163&lt;0), "Row "&amp;Courses!$A163&amp;", "&amp;BQ$9&amp;", "&amp;BQ$10&amp;", "&amp;BQ$11&amp;"; ","")</f>
        <v/>
      </c>
      <c r="BR169" s="2120" t="str">
        <f>IF(AND($W$9=1,Courses!AA163&lt;0), "Row "&amp;Courses!$A163&amp;", "&amp;BR$9&amp;", "&amp;BR$10&amp;"; ","")</f>
        <v/>
      </c>
      <c r="BT169" s="3">
        <v>150</v>
      </c>
      <c r="BU169" s="40">
        <f>IF(AND($X$9=1,Courses!B163="",Courses!F163="",Courses!H163="",Courses!J163="",Courses!K163="",Courses!L163="",Courses!M163=0,Courses!N163=0,Courses!O163=0,Courses!P163=0,Courses!Q163=0,Courses!R163=0,Courses!S163=0,Courses!T163=0,Courses!U163=0,Courses!V163=0,Courses!W163=0,Courses!X163=0,Courses!Y163=0,Courses!Z163=0,Courses!AA163=0),0,1)</f>
        <v>0</v>
      </c>
      <c r="BV169" s="40">
        <f>IF(AND(BU169=0,SUM(BU170:$BU$219)&gt;0),1,0)</f>
        <v>0</v>
      </c>
      <c r="BW169" s="1592" t="str">
        <f>IF(BV169=1,"Row "&amp;Courses!A163&amp;"; ","")</f>
        <v/>
      </c>
      <c r="BX169" s="17"/>
      <c r="BZ169" s="1592" t="str">
        <f>IF(AND($Y$9=1,Courses!B163&lt;&gt;"",SUM(Courses!M163:AA163)=0),"Row "&amp;Courses!A163&amp;"; ","")</f>
        <v/>
      </c>
      <c r="CA169" s="17"/>
      <c r="CC169" s="1592" t="str">
        <f>IF(AND($Z$9=1,Courses!AD163=1,(LEN(Courses!AB163)&gt;200)),"Row "&amp;Courses!A163&amp;"; ","")</f>
        <v/>
      </c>
      <c r="CE169" s="131"/>
      <c r="CG169" s="1593" t="str">
        <f>IF(AND($AD$9=1,Courses!E163&lt;&gt;"",Courses!F163&lt;&gt;"",Courses!F163=0,SUM(Courses!H163,Courses!J163)=1),"Row "&amp;Courses!A163&amp;", "&amp;Courses!$F$10&amp;"; ","")</f>
        <v/>
      </c>
      <c r="CH169" t="str">
        <f>IF(AND($AD$9=1,Courses!G163&lt;&gt;"",Courses!H163&lt;&gt;"",Courses!H163=0,SUM(Courses!J163,Courses!F163)=1),"Row "&amp;Courses!A163&amp;", "&amp;Courses!$H$10&amp;"; ","")</f>
        <v/>
      </c>
      <c r="CI169" s="183" t="str">
        <f>IF(AND($AD$9=1,Courses!I163&lt;&gt;"",Courses!J163&lt;&gt;"",Courses!J163=0, SUM(Courses!H163,Courses!F163)=1),"Row "&amp;Courses!A163&amp;", "&amp;Courses!$J$10&amp;"; ","")</f>
        <v/>
      </c>
      <c r="CJ169" s="180"/>
      <c r="CK169" s="181"/>
      <c r="CL169" s="1592" t="str">
        <f>IF(AND(Courses!B163&lt;&gt;"",ISNA(VLOOKUP(Courses!C163,CourseInfo,2,FALSE))=FALSE,COUNTIF(Dummy,Courses!C163)&lt;&gt;1),VLOOKUP(Courses!C163,CourseInfo,6,FALSE),"")</f>
        <v/>
      </c>
      <c r="CM169" s="1592" t="str">
        <f>IF(AND($AE$9=1,Courses!B163&lt;&gt;"",'Courses Valid'!AG169="",COUNTIF(Dummy,Courses!C163)&lt;&gt;1),IF(Courses!K163&lt;&gt;'Courses Valid'!CL169,"Row "&amp;Courses!A163&amp;", Level on LARS is "&amp;'Courses Valid'!CL169&amp;"; ",""),"")</f>
        <v/>
      </c>
      <c r="CN169" s="131"/>
    </row>
    <row r="170" spans="3:92" x14ac:dyDescent="0.35">
      <c r="C170" s="1591">
        <f t="shared" si="4"/>
        <v>0</v>
      </c>
      <c r="D170" s="41"/>
      <c r="E170" s="41"/>
      <c r="F170" s="118"/>
      <c r="G170" s="1592" t="str">
        <f>IF(SUMPRODUCT(--(CourseAims=Courses!$C164))=1,"",IF(AND($N$9=1,Courses!$C164&lt;&gt;""),"Row "&amp;Courses!A164&amp;" (invalid); ",""))</f>
        <v/>
      </c>
      <c r="H170" s="1592" t="str">
        <f>IF(AND($O$9=1,Courses!B164="",OR(Courses!F164&lt;&gt;"",Courses!H164&lt;&gt;"",Courses!J164&lt;&gt;"",Courses!K164&lt;&gt;"",Courses!L164&lt;&gt;"",Courses!M164&lt;&gt;0,Courses!N164&lt;&gt;0,Courses!O164&lt;&gt;0,Courses!P164&lt;&gt;0,Courses!Q164&lt;&gt;0,Courses!R164&lt;&gt;0,Courses!S164&lt;&gt;0,Courses!T164&lt;&gt;0,Courses!U164&lt;&gt;0,Courses!V164&lt;&gt;0,Courses!W164&lt;&gt;0,Courses!X164&lt;&gt;0,Courses!Y164&lt;&gt;0,Courses!Z164&lt;&gt;0,Courses!AA164&lt;&gt;0)),"Row "&amp;Courses!A164&amp;" (none); ","")</f>
        <v/>
      </c>
      <c r="I170" s="1596"/>
      <c r="K170" s="1592" t="str">
        <f>Courses!B164&amp;Courses!K164&amp;Courses!L164</f>
        <v/>
      </c>
      <c r="L170" s="1592" t="str">
        <f>IF(AND($P$9=1,Courses!$B164&lt;&gt;"",COUNTIF(Dummy,Courses!$C164)&lt;&gt;1),IF(SUMPRODUCT(--($K$20:$K$219=$K170))&gt;1,"Row "&amp;Courses!$A164&amp;"; ",""),"")</f>
        <v/>
      </c>
      <c r="N170" s="118"/>
      <c r="O170" s="1593" t="str">
        <f>IF(AND($Q$9=1,Courses!E164&lt;&gt;"",Courses!F164=""),"Row "&amp;Courses!A164&amp;", "&amp;Courses!$E$10&amp;"; ","")</f>
        <v/>
      </c>
      <c r="P170" t="str">
        <f>IF(AND($Q$9=1,Courses!G164&lt;&gt;"",Courses!H164=""),"Row "&amp;Courses!A164&amp;", "&amp;Courses!$G$10&amp;"; ","")</f>
        <v/>
      </c>
      <c r="Q170" s="183" t="str">
        <f>IF(AND($Q$9=1,Courses!I164&lt;&gt;"",Courses!J164=""),"Row "&amp;Courses!A164&amp;", "&amp;Courses!$I$10&amp;"; ","")</f>
        <v/>
      </c>
      <c r="T170" s="118"/>
      <c r="U170" s="1593" t="str">
        <f>IF(AND($R$9=1,Courses!B164&lt;&gt;"",Courses!E164&lt;&gt;"",Courses!G164="",Courses!I164="",Courses!F164&lt;&gt;1),"Row "&amp;Courses!A164&amp;"; ","")</f>
        <v/>
      </c>
      <c r="V170" t="str">
        <f>IF(AND($R$9=1,Courses!B164&lt;&gt;"",Courses!I164="",Courses!F164&lt;&gt;"",Courses!G164&lt;&gt;"",Courses!H164&lt;&gt;""),IF(OR((Courses!F164+Courses!H164)&lt;&gt;1),"Row "&amp;Courses!A164&amp;"; ",""),"")</f>
        <v/>
      </c>
      <c r="W170" s="183" t="str">
        <f>IF(AND($R$9=1,Courses!B164&lt;&gt;"",Courses!I164&lt;&gt;"",Courses!J164&lt;&gt;"",Courses!H164&lt;&gt;"",Courses!G164&lt;&gt;"",Courses!F164&lt;&gt;""),IF(OR((Courses!F164+Courses!H164+Courses!J164)&lt;&gt;1),"Row "&amp;Courses!A164&amp;"; ",""),"")</f>
        <v/>
      </c>
      <c r="Y170" s="1592" t="str">
        <f>IF(AND($R$9=1,Courses!E164&lt;&gt;"",U170="",V170="",W170="",SUM(Courses!F164,Courses!H164,Courses!J164)&lt;&gt;1),"Row "&amp;Courses!A164&amp;"; ","")</f>
        <v/>
      </c>
      <c r="AA170" s="118"/>
      <c r="AB170" s="1593" t="str">
        <f>IF(AND($S$9=1,Courses!B164&lt;&gt;"",Courses!E164&lt;&gt;"",Courses!F164&lt;&gt;""),IF((TRUNC(Courses!F164*100)&lt;&gt;Courses!F164*100),"Row "&amp;Courses!A164&amp;", "&amp;Courses!$F$10&amp;"; ",""),"")</f>
        <v/>
      </c>
      <c r="AC170" t="str">
        <f>IF(AND($S$9=1,Courses!B164&lt;&gt;"",Courses!G164&lt;&gt;"",Courses!H164&lt;&gt;""),IF((TRUNC(Courses!H164*100)&lt;&gt;Courses!H164*100),"Row "&amp;Courses!A164&amp;", "&amp;Courses!$H$10&amp;"; ",""),"")</f>
        <v/>
      </c>
      <c r="AD170" s="183" t="str">
        <f>IF(AND($S$9=1,Courses!B164&lt;&gt;"",Courses!I164&lt;&gt;"",Courses!J164&lt;&gt;""),IF((TRUNC(Courses!J164*100)&lt;&gt;Courses!J164*100),"Row "&amp;Courses!A164&amp;", "&amp;Courses!$J$10&amp;"; ",""),"")</f>
        <v/>
      </c>
      <c r="AF170" s="118"/>
      <c r="AG170" s="1593" t="str">
        <f>IF(AND($T$9=1,G170="",Courses!B164&lt;&gt;"",Courses!K164&lt;&gt;$B$9,Courses!K164&lt;&gt;$B$10,Courses!K164&lt;&gt;$B$11,Courses!K164&lt;&gt;$B$12,Courses!K164&lt;&gt;$B$13,Courses!K164&lt;&gt;$B$14),"Row "&amp;Courses!A164&amp;"; ","")</f>
        <v/>
      </c>
      <c r="AH170" s="1592" t="str">
        <f>IF(AND($U$9=1,G170="",Courses!B164&lt;&gt;"",Courses!L164&lt;&gt;"Standard",Courses!L164&lt;&gt;"Long"),"Row "&amp;Courses!A164&amp;"; ","")</f>
        <v/>
      </c>
      <c r="AJ170" s="118"/>
      <c r="AK170" s="3">
        <v>151</v>
      </c>
      <c r="AL170" s="1593" t="str">
        <f>IF(AND($V$9=1,(TRUNC(Courses!M164)&lt;&gt;Courses!M164)), "Row "&amp;Courses!$A164&amp;", "&amp;AL$9&amp;", "&amp;AL$10&amp;", "&amp;AL$11&amp;"; ","")</f>
        <v/>
      </c>
      <c r="AM170" t="str">
        <f>IF(AND($V$9=1,(TRUNC(Courses!N164)&lt;&gt;Courses!N164)), "Row "&amp;Courses!$A164&amp;", "&amp;AM$9&amp;", "&amp;AM$10&amp;", "&amp;AM$11&amp;"; ","")</f>
        <v/>
      </c>
      <c r="AN170" t="str">
        <f>IF(AND($V$9=1,(TRUNC(Courses!O164)&lt;&gt;Courses!O164)), "Row "&amp;Courses!$A164&amp;", "&amp;AN$9&amp;", "&amp;AN$10&amp;", "&amp;AN$11&amp;"; ","")</f>
        <v/>
      </c>
      <c r="AO170" t="str">
        <f>IF(AND($V$9=1,(TRUNC(Courses!P164)&lt;&gt;Courses!P164)), "Row "&amp;Courses!$A164&amp;", "&amp;AO$9&amp;", "&amp;AO$10&amp;", "&amp;AO$11&amp;"; ","")</f>
        <v/>
      </c>
      <c r="AP170" s="2120" t="str">
        <f>IF(AND($V$9=1,(TRUNC(Courses!Q164)&lt;&gt;Courses!Q164)), "Row "&amp;Courses!$A164&amp;", "&amp;AP$9&amp;", "&amp;AP$10&amp;"; ","")</f>
        <v/>
      </c>
      <c r="AQ170" s="1593" t="str">
        <f>IF(AND($V$9=1,(TRUNC(Courses!R164)&lt;&gt;Courses!R164)), "Row "&amp;Courses!$A164&amp;", "&amp;AQ$9&amp;", "&amp;AQ$10&amp;", "&amp;AQ$11&amp;"; ","")</f>
        <v/>
      </c>
      <c r="AR170" t="str">
        <f>IF(AND($V$9=1,(TRUNC(Courses!S164)&lt;&gt;Courses!S164)), "Row "&amp;Courses!$A164&amp;", "&amp;AR$9&amp;", "&amp;AR$10&amp;", "&amp;AR$11&amp;"; ","")</f>
        <v/>
      </c>
      <c r="AS170" t="str">
        <f>IF(AND($V$9=1,(TRUNC(Courses!T164)&lt;&gt;Courses!T164)), "Row "&amp;Courses!$A164&amp;", "&amp;AS$9&amp;", "&amp;AS$10&amp;", "&amp;AS$11&amp;"; ","")</f>
        <v/>
      </c>
      <c r="AT170" t="str">
        <f>IF(AND($V$9=1,(TRUNC(Courses!U164)&lt;&gt;Courses!U164)), "Row "&amp;Courses!$A164&amp;", "&amp;AT$9&amp;", "&amp;AT$10&amp;", "&amp;AT$11&amp;"; ","")</f>
        <v/>
      </c>
      <c r="AU170" s="2120" t="str">
        <f>IF(AND($V$9=1,(TRUNC(Courses!V164)&lt;&gt;Courses!V164)), "Row "&amp;Courses!$A164&amp;", "&amp;AU$9&amp;", "&amp;AU$10&amp;"; ","")</f>
        <v/>
      </c>
      <c r="AV170" s="1593" t="str">
        <f>IF(AND($V$9=1,(TRUNC(Courses!W164)&lt;&gt;Courses!W164)), "Row "&amp;Courses!$A164&amp;", "&amp;AV$9&amp;", "&amp;AV$10&amp;", "&amp;AV$11&amp;"; ","")</f>
        <v/>
      </c>
      <c r="AW170" t="str">
        <f>IF(AND($V$9=1,(TRUNC(Courses!X164)&lt;&gt;Courses!X164)), "Row "&amp;Courses!$A164&amp;", "&amp;AW$9&amp;", "&amp;AW$10&amp;", "&amp;AW$11&amp;"; ","")</f>
        <v/>
      </c>
      <c r="AX170" t="str">
        <f>IF(AND($V$9=1,(TRUNC(Courses!Y164)&lt;&gt;Courses!Y164)), "Row "&amp;Courses!$A164&amp;", "&amp;AX$9&amp;", "&amp;AX$10&amp;", "&amp;AX$11&amp;"; ","")</f>
        <v/>
      </c>
      <c r="AY170" t="str">
        <f>IF(AND($V$9=1,(TRUNC(Courses!Z164)&lt;&gt;Courses!Z164)), "Row "&amp;Courses!$A164&amp;", "&amp;AY$9&amp;", "&amp;AY$10&amp;", "&amp;AY$11&amp;"; ","")</f>
        <v/>
      </c>
      <c r="AZ170" s="2120" t="str">
        <f>IF(AND($V$9=1,(TRUNC(Courses!AA164)&lt;&gt;Courses!AA164)), "Row "&amp;Courses!$A164&amp;", "&amp;AZ$9&amp;", "&amp;AZ$10&amp;"; ","")</f>
        <v/>
      </c>
      <c r="BB170" s="118"/>
      <c r="BC170" s="3">
        <v>151</v>
      </c>
      <c r="BD170" s="1593" t="str">
        <f>IF(AND($W$9=1,Courses!M164&lt;0), "Row "&amp;Courses!$A164&amp;", "&amp;BD$9&amp;", "&amp;BD$10&amp;", "&amp;BD$11&amp;"; ","")</f>
        <v/>
      </c>
      <c r="BE170" t="str">
        <f>IF(AND($W$9=1,Courses!N164&lt;0), "Row "&amp;Courses!$A164&amp;", "&amp;BE$9&amp;", "&amp;BE$10&amp;", "&amp;BE$11&amp;"; ","")</f>
        <v/>
      </c>
      <c r="BF170" t="str">
        <f>IF(AND($W$9=1,Courses!O164&lt;0), "Row "&amp;Courses!$A164&amp;", "&amp;BF$9&amp;", "&amp;BF$10&amp;", "&amp;BF$11&amp;"; ","")</f>
        <v/>
      </c>
      <c r="BG170" t="str">
        <f>IF(AND($W$9=1,Courses!P164&lt;0), "Row "&amp;Courses!$A164&amp;", "&amp;BG$9&amp;", "&amp;BG$10&amp;", "&amp;BG$11&amp;"; ","")</f>
        <v/>
      </c>
      <c r="BH170" s="2120" t="str">
        <f>IF(AND($W$9=1,Courses!Q164&lt;0), "Row "&amp;Courses!$A164&amp;", "&amp;BH$9&amp;", "&amp;BH$10&amp;"; ","")</f>
        <v/>
      </c>
      <c r="BI170" s="1593" t="str">
        <f>IF(AND($W$9=1,Courses!R164&lt;0), "Row "&amp;Courses!$A164&amp;", "&amp;BI$9&amp;", "&amp;BI$10&amp;", "&amp;BI$11&amp;"; ","")</f>
        <v/>
      </c>
      <c r="BJ170" t="str">
        <f>IF(AND($W$9=1,Courses!S164&lt;0), "Row "&amp;Courses!$A164&amp;", "&amp;BJ$9&amp;", "&amp;BJ$10&amp;", "&amp;BJ$11&amp;"; ","")</f>
        <v/>
      </c>
      <c r="BK170" t="str">
        <f>IF(AND($W$9=1,Courses!T164&lt;0), "Row "&amp;Courses!$A164&amp;", "&amp;BK$9&amp;", "&amp;BK$10&amp;", "&amp;BK$11&amp;"; ","")</f>
        <v/>
      </c>
      <c r="BL170" t="str">
        <f>IF(AND($W$9=1,Courses!U164&lt;0), "Row "&amp;Courses!$A164&amp;", "&amp;BL$9&amp;", "&amp;BL$10&amp;", "&amp;BL$11&amp;"; ","")</f>
        <v/>
      </c>
      <c r="BM170" s="2120" t="str">
        <f>IF(AND($W$9=1,Courses!V164&lt;0), "Row "&amp;Courses!$A164&amp;", "&amp;BM$9&amp;", "&amp;BM$10&amp;"; ","")</f>
        <v/>
      </c>
      <c r="BN170" t="str">
        <f>IF(AND($W$9=1,Courses!W164&lt;0), "Row "&amp;Courses!$A164&amp;", "&amp;BN$9&amp;", "&amp;BN$10&amp;", "&amp;BN$11&amp;"; ","")</f>
        <v/>
      </c>
      <c r="BO170" t="str">
        <f>IF(AND($W$9=1,Courses!X164&lt;0), "Row "&amp;Courses!$A164&amp;", "&amp;BO$9&amp;", "&amp;BO$10&amp;", "&amp;BO$11&amp;"; ","")</f>
        <v/>
      </c>
      <c r="BP170" t="str">
        <f>IF(AND($W$9=1,Courses!Y164&lt;0), "Row "&amp;Courses!$A164&amp;", "&amp;BP$9&amp;", "&amp;BP$10&amp;", "&amp;BP$11&amp;"; ","")</f>
        <v/>
      </c>
      <c r="BQ170" t="str">
        <f>IF(AND($W$9=1,Courses!Z164&lt;0), "Row "&amp;Courses!$A164&amp;", "&amp;BQ$9&amp;", "&amp;BQ$10&amp;", "&amp;BQ$11&amp;"; ","")</f>
        <v/>
      </c>
      <c r="BR170" s="2120" t="str">
        <f>IF(AND($W$9=1,Courses!AA164&lt;0), "Row "&amp;Courses!$A164&amp;", "&amp;BR$9&amp;", "&amp;BR$10&amp;"; ","")</f>
        <v/>
      </c>
      <c r="BT170" s="3">
        <v>151</v>
      </c>
      <c r="BU170" s="40">
        <f>IF(AND($X$9=1,Courses!B164="",Courses!F164="",Courses!H164="",Courses!J164="",Courses!K164="",Courses!L164="",Courses!M164=0,Courses!N164=0,Courses!O164=0,Courses!P164=0,Courses!Q164=0,Courses!R164=0,Courses!S164=0,Courses!T164=0,Courses!U164=0,Courses!V164=0,Courses!W164=0,Courses!X164=0,Courses!Y164=0,Courses!Z164=0,Courses!AA164=0),0,1)</f>
        <v>0</v>
      </c>
      <c r="BV170" s="40">
        <f>IF(AND(BU170=0,SUM(BU171:$BU$219)&gt;0),1,0)</f>
        <v>0</v>
      </c>
      <c r="BW170" s="1592" t="str">
        <f>IF(BV170=1,"Row "&amp;Courses!A164&amp;"; ","")</f>
        <v/>
      </c>
      <c r="BX170" s="17"/>
      <c r="BZ170" s="1592" t="str">
        <f>IF(AND($Y$9=1,Courses!B164&lt;&gt;"",SUM(Courses!M164:AA164)=0),"Row "&amp;Courses!A164&amp;"; ","")</f>
        <v/>
      </c>
      <c r="CA170" s="17"/>
      <c r="CC170" s="1592" t="str">
        <f>IF(AND($Z$9=1,Courses!AD164=1,(LEN(Courses!AB164)&gt;200)),"Row "&amp;Courses!A164&amp;"; ","")</f>
        <v/>
      </c>
      <c r="CE170" s="131"/>
      <c r="CG170" s="1593" t="str">
        <f>IF(AND($AD$9=1,Courses!E164&lt;&gt;"",Courses!F164&lt;&gt;"",Courses!F164=0,SUM(Courses!H164,Courses!J164)=1),"Row "&amp;Courses!A164&amp;", "&amp;Courses!$F$10&amp;"; ","")</f>
        <v/>
      </c>
      <c r="CH170" t="str">
        <f>IF(AND($AD$9=1,Courses!G164&lt;&gt;"",Courses!H164&lt;&gt;"",Courses!H164=0,SUM(Courses!J164,Courses!F164)=1),"Row "&amp;Courses!A164&amp;", "&amp;Courses!$H$10&amp;"; ","")</f>
        <v/>
      </c>
      <c r="CI170" s="183" t="str">
        <f>IF(AND($AD$9=1,Courses!I164&lt;&gt;"",Courses!J164&lt;&gt;"",Courses!J164=0, SUM(Courses!H164,Courses!F164)=1),"Row "&amp;Courses!A164&amp;", "&amp;Courses!$J$10&amp;"; ","")</f>
        <v/>
      </c>
      <c r="CJ170" s="180"/>
      <c r="CK170" s="181"/>
      <c r="CL170" s="1592" t="str">
        <f>IF(AND(Courses!B164&lt;&gt;"",ISNA(VLOOKUP(Courses!C164,CourseInfo,2,FALSE))=FALSE,COUNTIF(Dummy,Courses!C164)&lt;&gt;1),VLOOKUP(Courses!C164,CourseInfo,6,FALSE),"")</f>
        <v/>
      </c>
      <c r="CM170" s="1592" t="str">
        <f>IF(AND($AE$9=1,Courses!B164&lt;&gt;"",'Courses Valid'!AG170="",COUNTIF(Dummy,Courses!C164)&lt;&gt;1),IF(Courses!K164&lt;&gt;'Courses Valid'!CL170,"Row "&amp;Courses!A164&amp;", Level on LARS is "&amp;'Courses Valid'!CL170&amp;"; ",""),"")</f>
        <v/>
      </c>
      <c r="CN170" s="131"/>
    </row>
    <row r="171" spans="3:92" x14ac:dyDescent="0.35">
      <c r="C171" s="1591">
        <f t="shared" si="4"/>
        <v>0</v>
      </c>
      <c r="D171" s="41"/>
      <c r="E171" s="41"/>
      <c r="F171" s="118"/>
      <c r="G171" s="1592" t="str">
        <f>IF(SUMPRODUCT(--(CourseAims=Courses!$C165))=1,"",IF(AND($N$9=1,Courses!$C165&lt;&gt;""),"Row "&amp;Courses!A165&amp;" (invalid); ",""))</f>
        <v/>
      </c>
      <c r="H171" s="1592" t="str">
        <f>IF(AND($O$9=1,Courses!B165="",OR(Courses!F165&lt;&gt;"",Courses!H165&lt;&gt;"",Courses!J165&lt;&gt;"",Courses!K165&lt;&gt;"",Courses!L165&lt;&gt;"",Courses!M165&lt;&gt;0,Courses!N165&lt;&gt;0,Courses!O165&lt;&gt;0,Courses!P165&lt;&gt;0,Courses!Q165&lt;&gt;0,Courses!R165&lt;&gt;0,Courses!S165&lt;&gt;0,Courses!T165&lt;&gt;0,Courses!U165&lt;&gt;0,Courses!V165&lt;&gt;0,Courses!W165&lt;&gt;0,Courses!X165&lt;&gt;0,Courses!Y165&lt;&gt;0,Courses!Z165&lt;&gt;0,Courses!AA165&lt;&gt;0)),"Row "&amp;Courses!A165&amp;" (none); ","")</f>
        <v/>
      </c>
      <c r="I171" s="1596"/>
      <c r="K171" s="1592" t="str">
        <f>Courses!B165&amp;Courses!K165&amp;Courses!L165</f>
        <v/>
      </c>
      <c r="L171" s="1592" t="str">
        <f>IF(AND($P$9=1,Courses!$B165&lt;&gt;"",COUNTIF(Dummy,Courses!$C165)&lt;&gt;1),IF(SUMPRODUCT(--($K$20:$K$219=$K171))&gt;1,"Row "&amp;Courses!$A165&amp;"; ",""),"")</f>
        <v/>
      </c>
      <c r="N171" s="118"/>
      <c r="O171" s="1593" t="str">
        <f>IF(AND($Q$9=1,Courses!E165&lt;&gt;"",Courses!F165=""),"Row "&amp;Courses!A165&amp;", "&amp;Courses!$E$10&amp;"; ","")</f>
        <v/>
      </c>
      <c r="P171" t="str">
        <f>IF(AND($Q$9=1,Courses!G165&lt;&gt;"",Courses!H165=""),"Row "&amp;Courses!A165&amp;", "&amp;Courses!$G$10&amp;"; ","")</f>
        <v/>
      </c>
      <c r="Q171" s="183" t="str">
        <f>IF(AND($Q$9=1,Courses!I165&lt;&gt;"",Courses!J165=""),"Row "&amp;Courses!A165&amp;", "&amp;Courses!$I$10&amp;"; ","")</f>
        <v/>
      </c>
      <c r="T171" s="118"/>
      <c r="U171" s="1593" t="str">
        <f>IF(AND($R$9=1,Courses!B165&lt;&gt;"",Courses!E165&lt;&gt;"",Courses!G165="",Courses!I165="",Courses!F165&lt;&gt;1),"Row "&amp;Courses!A165&amp;"; ","")</f>
        <v/>
      </c>
      <c r="V171" t="str">
        <f>IF(AND($R$9=1,Courses!B165&lt;&gt;"",Courses!I165="",Courses!F165&lt;&gt;"",Courses!G165&lt;&gt;"",Courses!H165&lt;&gt;""),IF(OR((Courses!F165+Courses!H165)&lt;&gt;1),"Row "&amp;Courses!A165&amp;"; ",""),"")</f>
        <v/>
      </c>
      <c r="W171" s="183" t="str">
        <f>IF(AND($R$9=1,Courses!B165&lt;&gt;"",Courses!I165&lt;&gt;"",Courses!J165&lt;&gt;"",Courses!H165&lt;&gt;"",Courses!G165&lt;&gt;"",Courses!F165&lt;&gt;""),IF(OR((Courses!F165+Courses!H165+Courses!J165)&lt;&gt;1),"Row "&amp;Courses!A165&amp;"; ",""),"")</f>
        <v/>
      </c>
      <c r="Y171" s="1592" t="str">
        <f>IF(AND($R$9=1,Courses!E165&lt;&gt;"",U171="",V171="",W171="",SUM(Courses!F165,Courses!H165,Courses!J165)&lt;&gt;1),"Row "&amp;Courses!A165&amp;"; ","")</f>
        <v/>
      </c>
      <c r="AA171" s="118"/>
      <c r="AB171" s="1593" t="str">
        <f>IF(AND($S$9=1,Courses!B165&lt;&gt;"",Courses!E165&lt;&gt;"",Courses!F165&lt;&gt;""),IF((TRUNC(Courses!F165*100)&lt;&gt;Courses!F165*100),"Row "&amp;Courses!A165&amp;", "&amp;Courses!$F$10&amp;"; ",""),"")</f>
        <v/>
      </c>
      <c r="AC171" t="str">
        <f>IF(AND($S$9=1,Courses!B165&lt;&gt;"",Courses!G165&lt;&gt;"",Courses!H165&lt;&gt;""),IF((TRUNC(Courses!H165*100)&lt;&gt;Courses!H165*100),"Row "&amp;Courses!A165&amp;", "&amp;Courses!$H$10&amp;"; ",""),"")</f>
        <v/>
      </c>
      <c r="AD171" s="183" t="str">
        <f>IF(AND($S$9=1,Courses!B165&lt;&gt;"",Courses!I165&lt;&gt;"",Courses!J165&lt;&gt;""),IF((TRUNC(Courses!J165*100)&lt;&gt;Courses!J165*100),"Row "&amp;Courses!A165&amp;", "&amp;Courses!$J$10&amp;"; ",""),"")</f>
        <v/>
      </c>
      <c r="AF171" s="118"/>
      <c r="AG171" s="1593" t="str">
        <f>IF(AND($T$9=1,G171="",Courses!B165&lt;&gt;"",Courses!K165&lt;&gt;$B$9,Courses!K165&lt;&gt;$B$10,Courses!K165&lt;&gt;$B$11,Courses!K165&lt;&gt;$B$12,Courses!K165&lt;&gt;$B$13,Courses!K165&lt;&gt;$B$14),"Row "&amp;Courses!A165&amp;"; ","")</f>
        <v/>
      </c>
      <c r="AH171" s="1592" t="str">
        <f>IF(AND($U$9=1,G171="",Courses!B165&lt;&gt;"",Courses!L165&lt;&gt;"Standard",Courses!L165&lt;&gt;"Long"),"Row "&amp;Courses!A165&amp;"; ","")</f>
        <v/>
      </c>
      <c r="AJ171" s="118"/>
      <c r="AK171" s="3">
        <v>152</v>
      </c>
      <c r="AL171" s="1593" t="str">
        <f>IF(AND($V$9=1,(TRUNC(Courses!M165)&lt;&gt;Courses!M165)), "Row "&amp;Courses!$A165&amp;", "&amp;AL$9&amp;", "&amp;AL$10&amp;", "&amp;AL$11&amp;"; ","")</f>
        <v/>
      </c>
      <c r="AM171" t="str">
        <f>IF(AND($V$9=1,(TRUNC(Courses!N165)&lt;&gt;Courses!N165)), "Row "&amp;Courses!$A165&amp;", "&amp;AM$9&amp;", "&amp;AM$10&amp;", "&amp;AM$11&amp;"; ","")</f>
        <v/>
      </c>
      <c r="AN171" t="str">
        <f>IF(AND($V$9=1,(TRUNC(Courses!O165)&lt;&gt;Courses!O165)), "Row "&amp;Courses!$A165&amp;", "&amp;AN$9&amp;", "&amp;AN$10&amp;", "&amp;AN$11&amp;"; ","")</f>
        <v/>
      </c>
      <c r="AO171" t="str">
        <f>IF(AND($V$9=1,(TRUNC(Courses!P165)&lt;&gt;Courses!P165)), "Row "&amp;Courses!$A165&amp;", "&amp;AO$9&amp;", "&amp;AO$10&amp;", "&amp;AO$11&amp;"; ","")</f>
        <v/>
      </c>
      <c r="AP171" s="2120" t="str">
        <f>IF(AND($V$9=1,(TRUNC(Courses!Q165)&lt;&gt;Courses!Q165)), "Row "&amp;Courses!$A165&amp;", "&amp;AP$9&amp;", "&amp;AP$10&amp;"; ","")</f>
        <v/>
      </c>
      <c r="AQ171" s="1593" t="str">
        <f>IF(AND($V$9=1,(TRUNC(Courses!R165)&lt;&gt;Courses!R165)), "Row "&amp;Courses!$A165&amp;", "&amp;AQ$9&amp;", "&amp;AQ$10&amp;", "&amp;AQ$11&amp;"; ","")</f>
        <v/>
      </c>
      <c r="AR171" t="str">
        <f>IF(AND($V$9=1,(TRUNC(Courses!S165)&lt;&gt;Courses!S165)), "Row "&amp;Courses!$A165&amp;", "&amp;AR$9&amp;", "&amp;AR$10&amp;", "&amp;AR$11&amp;"; ","")</f>
        <v/>
      </c>
      <c r="AS171" t="str">
        <f>IF(AND($V$9=1,(TRUNC(Courses!T165)&lt;&gt;Courses!T165)), "Row "&amp;Courses!$A165&amp;", "&amp;AS$9&amp;", "&amp;AS$10&amp;", "&amp;AS$11&amp;"; ","")</f>
        <v/>
      </c>
      <c r="AT171" t="str">
        <f>IF(AND($V$9=1,(TRUNC(Courses!U165)&lt;&gt;Courses!U165)), "Row "&amp;Courses!$A165&amp;", "&amp;AT$9&amp;", "&amp;AT$10&amp;", "&amp;AT$11&amp;"; ","")</f>
        <v/>
      </c>
      <c r="AU171" s="2120" t="str">
        <f>IF(AND($V$9=1,(TRUNC(Courses!V165)&lt;&gt;Courses!V165)), "Row "&amp;Courses!$A165&amp;", "&amp;AU$9&amp;", "&amp;AU$10&amp;"; ","")</f>
        <v/>
      </c>
      <c r="AV171" s="1593" t="str">
        <f>IF(AND($V$9=1,(TRUNC(Courses!W165)&lt;&gt;Courses!W165)), "Row "&amp;Courses!$A165&amp;", "&amp;AV$9&amp;", "&amp;AV$10&amp;", "&amp;AV$11&amp;"; ","")</f>
        <v/>
      </c>
      <c r="AW171" t="str">
        <f>IF(AND($V$9=1,(TRUNC(Courses!X165)&lt;&gt;Courses!X165)), "Row "&amp;Courses!$A165&amp;", "&amp;AW$9&amp;", "&amp;AW$10&amp;", "&amp;AW$11&amp;"; ","")</f>
        <v/>
      </c>
      <c r="AX171" t="str">
        <f>IF(AND($V$9=1,(TRUNC(Courses!Y165)&lt;&gt;Courses!Y165)), "Row "&amp;Courses!$A165&amp;", "&amp;AX$9&amp;", "&amp;AX$10&amp;", "&amp;AX$11&amp;"; ","")</f>
        <v/>
      </c>
      <c r="AY171" t="str">
        <f>IF(AND($V$9=1,(TRUNC(Courses!Z165)&lt;&gt;Courses!Z165)), "Row "&amp;Courses!$A165&amp;", "&amp;AY$9&amp;", "&amp;AY$10&amp;", "&amp;AY$11&amp;"; ","")</f>
        <v/>
      </c>
      <c r="AZ171" s="2120" t="str">
        <f>IF(AND($V$9=1,(TRUNC(Courses!AA165)&lt;&gt;Courses!AA165)), "Row "&amp;Courses!$A165&amp;", "&amp;AZ$9&amp;", "&amp;AZ$10&amp;"; ","")</f>
        <v/>
      </c>
      <c r="BB171" s="118"/>
      <c r="BC171" s="3">
        <v>152</v>
      </c>
      <c r="BD171" s="1593" t="str">
        <f>IF(AND($W$9=1,Courses!M165&lt;0), "Row "&amp;Courses!$A165&amp;", "&amp;BD$9&amp;", "&amp;BD$10&amp;", "&amp;BD$11&amp;"; ","")</f>
        <v/>
      </c>
      <c r="BE171" t="str">
        <f>IF(AND($W$9=1,Courses!N165&lt;0), "Row "&amp;Courses!$A165&amp;", "&amp;BE$9&amp;", "&amp;BE$10&amp;", "&amp;BE$11&amp;"; ","")</f>
        <v/>
      </c>
      <c r="BF171" t="str">
        <f>IF(AND($W$9=1,Courses!O165&lt;0), "Row "&amp;Courses!$A165&amp;", "&amp;BF$9&amp;", "&amp;BF$10&amp;", "&amp;BF$11&amp;"; ","")</f>
        <v/>
      </c>
      <c r="BG171" t="str">
        <f>IF(AND($W$9=1,Courses!P165&lt;0), "Row "&amp;Courses!$A165&amp;", "&amp;BG$9&amp;", "&amp;BG$10&amp;", "&amp;BG$11&amp;"; ","")</f>
        <v/>
      </c>
      <c r="BH171" s="2120" t="str">
        <f>IF(AND($W$9=1,Courses!Q165&lt;0), "Row "&amp;Courses!$A165&amp;", "&amp;BH$9&amp;", "&amp;BH$10&amp;"; ","")</f>
        <v/>
      </c>
      <c r="BI171" s="1593" t="str">
        <f>IF(AND($W$9=1,Courses!R165&lt;0), "Row "&amp;Courses!$A165&amp;", "&amp;BI$9&amp;", "&amp;BI$10&amp;", "&amp;BI$11&amp;"; ","")</f>
        <v/>
      </c>
      <c r="BJ171" t="str">
        <f>IF(AND($W$9=1,Courses!S165&lt;0), "Row "&amp;Courses!$A165&amp;", "&amp;BJ$9&amp;", "&amp;BJ$10&amp;", "&amp;BJ$11&amp;"; ","")</f>
        <v/>
      </c>
      <c r="BK171" t="str">
        <f>IF(AND($W$9=1,Courses!T165&lt;0), "Row "&amp;Courses!$A165&amp;", "&amp;BK$9&amp;", "&amp;BK$10&amp;", "&amp;BK$11&amp;"; ","")</f>
        <v/>
      </c>
      <c r="BL171" t="str">
        <f>IF(AND($W$9=1,Courses!U165&lt;0), "Row "&amp;Courses!$A165&amp;", "&amp;BL$9&amp;", "&amp;BL$10&amp;", "&amp;BL$11&amp;"; ","")</f>
        <v/>
      </c>
      <c r="BM171" s="2120" t="str">
        <f>IF(AND($W$9=1,Courses!V165&lt;0), "Row "&amp;Courses!$A165&amp;", "&amp;BM$9&amp;", "&amp;BM$10&amp;"; ","")</f>
        <v/>
      </c>
      <c r="BN171" t="str">
        <f>IF(AND($W$9=1,Courses!W165&lt;0), "Row "&amp;Courses!$A165&amp;", "&amp;BN$9&amp;", "&amp;BN$10&amp;", "&amp;BN$11&amp;"; ","")</f>
        <v/>
      </c>
      <c r="BO171" t="str">
        <f>IF(AND($W$9=1,Courses!X165&lt;0), "Row "&amp;Courses!$A165&amp;", "&amp;BO$9&amp;", "&amp;BO$10&amp;", "&amp;BO$11&amp;"; ","")</f>
        <v/>
      </c>
      <c r="BP171" t="str">
        <f>IF(AND($W$9=1,Courses!Y165&lt;0), "Row "&amp;Courses!$A165&amp;", "&amp;BP$9&amp;", "&amp;BP$10&amp;", "&amp;BP$11&amp;"; ","")</f>
        <v/>
      </c>
      <c r="BQ171" t="str">
        <f>IF(AND($W$9=1,Courses!Z165&lt;0), "Row "&amp;Courses!$A165&amp;", "&amp;BQ$9&amp;", "&amp;BQ$10&amp;", "&amp;BQ$11&amp;"; ","")</f>
        <v/>
      </c>
      <c r="BR171" s="2120" t="str">
        <f>IF(AND($W$9=1,Courses!AA165&lt;0), "Row "&amp;Courses!$A165&amp;", "&amp;BR$9&amp;", "&amp;BR$10&amp;"; ","")</f>
        <v/>
      </c>
      <c r="BT171" s="3">
        <v>152</v>
      </c>
      <c r="BU171" s="40">
        <f>IF(AND($X$9=1,Courses!B165="",Courses!F165="",Courses!H165="",Courses!J165="",Courses!K165="",Courses!L165="",Courses!M165=0,Courses!N165=0,Courses!O165=0,Courses!P165=0,Courses!Q165=0,Courses!R165=0,Courses!S165=0,Courses!T165=0,Courses!U165=0,Courses!V165=0,Courses!W165=0,Courses!X165=0,Courses!Y165=0,Courses!Z165=0,Courses!AA165=0),0,1)</f>
        <v>0</v>
      </c>
      <c r="BV171" s="40">
        <f>IF(AND(BU171=0,SUM(BU172:$BU$219)&gt;0),1,0)</f>
        <v>0</v>
      </c>
      <c r="BW171" s="1592" t="str">
        <f>IF(BV171=1,"Row "&amp;Courses!A165&amp;"; ","")</f>
        <v/>
      </c>
      <c r="BX171" s="17"/>
      <c r="BZ171" s="1592" t="str">
        <f>IF(AND($Y$9=1,Courses!B165&lt;&gt;"",SUM(Courses!M165:AA165)=0),"Row "&amp;Courses!A165&amp;"; ","")</f>
        <v/>
      </c>
      <c r="CA171" s="17"/>
      <c r="CC171" s="1592" t="str">
        <f>IF(AND($Z$9=1,Courses!AD165=1,(LEN(Courses!AB165)&gt;200)),"Row "&amp;Courses!A165&amp;"; ","")</f>
        <v/>
      </c>
      <c r="CE171" s="131"/>
      <c r="CG171" s="1593" t="str">
        <f>IF(AND($AD$9=1,Courses!E165&lt;&gt;"",Courses!F165&lt;&gt;"",Courses!F165=0,SUM(Courses!H165,Courses!J165)=1),"Row "&amp;Courses!A165&amp;", "&amp;Courses!$F$10&amp;"; ","")</f>
        <v/>
      </c>
      <c r="CH171" t="str">
        <f>IF(AND($AD$9=1,Courses!G165&lt;&gt;"",Courses!H165&lt;&gt;"",Courses!H165=0,SUM(Courses!J165,Courses!F165)=1),"Row "&amp;Courses!A165&amp;", "&amp;Courses!$H$10&amp;"; ","")</f>
        <v/>
      </c>
      <c r="CI171" s="183" t="str">
        <f>IF(AND($AD$9=1,Courses!I165&lt;&gt;"",Courses!J165&lt;&gt;"",Courses!J165=0, SUM(Courses!H165,Courses!F165)=1),"Row "&amp;Courses!A165&amp;", "&amp;Courses!$J$10&amp;"; ","")</f>
        <v/>
      </c>
      <c r="CJ171" s="180"/>
      <c r="CK171" s="181"/>
      <c r="CL171" s="1592" t="str">
        <f>IF(AND(Courses!B165&lt;&gt;"",ISNA(VLOOKUP(Courses!C165,CourseInfo,2,FALSE))=FALSE,COUNTIF(Dummy,Courses!C165)&lt;&gt;1),VLOOKUP(Courses!C165,CourseInfo,6,FALSE),"")</f>
        <v/>
      </c>
      <c r="CM171" s="1592" t="str">
        <f>IF(AND($AE$9=1,Courses!B165&lt;&gt;"",'Courses Valid'!AG171="",COUNTIF(Dummy,Courses!C165)&lt;&gt;1),IF(Courses!K165&lt;&gt;'Courses Valid'!CL171,"Row "&amp;Courses!A165&amp;", Level on LARS is "&amp;'Courses Valid'!CL171&amp;"; ",""),"")</f>
        <v/>
      </c>
      <c r="CN171" s="131"/>
    </row>
    <row r="172" spans="3:92" x14ac:dyDescent="0.35">
      <c r="C172" s="1591">
        <f t="shared" si="4"/>
        <v>0</v>
      </c>
      <c r="D172" s="41"/>
      <c r="E172" s="41"/>
      <c r="F172" s="118"/>
      <c r="G172" s="1592" t="str">
        <f>IF(SUMPRODUCT(--(CourseAims=Courses!$C166))=1,"",IF(AND($N$9=1,Courses!$C166&lt;&gt;""),"Row "&amp;Courses!A166&amp;" (invalid); ",""))</f>
        <v/>
      </c>
      <c r="H172" s="1592" t="str">
        <f>IF(AND($O$9=1,Courses!B166="",OR(Courses!F166&lt;&gt;"",Courses!H166&lt;&gt;"",Courses!J166&lt;&gt;"",Courses!K166&lt;&gt;"",Courses!L166&lt;&gt;"",Courses!M166&lt;&gt;0,Courses!N166&lt;&gt;0,Courses!O166&lt;&gt;0,Courses!P166&lt;&gt;0,Courses!Q166&lt;&gt;0,Courses!R166&lt;&gt;0,Courses!S166&lt;&gt;0,Courses!T166&lt;&gt;0,Courses!U166&lt;&gt;0,Courses!V166&lt;&gt;0,Courses!W166&lt;&gt;0,Courses!X166&lt;&gt;0,Courses!Y166&lt;&gt;0,Courses!Z166&lt;&gt;0,Courses!AA166&lt;&gt;0)),"Row "&amp;Courses!A166&amp;" (none); ","")</f>
        <v/>
      </c>
      <c r="I172" s="1596"/>
      <c r="K172" s="1592" t="str">
        <f>Courses!B166&amp;Courses!K166&amp;Courses!L166</f>
        <v/>
      </c>
      <c r="L172" s="1592" t="str">
        <f>IF(AND($P$9=1,Courses!$B166&lt;&gt;"",COUNTIF(Dummy,Courses!$C166)&lt;&gt;1),IF(SUMPRODUCT(--($K$20:$K$219=$K172))&gt;1,"Row "&amp;Courses!$A166&amp;"; ",""),"")</f>
        <v/>
      </c>
      <c r="N172" s="118"/>
      <c r="O172" s="1593" t="str">
        <f>IF(AND($Q$9=1,Courses!E166&lt;&gt;"",Courses!F166=""),"Row "&amp;Courses!A166&amp;", "&amp;Courses!$E$10&amp;"; ","")</f>
        <v/>
      </c>
      <c r="P172" t="str">
        <f>IF(AND($Q$9=1,Courses!G166&lt;&gt;"",Courses!H166=""),"Row "&amp;Courses!A166&amp;", "&amp;Courses!$G$10&amp;"; ","")</f>
        <v/>
      </c>
      <c r="Q172" s="183" t="str">
        <f>IF(AND($Q$9=1,Courses!I166&lt;&gt;"",Courses!J166=""),"Row "&amp;Courses!A166&amp;", "&amp;Courses!$I$10&amp;"; ","")</f>
        <v/>
      </c>
      <c r="T172" s="118"/>
      <c r="U172" s="1593" t="str">
        <f>IF(AND($R$9=1,Courses!B166&lt;&gt;"",Courses!E166&lt;&gt;"",Courses!G166="",Courses!I166="",Courses!F166&lt;&gt;1),"Row "&amp;Courses!A166&amp;"; ","")</f>
        <v/>
      </c>
      <c r="V172" t="str">
        <f>IF(AND($R$9=1,Courses!B166&lt;&gt;"",Courses!I166="",Courses!F166&lt;&gt;"",Courses!G166&lt;&gt;"",Courses!H166&lt;&gt;""),IF(OR((Courses!F166+Courses!H166)&lt;&gt;1),"Row "&amp;Courses!A166&amp;"; ",""),"")</f>
        <v/>
      </c>
      <c r="W172" s="183" t="str">
        <f>IF(AND($R$9=1,Courses!B166&lt;&gt;"",Courses!I166&lt;&gt;"",Courses!J166&lt;&gt;"",Courses!H166&lt;&gt;"",Courses!G166&lt;&gt;"",Courses!F166&lt;&gt;""),IF(OR((Courses!F166+Courses!H166+Courses!J166)&lt;&gt;1),"Row "&amp;Courses!A166&amp;"; ",""),"")</f>
        <v/>
      </c>
      <c r="Y172" s="1592" t="str">
        <f>IF(AND($R$9=1,Courses!E166&lt;&gt;"",U172="",V172="",W172="",SUM(Courses!F166,Courses!H166,Courses!J166)&lt;&gt;1),"Row "&amp;Courses!A166&amp;"; ","")</f>
        <v/>
      </c>
      <c r="AA172" s="118"/>
      <c r="AB172" s="1593" t="str">
        <f>IF(AND($S$9=1,Courses!B166&lt;&gt;"",Courses!E166&lt;&gt;"",Courses!F166&lt;&gt;""),IF((TRUNC(Courses!F166*100)&lt;&gt;Courses!F166*100),"Row "&amp;Courses!A166&amp;", "&amp;Courses!$F$10&amp;"; ",""),"")</f>
        <v/>
      </c>
      <c r="AC172" t="str">
        <f>IF(AND($S$9=1,Courses!B166&lt;&gt;"",Courses!G166&lt;&gt;"",Courses!H166&lt;&gt;""),IF((TRUNC(Courses!H166*100)&lt;&gt;Courses!H166*100),"Row "&amp;Courses!A166&amp;", "&amp;Courses!$H$10&amp;"; ",""),"")</f>
        <v/>
      </c>
      <c r="AD172" s="183" t="str">
        <f>IF(AND($S$9=1,Courses!B166&lt;&gt;"",Courses!I166&lt;&gt;"",Courses!J166&lt;&gt;""),IF((TRUNC(Courses!J166*100)&lt;&gt;Courses!J166*100),"Row "&amp;Courses!A166&amp;", "&amp;Courses!$J$10&amp;"; ",""),"")</f>
        <v/>
      </c>
      <c r="AF172" s="118"/>
      <c r="AG172" s="1593" t="str">
        <f>IF(AND($T$9=1,G172="",Courses!B166&lt;&gt;"",Courses!K166&lt;&gt;$B$9,Courses!K166&lt;&gt;$B$10,Courses!K166&lt;&gt;$B$11,Courses!K166&lt;&gt;$B$12,Courses!K166&lt;&gt;$B$13,Courses!K166&lt;&gt;$B$14),"Row "&amp;Courses!A166&amp;"; ","")</f>
        <v/>
      </c>
      <c r="AH172" s="1592" t="str">
        <f>IF(AND($U$9=1,G172="",Courses!B166&lt;&gt;"",Courses!L166&lt;&gt;"Standard",Courses!L166&lt;&gt;"Long"),"Row "&amp;Courses!A166&amp;"; ","")</f>
        <v/>
      </c>
      <c r="AJ172" s="118"/>
      <c r="AK172" s="3">
        <v>153</v>
      </c>
      <c r="AL172" s="1593" t="str">
        <f>IF(AND($V$9=1,(TRUNC(Courses!M166)&lt;&gt;Courses!M166)), "Row "&amp;Courses!$A166&amp;", "&amp;AL$9&amp;", "&amp;AL$10&amp;", "&amp;AL$11&amp;"; ","")</f>
        <v/>
      </c>
      <c r="AM172" t="str">
        <f>IF(AND($V$9=1,(TRUNC(Courses!N166)&lt;&gt;Courses!N166)), "Row "&amp;Courses!$A166&amp;", "&amp;AM$9&amp;", "&amp;AM$10&amp;", "&amp;AM$11&amp;"; ","")</f>
        <v/>
      </c>
      <c r="AN172" t="str">
        <f>IF(AND($V$9=1,(TRUNC(Courses!O166)&lt;&gt;Courses!O166)), "Row "&amp;Courses!$A166&amp;", "&amp;AN$9&amp;", "&amp;AN$10&amp;", "&amp;AN$11&amp;"; ","")</f>
        <v/>
      </c>
      <c r="AO172" t="str">
        <f>IF(AND($V$9=1,(TRUNC(Courses!P166)&lt;&gt;Courses!P166)), "Row "&amp;Courses!$A166&amp;", "&amp;AO$9&amp;", "&amp;AO$10&amp;", "&amp;AO$11&amp;"; ","")</f>
        <v/>
      </c>
      <c r="AP172" s="2120" t="str">
        <f>IF(AND($V$9=1,(TRUNC(Courses!Q166)&lt;&gt;Courses!Q166)), "Row "&amp;Courses!$A166&amp;", "&amp;AP$9&amp;", "&amp;AP$10&amp;"; ","")</f>
        <v/>
      </c>
      <c r="AQ172" s="1593" t="str">
        <f>IF(AND($V$9=1,(TRUNC(Courses!R166)&lt;&gt;Courses!R166)), "Row "&amp;Courses!$A166&amp;", "&amp;AQ$9&amp;", "&amp;AQ$10&amp;", "&amp;AQ$11&amp;"; ","")</f>
        <v/>
      </c>
      <c r="AR172" t="str">
        <f>IF(AND($V$9=1,(TRUNC(Courses!S166)&lt;&gt;Courses!S166)), "Row "&amp;Courses!$A166&amp;", "&amp;AR$9&amp;", "&amp;AR$10&amp;", "&amp;AR$11&amp;"; ","")</f>
        <v/>
      </c>
      <c r="AS172" t="str">
        <f>IF(AND($V$9=1,(TRUNC(Courses!T166)&lt;&gt;Courses!T166)), "Row "&amp;Courses!$A166&amp;", "&amp;AS$9&amp;", "&amp;AS$10&amp;", "&amp;AS$11&amp;"; ","")</f>
        <v/>
      </c>
      <c r="AT172" t="str">
        <f>IF(AND($V$9=1,(TRUNC(Courses!U166)&lt;&gt;Courses!U166)), "Row "&amp;Courses!$A166&amp;", "&amp;AT$9&amp;", "&amp;AT$10&amp;", "&amp;AT$11&amp;"; ","")</f>
        <v/>
      </c>
      <c r="AU172" s="2120" t="str">
        <f>IF(AND($V$9=1,(TRUNC(Courses!V166)&lt;&gt;Courses!V166)), "Row "&amp;Courses!$A166&amp;", "&amp;AU$9&amp;", "&amp;AU$10&amp;"; ","")</f>
        <v/>
      </c>
      <c r="AV172" s="1593" t="str">
        <f>IF(AND($V$9=1,(TRUNC(Courses!W166)&lt;&gt;Courses!W166)), "Row "&amp;Courses!$A166&amp;", "&amp;AV$9&amp;", "&amp;AV$10&amp;", "&amp;AV$11&amp;"; ","")</f>
        <v/>
      </c>
      <c r="AW172" t="str">
        <f>IF(AND($V$9=1,(TRUNC(Courses!X166)&lt;&gt;Courses!X166)), "Row "&amp;Courses!$A166&amp;", "&amp;AW$9&amp;", "&amp;AW$10&amp;", "&amp;AW$11&amp;"; ","")</f>
        <v/>
      </c>
      <c r="AX172" t="str">
        <f>IF(AND($V$9=1,(TRUNC(Courses!Y166)&lt;&gt;Courses!Y166)), "Row "&amp;Courses!$A166&amp;", "&amp;AX$9&amp;", "&amp;AX$10&amp;", "&amp;AX$11&amp;"; ","")</f>
        <v/>
      </c>
      <c r="AY172" t="str">
        <f>IF(AND($V$9=1,(TRUNC(Courses!Z166)&lt;&gt;Courses!Z166)), "Row "&amp;Courses!$A166&amp;", "&amp;AY$9&amp;", "&amp;AY$10&amp;", "&amp;AY$11&amp;"; ","")</f>
        <v/>
      </c>
      <c r="AZ172" s="2120" t="str">
        <f>IF(AND($V$9=1,(TRUNC(Courses!AA166)&lt;&gt;Courses!AA166)), "Row "&amp;Courses!$A166&amp;", "&amp;AZ$9&amp;", "&amp;AZ$10&amp;"; ","")</f>
        <v/>
      </c>
      <c r="BB172" s="118"/>
      <c r="BC172" s="3">
        <v>153</v>
      </c>
      <c r="BD172" s="1593" t="str">
        <f>IF(AND($W$9=1,Courses!M166&lt;0), "Row "&amp;Courses!$A166&amp;", "&amp;BD$9&amp;", "&amp;BD$10&amp;", "&amp;BD$11&amp;"; ","")</f>
        <v/>
      </c>
      <c r="BE172" t="str">
        <f>IF(AND($W$9=1,Courses!N166&lt;0), "Row "&amp;Courses!$A166&amp;", "&amp;BE$9&amp;", "&amp;BE$10&amp;", "&amp;BE$11&amp;"; ","")</f>
        <v/>
      </c>
      <c r="BF172" t="str">
        <f>IF(AND($W$9=1,Courses!O166&lt;0), "Row "&amp;Courses!$A166&amp;", "&amp;BF$9&amp;", "&amp;BF$10&amp;", "&amp;BF$11&amp;"; ","")</f>
        <v/>
      </c>
      <c r="BG172" t="str">
        <f>IF(AND($W$9=1,Courses!P166&lt;0), "Row "&amp;Courses!$A166&amp;", "&amp;BG$9&amp;", "&amp;BG$10&amp;", "&amp;BG$11&amp;"; ","")</f>
        <v/>
      </c>
      <c r="BH172" s="2120" t="str">
        <f>IF(AND($W$9=1,Courses!Q166&lt;0), "Row "&amp;Courses!$A166&amp;", "&amp;BH$9&amp;", "&amp;BH$10&amp;"; ","")</f>
        <v/>
      </c>
      <c r="BI172" s="1593" t="str">
        <f>IF(AND($W$9=1,Courses!R166&lt;0), "Row "&amp;Courses!$A166&amp;", "&amp;BI$9&amp;", "&amp;BI$10&amp;", "&amp;BI$11&amp;"; ","")</f>
        <v/>
      </c>
      <c r="BJ172" t="str">
        <f>IF(AND($W$9=1,Courses!S166&lt;0), "Row "&amp;Courses!$A166&amp;", "&amp;BJ$9&amp;", "&amp;BJ$10&amp;", "&amp;BJ$11&amp;"; ","")</f>
        <v/>
      </c>
      <c r="BK172" t="str">
        <f>IF(AND($W$9=1,Courses!T166&lt;0), "Row "&amp;Courses!$A166&amp;", "&amp;BK$9&amp;", "&amp;BK$10&amp;", "&amp;BK$11&amp;"; ","")</f>
        <v/>
      </c>
      <c r="BL172" t="str">
        <f>IF(AND($W$9=1,Courses!U166&lt;0), "Row "&amp;Courses!$A166&amp;", "&amp;BL$9&amp;", "&amp;BL$10&amp;", "&amp;BL$11&amp;"; ","")</f>
        <v/>
      </c>
      <c r="BM172" s="2120" t="str">
        <f>IF(AND($W$9=1,Courses!V166&lt;0), "Row "&amp;Courses!$A166&amp;", "&amp;BM$9&amp;", "&amp;BM$10&amp;"; ","")</f>
        <v/>
      </c>
      <c r="BN172" t="str">
        <f>IF(AND($W$9=1,Courses!W166&lt;0), "Row "&amp;Courses!$A166&amp;", "&amp;BN$9&amp;", "&amp;BN$10&amp;", "&amp;BN$11&amp;"; ","")</f>
        <v/>
      </c>
      <c r="BO172" t="str">
        <f>IF(AND($W$9=1,Courses!X166&lt;0), "Row "&amp;Courses!$A166&amp;", "&amp;BO$9&amp;", "&amp;BO$10&amp;", "&amp;BO$11&amp;"; ","")</f>
        <v/>
      </c>
      <c r="BP172" t="str">
        <f>IF(AND($W$9=1,Courses!Y166&lt;0), "Row "&amp;Courses!$A166&amp;", "&amp;BP$9&amp;", "&amp;BP$10&amp;", "&amp;BP$11&amp;"; ","")</f>
        <v/>
      </c>
      <c r="BQ172" t="str">
        <f>IF(AND($W$9=1,Courses!Z166&lt;0), "Row "&amp;Courses!$A166&amp;", "&amp;BQ$9&amp;", "&amp;BQ$10&amp;", "&amp;BQ$11&amp;"; ","")</f>
        <v/>
      </c>
      <c r="BR172" s="2120" t="str">
        <f>IF(AND($W$9=1,Courses!AA166&lt;0), "Row "&amp;Courses!$A166&amp;", "&amp;BR$9&amp;", "&amp;BR$10&amp;"; ","")</f>
        <v/>
      </c>
      <c r="BT172" s="3">
        <v>153</v>
      </c>
      <c r="BU172" s="40">
        <f>IF(AND($X$9=1,Courses!B166="",Courses!F166="",Courses!H166="",Courses!J166="",Courses!K166="",Courses!L166="",Courses!M166=0,Courses!N166=0,Courses!O166=0,Courses!P166=0,Courses!Q166=0,Courses!R166=0,Courses!S166=0,Courses!T166=0,Courses!U166=0,Courses!V166=0,Courses!W166=0,Courses!X166=0,Courses!Y166=0,Courses!Z166=0,Courses!AA166=0),0,1)</f>
        <v>0</v>
      </c>
      <c r="BV172" s="40">
        <f>IF(AND(BU172=0,SUM(BU173:$BU$219)&gt;0),1,0)</f>
        <v>0</v>
      </c>
      <c r="BW172" s="1592" t="str">
        <f>IF(BV172=1,"Row "&amp;Courses!A166&amp;"; ","")</f>
        <v/>
      </c>
      <c r="BX172" s="17"/>
      <c r="BZ172" s="1592" t="str">
        <f>IF(AND($Y$9=1,Courses!B166&lt;&gt;"",SUM(Courses!M166:AA166)=0),"Row "&amp;Courses!A166&amp;"; ","")</f>
        <v/>
      </c>
      <c r="CA172" s="17"/>
      <c r="CC172" s="1592" t="str">
        <f>IF(AND($Z$9=1,Courses!AD166=1,(LEN(Courses!AB166)&gt;200)),"Row "&amp;Courses!A166&amp;"; ","")</f>
        <v/>
      </c>
      <c r="CE172" s="131"/>
      <c r="CG172" s="1593" t="str">
        <f>IF(AND($AD$9=1,Courses!E166&lt;&gt;"",Courses!F166&lt;&gt;"",Courses!F166=0,SUM(Courses!H166,Courses!J166)=1),"Row "&amp;Courses!A166&amp;", "&amp;Courses!$F$10&amp;"; ","")</f>
        <v/>
      </c>
      <c r="CH172" t="str">
        <f>IF(AND($AD$9=1,Courses!G166&lt;&gt;"",Courses!H166&lt;&gt;"",Courses!H166=0,SUM(Courses!J166,Courses!F166)=1),"Row "&amp;Courses!A166&amp;", "&amp;Courses!$H$10&amp;"; ","")</f>
        <v/>
      </c>
      <c r="CI172" s="183" t="str">
        <f>IF(AND($AD$9=1,Courses!I166&lt;&gt;"",Courses!J166&lt;&gt;"",Courses!J166=0, SUM(Courses!H166,Courses!F166)=1),"Row "&amp;Courses!A166&amp;", "&amp;Courses!$J$10&amp;"; ","")</f>
        <v/>
      </c>
      <c r="CJ172" s="180"/>
      <c r="CK172" s="181"/>
      <c r="CL172" s="1592" t="str">
        <f>IF(AND(Courses!B166&lt;&gt;"",ISNA(VLOOKUP(Courses!C166,CourseInfo,2,FALSE))=FALSE,COUNTIF(Dummy,Courses!C166)&lt;&gt;1),VLOOKUP(Courses!C166,CourseInfo,6,FALSE),"")</f>
        <v/>
      </c>
      <c r="CM172" s="1592" t="str">
        <f>IF(AND($AE$9=1,Courses!B166&lt;&gt;"",'Courses Valid'!AG172="",COUNTIF(Dummy,Courses!C166)&lt;&gt;1),IF(Courses!K166&lt;&gt;'Courses Valid'!CL172,"Row "&amp;Courses!A166&amp;", Level on LARS is "&amp;'Courses Valid'!CL172&amp;"; ",""),"")</f>
        <v/>
      </c>
      <c r="CN172" s="131"/>
    </row>
    <row r="173" spans="3:92" x14ac:dyDescent="0.35">
      <c r="C173" s="1591">
        <f t="shared" si="4"/>
        <v>0</v>
      </c>
      <c r="D173" s="41"/>
      <c r="E173" s="41"/>
      <c r="F173" s="118"/>
      <c r="G173" s="1592" t="str">
        <f>IF(SUMPRODUCT(--(CourseAims=Courses!$C167))=1,"",IF(AND($N$9=1,Courses!$C167&lt;&gt;""),"Row "&amp;Courses!A167&amp;" (invalid); ",""))</f>
        <v/>
      </c>
      <c r="H173" s="1592" t="str">
        <f>IF(AND($O$9=1,Courses!B167="",OR(Courses!F167&lt;&gt;"",Courses!H167&lt;&gt;"",Courses!J167&lt;&gt;"",Courses!K167&lt;&gt;"",Courses!L167&lt;&gt;"",Courses!M167&lt;&gt;0,Courses!N167&lt;&gt;0,Courses!O167&lt;&gt;0,Courses!P167&lt;&gt;0,Courses!Q167&lt;&gt;0,Courses!R167&lt;&gt;0,Courses!S167&lt;&gt;0,Courses!T167&lt;&gt;0,Courses!U167&lt;&gt;0,Courses!V167&lt;&gt;0,Courses!W167&lt;&gt;0,Courses!X167&lt;&gt;0,Courses!Y167&lt;&gt;0,Courses!Z167&lt;&gt;0,Courses!AA167&lt;&gt;0)),"Row "&amp;Courses!A167&amp;" (none); ","")</f>
        <v/>
      </c>
      <c r="I173" s="1596"/>
      <c r="K173" s="1592" t="str">
        <f>Courses!B167&amp;Courses!K167&amp;Courses!L167</f>
        <v/>
      </c>
      <c r="L173" s="1592" t="str">
        <f>IF(AND($P$9=1,Courses!$B167&lt;&gt;"",COUNTIF(Dummy,Courses!$C167)&lt;&gt;1),IF(SUMPRODUCT(--($K$20:$K$219=$K173))&gt;1,"Row "&amp;Courses!$A167&amp;"; ",""),"")</f>
        <v/>
      </c>
      <c r="N173" s="118"/>
      <c r="O173" s="1593" t="str">
        <f>IF(AND($Q$9=1,Courses!E167&lt;&gt;"",Courses!F167=""),"Row "&amp;Courses!A167&amp;", "&amp;Courses!$E$10&amp;"; ","")</f>
        <v/>
      </c>
      <c r="P173" t="str">
        <f>IF(AND($Q$9=1,Courses!G167&lt;&gt;"",Courses!H167=""),"Row "&amp;Courses!A167&amp;", "&amp;Courses!$G$10&amp;"; ","")</f>
        <v/>
      </c>
      <c r="Q173" s="183" t="str">
        <f>IF(AND($Q$9=1,Courses!I167&lt;&gt;"",Courses!J167=""),"Row "&amp;Courses!A167&amp;", "&amp;Courses!$I$10&amp;"; ","")</f>
        <v/>
      </c>
      <c r="T173" s="118"/>
      <c r="U173" s="1593" t="str">
        <f>IF(AND($R$9=1,Courses!B167&lt;&gt;"",Courses!E167&lt;&gt;"",Courses!G167="",Courses!I167="",Courses!F167&lt;&gt;1),"Row "&amp;Courses!A167&amp;"; ","")</f>
        <v/>
      </c>
      <c r="V173" t="str">
        <f>IF(AND($R$9=1,Courses!B167&lt;&gt;"",Courses!I167="",Courses!F167&lt;&gt;"",Courses!G167&lt;&gt;"",Courses!H167&lt;&gt;""),IF(OR((Courses!F167+Courses!H167)&lt;&gt;1),"Row "&amp;Courses!A167&amp;"; ",""),"")</f>
        <v/>
      </c>
      <c r="W173" s="183" t="str">
        <f>IF(AND($R$9=1,Courses!B167&lt;&gt;"",Courses!I167&lt;&gt;"",Courses!J167&lt;&gt;"",Courses!H167&lt;&gt;"",Courses!G167&lt;&gt;"",Courses!F167&lt;&gt;""),IF(OR((Courses!F167+Courses!H167+Courses!J167)&lt;&gt;1),"Row "&amp;Courses!A167&amp;"; ",""),"")</f>
        <v/>
      </c>
      <c r="Y173" s="1592" t="str">
        <f>IF(AND($R$9=1,Courses!E167&lt;&gt;"",U173="",V173="",W173="",SUM(Courses!F167,Courses!H167,Courses!J167)&lt;&gt;1),"Row "&amp;Courses!A167&amp;"; ","")</f>
        <v/>
      </c>
      <c r="AA173" s="118"/>
      <c r="AB173" s="1593" t="str">
        <f>IF(AND($S$9=1,Courses!B167&lt;&gt;"",Courses!E167&lt;&gt;"",Courses!F167&lt;&gt;""),IF((TRUNC(Courses!F167*100)&lt;&gt;Courses!F167*100),"Row "&amp;Courses!A167&amp;", "&amp;Courses!$F$10&amp;"; ",""),"")</f>
        <v/>
      </c>
      <c r="AC173" t="str">
        <f>IF(AND($S$9=1,Courses!B167&lt;&gt;"",Courses!G167&lt;&gt;"",Courses!H167&lt;&gt;""),IF((TRUNC(Courses!H167*100)&lt;&gt;Courses!H167*100),"Row "&amp;Courses!A167&amp;", "&amp;Courses!$H$10&amp;"; ",""),"")</f>
        <v/>
      </c>
      <c r="AD173" s="183" t="str">
        <f>IF(AND($S$9=1,Courses!B167&lt;&gt;"",Courses!I167&lt;&gt;"",Courses!J167&lt;&gt;""),IF((TRUNC(Courses!J167*100)&lt;&gt;Courses!J167*100),"Row "&amp;Courses!A167&amp;", "&amp;Courses!$J$10&amp;"; ",""),"")</f>
        <v/>
      </c>
      <c r="AF173" s="118"/>
      <c r="AG173" s="1593" t="str">
        <f>IF(AND($T$9=1,G173="",Courses!B167&lt;&gt;"",Courses!K167&lt;&gt;$B$9,Courses!K167&lt;&gt;$B$10,Courses!K167&lt;&gt;$B$11,Courses!K167&lt;&gt;$B$12,Courses!K167&lt;&gt;$B$13,Courses!K167&lt;&gt;$B$14),"Row "&amp;Courses!A167&amp;"; ","")</f>
        <v/>
      </c>
      <c r="AH173" s="1592" t="str">
        <f>IF(AND($U$9=1,G173="",Courses!B167&lt;&gt;"",Courses!L167&lt;&gt;"Standard",Courses!L167&lt;&gt;"Long"),"Row "&amp;Courses!A167&amp;"; ","")</f>
        <v/>
      </c>
      <c r="AJ173" s="118"/>
      <c r="AK173" s="3">
        <v>154</v>
      </c>
      <c r="AL173" s="1593" t="str">
        <f>IF(AND($V$9=1,(TRUNC(Courses!M167)&lt;&gt;Courses!M167)), "Row "&amp;Courses!$A167&amp;", "&amp;AL$9&amp;", "&amp;AL$10&amp;", "&amp;AL$11&amp;"; ","")</f>
        <v/>
      </c>
      <c r="AM173" t="str">
        <f>IF(AND($V$9=1,(TRUNC(Courses!N167)&lt;&gt;Courses!N167)), "Row "&amp;Courses!$A167&amp;", "&amp;AM$9&amp;", "&amp;AM$10&amp;", "&amp;AM$11&amp;"; ","")</f>
        <v/>
      </c>
      <c r="AN173" t="str">
        <f>IF(AND($V$9=1,(TRUNC(Courses!O167)&lt;&gt;Courses!O167)), "Row "&amp;Courses!$A167&amp;", "&amp;AN$9&amp;", "&amp;AN$10&amp;", "&amp;AN$11&amp;"; ","")</f>
        <v/>
      </c>
      <c r="AO173" t="str">
        <f>IF(AND($V$9=1,(TRUNC(Courses!P167)&lt;&gt;Courses!P167)), "Row "&amp;Courses!$A167&amp;", "&amp;AO$9&amp;", "&amp;AO$10&amp;", "&amp;AO$11&amp;"; ","")</f>
        <v/>
      </c>
      <c r="AP173" s="2120" t="str">
        <f>IF(AND($V$9=1,(TRUNC(Courses!Q167)&lt;&gt;Courses!Q167)), "Row "&amp;Courses!$A167&amp;", "&amp;AP$9&amp;", "&amp;AP$10&amp;"; ","")</f>
        <v/>
      </c>
      <c r="AQ173" s="1593" t="str">
        <f>IF(AND($V$9=1,(TRUNC(Courses!R167)&lt;&gt;Courses!R167)), "Row "&amp;Courses!$A167&amp;", "&amp;AQ$9&amp;", "&amp;AQ$10&amp;", "&amp;AQ$11&amp;"; ","")</f>
        <v/>
      </c>
      <c r="AR173" t="str">
        <f>IF(AND($V$9=1,(TRUNC(Courses!S167)&lt;&gt;Courses!S167)), "Row "&amp;Courses!$A167&amp;", "&amp;AR$9&amp;", "&amp;AR$10&amp;", "&amp;AR$11&amp;"; ","")</f>
        <v/>
      </c>
      <c r="AS173" t="str">
        <f>IF(AND($V$9=1,(TRUNC(Courses!T167)&lt;&gt;Courses!T167)), "Row "&amp;Courses!$A167&amp;", "&amp;AS$9&amp;", "&amp;AS$10&amp;", "&amp;AS$11&amp;"; ","")</f>
        <v/>
      </c>
      <c r="AT173" t="str">
        <f>IF(AND($V$9=1,(TRUNC(Courses!U167)&lt;&gt;Courses!U167)), "Row "&amp;Courses!$A167&amp;", "&amp;AT$9&amp;", "&amp;AT$10&amp;", "&amp;AT$11&amp;"; ","")</f>
        <v/>
      </c>
      <c r="AU173" s="2120" t="str">
        <f>IF(AND($V$9=1,(TRUNC(Courses!V167)&lt;&gt;Courses!V167)), "Row "&amp;Courses!$A167&amp;", "&amp;AU$9&amp;", "&amp;AU$10&amp;"; ","")</f>
        <v/>
      </c>
      <c r="AV173" s="1593" t="str">
        <f>IF(AND($V$9=1,(TRUNC(Courses!W167)&lt;&gt;Courses!W167)), "Row "&amp;Courses!$A167&amp;", "&amp;AV$9&amp;", "&amp;AV$10&amp;", "&amp;AV$11&amp;"; ","")</f>
        <v/>
      </c>
      <c r="AW173" t="str">
        <f>IF(AND($V$9=1,(TRUNC(Courses!X167)&lt;&gt;Courses!X167)), "Row "&amp;Courses!$A167&amp;", "&amp;AW$9&amp;", "&amp;AW$10&amp;", "&amp;AW$11&amp;"; ","")</f>
        <v/>
      </c>
      <c r="AX173" t="str">
        <f>IF(AND($V$9=1,(TRUNC(Courses!Y167)&lt;&gt;Courses!Y167)), "Row "&amp;Courses!$A167&amp;", "&amp;AX$9&amp;", "&amp;AX$10&amp;", "&amp;AX$11&amp;"; ","")</f>
        <v/>
      </c>
      <c r="AY173" t="str">
        <f>IF(AND($V$9=1,(TRUNC(Courses!Z167)&lt;&gt;Courses!Z167)), "Row "&amp;Courses!$A167&amp;", "&amp;AY$9&amp;", "&amp;AY$10&amp;", "&amp;AY$11&amp;"; ","")</f>
        <v/>
      </c>
      <c r="AZ173" s="2120" t="str">
        <f>IF(AND($V$9=1,(TRUNC(Courses!AA167)&lt;&gt;Courses!AA167)), "Row "&amp;Courses!$A167&amp;", "&amp;AZ$9&amp;", "&amp;AZ$10&amp;"; ","")</f>
        <v/>
      </c>
      <c r="BB173" s="118"/>
      <c r="BC173" s="3">
        <v>154</v>
      </c>
      <c r="BD173" s="1593" t="str">
        <f>IF(AND($W$9=1,Courses!M167&lt;0), "Row "&amp;Courses!$A167&amp;", "&amp;BD$9&amp;", "&amp;BD$10&amp;", "&amp;BD$11&amp;"; ","")</f>
        <v/>
      </c>
      <c r="BE173" t="str">
        <f>IF(AND($W$9=1,Courses!N167&lt;0), "Row "&amp;Courses!$A167&amp;", "&amp;BE$9&amp;", "&amp;BE$10&amp;", "&amp;BE$11&amp;"; ","")</f>
        <v/>
      </c>
      <c r="BF173" t="str">
        <f>IF(AND($W$9=1,Courses!O167&lt;0), "Row "&amp;Courses!$A167&amp;", "&amp;BF$9&amp;", "&amp;BF$10&amp;", "&amp;BF$11&amp;"; ","")</f>
        <v/>
      </c>
      <c r="BG173" t="str">
        <f>IF(AND($W$9=1,Courses!P167&lt;0), "Row "&amp;Courses!$A167&amp;", "&amp;BG$9&amp;", "&amp;BG$10&amp;", "&amp;BG$11&amp;"; ","")</f>
        <v/>
      </c>
      <c r="BH173" s="2120" t="str">
        <f>IF(AND($W$9=1,Courses!Q167&lt;0), "Row "&amp;Courses!$A167&amp;", "&amp;BH$9&amp;", "&amp;BH$10&amp;"; ","")</f>
        <v/>
      </c>
      <c r="BI173" s="1593" t="str">
        <f>IF(AND($W$9=1,Courses!R167&lt;0), "Row "&amp;Courses!$A167&amp;", "&amp;BI$9&amp;", "&amp;BI$10&amp;", "&amp;BI$11&amp;"; ","")</f>
        <v/>
      </c>
      <c r="BJ173" t="str">
        <f>IF(AND($W$9=1,Courses!S167&lt;0), "Row "&amp;Courses!$A167&amp;", "&amp;BJ$9&amp;", "&amp;BJ$10&amp;", "&amp;BJ$11&amp;"; ","")</f>
        <v/>
      </c>
      <c r="BK173" t="str">
        <f>IF(AND($W$9=1,Courses!T167&lt;0), "Row "&amp;Courses!$A167&amp;", "&amp;BK$9&amp;", "&amp;BK$10&amp;", "&amp;BK$11&amp;"; ","")</f>
        <v/>
      </c>
      <c r="BL173" t="str">
        <f>IF(AND($W$9=1,Courses!U167&lt;0), "Row "&amp;Courses!$A167&amp;", "&amp;BL$9&amp;", "&amp;BL$10&amp;", "&amp;BL$11&amp;"; ","")</f>
        <v/>
      </c>
      <c r="BM173" s="2120" t="str">
        <f>IF(AND($W$9=1,Courses!V167&lt;0), "Row "&amp;Courses!$A167&amp;", "&amp;BM$9&amp;", "&amp;BM$10&amp;"; ","")</f>
        <v/>
      </c>
      <c r="BN173" t="str">
        <f>IF(AND($W$9=1,Courses!W167&lt;0), "Row "&amp;Courses!$A167&amp;", "&amp;BN$9&amp;", "&amp;BN$10&amp;", "&amp;BN$11&amp;"; ","")</f>
        <v/>
      </c>
      <c r="BO173" t="str">
        <f>IF(AND($W$9=1,Courses!X167&lt;0), "Row "&amp;Courses!$A167&amp;", "&amp;BO$9&amp;", "&amp;BO$10&amp;", "&amp;BO$11&amp;"; ","")</f>
        <v/>
      </c>
      <c r="BP173" t="str">
        <f>IF(AND($W$9=1,Courses!Y167&lt;0), "Row "&amp;Courses!$A167&amp;", "&amp;BP$9&amp;", "&amp;BP$10&amp;", "&amp;BP$11&amp;"; ","")</f>
        <v/>
      </c>
      <c r="BQ173" t="str">
        <f>IF(AND($W$9=1,Courses!Z167&lt;0), "Row "&amp;Courses!$A167&amp;", "&amp;BQ$9&amp;", "&amp;BQ$10&amp;", "&amp;BQ$11&amp;"; ","")</f>
        <v/>
      </c>
      <c r="BR173" s="2120" t="str">
        <f>IF(AND($W$9=1,Courses!AA167&lt;0), "Row "&amp;Courses!$A167&amp;", "&amp;BR$9&amp;", "&amp;BR$10&amp;"; ","")</f>
        <v/>
      </c>
      <c r="BT173" s="3">
        <v>154</v>
      </c>
      <c r="BU173" s="40">
        <f>IF(AND($X$9=1,Courses!B167="",Courses!F167="",Courses!H167="",Courses!J167="",Courses!K167="",Courses!L167="",Courses!M167=0,Courses!N167=0,Courses!O167=0,Courses!P167=0,Courses!Q167=0,Courses!R167=0,Courses!S167=0,Courses!T167=0,Courses!U167=0,Courses!V167=0,Courses!W167=0,Courses!X167=0,Courses!Y167=0,Courses!Z167=0,Courses!AA167=0),0,1)</f>
        <v>0</v>
      </c>
      <c r="BV173" s="40">
        <f>IF(AND(BU173=0,SUM(BU174:$BU$219)&gt;0),1,0)</f>
        <v>0</v>
      </c>
      <c r="BW173" s="1592" t="str">
        <f>IF(BV173=1,"Row "&amp;Courses!A167&amp;"; ","")</f>
        <v/>
      </c>
      <c r="BX173" s="17"/>
      <c r="BZ173" s="1592" t="str">
        <f>IF(AND($Y$9=1,Courses!B167&lt;&gt;"",SUM(Courses!M167:AA167)=0),"Row "&amp;Courses!A167&amp;"; ","")</f>
        <v/>
      </c>
      <c r="CA173" s="17"/>
      <c r="CC173" s="1592" t="str">
        <f>IF(AND($Z$9=1,Courses!AD167=1,(LEN(Courses!AB167)&gt;200)),"Row "&amp;Courses!A167&amp;"; ","")</f>
        <v/>
      </c>
      <c r="CE173" s="131"/>
      <c r="CG173" s="1593" t="str">
        <f>IF(AND($AD$9=1,Courses!E167&lt;&gt;"",Courses!F167&lt;&gt;"",Courses!F167=0,SUM(Courses!H167,Courses!J167)=1),"Row "&amp;Courses!A167&amp;", "&amp;Courses!$F$10&amp;"; ","")</f>
        <v/>
      </c>
      <c r="CH173" t="str">
        <f>IF(AND($AD$9=1,Courses!G167&lt;&gt;"",Courses!H167&lt;&gt;"",Courses!H167=0,SUM(Courses!J167,Courses!F167)=1),"Row "&amp;Courses!A167&amp;", "&amp;Courses!$H$10&amp;"; ","")</f>
        <v/>
      </c>
      <c r="CI173" s="183" t="str">
        <f>IF(AND($AD$9=1,Courses!I167&lt;&gt;"",Courses!J167&lt;&gt;"",Courses!J167=0, SUM(Courses!H167,Courses!F167)=1),"Row "&amp;Courses!A167&amp;", "&amp;Courses!$J$10&amp;"; ","")</f>
        <v/>
      </c>
      <c r="CJ173" s="180"/>
      <c r="CK173" s="181"/>
      <c r="CL173" s="1592" t="str">
        <f>IF(AND(Courses!B167&lt;&gt;"",ISNA(VLOOKUP(Courses!C167,CourseInfo,2,FALSE))=FALSE,COUNTIF(Dummy,Courses!C167)&lt;&gt;1),VLOOKUP(Courses!C167,CourseInfo,6,FALSE),"")</f>
        <v/>
      </c>
      <c r="CM173" s="1592" t="str">
        <f>IF(AND($AE$9=1,Courses!B167&lt;&gt;"",'Courses Valid'!AG173="",COUNTIF(Dummy,Courses!C167)&lt;&gt;1),IF(Courses!K167&lt;&gt;'Courses Valid'!CL173,"Row "&amp;Courses!A167&amp;", Level on LARS is "&amp;'Courses Valid'!CL173&amp;"; ",""),"")</f>
        <v/>
      </c>
      <c r="CN173" s="131"/>
    </row>
    <row r="174" spans="3:92" x14ac:dyDescent="0.35">
      <c r="C174" s="1591">
        <f t="shared" si="4"/>
        <v>0</v>
      </c>
      <c r="D174" s="41"/>
      <c r="E174" s="41"/>
      <c r="F174" s="118"/>
      <c r="G174" s="1592" t="str">
        <f>IF(SUMPRODUCT(--(CourseAims=Courses!$C168))=1,"",IF(AND($N$9=1,Courses!$C168&lt;&gt;""),"Row "&amp;Courses!A168&amp;" (invalid); ",""))</f>
        <v/>
      </c>
      <c r="H174" s="1592" t="str">
        <f>IF(AND($O$9=1,Courses!B168="",OR(Courses!F168&lt;&gt;"",Courses!H168&lt;&gt;"",Courses!J168&lt;&gt;"",Courses!K168&lt;&gt;"",Courses!L168&lt;&gt;"",Courses!M168&lt;&gt;0,Courses!N168&lt;&gt;0,Courses!O168&lt;&gt;0,Courses!P168&lt;&gt;0,Courses!Q168&lt;&gt;0,Courses!R168&lt;&gt;0,Courses!S168&lt;&gt;0,Courses!T168&lt;&gt;0,Courses!U168&lt;&gt;0,Courses!V168&lt;&gt;0,Courses!W168&lt;&gt;0,Courses!X168&lt;&gt;0,Courses!Y168&lt;&gt;0,Courses!Z168&lt;&gt;0,Courses!AA168&lt;&gt;0)),"Row "&amp;Courses!A168&amp;" (none); ","")</f>
        <v/>
      </c>
      <c r="I174" s="1596"/>
      <c r="K174" s="1592" t="str">
        <f>Courses!B168&amp;Courses!K168&amp;Courses!L168</f>
        <v/>
      </c>
      <c r="L174" s="1592" t="str">
        <f>IF(AND($P$9=1,Courses!$B168&lt;&gt;"",COUNTIF(Dummy,Courses!$C168)&lt;&gt;1),IF(SUMPRODUCT(--($K$20:$K$219=$K174))&gt;1,"Row "&amp;Courses!$A168&amp;"; ",""),"")</f>
        <v/>
      </c>
      <c r="N174" s="118"/>
      <c r="O174" s="1593" t="str">
        <f>IF(AND($Q$9=1,Courses!E168&lt;&gt;"",Courses!F168=""),"Row "&amp;Courses!A168&amp;", "&amp;Courses!$E$10&amp;"; ","")</f>
        <v/>
      </c>
      <c r="P174" t="str">
        <f>IF(AND($Q$9=1,Courses!G168&lt;&gt;"",Courses!H168=""),"Row "&amp;Courses!A168&amp;", "&amp;Courses!$G$10&amp;"; ","")</f>
        <v/>
      </c>
      <c r="Q174" s="183" t="str">
        <f>IF(AND($Q$9=1,Courses!I168&lt;&gt;"",Courses!J168=""),"Row "&amp;Courses!A168&amp;", "&amp;Courses!$I$10&amp;"; ","")</f>
        <v/>
      </c>
      <c r="T174" s="118"/>
      <c r="U174" s="1593" t="str">
        <f>IF(AND($R$9=1,Courses!B168&lt;&gt;"",Courses!E168&lt;&gt;"",Courses!G168="",Courses!I168="",Courses!F168&lt;&gt;1),"Row "&amp;Courses!A168&amp;"; ","")</f>
        <v/>
      </c>
      <c r="V174" t="str">
        <f>IF(AND($R$9=1,Courses!B168&lt;&gt;"",Courses!I168="",Courses!F168&lt;&gt;"",Courses!G168&lt;&gt;"",Courses!H168&lt;&gt;""),IF(OR((Courses!F168+Courses!H168)&lt;&gt;1),"Row "&amp;Courses!A168&amp;"; ",""),"")</f>
        <v/>
      </c>
      <c r="W174" s="183" t="str">
        <f>IF(AND($R$9=1,Courses!B168&lt;&gt;"",Courses!I168&lt;&gt;"",Courses!J168&lt;&gt;"",Courses!H168&lt;&gt;"",Courses!G168&lt;&gt;"",Courses!F168&lt;&gt;""),IF(OR((Courses!F168+Courses!H168+Courses!J168)&lt;&gt;1),"Row "&amp;Courses!A168&amp;"; ",""),"")</f>
        <v/>
      </c>
      <c r="Y174" s="1592" t="str">
        <f>IF(AND($R$9=1,Courses!E168&lt;&gt;"",U174="",V174="",W174="",SUM(Courses!F168,Courses!H168,Courses!J168)&lt;&gt;1),"Row "&amp;Courses!A168&amp;"; ","")</f>
        <v/>
      </c>
      <c r="AA174" s="118"/>
      <c r="AB174" s="1593" t="str">
        <f>IF(AND($S$9=1,Courses!B168&lt;&gt;"",Courses!E168&lt;&gt;"",Courses!F168&lt;&gt;""),IF((TRUNC(Courses!F168*100)&lt;&gt;Courses!F168*100),"Row "&amp;Courses!A168&amp;", "&amp;Courses!$F$10&amp;"; ",""),"")</f>
        <v/>
      </c>
      <c r="AC174" t="str">
        <f>IF(AND($S$9=1,Courses!B168&lt;&gt;"",Courses!G168&lt;&gt;"",Courses!H168&lt;&gt;""),IF((TRUNC(Courses!H168*100)&lt;&gt;Courses!H168*100),"Row "&amp;Courses!A168&amp;", "&amp;Courses!$H$10&amp;"; ",""),"")</f>
        <v/>
      </c>
      <c r="AD174" s="183" t="str">
        <f>IF(AND($S$9=1,Courses!B168&lt;&gt;"",Courses!I168&lt;&gt;"",Courses!J168&lt;&gt;""),IF((TRUNC(Courses!J168*100)&lt;&gt;Courses!J168*100),"Row "&amp;Courses!A168&amp;", "&amp;Courses!$J$10&amp;"; ",""),"")</f>
        <v/>
      </c>
      <c r="AF174" s="118"/>
      <c r="AG174" s="1593" t="str">
        <f>IF(AND($T$9=1,G174="",Courses!B168&lt;&gt;"",Courses!K168&lt;&gt;$B$9,Courses!K168&lt;&gt;$B$10,Courses!K168&lt;&gt;$B$11,Courses!K168&lt;&gt;$B$12,Courses!K168&lt;&gt;$B$13,Courses!K168&lt;&gt;$B$14),"Row "&amp;Courses!A168&amp;"; ","")</f>
        <v/>
      </c>
      <c r="AH174" s="1592" t="str">
        <f>IF(AND($U$9=1,G174="",Courses!B168&lt;&gt;"",Courses!L168&lt;&gt;"Standard",Courses!L168&lt;&gt;"Long"),"Row "&amp;Courses!A168&amp;"; ","")</f>
        <v/>
      </c>
      <c r="AJ174" s="118"/>
      <c r="AK174" s="3">
        <v>155</v>
      </c>
      <c r="AL174" s="1593" t="str">
        <f>IF(AND($V$9=1,(TRUNC(Courses!M168)&lt;&gt;Courses!M168)), "Row "&amp;Courses!$A168&amp;", "&amp;AL$9&amp;", "&amp;AL$10&amp;", "&amp;AL$11&amp;"; ","")</f>
        <v/>
      </c>
      <c r="AM174" t="str">
        <f>IF(AND($V$9=1,(TRUNC(Courses!N168)&lt;&gt;Courses!N168)), "Row "&amp;Courses!$A168&amp;", "&amp;AM$9&amp;", "&amp;AM$10&amp;", "&amp;AM$11&amp;"; ","")</f>
        <v/>
      </c>
      <c r="AN174" t="str">
        <f>IF(AND($V$9=1,(TRUNC(Courses!O168)&lt;&gt;Courses!O168)), "Row "&amp;Courses!$A168&amp;", "&amp;AN$9&amp;", "&amp;AN$10&amp;", "&amp;AN$11&amp;"; ","")</f>
        <v/>
      </c>
      <c r="AO174" t="str">
        <f>IF(AND($V$9=1,(TRUNC(Courses!P168)&lt;&gt;Courses!P168)), "Row "&amp;Courses!$A168&amp;", "&amp;AO$9&amp;", "&amp;AO$10&amp;", "&amp;AO$11&amp;"; ","")</f>
        <v/>
      </c>
      <c r="AP174" s="2120" t="str">
        <f>IF(AND($V$9=1,(TRUNC(Courses!Q168)&lt;&gt;Courses!Q168)), "Row "&amp;Courses!$A168&amp;", "&amp;AP$9&amp;", "&amp;AP$10&amp;"; ","")</f>
        <v/>
      </c>
      <c r="AQ174" s="1593" t="str">
        <f>IF(AND($V$9=1,(TRUNC(Courses!R168)&lt;&gt;Courses!R168)), "Row "&amp;Courses!$A168&amp;", "&amp;AQ$9&amp;", "&amp;AQ$10&amp;", "&amp;AQ$11&amp;"; ","")</f>
        <v/>
      </c>
      <c r="AR174" t="str">
        <f>IF(AND($V$9=1,(TRUNC(Courses!S168)&lt;&gt;Courses!S168)), "Row "&amp;Courses!$A168&amp;", "&amp;AR$9&amp;", "&amp;AR$10&amp;", "&amp;AR$11&amp;"; ","")</f>
        <v/>
      </c>
      <c r="AS174" t="str">
        <f>IF(AND($V$9=1,(TRUNC(Courses!T168)&lt;&gt;Courses!T168)), "Row "&amp;Courses!$A168&amp;", "&amp;AS$9&amp;", "&amp;AS$10&amp;", "&amp;AS$11&amp;"; ","")</f>
        <v/>
      </c>
      <c r="AT174" t="str">
        <f>IF(AND($V$9=1,(TRUNC(Courses!U168)&lt;&gt;Courses!U168)), "Row "&amp;Courses!$A168&amp;", "&amp;AT$9&amp;", "&amp;AT$10&amp;", "&amp;AT$11&amp;"; ","")</f>
        <v/>
      </c>
      <c r="AU174" s="2120" t="str">
        <f>IF(AND($V$9=1,(TRUNC(Courses!V168)&lt;&gt;Courses!V168)), "Row "&amp;Courses!$A168&amp;", "&amp;AU$9&amp;", "&amp;AU$10&amp;"; ","")</f>
        <v/>
      </c>
      <c r="AV174" s="1593" t="str">
        <f>IF(AND($V$9=1,(TRUNC(Courses!W168)&lt;&gt;Courses!W168)), "Row "&amp;Courses!$A168&amp;", "&amp;AV$9&amp;", "&amp;AV$10&amp;", "&amp;AV$11&amp;"; ","")</f>
        <v/>
      </c>
      <c r="AW174" t="str">
        <f>IF(AND($V$9=1,(TRUNC(Courses!X168)&lt;&gt;Courses!X168)), "Row "&amp;Courses!$A168&amp;", "&amp;AW$9&amp;", "&amp;AW$10&amp;", "&amp;AW$11&amp;"; ","")</f>
        <v/>
      </c>
      <c r="AX174" t="str">
        <f>IF(AND($V$9=1,(TRUNC(Courses!Y168)&lt;&gt;Courses!Y168)), "Row "&amp;Courses!$A168&amp;", "&amp;AX$9&amp;", "&amp;AX$10&amp;", "&amp;AX$11&amp;"; ","")</f>
        <v/>
      </c>
      <c r="AY174" t="str">
        <f>IF(AND($V$9=1,(TRUNC(Courses!Z168)&lt;&gt;Courses!Z168)), "Row "&amp;Courses!$A168&amp;", "&amp;AY$9&amp;", "&amp;AY$10&amp;", "&amp;AY$11&amp;"; ","")</f>
        <v/>
      </c>
      <c r="AZ174" s="2120" t="str">
        <f>IF(AND($V$9=1,(TRUNC(Courses!AA168)&lt;&gt;Courses!AA168)), "Row "&amp;Courses!$A168&amp;", "&amp;AZ$9&amp;", "&amp;AZ$10&amp;"; ","")</f>
        <v/>
      </c>
      <c r="BB174" s="118"/>
      <c r="BC174" s="3">
        <v>155</v>
      </c>
      <c r="BD174" s="1593" t="str">
        <f>IF(AND($W$9=1,Courses!M168&lt;0), "Row "&amp;Courses!$A168&amp;", "&amp;BD$9&amp;", "&amp;BD$10&amp;", "&amp;BD$11&amp;"; ","")</f>
        <v/>
      </c>
      <c r="BE174" t="str">
        <f>IF(AND($W$9=1,Courses!N168&lt;0), "Row "&amp;Courses!$A168&amp;", "&amp;BE$9&amp;", "&amp;BE$10&amp;", "&amp;BE$11&amp;"; ","")</f>
        <v/>
      </c>
      <c r="BF174" t="str">
        <f>IF(AND($W$9=1,Courses!O168&lt;0), "Row "&amp;Courses!$A168&amp;", "&amp;BF$9&amp;", "&amp;BF$10&amp;", "&amp;BF$11&amp;"; ","")</f>
        <v/>
      </c>
      <c r="BG174" t="str">
        <f>IF(AND($W$9=1,Courses!P168&lt;0), "Row "&amp;Courses!$A168&amp;", "&amp;BG$9&amp;", "&amp;BG$10&amp;", "&amp;BG$11&amp;"; ","")</f>
        <v/>
      </c>
      <c r="BH174" s="2120" t="str">
        <f>IF(AND($W$9=1,Courses!Q168&lt;0), "Row "&amp;Courses!$A168&amp;", "&amp;BH$9&amp;", "&amp;BH$10&amp;"; ","")</f>
        <v/>
      </c>
      <c r="BI174" s="1593" t="str">
        <f>IF(AND($W$9=1,Courses!R168&lt;0), "Row "&amp;Courses!$A168&amp;", "&amp;BI$9&amp;", "&amp;BI$10&amp;", "&amp;BI$11&amp;"; ","")</f>
        <v/>
      </c>
      <c r="BJ174" t="str">
        <f>IF(AND($W$9=1,Courses!S168&lt;0), "Row "&amp;Courses!$A168&amp;", "&amp;BJ$9&amp;", "&amp;BJ$10&amp;", "&amp;BJ$11&amp;"; ","")</f>
        <v/>
      </c>
      <c r="BK174" t="str">
        <f>IF(AND($W$9=1,Courses!T168&lt;0), "Row "&amp;Courses!$A168&amp;", "&amp;BK$9&amp;", "&amp;BK$10&amp;", "&amp;BK$11&amp;"; ","")</f>
        <v/>
      </c>
      <c r="BL174" t="str">
        <f>IF(AND($W$9=1,Courses!U168&lt;0), "Row "&amp;Courses!$A168&amp;", "&amp;BL$9&amp;", "&amp;BL$10&amp;", "&amp;BL$11&amp;"; ","")</f>
        <v/>
      </c>
      <c r="BM174" s="2120" t="str">
        <f>IF(AND($W$9=1,Courses!V168&lt;0), "Row "&amp;Courses!$A168&amp;", "&amp;BM$9&amp;", "&amp;BM$10&amp;"; ","")</f>
        <v/>
      </c>
      <c r="BN174" t="str">
        <f>IF(AND($W$9=1,Courses!W168&lt;0), "Row "&amp;Courses!$A168&amp;", "&amp;BN$9&amp;", "&amp;BN$10&amp;", "&amp;BN$11&amp;"; ","")</f>
        <v/>
      </c>
      <c r="BO174" t="str">
        <f>IF(AND($W$9=1,Courses!X168&lt;0), "Row "&amp;Courses!$A168&amp;", "&amp;BO$9&amp;", "&amp;BO$10&amp;", "&amp;BO$11&amp;"; ","")</f>
        <v/>
      </c>
      <c r="BP174" t="str">
        <f>IF(AND($W$9=1,Courses!Y168&lt;0), "Row "&amp;Courses!$A168&amp;", "&amp;BP$9&amp;", "&amp;BP$10&amp;", "&amp;BP$11&amp;"; ","")</f>
        <v/>
      </c>
      <c r="BQ174" t="str">
        <f>IF(AND($W$9=1,Courses!Z168&lt;0), "Row "&amp;Courses!$A168&amp;", "&amp;BQ$9&amp;", "&amp;BQ$10&amp;", "&amp;BQ$11&amp;"; ","")</f>
        <v/>
      </c>
      <c r="BR174" s="2120" t="str">
        <f>IF(AND($W$9=1,Courses!AA168&lt;0), "Row "&amp;Courses!$A168&amp;", "&amp;BR$9&amp;", "&amp;BR$10&amp;"; ","")</f>
        <v/>
      </c>
      <c r="BT174" s="3">
        <v>155</v>
      </c>
      <c r="BU174" s="40">
        <f>IF(AND($X$9=1,Courses!B168="",Courses!F168="",Courses!H168="",Courses!J168="",Courses!K168="",Courses!L168="",Courses!M168=0,Courses!N168=0,Courses!O168=0,Courses!P168=0,Courses!Q168=0,Courses!R168=0,Courses!S168=0,Courses!T168=0,Courses!U168=0,Courses!V168=0,Courses!W168=0,Courses!X168=0,Courses!Y168=0,Courses!Z168=0,Courses!AA168=0),0,1)</f>
        <v>0</v>
      </c>
      <c r="BV174" s="40">
        <f>IF(AND(BU174=0,SUM(BU175:$BU$219)&gt;0),1,0)</f>
        <v>0</v>
      </c>
      <c r="BW174" s="1592" t="str">
        <f>IF(BV174=1,"Row "&amp;Courses!A168&amp;"; ","")</f>
        <v/>
      </c>
      <c r="BX174" s="17"/>
      <c r="BZ174" s="1592" t="str">
        <f>IF(AND($Y$9=1,Courses!B168&lt;&gt;"",SUM(Courses!M168:AA168)=0),"Row "&amp;Courses!A168&amp;"; ","")</f>
        <v/>
      </c>
      <c r="CA174" s="17"/>
      <c r="CC174" s="1592" t="str">
        <f>IF(AND($Z$9=1,Courses!AD168=1,(LEN(Courses!AB168)&gt;200)),"Row "&amp;Courses!A168&amp;"; ","")</f>
        <v/>
      </c>
      <c r="CE174" s="131"/>
      <c r="CG174" s="1593" t="str">
        <f>IF(AND($AD$9=1,Courses!E168&lt;&gt;"",Courses!F168&lt;&gt;"",Courses!F168=0,SUM(Courses!H168,Courses!J168)=1),"Row "&amp;Courses!A168&amp;", "&amp;Courses!$F$10&amp;"; ","")</f>
        <v/>
      </c>
      <c r="CH174" t="str">
        <f>IF(AND($AD$9=1,Courses!G168&lt;&gt;"",Courses!H168&lt;&gt;"",Courses!H168=0,SUM(Courses!J168,Courses!F168)=1),"Row "&amp;Courses!A168&amp;", "&amp;Courses!$H$10&amp;"; ","")</f>
        <v/>
      </c>
      <c r="CI174" s="183" t="str">
        <f>IF(AND($AD$9=1,Courses!I168&lt;&gt;"",Courses!J168&lt;&gt;"",Courses!J168=0, SUM(Courses!H168,Courses!F168)=1),"Row "&amp;Courses!A168&amp;", "&amp;Courses!$J$10&amp;"; ","")</f>
        <v/>
      </c>
      <c r="CJ174" s="180"/>
      <c r="CK174" s="181"/>
      <c r="CL174" s="1592" t="str">
        <f>IF(AND(Courses!B168&lt;&gt;"",ISNA(VLOOKUP(Courses!C168,CourseInfo,2,FALSE))=FALSE,COUNTIF(Dummy,Courses!C168)&lt;&gt;1),VLOOKUP(Courses!C168,CourseInfo,6,FALSE),"")</f>
        <v/>
      </c>
      <c r="CM174" s="1592" t="str">
        <f>IF(AND($AE$9=1,Courses!B168&lt;&gt;"",'Courses Valid'!AG174="",COUNTIF(Dummy,Courses!C168)&lt;&gt;1),IF(Courses!K168&lt;&gt;'Courses Valid'!CL174,"Row "&amp;Courses!A168&amp;", Level on LARS is "&amp;'Courses Valid'!CL174&amp;"; ",""),"")</f>
        <v/>
      </c>
      <c r="CN174" s="131"/>
    </row>
    <row r="175" spans="3:92" x14ac:dyDescent="0.35">
      <c r="C175" s="1591">
        <f t="shared" si="4"/>
        <v>0</v>
      </c>
      <c r="D175" s="41"/>
      <c r="E175" s="41"/>
      <c r="F175" s="118"/>
      <c r="G175" s="1592" t="str">
        <f>IF(SUMPRODUCT(--(CourseAims=Courses!$C169))=1,"",IF(AND($N$9=1,Courses!$C169&lt;&gt;""),"Row "&amp;Courses!A169&amp;" (invalid); ",""))</f>
        <v/>
      </c>
      <c r="H175" s="1592" t="str">
        <f>IF(AND($O$9=1,Courses!B169="",OR(Courses!F169&lt;&gt;"",Courses!H169&lt;&gt;"",Courses!J169&lt;&gt;"",Courses!K169&lt;&gt;"",Courses!L169&lt;&gt;"",Courses!M169&lt;&gt;0,Courses!N169&lt;&gt;0,Courses!O169&lt;&gt;0,Courses!P169&lt;&gt;0,Courses!Q169&lt;&gt;0,Courses!R169&lt;&gt;0,Courses!S169&lt;&gt;0,Courses!T169&lt;&gt;0,Courses!U169&lt;&gt;0,Courses!V169&lt;&gt;0,Courses!W169&lt;&gt;0,Courses!X169&lt;&gt;0,Courses!Y169&lt;&gt;0,Courses!Z169&lt;&gt;0,Courses!AA169&lt;&gt;0)),"Row "&amp;Courses!A169&amp;" (none); ","")</f>
        <v/>
      </c>
      <c r="I175" s="1596"/>
      <c r="K175" s="1592" t="str">
        <f>Courses!B169&amp;Courses!K169&amp;Courses!L169</f>
        <v/>
      </c>
      <c r="L175" s="1592" t="str">
        <f>IF(AND($P$9=1,Courses!$B169&lt;&gt;"",COUNTIF(Dummy,Courses!$C169)&lt;&gt;1),IF(SUMPRODUCT(--($K$20:$K$219=$K175))&gt;1,"Row "&amp;Courses!$A169&amp;"; ",""),"")</f>
        <v/>
      </c>
      <c r="N175" s="118"/>
      <c r="O175" s="1593" t="str">
        <f>IF(AND($Q$9=1,Courses!E169&lt;&gt;"",Courses!F169=""),"Row "&amp;Courses!A169&amp;", "&amp;Courses!$E$10&amp;"; ","")</f>
        <v/>
      </c>
      <c r="P175" t="str">
        <f>IF(AND($Q$9=1,Courses!G169&lt;&gt;"",Courses!H169=""),"Row "&amp;Courses!A169&amp;", "&amp;Courses!$G$10&amp;"; ","")</f>
        <v/>
      </c>
      <c r="Q175" s="183" t="str">
        <f>IF(AND($Q$9=1,Courses!I169&lt;&gt;"",Courses!J169=""),"Row "&amp;Courses!A169&amp;", "&amp;Courses!$I$10&amp;"; ","")</f>
        <v/>
      </c>
      <c r="T175" s="118"/>
      <c r="U175" s="1593" t="str">
        <f>IF(AND($R$9=1,Courses!B169&lt;&gt;"",Courses!E169&lt;&gt;"",Courses!G169="",Courses!I169="",Courses!F169&lt;&gt;1),"Row "&amp;Courses!A169&amp;"; ","")</f>
        <v/>
      </c>
      <c r="V175" t="str">
        <f>IF(AND($R$9=1,Courses!B169&lt;&gt;"",Courses!I169="",Courses!F169&lt;&gt;"",Courses!G169&lt;&gt;"",Courses!H169&lt;&gt;""),IF(OR((Courses!F169+Courses!H169)&lt;&gt;1),"Row "&amp;Courses!A169&amp;"; ",""),"")</f>
        <v/>
      </c>
      <c r="W175" s="183" t="str">
        <f>IF(AND($R$9=1,Courses!B169&lt;&gt;"",Courses!I169&lt;&gt;"",Courses!J169&lt;&gt;"",Courses!H169&lt;&gt;"",Courses!G169&lt;&gt;"",Courses!F169&lt;&gt;""),IF(OR((Courses!F169+Courses!H169+Courses!J169)&lt;&gt;1),"Row "&amp;Courses!A169&amp;"; ",""),"")</f>
        <v/>
      </c>
      <c r="Y175" s="1592" t="str">
        <f>IF(AND($R$9=1,Courses!E169&lt;&gt;"",U175="",V175="",W175="",SUM(Courses!F169,Courses!H169,Courses!J169)&lt;&gt;1),"Row "&amp;Courses!A169&amp;"; ","")</f>
        <v/>
      </c>
      <c r="AA175" s="118"/>
      <c r="AB175" s="1593" t="str">
        <f>IF(AND($S$9=1,Courses!B169&lt;&gt;"",Courses!E169&lt;&gt;"",Courses!F169&lt;&gt;""),IF((TRUNC(Courses!F169*100)&lt;&gt;Courses!F169*100),"Row "&amp;Courses!A169&amp;", "&amp;Courses!$F$10&amp;"; ",""),"")</f>
        <v/>
      </c>
      <c r="AC175" t="str">
        <f>IF(AND($S$9=1,Courses!B169&lt;&gt;"",Courses!G169&lt;&gt;"",Courses!H169&lt;&gt;""),IF((TRUNC(Courses!H169*100)&lt;&gt;Courses!H169*100),"Row "&amp;Courses!A169&amp;", "&amp;Courses!$H$10&amp;"; ",""),"")</f>
        <v/>
      </c>
      <c r="AD175" s="183" t="str">
        <f>IF(AND($S$9=1,Courses!B169&lt;&gt;"",Courses!I169&lt;&gt;"",Courses!J169&lt;&gt;""),IF((TRUNC(Courses!J169*100)&lt;&gt;Courses!J169*100),"Row "&amp;Courses!A169&amp;", "&amp;Courses!$J$10&amp;"; ",""),"")</f>
        <v/>
      </c>
      <c r="AF175" s="118"/>
      <c r="AG175" s="1593" t="str">
        <f>IF(AND($T$9=1,G175="",Courses!B169&lt;&gt;"",Courses!K169&lt;&gt;$B$9,Courses!K169&lt;&gt;$B$10,Courses!K169&lt;&gt;$B$11,Courses!K169&lt;&gt;$B$12,Courses!K169&lt;&gt;$B$13,Courses!K169&lt;&gt;$B$14),"Row "&amp;Courses!A169&amp;"; ","")</f>
        <v/>
      </c>
      <c r="AH175" s="1592" t="str">
        <f>IF(AND($U$9=1,G175="",Courses!B169&lt;&gt;"",Courses!L169&lt;&gt;"Standard",Courses!L169&lt;&gt;"Long"),"Row "&amp;Courses!A169&amp;"; ","")</f>
        <v/>
      </c>
      <c r="AJ175" s="118"/>
      <c r="AK175" s="3">
        <v>156</v>
      </c>
      <c r="AL175" s="1593" t="str">
        <f>IF(AND($V$9=1,(TRUNC(Courses!M169)&lt;&gt;Courses!M169)), "Row "&amp;Courses!$A169&amp;", "&amp;AL$9&amp;", "&amp;AL$10&amp;", "&amp;AL$11&amp;"; ","")</f>
        <v/>
      </c>
      <c r="AM175" t="str">
        <f>IF(AND($V$9=1,(TRUNC(Courses!N169)&lt;&gt;Courses!N169)), "Row "&amp;Courses!$A169&amp;", "&amp;AM$9&amp;", "&amp;AM$10&amp;", "&amp;AM$11&amp;"; ","")</f>
        <v/>
      </c>
      <c r="AN175" t="str">
        <f>IF(AND($V$9=1,(TRUNC(Courses!O169)&lt;&gt;Courses!O169)), "Row "&amp;Courses!$A169&amp;", "&amp;AN$9&amp;", "&amp;AN$10&amp;", "&amp;AN$11&amp;"; ","")</f>
        <v/>
      </c>
      <c r="AO175" t="str">
        <f>IF(AND($V$9=1,(TRUNC(Courses!P169)&lt;&gt;Courses!P169)), "Row "&amp;Courses!$A169&amp;", "&amp;AO$9&amp;", "&amp;AO$10&amp;", "&amp;AO$11&amp;"; ","")</f>
        <v/>
      </c>
      <c r="AP175" s="2120" t="str">
        <f>IF(AND($V$9=1,(TRUNC(Courses!Q169)&lt;&gt;Courses!Q169)), "Row "&amp;Courses!$A169&amp;", "&amp;AP$9&amp;", "&amp;AP$10&amp;"; ","")</f>
        <v/>
      </c>
      <c r="AQ175" s="1593" t="str">
        <f>IF(AND($V$9=1,(TRUNC(Courses!R169)&lt;&gt;Courses!R169)), "Row "&amp;Courses!$A169&amp;", "&amp;AQ$9&amp;", "&amp;AQ$10&amp;", "&amp;AQ$11&amp;"; ","")</f>
        <v/>
      </c>
      <c r="AR175" t="str">
        <f>IF(AND($V$9=1,(TRUNC(Courses!S169)&lt;&gt;Courses!S169)), "Row "&amp;Courses!$A169&amp;", "&amp;AR$9&amp;", "&amp;AR$10&amp;", "&amp;AR$11&amp;"; ","")</f>
        <v/>
      </c>
      <c r="AS175" t="str">
        <f>IF(AND($V$9=1,(TRUNC(Courses!T169)&lt;&gt;Courses!T169)), "Row "&amp;Courses!$A169&amp;", "&amp;AS$9&amp;", "&amp;AS$10&amp;", "&amp;AS$11&amp;"; ","")</f>
        <v/>
      </c>
      <c r="AT175" t="str">
        <f>IF(AND($V$9=1,(TRUNC(Courses!U169)&lt;&gt;Courses!U169)), "Row "&amp;Courses!$A169&amp;", "&amp;AT$9&amp;", "&amp;AT$10&amp;", "&amp;AT$11&amp;"; ","")</f>
        <v/>
      </c>
      <c r="AU175" s="2120" t="str">
        <f>IF(AND($V$9=1,(TRUNC(Courses!V169)&lt;&gt;Courses!V169)), "Row "&amp;Courses!$A169&amp;", "&amp;AU$9&amp;", "&amp;AU$10&amp;"; ","")</f>
        <v/>
      </c>
      <c r="AV175" s="1593" t="str">
        <f>IF(AND($V$9=1,(TRUNC(Courses!W169)&lt;&gt;Courses!W169)), "Row "&amp;Courses!$A169&amp;", "&amp;AV$9&amp;", "&amp;AV$10&amp;", "&amp;AV$11&amp;"; ","")</f>
        <v/>
      </c>
      <c r="AW175" t="str">
        <f>IF(AND($V$9=1,(TRUNC(Courses!X169)&lt;&gt;Courses!X169)), "Row "&amp;Courses!$A169&amp;", "&amp;AW$9&amp;", "&amp;AW$10&amp;", "&amp;AW$11&amp;"; ","")</f>
        <v/>
      </c>
      <c r="AX175" t="str">
        <f>IF(AND($V$9=1,(TRUNC(Courses!Y169)&lt;&gt;Courses!Y169)), "Row "&amp;Courses!$A169&amp;", "&amp;AX$9&amp;", "&amp;AX$10&amp;", "&amp;AX$11&amp;"; ","")</f>
        <v/>
      </c>
      <c r="AY175" t="str">
        <f>IF(AND($V$9=1,(TRUNC(Courses!Z169)&lt;&gt;Courses!Z169)), "Row "&amp;Courses!$A169&amp;", "&amp;AY$9&amp;", "&amp;AY$10&amp;", "&amp;AY$11&amp;"; ","")</f>
        <v/>
      </c>
      <c r="AZ175" s="2120" t="str">
        <f>IF(AND($V$9=1,(TRUNC(Courses!AA169)&lt;&gt;Courses!AA169)), "Row "&amp;Courses!$A169&amp;", "&amp;AZ$9&amp;", "&amp;AZ$10&amp;"; ","")</f>
        <v/>
      </c>
      <c r="BB175" s="118"/>
      <c r="BC175" s="3">
        <v>156</v>
      </c>
      <c r="BD175" s="1593" t="str">
        <f>IF(AND($W$9=1,Courses!M169&lt;0), "Row "&amp;Courses!$A169&amp;", "&amp;BD$9&amp;", "&amp;BD$10&amp;", "&amp;BD$11&amp;"; ","")</f>
        <v/>
      </c>
      <c r="BE175" t="str">
        <f>IF(AND($W$9=1,Courses!N169&lt;0), "Row "&amp;Courses!$A169&amp;", "&amp;BE$9&amp;", "&amp;BE$10&amp;", "&amp;BE$11&amp;"; ","")</f>
        <v/>
      </c>
      <c r="BF175" t="str">
        <f>IF(AND($W$9=1,Courses!O169&lt;0), "Row "&amp;Courses!$A169&amp;", "&amp;BF$9&amp;", "&amp;BF$10&amp;", "&amp;BF$11&amp;"; ","")</f>
        <v/>
      </c>
      <c r="BG175" t="str">
        <f>IF(AND($W$9=1,Courses!P169&lt;0), "Row "&amp;Courses!$A169&amp;", "&amp;BG$9&amp;", "&amp;BG$10&amp;", "&amp;BG$11&amp;"; ","")</f>
        <v/>
      </c>
      <c r="BH175" s="2120" t="str">
        <f>IF(AND($W$9=1,Courses!Q169&lt;0), "Row "&amp;Courses!$A169&amp;", "&amp;BH$9&amp;", "&amp;BH$10&amp;"; ","")</f>
        <v/>
      </c>
      <c r="BI175" s="1593" t="str">
        <f>IF(AND($W$9=1,Courses!R169&lt;0), "Row "&amp;Courses!$A169&amp;", "&amp;BI$9&amp;", "&amp;BI$10&amp;", "&amp;BI$11&amp;"; ","")</f>
        <v/>
      </c>
      <c r="BJ175" t="str">
        <f>IF(AND($W$9=1,Courses!S169&lt;0), "Row "&amp;Courses!$A169&amp;", "&amp;BJ$9&amp;", "&amp;BJ$10&amp;", "&amp;BJ$11&amp;"; ","")</f>
        <v/>
      </c>
      <c r="BK175" t="str">
        <f>IF(AND($W$9=1,Courses!T169&lt;0), "Row "&amp;Courses!$A169&amp;", "&amp;BK$9&amp;", "&amp;BK$10&amp;", "&amp;BK$11&amp;"; ","")</f>
        <v/>
      </c>
      <c r="BL175" t="str">
        <f>IF(AND($W$9=1,Courses!U169&lt;0), "Row "&amp;Courses!$A169&amp;", "&amp;BL$9&amp;", "&amp;BL$10&amp;", "&amp;BL$11&amp;"; ","")</f>
        <v/>
      </c>
      <c r="BM175" s="2120" t="str">
        <f>IF(AND($W$9=1,Courses!V169&lt;0), "Row "&amp;Courses!$A169&amp;", "&amp;BM$9&amp;", "&amp;BM$10&amp;"; ","")</f>
        <v/>
      </c>
      <c r="BN175" t="str">
        <f>IF(AND($W$9=1,Courses!W169&lt;0), "Row "&amp;Courses!$A169&amp;", "&amp;BN$9&amp;", "&amp;BN$10&amp;", "&amp;BN$11&amp;"; ","")</f>
        <v/>
      </c>
      <c r="BO175" t="str">
        <f>IF(AND($W$9=1,Courses!X169&lt;0), "Row "&amp;Courses!$A169&amp;", "&amp;BO$9&amp;", "&amp;BO$10&amp;", "&amp;BO$11&amp;"; ","")</f>
        <v/>
      </c>
      <c r="BP175" t="str">
        <f>IF(AND($W$9=1,Courses!Y169&lt;0), "Row "&amp;Courses!$A169&amp;", "&amp;BP$9&amp;", "&amp;BP$10&amp;", "&amp;BP$11&amp;"; ","")</f>
        <v/>
      </c>
      <c r="BQ175" t="str">
        <f>IF(AND($W$9=1,Courses!Z169&lt;0), "Row "&amp;Courses!$A169&amp;", "&amp;BQ$9&amp;", "&amp;BQ$10&amp;", "&amp;BQ$11&amp;"; ","")</f>
        <v/>
      </c>
      <c r="BR175" s="2120" t="str">
        <f>IF(AND($W$9=1,Courses!AA169&lt;0), "Row "&amp;Courses!$A169&amp;", "&amp;BR$9&amp;", "&amp;BR$10&amp;"; ","")</f>
        <v/>
      </c>
      <c r="BT175" s="3">
        <v>156</v>
      </c>
      <c r="BU175" s="40">
        <f>IF(AND($X$9=1,Courses!B169="",Courses!F169="",Courses!H169="",Courses!J169="",Courses!K169="",Courses!L169="",Courses!M169=0,Courses!N169=0,Courses!O169=0,Courses!P169=0,Courses!Q169=0,Courses!R169=0,Courses!S169=0,Courses!T169=0,Courses!U169=0,Courses!V169=0,Courses!W169=0,Courses!X169=0,Courses!Y169=0,Courses!Z169=0,Courses!AA169=0),0,1)</f>
        <v>0</v>
      </c>
      <c r="BV175" s="40">
        <f>IF(AND(BU175=0,SUM(BU176:$BU$219)&gt;0),1,0)</f>
        <v>0</v>
      </c>
      <c r="BW175" s="1592" t="str">
        <f>IF(BV175=1,"Row "&amp;Courses!A169&amp;"; ","")</f>
        <v/>
      </c>
      <c r="BX175" s="17"/>
      <c r="BZ175" s="1592" t="str">
        <f>IF(AND($Y$9=1,Courses!B169&lt;&gt;"",SUM(Courses!M169:AA169)=0),"Row "&amp;Courses!A169&amp;"; ","")</f>
        <v/>
      </c>
      <c r="CA175" s="17"/>
      <c r="CC175" s="1592" t="str">
        <f>IF(AND($Z$9=1,Courses!AD169=1,(LEN(Courses!AB169)&gt;200)),"Row "&amp;Courses!A169&amp;"; ","")</f>
        <v/>
      </c>
      <c r="CE175" s="131"/>
      <c r="CG175" s="1593" t="str">
        <f>IF(AND($AD$9=1,Courses!E169&lt;&gt;"",Courses!F169&lt;&gt;"",Courses!F169=0,SUM(Courses!H169,Courses!J169)=1),"Row "&amp;Courses!A169&amp;", "&amp;Courses!$F$10&amp;"; ","")</f>
        <v/>
      </c>
      <c r="CH175" t="str">
        <f>IF(AND($AD$9=1,Courses!G169&lt;&gt;"",Courses!H169&lt;&gt;"",Courses!H169=0,SUM(Courses!J169,Courses!F169)=1),"Row "&amp;Courses!A169&amp;", "&amp;Courses!$H$10&amp;"; ","")</f>
        <v/>
      </c>
      <c r="CI175" s="183" t="str">
        <f>IF(AND($AD$9=1,Courses!I169&lt;&gt;"",Courses!J169&lt;&gt;"",Courses!J169=0, SUM(Courses!H169,Courses!F169)=1),"Row "&amp;Courses!A169&amp;", "&amp;Courses!$J$10&amp;"; ","")</f>
        <v/>
      </c>
      <c r="CJ175" s="180"/>
      <c r="CK175" s="181"/>
      <c r="CL175" s="1592" t="str">
        <f>IF(AND(Courses!B169&lt;&gt;"",ISNA(VLOOKUP(Courses!C169,CourseInfo,2,FALSE))=FALSE,COUNTIF(Dummy,Courses!C169)&lt;&gt;1),VLOOKUP(Courses!C169,CourseInfo,6,FALSE),"")</f>
        <v/>
      </c>
      <c r="CM175" s="1592" t="str">
        <f>IF(AND($AE$9=1,Courses!B169&lt;&gt;"",'Courses Valid'!AG175="",COUNTIF(Dummy,Courses!C169)&lt;&gt;1),IF(Courses!K169&lt;&gt;'Courses Valid'!CL175,"Row "&amp;Courses!A169&amp;", Level on LARS is "&amp;'Courses Valid'!CL175&amp;"; ",""),"")</f>
        <v/>
      </c>
      <c r="CN175" s="131"/>
    </row>
    <row r="176" spans="3:92" x14ac:dyDescent="0.35">
      <c r="C176" s="1591">
        <f t="shared" si="4"/>
        <v>0</v>
      </c>
      <c r="D176" s="41"/>
      <c r="E176" s="41"/>
      <c r="F176" s="118"/>
      <c r="G176" s="1592" t="str">
        <f>IF(SUMPRODUCT(--(CourseAims=Courses!$C170))=1,"",IF(AND($N$9=1,Courses!$C170&lt;&gt;""),"Row "&amp;Courses!A170&amp;" (invalid); ",""))</f>
        <v/>
      </c>
      <c r="H176" s="1592" t="str">
        <f>IF(AND($O$9=1,Courses!B170="",OR(Courses!F170&lt;&gt;"",Courses!H170&lt;&gt;"",Courses!J170&lt;&gt;"",Courses!K170&lt;&gt;"",Courses!L170&lt;&gt;"",Courses!M170&lt;&gt;0,Courses!N170&lt;&gt;0,Courses!O170&lt;&gt;0,Courses!P170&lt;&gt;0,Courses!Q170&lt;&gt;0,Courses!R170&lt;&gt;0,Courses!S170&lt;&gt;0,Courses!T170&lt;&gt;0,Courses!U170&lt;&gt;0,Courses!V170&lt;&gt;0,Courses!W170&lt;&gt;0,Courses!X170&lt;&gt;0,Courses!Y170&lt;&gt;0,Courses!Z170&lt;&gt;0,Courses!AA170&lt;&gt;0)),"Row "&amp;Courses!A170&amp;" (none); ","")</f>
        <v/>
      </c>
      <c r="I176" s="1596"/>
      <c r="K176" s="1592" t="str">
        <f>Courses!B170&amp;Courses!K170&amp;Courses!L170</f>
        <v/>
      </c>
      <c r="L176" s="1592" t="str">
        <f>IF(AND($P$9=1,Courses!$B170&lt;&gt;"",COUNTIF(Dummy,Courses!$C170)&lt;&gt;1),IF(SUMPRODUCT(--($K$20:$K$219=$K176))&gt;1,"Row "&amp;Courses!$A170&amp;"; ",""),"")</f>
        <v/>
      </c>
      <c r="N176" s="118"/>
      <c r="O176" s="1593" t="str">
        <f>IF(AND($Q$9=1,Courses!E170&lt;&gt;"",Courses!F170=""),"Row "&amp;Courses!A170&amp;", "&amp;Courses!$E$10&amp;"; ","")</f>
        <v/>
      </c>
      <c r="P176" t="str">
        <f>IF(AND($Q$9=1,Courses!G170&lt;&gt;"",Courses!H170=""),"Row "&amp;Courses!A170&amp;", "&amp;Courses!$G$10&amp;"; ","")</f>
        <v/>
      </c>
      <c r="Q176" s="183" t="str">
        <f>IF(AND($Q$9=1,Courses!I170&lt;&gt;"",Courses!J170=""),"Row "&amp;Courses!A170&amp;", "&amp;Courses!$I$10&amp;"; ","")</f>
        <v/>
      </c>
      <c r="T176" s="118"/>
      <c r="U176" s="1593" t="str">
        <f>IF(AND($R$9=1,Courses!B170&lt;&gt;"",Courses!E170&lt;&gt;"",Courses!G170="",Courses!I170="",Courses!F170&lt;&gt;1),"Row "&amp;Courses!A170&amp;"; ","")</f>
        <v/>
      </c>
      <c r="V176" t="str">
        <f>IF(AND($R$9=1,Courses!B170&lt;&gt;"",Courses!I170="",Courses!F170&lt;&gt;"",Courses!G170&lt;&gt;"",Courses!H170&lt;&gt;""),IF(OR((Courses!F170+Courses!H170)&lt;&gt;1),"Row "&amp;Courses!A170&amp;"; ",""),"")</f>
        <v/>
      </c>
      <c r="W176" s="183" t="str">
        <f>IF(AND($R$9=1,Courses!B170&lt;&gt;"",Courses!I170&lt;&gt;"",Courses!J170&lt;&gt;"",Courses!H170&lt;&gt;"",Courses!G170&lt;&gt;"",Courses!F170&lt;&gt;""),IF(OR((Courses!F170+Courses!H170+Courses!J170)&lt;&gt;1),"Row "&amp;Courses!A170&amp;"; ",""),"")</f>
        <v/>
      </c>
      <c r="Y176" s="1592" t="str">
        <f>IF(AND($R$9=1,Courses!E170&lt;&gt;"",U176="",V176="",W176="",SUM(Courses!F170,Courses!H170,Courses!J170)&lt;&gt;1),"Row "&amp;Courses!A170&amp;"; ","")</f>
        <v/>
      </c>
      <c r="AA176" s="118"/>
      <c r="AB176" s="1593" t="str">
        <f>IF(AND($S$9=1,Courses!B170&lt;&gt;"",Courses!E170&lt;&gt;"",Courses!F170&lt;&gt;""),IF((TRUNC(Courses!F170*100)&lt;&gt;Courses!F170*100),"Row "&amp;Courses!A170&amp;", "&amp;Courses!$F$10&amp;"; ",""),"")</f>
        <v/>
      </c>
      <c r="AC176" t="str">
        <f>IF(AND($S$9=1,Courses!B170&lt;&gt;"",Courses!G170&lt;&gt;"",Courses!H170&lt;&gt;""),IF((TRUNC(Courses!H170*100)&lt;&gt;Courses!H170*100),"Row "&amp;Courses!A170&amp;", "&amp;Courses!$H$10&amp;"; ",""),"")</f>
        <v/>
      </c>
      <c r="AD176" s="183" t="str">
        <f>IF(AND($S$9=1,Courses!B170&lt;&gt;"",Courses!I170&lt;&gt;"",Courses!J170&lt;&gt;""),IF((TRUNC(Courses!J170*100)&lt;&gt;Courses!J170*100),"Row "&amp;Courses!A170&amp;", "&amp;Courses!$J$10&amp;"; ",""),"")</f>
        <v/>
      </c>
      <c r="AF176" s="118"/>
      <c r="AG176" s="1593" t="str">
        <f>IF(AND($T$9=1,G176="",Courses!B170&lt;&gt;"",Courses!K170&lt;&gt;$B$9,Courses!K170&lt;&gt;$B$10,Courses!K170&lt;&gt;$B$11,Courses!K170&lt;&gt;$B$12,Courses!K170&lt;&gt;$B$13,Courses!K170&lt;&gt;$B$14),"Row "&amp;Courses!A170&amp;"; ","")</f>
        <v/>
      </c>
      <c r="AH176" s="1592" t="str">
        <f>IF(AND($U$9=1,G176="",Courses!B170&lt;&gt;"",Courses!L170&lt;&gt;"Standard",Courses!L170&lt;&gt;"Long"),"Row "&amp;Courses!A170&amp;"; ","")</f>
        <v/>
      </c>
      <c r="AJ176" s="118"/>
      <c r="AK176" s="3">
        <v>157</v>
      </c>
      <c r="AL176" s="1593" t="str">
        <f>IF(AND($V$9=1,(TRUNC(Courses!M170)&lt;&gt;Courses!M170)), "Row "&amp;Courses!$A170&amp;", "&amp;AL$9&amp;", "&amp;AL$10&amp;", "&amp;AL$11&amp;"; ","")</f>
        <v/>
      </c>
      <c r="AM176" t="str">
        <f>IF(AND($V$9=1,(TRUNC(Courses!N170)&lt;&gt;Courses!N170)), "Row "&amp;Courses!$A170&amp;", "&amp;AM$9&amp;", "&amp;AM$10&amp;", "&amp;AM$11&amp;"; ","")</f>
        <v/>
      </c>
      <c r="AN176" t="str">
        <f>IF(AND($V$9=1,(TRUNC(Courses!O170)&lt;&gt;Courses!O170)), "Row "&amp;Courses!$A170&amp;", "&amp;AN$9&amp;", "&amp;AN$10&amp;", "&amp;AN$11&amp;"; ","")</f>
        <v/>
      </c>
      <c r="AO176" t="str">
        <f>IF(AND($V$9=1,(TRUNC(Courses!P170)&lt;&gt;Courses!P170)), "Row "&amp;Courses!$A170&amp;", "&amp;AO$9&amp;", "&amp;AO$10&amp;", "&amp;AO$11&amp;"; ","")</f>
        <v/>
      </c>
      <c r="AP176" s="2120" t="str">
        <f>IF(AND($V$9=1,(TRUNC(Courses!Q170)&lt;&gt;Courses!Q170)), "Row "&amp;Courses!$A170&amp;", "&amp;AP$9&amp;", "&amp;AP$10&amp;"; ","")</f>
        <v/>
      </c>
      <c r="AQ176" s="1593" t="str">
        <f>IF(AND($V$9=1,(TRUNC(Courses!R170)&lt;&gt;Courses!R170)), "Row "&amp;Courses!$A170&amp;", "&amp;AQ$9&amp;", "&amp;AQ$10&amp;", "&amp;AQ$11&amp;"; ","")</f>
        <v/>
      </c>
      <c r="AR176" t="str">
        <f>IF(AND($V$9=1,(TRUNC(Courses!S170)&lt;&gt;Courses!S170)), "Row "&amp;Courses!$A170&amp;", "&amp;AR$9&amp;", "&amp;AR$10&amp;", "&amp;AR$11&amp;"; ","")</f>
        <v/>
      </c>
      <c r="AS176" t="str">
        <f>IF(AND($V$9=1,(TRUNC(Courses!T170)&lt;&gt;Courses!T170)), "Row "&amp;Courses!$A170&amp;", "&amp;AS$9&amp;", "&amp;AS$10&amp;", "&amp;AS$11&amp;"; ","")</f>
        <v/>
      </c>
      <c r="AT176" t="str">
        <f>IF(AND($V$9=1,(TRUNC(Courses!U170)&lt;&gt;Courses!U170)), "Row "&amp;Courses!$A170&amp;", "&amp;AT$9&amp;", "&amp;AT$10&amp;", "&amp;AT$11&amp;"; ","")</f>
        <v/>
      </c>
      <c r="AU176" s="2120" t="str">
        <f>IF(AND($V$9=1,(TRUNC(Courses!V170)&lt;&gt;Courses!V170)), "Row "&amp;Courses!$A170&amp;", "&amp;AU$9&amp;", "&amp;AU$10&amp;"; ","")</f>
        <v/>
      </c>
      <c r="AV176" s="1593" t="str">
        <f>IF(AND($V$9=1,(TRUNC(Courses!W170)&lt;&gt;Courses!W170)), "Row "&amp;Courses!$A170&amp;", "&amp;AV$9&amp;", "&amp;AV$10&amp;", "&amp;AV$11&amp;"; ","")</f>
        <v/>
      </c>
      <c r="AW176" t="str">
        <f>IF(AND($V$9=1,(TRUNC(Courses!X170)&lt;&gt;Courses!X170)), "Row "&amp;Courses!$A170&amp;", "&amp;AW$9&amp;", "&amp;AW$10&amp;", "&amp;AW$11&amp;"; ","")</f>
        <v/>
      </c>
      <c r="AX176" t="str">
        <f>IF(AND($V$9=1,(TRUNC(Courses!Y170)&lt;&gt;Courses!Y170)), "Row "&amp;Courses!$A170&amp;", "&amp;AX$9&amp;", "&amp;AX$10&amp;", "&amp;AX$11&amp;"; ","")</f>
        <v/>
      </c>
      <c r="AY176" t="str">
        <f>IF(AND($V$9=1,(TRUNC(Courses!Z170)&lt;&gt;Courses!Z170)), "Row "&amp;Courses!$A170&amp;", "&amp;AY$9&amp;", "&amp;AY$10&amp;", "&amp;AY$11&amp;"; ","")</f>
        <v/>
      </c>
      <c r="AZ176" s="2120" t="str">
        <f>IF(AND($V$9=1,(TRUNC(Courses!AA170)&lt;&gt;Courses!AA170)), "Row "&amp;Courses!$A170&amp;", "&amp;AZ$9&amp;", "&amp;AZ$10&amp;"; ","")</f>
        <v/>
      </c>
      <c r="BB176" s="118"/>
      <c r="BC176" s="3">
        <v>157</v>
      </c>
      <c r="BD176" s="1593" t="str">
        <f>IF(AND($W$9=1,Courses!M170&lt;0), "Row "&amp;Courses!$A170&amp;", "&amp;BD$9&amp;", "&amp;BD$10&amp;", "&amp;BD$11&amp;"; ","")</f>
        <v/>
      </c>
      <c r="BE176" t="str">
        <f>IF(AND($W$9=1,Courses!N170&lt;0), "Row "&amp;Courses!$A170&amp;", "&amp;BE$9&amp;", "&amp;BE$10&amp;", "&amp;BE$11&amp;"; ","")</f>
        <v/>
      </c>
      <c r="BF176" t="str">
        <f>IF(AND($W$9=1,Courses!O170&lt;0), "Row "&amp;Courses!$A170&amp;", "&amp;BF$9&amp;", "&amp;BF$10&amp;", "&amp;BF$11&amp;"; ","")</f>
        <v/>
      </c>
      <c r="BG176" t="str">
        <f>IF(AND($W$9=1,Courses!P170&lt;0), "Row "&amp;Courses!$A170&amp;", "&amp;BG$9&amp;", "&amp;BG$10&amp;", "&amp;BG$11&amp;"; ","")</f>
        <v/>
      </c>
      <c r="BH176" s="2120" t="str">
        <f>IF(AND($W$9=1,Courses!Q170&lt;0), "Row "&amp;Courses!$A170&amp;", "&amp;BH$9&amp;", "&amp;BH$10&amp;"; ","")</f>
        <v/>
      </c>
      <c r="BI176" s="1593" t="str">
        <f>IF(AND($W$9=1,Courses!R170&lt;0), "Row "&amp;Courses!$A170&amp;", "&amp;BI$9&amp;", "&amp;BI$10&amp;", "&amp;BI$11&amp;"; ","")</f>
        <v/>
      </c>
      <c r="BJ176" t="str">
        <f>IF(AND($W$9=1,Courses!S170&lt;0), "Row "&amp;Courses!$A170&amp;", "&amp;BJ$9&amp;", "&amp;BJ$10&amp;", "&amp;BJ$11&amp;"; ","")</f>
        <v/>
      </c>
      <c r="BK176" t="str">
        <f>IF(AND($W$9=1,Courses!T170&lt;0), "Row "&amp;Courses!$A170&amp;", "&amp;BK$9&amp;", "&amp;BK$10&amp;", "&amp;BK$11&amp;"; ","")</f>
        <v/>
      </c>
      <c r="BL176" t="str">
        <f>IF(AND($W$9=1,Courses!U170&lt;0), "Row "&amp;Courses!$A170&amp;", "&amp;BL$9&amp;", "&amp;BL$10&amp;", "&amp;BL$11&amp;"; ","")</f>
        <v/>
      </c>
      <c r="BM176" s="2120" t="str">
        <f>IF(AND($W$9=1,Courses!V170&lt;0), "Row "&amp;Courses!$A170&amp;", "&amp;BM$9&amp;", "&amp;BM$10&amp;"; ","")</f>
        <v/>
      </c>
      <c r="BN176" t="str">
        <f>IF(AND($W$9=1,Courses!W170&lt;0), "Row "&amp;Courses!$A170&amp;", "&amp;BN$9&amp;", "&amp;BN$10&amp;", "&amp;BN$11&amp;"; ","")</f>
        <v/>
      </c>
      <c r="BO176" t="str">
        <f>IF(AND($W$9=1,Courses!X170&lt;0), "Row "&amp;Courses!$A170&amp;", "&amp;BO$9&amp;", "&amp;BO$10&amp;", "&amp;BO$11&amp;"; ","")</f>
        <v/>
      </c>
      <c r="BP176" t="str">
        <f>IF(AND($W$9=1,Courses!Y170&lt;0), "Row "&amp;Courses!$A170&amp;", "&amp;BP$9&amp;", "&amp;BP$10&amp;", "&amp;BP$11&amp;"; ","")</f>
        <v/>
      </c>
      <c r="BQ176" t="str">
        <f>IF(AND($W$9=1,Courses!Z170&lt;0), "Row "&amp;Courses!$A170&amp;", "&amp;BQ$9&amp;", "&amp;BQ$10&amp;", "&amp;BQ$11&amp;"; ","")</f>
        <v/>
      </c>
      <c r="BR176" s="2120" t="str">
        <f>IF(AND($W$9=1,Courses!AA170&lt;0), "Row "&amp;Courses!$A170&amp;", "&amp;BR$9&amp;", "&amp;BR$10&amp;"; ","")</f>
        <v/>
      </c>
      <c r="BT176" s="3">
        <v>157</v>
      </c>
      <c r="BU176" s="40">
        <f>IF(AND($X$9=1,Courses!B170="",Courses!F170="",Courses!H170="",Courses!J170="",Courses!K170="",Courses!L170="",Courses!M170=0,Courses!N170=0,Courses!O170=0,Courses!P170=0,Courses!Q170=0,Courses!R170=0,Courses!S170=0,Courses!T170=0,Courses!U170=0,Courses!V170=0,Courses!W170=0,Courses!X170=0,Courses!Y170=0,Courses!Z170=0,Courses!AA170=0),0,1)</f>
        <v>0</v>
      </c>
      <c r="BV176" s="40">
        <f>IF(AND(BU176=0,SUM(BU177:$BU$219)&gt;0),1,0)</f>
        <v>0</v>
      </c>
      <c r="BW176" s="1592" t="str">
        <f>IF(BV176=1,"Row "&amp;Courses!A170&amp;"; ","")</f>
        <v/>
      </c>
      <c r="BX176" s="17"/>
      <c r="BZ176" s="1592" t="str">
        <f>IF(AND($Y$9=1,Courses!B170&lt;&gt;"",SUM(Courses!M170:AA170)=0),"Row "&amp;Courses!A170&amp;"; ","")</f>
        <v/>
      </c>
      <c r="CA176" s="17"/>
      <c r="CC176" s="1592" t="str">
        <f>IF(AND($Z$9=1,Courses!AD170=1,(LEN(Courses!AB170)&gt;200)),"Row "&amp;Courses!A170&amp;"; ","")</f>
        <v/>
      </c>
      <c r="CE176" s="131"/>
      <c r="CG176" s="1593" t="str">
        <f>IF(AND($AD$9=1,Courses!E170&lt;&gt;"",Courses!F170&lt;&gt;"",Courses!F170=0,SUM(Courses!H170,Courses!J170)=1),"Row "&amp;Courses!A170&amp;", "&amp;Courses!$F$10&amp;"; ","")</f>
        <v/>
      </c>
      <c r="CH176" t="str">
        <f>IF(AND($AD$9=1,Courses!G170&lt;&gt;"",Courses!H170&lt;&gt;"",Courses!H170=0,SUM(Courses!J170,Courses!F170)=1),"Row "&amp;Courses!A170&amp;", "&amp;Courses!$H$10&amp;"; ","")</f>
        <v/>
      </c>
      <c r="CI176" s="183" t="str">
        <f>IF(AND($AD$9=1,Courses!I170&lt;&gt;"",Courses!J170&lt;&gt;"",Courses!J170=0, SUM(Courses!H170,Courses!F170)=1),"Row "&amp;Courses!A170&amp;", "&amp;Courses!$J$10&amp;"; ","")</f>
        <v/>
      </c>
      <c r="CJ176" s="180"/>
      <c r="CK176" s="181"/>
      <c r="CL176" s="1592" t="str">
        <f>IF(AND(Courses!B170&lt;&gt;"",ISNA(VLOOKUP(Courses!C170,CourseInfo,2,FALSE))=FALSE,COUNTIF(Dummy,Courses!C170)&lt;&gt;1),VLOOKUP(Courses!C170,CourseInfo,6,FALSE),"")</f>
        <v/>
      </c>
      <c r="CM176" s="1592" t="str">
        <f>IF(AND($AE$9=1,Courses!B170&lt;&gt;"",'Courses Valid'!AG176="",COUNTIF(Dummy,Courses!C170)&lt;&gt;1),IF(Courses!K170&lt;&gt;'Courses Valid'!CL176,"Row "&amp;Courses!A170&amp;", Level on LARS is "&amp;'Courses Valid'!CL176&amp;"; ",""),"")</f>
        <v/>
      </c>
      <c r="CN176" s="131"/>
    </row>
    <row r="177" spans="3:92" x14ac:dyDescent="0.35">
      <c r="C177" s="1591">
        <f t="shared" si="4"/>
        <v>0</v>
      </c>
      <c r="D177" s="41"/>
      <c r="E177" s="41"/>
      <c r="F177" s="118"/>
      <c r="G177" s="1592" t="str">
        <f>IF(SUMPRODUCT(--(CourseAims=Courses!$C171))=1,"",IF(AND($N$9=1,Courses!$C171&lt;&gt;""),"Row "&amp;Courses!A171&amp;" (invalid); ",""))</f>
        <v/>
      </c>
      <c r="H177" s="1592" t="str">
        <f>IF(AND($O$9=1,Courses!B171="",OR(Courses!F171&lt;&gt;"",Courses!H171&lt;&gt;"",Courses!J171&lt;&gt;"",Courses!K171&lt;&gt;"",Courses!L171&lt;&gt;"",Courses!M171&lt;&gt;0,Courses!N171&lt;&gt;0,Courses!O171&lt;&gt;0,Courses!P171&lt;&gt;0,Courses!Q171&lt;&gt;0,Courses!R171&lt;&gt;0,Courses!S171&lt;&gt;0,Courses!T171&lt;&gt;0,Courses!U171&lt;&gt;0,Courses!V171&lt;&gt;0,Courses!W171&lt;&gt;0,Courses!X171&lt;&gt;0,Courses!Y171&lt;&gt;0,Courses!Z171&lt;&gt;0,Courses!AA171&lt;&gt;0)),"Row "&amp;Courses!A171&amp;" (none); ","")</f>
        <v/>
      </c>
      <c r="I177" s="1596"/>
      <c r="K177" s="1592" t="str">
        <f>Courses!B171&amp;Courses!K171&amp;Courses!L171</f>
        <v/>
      </c>
      <c r="L177" s="1592" t="str">
        <f>IF(AND($P$9=1,Courses!$B171&lt;&gt;"",COUNTIF(Dummy,Courses!$C171)&lt;&gt;1),IF(SUMPRODUCT(--($K$20:$K$219=$K177))&gt;1,"Row "&amp;Courses!$A171&amp;"; ",""),"")</f>
        <v/>
      </c>
      <c r="N177" s="118"/>
      <c r="O177" s="1593" t="str">
        <f>IF(AND($Q$9=1,Courses!E171&lt;&gt;"",Courses!F171=""),"Row "&amp;Courses!A171&amp;", "&amp;Courses!$E$10&amp;"; ","")</f>
        <v/>
      </c>
      <c r="P177" t="str">
        <f>IF(AND($Q$9=1,Courses!G171&lt;&gt;"",Courses!H171=""),"Row "&amp;Courses!A171&amp;", "&amp;Courses!$G$10&amp;"; ","")</f>
        <v/>
      </c>
      <c r="Q177" s="183" t="str">
        <f>IF(AND($Q$9=1,Courses!I171&lt;&gt;"",Courses!J171=""),"Row "&amp;Courses!A171&amp;", "&amp;Courses!$I$10&amp;"; ","")</f>
        <v/>
      </c>
      <c r="T177" s="118"/>
      <c r="U177" s="1593" t="str">
        <f>IF(AND($R$9=1,Courses!B171&lt;&gt;"",Courses!E171&lt;&gt;"",Courses!G171="",Courses!I171="",Courses!F171&lt;&gt;1),"Row "&amp;Courses!A171&amp;"; ","")</f>
        <v/>
      </c>
      <c r="V177" t="str">
        <f>IF(AND($R$9=1,Courses!B171&lt;&gt;"",Courses!I171="",Courses!F171&lt;&gt;"",Courses!G171&lt;&gt;"",Courses!H171&lt;&gt;""),IF(OR((Courses!F171+Courses!H171)&lt;&gt;1),"Row "&amp;Courses!A171&amp;"; ",""),"")</f>
        <v/>
      </c>
      <c r="W177" s="183" t="str">
        <f>IF(AND($R$9=1,Courses!B171&lt;&gt;"",Courses!I171&lt;&gt;"",Courses!J171&lt;&gt;"",Courses!H171&lt;&gt;"",Courses!G171&lt;&gt;"",Courses!F171&lt;&gt;""),IF(OR((Courses!F171+Courses!H171+Courses!J171)&lt;&gt;1),"Row "&amp;Courses!A171&amp;"; ",""),"")</f>
        <v/>
      </c>
      <c r="Y177" s="1592" t="str">
        <f>IF(AND($R$9=1,Courses!E171&lt;&gt;"",U177="",V177="",W177="",SUM(Courses!F171,Courses!H171,Courses!J171)&lt;&gt;1),"Row "&amp;Courses!A171&amp;"; ","")</f>
        <v/>
      </c>
      <c r="AA177" s="118"/>
      <c r="AB177" s="1593" t="str">
        <f>IF(AND($S$9=1,Courses!B171&lt;&gt;"",Courses!E171&lt;&gt;"",Courses!F171&lt;&gt;""),IF((TRUNC(Courses!F171*100)&lt;&gt;Courses!F171*100),"Row "&amp;Courses!A171&amp;", "&amp;Courses!$F$10&amp;"; ",""),"")</f>
        <v/>
      </c>
      <c r="AC177" t="str">
        <f>IF(AND($S$9=1,Courses!B171&lt;&gt;"",Courses!G171&lt;&gt;"",Courses!H171&lt;&gt;""),IF((TRUNC(Courses!H171*100)&lt;&gt;Courses!H171*100),"Row "&amp;Courses!A171&amp;", "&amp;Courses!$H$10&amp;"; ",""),"")</f>
        <v/>
      </c>
      <c r="AD177" s="183" t="str">
        <f>IF(AND($S$9=1,Courses!B171&lt;&gt;"",Courses!I171&lt;&gt;"",Courses!J171&lt;&gt;""),IF((TRUNC(Courses!J171*100)&lt;&gt;Courses!J171*100),"Row "&amp;Courses!A171&amp;", "&amp;Courses!$J$10&amp;"; ",""),"")</f>
        <v/>
      </c>
      <c r="AF177" s="118"/>
      <c r="AG177" s="1593" t="str">
        <f>IF(AND($T$9=1,G177="",Courses!B171&lt;&gt;"",Courses!K171&lt;&gt;$B$9,Courses!K171&lt;&gt;$B$10,Courses!K171&lt;&gt;$B$11,Courses!K171&lt;&gt;$B$12,Courses!K171&lt;&gt;$B$13,Courses!K171&lt;&gt;$B$14),"Row "&amp;Courses!A171&amp;"; ","")</f>
        <v/>
      </c>
      <c r="AH177" s="1592" t="str">
        <f>IF(AND($U$9=1,G177="",Courses!B171&lt;&gt;"",Courses!L171&lt;&gt;"Standard",Courses!L171&lt;&gt;"Long"),"Row "&amp;Courses!A171&amp;"; ","")</f>
        <v/>
      </c>
      <c r="AJ177" s="118"/>
      <c r="AK177" s="3">
        <v>158</v>
      </c>
      <c r="AL177" s="1593" t="str">
        <f>IF(AND($V$9=1,(TRUNC(Courses!M171)&lt;&gt;Courses!M171)), "Row "&amp;Courses!$A171&amp;", "&amp;AL$9&amp;", "&amp;AL$10&amp;", "&amp;AL$11&amp;"; ","")</f>
        <v/>
      </c>
      <c r="AM177" t="str">
        <f>IF(AND($V$9=1,(TRUNC(Courses!N171)&lt;&gt;Courses!N171)), "Row "&amp;Courses!$A171&amp;", "&amp;AM$9&amp;", "&amp;AM$10&amp;", "&amp;AM$11&amp;"; ","")</f>
        <v/>
      </c>
      <c r="AN177" t="str">
        <f>IF(AND($V$9=1,(TRUNC(Courses!O171)&lt;&gt;Courses!O171)), "Row "&amp;Courses!$A171&amp;", "&amp;AN$9&amp;", "&amp;AN$10&amp;", "&amp;AN$11&amp;"; ","")</f>
        <v/>
      </c>
      <c r="AO177" t="str">
        <f>IF(AND($V$9=1,(TRUNC(Courses!P171)&lt;&gt;Courses!P171)), "Row "&amp;Courses!$A171&amp;", "&amp;AO$9&amp;", "&amp;AO$10&amp;", "&amp;AO$11&amp;"; ","")</f>
        <v/>
      </c>
      <c r="AP177" s="2120" t="str">
        <f>IF(AND($V$9=1,(TRUNC(Courses!Q171)&lt;&gt;Courses!Q171)), "Row "&amp;Courses!$A171&amp;", "&amp;AP$9&amp;", "&amp;AP$10&amp;"; ","")</f>
        <v/>
      </c>
      <c r="AQ177" s="1593" t="str">
        <f>IF(AND($V$9=1,(TRUNC(Courses!R171)&lt;&gt;Courses!R171)), "Row "&amp;Courses!$A171&amp;", "&amp;AQ$9&amp;", "&amp;AQ$10&amp;", "&amp;AQ$11&amp;"; ","")</f>
        <v/>
      </c>
      <c r="AR177" t="str">
        <f>IF(AND($V$9=1,(TRUNC(Courses!S171)&lt;&gt;Courses!S171)), "Row "&amp;Courses!$A171&amp;", "&amp;AR$9&amp;", "&amp;AR$10&amp;", "&amp;AR$11&amp;"; ","")</f>
        <v/>
      </c>
      <c r="AS177" t="str">
        <f>IF(AND($V$9=1,(TRUNC(Courses!T171)&lt;&gt;Courses!T171)), "Row "&amp;Courses!$A171&amp;", "&amp;AS$9&amp;", "&amp;AS$10&amp;", "&amp;AS$11&amp;"; ","")</f>
        <v/>
      </c>
      <c r="AT177" t="str">
        <f>IF(AND($V$9=1,(TRUNC(Courses!U171)&lt;&gt;Courses!U171)), "Row "&amp;Courses!$A171&amp;", "&amp;AT$9&amp;", "&amp;AT$10&amp;", "&amp;AT$11&amp;"; ","")</f>
        <v/>
      </c>
      <c r="AU177" s="2120" t="str">
        <f>IF(AND($V$9=1,(TRUNC(Courses!V171)&lt;&gt;Courses!V171)), "Row "&amp;Courses!$A171&amp;", "&amp;AU$9&amp;", "&amp;AU$10&amp;"; ","")</f>
        <v/>
      </c>
      <c r="AV177" s="1593" t="str">
        <f>IF(AND($V$9=1,(TRUNC(Courses!W171)&lt;&gt;Courses!W171)), "Row "&amp;Courses!$A171&amp;", "&amp;AV$9&amp;", "&amp;AV$10&amp;", "&amp;AV$11&amp;"; ","")</f>
        <v/>
      </c>
      <c r="AW177" t="str">
        <f>IF(AND($V$9=1,(TRUNC(Courses!X171)&lt;&gt;Courses!X171)), "Row "&amp;Courses!$A171&amp;", "&amp;AW$9&amp;", "&amp;AW$10&amp;", "&amp;AW$11&amp;"; ","")</f>
        <v/>
      </c>
      <c r="AX177" t="str">
        <f>IF(AND($V$9=1,(TRUNC(Courses!Y171)&lt;&gt;Courses!Y171)), "Row "&amp;Courses!$A171&amp;", "&amp;AX$9&amp;", "&amp;AX$10&amp;", "&amp;AX$11&amp;"; ","")</f>
        <v/>
      </c>
      <c r="AY177" t="str">
        <f>IF(AND($V$9=1,(TRUNC(Courses!Z171)&lt;&gt;Courses!Z171)), "Row "&amp;Courses!$A171&amp;", "&amp;AY$9&amp;", "&amp;AY$10&amp;", "&amp;AY$11&amp;"; ","")</f>
        <v/>
      </c>
      <c r="AZ177" s="2120" t="str">
        <f>IF(AND($V$9=1,(TRUNC(Courses!AA171)&lt;&gt;Courses!AA171)), "Row "&amp;Courses!$A171&amp;", "&amp;AZ$9&amp;", "&amp;AZ$10&amp;"; ","")</f>
        <v/>
      </c>
      <c r="BB177" s="118"/>
      <c r="BC177" s="3">
        <v>158</v>
      </c>
      <c r="BD177" s="1593" t="str">
        <f>IF(AND($W$9=1,Courses!M171&lt;0), "Row "&amp;Courses!$A171&amp;", "&amp;BD$9&amp;", "&amp;BD$10&amp;", "&amp;BD$11&amp;"; ","")</f>
        <v/>
      </c>
      <c r="BE177" t="str">
        <f>IF(AND($W$9=1,Courses!N171&lt;0), "Row "&amp;Courses!$A171&amp;", "&amp;BE$9&amp;", "&amp;BE$10&amp;", "&amp;BE$11&amp;"; ","")</f>
        <v/>
      </c>
      <c r="BF177" t="str">
        <f>IF(AND($W$9=1,Courses!O171&lt;0), "Row "&amp;Courses!$A171&amp;", "&amp;BF$9&amp;", "&amp;BF$10&amp;", "&amp;BF$11&amp;"; ","")</f>
        <v/>
      </c>
      <c r="BG177" t="str">
        <f>IF(AND($W$9=1,Courses!P171&lt;0), "Row "&amp;Courses!$A171&amp;", "&amp;BG$9&amp;", "&amp;BG$10&amp;", "&amp;BG$11&amp;"; ","")</f>
        <v/>
      </c>
      <c r="BH177" s="2120" t="str">
        <f>IF(AND($W$9=1,Courses!Q171&lt;0), "Row "&amp;Courses!$A171&amp;", "&amp;BH$9&amp;", "&amp;BH$10&amp;"; ","")</f>
        <v/>
      </c>
      <c r="BI177" s="1593" t="str">
        <f>IF(AND($W$9=1,Courses!R171&lt;0), "Row "&amp;Courses!$A171&amp;", "&amp;BI$9&amp;", "&amp;BI$10&amp;", "&amp;BI$11&amp;"; ","")</f>
        <v/>
      </c>
      <c r="BJ177" t="str">
        <f>IF(AND($W$9=1,Courses!S171&lt;0), "Row "&amp;Courses!$A171&amp;", "&amp;BJ$9&amp;", "&amp;BJ$10&amp;", "&amp;BJ$11&amp;"; ","")</f>
        <v/>
      </c>
      <c r="BK177" t="str">
        <f>IF(AND($W$9=1,Courses!T171&lt;0), "Row "&amp;Courses!$A171&amp;", "&amp;BK$9&amp;", "&amp;BK$10&amp;", "&amp;BK$11&amp;"; ","")</f>
        <v/>
      </c>
      <c r="BL177" t="str">
        <f>IF(AND($W$9=1,Courses!U171&lt;0), "Row "&amp;Courses!$A171&amp;", "&amp;BL$9&amp;", "&amp;BL$10&amp;", "&amp;BL$11&amp;"; ","")</f>
        <v/>
      </c>
      <c r="BM177" s="2120" t="str">
        <f>IF(AND($W$9=1,Courses!V171&lt;0), "Row "&amp;Courses!$A171&amp;", "&amp;BM$9&amp;", "&amp;BM$10&amp;"; ","")</f>
        <v/>
      </c>
      <c r="BN177" t="str">
        <f>IF(AND($W$9=1,Courses!W171&lt;0), "Row "&amp;Courses!$A171&amp;", "&amp;BN$9&amp;", "&amp;BN$10&amp;", "&amp;BN$11&amp;"; ","")</f>
        <v/>
      </c>
      <c r="BO177" t="str">
        <f>IF(AND($W$9=1,Courses!X171&lt;0), "Row "&amp;Courses!$A171&amp;", "&amp;BO$9&amp;", "&amp;BO$10&amp;", "&amp;BO$11&amp;"; ","")</f>
        <v/>
      </c>
      <c r="BP177" t="str">
        <f>IF(AND($W$9=1,Courses!Y171&lt;0), "Row "&amp;Courses!$A171&amp;", "&amp;BP$9&amp;", "&amp;BP$10&amp;", "&amp;BP$11&amp;"; ","")</f>
        <v/>
      </c>
      <c r="BQ177" t="str">
        <f>IF(AND($W$9=1,Courses!Z171&lt;0), "Row "&amp;Courses!$A171&amp;", "&amp;BQ$9&amp;", "&amp;BQ$10&amp;", "&amp;BQ$11&amp;"; ","")</f>
        <v/>
      </c>
      <c r="BR177" s="2120" t="str">
        <f>IF(AND($W$9=1,Courses!AA171&lt;0), "Row "&amp;Courses!$A171&amp;", "&amp;BR$9&amp;", "&amp;BR$10&amp;"; ","")</f>
        <v/>
      </c>
      <c r="BT177" s="3">
        <v>158</v>
      </c>
      <c r="BU177" s="40">
        <f>IF(AND($X$9=1,Courses!B171="",Courses!F171="",Courses!H171="",Courses!J171="",Courses!K171="",Courses!L171="",Courses!M171=0,Courses!N171=0,Courses!O171=0,Courses!P171=0,Courses!Q171=0,Courses!R171=0,Courses!S171=0,Courses!T171=0,Courses!U171=0,Courses!V171=0,Courses!W171=0,Courses!X171=0,Courses!Y171=0,Courses!Z171=0,Courses!AA171=0),0,1)</f>
        <v>0</v>
      </c>
      <c r="BV177" s="40">
        <f>IF(AND(BU177=0,SUM(BU178:$BU$219)&gt;0),1,0)</f>
        <v>0</v>
      </c>
      <c r="BW177" s="1592" t="str">
        <f>IF(BV177=1,"Row "&amp;Courses!A171&amp;"; ","")</f>
        <v/>
      </c>
      <c r="BX177" s="17"/>
      <c r="BZ177" s="1592" t="str">
        <f>IF(AND($Y$9=1,Courses!B171&lt;&gt;"",SUM(Courses!M171:AA171)=0),"Row "&amp;Courses!A171&amp;"; ","")</f>
        <v/>
      </c>
      <c r="CA177" s="17"/>
      <c r="CC177" s="1592" t="str">
        <f>IF(AND($Z$9=1,Courses!AD171=1,(LEN(Courses!AB171)&gt;200)),"Row "&amp;Courses!A171&amp;"; ","")</f>
        <v/>
      </c>
      <c r="CE177" s="131"/>
      <c r="CG177" s="1593" t="str">
        <f>IF(AND($AD$9=1,Courses!E171&lt;&gt;"",Courses!F171&lt;&gt;"",Courses!F171=0,SUM(Courses!H171,Courses!J171)=1),"Row "&amp;Courses!A171&amp;", "&amp;Courses!$F$10&amp;"; ","")</f>
        <v/>
      </c>
      <c r="CH177" t="str">
        <f>IF(AND($AD$9=1,Courses!G171&lt;&gt;"",Courses!H171&lt;&gt;"",Courses!H171=0,SUM(Courses!J171,Courses!F171)=1),"Row "&amp;Courses!A171&amp;", "&amp;Courses!$H$10&amp;"; ","")</f>
        <v/>
      </c>
      <c r="CI177" s="183" t="str">
        <f>IF(AND($AD$9=1,Courses!I171&lt;&gt;"",Courses!J171&lt;&gt;"",Courses!J171=0, SUM(Courses!H171,Courses!F171)=1),"Row "&amp;Courses!A171&amp;", "&amp;Courses!$J$10&amp;"; ","")</f>
        <v/>
      </c>
      <c r="CJ177" s="180"/>
      <c r="CK177" s="181"/>
      <c r="CL177" s="1592" t="str">
        <f>IF(AND(Courses!B171&lt;&gt;"",ISNA(VLOOKUP(Courses!C171,CourseInfo,2,FALSE))=FALSE,COUNTIF(Dummy,Courses!C171)&lt;&gt;1),VLOOKUP(Courses!C171,CourseInfo,6,FALSE),"")</f>
        <v/>
      </c>
      <c r="CM177" s="1592" t="str">
        <f>IF(AND($AE$9=1,Courses!B171&lt;&gt;"",'Courses Valid'!AG177="",COUNTIF(Dummy,Courses!C171)&lt;&gt;1),IF(Courses!K171&lt;&gt;'Courses Valid'!CL177,"Row "&amp;Courses!A171&amp;", Level on LARS is "&amp;'Courses Valid'!CL177&amp;"; ",""),"")</f>
        <v/>
      </c>
      <c r="CN177" s="131"/>
    </row>
    <row r="178" spans="3:92" x14ac:dyDescent="0.35">
      <c r="C178" s="1591">
        <f t="shared" si="4"/>
        <v>0</v>
      </c>
      <c r="D178" s="41"/>
      <c r="E178" s="41"/>
      <c r="F178" s="118"/>
      <c r="G178" s="1592" t="str">
        <f>IF(SUMPRODUCT(--(CourseAims=Courses!$C172))=1,"",IF(AND($N$9=1,Courses!$C172&lt;&gt;""),"Row "&amp;Courses!A172&amp;" (invalid); ",""))</f>
        <v/>
      </c>
      <c r="H178" s="1592" t="str">
        <f>IF(AND($O$9=1,Courses!B172="",OR(Courses!F172&lt;&gt;"",Courses!H172&lt;&gt;"",Courses!J172&lt;&gt;"",Courses!K172&lt;&gt;"",Courses!L172&lt;&gt;"",Courses!M172&lt;&gt;0,Courses!N172&lt;&gt;0,Courses!O172&lt;&gt;0,Courses!P172&lt;&gt;0,Courses!Q172&lt;&gt;0,Courses!R172&lt;&gt;0,Courses!S172&lt;&gt;0,Courses!T172&lt;&gt;0,Courses!U172&lt;&gt;0,Courses!V172&lt;&gt;0,Courses!W172&lt;&gt;0,Courses!X172&lt;&gt;0,Courses!Y172&lt;&gt;0,Courses!Z172&lt;&gt;0,Courses!AA172&lt;&gt;0)),"Row "&amp;Courses!A172&amp;" (none); ","")</f>
        <v/>
      </c>
      <c r="I178" s="1596"/>
      <c r="K178" s="1592" t="str">
        <f>Courses!B172&amp;Courses!K172&amp;Courses!L172</f>
        <v/>
      </c>
      <c r="L178" s="1592" t="str">
        <f>IF(AND($P$9=1,Courses!$B172&lt;&gt;"",COUNTIF(Dummy,Courses!$C172)&lt;&gt;1),IF(SUMPRODUCT(--($K$20:$K$219=$K178))&gt;1,"Row "&amp;Courses!$A172&amp;"; ",""),"")</f>
        <v/>
      </c>
      <c r="N178" s="118"/>
      <c r="O178" s="1593" t="str">
        <f>IF(AND($Q$9=1,Courses!E172&lt;&gt;"",Courses!F172=""),"Row "&amp;Courses!A172&amp;", "&amp;Courses!$E$10&amp;"; ","")</f>
        <v/>
      </c>
      <c r="P178" t="str">
        <f>IF(AND($Q$9=1,Courses!G172&lt;&gt;"",Courses!H172=""),"Row "&amp;Courses!A172&amp;", "&amp;Courses!$G$10&amp;"; ","")</f>
        <v/>
      </c>
      <c r="Q178" s="183" t="str">
        <f>IF(AND($Q$9=1,Courses!I172&lt;&gt;"",Courses!J172=""),"Row "&amp;Courses!A172&amp;", "&amp;Courses!$I$10&amp;"; ","")</f>
        <v/>
      </c>
      <c r="T178" s="118"/>
      <c r="U178" s="1593" t="str">
        <f>IF(AND($R$9=1,Courses!B172&lt;&gt;"",Courses!E172&lt;&gt;"",Courses!G172="",Courses!I172="",Courses!F172&lt;&gt;1),"Row "&amp;Courses!A172&amp;"; ","")</f>
        <v/>
      </c>
      <c r="V178" t="str">
        <f>IF(AND($R$9=1,Courses!B172&lt;&gt;"",Courses!I172="",Courses!F172&lt;&gt;"",Courses!G172&lt;&gt;"",Courses!H172&lt;&gt;""),IF(OR((Courses!F172+Courses!H172)&lt;&gt;1),"Row "&amp;Courses!A172&amp;"; ",""),"")</f>
        <v/>
      </c>
      <c r="W178" s="183" t="str">
        <f>IF(AND($R$9=1,Courses!B172&lt;&gt;"",Courses!I172&lt;&gt;"",Courses!J172&lt;&gt;"",Courses!H172&lt;&gt;"",Courses!G172&lt;&gt;"",Courses!F172&lt;&gt;""),IF(OR((Courses!F172+Courses!H172+Courses!J172)&lt;&gt;1),"Row "&amp;Courses!A172&amp;"; ",""),"")</f>
        <v/>
      </c>
      <c r="Y178" s="1592" t="str">
        <f>IF(AND($R$9=1,Courses!E172&lt;&gt;"",U178="",V178="",W178="",SUM(Courses!F172,Courses!H172,Courses!J172)&lt;&gt;1),"Row "&amp;Courses!A172&amp;"; ","")</f>
        <v/>
      </c>
      <c r="AA178" s="118"/>
      <c r="AB178" s="1593" t="str">
        <f>IF(AND($S$9=1,Courses!B172&lt;&gt;"",Courses!E172&lt;&gt;"",Courses!F172&lt;&gt;""),IF((TRUNC(Courses!F172*100)&lt;&gt;Courses!F172*100),"Row "&amp;Courses!A172&amp;", "&amp;Courses!$F$10&amp;"; ",""),"")</f>
        <v/>
      </c>
      <c r="AC178" t="str">
        <f>IF(AND($S$9=1,Courses!B172&lt;&gt;"",Courses!G172&lt;&gt;"",Courses!H172&lt;&gt;""),IF((TRUNC(Courses!H172*100)&lt;&gt;Courses!H172*100),"Row "&amp;Courses!A172&amp;", "&amp;Courses!$H$10&amp;"; ",""),"")</f>
        <v/>
      </c>
      <c r="AD178" s="183" t="str">
        <f>IF(AND($S$9=1,Courses!B172&lt;&gt;"",Courses!I172&lt;&gt;"",Courses!J172&lt;&gt;""),IF((TRUNC(Courses!J172*100)&lt;&gt;Courses!J172*100),"Row "&amp;Courses!A172&amp;", "&amp;Courses!$J$10&amp;"; ",""),"")</f>
        <v/>
      </c>
      <c r="AF178" s="118"/>
      <c r="AG178" s="1593" t="str">
        <f>IF(AND($T$9=1,G178="",Courses!B172&lt;&gt;"",Courses!K172&lt;&gt;$B$9,Courses!K172&lt;&gt;$B$10,Courses!K172&lt;&gt;$B$11,Courses!K172&lt;&gt;$B$12,Courses!K172&lt;&gt;$B$13,Courses!K172&lt;&gt;$B$14),"Row "&amp;Courses!A172&amp;"; ","")</f>
        <v/>
      </c>
      <c r="AH178" s="1592" t="str">
        <f>IF(AND($U$9=1,G178="",Courses!B172&lt;&gt;"",Courses!L172&lt;&gt;"Standard",Courses!L172&lt;&gt;"Long"),"Row "&amp;Courses!A172&amp;"; ","")</f>
        <v/>
      </c>
      <c r="AJ178" s="118"/>
      <c r="AK178" s="3">
        <v>159</v>
      </c>
      <c r="AL178" s="1593" t="str">
        <f>IF(AND($V$9=1,(TRUNC(Courses!M172)&lt;&gt;Courses!M172)), "Row "&amp;Courses!$A172&amp;", "&amp;AL$9&amp;", "&amp;AL$10&amp;", "&amp;AL$11&amp;"; ","")</f>
        <v/>
      </c>
      <c r="AM178" t="str">
        <f>IF(AND($V$9=1,(TRUNC(Courses!N172)&lt;&gt;Courses!N172)), "Row "&amp;Courses!$A172&amp;", "&amp;AM$9&amp;", "&amp;AM$10&amp;", "&amp;AM$11&amp;"; ","")</f>
        <v/>
      </c>
      <c r="AN178" t="str">
        <f>IF(AND($V$9=1,(TRUNC(Courses!O172)&lt;&gt;Courses!O172)), "Row "&amp;Courses!$A172&amp;", "&amp;AN$9&amp;", "&amp;AN$10&amp;", "&amp;AN$11&amp;"; ","")</f>
        <v/>
      </c>
      <c r="AO178" t="str">
        <f>IF(AND($V$9=1,(TRUNC(Courses!P172)&lt;&gt;Courses!P172)), "Row "&amp;Courses!$A172&amp;", "&amp;AO$9&amp;", "&amp;AO$10&amp;", "&amp;AO$11&amp;"; ","")</f>
        <v/>
      </c>
      <c r="AP178" s="2120" t="str">
        <f>IF(AND($V$9=1,(TRUNC(Courses!Q172)&lt;&gt;Courses!Q172)), "Row "&amp;Courses!$A172&amp;", "&amp;AP$9&amp;", "&amp;AP$10&amp;"; ","")</f>
        <v/>
      </c>
      <c r="AQ178" s="1593" t="str">
        <f>IF(AND($V$9=1,(TRUNC(Courses!R172)&lt;&gt;Courses!R172)), "Row "&amp;Courses!$A172&amp;", "&amp;AQ$9&amp;", "&amp;AQ$10&amp;", "&amp;AQ$11&amp;"; ","")</f>
        <v/>
      </c>
      <c r="AR178" t="str">
        <f>IF(AND($V$9=1,(TRUNC(Courses!S172)&lt;&gt;Courses!S172)), "Row "&amp;Courses!$A172&amp;", "&amp;AR$9&amp;", "&amp;AR$10&amp;", "&amp;AR$11&amp;"; ","")</f>
        <v/>
      </c>
      <c r="AS178" t="str">
        <f>IF(AND($V$9=1,(TRUNC(Courses!T172)&lt;&gt;Courses!T172)), "Row "&amp;Courses!$A172&amp;", "&amp;AS$9&amp;", "&amp;AS$10&amp;", "&amp;AS$11&amp;"; ","")</f>
        <v/>
      </c>
      <c r="AT178" t="str">
        <f>IF(AND($V$9=1,(TRUNC(Courses!U172)&lt;&gt;Courses!U172)), "Row "&amp;Courses!$A172&amp;", "&amp;AT$9&amp;", "&amp;AT$10&amp;", "&amp;AT$11&amp;"; ","")</f>
        <v/>
      </c>
      <c r="AU178" s="2120" t="str">
        <f>IF(AND($V$9=1,(TRUNC(Courses!V172)&lt;&gt;Courses!V172)), "Row "&amp;Courses!$A172&amp;", "&amp;AU$9&amp;", "&amp;AU$10&amp;"; ","")</f>
        <v/>
      </c>
      <c r="AV178" s="1593" t="str">
        <f>IF(AND($V$9=1,(TRUNC(Courses!W172)&lt;&gt;Courses!W172)), "Row "&amp;Courses!$A172&amp;", "&amp;AV$9&amp;", "&amp;AV$10&amp;", "&amp;AV$11&amp;"; ","")</f>
        <v/>
      </c>
      <c r="AW178" t="str">
        <f>IF(AND($V$9=1,(TRUNC(Courses!X172)&lt;&gt;Courses!X172)), "Row "&amp;Courses!$A172&amp;", "&amp;AW$9&amp;", "&amp;AW$10&amp;", "&amp;AW$11&amp;"; ","")</f>
        <v/>
      </c>
      <c r="AX178" t="str">
        <f>IF(AND($V$9=1,(TRUNC(Courses!Y172)&lt;&gt;Courses!Y172)), "Row "&amp;Courses!$A172&amp;", "&amp;AX$9&amp;", "&amp;AX$10&amp;", "&amp;AX$11&amp;"; ","")</f>
        <v/>
      </c>
      <c r="AY178" t="str">
        <f>IF(AND($V$9=1,(TRUNC(Courses!Z172)&lt;&gt;Courses!Z172)), "Row "&amp;Courses!$A172&amp;", "&amp;AY$9&amp;", "&amp;AY$10&amp;", "&amp;AY$11&amp;"; ","")</f>
        <v/>
      </c>
      <c r="AZ178" s="2120" t="str">
        <f>IF(AND($V$9=1,(TRUNC(Courses!AA172)&lt;&gt;Courses!AA172)), "Row "&amp;Courses!$A172&amp;", "&amp;AZ$9&amp;", "&amp;AZ$10&amp;"; ","")</f>
        <v/>
      </c>
      <c r="BB178" s="118"/>
      <c r="BC178" s="3">
        <v>159</v>
      </c>
      <c r="BD178" s="1593" t="str">
        <f>IF(AND($W$9=1,Courses!M172&lt;0), "Row "&amp;Courses!$A172&amp;", "&amp;BD$9&amp;", "&amp;BD$10&amp;", "&amp;BD$11&amp;"; ","")</f>
        <v/>
      </c>
      <c r="BE178" t="str">
        <f>IF(AND($W$9=1,Courses!N172&lt;0), "Row "&amp;Courses!$A172&amp;", "&amp;BE$9&amp;", "&amp;BE$10&amp;", "&amp;BE$11&amp;"; ","")</f>
        <v/>
      </c>
      <c r="BF178" t="str">
        <f>IF(AND($W$9=1,Courses!O172&lt;0), "Row "&amp;Courses!$A172&amp;", "&amp;BF$9&amp;", "&amp;BF$10&amp;", "&amp;BF$11&amp;"; ","")</f>
        <v/>
      </c>
      <c r="BG178" t="str">
        <f>IF(AND($W$9=1,Courses!P172&lt;0), "Row "&amp;Courses!$A172&amp;", "&amp;BG$9&amp;", "&amp;BG$10&amp;", "&amp;BG$11&amp;"; ","")</f>
        <v/>
      </c>
      <c r="BH178" s="2120" t="str">
        <f>IF(AND($W$9=1,Courses!Q172&lt;0), "Row "&amp;Courses!$A172&amp;", "&amp;BH$9&amp;", "&amp;BH$10&amp;"; ","")</f>
        <v/>
      </c>
      <c r="BI178" s="1593" t="str">
        <f>IF(AND($W$9=1,Courses!R172&lt;0), "Row "&amp;Courses!$A172&amp;", "&amp;BI$9&amp;", "&amp;BI$10&amp;", "&amp;BI$11&amp;"; ","")</f>
        <v/>
      </c>
      <c r="BJ178" t="str">
        <f>IF(AND($W$9=1,Courses!S172&lt;0), "Row "&amp;Courses!$A172&amp;", "&amp;BJ$9&amp;", "&amp;BJ$10&amp;", "&amp;BJ$11&amp;"; ","")</f>
        <v/>
      </c>
      <c r="BK178" t="str">
        <f>IF(AND($W$9=1,Courses!T172&lt;0), "Row "&amp;Courses!$A172&amp;", "&amp;BK$9&amp;", "&amp;BK$10&amp;", "&amp;BK$11&amp;"; ","")</f>
        <v/>
      </c>
      <c r="BL178" t="str">
        <f>IF(AND($W$9=1,Courses!U172&lt;0), "Row "&amp;Courses!$A172&amp;", "&amp;BL$9&amp;", "&amp;BL$10&amp;", "&amp;BL$11&amp;"; ","")</f>
        <v/>
      </c>
      <c r="BM178" s="2120" t="str">
        <f>IF(AND($W$9=1,Courses!V172&lt;0), "Row "&amp;Courses!$A172&amp;", "&amp;BM$9&amp;", "&amp;BM$10&amp;"; ","")</f>
        <v/>
      </c>
      <c r="BN178" t="str">
        <f>IF(AND($W$9=1,Courses!W172&lt;0), "Row "&amp;Courses!$A172&amp;", "&amp;BN$9&amp;", "&amp;BN$10&amp;", "&amp;BN$11&amp;"; ","")</f>
        <v/>
      </c>
      <c r="BO178" t="str">
        <f>IF(AND($W$9=1,Courses!X172&lt;0), "Row "&amp;Courses!$A172&amp;", "&amp;BO$9&amp;", "&amp;BO$10&amp;", "&amp;BO$11&amp;"; ","")</f>
        <v/>
      </c>
      <c r="BP178" t="str">
        <f>IF(AND($W$9=1,Courses!Y172&lt;0), "Row "&amp;Courses!$A172&amp;", "&amp;BP$9&amp;", "&amp;BP$10&amp;", "&amp;BP$11&amp;"; ","")</f>
        <v/>
      </c>
      <c r="BQ178" t="str">
        <f>IF(AND($W$9=1,Courses!Z172&lt;0), "Row "&amp;Courses!$A172&amp;", "&amp;BQ$9&amp;", "&amp;BQ$10&amp;", "&amp;BQ$11&amp;"; ","")</f>
        <v/>
      </c>
      <c r="BR178" s="2120" t="str">
        <f>IF(AND($W$9=1,Courses!AA172&lt;0), "Row "&amp;Courses!$A172&amp;", "&amp;BR$9&amp;", "&amp;BR$10&amp;"; ","")</f>
        <v/>
      </c>
      <c r="BT178" s="3">
        <v>159</v>
      </c>
      <c r="BU178" s="40">
        <f>IF(AND($X$9=1,Courses!B172="",Courses!F172="",Courses!H172="",Courses!J172="",Courses!K172="",Courses!L172="",Courses!M172=0,Courses!N172=0,Courses!O172=0,Courses!P172=0,Courses!Q172=0,Courses!R172=0,Courses!S172=0,Courses!T172=0,Courses!U172=0,Courses!V172=0,Courses!W172=0,Courses!X172=0,Courses!Y172=0,Courses!Z172=0,Courses!AA172=0),0,1)</f>
        <v>0</v>
      </c>
      <c r="BV178" s="40">
        <f>IF(AND(BU178=0,SUM(BU179:$BU$219)&gt;0),1,0)</f>
        <v>0</v>
      </c>
      <c r="BW178" s="1592" t="str">
        <f>IF(BV178=1,"Row "&amp;Courses!A172&amp;"; ","")</f>
        <v/>
      </c>
      <c r="BX178" s="17"/>
      <c r="BZ178" s="1592" t="str">
        <f>IF(AND($Y$9=1,Courses!B172&lt;&gt;"",SUM(Courses!M172:AA172)=0),"Row "&amp;Courses!A172&amp;"; ","")</f>
        <v/>
      </c>
      <c r="CA178" s="17"/>
      <c r="CC178" s="1592" t="str">
        <f>IF(AND($Z$9=1,Courses!AD172=1,(LEN(Courses!AB172)&gt;200)),"Row "&amp;Courses!A172&amp;"; ","")</f>
        <v/>
      </c>
      <c r="CE178" s="131"/>
      <c r="CG178" s="1593" t="str">
        <f>IF(AND($AD$9=1,Courses!E172&lt;&gt;"",Courses!F172&lt;&gt;"",Courses!F172=0,SUM(Courses!H172,Courses!J172)=1),"Row "&amp;Courses!A172&amp;", "&amp;Courses!$F$10&amp;"; ","")</f>
        <v/>
      </c>
      <c r="CH178" t="str">
        <f>IF(AND($AD$9=1,Courses!G172&lt;&gt;"",Courses!H172&lt;&gt;"",Courses!H172=0,SUM(Courses!J172,Courses!F172)=1),"Row "&amp;Courses!A172&amp;", "&amp;Courses!$H$10&amp;"; ","")</f>
        <v/>
      </c>
      <c r="CI178" s="183" t="str">
        <f>IF(AND($AD$9=1,Courses!I172&lt;&gt;"",Courses!J172&lt;&gt;"",Courses!J172=0, SUM(Courses!H172,Courses!F172)=1),"Row "&amp;Courses!A172&amp;", "&amp;Courses!$J$10&amp;"; ","")</f>
        <v/>
      </c>
      <c r="CJ178" s="180"/>
      <c r="CK178" s="181"/>
      <c r="CL178" s="1592" t="str">
        <f>IF(AND(Courses!B172&lt;&gt;"",ISNA(VLOOKUP(Courses!C172,CourseInfo,2,FALSE))=FALSE,COUNTIF(Dummy,Courses!C172)&lt;&gt;1),VLOOKUP(Courses!C172,CourseInfo,6,FALSE),"")</f>
        <v/>
      </c>
      <c r="CM178" s="1592" t="str">
        <f>IF(AND($AE$9=1,Courses!B172&lt;&gt;"",'Courses Valid'!AG178="",COUNTIF(Dummy,Courses!C172)&lt;&gt;1),IF(Courses!K172&lt;&gt;'Courses Valid'!CL178,"Row "&amp;Courses!A172&amp;", Level on LARS is "&amp;'Courses Valid'!CL178&amp;"; ",""),"")</f>
        <v/>
      </c>
      <c r="CN178" s="131"/>
    </row>
    <row r="179" spans="3:92" x14ac:dyDescent="0.35">
      <c r="C179" s="1591">
        <f t="shared" si="4"/>
        <v>0</v>
      </c>
      <c r="D179" s="41"/>
      <c r="E179" s="41"/>
      <c r="F179" s="118"/>
      <c r="G179" s="1592" t="str">
        <f>IF(SUMPRODUCT(--(CourseAims=Courses!$C173))=1,"",IF(AND($N$9=1,Courses!$C173&lt;&gt;""),"Row "&amp;Courses!A173&amp;" (invalid); ",""))</f>
        <v/>
      </c>
      <c r="H179" s="1592" t="str">
        <f>IF(AND($O$9=1,Courses!B173="",OR(Courses!F173&lt;&gt;"",Courses!H173&lt;&gt;"",Courses!J173&lt;&gt;"",Courses!K173&lt;&gt;"",Courses!L173&lt;&gt;"",Courses!M173&lt;&gt;0,Courses!N173&lt;&gt;0,Courses!O173&lt;&gt;0,Courses!P173&lt;&gt;0,Courses!Q173&lt;&gt;0,Courses!R173&lt;&gt;0,Courses!S173&lt;&gt;0,Courses!T173&lt;&gt;0,Courses!U173&lt;&gt;0,Courses!V173&lt;&gt;0,Courses!W173&lt;&gt;0,Courses!X173&lt;&gt;0,Courses!Y173&lt;&gt;0,Courses!Z173&lt;&gt;0,Courses!AA173&lt;&gt;0)),"Row "&amp;Courses!A173&amp;" (none); ","")</f>
        <v/>
      </c>
      <c r="I179" s="1596"/>
      <c r="K179" s="1592" t="str">
        <f>Courses!B173&amp;Courses!K173&amp;Courses!L173</f>
        <v/>
      </c>
      <c r="L179" s="1592" t="str">
        <f>IF(AND($P$9=1,Courses!$B173&lt;&gt;"",COUNTIF(Dummy,Courses!$C173)&lt;&gt;1),IF(SUMPRODUCT(--($K$20:$K$219=$K179))&gt;1,"Row "&amp;Courses!$A173&amp;"; ",""),"")</f>
        <v/>
      </c>
      <c r="N179" s="118"/>
      <c r="O179" s="1593" t="str">
        <f>IF(AND($Q$9=1,Courses!E173&lt;&gt;"",Courses!F173=""),"Row "&amp;Courses!A173&amp;", "&amp;Courses!$E$10&amp;"; ","")</f>
        <v/>
      </c>
      <c r="P179" t="str">
        <f>IF(AND($Q$9=1,Courses!G173&lt;&gt;"",Courses!H173=""),"Row "&amp;Courses!A173&amp;", "&amp;Courses!$G$10&amp;"; ","")</f>
        <v/>
      </c>
      <c r="Q179" s="183" t="str">
        <f>IF(AND($Q$9=1,Courses!I173&lt;&gt;"",Courses!J173=""),"Row "&amp;Courses!A173&amp;", "&amp;Courses!$I$10&amp;"; ","")</f>
        <v/>
      </c>
      <c r="T179" s="118"/>
      <c r="U179" s="1593" t="str">
        <f>IF(AND($R$9=1,Courses!B173&lt;&gt;"",Courses!E173&lt;&gt;"",Courses!G173="",Courses!I173="",Courses!F173&lt;&gt;1),"Row "&amp;Courses!A173&amp;"; ","")</f>
        <v/>
      </c>
      <c r="V179" t="str">
        <f>IF(AND($R$9=1,Courses!B173&lt;&gt;"",Courses!I173="",Courses!F173&lt;&gt;"",Courses!G173&lt;&gt;"",Courses!H173&lt;&gt;""),IF(OR((Courses!F173+Courses!H173)&lt;&gt;1),"Row "&amp;Courses!A173&amp;"; ",""),"")</f>
        <v/>
      </c>
      <c r="W179" s="183" t="str">
        <f>IF(AND($R$9=1,Courses!B173&lt;&gt;"",Courses!I173&lt;&gt;"",Courses!J173&lt;&gt;"",Courses!H173&lt;&gt;"",Courses!G173&lt;&gt;"",Courses!F173&lt;&gt;""),IF(OR((Courses!F173+Courses!H173+Courses!J173)&lt;&gt;1),"Row "&amp;Courses!A173&amp;"; ",""),"")</f>
        <v/>
      </c>
      <c r="Y179" s="1592" t="str">
        <f>IF(AND($R$9=1,Courses!E173&lt;&gt;"",U179="",V179="",W179="",SUM(Courses!F173,Courses!H173,Courses!J173)&lt;&gt;1),"Row "&amp;Courses!A173&amp;"; ","")</f>
        <v/>
      </c>
      <c r="AA179" s="118"/>
      <c r="AB179" s="1593" t="str">
        <f>IF(AND($S$9=1,Courses!B173&lt;&gt;"",Courses!E173&lt;&gt;"",Courses!F173&lt;&gt;""),IF((TRUNC(Courses!F173*100)&lt;&gt;Courses!F173*100),"Row "&amp;Courses!A173&amp;", "&amp;Courses!$F$10&amp;"; ",""),"")</f>
        <v/>
      </c>
      <c r="AC179" t="str">
        <f>IF(AND($S$9=1,Courses!B173&lt;&gt;"",Courses!G173&lt;&gt;"",Courses!H173&lt;&gt;""),IF((TRUNC(Courses!H173*100)&lt;&gt;Courses!H173*100),"Row "&amp;Courses!A173&amp;", "&amp;Courses!$H$10&amp;"; ",""),"")</f>
        <v/>
      </c>
      <c r="AD179" s="183" t="str">
        <f>IF(AND($S$9=1,Courses!B173&lt;&gt;"",Courses!I173&lt;&gt;"",Courses!J173&lt;&gt;""),IF((TRUNC(Courses!J173*100)&lt;&gt;Courses!J173*100),"Row "&amp;Courses!A173&amp;", "&amp;Courses!$J$10&amp;"; ",""),"")</f>
        <v/>
      </c>
      <c r="AF179" s="118"/>
      <c r="AG179" s="1593" t="str">
        <f>IF(AND($T$9=1,G179="",Courses!B173&lt;&gt;"",Courses!K173&lt;&gt;$B$9,Courses!K173&lt;&gt;$B$10,Courses!K173&lt;&gt;$B$11,Courses!K173&lt;&gt;$B$12,Courses!K173&lt;&gt;$B$13,Courses!K173&lt;&gt;$B$14),"Row "&amp;Courses!A173&amp;"; ","")</f>
        <v/>
      </c>
      <c r="AH179" s="183" t="str">
        <f>IF(AND($U$9=1,G179="",Courses!B173&lt;&gt;"",Courses!L173&lt;&gt;"Standard",Courses!L173&lt;&gt;"Long"),"Row "&amp;Courses!A173&amp;"; ","")</f>
        <v/>
      </c>
      <c r="AJ179" s="118"/>
      <c r="AK179" s="3">
        <v>160</v>
      </c>
      <c r="AL179" s="1593" t="str">
        <f>IF(AND($V$9=1,(TRUNC(Courses!M173)&lt;&gt;Courses!M173)), "Row "&amp;Courses!$A173&amp;", "&amp;AL$9&amp;", "&amp;AL$10&amp;", "&amp;AL$11&amp;"; ","")</f>
        <v/>
      </c>
      <c r="AM179" t="str">
        <f>IF(AND($V$9=1,(TRUNC(Courses!N173)&lt;&gt;Courses!N173)), "Row "&amp;Courses!$A173&amp;", "&amp;AM$9&amp;", "&amp;AM$10&amp;", "&amp;AM$11&amp;"; ","")</f>
        <v/>
      </c>
      <c r="AN179" t="str">
        <f>IF(AND($V$9=1,(TRUNC(Courses!O173)&lt;&gt;Courses!O173)), "Row "&amp;Courses!$A173&amp;", "&amp;AN$9&amp;", "&amp;AN$10&amp;", "&amp;AN$11&amp;"; ","")</f>
        <v/>
      </c>
      <c r="AO179" t="str">
        <f>IF(AND($V$9=1,(TRUNC(Courses!P173)&lt;&gt;Courses!P173)), "Row "&amp;Courses!$A173&amp;", "&amp;AO$9&amp;", "&amp;AO$10&amp;", "&amp;AO$11&amp;"; ","")</f>
        <v/>
      </c>
      <c r="AP179" s="2120" t="str">
        <f>IF(AND($V$9=1,(TRUNC(Courses!Q173)&lt;&gt;Courses!Q173)), "Row "&amp;Courses!$A173&amp;", "&amp;AP$9&amp;", "&amp;AP$10&amp;"; ","")</f>
        <v/>
      </c>
      <c r="AQ179" s="1593" t="str">
        <f>IF(AND($V$9=1,(TRUNC(Courses!R173)&lt;&gt;Courses!R173)), "Row "&amp;Courses!$A173&amp;", "&amp;AQ$9&amp;", "&amp;AQ$10&amp;", "&amp;AQ$11&amp;"; ","")</f>
        <v/>
      </c>
      <c r="AR179" t="str">
        <f>IF(AND($V$9=1,(TRUNC(Courses!S173)&lt;&gt;Courses!S173)), "Row "&amp;Courses!$A173&amp;", "&amp;AR$9&amp;", "&amp;AR$10&amp;", "&amp;AR$11&amp;"; ","")</f>
        <v/>
      </c>
      <c r="AS179" t="str">
        <f>IF(AND($V$9=1,(TRUNC(Courses!T173)&lt;&gt;Courses!T173)), "Row "&amp;Courses!$A173&amp;", "&amp;AS$9&amp;", "&amp;AS$10&amp;", "&amp;AS$11&amp;"; ","")</f>
        <v/>
      </c>
      <c r="AT179" t="str">
        <f>IF(AND($V$9=1,(TRUNC(Courses!U173)&lt;&gt;Courses!U173)), "Row "&amp;Courses!$A173&amp;", "&amp;AT$9&amp;", "&amp;AT$10&amp;", "&amp;AT$11&amp;"; ","")</f>
        <v/>
      </c>
      <c r="AU179" s="2120" t="str">
        <f>IF(AND($V$9=1,(TRUNC(Courses!V173)&lt;&gt;Courses!V173)), "Row "&amp;Courses!$A173&amp;", "&amp;AU$9&amp;", "&amp;AU$10&amp;"; ","")</f>
        <v/>
      </c>
      <c r="AV179" t="str">
        <f>IF(AND($V$9=1,(TRUNC(Courses!W173)&lt;&gt;Courses!W173)), "Row "&amp;Courses!$A173&amp;", "&amp;AV$9&amp;", "&amp;AV$10&amp;", "&amp;AV$11&amp;"; ","")</f>
        <v/>
      </c>
      <c r="AW179" t="str">
        <f>IF(AND($V$9=1,(TRUNC(Courses!X173)&lt;&gt;Courses!X173)), "Row "&amp;Courses!$A173&amp;", "&amp;AW$9&amp;", "&amp;AW$10&amp;", "&amp;AW$11&amp;"; ","")</f>
        <v/>
      </c>
      <c r="AX179" t="str">
        <f>IF(AND($V$9=1,(TRUNC(Courses!Y173)&lt;&gt;Courses!Y173)), "Row "&amp;Courses!$A173&amp;", "&amp;AX$9&amp;", "&amp;AX$10&amp;", "&amp;AX$11&amp;"; ","")</f>
        <v/>
      </c>
      <c r="AY179" t="str">
        <f>IF(AND($V$9=1,(TRUNC(Courses!Z173)&lt;&gt;Courses!Z173)), "Row "&amp;Courses!$A173&amp;", "&amp;AY$9&amp;", "&amp;AY$10&amp;", "&amp;AY$11&amp;"; ","")</f>
        <v/>
      </c>
      <c r="AZ179" s="2120" t="str">
        <f>IF(AND($V$9=1,(TRUNC(Courses!AA173)&lt;&gt;Courses!AA173)), "Row "&amp;Courses!$A173&amp;", "&amp;AZ$9&amp;", "&amp;AZ$10&amp;"; ","")</f>
        <v/>
      </c>
      <c r="BB179" s="118"/>
      <c r="BC179" s="3">
        <v>160</v>
      </c>
      <c r="BD179" s="1593" t="str">
        <f>IF(AND($W$9=1,Courses!M173&lt;0), "Row "&amp;Courses!$A173&amp;", "&amp;BD$9&amp;", "&amp;BD$10&amp;", "&amp;BD$11&amp;"; ","")</f>
        <v/>
      </c>
      <c r="BE179" t="str">
        <f>IF(AND($W$9=1,Courses!N173&lt;0), "Row "&amp;Courses!$A173&amp;", "&amp;BE$9&amp;", "&amp;BE$10&amp;", "&amp;BE$11&amp;"; ","")</f>
        <v/>
      </c>
      <c r="BF179" t="str">
        <f>IF(AND($W$9=1,Courses!O173&lt;0), "Row "&amp;Courses!$A173&amp;", "&amp;BF$9&amp;", "&amp;BF$10&amp;", "&amp;BF$11&amp;"; ","")</f>
        <v/>
      </c>
      <c r="BG179" t="str">
        <f>IF(AND($W$9=1,Courses!P173&lt;0), "Row "&amp;Courses!$A173&amp;", "&amp;BG$9&amp;", "&amp;BG$10&amp;", "&amp;BG$11&amp;"; ","")</f>
        <v/>
      </c>
      <c r="BH179" s="2120" t="str">
        <f>IF(AND($W$9=1,Courses!Q173&lt;0), "Row "&amp;Courses!$A173&amp;", "&amp;BH$9&amp;", "&amp;BH$10&amp;"; ","")</f>
        <v/>
      </c>
      <c r="BI179" s="1593" t="str">
        <f>IF(AND($W$9=1,Courses!R173&lt;0), "Row "&amp;Courses!$A173&amp;", "&amp;BI$9&amp;", "&amp;BI$10&amp;", "&amp;BI$11&amp;"; ","")</f>
        <v/>
      </c>
      <c r="BJ179" t="str">
        <f>IF(AND($W$9=1,Courses!S173&lt;0), "Row "&amp;Courses!$A173&amp;", "&amp;BJ$9&amp;", "&amp;BJ$10&amp;", "&amp;BJ$11&amp;"; ","")</f>
        <v/>
      </c>
      <c r="BK179" t="str">
        <f>IF(AND($W$9=1,Courses!T173&lt;0), "Row "&amp;Courses!$A173&amp;", "&amp;BK$9&amp;", "&amp;BK$10&amp;", "&amp;BK$11&amp;"; ","")</f>
        <v/>
      </c>
      <c r="BL179" t="str">
        <f>IF(AND($W$9=1,Courses!U173&lt;0), "Row "&amp;Courses!$A173&amp;", "&amp;BL$9&amp;", "&amp;BL$10&amp;", "&amp;BL$11&amp;"; ","")</f>
        <v/>
      </c>
      <c r="BM179" s="2120" t="str">
        <f>IF(AND($W$9=1,Courses!V173&lt;0), "Row "&amp;Courses!$A173&amp;", "&amp;BM$9&amp;", "&amp;BM$10&amp;"; ","")</f>
        <v/>
      </c>
      <c r="BN179" t="str">
        <f>IF(AND($W$9=1,Courses!W173&lt;0), "Row "&amp;Courses!$A173&amp;", "&amp;BN$9&amp;", "&amp;BN$10&amp;", "&amp;BN$11&amp;"; ","")</f>
        <v/>
      </c>
      <c r="BO179" t="str">
        <f>IF(AND($W$9=1,Courses!X173&lt;0), "Row "&amp;Courses!$A173&amp;", "&amp;BO$9&amp;", "&amp;BO$10&amp;", "&amp;BO$11&amp;"; ","")</f>
        <v/>
      </c>
      <c r="BP179" t="str">
        <f>IF(AND($W$9=1,Courses!Y173&lt;0), "Row "&amp;Courses!$A173&amp;", "&amp;BP$9&amp;", "&amp;BP$10&amp;", "&amp;BP$11&amp;"; ","")</f>
        <v/>
      </c>
      <c r="BQ179" t="str">
        <f>IF(AND($W$9=1,Courses!Z173&lt;0), "Row "&amp;Courses!$A173&amp;", "&amp;BQ$9&amp;", "&amp;BQ$10&amp;", "&amp;BQ$11&amp;"; ","")</f>
        <v/>
      </c>
      <c r="BR179" s="2120" t="str">
        <f>IF(AND($W$9=1,Courses!AA173&lt;0), "Row "&amp;Courses!$A173&amp;", "&amp;BR$9&amp;", "&amp;BR$10&amp;"; ","")</f>
        <v/>
      </c>
      <c r="BT179" s="3">
        <v>160</v>
      </c>
      <c r="BU179" s="40">
        <f>IF(AND($X$9=1,Courses!B173="",Courses!F173="",Courses!H173="",Courses!J173="",Courses!K173="",Courses!L173="",Courses!M173=0,Courses!N173=0,Courses!O173=0,Courses!P173=0,Courses!Q173=0,Courses!R173=0,Courses!S173=0,Courses!T173=0,Courses!U173=0,Courses!V173=0,Courses!W173=0,Courses!X173=0,Courses!Y173=0,Courses!Z173=0,Courses!AA173=0),0,1)</f>
        <v>0</v>
      </c>
      <c r="BV179" s="40">
        <f>IF(AND(BU179=0,SUM(BU180:$BU$219)&gt;0),1,0)</f>
        <v>0</v>
      </c>
      <c r="BW179" s="1592" t="str">
        <f>IF(BV179=1,"Row "&amp;Courses!A173&amp;"; ","")</f>
        <v/>
      </c>
      <c r="BX179" s="17"/>
      <c r="BZ179" s="1592" t="str">
        <f>IF(AND($Y$9=1,Courses!B173&lt;&gt;"",SUM(Courses!M173:AA173)=0),"Row "&amp;Courses!A173&amp;"; ","")</f>
        <v/>
      </c>
      <c r="CA179" s="17"/>
      <c r="CC179" s="1592" t="str">
        <f>IF(AND($Z$9=1,Courses!AD173=1,(LEN(Courses!AB173)&gt;200)),"Row "&amp;Courses!A173&amp;"; ","")</f>
        <v/>
      </c>
      <c r="CE179" s="131"/>
      <c r="CG179" s="1593" t="str">
        <f>IF(AND($AD$9=1,Courses!E173&lt;&gt;"",Courses!F173&lt;&gt;"",Courses!F173=0,SUM(Courses!H173,Courses!J173)=1),"Row "&amp;Courses!A173&amp;", "&amp;Courses!$F$10&amp;"; ","")</f>
        <v/>
      </c>
      <c r="CH179" t="str">
        <f>IF(AND($AD$9=1,Courses!G173&lt;&gt;"",Courses!H173&lt;&gt;"",Courses!H173=0,SUM(Courses!J173,Courses!F173)=1),"Row "&amp;Courses!A173&amp;", "&amp;Courses!$H$10&amp;"; ","")</f>
        <v/>
      </c>
      <c r="CI179" s="183" t="str">
        <f>IF(AND($AD$9=1,Courses!I173&lt;&gt;"",Courses!J173&lt;&gt;"",Courses!J173=0, SUM(Courses!H173,Courses!F173)=1),"Row "&amp;Courses!A173&amp;", "&amp;Courses!$J$10&amp;"; ","")</f>
        <v/>
      </c>
      <c r="CJ179" s="180"/>
      <c r="CK179" s="181"/>
      <c r="CL179" s="1592" t="str">
        <f>IF(AND(Courses!B173&lt;&gt;"",ISNA(VLOOKUP(Courses!C173,CourseInfo,2,FALSE))=FALSE,COUNTIF(Dummy,Courses!C173)&lt;&gt;1),VLOOKUP(Courses!C173,CourseInfo,6,FALSE),"")</f>
        <v/>
      </c>
      <c r="CM179" s="1592" t="str">
        <f>IF(AND($AE$9=1,Courses!B173&lt;&gt;"",'Courses Valid'!AG179="",COUNTIF(Dummy,Courses!C173)&lt;&gt;1),IF(Courses!K173&lt;&gt;'Courses Valid'!CL179,"Row "&amp;Courses!A173&amp;", Level on LARS is "&amp;'Courses Valid'!CL179&amp;"; ",""),"")</f>
        <v/>
      </c>
      <c r="CN179" s="131"/>
    </row>
    <row r="180" spans="3:92" x14ac:dyDescent="0.35">
      <c r="C180" s="1595">
        <f t="shared" si="4"/>
        <v>0</v>
      </c>
      <c r="F180" s="118"/>
      <c r="G180" s="1592" t="str">
        <f>IF(SUMPRODUCT(--(CourseAims=Courses!$C174))=1,"",IF(AND($N$9=1,Courses!$C174&lt;&gt;""),"Row "&amp;Courses!A174&amp;" (invalid); ",""))</f>
        <v/>
      </c>
      <c r="H180" s="1592" t="str">
        <f>IF(AND($O$9=1,Courses!B174="",OR(Courses!F174&lt;&gt;"",Courses!H174&lt;&gt;"",Courses!J174&lt;&gt;"",Courses!K174&lt;&gt;"",Courses!L174&lt;&gt;"",Courses!M174&lt;&gt;0,Courses!N174&lt;&gt;0,Courses!O174&lt;&gt;0,Courses!P174&lt;&gt;0,Courses!Q174&lt;&gt;0,Courses!R174&lt;&gt;0,Courses!S174&lt;&gt;0,Courses!T174&lt;&gt;0,Courses!U174&lt;&gt;0,Courses!V174&lt;&gt;0,Courses!W174&lt;&gt;0,Courses!X174&lt;&gt;0,Courses!Y174&lt;&gt;0,Courses!Z174&lt;&gt;0,Courses!AA174&lt;&gt;0)),"Row "&amp;Courses!A174&amp;" (none); ","")</f>
        <v/>
      </c>
      <c r="I180" s="1596"/>
      <c r="K180" s="1592" t="str">
        <f>Courses!B174&amp;Courses!K174&amp;Courses!L174</f>
        <v/>
      </c>
      <c r="L180" s="1592" t="str">
        <f>IF(AND($P$9=1,Courses!$B174&lt;&gt;"",COUNTIF(Dummy,Courses!$C174)&lt;&gt;1),IF(SUMPRODUCT(--($K$20:$K$219=$K180))&gt;1,"Row "&amp;Courses!$A174&amp;"; ",""),"")</f>
        <v/>
      </c>
      <c r="N180" s="118"/>
      <c r="O180" s="1593" t="str">
        <f>IF(AND($Q$9=1,Courses!E174&lt;&gt;"",Courses!F174=""),"Row "&amp;Courses!A174&amp;", "&amp;Courses!$E$10&amp;"; ","")</f>
        <v/>
      </c>
      <c r="P180" t="str">
        <f>IF(AND($Q$9=1,Courses!G174&lt;&gt;"",Courses!H174=""),"Row "&amp;Courses!A174&amp;", "&amp;Courses!$G$10&amp;"; ","")</f>
        <v/>
      </c>
      <c r="Q180" s="183" t="str">
        <f>IF(AND($Q$9=1,Courses!I174&lt;&gt;"",Courses!J174=""),"Row "&amp;Courses!A174&amp;", "&amp;Courses!$I$10&amp;"; ","")</f>
        <v/>
      </c>
      <c r="T180" s="118"/>
      <c r="U180" s="1593" t="str">
        <f>IF(AND($R$9=1,Courses!B174&lt;&gt;"",Courses!E174&lt;&gt;"",Courses!G174="",Courses!I174="",Courses!F174&lt;&gt;1),"Row "&amp;Courses!A174&amp;"; ","")</f>
        <v/>
      </c>
      <c r="V180" t="str">
        <f>IF(AND($R$9=1,Courses!B174&lt;&gt;"",Courses!I174="",Courses!F174&lt;&gt;"",Courses!G174&lt;&gt;"",Courses!H174&lt;&gt;""),IF(OR((Courses!F174+Courses!H174)&lt;&gt;1),"Row "&amp;Courses!A174&amp;"; ",""),"")</f>
        <v/>
      </c>
      <c r="W180" s="183" t="str">
        <f>IF(AND($R$9=1,Courses!B174&lt;&gt;"",Courses!I174&lt;&gt;"",Courses!J174&lt;&gt;"",Courses!H174&lt;&gt;"",Courses!G174&lt;&gt;"",Courses!F174&lt;&gt;""),IF(OR((Courses!F174+Courses!H174+Courses!J174)&lt;&gt;1),"Row "&amp;Courses!A174&amp;"; ",""),"")</f>
        <v/>
      </c>
      <c r="Y180" s="1592" t="str">
        <f>IF(AND($R$9=1,Courses!E174&lt;&gt;"",U180="",V180="",W180="",SUM(Courses!F174,Courses!H174,Courses!J174)&lt;&gt;1),"Row "&amp;Courses!A174&amp;"; ","")</f>
        <v/>
      </c>
      <c r="AA180" s="118"/>
      <c r="AB180" s="1593" t="str">
        <f>IF(AND($S$9=1,Courses!B174&lt;&gt;"",Courses!E174&lt;&gt;"",Courses!F174&lt;&gt;""),IF((TRUNC(Courses!F174*100)&lt;&gt;Courses!F174*100),"Row "&amp;Courses!A174&amp;", "&amp;Courses!$F$10&amp;"; ",""),"")</f>
        <v/>
      </c>
      <c r="AC180" t="str">
        <f>IF(AND($S$9=1,Courses!B174&lt;&gt;"",Courses!G174&lt;&gt;"",Courses!H174&lt;&gt;""),IF((TRUNC(Courses!H174*100)&lt;&gt;Courses!H174*100),"Row "&amp;Courses!A174&amp;", "&amp;Courses!$H$10&amp;"; ",""),"")</f>
        <v/>
      </c>
      <c r="AD180" s="183" t="str">
        <f>IF(AND($S$9=1,Courses!B174&lt;&gt;"",Courses!I174&lt;&gt;"",Courses!J174&lt;&gt;""),IF((TRUNC(Courses!J174*100)&lt;&gt;Courses!J174*100),"Row "&amp;Courses!A174&amp;", "&amp;Courses!$J$10&amp;"; ",""),"")</f>
        <v/>
      </c>
      <c r="AF180" s="118"/>
      <c r="AG180" s="1593" t="str">
        <f>IF(AND($T$9=1,G180="",Courses!B174&lt;&gt;"",Courses!K174&lt;&gt;$B$9,Courses!K174&lt;&gt;$B$10,Courses!K174&lt;&gt;$B$11,Courses!K174&lt;&gt;$B$12,Courses!K174&lt;&gt;$B$13,Courses!K174&lt;&gt;$B$14),"Row "&amp;Courses!A174&amp;"; ","")</f>
        <v/>
      </c>
      <c r="AH180" s="183" t="str">
        <f>IF(AND($U$9=1,G180="",Courses!B174&lt;&gt;"",Courses!L174&lt;&gt;"Standard",Courses!L174&lt;&gt;"Long"),"Row "&amp;Courses!A174&amp;"; ","")</f>
        <v/>
      </c>
      <c r="AJ180" s="118"/>
      <c r="AK180" s="40">
        <v>161</v>
      </c>
      <c r="AL180" s="1593" t="str">
        <f>IF(AND($V$9=1,(TRUNC(Courses!M174)&lt;&gt;Courses!M174)), "Row "&amp;Courses!$A174&amp;", "&amp;AL$9&amp;", "&amp;AL$10&amp;", "&amp;AL$11&amp;"; ","")</f>
        <v/>
      </c>
      <c r="AM180" t="str">
        <f>IF(AND($V$9=1,(TRUNC(Courses!N174)&lt;&gt;Courses!N174)), "Row "&amp;Courses!$A174&amp;", "&amp;AM$9&amp;", "&amp;AM$10&amp;", "&amp;AM$11&amp;"; ","")</f>
        <v/>
      </c>
      <c r="AN180" t="str">
        <f>IF(AND($V$9=1,(TRUNC(Courses!O174)&lt;&gt;Courses!O174)), "Row "&amp;Courses!$A174&amp;", "&amp;AN$9&amp;", "&amp;AN$10&amp;", "&amp;AN$11&amp;"; ","")</f>
        <v/>
      </c>
      <c r="AO180" t="str">
        <f>IF(AND($V$9=1,(TRUNC(Courses!P174)&lt;&gt;Courses!P174)), "Row "&amp;Courses!$A174&amp;", "&amp;AO$9&amp;", "&amp;AO$10&amp;", "&amp;AO$11&amp;"; ","")</f>
        <v/>
      </c>
      <c r="AP180" s="2120" t="str">
        <f>IF(AND($V$9=1,(TRUNC(Courses!Q174)&lt;&gt;Courses!Q174)), "Row "&amp;Courses!$A174&amp;", "&amp;AP$9&amp;", "&amp;AP$10&amp;"; ","")</f>
        <v/>
      </c>
      <c r="AQ180" s="1593" t="str">
        <f>IF(AND($V$9=1,(TRUNC(Courses!R174)&lt;&gt;Courses!R174)), "Row "&amp;Courses!$A174&amp;", "&amp;AQ$9&amp;", "&amp;AQ$10&amp;", "&amp;AQ$11&amp;"; ","")</f>
        <v/>
      </c>
      <c r="AR180" t="str">
        <f>IF(AND($V$9=1,(TRUNC(Courses!S174)&lt;&gt;Courses!S174)), "Row "&amp;Courses!$A174&amp;", "&amp;AR$9&amp;", "&amp;AR$10&amp;", "&amp;AR$11&amp;"; ","")</f>
        <v/>
      </c>
      <c r="AS180" t="str">
        <f>IF(AND($V$9=1,(TRUNC(Courses!T174)&lt;&gt;Courses!T174)), "Row "&amp;Courses!$A174&amp;", "&amp;AS$9&amp;", "&amp;AS$10&amp;", "&amp;AS$11&amp;"; ","")</f>
        <v/>
      </c>
      <c r="AT180" t="str">
        <f>IF(AND($V$9=1,(TRUNC(Courses!U174)&lt;&gt;Courses!U174)), "Row "&amp;Courses!$A174&amp;", "&amp;AT$9&amp;", "&amp;AT$10&amp;", "&amp;AT$11&amp;"; ","")</f>
        <v/>
      </c>
      <c r="AU180" s="2120" t="str">
        <f>IF(AND($V$9=1,(TRUNC(Courses!V174)&lt;&gt;Courses!V174)), "Row "&amp;Courses!$A174&amp;", "&amp;AU$9&amp;", "&amp;AU$10&amp;"; ","")</f>
        <v/>
      </c>
      <c r="AV180" t="str">
        <f>IF(AND($V$9=1,(TRUNC(Courses!W174)&lt;&gt;Courses!W174)), "Row "&amp;Courses!$A174&amp;", "&amp;AV$9&amp;", "&amp;AV$10&amp;", "&amp;AV$11&amp;"; ","")</f>
        <v/>
      </c>
      <c r="AW180" t="str">
        <f>IF(AND($V$9=1,(TRUNC(Courses!X174)&lt;&gt;Courses!X174)), "Row "&amp;Courses!$A174&amp;", "&amp;AW$9&amp;", "&amp;AW$10&amp;", "&amp;AW$11&amp;"; ","")</f>
        <v/>
      </c>
      <c r="AX180" t="str">
        <f>IF(AND($V$9=1,(TRUNC(Courses!Y174)&lt;&gt;Courses!Y174)), "Row "&amp;Courses!$A174&amp;", "&amp;AX$9&amp;", "&amp;AX$10&amp;", "&amp;AX$11&amp;"; ","")</f>
        <v/>
      </c>
      <c r="AY180" t="str">
        <f>IF(AND($V$9=1,(TRUNC(Courses!Z174)&lt;&gt;Courses!Z174)), "Row "&amp;Courses!$A174&amp;", "&amp;AY$9&amp;", "&amp;AY$10&amp;", "&amp;AY$11&amp;"; ","")</f>
        <v/>
      </c>
      <c r="AZ180" s="2120" t="str">
        <f>IF(AND($V$9=1,(TRUNC(Courses!AA174)&lt;&gt;Courses!AA174)), "Row "&amp;Courses!$A174&amp;", "&amp;AZ$9&amp;", "&amp;AZ$10&amp;"; ","")</f>
        <v/>
      </c>
      <c r="BB180" s="118"/>
      <c r="BC180" s="40">
        <v>161</v>
      </c>
      <c r="BD180" s="1593" t="str">
        <f>IF(AND($W$9=1,Courses!M174&lt;0), "Row "&amp;Courses!$A174&amp;", "&amp;BD$9&amp;", "&amp;BD$10&amp;", "&amp;BD$11&amp;"; ","")</f>
        <v/>
      </c>
      <c r="BE180" t="str">
        <f>IF(AND($W$9=1,Courses!N174&lt;0), "Row "&amp;Courses!$A174&amp;", "&amp;BE$9&amp;", "&amp;BE$10&amp;", "&amp;BE$11&amp;"; ","")</f>
        <v/>
      </c>
      <c r="BF180" t="str">
        <f>IF(AND($W$9=1,Courses!O174&lt;0), "Row "&amp;Courses!$A174&amp;", "&amp;BF$9&amp;", "&amp;BF$10&amp;", "&amp;BF$11&amp;"; ","")</f>
        <v/>
      </c>
      <c r="BG180" t="str">
        <f>IF(AND($W$9=1,Courses!P174&lt;0), "Row "&amp;Courses!$A174&amp;", "&amp;BG$9&amp;", "&amp;BG$10&amp;", "&amp;BG$11&amp;"; ","")</f>
        <v/>
      </c>
      <c r="BH180" s="2120" t="str">
        <f>IF(AND($W$9=1,Courses!Q174&lt;0), "Row "&amp;Courses!$A174&amp;", "&amp;BH$9&amp;", "&amp;BH$10&amp;"; ","")</f>
        <v/>
      </c>
      <c r="BI180" s="1593" t="str">
        <f>IF(AND($W$9=1,Courses!R174&lt;0), "Row "&amp;Courses!$A174&amp;", "&amp;BI$9&amp;", "&amp;BI$10&amp;", "&amp;BI$11&amp;"; ","")</f>
        <v/>
      </c>
      <c r="BJ180" t="str">
        <f>IF(AND($W$9=1,Courses!S174&lt;0), "Row "&amp;Courses!$A174&amp;", "&amp;BJ$9&amp;", "&amp;BJ$10&amp;", "&amp;BJ$11&amp;"; ","")</f>
        <v/>
      </c>
      <c r="BK180" t="str">
        <f>IF(AND($W$9=1,Courses!T174&lt;0), "Row "&amp;Courses!$A174&amp;", "&amp;BK$9&amp;", "&amp;BK$10&amp;", "&amp;BK$11&amp;"; ","")</f>
        <v/>
      </c>
      <c r="BL180" t="str">
        <f>IF(AND($W$9=1,Courses!U174&lt;0), "Row "&amp;Courses!$A174&amp;", "&amp;BL$9&amp;", "&amp;BL$10&amp;", "&amp;BL$11&amp;"; ","")</f>
        <v/>
      </c>
      <c r="BM180" s="2120" t="str">
        <f>IF(AND($W$9=1,Courses!V174&lt;0), "Row "&amp;Courses!$A174&amp;", "&amp;BM$9&amp;", "&amp;BM$10&amp;"; ","")</f>
        <v/>
      </c>
      <c r="BN180" t="str">
        <f>IF(AND($W$9=1,Courses!W174&lt;0), "Row "&amp;Courses!$A174&amp;", "&amp;BN$9&amp;", "&amp;BN$10&amp;", "&amp;BN$11&amp;"; ","")</f>
        <v/>
      </c>
      <c r="BO180" t="str">
        <f>IF(AND($W$9=1,Courses!X174&lt;0), "Row "&amp;Courses!$A174&amp;", "&amp;BO$9&amp;", "&amp;BO$10&amp;", "&amp;BO$11&amp;"; ","")</f>
        <v/>
      </c>
      <c r="BP180" t="str">
        <f>IF(AND($W$9=1,Courses!Y174&lt;0), "Row "&amp;Courses!$A174&amp;", "&amp;BP$9&amp;", "&amp;BP$10&amp;", "&amp;BP$11&amp;"; ","")</f>
        <v/>
      </c>
      <c r="BQ180" t="str">
        <f>IF(AND($W$9=1,Courses!Z174&lt;0), "Row "&amp;Courses!$A174&amp;", "&amp;BQ$9&amp;", "&amp;BQ$10&amp;", "&amp;BQ$11&amp;"; ","")</f>
        <v/>
      </c>
      <c r="BR180" s="2120" t="str">
        <f>IF(AND($W$9=1,Courses!AA174&lt;0), "Row "&amp;Courses!$A174&amp;", "&amp;BR$9&amp;", "&amp;BR$10&amp;"; ","")</f>
        <v/>
      </c>
      <c r="BT180" s="3">
        <f>BT179+1</f>
        <v>161</v>
      </c>
      <c r="BU180" s="40">
        <f>IF(AND($X$9=1,Courses!B174="",Courses!F174="",Courses!H174="",Courses!J174="",Courses!K174="",Courses!L174="",Courses!M174=0,Courses!N174=0,Courses!O174=0,Courses!P174=0,Courses!Q174=0,Courses!R174=0,Courses!S174=0,Courses!T174=0,Courses!U174=0,Courses!V174=0,Courses!W174=0,Courses!X174=0,Courses!Y174=0,Courses!Z174=0,Courses!AA174=0),0,1)</f>
        <v>0</v>
      </c>
      <c r="BV180" s="40">
        <f>IF(AND(BU180=0,SUM(BU181:$BU$219)&gt;0),1,0)</f>
        <v>0</v>
      </c>
      <c r="BW180" s="1592" t="str">
        <f>IF(BV180=1,"Row "&amp;Courses!A174&amp;"; ","")</f>
        <v/>
      </c>
      <c r="BX180" s="17"/>
      <c r="BZ180" s="1592" t="str">
        <f>IF(AND($Y$9=1,Courses!B174&lt;&gt;"",SUM(Courses!M174:AA174)=0),"Row "&amp;Courses!A174&amp;"; ","")</f>
        <v/>
      </c>
      <c r="CA180" s="17"/>
      <c r="CC180" s="1592" t="str">
        <f>IF(AND($Z$9=1,Courses!AD174=1,(LEN(Courses!AB174)&gt;200)),"Row "&amp;Courses!A174&amp;"; ","")</f>
        <v/>
      </c>
      <c r="CE180" s="131"/>
      <c r="CG180" s="1593" t="str">
        <f>IF(AND($AD$9=1,Courses!E174&lt;&gt;"",Courses!F174&lt;&gt;"",Courses!F174=0,SUM(Courses!H174,Courses!J174)=1),"Row "&amp;Courses!A174&amp;", "&amp;Courses!$F$10&amp;"; ","")</f>
        <v/>
      </c>
      <c r="CH180" t="str">
        <f>IF(AND($AD$9=1,Courses!G174&lt;&gt;"",Courses!H174&lt;&gt;"",Courses!H174=0,SUM(Courses!J174,Courses!F174)=1),"Row "&amp;Courses!A174&amp;", "&amp;Courses!$H$10&amp;"; ","")</f>
        <v/>
      </c>
      <c r="CI180" s="183" t="str">
        <f>IF(AND($AD$9=1,Courses!I174&lt;&gt;"",Courses!J174&lt;&gt;"",Courses!J174=0, SUM(Courses!H174,Courses!F174)=1),"Row "&amp;Courses!A174&amp;", "&amp;Courses!$J$10&amp;"; ","")</f>
        <v/>
      </c>
      <c r="CJ180" s="180"/>
      <c r="CK180" s="181"/>
      <c r="CL180" s="1592" t="str">
        <f>IF(AND(Courses!B174&lt;&gt;"",ISNA(VLOOKUP(Courses!C174,CourseInfo,2,FALSE))=FALSE,COUNTIF(Dummy,Courses!C174)&lt;&gt;1),VLOOKUP(Courses!C174,CourseInfo,6,FALSE),"")</f>
        <v/>
      </c>
      <c r="CM180" s="1592" t="str">
        <f>IF(AND($AE$9=1,Courses!B174&lt;&gt;"",'Courses Valid'!AG180="",COUNTIF(Dummy,Courses!C174)&lt;&gt;1),IF(Courses!K174&lt;&gt;'Courses Valid'!CL180,"Row "&amp;Courses!A174&amp;", Level on LARS is "&amp;'Courses Valid'!CL180&amp;"; ",""),"")</f>
        <v/>
      </c>
      <c r="CN180" s="131"/>
    </row>
    <row r="181" spans="3:92" x14ac:dyDescent="0.35">
      <c r="C181" s="1595">
        <f t="shared" si="4"/>
        <v>0</v>
      </c>
      <c r="F181" s="118"/>
      <c r="G181" s="1592" t="str">
        <f>IF(SUMPRODUCT(--(CourseAims=Courses!$C175))=1,"",IF(AND($N$9=1,Courses!$C175&lt;&gt;""),"Row "&amp;Courses!A175&amp;" (invalid); ",""))</f>
        <v/>
      </c>
      <c r="H181" s="1592" t="str">
        <f>IF(AND($O$9=1,Courses!B175="",OR(Courses!F175&lt;&gt;"",Courses!H175&lt;&gt;"",Courses!J175&lt;&gt;"",Courses!K175&lt;&gt;"",Courses!L175&lt;&gt;"",Courses!M175&lt;&gt;0,Courses!N175&lt;&gt;0,Courses!O175&lt;&gt;0,Courses!P175&lt;&gt;0,Courses!Q175&lt;&gt;0,Courses!R175&lt;&gt;0,Courses!S175&lt;&gt;0,Courses!T175&lt;&gt;0,Courses!U175&lt;&gt;0,Courses!V175&lt;&gt;0,Courses!W175&lt;&gt;0,Courses!X175&lt;&gt;0,Courses!Y175&lt;&gt;0,Courses!Z175&lt;&gt;0,Courses!AA175&lt;&gt;0)),"Row "&amp;Courses!A175&amp;" (none); ","")</f>
        <v/>
      </c>
      <c r="I181" s="1596"/>
      <c r="K181" s="1592" t="str">
        <f>Courses!B175&amp;Courses!K175&amp;Courses!L175</f>
        <v/>
      </c>
      <c r="L181" s="1592" t="str">
        <f>IF(AND($P$9=1,Courses!$B175&lt;&gt;"",COUNTIF(Dummy,Courses!$C175)&lt;&gt;1),IF(SUMPRODUCT(--($K$20:$K$219=$K181))&gt;1,"Row "&amp;Courses!$A175&amp;"; ",""),"")</f>
        <v/>
      </c>
      <c r="N181" s="118"/>
      <c r="O181" s="1593" t="str">
        <f>IF(AND($Q$9=1,Courses!E175&lt;&gt;"",Courses!F175=""),"Row "&amp;Courses!A175&amp;", "&amp;Courses!$E$10&amp;"; ","")</f>
        <v/>
      </c>
      <c r="P181" t="str">
        <f>IF(AND($Q$9=1,Courses!G175&lt;&gt;"",Courses!H175=""),"Row "&amp;Courses!A175&amp;", "&amp;Courses!$G$10&amp;"; ","")</f>
        <v/>
      </c>
      <c r="Q181" s="183" t="str">
        <f>IF(AND($Q$9=1,Courses!I175&lt;&gt;"",Courses!J175=""),"Row "&amp;Courses!A175&amp;", "&amp;Courses!$I$10&amp;"; ","")</f>
        <v/>
      </c>
      <c r="T181" s="118"/>
      <c r="U181" s="1593" t="str">
        <f>IF(AND($R$9=1,Courses!B175&lt;&gt;"",Courses!E175&lt;&gt;"",Courses!G175="",Courses!I175="",Courses!F175&lt;&gt;1),"Row "&amp;Courses!A175&amp;"; ","")</f>
        <v/>
      </c>
      <c r="V181" t="str">
        <f>IF(AND($R$9=1,Courses!B175&lt;&gt;"",Courses!I175="",Courses!F175&lt;&gt;"",Courses!G175&lt;&gt;"",Courses!H175&lt;&gt;""),IF(OR((Courses!F175+Courses!H175)&lt;&gt;1),"Row "&amp;Courses!A175&amp;"; ",""),"")</f>
        <v/>
      </c>
      <c r="W181" s="183" t="str">
        <f>IF(AND($R$9=1,Courses!B175&lt;&gt;"",Courses!I175&lt;&gt;"",Courses!J175&lt;&gt;"",Courses!H175&lt;&gt;"",Courses!G175&lt;&gt;"",Courses!F175&lt;&gt;""),IF(OR((Courses!F175+Courses!H175+Courses!J175)&lt;&gt;1),"Row "&amp;Courses!A175&amp;"; ",""),"")</f>
        <v/>
      </c>
      <c r="Y181" s="1592" t="str">
        <f>IF(AND($R$9=1,Courses!E175&lt;&gt;"",U181="",V181="",W181="",SUM(Courses!F175,Courses!H175,Courses!J175)&lt;&gt;1),"Row "&amp;Courses!A175&amp;"; ","")</f>
        <v/>
      </c>
      <c r="AA181" s="118"/>
      <c r="AB181" s="1593" t="str">
        <f>IF(AND($S$9=1,Courses!B175&lt;&gt;"",Courses!E175&lt;&gt;"",Courses!F175&lt;&gt;""),IF((TRUNC(Courses!F175*100)&lt;&gt;Courses!F175*100),"Row "&amp;Courses!A175&amp;", "&amp;Courses!$F$10&amp;"; ",""),"")</f>
        <v/>
      </c>
      <c r="AC181" t="str">
        <f>IF(AND($S$9=1,Courses!B175&lt;&gt;"",Courses!G175&lt;&gt;"",Courses!H175&lt;&gt;""),IF((TRUNC(Courses!H175*100)&lt;&gt;Courses!H175*100),"Row "&amp;Courses!A175&amp;", "&amp;Courses!$H$10&amp;"; ",""),"")</f>
        <v/>
      </c>
      <c r="AD181" s="183" t="str">
        <f>IF(AND($S$9=1,Courses!B175&lt;&gt;"",Courses!I175&lt;&gt;"",Courses!J175&lt;&gt;""),IF((TRUNC(Courses!J175*100)&lt;&gt;Courses!J175*100),"Row "&amp;Courses!A175&amp;", "&amp;Courses!$J$10&amp;"; ",""),"")</f>
        <v/>
      </c>
      <c r="AF181" s="118"/>
      <c r="AG181" s="1593" t="str">
        <f>IF(AND($T$9=1,G181="",Courses!B175&lt;&gt;"",Courses!K175&lt;&gt;$B$9,Courses!K175&lt;&gt;$B$10,Courses!K175&lt;&gt;$B$11,Courses!K175&lt;&gt;$B$12,Courses!K175&lt;&gt;$B$13,Courses!K175&lt;&gt;$B$14),"Row "&amp;Courses!A175&amp;"; ","")</f>
        <v/>
      </c>
      <c r="AH181" s="183" t="str">
        <f>IF(AND($U$9=1,G181="",Courses!B175&lt;&gt;"",Courses!L175&lt;&gt;"Standard",Courses!L175&lt;&gt;"Long"),"Row "&amp;Courses!A175&amp;"; ","")</f>
        <v/>
      </c>
      <c r="AJ181" s="118"/>
      <c r="AK181" s="40">
        <v>162</v>
      </c>
      <c r="AL181" s="1593" t="str">
        <f>IF(AND($V$9=1,(TRUNC(Courses!M175)&lt;&gt;Courses!M175)), "Row "&amp;Courses!$A175&amp;", "&amp;AL$9&amp;", "&amp;AL$10&amp;", "&amp;AL$11&amp;"; ","")</f>
        <v/>
      </c>
      <c r="AM181" t="str">
        <f>IF(AND($V$9=1,(TRUNC(Courses!N175)&lt;&gt;Courses!N175)), "Row "&amp;Courses!$A175&amp;", "&amp;AM$9&amp;", "&amp;AM$10&amp;", "&amp;AM$11&amp;"; ","")</f>
        <v/>
      </c>
      <c r="AN181" t="str">
        <f>IF(AND($V$9=1,(TRUNC(Courses!O175)&lt;&gt;Courses!O175)), "Row "&amp;Courses!$A175&amp;", "&amp;AN$9&amp;", "&amp;AN$10&amp;", "&amp;AN$11&amp;"; ","")</f>
        <v/>
      </c>
      <c r="AO181" t="str">
        <f>IF(AND($V$9=1,(TRUNC(Courses!P175)&lt;&gt;Courses!P175)), "Row "&amp;Courses!$A175&amp;", "&amp;AO$9&amp;", "&amp;AO$10&amp;", "&amp;AO$11&amp;"; ","")</f>
        <v/>
      </c>
      <c r="AP181" s="2120" t="str">
        <f>IF(AND($V$9=1,(TRUNC(Courses!Q175)&lt;&gt;Courses!Q175)), "Row "&amp;Courses!$A175&amp;", "&amp;AP$9&amp;", "&amp;AP$10&amp;"; ","")</f>
        <v/>
      </c>
      <c r="AQ181" s="1593" t="str">
        <f>IF(AND($V$9=1,(TRUNC(Courses!R175)&lt;&gt;Courses!R175)), "Row "&amp;Courses!$A175&amp;", "&amp;AQ$9&amp;", "&amp;AQ$10&amp;", "&amp;AQ$11&amp;"; ","")</f>
        <v/>
      </c>
      <c r="AR181" t="str">
        <f>IF(AND($V$9=1,(TRUNC(Courses!S175)&lt;&gt;Courses!S175)), "Row "&amp;Courses!$A175&amp;", "&amp;AR$9&amp;", "&amp;AR$10&amp;", "&amp;AR$11&amp;"; ","")</f>
        <v/>
      </c>
      <c r="AS181" t="str">
        <f>IF(AND($V$9=1,(TRUNC(Courses!T175)&lt;&gt;Courses!T175)), "Row "&amp;Courses!$A175&amp;", "&amp;AS$9&amp;", "&amp;AS$10&amp;", "&amp;AS$11&amp;"; ","")</f>
        <v/>
      </c>
      <c r="AT181" t="str">
        <f>IF(AND($V$9=1,(TRUNC(Courses!U175)&lt;&gt;Courses!U175)), "Row "&amp;Courses!$A175&amp;", "&amp;AT$9&amp;", "&amp;AT$10&amp;", "&amp;AT$11&amp;"; ","")</f>
        <v/>
      </c>
      <c r="AU181" s="2120" t="str">
        <f>IF(AND($V$9=1,(TRUNC(Courses!V175)&lt;&gt;Courses!V175)), "Row "&amp;Courses!$A175&amp;", "&amp;AU$9&amp;", "&amp;AU$10&amp;"; ","")</f>
        <v/>
      </c>
      <c r="AV181" t="str">
        <f>IF(AND($V$9=1,(TRUNC(Courses!W175)&lt;&gt;Courses!W175)), "Row "&amp;Courses!$A175&amp;", "&amp;AV$9&amp;", "&amp;AV$10&amp;", "&amp;AV$11&amp;"; ","")</f>
        <v/>
      </c>
      <c r="AW181" t="str">
        <f>IF(AND($V$9=1,(TRUNC(Courses!X175)&lt;&gt;Courses!X175)), "Row "&amp;Courses!$A175&amp;", "&amp;AW$9&amp;", "&amp;AW$10&amp;", "&amp;AW$11&amp;"; ","")</f>
        <v/>
      </c>
      <c r="AX181" t="str">
        <f>IF(AND($V$9=1,(TRUNC(Courses!Y175)&lt;&gt;Courses!Y175)), "Row "&amp;Courses!$A175&amp;", "&amp;AX$9&amp;", "&amp;AX$10&amp;", "&amp;AX$11&amp;"; ","")</f>
        <v/>
      </c>
      <c r="AY181" t="str">
        <f>IF(AND($V$9=1,(TRUNC(Courses!Z175)&lt;&gt;Courses!Z175)), "Row "&amp;Courses!$A175&amp;", "&amp;AY$9&amp;", "&amp;AY$10&amp;", "&amp;AY$11&amp;"; ","")</f>
        <v/>
      </c>
      <c r="AZ181" s="2120" t="str">
        <f>IF(AND($V$9=1,(TRUNC(Courses!AA175)&lt;&gt;Courses!AA175)), "Row "&amp;Courses!$A175&amp;", "&amp;AZ$9&amp;", "&amp;AZ$10&amp;"; ","")</f>
        <v/>
      </c>
      <c r="BB181" s="118"/>
      <c r="BC181" s="40">
        <v>162</v>
      </c>
      <c r="BD181" s="1593" t="str">
        <f>IF(AND($W$9=1,Courses!M175&lt;0), "Row "&amp;Courses!$A175&amp;", "&amp;BD$9&amp;", "&amp;BD$10&amp;", "&amp;BD$11&amp;"; ","")</f>
        <v/>
      </c>
      <c r="BE181" t="str">
        <f>IF(AND($W$9=1,Courses!N175&lt;0), "Row "&amp;Courses!$A175&amp;", "&amp;BE$9&amp;", "&amp;BE$10&amp;", "&amp;BE$11&amp;"; ","")</f>
        <v/>
      </c>
      <c r="BF181" t="str">
        <f>IF(AND($W$9=1,Courses!O175&lt;0), "Row "&amp;Courses!$A175&amp;", "&amp;BF$9&amp;", "&amp;BF$10&amp;", "&amp;BF$11&amp;"; ","")</f>
        <v/>
      </c>
      <c r="BG181" t="str">
        <f>IF(AND($W$9=1,Courses!P175&lt;0), "Row "&amp;Courses!$A175&amp;", "&amp;BG$9&amp;", "&amp;BG$10&amp;", "&amp;BG$11&amp;"; ","")</f>
        <v/>
      </c>
      <c r="BH181" s="2120" t="str">
        <f>IF(AND($W$9=1,Courses!Q175&lt;0), "Row "&amp;Courses!$A175&amp;", "&amp;BH$9&amp;", "&amp;BH$10&amp;"; ","")</f>
        <v/>
      </c>
      <c r="BI181" s="1593" t="str">
        <f>IF(AND($W$9=1,Courses!R175&lt;0), "Row "&amp;Courses!$A175&amp;", "&amp;BI$9&amp;", "&amp;BI$10&amp;", "&amp;BI$11&amp;"; ","")</f>
        <v/>
      </c>
      <c r="BJ181" t="str">
        <f>IF(AND($W$9=1,Courses!S175&lt;0), "Row "&amp;Courses!$A175&amp;", "&amp;BJ$9&amp;", "&amp;BJ$10&amp;", "&amp;BJ$11&amp;"; ","")</f>
        <v/>
      </c>
      <c r="BK181" t="str">
        <f>IF(AND($W$9=1,Courses!T175&lt;0), "Row "&amp;Courses!$A175&amp;", "&amp;BK$9&amp;", "&amp;BK$10&amp;", "&amp;BK$11&amp;"; ","")</f>
        <v/>
      </c>
      <c r="BL181" t="str">
        <f>IF(AND($W$9=1,Courses!U175&lt;0), "Row "&amp;Courses!$A175&amp;", "&amp;BL$9&amp;", "&amp;BL$10&amp;", "&amp;BL$11&amp;"; ","")</f>
        <v/>
      </c>
      <c r="BM181" s="2120" t="str">
        <f>IF(AND($W$9=1,Courses!V175&lt;0), "Row "&amp;Courses!$A175&amp;", "&amp;BM$9&amp;", "&amp;BM$10&amp;"; ","")</f>
        <v/>
      </c>
      <c r="BN181" t="str">
        <f>IF(AND($W$9=1,Courses!W175&lt;0), "Row "&amp;Courses!$A175&amp;", "&amp;BN$9&amp;", "&amp;BN$10&amp;", "&amp;BN$11&amp;"; ","")</f>
        <v/>
      </c>
      <c r="BO181" t="str">
        <f>IF(AND($W$9=1,Courses!X175&lt;0), "Row "&amp;Courses!$A175&amp;", "&amp;BO$9&amp;", "&amp;BO$10&amp;", "&amp;BO$11&amp;"; ","")</f>
        <v/>
      </c>
      <c r="BP181" t="str">
        <f>IF(AND($W$9=1,Courses!Y175&lt;0), "Row "&amp;Courses!$A175&amp;", "&amp;BP$9&amp;", "&amp;BP$10&amp;", "&amp;BP$11&amp;"; ","")</f>
        <v/>
      </c>
      <c r="BQ181" t="str">
        <f>IF(AND($W$9=1,Courses!Z175&lt;0), "Row "&amp;Courses!$A175&amp;", "&amp;BQ$9&amp;", "&amp;BQ$10&amp;", "&amp;BQ$11&amp;"; ","")</f>
        <v/>
      </c>
      <c r="BR181" s="2120" t="str">
        <f>IF(AND($W$9=1,Courses!AA175&lt;0), "Row "&amp;Courses!$A175&amp;", "&amp;BR$9&amp;", "&amp;BR$10&amp;"; ","")</f>
        <v/>
      </c>
      <c r="BT181" s="3">
        <f t="shared" ref="BT181:BT219" si="5">BT180+1</f>
        <v>162</v>
      </c>
      <c r="BU181" s="40">
        <f>IF(AND($X$9=1,Courses!B175="",Courses!F175="",Courses!H175="",Courses!J175="",Courses!K175="",Courses!L175="",Courses!M175=0,Courses!N175=0,Courses!O175=0,Courses!P175=0,Courses!Q175=0,Courses!R175=0,Courses!S175=0,Courses!T175=0,Courses!U175=0,Courses!V175=0,Courses!W175=0,Courses!X175=0,Courses!Y175=0,Courses!Z175=0,Courses!AA175=0),0,1)</f>
        <v>0</v>
      </c>
      <c r="BV181" s="40">
        <f>IF(AND(BU181=0,SUM(BU182:$BU$219)&gt;0),1,0)</f>
        <v>0</v>
      </c>
      <c r="BW181" s="1592" t="str">
        <f>IF(BV181=1,"Row "&amp;Courses!A175&amp;"; ","")</f>
        <v/>
      </c>
      <c r="BX181" s="17"/>
      <c r="BZ181" s="1592" t="str">
        <f>IF(AND($Y$9=1,Courses!B175&lt;&gt;"",SUM(Courses!M175:AA175)=0),"Row "&amp;Courses!A175&amp;"; ","")</f>
        <v/>
      </c>
      <c r="CA181" s="17"/>
      <c r="CC181" s="1592" t="str">
        <f>IF(AND($Z$9=1,Courses!AD175=1,(LEN(Courses!AB175)&gt;200)),"Row "&amp;Courses!A175&amp;"; ","")</f>
        <v/>
      </c>
      <c r="CE181" s="131"/>
      <c r="CG181" s="1593" t="str">
        <f>IF(AND($AD$9=1,Courses!E175&lt;&gt;"",Courses!F175&lt;&gt;"",Courses!F175=0,SUM(Courses!H175,Courses!J175)=1),"Row "&amp;Courses!A175&amp;", "&amp;Courses!$F$10&amp;"; ","")</f>
        <v/>
      </c>
      <c r="CH181" t="str">
        <f>IF(AND($AD$9=1,Courses!G175&lt;&gt;"",Courses!H175&lt;&gt;"",Courses!H175=0,SUM(Courses!J175,Courses!F175)=1),"Row "&amp;Courses!A175&amp;", "&amp;Courses!$H$10&amp;"; ","")</f>
        <v/>
      </c>
      <c r="CI181" s="183" t="str">
        <f>IF(AND($AD$9=1,Courses!I175&lt;&gt;"",Courses!J175&lt;&gt;"",Courses!J175=0, SUM(Courses!H175,Courses!F175)=1),"Row "&amp;Courses!A175&amp;", "&amp;Courses!$J$10&amp;"; ","")</f>
        <v/>
      </c>
      <c r="CJ181" s="180"/>
      <c r="CK181" s="181"/>
      <c r="CL181" s="1592" t="str">
        <f>IF(AND(Courses!B175&lt;&gt;"",ISNA(VLOOKUP(Courses!C175,CourseInfo,2,FALSE))=FALSE,COUNTIF(Dummy,Courses!C175)&lt;&gt;1),VLOOKUP(Courses!C175,CourseInfo,6,FALSE),"")</f>
        <v/>
      </c>
      <c r="CM181" s="1592" t="str">
        <f>IF(AND($AE$9=1,Courses!B175&lt;&gt;"",'Courses Valid'!AG181="",COUNTIF(Dummy,Courses!C175)&lt;&gt;1),IF(Courses!K175&lt;&gt;'Courses Valid'!CL181,"Row "&amp;Courses!A175&amp;", Level on LARS is "&amp;'Courses Valid'!CL181&amp;"; ",""),"")</f>
        <v/>
      </c>
      <c r="CN181" s="131"/>
    </row>
    <row r="182" spans="3:92" x14ac:dyDescent="0.35">
      <c r="C182" s="1595">
        <f t="shared" si="4"/>
        <v>0</v>
      </c>
      <c r="F182" s="119"/>
      <c r="G182" s="1592" t="str">
        <f>IF(SUMPRODUCT(--(CourseAims=Courses!$C176))=1,"",IF(AND($N$9=1,Courses!$C176&lt;&gt;""),"Row "&amp;Courses!A176&amp;" (invalid); ",""))</f>
        <v/>
      </c>
      <c r="H182" s="1592" t="str">
        <f>IF(AND($O$9=1,Courses!B176="",OR(Courses!F176&lt;&gt;"",Courses!H176&lt;&gt;"",Courses!J176&lt;&gt;"",Courses!K176&lt;&gt;"",Courses!L176&lt;&gt;"",Courses!M176&lt;&gt;0,Courses!N176&lt;&gt;0,Courses!O176&lt;&gt;0,Courses!P176&lt;&gt;0,Courses!Q176&lt;&gt;0,Courses!R176&lt;&gt;0,Courses!S176&lt;&gt;0,Courses!T176&lt;&gt;0,Courses!U176&lt;&gt;0,Courses!V176&lt;&gt;0,Courses!W176&lt;&gt;0,Courses!X176&lt;&gt;0,Courses!Y176&lt;&gt;0,Courses!Z176&lt;&gt;0,Courses!AA176&lt;&gt;0)),"Row "&amp;Courses!A176&amp;" (none); ","")</f>
        <v/>
      </c>
      <c r="I182" s="25"/>
      <c r="J182" s="15"/>
      <c r="K182" s="283" t="str">
        <f>Courses!B176&amp;Courses!K176&amp;Courses!L176</f>
        <v/>
      </c>
      <c r="L182" s="283" t="str">
        <f>IF(AND($P$9=1,Courses!$B176&lt;&gt;"",COUNTIF(Dummy,Courses!$C176)&lt;&gt;1),IF(SUMPRODUCT(--($K$20:$K$219=$K182))&gt;1,"Row "&amp;Courses!$A176&amp;"; ",""),"")</f>
        <v/>
      </c>
      <c r="M182" s="15"/>
      <c r="N182" s="119"/>
      <c r="O182" s="1593" t="str">
        <f>IF(AND($Q$9=1,Courses!E176&lt;&gt;"",Courses!F176=""),"Row "&amp;Courses!A176&amp;", "&amp;Courses!$E$10&amp;"; ","")</f>
        <v/>
      </c>
      <c r="P182" t="str">
        <f>IF(AND($Q$9=1,Courses!G176&lt;&gt;"",Courses!H176=""),"Row "&amp;Courses!A176&amp;", "&amp;Courses!$G$10&amp;"; ","")</f>
        <v/>
      </c>
      <c r="Q182" s="183" t="str">
        <f>IF(AND($Q$9=1,Courses!I176&lt;&gt;"",Courses!J176=""),"Row "&amp;Courses!A176&amp;", "&amp;Courses!$I$10&amp;"; ","")</f>
        <v/>
      </c>
      <c r="R182" s="15"/>
      <c r="S182" s="25"/>
      <c r="T182" s="119"/>
      <c r="U182" s="1593" t="str">
        <f>IF(AND($R$9=1,Courses!B176&lt;&gt;"",Courses!E176&lt;&gt;"",Courses!G176="",Courses!I176="",Courses!F176&lt;&gt;1),"Row "&amp;Courses!A176&amp;"; ","")</f>
        <v/>
      </c>
      <c r="V182" t="str">
        <f>IF(AND($R$9=1,Courses!B176&lt;&gt;"",Courses!I176="",Courses!F176&lt;&gt;"",Courses!G176&lt;&gt;"",Courses!H176&lt;&gt;""),IF(OR((Courses!F176+Courses!H176)&lt;&gt;1),"Row "&amp;Courses!A176&amp;"; ",""),"")</f>
        <v/>
      </c>
      <c r="W182" s="183" t="str">
        <f>IF(AND($R$9=1,Courses!B176&lt;&gt;"",Courses!I176&lt;&gt;"",Courses!J176&lt;&gt;"",Courses!H176&lt;&gt;"",Courses!G176&lt;&gt;"",Courses!F176&lt;&gt;""),IF(OR((Courses!F176+Courses!H176+Courses!J176)&lt;&gt;1),"Row "&amp;Courses!A176&amp;"; ",""),"")</f>
        <v/>
      </c>
      <c r="X182" s="15"/>
      <c r="Y182" s="1592" t="str">
        <f>IF(AND($R$9=1,Courses!E176&lt;&gt;"",U182="",V182="",W182="",SUM(Courses!F176,Courses!H176,Courses!J176)&lt;&gt;1),"Row "&amp;Courses!A176&amp;"; ","")</f>
        <v/>
      </c>
      <c r="Z182" s="15"/>
      <c r="AA182" s="119"/>
      <c r="AB182" s="1593" t="str">
        <f>IF(AND($S$9=1,Courses!B176&lt;&gt;"",Courses!E176&lt;&gt;"",Courses!F176&lt;&gt;""),IF((TRUNC(Courses!F176*100)&lt;&gt;Courses!F176*100),"Row "&amp;Courses!A176&amp;", "&amp;Courses!$F$10&amp;"; ",""),"")</f>
        <v/>
      </c>
      <c r="AC182" t="str">
        <f>IF(AND($S$9=1,Courses!B176&lt;&gt;"",Courses!G176&lt;&gt;"",Courses!H176&lt;&gt;""),IF((TRUNC(Courses!H176*100)&lt;&gt;Courses!H176*100),"Row "&amp;Courses!A176&amp;", "&amp;Courses!$H$10&amp;"; ",""),"")</f>
        <v/>
      </c>
      <c r="AD182" s="183" t="str">
        <f>IF(AND($S$9=1,Courses!B176&lt;&gt;"",Courses!I176&lt;&gt;"",Courses!J176&lt;&gt;""),IF((TRUNC(Courses!J176*100)&lt;&gt;Courses!J176*100),"Row "&amp;Courses!A176&amp;", "&amp;Courses!$J$10&amp;"; ",""),"")</f>
        <v/>
      </c>
      <c r="AE182" s="15"/>
      <c r="AF182" s="119"/>
      <c r="AG182" s="1593" t="str">
        <f>IF(AND($T$9=1,G182="",Courses!B176&lt;&gt;"",Courses!K176&lt;&gt;$B$9,Courses!K176&lt;&gt;$B$10,Courses!K176&lt;&gt;$B$11,Courses!K176&lt;&gt;$B$12,Courses!K176&lt;&gt;$B$13,Courses!K176&lt;&gt;$B$14),"Row "&amp;Courses!A176&amp;"; ","")</f>
        <v/>
      </c>
      <c r="AH182" s="183" t="str">
        <f>IF(AND($U$9=1,G182="",Courses!B176&lt;&gt;"",Courses!L176&lt;&gt;"Standard",Courses!L176&lt;&gt;"Long"),"Row "&amp;Courses!A176&amp;"; ","")</f>
        <v/>
      </c>
      <c r="AI182" s="15"/>
      <c r="AJ182" s="119"/>
      <c r="AK182" s="209">
        <v>163</v>
      </c>
      <c r="AL182" s="1593" t="str">
        <f>IF(AND($V$9=1,(TRUNC(Courses!M176)&lt;&gt;Courses!M176)), "Row "&amp;Courses!$A176&amp;", "&amp;AL$9&amp;", "&amp;AL$10&amp;", "&amp;AL$11&amp;"; ","")</f>
        <v/>
      </c>
      <c r="AM182" t="str">
        <f>IF(AND($V$9=1,(TRUNC(Courses!N176)&lt;&gt;Courses!N176)), "Row "&amp;Courses!$A176&amp;", "&amp;AM$9&amp;", "&amp;AM$10&amp;", "&amp;AM$11&amp;"; ","")</f>
        <v/>
      </c>
      <c r="AN182" t="str">
        <f>IF(AND($V$9=1,(TRUNC(Courses!O176)&lt;&gt;Courses!O176)), "Row "&amp;Courses!$A176&amp;", "&amp;AN$9&amp;", "&amp;AN$10&amp;", "&amp;AN$11&amp;"; ","")</f>
        <v/>
      </c>
      <c r="AO182" t="str">
        <f>IF(AND($V$9=1,(TRUNC(Courses!P176)&lt;&gt;Courses!P176)), "Row "&amp;Courses!$A176&amp;", "&amp;AO$9&amp;", "&amp;AO$10&amp;", "&amp;AO$11&amp;"; ","")</f>
        <v/>
      </c>
      <c r="AP182" s="2120" t="str">
        <f>IF(AND($V$9=1,(TRUNC(Courses!Q176)&lt;&gt;Courses!Q176)), "Row "&amp;Courses!$A176&amp;", "&amp;AP$9&amp;", "&amp;AP$10&amp;"; ","")</f>
        <v/>
      </c>
      <c r="AQ182" s="1593" t="str">
        <f>IF(AND($V$9=1,(TRUNC(Courses!R176)&lt;&gt;Courses!R176)), "Row "&amp;Courses!$A176&amp;", "&amp;AQ$9&amp;", "&amp;AQ$10&amp;", "&amp;AQ$11&amp;"; ","")</f>
        <v/>
      </c>
      <c r="AR182" t="str">
        <f>IF(AND($V$9=1,(TRUNC(Courses!S176)&lt;&gt;Courses!S176)), "Row "&amp;Courses!$A176&amp;", "&amp;AR$9&amp;", "&amp;AR$10&amp;", "&amp;AR$11&amp;"; ","")</f>
        <v/>
      </c>
      <c r="AS182" t="str">
        <f>IF(AND($V$9=1,(TRUNC(Courses!T176)&lt;&gt;Courses!T176)), "Row "&amp;Courses!$A176&amp;", "&amp;AS$9&amp;", "&amp;AS$10&amp;", "&amp;AS$11&amp;"; ","")</f>
        <v/>
      </c>
      <c r="AT182" t="str">
        <f>IF(AND($V$9=1,(TRUNC(Courses!U176)&lt;&gt;Courses!U176)), "Row "&amp;Courses!$A176&amp;", "&amp;AT$9&amp;", "&amp;AT$10&amp;", "&amp;AT$11&amp;"; ","")</f>
        <v/>
      </c>
      <c r="AU182" s="2120" t="str">
        <f>IF(AND($V$9=1,(TRUNC(Courses!V176)&lt;&gt;Courses!V176)), "Row "&amp;Courses!$A176&amp;", "&amp;AU$9&amp;", "&amp;AU$10&amp;"; ","")</f>
        <v/>
      </c>
      <c r="AV182" t="str">
        <f>IF(AND($V$9=1,(TRUNC(Courses!W176)&lt;&gt;Courses!W176)), "Row "&amp;Courses!$A176&amp;", "&amp;AV$9&amp;", "&amp;AV$10&amp;", "&amp;AV$11&amp;"; ","")</f>
        <v/>
      </c>
      <c r="AW182" t="str">
        <f>IF(AND($V$9=1,(TRUNC(Courses!X176)&lt;&gt;Courses!X176)), "Row "&amp;Courses!$A176&amp;", "&amp;AW$9&amp;", "&amp;AW$10&amp;", "&amp;AW$11&amp;"; ","")</f>
        <v/>
      </c>
      <c r="AX182" t="str">
        <f>IF(AND($V$9=1,(TRUNC(Courses!Y176)&lt;&gt;Courses!Y176)), "Row "&amp;Courses!$A176&amp;", "&amp;AX$9&amp;", "&amp;AX$10&amp;", "&amp;AX$11&amp;"; ","")</f>
        <v/>
      </c>
      <c r="AY182" t="str">
        <f>IF(AND($V$9=1,(TRUNC(Courses!Z176)&lt;&gt;Courses!Z176)), "Row "&amp;Courses!$A176&amp;", "&amp;AY$9&amp;", "&amp;AY$10&amp;", "&amp;AY$11&amp;"; ","")</f>
        <v/>
      </c>
      <c r="AZ182" s="2120" t="str">
        <f>IF(AND($V$9=1,(TRUNC(Courses!AA176)&lt;&gt;Courses!AA176)), "Row "&amp;Courses!$A176&amp;", "&amp;AZ$9&amp;", "&amp;AZ$10&amp;"; ","")</f>
        <v/>
      </c>
      <c r="BA182" s="25"/>
      <c r="BB182" s="119"/>
      <c r="BC182" s="209">
        <v>163</v>
      </c>
      <c r="BD182" s="1593" t="str">
        <f>IF(AND($W$9=1,Courses!M176&lt;0), "Row "&amp;Courses!$A176&amp;", "&amp;BD$9&amp;", "&amp;BD$10&amp;", "&amp;BD$11&amp;"; ","")</f>
        <v/>
      </c>
      <c r="BE182" t="str">
        <f>IF(AND($W$9=1,Courses!N176&lt;0), "Row "&amp;Courses!$A176&amp;", "&amp;BE$9&amp;", "&amp;BE$10&amp;", "&amp;BE$11&amp;"; ","")</f>
        <v/>
      </c>
      <c r="BF182" t="str">
        <f>IF(AND($W$9=1,Courses!O176&lt;0), "Row "&amp;Courses!$A176&amp;", "&amp;BF$9&amp;", "&amp;BF$10&amp;", "&amp;BF$11&amp;"; ","")</f>
        <v/>
      </c>
      <c r="BG182" t="str">
        <f>IF(AND($W$9=1,Courses!P176&lt;0), "Row "&amp;Courses!$A176&amp;", "&amp;BG$9&amp;", "&amp;BG$10&amp;", "&amp;BG$11&amp;"; ","")</f>
        <v/>
      </c>
      <c r="BH182" s="2120" t="str">
        <f>IF(AND($W$9=1,Courses!Q176&lt;0), "Row "&amp;Courses!$A176&amp;", "&amp;BH$9&amp;", "&amp;BH$10&amp;"; ","")</f>
        <v/>
      </c>
      <c r="BI182" s="1593" t="str">
        <f>IF(AND($W$9=1,Courses!R176&lt;0), "Row "&amp;Courses!$A176&amp;", "&amp;BI$9&amp;", "&amp;BI$10&amp;", "&amp;BI$11&amp;"; ","")</f>
        <v/>
      </c>
      <c r="BJ182" t="str">
        <f>IF(AND($W$9=1,Courses!S176&lt;0), "Row "&amp;Courses!$A176&amp;", "&amp;BJ$9&amp;", "&amp;BJ$10&amp;", "&amp;BJ$11&amp;"; ","")</f>
        <v/>
      </c>
      <c r="BK182" t="str">
        <f>IF(AND($W$9=1,Courses!T176&lt;0), "Row "&amp;Courses!$A176&amp;", "&amp;BK$9&amp;", "&amp;BK$10&amp;", "&amp;BK$11&amp;"; ","")</f>
        <v/>
      </c>
      <c r="BL182" t="str">
        <f>IF(AND($W$9=1,Courses!U176&lt;0), "Row "&amp;Courses!$A176&amp;", "&amp;BL$9&amp;", "&amp;BL$10&amp;", "&amp;BL$11&amp;"; ","")</f>
        <v/>
      </c>
      <c r="BM182" s="2120" t="str">
        <f>IF(AND($W$9=1,Courses!V176&lt;0), "Row "&amp;Courses!$A176&amp;", "&amp;BM$9&amp;", "&amp;BM$10&amp;"; ","")</f>
        <v/>
      </c>
      <c r="BN182" t="str">
        <f>IF(AND($W$9=1,Courses!W176&lt;0), "Row "&amp;Courses!$A176&amp;", "&amp;BN$9&amp;", "&amp;BN$10&amp;", "&amp;BN$11&amp;"; ","")</f>
        <v/>
      </c>
      <c r="BO182" t="str">
        <f>IF(AND($W$9=1,Courses!X176&lt;0), "Row "&amp;Courses!$A176&amp;", "&amp;BO$9&amp;", "&amp;BO$10&amp;", "&amp;BO$11&amp;"; ","")</f>
        <v/>
      </c>
      <c r="BP182" t="str">
        <f>IF(AND($W$9=1,Courses!Y176&lt;0), "Row "&amp;Courses!$A176&amp;", "&amp;BP$9&amp;", "&amp;BP$10&amp;", "&amp;BP$11&amp;"; ","")</f>
        <v/>
      </c>
      <c r="BQ182" t="str">
        <f>IF(AND($W$9=1,Courses!Z176&lt;0), "Row "&amp;Courses!$A176&amp;", "&amp;BQ$9&amp;", "&amp;BQ$10&amp;", "&amp;BQ$11&amp;"; ","")</f>
        <v/>
      </c>
      <c r="BR182" s="2120" t="str">
        <f>IF(AND($W$9=1,Courses!AA176&lt;0), "Row "&amp;Courses!$A176&amp;", "&amp;BR$9&amp;", "&amp;BR$10&amp;"; ","")</f>
        <v/>
      </c>
      <c r="BS182" s="15"/>
      <c r="BT182" s="3">
        <f t="shared" si="5"/>
        <v>163</v>
      </c>
      <c r="BU182" s="40">
        <f>IF(AND($X$9=1,Courses!B176="",Courses!F176="",Courses!H176="",Courses!J176="",Courses!K176="",Courses!L176="",Courses!M176=0,Courses!N176=0,Courses!O176=0,Courses!P176=0,Courses!Q176=0,Courses!R176=0,Courses!S176=0,Courses!T176=0,Courses!U176=0,Courses!V176=0,Courses!W176=0,Courses!X176=0,Courses!Y176=0,Courses!Z176=0,Courses!AA176=0),0,1)</f>
        <v>0</v>
      </c>
      <c r="BV182" s="209">
        <f>IF(AND(BU182=0,SUM(BU183:$BU$219)&gt;0),1,0)</f>
        <v>0</v>
      </c>
      <c r="BW182" s="1592" t="str">
        <f>IF(BV182=1,"Row "&amp;Courses!A176&amp;"; ","")</f>
        <v/>
      </c>
      <c r="BX182" s="25"/>
      <c r="BZ182" s="1592" t="str">
        <f>IF(AND($Y$9=1,Courses!B176&lt;&gt;"",SUM(Courses!M176:AA176)=0),"Row "&amp;Courses!A176&amp;"; ","")</f>
        <v/>
      </c>
      <c r="CA182" s="17"/>
      <c r="CC182" s="1592" t="str">
        <f>IF(AND($Z$9=1,Courses!AD176=1,(LEN(Courses!AB176)&gt;200)),"Row "&amp;Courses!A176&amp;"; ","")</f>
        <v/>
      </c>
      <c r="CE182" s="131"/>
      <c r="CF182" s="190"/>
      <c r="CG182" s="1593" t="str">
        <f>IF(AND($AD$9=1,Courses!E176&lt;&gt;"",Courses!F176&lt;&gt;"",Courses!F176=0,SUM(Courses!H176,Courses!J176)=1),"Row "&amp;Courses!A176&amp;", "&amp;Courses!$F$10&amp;"; ","")</f>
        <v/>
      </c>
      <c r="CH182" t="str">
        <f>IF(AND($AD$9=1,Courses!G176&lt;&gt;"",Courses!H176&lt;&gt;"",Courses!H176=0,SUM(Courses!J176,Courses!F176)=1),"Row "&amp;Courses!A176&amp;", "&amp;Courses!$H$10&amp;"; ","")</f>
        <v/>
      </c>
      <c r="CI182" s="183" t="str">
        <f>IF(AND($AD$9=1,Courses!I176&lt;&gt;"",Courses!J176&lt;&gt;"",Courses!J176=0, SUM(Courses!H176,Courses!F176)=1),"Row "&amp;Courses!A176&amp;", "&amp;Courses!$J$10&amp;"; ","")</f>
        <v/>
      </c>
      <c r="CJ182" s="191"/>
      <c r="CK182" s="192"/>
      <c r="CL182" s="1592" t="str">
        <f>IF(AND(Courses!B176&lt;&gt;"",ISNA(VLOOKUP(Courses!C176,CourseInfo,2,FALSE))=FALSE,COUNTIF(Dummy,Courses!C176)&lt;&gt;1),VLOOKUP(Courses!C176,CourseInfo,6,FALSE),"")</f>
        <v/>
      </c>
      <c r="CM182" s="1592" t="str">
        <f>IF(AND($AE$9=1,Courses!B176&lt;&gt;"",'Courses Valid'!AG182="",COUNTIF(Dummy,Courses!C176)&lt;&gt;1),IF(Courses!K176&lt;&gt;'Courses Valid'!CL182,"Row "&amp;Courses!A176&amp;", Level on LARS is "&amp;'Courses Valid'!CL182&amp;"; ",""),"")</f>
        <v/>
      </c>
      <c r="CN182" s="290"/>
    </row>
    <row r="183" spans="3:92" x14ac:dyDescent="0.35">
      <c r="C183" s="1595">
        <f t="shared" si="4"/>
        <v>0</v>
      </c>
      <c r="G183" s="1592" t="str">
        <f>IF(SUMPRODUCT(--(CourseAims=Courses!$C177))=1,"",IF(AND($N$9=1,Courses!$C177&lt;&gt;""),"Row "&amp;Courses!A177&amp;" (invalid); ",""))</f>
        <v/>
      </c>
      <c r="H183" s="1592" t="str">
        <f>IF(AND($O$9=1,Courses!B177="",OR(Courses!F177&lt;&gt;"",Courses!H177&lt;&gt;"",Courses!J177&lt;&gt;"",Courses!K177&lt;&gt;"",Courses!L177&lt;&gt;"",Courses!M177&lt;&gt;0,Courses!N177&lt;&gt;0,Courses!O177&lt;&gt;0,Courses!P177&lt;&gt;0,Courses!Q177&lt;&gt;0,Courses!R177&lt;&gt;0,Courses!S177&lt;&gt;0,Courses!T177&lt;&gt;0,Courses!U177&lt;&gt;0,Courses!V177&lt;&gt;0,Courses!W177&lt;&gt;0,Courses!X177&lt;&gt;0,Courses!Y177&lt;&gt;0,Courses!Z177&lt;&gt;0,Courses!AA177&lt;&gt;0)),"Row "&amp;Courses!A177&amp;" (none); ","")</f>
        <v/>
      </c>
      <c r="K183" s="1592" t="str">
        <f>Courses!B177&amp;Courses!K177&amp;Courses!L177</f>
        <v/>
      </c>
      <c r="L183" s="1592" t="str">
        <f>IF(AND($P$9=1,Courses!$B177&lt;&gt;"",COUNTIF(Dummy,Courses!$C177)&lt;&gt;1),IF(SUMPRODUCT(--($K$20:$K$219=$K183))&gt;1,"Row "&amp;Courses!$A177&amp;"; ",""),"")</f>
        <v/>
      </c>
      <c r="O183" s="1593" t="str">
        <f>IF(AND($Q$9=1,Courses!E177&lt;&gt;"",Courses!F177=""),"Row "&amp;Courses!A177&amp;", "&amp;Courses!$E$10&amp;"; ","")</f>
        <v/>
      </c>
      <c r="P183" t="str">
        <f>IF(AND($Q$9=1,Courses!G177&lt;&gt;"",Courses!H177=""),"Row "&amp;Courses!A177&amp;", "&amp;Courses!$G$10&amp;"; ","")</f>
        <v/>
      </c>
      <c r="Q183" s="183" t="str">
        <f>IF(AND($Q$9=1,Courses!I177&lt;&gt;"",Courses!J177=""),"Row "&amp;Courses!A177&amp;", "&amp;Courses!$I$10&amp;"; ","")</f>
        <v/>
      </c>
      <c r="U183" s="1593" t="str">
        <f>IF(AND($R$9=1,Courses!B177&lt;&gt;"",Courses!E177&lt;&gt;"",Courses!G177="",Courses!I177="",Courses!F177&lt;&gt;1),"Row "&amp;Courses!A177&amp;"; ","")</f>
        <v/>
      </c>
      <c r="V183" t="str">
        <f>IF(AND($R$9=1,Courses!B177&lt;&gt;"",Courses!I177="",Courses!F177&lt;&gt;"",Courses!G177&lt;&gt;"",Courses!H177&lt;&gt;""),IF(OR((Courses!F177+Courses!H177)&lt;&gt;1),"Row "&amp;Courses!A177&amp;"; ",""),"")</f>
        <v/>
      </c>
      <c r="W183" s="183" t="str">
        <f>IF(AND($R$9=1,Courses!B177&lt;&gt;"",Courses!I177&lt;&gt;"",Courses!J177&lt;&gt;"",Courses!H177&lt;&gt;"",Courses!G177&lt;&gt;"",Courses!F177&lt;&gt;""),IF(OR((Courses!F177+Courses!H177+Courses!J177)&lt;&gt;1),"Row "&amp;Courses!A177&amp;"; ",""),"")</f>
        <v/>
      </c>
      <c r="Y183" s="1592" t="str">
        <f>IF(AND($R$9=1,Courses!E177&lt;&gt;"",U183="",V183="",W183="",SUM(Courses!F177,Courses!H177,Courses!J177)&lt;&gt;1),"Row "&amp;Courses!A177&amp;"; ","")</f>
        <v/>
      </c>
      <c r="AB183" s="1593" t="str">
        <f>IF(AND($S$9=1,Courses!B177&lt;&gt;"",Courses!E177&lt;&gt;"",Courses!F177&lt;&gt;""),IF((TRUNC(Courses!F177*100)&lt;&gt;Courses!F177*100),"Row "&amp;Courses!A177&amp;", "&amp;Courses!$F$10&amp;"; ",""),"")</f>
        <v/>
      </c>
      <c r="AC183" t="str">
        <f>IF(AND($S$9=1,Courses!B177&lt;&gt;"",Courses!G177&lt;&gt;"",Courses!H177&lt;&gt;""),IF((TRUNC(Courses!H177*100)&lt;&gt;Courses!H177*100),"Row "&amp;Courses!A177&amp;", "&amp;Courses!$H$10&amp;"; ",""),"")</f>
        <v/>
      </c>
      <c r="AD183" s="183" t="str">
        <f>IF(AND($S$9=1,Courses!B177&lt;&gt;"",Courses!I177&lt;&gt;"",Courses!J177&lt;&gt;""),IF((TRUNC(Courses!J177*100)&lt;&gt;Courses!J177*100),"Row "&amp;Courses!A177&amp;", "&amp;Courses!$J$10&amp;"; ",""),"")</f>
        <v/>
      </c>
      <c r="AG183" s="1593" t="str">
        <f>IF(AND($T$9=1,G183="",Courses!B177&lt;&gt;"",Courses!K177&lt;&gt;$B$9,Courses!K177&lt;&gt;$B$10,Courses!K177&lt;&gt;$B$11,Courses!K177&lt;&gt;$B$12,Courses!K177&lt;&gt;$B$13,Courses!K177&lt;&gt;$B$14),"Row "&amp;Courses!A177&amp;"; ","")</f>
        <v/>
      </c>
      <c r="AH183" s="183" t="str">
        <f>IF(AND($U$9=1,G183="",Courses!B177&lt;&gt;"",Courses!L177&lt;&gt;"Standard",Courses!L177&lt;&gt;"Long"),"Row "&amp;Courses!A177&amp;"; ","")</f>
        <v/>
      </c>
      <c r="AK183" s="40">
        <v>164</v>
      </c>
      <c r="AL183" s="1593" t="str">
        <f>IF(AND($V$9=1,(TRUNC(Courses!M177)&lt;&gt;Courses!M177)), "Row "&amp;Courses!$A177&amp;", "&amp;AL$9&amp;", "&amp;AL$10&amp;", "&amp;AL$11&amp;"; ","")</f>
        <v/>
      </c>
      <c r="AM183" t="str">
        <f>IF(AND($V$9=1,(TRUNC(Courses!N177)&lt;&gt;Courses!N177)), "Row "&amp;Courses!$A177&amp;", "&amp;AM$9&amp;", "&amp;AM$10&amp;", "&amp;AM$11&amp;"; ","")</f>
        <v/>
      </c>
      <c r="AN183" t="str">
        <f>IF(AND($V$9=1,(TRUNC(Courses!O177)&lt;&gt;Courses!O177)), "Row "&amp;Courses!$A177&amp;", "&amp;AN$9&amp;", "&amp;AN$10&amp;", "&amp;AN$11&amp;"; ","")</f>
        <v/>
      </c>
      <c r="AO183" t="str">
        <f>IF(AND($V$9=1,(TRUNC(Courses!P177)&lt;&gt;Courses!P177)), "Row "&amp;Courses!$A177&amp;", "&amp;AO$9&amp;", "&amp;AO$10&amp;", "&amp;AO$11&amp;"; ","")</f>
        <v/>
      </c>
      <c r="AP183" s="2120" t="str">
        <f>IF(AND($V$9=1,(TRUNC(Courses!Q177)&lt;&gt;Courses!Q177)), "Row "&amp;Courses!$A177&amp;", "&amp;AP$9&amp;", "&amp;AP$10&amp;"; ","")</f>
        <v/>
      </c>
      <c r="AQ183" s="1593" t="str">
        <f>IF(AND($V$9=1,(TRUNC(Courses!R177)&lt;&gt;Courses!R177)), "Row "&amp;Courses!$A177&amp;", "&amp;AQ$9&amp;", "&amp;AQ$10&amp;", "&amp;AQ$11&amp;"; ","")</f>
        <v/>
      </c>
      <c r="AR183" t="str">
        <f>IF(AND($V$9=1,(TRUNC(Courses!S177)&lt;&gt;Courses!S177)), "Row "&amp;Courses!$A177&amp;", "&amp;AR$9&amp;", "&amp;AR$10&amp;", "&amp;AR$11&amp;"; ","")</f>
        <v/>
      </c>
      <c r="AS183" t="str">
        <f>IF(AND($V$9=1,(TRUNC(Courses!T177)&lt;&gt;Courses!T177)), "Row "&amp;Courses!$A177&amp;", "&amp;AS$9&amp;", "&amp;AS$10&amp;", "&amp;AS$11&amp;"; ","")</f>
        <v/>
      </c>
      <c r="AT183" t="str">
        <f>IF(AND($V$9=1,(TRUNC(Courses!U177)&lt;&gt;Courses!U177)), "Row "&amp;Courses!$A177&amp;", "&amp;AT$9&amp;", "&amp;AT$10&amp;", "&amp;AT$11&amp;"; ","")</f>
        <v/>
      </c>
      <c r="AU183" s="2120" t="str">
        <f>IF(AND($V$9=1,(TRUNC(Courses!V177)&lt;&gt;Courses!V177)), "Row "&amp;Courses!$A177&amp;", "&amp;AU$9&amp;", "&amp;AU$10&amp;"; ","")</f>
        <v/>
      </c>
      <c r="AV183" t="str">
        <f>IF(AND($V$9=1,(TRUNC(Courses!W177)&lt;&gt;Courses!W177)), "Row "&amp;Courses!$A177&amp;", "&amp;AV$9&amp;", "&amp;AV$10&amp;", "&amp;AV$11&amp;"; ","")</f>
        <v/>
      </c>
      <c r="AW183" t="str">
        <f>IF(AND($V$9=1,(TRUNC(Courses!X177)&lt;&gt;Courses!X177)), "Row "&amp;Courses!$A177&amp;", "&amp;AW$9&amp;", "&amp;AW$10&amp;", "&amp;AW$11&amp;"; ","")</f>
        <v/>
      </c>
      <c r="AX183" t="str">
        <f>IF(AND($V$9=1,(TRUNC(Courses!Y177)&lt;&gt;Courses!Y177)), "Row "&amp;Courses!$A177&amp;", "&amp;AX$9&amp;", "&amp;AX$10&amp;", "&amp;AX$11&amp;"; ","")</f>
        <v/>
      </c>
      <c r="AY183" t="str">
        <f>IF(AND($V$9=1,(TRUNC(Courses!Z177)&lt;&gt;Courses!Z177)), "Row "&amp;Courses!$A177&amp;", "&amp;AY$9&amp;", "&amp;AY$10&amp;", "&amp;AY$11&amp;"; ","")</f>
        <v/>
      </c>
      <c r="AZ183" s="2120" t="str">
        <f>IF(AND($V$9=1,(TRUNC(Courses!AA177)&lt;&gt;Courses!AA177)), "Row "&amp;Courses!$A177&amp;", "&amp;AZ$9&amp;", "&amp;AZ$10&amp;"; ","")</f>
        <v/>
      </c>
      <c r="BC183" s="40">
        <v>164</v>
      </c>
      <c r="BD183" s="1593" t="str">
        <f>IF(AND($W$9=1,Courses!M177&lt;0), "Row "&amp;Courses!$A177&amp;", "&amp;BD$9&amp;", "&amp;BD$10&amp;", "&amp;BD$11&amp;"; ","")</f>
        <v/>
      </c>
      <c r="BE183" t="str">
        <f>IF(AND($W$9=1,Courses!N177&lt;0), "Row "&amp;Courses!$A177&amp;", "&amp;BE$9&amp;", "&amp;BE$10&amp;", "&amp;BE$11&amp;"; ","")</f>
        <v/>
      </c>
      <c r="BF183" t="str">
        <f>IF(AND($W$9=1,Courses!O177&lt;0), "Row "&amp;Courses!$A177&amp;", "&amp;BF$9&amp;", "&amp;BF$10&amp;", "&amp;BF$11&amp;"; ","")</f>
        <v/>
      </c>
      <c r="BG183" t="str">
        <f>IF(AND($W$9=1,Courses!P177&lt;0), "Row "&amp;Courses!$A177&amp;", "&amp;BG$9&amp;", "&amp;BG$10&amp;", "&amp;BG$11&amp;"; ","")</f>
        <v/>
      </c>
      <c r="BH183" s="2120" t="str">
        <f>IF(AND($W$9=1,Courses!Q177&lt;0), "Row "&amp;Courses!$A177&amp;", "&amp;BH$9&amp;", "&amp;BH$10&amp;"; ","")</f>
        <v/>
      </c>
      <c r="BI183" s="1593" t="str">
        <f>IF(AND($W$9=1,Courses!R177&lt;0), "Row "&amp;Courses!$A177&amp;", "&amp;BI$9&amp;", "&amp;BI$10&amp;", "&amp;BI$11&amp;"; ","")</f>
        <v/>
      </c>
      <c r="BJ183" t="str">
        <f>IF(AND($W$9=1,Courses!S177&lt;0), "Row "&amp;Courses!$A177&amp;", "&amp;BJ$9&amp;", "&amp;BJ$10&amp;", "&amp;BJ$11&amp;"; ","")</f>
        <v/>
      </c>
      <c r="BK183" t="str">
        <f>IF(AND($W$9=1,Courses!T177&lt;0), "Row "&amp;Courses!$A177&amp;", "&amp;BK$9&amp;", "&amp;BK$10&amp;", "&amp;BK$11&amp;"; ","")</f>
        <v/>
      </c>
      <c r="BL183" t="str">
        <f>IF(AND($W$9=1,Courses!U177&lt;0), "Row "&amp;Courses!$A177&amp;", "&amp;BL$9&amp;", "&amp;BL$10&amp;", "&amp;BL$11&amp;"; ","")</f>
        <v/>
      </c>
      <c r="BM183" s="2120" t="str">
        <f>IF(AND($W$9=1,Courses!V177&lt;0), "Row "&amp;Courses!$A177&amp;", "&amp;BM$9&amp;", "&amp;BM$10&amp;"; ","")</f>
        <v/>
      </c>
      <c r="BN183" t="str">
        <f>IF(AND($W$9=1,Courses!W177&lt;0), "Row "&amp;Courses!$A177&amp;", "&amp;BN$9&amp;", "&amp;BN$10&amp;", "&amp;BN$11&amp;"; ","")</f>
        <v/>
      </c>
      <c r="BO183" t="str">
        <f>IF(AND($W$9=1,Courses!X177&lt;0), "Row "&amp;Courses!$A177&amp;", "&amp;BO$9&amp;", "&amp;BO$10&amp;", "&amp;BO$11&amp;"; ","")</f>
        <v/>
      </c>
      <c r="BP183" t="str">
        <f>IF(AND($W$9=1,Courses!Y177&lt;0), "Row "&amp;Courses!$A177&amp;", "&amp;BP$9&amp;", "&amp;BP$10&amp;", "&amp;BP$11&amp;"; ","")</f>
        <v/>
      </c>
      <c r="BQ183" t="str">
        <f>IF(AND($W$9=1,Courses!Z177&lt;0), "Row "&amp;Courses!$A177&amp;", "&amp;BQ$9&amp;", "&amp;BQ$10&amp;", "&amp;BQ$11&amp;"; ","")</f>
        <v/>
      </c>
      <c r="BR183" s="2120" t="str">
        <f>IF(AND($W$9=1,Courses!AA177&lt;0), "Row "&amp;Courses!$A177&amp;", "&amp;BR$9&amp;", "&amp;BR$10&amp;"; ","")</f>
        <v/>
      </c>
      <c r="BT183" s="3">
        <f t="shared" si="5"/>
        <v>164</v>
      </c>
      <c r="BU183" s="40">
        <f>IF(AND($X$9=1,Courses!B177="",Courses!F177="",Courses!H177="",Courses!J177="",Courses!K177="",Courses!L177="",Courses!M177=0,Courses!N177=0,Courses!O177=0,Courses!P177=0,Courses!Q177=0,Courses!R177=0,Courses!S177=0,Courses!T177=0,Courses!U177=0,Courses!V177=0,Courses!W177=0,Courses!X177=0,Courses!Y177=0,Courses!Z177=0,Courses!AA177=0),0,1)</f>
        <v>0</v>
      </c>
      <c r="BV183" s="40">
        <f>IF(AND(BU183=0,SUM(BU184:$BU$219)&gt;0),1,0)</f>
        <v>0</v>
      </c>
      <c r="BW183" s="1592" t="str">
        <f>IF(BV183=1,"Row "&amp;Courses!A177&amp;"; ","")</f>
        <v/>
      </c>
      <c r="BX183" s="117"/>
      <c r="BZ183" s="1592" t="str">
        <f>IF(AND($Y$9=1,Courses!B177&lt;&gt;"",SUM(Courses!M177:AA177)=0),"Row "&amp;Courses!A177&amp;"; ","")</f>
        <v/>
      </c>
      <c r="CA183" s="17"/>
      <c r="CC183" s="1592" t="str">
        <f>IF(AND($Z$9=1,Courses!AD177=1,(LEN(Courses!AB177)&gt;200)),"Row "&amp;Courses!A177&amp;"; ","")</f>
        <v/>
      </c>
      <c r="CE183" s="131"/>
      <c r="CG183" s="1593" t="str">
        <f>IF(AND($AD$9=1,Courses!E177&lt;&gt;"",Courses!F177&lt;&gt;"",Courses!F177=0,SUM(Courses!H177,Courses!J177)=1),"Row "&amp;Courses!A177&amp;", "&amp;Courses!$F$10&amp;"; ","")</f>
        <v/>
      </c>
      <c r="CH183" t="str">
        <f>IF(AND($AD$9=1,Courses!G177&lt;&gt;"",Courses!H177&lt;&gt;"",Courses!H177=0,SUM(Courses!J177,Courses!F177)=1),"Row "&amp;Courses!A177&amp;", "&amp;Courses!$H$10&amp;"; ","")</f>
        <v/>
      </c>
      <c r="CI183" s="183" t="str">
        <f>IF(AND($AD$9=1,Courses!I177&lt;&gt;"",Courses!J177&lt;&gt;"",Courses!J177=0, SUM(Courses!H177,Courses!F177)=1),"Row "&amp;Courses!A177&amp;", "&amp;Courses!$J$10&amp;"; ","")</f>
        <v/>
      </c>
      <c r="CL183" s="1592" t="str">
        <f>IF(AND(Courses!B177&lt;&gt;"",ISNA(VLOOKUP(Courses!C177,CourseInfo,2,FALSE))=FALSE,COUNTIF(Dummy,Courses!C177)&lt;&gt;1),VLOOKUP(Courses!C177,CourseInfo,6,FALSE),"")</f>
        <v/>
      </c>
      <c r="CM183" s="1592" t="str">
        <f>IF(AND($AE$9=1,Courses!B177&lt;&gt;"",'Courses Valid'!AG183="",COUNTIF(Dummy,Courses!C177)&lt;&gt;1),IF(Courses!K177&lt;&gt;'Courses Valid'!CL183,"Row "&amp;Courses!A177&amp;", Level on LARS is "&amp;'Courses Valid'!CL183&amp;"; ",""),"")</f>
        <v/>
      </c>
      <c r="CN183" s="131"/>
    </row>
    <row r="184" spans="3:92" x14ac:dyDescent="0.35">
      <c r="C184" s="1595">
        <f t="shared" si="4"/>
        <v>0</v>
      </c>
      <c r="G184" s="1592" t="str">
        <f>IF(SUMPRODUCT(--(CourseAims=Courses!$C178))=1,"",IF(AND($N$9=1,Courses!$C178&lt;&gt;""),"Row "&amp;Courses!A178&amp;" (invalid); ",""))</f>
        <v/>
      </c>
      <c r="H184" s="1592" t="str">
        <f>IF(AND($O$9=1,Courses!B178="",OR(Courses!F178&lt;&gt;"",Courses!H178&lt;&gt;"",Courses!J178&lt;&gt;"",Courses!K178&lt;&gt;"",Courses!L178&lt;&gt;"",Courses!M178&lt;&gt;0,Courses!N178&lt;&gt;0,Courses!O178&lt;&gt;0,Courses!P178&lt;&gt;0,Courses!Q178&lt;&gt;0,Courses!R178&lt;&gt;0,Courses!S178&lt;&gt;0,Courses!T178&lt;&gt;0,Courses!U178&lt;&gt;0,Courses!V178&lt;&gt;0,Courses!W178&lt;&gt;0,Courses!X178&lt;&gt;0,Courses!Y178&lt;&gt;0,Courses!Z178&lt;&gt;0,Courses!AA178&lt;&gt;0)),"Row "&amp;Courses!A178&amp;" (none); ","")</f>
        <v/>
      </c>
      <c r="K184" s="1592" t="str">
        <f>Courses!B178&amp;Courses!K178&amp;Courses!L178</f>
        <v/>
      </c>
      <c r="L184" s="1592" t="str">
        <f>IF(AND($P$9=1,Courses!$B178&lt;&gt;"",COUNTIF(Dummy,Courses!$C178)&lt;&gt;1),IF(SUMPRODUCT(--($K$20:$K$219=$K184))&gt;1,"Row "&amp;Courses!$A178&amp;"; ",""),"")</f>
        <v/>
      </c>
      <c r="O184" s="1593" t="str">
        <f>IF(AND($Q$9=1,Courses!E178&lt;&gt;"",Courses!F178=""),"Row "&amp;Courses!A178&amp;", "&amp;Courses!$E$10&amp;"; ","")</f>
        <v/>
      </c>
      <c r="P184" t="str">
        <f>IF(AND($Q$9=1,Courses!G178&lt;&gt;"",Courses!H178=""),"Row "&amp;Courses!A178&amp;", "&amp;Courses!$G$10&amp;"; ","")</f>
        <v/>
      </c>
      <c r="Q184" s="183" t="str">
        <f>IF(AND($Q$9=1,Courses!I178&lt;&gt;"",Courses!J178=""),"Row "&amp;Courses!A178&amp;", "&amp;Courses!$I$10&amp;"; ","")</f>
        <v/>
      </c>
      <c r="U184" s="1593" t="str">
        <f>IF(AND($R$9=1,Courses!B178&lt;&gt;"",Courses!E178&lt;&gt;"",Courses!G178="",Courses!I178="",Courses!F178&lt;&gt;1),"Row "&amp;Courses!A178&amp;"; ","")</f>
        <v/>
      </c>
      <c r="V184" t="str">
        <f>IF(AND($R$9=1,Courses!B178&lt;&gt;"",Courses!I178="",Courses!F178&lt;&gt;"",Courses!G178&lt;&gt;"",Courses!H178&lt;&gt;""),IF(OR((Courses!F178+Courses!H178)&lt;&gt;1),"Row "&amp;Courses!A178&amp;"; ",""),"")</f>
        <v/>
      </c>
      <c r="W184" s="183" t="str">
        <f>IF(AND($R$9=1,Courses!B178&lt;&gt;"",Courses!I178&lt;&gt;"",Courses!J178&lt;&gt;"",Courses!H178&lt;&gt;"",Courses!G178&lt;&gt;"",Courses!F178&lt;&gt;""),IF(OR((Courses!F178+Courses!H178+Courses!J178)&lt;&gt;1),"Row "&amp;Courses!A178&amp;"; ",""),"")</f>
        <v/>
      </c>
      <c r="Y184" s="1592" t="str">
        <f>IF(AND($R$9=1,Courses!E178&lt;&gt;"",U184="",V184="",W184="",SUM(Courses!F178,Courses!H178,Courses!J178)&lt;&gt;1),"Row "&amp;Courses!A178&amp;"; ","")</f>
        <v/>
      </c>
      <c r="AB184" s="1593" t="str">
        <f>IF(AND($S$9=1,Courses!B178&lt;&gt;"",Courses!E178&lt;&gt;"",Courses!F178&lt;&gt;""),IF((TRUNC(Courses!F178*100)&lt;&gt;Courses!F178*100),"Row "&amp;Courses!A178&amp;", "&amp;Courses!$F$10&amp;"; ",""),"")</f>
        <v/>
      </c>
      <c r="AC184" t="str">
        <f>IF(AND($S$9=1,Courses!B178&lt;&gt;"",Courses!G178&lt;&gt;"",Courses!H178&lt;&gt;""),IF((TRUNC(Courses!H178*100)&lt;&gt;Courses!H178*100),"Row "&amp;Courses!A178&amp;", "&amp;Courses!$H$10&amp;"; ",""),"")</f>
        <v/>
      </c>
      <c r="AD184" s="183" t="str">
        <f>IF(AND($S$9=1,Courses!B178&lt;&gt;"",Courses!I178&lt;&gt;"",Courses!J178&lt;&gt;""),IF((TRUNC(Courses!J178*100)&lt;&gt;Courses!J178*100),"Row "&amp;Courses!A178&amp;", "&amp;Courses!$J$10&amp;"; ",""),"")</f>
        <v/>
      </c>
      <c r="AG184" s="1593" t="str">
        <f>IF(AND($T$9=1,G184="",Courses!B178&lt;&gt;"",Courses!K178&lt;&gt;$B$9,Courses!K178&lt;&gt;$B$10,Courses!K178&lt;&gt;$B$11,Courses!K178&lt;&gt;$B$12,Courses!K178&lt;&gt;$B$13,Courses!K178&lt;&gt;$B$14),"Row "&amp;Courses!A178&amp;"; ","")</f>
        <v/>
      </c>
      <c r="AH184" s="183" t="str">
        <f>IF(AND($U$9=1,G184="",Courses!B178&lt;&gt;"",Courses!L178&lt;&gt;"Standard",Courses!L178&lt;&gt;"Long"),"Row "&amp;Courses!A178&amp;"; ","")</f>
        <v/>
      </c>
      <c r="AK184" s="40">
        <v>165</v>
      </c>
      <c r="AL184" s="1593" t="str">
        <f>IF(AND($V$9=1,(TRUNC(Courses!M178)&lt;&gt;Courses!M178)), "Row "&amp;Courses!$A178&amp;", "&amp;AL$9&amp;", "&amp;AL$10&amp;", "&amp;AL$11&amp;"; ","")</f>
        <v/>
      </c>
      <c r="AM184" t="str">
        <f>IF(AND($V$9=1,(TRUNC(Courses!N178)&lt;&gt;Courses!N178)), "Row "&amp;Courses!$A178&amp;", "&amp;AM$9&amp;", "&amp;AM$10&amp;", "&amp;AM$11&amp;"; ","")</f>
        <v/>
      </c>
      <c r="AN184" t="str">
        <f>IF(AND($V$9=1,(TRUNC(Courses!O178)&lt;&gt;Courses!O178)), "Row "&amp;Courses!$A178&amp;", "&amp;AN$9&amp;", "&amp;AN$10&amp;", "&amp;AN$11&amp;"; ","")</f>
        <v/>
      </c>
      <c r="AO184" t="str">
        <f>IF(AND($V$9=1,(TRUNC(Courses!P178)&lt;&gt;Courses!P178)), "Row "&amp;Courses!$A178&amp;", "&amp;AO$9&amp;", "&amp;AO$10&amp;", "&amp;AO$11&amp;"; ","")</f>
        <v/>
      </c>
      <c r="AP184" s="2120" t="str">
        <f>IF(AND($V$9=1,(TRUNC(Courses!Q178)&lt;&gt;Courses!Q178)), "Row "&amp;Courses!$A178&amp;", "&amp;AP$9&amp;", "&amp;AP$10&amp;"; ","")</f>
        <v/>
      </c>
      <c r="AQ184" s="1593" t="str">
        <f>IF(AND($V$9=1,(TRUNC(Courses!R178)&lt;&gt;Courses!R178)), "Row "&amp;Courses!$A178&amp;", "&amp;AQ$9&amp;", "&amp;AQ$10&amp;", "&amp;AQ$11&amp;"; ","")</f>
        <v/>
      </c>
      <c r="AR184" t="str">
        <f>IF(AND($V$9=1,(TRUNC(Courses!S178)&lt;&gt;Courses!S178)), "Row "&amp;Courses!$A178&amp;", "&amp;AR$9&amp;", "&amp;AR$10&amp;", "&amp;AR$11&amp;"; ","")</f>
        <v/>
      </c>
      <c r="AS184" t="str">
        <f>IF(AND($V$9=1,(TRUNC(Courses!T178)&lt;&gt;Courses!T178)), "Row "&amp;Courses!$A178&amp;", "&amp;AS$9&amp;", "&amp;AS$10&amp;", "&amp;AS$11&amp;"; ","")</f>
        <v/>
      </c>
      <c r="AT184" t="str">
        <f>IF(AND($V$9=1,(TRUNC(Courses!U178)&lt;&gt;Courses!U178)), "Row "&amp;Courses!$A178&amp;", "&amp;AT$9&amp;", "&amp;AT$10&amp;", "&amp;AT$11&amp;"; ","")</f>
        <v/>
      </c>
      <c r="AU184" s="2120" t="str">
        <f>IF(AND($V$9=1,(TRUNC(Courses!V178)&lt;&gt;Courses!V178)), "Row "&amp;Courses!$A178&amp;", "&amp;AU$9&amp;", "&amp;AU$10&amp;"; ","")</f>
        <v/>
      </c>
      <c r="AV184" t="str">
        <f>IF(AND($V$9=1,(TRUNC(Courses!W178)&lt;&gt;Courses!W178)), "Row "&amp;Courses!$A178&amp;", "&amp;AV$9&amp;", "&amp;AV$10&amp;", "&amp;AV$11&amp;"; ","")</f>
        <v/>
      </c>
      <c r="AW184" t="str">
        <f>IF(AND($V$9=1,(TRUNC(Courses!X178)&lt;&gt;Courses!X178)), "Row "&amp;Courses!$A178&amp;", "&amp;AW$9&amp;", "&amp;AW$10&amp;", "&amp;AW$11&amp;"; ","")</f>
        <v/>
      </c>
      <c r="AX184" t="str">
        <f>IF(AND($V$9=1,(TRUNC(Courses!Y178)&lt;&gt;Courses!Y178)), "Row "&amp;Courses!$A178&amp;", "&amp;AX$9&amp;", "&amp;AX$10&amp;", "&amp;AX$11&amp;"; ","")</f>
        <v/>
      </c>
      <c r="AY184" t="str">
        <f>IF(AND($V$9=1,(TRUNC(Courses!Z178)&lt;&gt;Courses!Z178)), "Row "&amp;Courses!$A178&amp;", "&amp;AY$9&amp;", "&amp;AY$10&amp;", "&amp;AY$11&amp;"; ","")</f>
        <v/>
      </c>
      <c r="AZ184" s="2120" t="str">
        <f>IF(AND($V$9=1,(TRUNC(Courses!AA178)&lt;&gt;Courses!AA178)), "Row "&amp;Courses!$A178&amp;", "&amp;AZ$9&amp;", "&amp;AZ$10&amp;"; ","")</f>
        <v/>
      </c>
      <c r="BC184" s="40">
        <v>165</v>
      </c>
      <c r="BD184" s="1593" t="str">
        <f>IF(AND($W$9=1,Courses!M178&lt;0), "Row "&amp;Courses!$A178&amp;", "&amp;BD$9&amp;", "&amp;BD$10&amp;", "&amp;BD$11&amp;"; ","")</f>
        <v/>
      </c>
      <c r="BE184" t="str">
        <f>IF(AND($W$9=1,Courses!N178&lt;0), "Row "&amp;Courses!$A178&amp;", "&amp;BE$9&amp;", "&amp;BE$10&amp;", "&amp;BE$11&amp;"; ","")</f>
        <v/>
      </c>
      <c r="BF184" t="str">
        <f>IF(AND($W$9=1,Courses!O178&lt;0), "Row "&amp;Courses!$A178&amp;", "&amp;BF$9&amp;", "&amp;BF$10&amp;", "&amp;BF$11&amp;"; ","")</f>
        <v/>
      </c>
      <c r="BG184" t="str">
        <f>IF(AND($W$9=1,Courses!P178&lt;0), "Row "&amp;Courses!$A178&amp;", "&amp;BG$9&amp;", "&amp;BG$10&amp;", "&amp;BG$11&amp;"; ","")</f>
        <v/>
      </c>
      <c r="BH184" s="2120" t="str">
        <f>IF(AND($W$9=1,Courses!Q178&lt;0), "Row "&amp;Courses!$A178&amp;", "&amp;BH$9&amp;", "&amp;BH$10&amp;"; ","")</f>
        <v/>
      </c>
      <c r="BI184" s="1593" t="str">
        <f>IF(AND($W$9=1,Courses!R178&lt;0), "Row "&amp;Courses!$A178&amp;", "&amp;BI$9&amp;", "&amp;BI$10&amp;", "&amp;BI$11&amp;"; ","")</f>
        <v/>
      </c>
      <c r="BJ184" t="str">
        <f>IF(AND($W$9=1,Courses!S178&lt;0), "Row "&amp;Courses!$A178&amp;", "&amp;BJ$9&amp;", "&amp;BJ$10&amp;", "&amp;BJ$11&amp;"; ","")</f>
        <v/>
      </c>
      <c r="BK184" t="str">
        <f>IF(AND($W$9=1,Courses!T178&lt;0), "Row "&amp;Courses!$A178&amp;", "&amp;BK$9&amp;", "&amp;BK$10&amp;", "&amp;BK$11&amp;"; ","")</f>
        <v/>
      </c>
      <c r="BL184" t="str">
        <f>IF(AND($W$9=1,Courses!U178&lt;0), "Row "&amp;Courses!$A178&amp;", "&amp;BL$9&amp;", "&amp;BL$10&amp;", "&amp;BL$11&amp;"; ","")</f>
        <v/>
      </c>
      <c r="BM184" s="2120" t="str">
        <f>IF(AND($W$9=1,Courses!V178&lt;0), "Row "&amp;Courses!$A178&amp;", "&amp;BM$9&amp;", "&amp;BM$10&amp;"; ","")</f>
        <v/>
      </c>
      <c r="BN184" t="str">
        <f>IF(AND($W$9=1,Courses!W178&lt;0), "Row "&amp;Courses!$A178&amp;", "&amp;BN$9&amp;", "&amp;BN$10&amp;", "&amp;BN$11&amp;"; ","")</f>
        <v/>
      </c>
      <c r="BO184" t="str">
        <f>IF(AND($W$9=1,Courses!X178&lt;0), "Row "&amp;Courses!$A178&amp;", "&amp;BO$9&amp;", "&amp;BO$10&amp;", "&amp;BO$11&amp;"; ","")</f>
        <v/>
      </c>
      <c r="BP184" t="str">
        <f>IF(AND($W$9=1,Courses!Y178&lt;0), "Row "&amp;Courses!$A178&amp;", "&amp;BP$9&amp;", "&amp;BP$10&amp;", "&amp;BP$11&amp;"; ","")</f>
        <v/>
      </c>
      <c r="BQ184" t="str">
        <f>IF(AND($W$9=1,Courses!Z178&lt;0), "Row "&amp;Courses!$A178&amp;", "&amp;BQ$9&amp;", "&amp;BQ$10&amp;", "&amp;BQ$11&amp;"; ","")</f>
        <v/>
      </c>
      <c r="BR184" s="2120" t="str">
        <f>IF(AND($W$9=1,Courses!AA178&lt;0), "Row "&amp;Courses!$A178&amp;", "&amp;BR$9&amp;", "&amp;BR$10&amp;"; ","")</f>
        <v/>
      </c>
      <c r="BT184" s="3">
        <f t="shared" si="5"/>
        <v>165</v>
      </c>
      <c r="BU184" s="40">
        <f>IF(AND($X$9=1,Courses!B178="",Courses!F178="",Courses!H178="",Courses!J178="",Courses!K178="",Courses!L178="",Courses!M178=0,Courses!N178=0,Courses!O178=0,Courses!P178=0,Courses!Q178=0,Courses!R178=0,Courses!S178=0,Courses!T178=0,Courses!U178=0,Courses!V178=0,Courses!W178=0,Courses!X178=0,Courses!Y178=0,Courses!Z178=0,Courses!AA178=0),0,1)</f>
        <v>0</v>
      </c>
      <c r="BV184" s="40">
        <f>IF(AND(BU184=0,SUM(BU185:$BU$219)&gt;0),1,0)</f>
        <v>0</v>
      </c>
      <c r="BW184" s="1592" t="str">
        <f>IF(BV184=1,"Row "&amp;Courses!A178&amp;"; ","")</f>
        <v/>
      </c>
      <c r="BX184" s="17"/>
      <c r="BZ184" s="1592" t="str">
        <f>IF(AND($Y$9=1,Courses!B178&lt;&gt;"",SUM(Courses!M178:AA178)=0),"Row "&amp;Courses!A178&amp;"; ","")</f>
        <v/>
      </c>
      <c r="CA184" s="17"/>
      <c r="CC184" s="1592" t="str">
        <f>IF(AND($Z$9=1,Courses!AD178=1,(LEN(Courses!AB178)&gt;200)),"Row "&amp;Courses!A178&amp;"; ","")</f>
        <v/>
      </c>
      <c r="CE184" s="131"/>
      <c r="CG184" s="1593" t="str">
        <f>IF(AND($AD$9=1,Courses!E178&lt;&gt;"",Courses!F178&lt;&gt;"",Courses!F178=0,SUM(Courses!H178,Courses!J178)=1),"Row "&amp;Courses!A178&amp;", "&amp;Courses!$F$10&amp;"; ","")</f>
        <v/>
      </c>
      <c r="CH184" t="str">
        <f>IF(AND($AD$9=1,Courses!G178&lt;&gt;"",Courses!H178&lt;&gt;"",Courses!H178=0,SUM(Courses!J178,Courses!F178)=1),"Row "&amp;Courses!A178&amp;", "&amp;Courses!$H$10&amp;"; ","")</f>
        <v/>
      </c>
      <c r="CI184" s="183" t="str">
        <f>IF(AND($AD$9=1,Courses!I178&lt;&gt;"",Courses!J178&lt;&gt;"",Courses!J178=0, SUM(Courses!H178,Courses!F178)=1),"Row "&amp;Courses!A178&amp;", "&amp;Courses!$J$10&amp;"; ","")</f>
        <v/>
      </c>
      <c r="CL184" s="1592" t="str">
        <f>IF(AND(Courses!B178&lt;&gt;"",ISNA(VLOOKUP(Courses!C178,CourseInfo,2,FALSE))=FALSE,COUNTIF(Dummy,Courses!C178)&lt;&gt;1),VLOOKUP(Courses!C178,CourseInfo,6,FALSE),"")</f>
        <v/>
      </c>
      <c r="CM184" s="1592" t="str">
        <f>IF(AND($AE$9=1,Courses!B178&lt;&gt;"",'Courses Valid'!AG184="",COUNTIF(Dummy,Courses!C178)&lt;&gt;1),IF(Courses!K178&lt;&gt;'Courses Valid'!CL184,"Row "&amp;Courses!A178&amp;", Level on LARS is "&amp;'Courses Valid'!CL184&amp;"; ",""),"")</f>
        <v/>
      </c>
      <c r="CN184" s="131"/>
    </row>
    <row r="185" spans="3:92" x14ac:dyDescent="0.35">
      <c r="C185" s="1595">
        <f t="shared" si="4"/>
        <v>0</v>
      </c>
      <c r="G185" s="1592" t="str">
        <f>IF(SUMPRODUCT(--(CourseAims=Courses!$C179))=1,"",IF(AND($N$9=1,Courses!$C179&lt;&gt;""),"Row "&amp;Courses!A179&amp;" (invalid); ",""))</f>
        <v/>
      </c>
      <c r="H185" s="1592" t="str">
        <f>IF(AND($O$9=1,Courses!B179="",OR(Courses!F179&lt;&gt;"",Courses!H179&lt;&gt;"",Courses!J179&lt;&gt;"",Courses!K179&lt;&gt;"",Courses!L179&lt;&gt;"",Courses!M179&lt;&gt;0,Courses!N179&lt;&gt;0,Courses!O179&lt;&gt;0,Courses!P179&lt;&gt;0,Courses!Q179&lt;&gt;0,Courses!R179&lt;&gt;0,Courses!S179&lt;&gt;0,Courses!T179&lt;&gt;0,Courses!U179&lt;&gt;0,Courses!V179&lt;&gt;0,Courses!W179&lt;&gt;0,Courses!X179&lt;&gt;0,Courses!Y179&lt;&gt;0,Courses!Z179&lt;&gt;0,Courses!AA179&lt;&gt;0)),"Row "&amp;Courses!A179&amp;" (none); ","")</f>
        <v/>
      </c>
      <c r="K185" s="1592" t="str">
        <f>Courses!B179&amp;Courses!K179&amp;Courses!L179</f>
        <v/>
      </c>
      <c r="L185" s="1592" t="str">
        <f>IF(AND($P$9=1,Courses!$B179&lt;&gt;"",COUNTIF(Dummy,Courses!$C179)&lt;&gt;1),IF(SUMPRODUCT(--($K$20:$K$219=$K185))&gt;1,"Row "&amp;Courses!$A179&amp;"; ",""),"")</f>
        <v/>
      </c>
      <c r="O185" s="1593" t="str">
        <f>IF(AND($Q$9=1,Courses!E179&lt;&gt;"",Courses!F179=""),"Row "&amp;Courses!A179&amp;", "&amp;Courses!$E$10&amp;"; ","")</f>
        <v/>
      </c>
      <c r="P185" t="str">
        <f>IF(AND($Q$9=1,Courses!G179&lt;&gt;"",Courses!H179=""),"Row "&amp;Courses!A179&amp;", "&amp;Courses!$G$10&amp;"; ","")</f>
        <v/>
      </c>
      <c r="Q185" s="183" t="str">
        <f>IF(AND($Q$9=1,Courses!I179&lt;&gt;"",Courses!J179=""),"Row "&amp;Courses!A179&amp;", "&amp;Courses!$I$10&amp;"; ","")</f>
        <v/>
      </c>
      <c r="U185" s="1593" t="str">
        <f>IF(AND($R$9=1,Courses!B179&lt;&gt;"",Courses!E179&lt;&gt;"",Courses!G179="",Courses!I179="",Courses!F179&lt;&gt;1),"Row "&amp;Courses!A179&amp;"; ","")</f>
        <v/>
      </c>
      <c r="V185" t="str">
        <f>IF(AND($R$9=1,Courses!B179&lt;&gt;"",Courses!I179="",Courses!F179&lt;&gt;"",Courses!G179&lt;&gt;"",Courses!H179&lt;&gt;""),IF(OR((Courses!F179+Courses!H179)&lt;&gt;1),"Row "&amp;Courses!A179&amp;"; ",""),"")</f>
        <v/>
      </c>
      <c r="W185" s="183" t="str">
        <f>IF(AND($R$9=1,Courses!B179&lt;&gt;"",Courses!I179&lt;&gt;"",Courses!J179&lt;&gt;"",Courses!H179&lt;&gt;"",Courses!G179&lt;&gt;"",Courses!F179&lt;&gt;""),IF(OR((Courses!F179+Courses!H179+Courses!J179)&lt;&gt;1),"Row "&amp;Courses!A179&amp;"; ",""),"")</f>
        <v/>
      </c>
      <c r="Y185" s="1592" t="str">
        <f>IF(AND($R$9=1,Courses!E179&lt;&gt;"",U185="",V185="",W185="",SUM(Courses!F179,Courses!H179,Courses!J179)&lt;&gt;1),"Row "&amp;Courses!A179&amp;"; ","")</f>
        <v/>
      </c>
      <c r="AB185" s="1593" t="str">
        <f>IF(AND($S$9=1,Courses!B179&lt;&gt;"",Courses!E179&lt;&gt;"",Courses!F179&lt;&gt;""),IF((TRUNC(Courses!F179*100)&lt;&gt;Courses!F179*100),"Row "&amp;Courses!A179&amp;", "&amp;Courses!$F$10&amp;"; ",""),"")</f>
        <v/>
      </c>
      <c r="AC185" t="str">
        <f>IF(AND($S$9=1,Courses!B179&lt;&gt;"",Courses!G179&lt;&gt;"",Courses!H179&lt;&gt;""),IF((TRUNC(Courses!H179*100)&lt;&gt;Courses!H179*100),"Row "&amp;Courses!A179&amp;", "&amp;Courses!$H$10&amp;"; ",""),"")</f>
        <v/>
      </c>
      <c r="AD185" s="183" t="str">
        <f>IF(AND($S$9=1,Courses!B179&lt;&gt;"",Courses!I179&lt;&gt;"",Courses!J179&lt;&gt;""),IF((TRUNC(Courses!J179*100)&lt;&gt;Courses!J179*100),"Row "&amp;Courses!A179&amp;", "&amp;Courses!$J$10&amp;"; ",""),"")</f>
        <v/>
      </c>
      <c r="AG185" s="1593" t="str">
        <f>IF(AND($T$9=1,G185="",Courses!B179&lt;&gt;"",Courses!K179&lt;&gt;$B$9,Courses!K179&lt;&gt;$B$10,Courses!K179&lt;&gt;$B$11,Courses!K179&lt;&gt;$B$12,Courses!K179&lt;&gt;$B$13,Courses!K179&lt;&gt;$B$14),"Row "&amp;Courses!A179&amp;"; ","")</f>
        <v/>
      </c>
      <c r="AH185" s="183" t="str">
        <f>IF(AND($U$9=1,G185="",Courses!B179&lt;&gt;"",Courses!L179&lt;&gt;"Standard",Courses!L179&lt;&gt;"Long"),"Row "&amp;Courses!A179&amp;"; ","")</f>
        <v/>
      </c>
      <c r="AK185" s="40">
        <v>166</v>
      </c>
      <c r="AL185" s="1593" t="str">
        <f>IF(AND($V$9=1,(TRUNC(Courses!M179)&lt;&gt;Courses!M179)), "Row "&amp;Courses!$A179&amp;", "&amp;AL$9&amp;", "&amp;AL$10&amp;", "&amp;AL$11&amp;"; ","")</f>
        <v/>
      </c>
      <c r="AM185" t="str">
        <f>IF(AND($V$9=1,(TRUNC(Courses!N179)&lt;&gt;Courses!N179)), "Row "&amp;Courses!$A179&amp;", "&amp;AM$9&amp;", "&amp;AM$10&amp;", "&amp;AM$11&amp;"; ","")</f>
        <v/>
      </c>
      <c r="AN185" t="str">
        <f>IF(AND($V$9=1,(TRUNC(Courses!O179)&lt;&gt;Courses!O179)), "Row "&amp;Courses!$A179&amp;", "&amp;AN$9&amp;", "&amp;AN$10&amp;", "&amp;AN$11&amp;"; ","")</f>
        <v/>
      </c>
      <c r="AO185" t="str">
        <f>IF(AND($V$9=1,(TRUNC(Courses!P179)&lt;&gt;Courses!P179)), "Row "&amp;Courses!$A179&amp;", "&amp;AO$9&amp;", "&amp;AO$10&amp;", "&amp;AO$11&amp;"; ","")</f>
        <v/>
      </c>
      <c r="AP185" s="2120" t="str">
        <f>IF(AND($V$9=1,(TRUNC(Courses!Q179)&lt;&gt;Courses!Q179)), "Row "&amp;Courses!$A179&amp;", "&amp;AP$9&amp;", "&amp;AP$10&amp;"; ","")</f>
        <v/>
      </c>
      <c r="AQ185" s="1593" t="str">
        <f>IF(AND($V$9=1,(TRUNC(Courses!R179)&lt;&gt;Courses!R179)), "Row "&amp;Courses!$A179&amp;", "&amp;AQ$9&amp;", "&amp;AQ$10&amp;", "&amp;AQ$11&amp;"; ","")</f>
        <v/>
      </c>
      <c r="AR185" t="str">
        <f>IF(AND($V$9=1,(TRUNC(Courses!S179)&lt;&gt;Courses!S179)), "Row "&amp;Courses!$A179&amp;", "&amp;AR$9&amp;", "&amp;AR$10&amp;", "&amp;AR$11&amp;"; ","")</f>
        <v/>
      </c>
      <c r="AS185" t="str">
        <f>IF(AND($V$9=1,(TRUNC(Courses!T179)&lt;&gt;Courses!T179)), "Row "&amp;Courses!$A179&amp;", "&amp;AS$9&amp;", "&amp;AS$10&amp;", "&amp;AS$11&amp;"; ","")</f>
        <v/>
      </c>
      <c r="AT185" t="str">
        <f>IF(AND($V$9=1,(TRUNC(Courses!U179)&lt;&gt;Courses!U179)), "Row "&amp;Courses!$A179&amp;", "&amp;AT$9&amp;", "&amp;AT$10&amp;", "&amp;AT$11&amp;"; ","")</f>
        <v/>
      </c>
      <c r="AU185" s="2120" t="str">
        <f>IF(AND($V$9=1,(TRUNC(Courses!V179)&lt;&gt;Courses!V179)), "Row "&amp;Courses!$A179&amp;", "&amp;AU$9&amp;", "&amp;AU$10&amp;"; ","")</f>
        <v/>
      </c>
      <c r="AV185" t="str">
        <f>IF(AND($V$9=1,(TRUNC(Courses!W179)&lt;&gt;Courses!W179)), "Row "&amp;Courses!$A179&amp;", "&amp;AV$9&amp;", "&amp;AV$10&amp;", "&amp;AV$11&amp;"; ","")</f>
        <v/>
      </c>
      <c r="AW185" t="str">
        <f>IF(AND($V$9=1,(TRUNC(Courses!X179)&lt;&gt;Courses!X179)), "Row "&amp;Courses!$A179&amp;", "&amp;AW$9&amp;", "&amp;AW$10&amp;", "&amp;AW$11&amp;"; ","")</f>
        <v/>
      </c>
      <c r="AX185" t="str">
        <f>IF(AND($V$9=1,(TRUNC(Courses!Y179)&lt;&gt;Courses!Y179)), "Row "&amp;Courses!$A179&amp;", "&amp;AX$9&amp;", "&amp;AX$10&amp;", "&amp;AX$11&amp;"; ","")</f>
        <v/>
      </c>
      <c r="AY185" t="str">
        <f>IF(AND($V$9=1,(TRUNC(Courses!Z179)&lt;&gt;Courses!Z179)), "Row "&amp;Courses!$A179&amp;", "&amp;AY$9&amp;", "&amp;AY$10&amp;", "&amp;AY$11&amp;"; ","")</f>
        <v/>
      </c>
      <c r="AZ185" s="2120" t="str">
        <f>IF(AND($V$9=1,(TRUNC(Courses!AA179)&lt;&gt;Courses!AA179)), "Row "&amp;Courses!$A179&amp;", "&amp;AZ$9&amp;", "&amp;AZ$10&amp;"; ","")</f>
        <v/>
      </c>
      <c r="BC185" s="40">
        <v>166</v>
      </c>
      <c r="BD185" s="1593" t="str">
        <f>IF(AND($W$9=1,Courses!M179&lt;0), "Row "&amp;Courses!$A179&amp;", "&amp;BD$9&amp;", "&amp;BD$10&amp;", "&amp;BD$11&amp;"; ","")</f>
        <v/>
      </c>
      <c r="BE185" t="str">
        <f>IF(AND($W$9=1,Courses!N179&lt;0), "Row "&amp;Courses!$A179&amp;", "&amp;BE$9&amp;", "&amp;BE$10&amp;", "&amp;BE$11&amp;"; ","")</f>
        <v/>
      </c>
      <c r="BF185" t="str">
        <f>IF(AND($W$9=1,Courses!O179&lt;0), "Row "&amp;Courses!$A179&amp;", "&amp;BF$9&amp;", "&amp;BF$10&amp;", "&amp;BF$11&amp;"; ","")</f>
        <v/>
      </c>
      <c r="BG185" t="str">
        <f>IF(AND($W$9=1,Courses!P179&lt;0), "Row "&amp;Courses!$A179&amp;", "&amp;BG$9&amp;", "&amp;BG$10&amp;", "&amp;BG$11&amp;"; ","")</f>
        <v/>
      </c>
      <c r="BH185" s="2120" t="str">
        <f>IF(AND($W$9=1,Courses!Q179&lt;0), "Row "&amp;Courses!$A179&amp;", "&amp;BH$9&amp;", "&amp;BH$10&amp;"; ","")</f>
        <v/>
      </c>
      <c r="BI185" s="1593" t="str">
        <f>IF(AND($W$9=1,Courses!R179&lt;0), "Row "&amp;Courses!$A179&amp;", "&amp;BI$9&amp;", "&amp;BI$10&amp;", "&amp;BI$11&amp;"; ","")</f>
        <v/>
      </c>
      <c r="BJ185" t="str">
        <f>IF(AND($W$9=1,Courses!S179&lt;0), "Row "&amp;Courses!$A179&amp;", "&amp;BJ$9&amp;", "&amp;BJ$10&amp;", "&amp;BJ$11&amp;"; ","")</f>
        <v/>
      </c>
      <c r="BK185" t="str">
        <f>IF(AND($W$9=1,Courses!T179&lt;0), "Row "&amp;Courses!$A179&amp;", "&amp;BK$9&amp;", "&amp;BK$10&amp;", "&amp;BK$11&amp;"; ","")</f>
        <v/>
      </c>
      <c r="BL185" t="str">
        <f>IF(AND($W$9=1,Courses!U179&lt;0), "Row "&amp;Courses!$A179&amp;", "&amp;BL$9&amp;", "&amp;BL$10&amp;", "&amp;BL$11&amp;"; ","")</f>
        <v/>
      </c>
      <c r="BM185" s="2120" t="str">
        <f>IF(AND($W$9=1,Courses!V179&lt;0), "Row "&amp;Courses!$A179&amp;", "&amp;BM$9&amp;", "&amp;BM$10&amp;"; ","")</f>
        <v/>
      </c>
      <c r="BN185" t="str">
        <f>IF(AND($W$9=1,Courses!W179&lt;0), "Row "&amp;Courses!$A179&amp;", "&amp;BN$9&amp;", "&amp;BN$10&amp;", "&amp;BN$11&amp;"; ","")</f>
        <v/>
      </c>
      <c r="BO185" t="str">
        <f>IF(AND($W$9=1,Courses!X179&lt;0), "Row "&amp;Courses!$A179&amp;", "&amp;BO$9&amp;", "&amp;BO$10&amp;", "&amp;BO$11&amp;"; ","")</f>
        <v/>
      </c>
      <c r="BP185" t="str">
        <f>IF(AND($W$9=1,Courses!Y179&lt;0), "Row "&amp;Courses!$A179&amp;", "&amp;BP$9&amp;", "&amp;BP$10&amp;", "&amp;BP$11&amp;"; ","")</f>
        <v/>
      </c>
      <c r="BQ185" t="str">
        <f>IF(AND($W$9=1,Courses!Z179&lt;0), "Row "&amp;Courses!$A179&amp;", "&amp;BQ$9&amp;", "&amp;BQ$10&amp;", "&amp;BQ$11&amp;"; ","")</f>
        <v/>
      </c>
      <c r="BR185" s="2120" t="str">
        <f>IF(AND($W$9=1,Courses!AA179&lt;0), "Row "&amp;Courses!$A179&amp;", "&amp;BR$9&amp;", "&amp;BR$10&amp;"; ","")</f>
        <v/>
      </c>
      <c r="BT185" s="3">
        <f t="shared" si="5"/>
        <v>166</v>
      </c>
      <c r="BU185" s="40">
        <f>IF(AND($X$9=1,Courses!B179="",Courses!F179="",Courses!H179="",Courses!J179="",Courses!K179="",Courses!L179="",Courses!M179=0,Courses!N179=0,Courses!O179=0,Courses!P179=0,Courses!Q179=0,Courses!R179=0,Courses!S179=0,Courses!T179=0,Courses!U179=0,Courses!V179=0,Courses!W179=0,Courses!X179=0,Courses!Y179=0,Courses!Z179=0,Courses!AA179=0),0,1)</f>
        <v>0</v>
      </c>
      <c r="BV185" s="40">
        <f>IF(AND(BU185=0,SUM(BU186:$BU$219)&gt;0),1,0)</f>
        <v>0</v>
      </c>
      <c r="BW185" s="1592" t="str">
        <f>IF(BV185=1,"Row "&amp;Courses!A179&amp;"; ","")</f>
        <v/>
      </c>
      <c r="BX185" s="17"/>
      <c r="BZ185" s="1592" t="str">
        <f>IF(AND($Y$9=1,Courses!B179&lt;&gt;"",SUM(Courses!M179:AA179)=0),"Row "&amp;Courses!A179&amp;"; ","")</f>
        <v/>
      </c>
      <c r="CA185" s="17"/>
      <c r="CC185" s="1592" t="str">
        <f>IF(AND($Z$9=1,Courses!AD179=1,(LEN(Courses!AB179)&gt;200)),"Row "&amp;Courses!A179&amp;"; ","")</f>
        <v/>
      </c>
      <c r="CE185" s="131"/>
      <c r="CG185" s="1593" t="str">
        <f>IF(AND($AD$9=1,Courses!E179&lt;&gt;"",Courses!F179&lt;&gt;"",Courses!F179=0,SUM(Courses!H179,Courses!J179)=1),"Row "&amp;Courses!A179&amp;", "&amp;Courses!$F$10&amp;"; ","")</f>
        <v/>
      </c>
      <c r="CH185" t="str">
        <f>IF(AND($AD$9=1,Courses!G179&lt;&gt;"",Courses!H179&lt;&gt;"",Courses!H179=0,SUM(Courses!J179,Courses!F179)=1),"Row "&amp;Courses!A179&amp;", "&amp;Courses!$H$10&amp;"; ","")</f>
        <v/>
      </c>
      <c r="CI185" s="183" t="str">
        <f>IF(AND($AD$9=1,Courses!I179&lt;&gt;"",Courses!J179&lt;&gt;"",Courses!J179=0, SUM(Courses!H179,Courses!F179)=1),"Row "&amp;Courses!A179&amp;", "&amp;Courses!$J$10&amp;"; ","")</f>
        <v/>
      </c>
      <c r="CL185" s="1592" t="str">
        <f>IF(AND(Courses!B179&lt;&gt;"",ISNA(VLOOKUP(Courses!C179,CourseInfo,2,FALSE))=FALSE,COUNTIF(Dummy,Courses!C179)&lt;&gt;1),VLOOKUP(Courses!C179,CourseInfo,6,FALSE),"")</f>
        <v/>
      </c>
      <c r="CM185" s="1592" t="str">
        <f>IF(AND($AE$9=1,Courses!B179&lt;&gt;"",'Courses Valid'!AG185="",COUNTIF(Dummy,Courses!C179)&lt;&gt;1),IF(Courses!K179&lt;&gt;'Courses Valid'!CL185,"Row "&amp;Courses!A179&amp;", Level on LARS is "&amp;'Courses Valid'!CL185&amp;"; ",""),"")</f>
        <v/>
      </c>
      <c r="CN185" s="131"/>
    </row>
    <row r="186" spans="3:92" x14ac:dyDescent="0.35">
      <c r="C186" s="1595">
        <f t="shared" si="4"/>
        <v>0</v>
      </c>
      <c r="G186" s="1592" t="str">
        <f>IF(SUMPRODUCT(--(CourseAims=Courses!$C180))=1,"",IF(AND($N$9=1,Courses!$C180&lt;&gt;""),"Row "&amp;Courses!A180&amp;" (invalid); ",""))</f>
        <v/>
      </c>
      <c r="H186" s="1592" t="str">
        <f>IF(AND($O$9=1,Courses!B180="",OR(Courses!F180&lt;&gt;"",Courses!H180&lt;&gt;"",Courses!J180&lt;&gt;"",Courses!K180&lt;&gt;"",Courses!L180&lt;&gt;"",Courses!M180&lt;&gt;0,Courses!N180&lt;&gt;0,Courses!O180&lt;&gt;0,Courses!P180&lt;&gt;0,Courses!Q180&lt;&gt;0,Courses!R180&lt;&gt;0,Courses!S180&lt;&gt;0,Courses!T180&lt;&gt;0,Courses!U180&lt;&gt;0,Courses!V180&lt;&gt;0,Courses!W180&lt;&gt;0,Courses!X180&lt;&gt;0,Courses!Y180&lt;&gt;0,Courses!Z180&lt;&gt;0,Courses!AA180&lt;&gt;0)),"Row "&amp;Courses!A180&amp;" (none); ","")</f>
        <v/>
      </c>
      <c r="K186" s="1592" t="str">
        <f>Courses!B180&amp;Courses!K180&amp;Courses!L180</f>
        <v/>
      </c>
      <c r="L186" s="1592" t="str">
        <f>IF(AND($P$9=1,Courses!$B180&lt;&gt;"",COUNTIF(Dummy,Courses!$C180)&lt;&gt;1),IF(SUMPRODUCT(--($K$20:$K$219=$K186))&gt;1,"Row "&amp;Courses!$A180&amp;"; ",""),"")</f>
        <v/>
      </c>
      <c r="O186" s="1593" t="str">
        <f>IF(AND($Q$9=1,Courses!E180&lt;&gt;"",Courses!F180=""),"Row "&amp;Courses!A180&amp;", "&amp;Courses!$E$10&amp;"; ","")</f>
        <v/>
      </c>
      <c r="P186" t="str">
        <f>IF(AND($Q$9=1,Courses!G180&lt;&gt;"",Courses!H180=""),"Row "&amp;Courses!A180&amp;", "&amp;Courses!$G$10&amp;"; ","")</f>
        <v/>
      </c>
      <c r="Q186" s="183" t="str">
        <f>IF(AND($Q$9=1,Courses!I180&lt;&gt;"",Courses!J180=""),"Row "&amp;Courses!A180&amp;", "&amp;Courses!$I$10&amp;"; ","")</f>
        <v/>
      </c>
      <c r="U186" s="1593" t="str">
        <f>IF(AND($R$9=1,Courses!B180&lt;&gt;"",Courses!E180&lt;&gt;"",Courses!G180="",Courses!I180="",Courses!F180&lt;&gt;1),"Row "&amp;Courses!A180&amp;"; ","")</f>
        <v/>
      </c>
      <c r="V186" t="str">
        <f>IF(AND($R$9=1,Courses!B180&lt;&gt;"",Courses!I180="",Courses!F180&lt;&gt;"",Courses!G180&lt;&gt;"",Courses!H180&lt;&gt;""),IF(OR((Courses!F180+Courses!H180)&lt;&gt;1),"Row "&amp;Courses!A180&amp;"; ",""),"")</f>
        <v/>
      </c>
      <c r="W186" s="183" t="str">
        <f>IF(AND($R$9=1,Courses!B180&lt;&gt;"",Courses!I180&lt;&gt;"",Courses!J180&lt;&gt;"",Courses!H180&lt;&gt;"",Courses!G180&lt;&gt;"",Courses!F180&lt;&gt;""),IF(OR((Courses!F180+Courses!H180+Courses!J180)&lt;&gt;1),"Row "&amp;Courses!A180&amp;"; ",""),"")</f>
        <v/>
      </c>
      <c r="Y186" s="1592" t="str">
        <f>IF(AND($R$9=1,Courses!E180&lt;&gt;"",U186="",V186="",W186="",SUM(Courses!F180,Courses!H180,Courses!J180)&lt;&gt;1),"Row "&amp;Courses!A180&amp;"; ","")</f>
        <v/>
      </c>
      <c r="AB186" s="1593" t="str">
        <f>IF(AND($S$9=1,Courses!B180&lt;&gt;"",Courses!E180&lt;&gt;"",Courses!F180&lt;&gt;""),IF((TRUNC(Courses!F180*100)&lt;&gt;Courses!F180*100),"Row "&amp;Courses!A180&amp;", "&amp;Courses!$F$10&amp;"; ",""),"")</f>
        <v/>
      </c>
      <c r="AC186" t="str">
        <f>IF(AND($S$9=1,Courses!B180&lt;&gt;"",Courses!G180&lt;&gt;"",Courses!H180&lt;&gt;""),IF((TRUNC(Courses!H180*100)&lt;&gt;Courses!H180*100),"Row "&amp;Courses!A180&amp;", "&amp;Courses!$H$10&amp;"; ",""),"")</f>
        <v/>
      </c>
      <c r="AD186" s="183" t="str">
        <f>IF(AND($S$9=1,Courses!B180&lt;&gt;"",Courses!I180&lt;&gt;"",Courses!J180&lt;&gt;""),IF((TRUNC(Courses!J180*100)&lt;&gt;Courses!J180*100),"Row "&amp;Courses!A180&amp;", "&amp;Courses!$J$10&amp;"; ",""),"")</f>
        <v/>
      </c>
      <c r="AG186" s="1593" t="str">
        <f>IF(AND($T$9=1,G186="",Courses!B180&lt;&gt;"",Courses!K180&lt;&gt;$B$9,Courses!K180&lt;&gt;$B$10,Courses!K180&lt;&gt;$B$11,Courses!K180&lt;&gt;$B$12,Courses!K180&lt;&gt;$B$13,Courses!K180&lt;&gt;$B$14),"Row "&amp;Courses!A180&amp;"; ","")</f>
        <v/>
      </c>
      <c r="AH186" s="183" t="str">
        <f>IF(AND($U$9=1,G186="",Courses!B180&lt;&gt;"",Courses!L180&lt;&gt;"Standard",Courses!L180&lt;&gt;"Long"),"Row "&amp;Courses!A180&amp;"; ","")</f>
        <v/>
      </c>
      <c r="AK186" s="40">
        <v>167</v>
      </c>
      <c r="AL186" s="1593" t="str">
        <f>IF(AND($V$9=1,(TRUNC(Courses!M180)&lt;&gt;Courses!M180)), "Row "&amp;Courses!$A180&amp;", "&amp;AL$9&amp;", "&amp;AL$10&amp;", "&amp;AL$11&amp;"; ","")</f>
        <v/>
      </c>
      <c r="AM186" t="str">
        <f>IF(AND($V$9=1,(TRUNC(Courses!N180)&lt;&gt;Courses!N180)), "Row "&amp;Courses!$A180&amp;", "&amp;AM$9&amp;", "&amp;AM$10&amp;", "&amp;AM$11&amp;"; ","")</f>
        <v/>
      </c>
      <c r="AN186" t="str">
        <f>IF(AND($V$9=1,(TRUNC(Courses!O180)&lt;&gt;Courses!O180)), "Row "&amp;Courses!$A180&amp;", "&amp;AN$9&amp;", "&amp;AN$10&amp;", "&amp;AN$11&amp;"; ","")</f>
        <v/>
      </c>
      <c r="AO186" t="str">
        <f>IF(AND($V$9=1,(TRUNC(Courses!P180)&lt;&gt;Courses!P180)), "Row "&amp;Courses!$A180&amp;", "&amp;AO$9&amp;", "&amp;AO$10&amp;", "&amp;AO$11&amp;"; ","")</f>
        <v/>
      </c>
      <c r="AP186" s="2120" t="str">
        <f>IF(AND($V$9=1,(TRUNC(Courses!Q180)&lt;&gt;Courses!Q180)), "Row "&amp;Courses!$A180&amp;", "&amp;AP$9&amp;", "&amp;AP$10&amp;"; ","")</f>
        <v/>
      </c>
      <c r="AQ186" s="1593" t="str">
        <f>IF(AND($V$9=1,(TRUNC(Courses!R180)&lt;&gt;Courses!R180)), "Row "&amp;Courses!$A180&amp;", "&amp;AQ$9&amp;", "&amp;AQ$10&amp;", "&amp;AQ$11&amp;"; ","")</f>
        <v/>
      </c>
      <c r="AR186" t="str">
        <f>IF(AND($V$9=1,(TRUNC(Courses!S180)&lt;&gt;Courses!S180)), "Row "&amp;Courses!$A180&amp;", "&amp;AR$9&amp;", "&amp;AR$10&amp;", "&amp;AR$11&amp;"; ","")</f>
        <v/>
      </c>
      <c r="AS186" t="str">
        <f>IF(AND($V$9=1,(TRUNC(Courses!T180)&lt;&gt;Courses!T180)), "Row "&amp;Courses!$A180&amp;", "&amp;AS$9&amp;", "&amp;AS$10&amp;", "&amp;AS$11&amp;"; ","")</f>
        <v/>
      </c>
      <c r="AT186" t="str">
        <f>IF(AND($V$9=1,(TRUNC(Courses!U180)&lt;&gt;Courses!U180)), "Row "&amp;Courses!$A180&amp;", "&amp;AT$9&amp;", "&amp;AT$10&amp;", "&amp;AT$11&amp;"; ","")</f>
        <v/>
      </c>
      <c r="AU186" s="2120" t="str">
        <f>IF(AND($V$9=1,(TRUNC(Courses!V180)&lt;&gt;Courses!V180)), "Row "&amp;Courses!$A180&amp;", "&amp;AU$9&amp;", "&amp;AU$10&amp;"; ","")</f>
        <v/>
      </c>
      <c r="AV186" t="str">
        <f>IF(AND($V$9=1,(TRUNC(Courses!W180)&lt;&gt;Courses!W180)), "Row "&amp;Courses!$A180&amp;", "&amp;AV$9&amp;", "&amp;AV$10&amp;", "&amp;AV$11&amp;"; ","")</f>
        <v/>
      </c>
      <c r="AW186" t="str">
        <f>IF(AND($V$9=1,(TRUNC(Courses!X180)&lt;&gt;Courses!X180)), "Row "&amp;Courses!$A180&amp;", "&amp;AW$9&amp;", "&amp;AW$10&amp;", "&amp;AW$11&amp;"; ","")</f>
        <v/>
      </c>
      <c r="AX186" t="str">
        <f>IF(AND($V$9=1,(TRUNC(Courses!Y180)&lt;&gt;Courses!Y180)), "Row "&amp;Courses!$A180&amp;", "&amp;AX$9&amp;", "&amp;AX$10&amp;", "&amp;AX$11&amp;"; ","")</f>
        <v/>
      </c>
      <c r="AY186" t="str">
        <f>IF(AND($V$9=1,(TRUNC(Courses!Z180)&lt;&gt;Courses!Z180)), "Row "&amp;Courses!$A180&amp;", "&amp;AY$9&amp;", "&amp;AY$10&amp;", "&amp;AY$11&amp;"; ","")</f>
        <v/>
      </c>
      <c r="AZ186" s="2120" t="str">
        <f>IF(AND($V$9=1,(TRUNC(Courses!AA180)&lt;&gt;Courses!AA180)), "Row "&amp;Courses!$A180&amp;", "&amp;AZ$9&amp;", "&amp;AZ$10&amp;"; ","")</f>
        <v/>
      </c>
      <c r="BC186" s="40">
        <v>167</v>
      </c>
      <c r="BD186" s="1593" t="str">
        <f>IF(AND($W$9=1,Courses!M180&lt;0), "Row "&amp;Courses!$A180&amp;", "&amp;BD$9&amp;", "&amp;BD$10&amp;", "&amp;BD$11&amp;"; ","")</f>
        <v/>
      </c>
      <c r="BE186" t="str">
        <f>IF(AND($W$9=1,Courses!N180&lt;0), "Row "&amp;Courses!$A180&amp;", "&amp;BE$9&amp;", "&amp;BE$10&amp;", "&amp;BE$11&amp;"; ","")</f>
        <v/>
      </c>
      <c r="BF186" t="str">
        <f>IF(AND($W$9=1,Courses!O180&lt;0), "Row "&amp;Courses!$A180&amp;", "&amp;BF$9&amp;", "&amp;BF$10&amp;", "&amp;BF$11&amp;"; ","")</f>
        <v/>
      </c>
      <c r="BG186" t="str">
        <f>IF(AND($W$9=1,Courses!P180&lt;0), "Row "&amp;Courses!$A180&amp;", "&amp;BG$9&amp;", "&amp;BG$10&amp;", "&amp;BG$11&amp;"; ","")</f>
        <v/>
      </c>
      <c r="BH186" s="2120" t="str">
        <f>IF(AND($W$9=1,Courses!Q180&lt;0), "Row "&amp;Courses!$A180&amp;", "&amp;BH$9&amp;", "&amp;BH$10&amp;"; ","")</f>
        <v/>
      </c>
      <c r="BI186" s="1593" t="str">
        <f>IF(AND($W$9=1,Courses!R180&lt;0), "Row "&amp;Courses!$A180&amp;", "&amp;BI$9&amp;", "&amp;BI$10&amp;", "&amp;BI$11&amp;"; ","")</f>
        <v/>
      </c>
      <c r="BJ186" t="str">
        <f>IF(AND($W$9=1,Courses!S180&lt;0), "Row "&amp;Courses!$A180&amp;", "&amp;BJ$9&amp;", "&amp;BJ$10&amp;", "&amp;BJ$11&amp;"; ","")</f>
        <v/>
      </c>
      <c r="BK186" t="str">
        <f>IF(AND($W$9=1,Courses!T180&lt;0), "Row "&amp;Courses!$A180&amp;", "&amp;BK$9&amp;", "&amp;BK$10&amp;", "&amp;BK$11&amp;"; ","")</f>
        <v/>
      </c>
      <c r="BL186" t="str">
        <f>IF(AND($W$9=1,Courses!U180&lt;0), "Row "&amp;Courses!$A180&amp;", "&amp;BL$9&amp;", "&amp;BL$10&amp;", "&amp;BL$11&amp;"; ","")</f>
        <v/>
      </c>
      <c r="BM186" s="2120" t="str">
        <f>IF(AND($W$9=1,Courses!V180&lt;0), "Row "&amp;Courses!$A180&amp;", "&amp;BM$9&amp;", "&amp;BM$10&amp;"; ","")</f>
        <v/>
      </c>
      <c r="BN186" t="str">
        <f>IF(AND($W$9=1,Courses!W180&lt;0), "Row "&amp;Courses!$A180&amp;", "&amp;BN$9&amp;", "&amp;BN$10&amp;", "&amp;BN$11&amp;"; ","")</f>
        <v/>
      </c>
      <c r="BO186" t="str">
        <f>IF(AND($W$9=1,Courses!X180&lt;0), "Row "&amp;Courses!$A180&amp;", "&amp;BO$9&amp;", "&amp;BO$10&amp;", "&amp;BO$11&amp;"; ","")</f>
        <v/>
      </c>
      <c r="BP186" t="str">
        <f>IF(AND($W$9=1,Courses!Y180&lt;0), "Row "&amp;Courses!$A180&amp;", "&amp;BP$9&amp;", "&amp;BP$10&amp;", "&amp;BP$11&amp;"; ","")</f>
        <v/>
      </c>
      <c r="BQ186" t="str">
        <f>IF(AND($W$9=1,Courses!Z180&lt;0), "Row "&amp;Courses!$A180&amp;", "&amp;BQ$9&amp;", "&amp;BQ$10&amp;", "&amp;BQ$11&amp;"; ","")</f>
        <v/>
      </c>
      <c r="BR186" s="2120" t="str">
        <f>IF(AND($W$9=1,Courses!AA180&lt;0), "Row "&amp;Courses!$A180&amp;", "&amp;BR$9&amp;", "&amp;BR$10&amp;"; ","")</f>
        <v/>
      </c>
      <c r="BT186" s="3">
        <f t="shared" si="5"/>
        <v>167</v>
      </c>
      <c r="BU186" s="40">
        <f>IF(AND($X$9=1,Courses!B180="",Courses!F180="",Courses!H180="",Courses!J180="",Courses!K180="",Courses!L180="",Courses!M180=0,Courses!N180=0,Courses!O180=0,Courses!P180=0,Courses!Q180=0,Courses!R180=0,Courses!S180=0,Courses!T180=0,Courses!U180=0,Courses!V180=0,Courses!W180=0,Courses!X180=0,Courses!Y180=0,Courses!Z180=0,Courses!AA180=0),0,1)</f>
        <v>0</v>
      </c>
      <c r="BV186" s="40">
        <f>IF(AND(BU186=0,SUM(BU187:$BU$219)&gt;0),1,0)</f>
        <v>0</v>
      </c>
      <c r="BW186" s="1592" t="str">
        <f>IF(BV186=1,"Row "&amp;Courses!A180&amp;"; ","")</f>
        <v/>
      </c>
      <c r="BX186" s="17"/>
      <c r="BZ186" s="1592" t="str">
        <f>IF(AND($Y$9=1,Courses!B180&lt;&gt;"",SUM(Courses!M180:AA180)=0),"Row "&amp;Courses!A180&amp;"; ","")</f>
        <v/>
      </c>
      <c r="CA186" s="17"/>
      <c r="CC186" s="1592" t="str">
        <f>IF(AND($Z$9=1,Courses!AD180=1,(LEN(Courses!AB180)&gt;200)),"Row "&amp;Courses!A180&amp;"; ","")</f>
        <v/>
      </c>
      <c r="CE186" s="131"/>
      <c r="CG186" s="1593" t="str">
        <f>IF(AND($AD$9=1,Courses!E180&lt;&gt;"",Courses!F180&lt;&gt;"",Courses!F180=0,SUM(Courses!H180,Courses!J180)=1),"Row "&amp;Courses!A180&amp;", "&amp;Courses!$F$10&amp;"; ","")</f>
        <v/>
      </c>
      <c r="CH186" t="str">
        <f>IF(AND($AD$9=1,Courses!G180&lt;&gt;"",Courses!H180&lt;&gt;"",Courses!H180=0,SUM(Courses!J180,Courses!F180)=1),"Row "&amp;Courses!A180&amp;", "&amp;Courses!$H$10&amp;"; ","")</f>
        <v/>
      </c>
      <c r="CI186" s="183" t="str">
        <f>IF(AND($AD$9=1,Courses!I180&lt;&gt;"",Courses!J180&lt;&gt;"",Courses!J180=0, SUM(Courses!H180,Courses!F180)=1),"Row "&amp;Courses!A180&amp;", "&amp;Courses!$J$10&amp;"; ","")</f>
        <v/>
      </c>
      <c r="CL186" s="1592" t="str">
        <f>IF(AND(Courses!B180&lt;&gt;"",ISNA(VLOOKUP(Courses!C180,CourseInfo,2,FALSE))=FALSE,COUNTIF(Dummy,Courses!C180)&lt;&gt;1),VLOOKUP(Courses!C180,CourseInfo,6,FALSE),"")</f>
        <v/>
      </c>
      <c r="CM186" s="1592" t="str">
        <f>IF(AND($AE$9=1,Courses!B180&lt;&gt;"",'Courses Valid'!AG186="",COUNTIF(Dummy,Courses!C180)&lt;&gt;1),IF(Courses!K180&lt;&gt;'Courses Valid'!CL186,"Row "&amp;Courses!A180&amp;", Level on LARS is "&amp;'Courses Valid'!CL186&amp;"; ",""),"")</f>
        <v/>
      </c>
      <c r="CN186" s="131"/>
    </row>
    <row r="187" spans="3:92" x14ac:dyDescent="0.35">
      <c r="C187" s="1595">
        <f t="shared" si="4"/>
        <v>0</v>
      </c>
      <c r="G187" s="1592" t="str">
        <f>IF(SUMPRODUCT(--(CourseAims=Courses!$C181))=1,"",IF(AND($N$9=1,Courses!$C181&lt;&gt;""),"Row "&amp;Courses!A181&amp;" (invalid); ",""))</f>
        <v/>
      </c>
      <c r="H187" s="1592" t="str">
        <f>IF(AND($O$9=1,Courses!B181="",OR(Courses!F181&lt;&gt;"",Courses!H181&lt;&gt;"",Courses!J181&lt;&gt;"",Courses!K181&lt;&gt;"",Courses!L181&lt;&gt;"",Courses!M181&lt;&gt;0,Courses!N181&lt;&gt;0,Courses!O181&lt;&gt;0,Courses!P181&lt;&gt;0,Courses!Q181&lt;&gt;0,Courses!R181&lt;&gt;0,Courses!S181&lt;&gt;0,Courses!T181&lt;&gt;0,Courses!U181&lt;&gt;0,Courses!V181&lt;&gt;0,Courses!W181&lt;&gt;0,Courses!X181&lt;&gt;0,Courses!Y181&lt;&gt;0,Courses!Z181&lt;&gt;0,Courses!AA181&lt;&gt;0)),"Row "&amp;Courses!A181&amp;" (none); ","")</f>
        <v/>
      </c>
      <c r="K187" s="1592" t="str">
        <f>Courses!B181&amp;Courses!K181&amp;Courses!L181</f>
        <v/>
      </c>
      <c r="L187" s="1592" t="str">
        <f>IF(AND($P$9=1,Courses!$B181&lt;&gt;"",COUNTIF(Dummy,Courses!$C181)&lt;&gt;1),IF(SUMPRODUCT(--($K$20:$K$219=$K187))&gt;1,"Row "&amp;Courses!$A181&amp;"; ",""),"")</f>
        <v/>
      </c>
      <c r="O187" s="1593" t="str">
        <f>IF(AND($Q$9=1,Courses!E181&lt;&gt;"",Courses!F181=""),"Row "&amp;Courses!A181&amp;", "&amp;Courses!$E$10&amp;"; ","")</f>
        <v/>
      </c>
      <c r="P187" t="str">
        <f>IF(AND($Q$9=1,Courses!G181&lt;&gt;"",Courses!H181=""),"Row "&amp;Courses!A181&amp;", "&amp;Courses!$G$10&amp;"; ","")</f>
        <v/>
      </c>
      <c r="Q187" s="183" t="str">
        <f>IF(AND($Q$9=1,Courses!I181&lt;&gt;"",Courses!J181=""),"Row "&amp;Courses!A181&amp;", "&amp;Courses!$I$10&amp;"; ","")</f>
        <v/>
      </c>
      <c r="U187" s="1593" t="str">
        <f>IF(AND($R$9=1,Courses!B181&lt;&gt;"",Courses!E181&lt;&gt;"",Courses!G181="",Courses!I181="",Courses!F181&lt;&gt;1),"Row "&amp;Courses!A181&amp;"; ","")</f>
        <v/>
      </c>
      <c r="V187" t="str">
        <f>IF(AND($R$9=1,Courses!B181&lt;&gt;"",Courses!I181="",Courses!F181&lt;&gt;"",Courses!G181&lt;&gt;"",Courses!H181&lt;&gt;""),IF(OR((Courses!F181+Courses!H181)&lt;&gt;1),"Row "&amp;Courses!A181&amp;"; ",""),"")</f>
        <v/>
      </c>
      <c r="W187" s="183" t="str">
        <f>IF(AND($R$9=1,Courses!B181&lt;&gt;"",Courses!I181&lt;&gt;"",Courses!J181&lt;&gt;"",Courses!H181&lt;&gt;"",Courses!G181&lt;&gt;"",Courses!F181&lt;&gt;""),IF(OR((Courses!F181+Courses!H181+Courses!J181)&lt;&gt;1),"Row "&amp;Courses!A181&amp;"; ",""),"")</f>
        <v/>
      </c>
      <c r="Y187" s="1592" t="str">
        <f>IF(AND($R$9=1,Courses!E181&lt;&gt;"",U187="",V187="",W187="",SUM(Courses!F181,Courses!H181,Courses!J181)&lt;&gt;1),"Row "&amp;Courses!A181&amp;"; ","")</f>
        <v/>
      </c>
      <c r="AB187" s="1593" t="str">
        <f>IF(AND($S$9=1,Courses!B181&lt;&gt;"",Courses!E181&lt;&gt;"",Courses!F181&lt;&gt;""),IF((TRUNC(Courses!F181*100)&lt;&gt;Courses!F181*100),"Row "&amp;Courses!A181&amp;", "&amp;Courses!$F$10&amp;"; ",""),"")</f>
        <v/>
      </c>
      <c r="AC187" t="str">
        <f>IF(AND($S$9=1,Courses!B181&lt;&gt;"",Courses!G181&lt;&gt;"",Courses!H181&lt;&gt;""),IF((TRUNC(Courses!H181*100)&lt;&gt;Courses!H181*100),"Row "&amp;Courses!A181&amp;", "&amp;Courses!$H$10&amp;"; ",""),"")</f>
        <v/>
      </c>
      <c r="AD187" s="183" t="str">
        <f>IF(AND($S$9=1,Courses!B181&lt;&gt;"",Courses!I181&lt;&gt;"",Courses!J181&lt;&gt;""),IF((TRUNC(Courses!J181*100)&lt;&gt;Courses!J181*100),"Row "&amp;Courses!A181&amp;", "&amp;Courses!$J$10&amp;"; ",""),"")</f>
        <v/>
      </c>
      <c r="AG187" s="1593" t="str">
        <f>IF(AND($T$9=1,G187="",Courses!B181&lt;&gt;"",Courses!K181&lt;&gt;$B$9,Courses!K181&lt;&gt;$B$10,Courses!K181&lt;&gt;$B$11,Courses!K181&lt;&gt;$B$12,Courses!K181&lt;&gt;$B$13,Courses!K181&lt;&gt;$B$14),"Row "&amp;Courses!A181&amp;"; ","")</f>
        <v/>
      </c>
      <c r="AH187" s="183" t="str">
        <f>IF(AND($U$9=1,G187="",Courses!B181&lt;&gt;"",Courses!L181&lt;&gt;"Standard",Courses!L181&lt;&gt;"Long"),"Row "&amp;Courses!A181&amp;"; ","")</f>
        <v/>
      </c>
      <c r="AK187" s="40">
        <v>168</v>
      </c>
      <c r="AL187" s="1593" t="str">
        <f>IF(AND($V$9=1,(TRUNC(Courses!M181)&lt;&gt;Courses!M181)), "Row "&amp;Courses!$A181&amp;", "&amp;AL$9&amp;", "&amp;AL$10&amp;", "&amp;AL$11&amp;"; ","")</f>
        <v/>
      </c>
      <c r="AM187" t="str">
        <f>IF(AND($V$9=1,(TRUNC(Courses!N181)&lt;&gt;Courses!N181)), "Row "&amp;Courses!$A181&amp;", "&amp;AM$9&amp;", "&amp;AM$10&amp;", "&amp;AM$11&amp;"; ","")</f>
        <v/>
      </c>
      <c r="AN187" t="str">
        <f>IF(AND($V$9=1,(TRUNC(Courses!O181)&lt;&gt;Courses!O181)), "Row "&amp;Courses!$A181&amp;", "&amp;AN$9&amp;", "&amp;AN$10&amp;", "&amp;AN$11&amp;"; ","")</f>
        <v/>
      </c>
      <c r="AO187" t="str">
        <f>IF(AND($V$9=1,(TRUNC(Courses!P181)&lt;&gt;Courses!P181)), "Row "&amp;Courses!$A181&amp;", "&amp;AO$9&amp;", "&amp;AO$10&amp;", "&amp;AO$11&amp;"; ","")</f>
        <v/>
      </c>
      <c r="AP187" s="2120" t="str">
        <f>IF(AND($V$9=1,(TRUNC(Courses!Q181)&lt;&gt;Courses!Q181)), "Row "&amp;Courses!$A181&amp;", "&amp;AP$9&amp;", "&amp;AP$10&amp;"; ","")</f>
        <v/>
      </c>
      <c r="AQ187" s="1593" t="str">
        <f>IF(AND($V$9=1,(TRUNC(Courses!R181)&lt;&gt;Courses!R181)), "Row "&amp;Courses!$A181&amp;", "&amp;AQ$9&amp;", "&amp;AQ$10&amp;", "&amp;AQ$11&amp;"; ","")</f>
        <v/>
      </c>
      <c r="AR187" t="str">
        <f>IF(AND($V$9=1,(TRUNC(Courses!S181)&lt;&gt;Courses!S181)), "Row "&amp;Courses!$A181&amp;", "&amp;AR$9&amp;", "&amp;AR$10&amp;", "&amp;AR$11&amp;"; ","")</f>
        <v/>
      </c>
      <c r="AS187" t="str">
        <f>IF(AND($V$9=1,(TRUNC(Courses!T181)&lt;&gt;Courses!T181)), "Row "&amp;Courses!$A181&amp;", "&amp;AS$9&amp;", "&amp;AS$10&amp;", "&amp;AS$11&amp;"; ","")</f>
        <v/>
      </c>
      <c r="AT187" t="str">
        <f>IF(AND($V$9=1,(TRUNC(Courses!U181)&lt;&gt;Courses!U181)), "Row "&amp;Courses!$A181&amp;", "&amp;AT$9&amp;", "&amp;AT$10&amp;", "&amp;AT$11&amp;"; ","")</f>
        <v/>
      </c>
      <c r="AU187" s="2120" t="str">
        <f>IF(AND($V$9=1,(TRUNC(Courses!V181)&lt;&gt;Courses!V181)), "Row "&amp;Courses!$A181&amp;", "&amp;AU$9&amp;", "&amp;AU$10&amp;"; ","")</f>
        <v/>
      </c>
      <c r="AV187" t="str">
        <f>IF(AND($V$9=1,(TRUNC(Courses!W181)&lt;&gt;Courses!W181)), "Row "&amp;Courses!$A181&amp;", "&amp;AV$9&amp;", "&amp;AV$10&amp;", "&amp;AV$11&amp;"; ","")</f>
        <v/>
      </c>
      <c r="AW187" t="str">
        <f>IF(AND($V$9=1,(TRUNC(Courses!X181)&lt;&gt;Courses!X181)), "Row "&amp;Courses!$A181&amp;", "&amp;AW$9&amp;", "&amp;AW$10&amp;", "&amp;AW$11&amp;"; ","")</f>
        <v/>
      </c>
      <c r="AX187" t="str">
        <f>IF(AND($V$9=1,(TRUNC(Courses!Y181)&lt;&gt;Courses!Y181)), "Row "&amp;Courses!$A181&amp;", "&amp;AX$9&amp;", "&amp;AX$10&amp;", "&amp;AX$11&amp;"; ","")</f>
        <v/>
      </c>
      <c r="AY187" t="str">
        <f>IF(AND($V$9=1,(TRUNC(Courses!Z181)&lt;&gt;Courses!Z181)), "Row "&amp;Courses!$A181&amp;", "&amp;AY$9&amp;", "&amp;AY$10&amp;", "&amp;AY$11&amp;"; ","")</f>
        <v/>
      </c>
      <c r="AZ187" s="2120" t="str">
        <f>IF(AND($V$9=1,(TRUNC(Courses!AA181)&lt;&gt;Courses!AA181)), "Row "&amp;Courses!$A181&amp;", "&amp;AZ$9&amp;", "&amp;AZ$10&amp;"; ","")</f>
        <v/>
      </c>
      <c r="BC187" s="40">
        <v>168</v>
      </c>
      <c r="BD187" s="1593" t="str">
        <f>IF(AND($W$9=1,Courses!M181&lt;0), "Row "&amp;Courses!$A181&amp;", "&amp;BD$9&amp;", "&amp;BD$10&amp;", "&amp;BD$11&amp;"; ","")</f>
        <v/>
      </c>
      <c r="BE187" t="str">
        <f>IF(AND($W$9=1,Courses!N181&lt;0), "Row "&amp;Courses!$A181&amp;", "&amp;BE$9&amp;", "&amp;BE$10&amp;", "&amp;BE$11&amp;"; ","")</f>
        <v/>
      </c>
      <c r="BF187" t="str">
        <f>IF(AND($W$9=1,Courses!O181&lt;0), "Row "&amp;Courses!$A181&amp;", "&amp;BF$9&amp;", "&amp;BF$10&amp;", "&amp;BF$11&amp;"; ","")</f>
        <v/>
      </c>
      <c r="BG187" t="str">
        <f>IF(AND($W$9=1,Courses!P181&lt;0), "Row "&amp;Courses!$A181&amp;", "&amp;BG$9&amp;", "&amp;BG$10&amp;", "&amp;BG$11&amp;"; ","")</f>
        <v/>
      </c>
      <c r="BH187" s="2120" t="str">
        <f>IF(AND($W$9=1,Courses!Q181&lt;0), "Row "&amp;Courses!$A181&amp;", "&amp;BH$9&amp;", "&amp;BH$10&amp;"; ","")</f>
        <v/>
      </c>
      <c r="BI187" s="1593" t="str">
        <f>IF(AND($W$9=1,Courses!R181&lt;0), "Row "&amp;Courses!$A181&amp;", "&amp;BI$9&amp;", "&amp;BI$10&amp;", "&amp;BI$11&amp;"; ","")</f>
        <v/>
      </c>
      <c r="BJ187" t="str">
        <f>IF(AND($W$9=1,Courses!S181&lt;0), "Row "&amp;Courses!$A181&amp;", "&amp;BJ$9&amp;", "&amp;BJ$10&amp;", "&amp;BJ$11&amp;"; ","")</f>
        <v/>
      </c>
      <c r="BK187" t="str">
        <f>IF(AND($W$9=1,Courses!T181&lt;0), "Row "&amp;Courses!$A181&amp;", "&amp;BK$9&amp;", "&amp;BK$10&amp;", "&amp;BK$11&amp;"; ","")</f>
        <v/>
      </c>
      <c r="BL187" t="str">
        <f>IF(AND($W$9=1,Courses!U181&lt;0), "Row "&amp;Courses!$A181&amp;", "&amp;BL$9&amp;", "&amp;BL$10&amp;", "&amp;BL$11&amp;"; ","")</f>
        <v/>
      </c>
      <c r="BM187" s="2120" t="str">
        <f>IF(AND($W$9=1,Courses!V181&lt;0), "Row "&amp;Courses!$A181&amp;", "&amp;BM$9&amp;", "&amp;BM$10&amp;"; ","")</f>
        <v/>
      </c>
      <c r="BN187" t="str">
        <f>IF(AND($W$9=1,Courses!W181&lt;0), "Row "&amp;Courses!$A181&amp;", "&amp;BN$9&amp;", "&amp;BN$10&amp;", "&amp;BN$11&amp;"; ","")</f>
        <v/>
      </c>
      <c r="BO187" t="str">
        <f>IF(AND($W$9=1,Courses!X181&lt;0), "Row "&amp;Courses!$A181&amp;", "&amp;BO$9&amp;", "&amp;BO$10&amp;", "&amp;BO$11&amp;"; ","")</f>
        <v/>
      </c>
      <c r="BP187" t="str">
        <f>IF(AND($W$9=1,Courses!Y181&lt;0), "Row "&amp;Courses!$A181&amp;", "&amp;BP$9&amp;", "&amp;BP$10&amp;", "&amp;BP$11&amp;"; ","")</f>
        <v/>
      </c>
      <c r="BQ187" t="str">
        <f>IF(AND($W$9=1,Courses!Z181&lt;0), "Row "&amp;Courses!$A181&amp;", "&amp;BQ$9&amp;", "&amp;BQ$10&amp;", "&amp;BQ$11&amp;"; ","")</f>
        <v/>
      </c>
      <c r="BR187" s="2120" t="str">
        <f>IF(AND($W$9=1,Courses!AA181&lt;0), "Row "&amp;Courses!$A181&amp;", "&amp;BR$9&amp;", "&amp;BR$10&amp;"; ","")</f>
        <v/>
      </c>
      <c r="BT187" s="3">
        <f t="shared" si="5"/>
        <v>168</v>
      </c>
      <c r="BU187" s="40">
        <f>IF(AND($X$9=1,Courses!B181="",Courses!F181="",Courses!H181="",Courses!J181="",Courses!K181="",Courses!L181="",Courses!M181=0,Courses!N181=0,Courses!O181=0,Courses!P181=0,Courses!Q181=0,Courses!R181=0,Courses!S181=0,Courses!T181=0,Courses!U181=0,Courses!V181=0,Courses!W181=0,Courses!X181=0,Courses!Y181=0,Courses!Z181=0,Courses!AA181=0),0,1)</f>
        <v>0</v>
      </c>
      <c r="BV187" s="40">
        <f>IF(AND(BU187=0,SUM(BU188:$BU$219)&gt;0),1,0)</f>
        <v>0</v>
      </c>
      <c r="BW187" s="1592" t="str">
        <f>IF(BV187=1,"Row "&amp;Courses!A181&amp;"; ","")</f>
        <v/>
      </c>
      <c r="BX187" s="17"/>
      <c r="BZ187" s="1592" t="str">
        <f>IF(AND($Y$9=1,Courses!B181&lt;&gt;"",SUM(Courses!M181:AA181)=0),"Row "&amp;Courses!A181&amp;"; ","")</f>
        <v/>
      </c>
      <c r="CA187" s="17"/>
      <c r="CC187" s="1592" t="str">
        <f>IF(AND($Z$9=1,Courses!AD181=1,(LEN(Courses!AB181)&gt;200)),"Row "&amp;Courses!A181&amp;"; ","")</f>
        <v/>
      </c>
      <c r="CE187" s="131"/>
      <c r="CG187" s="1593" t="str">
        <f>IF(AND($AD$9=1,Courses!E181&lt;&gt;"",Courses!F181&lt;&gt;"",Courses!F181=0,SUM(Courses!H181,Courses!J181)=1),"Row "&amp;Courses!A181&amp;", "&amp;Courses!$F$10&amp;"; ","")</f>
        <v/>
      </c>
      <c r="CH187" t="str">
        <f>IF(AND($AD$9=1,Courses!G181&lt;&gt;"",Courses!H181&lt;&gt;"",Courses!H181=0,SUM(Courses!J181,Courses!F181)=1),"Row "&amp;Courses!A181&amp;", "&amp;Courses!$H$10&amp;"; ","")</f>
        <v/>
      </c>
      <c r="CI187" s="183" t="str">
        <f>IF(AND($AD$9=1,Courses!I181&lt;&gt;"",Courses!J181&lt;&gt;"",Courses!J181=0, SUM(Courses!H181,Courses!F181)=1),"Row "&amp;Courses!A181&amp;", "&amp;Courses!$J$10&amp;"; ","")</f>
        <v/>
      </c>
      <c r="CL187" s="1592" t="str">
        <f>IF(AND(Courses!B181&lt;&gt;"",ISNA(VLOOKUP(Courses!C181,CourseInfo,2,FALSE))=FALSE,COUNTIF(Dummy,Courses!C181)&lt;&gt;1),VLOOKUP(Courses!C181,CourseInfo,6,FALSE),"")</f>
        <v/>
      </c>
      <c r="CM187" s="1592" t="str">
        <f>IF(AND($AE$9=1,Courses!B181&lt;&gt;"",'Courses Valid'!AG187="",COUNTIF(Dummy,Courses!C181)&lt;&gt;1),IF(Courses!K181&lt;&gt;'Courses Valid'!CL187,"Row "&amp;Courses!A181&amp;", Level on LARS is "&amp;'Courses Valid'!CL187&amp;"; ",""),"")</f>
        <v/>
      </c>
      <c r="CN187" s="131"/>
    </row>
    <row r="188" spans="3:92" x14ac:dyDescent="0.35">
      <c r="C188" s="1595">
        <f t="shared" si="4"/>
        <v>0</v>
      </c>
      <c r="G188" s="1592" t="str">
        <f>IF(SUMPRODUCT(--(CourseAims=Courses!$C182))=1,"",IF(AND($N$9=1,Courses!$C182&lt;&gt;""),"Row "&amp;Courses!A182&amp;" (invalid); ",""))</f>
        <v/>
      </c>
      <c r="H188" s="1592" t="str">
        <f>IF(AND($O$9=1,Courses!B182="",OR(Courses!F182&lt;&gt;"",Courses!H182&lt;&gt;"",Courses!J182&lt;&gt;"",Courses!K182&lt;&gt;"",Courses!L182&lt;&gt;"",Courses!M182&lt;&gt;0,Courses!N182&lt;&gt;0,Courses!O182&lt;&gt;0,Courses!P182&lt;&gt;0,Courses!Q182&lt;&gt;0,Courses!R182&lt;&gt;0,Courses!S182&lt;&gt;0,Courses!T182&lt;&gt;0,Courses!U182&lt;&gt;0,Courses!V182&lt;&gt;0,Courses!W182&lt;&gt;0,Courses!X182&lt;&gt;0,Courses!Y182&lt;&gt;0,Courses!Z182&lt;&gt;0,Courses!AA182&lt;&gt;0)),"Row "&amp;Courses!A182&amp;" (none); ","")</f>
        <v/>
      </c>
      <c r="K188" s="1592" t="str">
        <f>Courses!B182&amp;Courses!K182&amp;Courses!L182</f>
        <v/>
      </c>
      <c r="L188" s="1592" t="str">
        <f>IF(AND($P$9=1,Courses!$B182&lt;&gt;"",COUNTIF(Dummy,Courses!$C182)&lt;&gt;1),IF(SUMPRODUCT(--($K$20:$K$219=$K188))&gt;1,"Row "&amp;Courses!$A182&amp;"; ",""),"")</f>
        <v/>
      </c>
      <c r="O188" s="1593" t="str">
        <f>IF(AND($Q$9=1,Courses!E182&lt;&gt;"",Courses!F182=""),"Row "&amp;Courses!A182&amp;", "&amp;Courses!$E$10&amp;"; ","")</f>
        <v/>
      </c>
      <c r="P188" t="str">
        <f>IF(AND($Q$9=1,Courses!G182&lt;&gt;"",Courses!H182=""),"Row "&amp;Courses!A182&amp;", "&amp;Courses!$G$10&amp;"; ","")</f>
        <v/>
      </c>
      <c r="Q188" s="183" t="str">
        <f>IF(AND($Q$9=1,Courses!I182&lt;&gt;"",Courses!J182=""),"Row "&amp;Courses!A182&amp;", "&amp;Courses!$I$10&amp;"; ","")</f>
        <v/>
      </c>
      <c r="U188" s="1593" t="str">
        <f>IF(AND($R$9=1,Courses!B182&lt;&gt;"",Courses!E182&lt;&gt;"",Courses!G182="",Courses!I182="",Courses!F182&lt;&gt;1),"Row "&amp;Courses!A182&amp;"; ","")</f>
        <v/>
      </c>
      <c r="V188" t="str">
        <f>IF(AND($R$9=1,Courses!B182&lt;&gt;"",Courses!I182="",Courses!F182&lt;&gt;"",Courses!G182&lt;&gt;"",Courses!H182&lt;&gt;""),IF(OR((Courses!F182+Courses!H182)&lt;&gt;1),"Row "&amp;Courses!A182&amp;"; ",""),"")</f>
        <v/>
      </c>
      <c r="W188" s="183" t="str">
        <f>IF(AND($R$9=1,Courses!B182&lt;&gt;"",Courses!I182&lt;&gt;"",Courses!J182&lt;&gt;"",Courses!H182&lt;&gt;"",Courses!G182&lt;&gt;"",Courses!F182&lt;&gt;""),IF(OR((Courses!F182+Courses!H182+Courses!J182)&lt;&gt;1),"Row "&amp;Courses!A182&amp;"; ",""),"")</f>
        <v/>
      </c>
      <c r="Y188" s="1592" t="str">
        <f>IF(AND($R$9=1,Courses!E182&lt;&gt;"",U188="",V188="",W188="",SUM(Courses!F182,Courses!H182,Courses!J182)&lt;&gt;1),"Row "&amp;Courses!A182&amp;"; ","")</f>
        <v/>
      </c>
      <c r="AB188" s="1593" t="str">
        <f>IF(AND($S$9=1,Courses!B182&lt;&gt;"",Courses!E182&lt;&gt;"",Courses!F182&lt;&gt;""),IF((TRUNC(Courses!F182*100)&lt;&gt;Courses!F182*100),"Row "&amp;Courses!A182&amp;", "&amp;Courses!$F$10&amp;"; ",""),"")</f>
        <v/>
      </c>
      <c r="AC188" t="str">
        <f>IF(AND($S$9=1,Courses!B182&lt;&gt;"",Courses!G182&lt;&gt;"",Courses!H182&lt;&gt;""),IF((TRUNC(Courses!H182*100)&lt;&gt;Courses!H182*100),"Row "&amp;Courses!A182&amp;", "&amp;Courses!$H$10&amp;"; ",""),"")</f>
        <v/>
      </c>
      <c r="AD188" s="183" t="str">
        <f>IF(AND($S$9=1,Courses!B182&lt;&gt;"",Courses!I182&lt;&gt;"",Courses!J182&lt;&gt;""),IF((TRUNC(Courses!J182*100)&lt;&gt;Courses!J182*100),"Row "&amp;Courses!A182&amp;", "&amp;Courses!$J$10&amp;"; ",""),"")</f>
        <v/>
      </c>
      <c r="AG188" s="1593" t="str">
        <f>IF(AND($T$9=1,G188="",Courses!B182&lt;&gt;"",Courses!K182&lt;&gt;$B$9,Courses!K182&lt;&gt;$B$10,Courses!K182&lt;&gt;$B$11,Courses!K182&lt;&gt;$B$12,Courses!K182&lt;&gt;$B$13,Courses!K182&lt;&gt;$B$14),"Row "&amp;Courses!A182&amp;"; ","")</f>
        <v/>
      </c>
      <c r="AH188" s="183" t="str">
        <f>IF(AND($U$9=1,G188="",Courses!B182&lt;&gt;"",Courses!L182&lt;&gt;"Standard",Courses!L182&lt;&gt;"Long"),"Row "&amp;Courses!A182&amp;"; ","")</f>
        <v/>
      </c>
      <c r="AK188" s="40">
        <v>169</v>
      </c>
      <c r="AL188" s="1593" t="str">
        <f>IF(AND($V$9=1,(TRUNC(Courses!M182)&lt;&gt;Courses!M182)), "Row "&amp;Courses!$A182&amp;", "&amp;AL$9&amp;", "&amp;AL$10&amp;", "&amp;AL$11&amp;"; ","")</f>
        <v/>
      </c>
      <c r="AM188" t="str">
        <f>IF(AND($V$9=1,(TRUNC(Courses!N182)&lt;&gt;Courses!N182)), "Row "&amp;Courses!$A182&amp;", "&amp;AM$9&amp;", "&amp;AM$10&amp;", "&amp;AM$11&amp;"; ","")</f>
        <v/>
      </c>
      <c r="AN188" t="str">
        <f>IF(AND($V$9=1,(TRUNC(Courses!O182)&lt;&gt;Courses!O182)), "Row "&amp;Courses!$A182&amp;", "&amp;AN$9&amp;", "&amp;AN$10&amp;", "&amp;AN$11&amp;"; ","")</f>
        <v/>
      </c>
      <c r="AO188" t="str">
        <f>IF(AND($V$9=1,(TRUNC(Courses!P182)&lt;&gt;Courses!P182)), "Row "&amp;Courses!$A182&amp;", "&amp;AO$9&amp;", "&amp;AO$10&amp;", "&amp;AO$11&amp;"; ","")</f>
        <v/>
      </c>
      <c r="AP188" s="2120" t="str">
        <f>IF(AND($V$9=1,(TRUNC(Courses!Q182)&lt;&gt;Courses!Q182)), "Row "&amp;Courses!$A182&amp;", "&amp;AP$9&amp;", "&amp;AP$10&amp;"; ","")</f>
        <v/>
      </c>
      <c r="AQ188" s="1593" t="str">
        <f>IF(AND($V$9=1,(TRUNC(Courses!R182)&lt;&gt;Courses!R182)), "Row "&amp;Courses!$A182&amp;", "&amp;AQ$9&amp;", "&amp;AQ$10&amp;", "&amp;AQ$11&amp;"; ","")</f>
        <v/>
      </c>
      <c r="AR188" t="str">
        <f>IF(AND($V$9=1,(TRUNC(Courses!S182)&lt;&gt;Courses!S182)), "Row "&amp;Courses!$A182&amp;", "&amp;AR$9&amp;", "&amp;AR$10&amp;", "&amp;AR$11&amp;"; ","")</f>
        <v/>
      </c>
      <c r="AS188" t="str">
        <f>IF(AND($V$9=1,(TRUNC(Courses!T182)&lt;&gt;Courses!T182)), "Row "&amp;Courses!$A182&amp;", "&amp;AS$9&amp;", "&amp;AS$10&amp;", "&amp;AS$11&amp;"; ","")</f>
        <v/>
      </c>
      <c r="AT188" t="str">
        <f>IF(AND($V$9=1,(TRUNC(Courses!U182)&lt;&gt;Courses!U182)), "Row "&amp;Courses!$A182&amp;", "&amp;AT$9&amp;", "&amp;AT$10&amp;", "&amp;AT$11&amp;"; ","")</f>
        <v/>
      </c>
      <c r="AU188" s="2120" t="str">
        <f>IF(AND($V$9=1,(TRUNC(Courses!V182)&lt;&gt;Courses!V182)), "Row "&amp;Courses!$A182&amp;", "&amp;AU$9&amp;", "&amp;AU$10&amp;"; ","")</f>
        <v/>
      </c>
      <c r="AV188" t="str">
        <f>IF(AND($V$9=1,(TRUNC(Courses!W182)&lt;&gt;Courses!W182)), "Row "&amp;Courses!$A182&amp;", "&amp;AV$9&amp;", "&amp;AV$10&amp;", "&amp;AV$11&amp;"; ","")</f>
        <v/>
      </c>
      <c r="AW188" t="str">
        <f>IF(AND($V$9=1,(TRUNC(Courses!X182)&lt;&gt;Courses!X182)), "Row "&amp;Courses!$A182&amp;", "&amp;AW$9&amp;", "&amp;AW$10&amp;", "&amp;AW$11&amp;"; ","")</f>
        <v/>
      </c>
      <c r="AX188" t="str">
        <f>IF(AND($V$9=1,(TRUNC(Courses!Y182)&lt;&gt;Courses!Y182)), "Row "&amp;Courses!$A182&amp;", "&amp;AX$9&amp;", "&amp;AX$10&amp;", "&amp;AX$11&amp;"; ","")</f>
        <v/>
      </c>
      <c r="AY188" t="str">
        <f>IF(AND($V$9=1,(TRUNC(Courses!Z182)&lt;&gt;Courses!Z182)), "Row "&amp;Courses!$A182&amp;", "&amp;AY$9&amp;", "&amp;AY$10&amp;", "&amp;AY$11&amp;"; ","")</f>
        <v/>
      </c>
      <c r="AZ188" s="2120" t="str">
        <f>IF(AND($V$9=1,(TRUNC(Courses!AA182)&lt;&gt;Courses!AA182)), "Row "&amp;Courses!$A182&amp;", "&amp;AZ$9&amp;", "&amp;AZ$10&amp;"; ","")</f>
        <v/>
      </c>
      <c r="BC188" s="40">
        <v>169</v>
      </c>
      <c r="BD188" s="1593" t="str">
        <f>IF(AND($W$9=1,Courses!M182&lt;0), "Row "&amp;Courses!$A182&amp;", "&amp;BD$9&amp;", "&amp;BD$10&amp;", "&amp;BD$11&amp;"; ","")</f>
        <v/>
      </c>
      <c r="BE188" t="str">
        <f>IF(AND($W$9=1,Courses!N182&lt;0), "Row "&amp;Courses!$A182&amp;", "&amp;BE$9&amp;", "&amp;BE$10&amp;", "&amp;BE$11&amp;"; ","")</f>
        <v/>
      </c>
      <c r="BF188" t="str">
        <f>IF(AND($W$9=1,Courses!O182&lt;0), "Row "&amp;Courses!$A182&amp;", "&amp;BF$9&amp;", "&amp;BF$10&amp;", "&amp;BF$11&amp;"; ","")</f>
        <v/>
      </c>
      <c r="BG188" t="str">
        <f>IF(AND($W$9=1,Courses!P182&lt;0), "Row "&amp;Courses!$A182&amp;", "&amp;BG$9&amp;", "&amp;BG$10&amp;", "&amp;BG$11&amp;"; ","")</f>
        <v/>
      </c>
      <c r="BH188" s="2120" t="str">
        <f>IF(AND($W$9=1,Courses!Q182&lt;0), "Row "&amp;Courses!$A182&amp;", "&amp;BH$9&amp;", "&amp;BH$10&amp;"; ","")</f>
        <v/>
      </c>
      <c r="BI188" s="1593" t="str">
        <f>IF(AND($W$9=1,Courses!R182&lt;0), "Row "&amp;Courses!$A182&amp;", "&amp;BI$9&amp;", "&amp;BI$10&amp;", "&amp;BI$11&amp;"; ","")</f>
        <v/>
      </c>
      <c r="BJ188" t="str">
        <f>IF(AND($W$9=1,Courses!S182&lt;0), "Row "&amp;Courses!$A182&amp;", "&amp;BJ$9&amp;", "&amp;BJ$10&amp;", "&amp;BJ$11&amp;"; ","")</f>
        <v/>
      </c>
      <c r="BK188" t="str">
        <f>IF(AND($W$9=1,Courses!T182&lt;0), "Row "&amp;Courses!$A182&amp;", "&amp;BK$9&amp;", "&amp;BK$10&amp;", "&amp;BK$11&amp;"; ","")</f>
        <v/>
      </c>
      <c r="BL188" t="str">
        <f>IF(AND($W$9=1,Courses!U182&lt;0), "Row "&amp;Courses!$A182&amp;", "&amp;BL$9&amp;", "&amp;BL$10&amp;", "&amp;BL$11&amp;"; ","")</f>
        <v/>
      </c>
      <c r="BM188" s="2120" t="str">
        <f>IF(AND($W$9=1,Courses!V182&lt;0), "Row "&amp;Courses!$A182&amp;", "&amp;BM$9&amp;", "&amp;BM$10&amp;"; ","")</f>
        <v/>
      </c>
      <c r="BN188" t="str">
        <f>IF(AND($W$9=1,Courses!W182&lt;0), "Row "&amp;Courses!$A182&amp;", "&amp;BN$9&amp;", "&amp;BN$10&amp;", "&amp;BN$11&amp;"; ","")</f>
        <v/>
      </c>
      <c r="BO188" t="str">
        <f>IF(AND($W$9=1,Courses!X182&lt;0), "Row "&amp;Courses!$A182&amp;", "&amp;BO$9&amp;", "&amp;BO$10&amp;", "&amp;BO$11&amp;"; ","")</f>
        <v/>
      </c>
      <c r="BP188" t="str">
        <f>IF(AND($W$9=1,Courses!Y182&lt;0), "Row "&amp;Courses!$A182&amp;", "&amp;BP$9&amp;", "&amp;BP$10&amp;", "&amp;BP$11&amp;"; ","")</f>
        <v/>
      </c>
      <c r="BQ188" t="str">
        <f>IF(AND($W$9=1,Courses!Z182&lt;0), "Row "&amp;Courses!$A182&amp;", "&amp;BQ$9&amp;", "&amp;BQ$10&amp;", "&amp;BQ$11&amp;"; ","")</f>
        <v/>
      </c>
      <c r="BR188" s="2120" t="str">
        <f>IF(AND($W$9=1,Courses!AA182&lt;0), "Row "&amp;Courses!$A182&amp;", "&amp;BR$9&amp;", "&amp;BR$10&amp;"; ","")</f>
        <v/>
      </c>
      <c r="BT188" s="3">
        <f t="shared" si="5"/>
        <v>169</v>
      </c>
      <c r="BU188" s="40">
        <f>IF(AND($X$9=1,Courses!B182="",Courses!F182="",Courses!H182="",Courses!J182="",Courses!K182="",Courses!L182="",Courses!M182=0,Courses!N182=0,Courses!O182=0,Courses!P182=0,Courses!Q182=0,Courses!R182=0,Courses!S182=0,Courses!T182=0,Courses!U182=0,Courses!V182=0,Courses!W182=0,Courses!X182=0,Courses!Y182=0,Courses!Z182=0,Courses!AA182=0),0,1)</f>
        <v>0</v>
      </c>
      <c r="BV188" s="40">
        <f>IF(AND(BU188=0,SUM(BU189:$BU$219)&gt;0),1,0)</f>
        <v>0</v>
      </c>
      <c r="BW188" s="1592" t="str">
        <f>IF(BV188=1,"Row "&amp;Courses!A182&amp;"; ","")</f>
        <v/>
      </c>
      <c r="BX188" s="17"/>
      <c r="BZ188" s="1592" t="str">
        <f>IF(AND($Y$9=1,Courses!B182&lt;&gt;"",SUM(Courses!M182:AA182)=0),"Row "&amp;Courses!A182&amp;"; ","")</f>
        <v/>
      </c>
      <c r="CA188" s="17"/>
      <c r="CC188" s="1592" t="str">
        <f>IF(AND($Z$9=1,Courses!AD182=1,(LEN(Courses!AB182)&gt;200)),"Row "&amp;Courses!A182&amp;"; ","")</f>
        <v/>
      </c>
      <c r="CE188" s="131"/>
      <c r="CG188" s="1593" t="str">
        <f>IF(AND($AD$9=1,Courses!E182&lt;&gt;"",Courses!F182&lt;&gt;"",Courses!F182=0,SUM(Courses!H182,Courses!J182)=1),"Row "&amp;Courses!A182&amp;", "&amp;Courses!$F$10&amp;"; ","")</f>
        <v/>
      </c>
      <c r="CH188" t="str">
        <f>IF(AND($AD$9=1,Courses!G182&lt;&gt;"",Courses!H182&lt;&gt;"",Courses!H182=0,SUM(Courses!J182,Courses!F182)=1),"Row "&amp;Courses!A182&amp;", "&amp;Courses!$H$10&amp;"; ","")</f>
        <v/>
      </c>
      <c r="CI188" s="183" t="str">
        <f>IF(AND($AD$9=1,Courses!I182&lt;&gt;"",Courses!J182&lt;&gt;"",Courses!J182=0, SUM(Courses!H182,Courses!F182)=1),"Row "&amp;Courses!A182&amp;", "&amp;Courses!$J$10&amp;"; ","")</f>
        <v/>
      </c>
      <c r="CL188" s="1592" t="str">
        <f>IF(AND(Courses!B182&lt;&gt;"",ISNA(VLOOKUP(Courses!C182,CourseInfo,2,FALSE))=FALSE,COUNTIF(Dummy,Courses!C182)&lt;&gt;1),VLOOKUP(Courses!C182,CourseInfo,6,FALSE),"")</f>
        <v/>
      </c>
      <c r="CM188" s="1592" t="str">
        <f>IF(AND($AE$9=1,Courses!B182&lt;&gt;"",'Courses Valid'!AG188="",COUNTIF(Dummy,Courses!C182)&lt;&gt;1),IF(Courses!K182&lt;&gt;'Courses Valid'!CL188,"Row "&amp;Courses!A182&amp;", Level on LARS is "&amp;'Courses Valid'!CL188&amp;"; ",""),"")</f>
        <v/>
      </c>
      <c r="CN188" s="131"/>
    </row>
    <row r="189" spans="3:92" x14ac:dyDescent="0.35">
      <c r="C189" s="1595">
        <f t="shared" si="4"/>
        <v>0</v>
      </c>
      <c r="G189" s="1592" t="str">
        <f>IF(SUMPRODUCT(--(CourseAims=Courses!$C183))=1,"",IF(AND($N$9=1,Courses!$C183&lt;&gt;""),"Row "&amp;Courses!A183&amp;" (invalid); ",""))</f>
        <v/>
      </c>
      <c r="H189" s="1592" t="str">
        <f>IF(AND($O$9=1,Courses!B183="",OR(Courses!F183&lt;&gt;"",Courses!H183&lt;&gt;"",Courses!J183&lt;&gt;"",Courses!K183&lt;&gt;"",Courses!L183&lt;&gt;"",Courses!M183&lt;&gt;0,Courses!N183&lt;&gt;0,Courses!O183&lt;&gt;0,Courses!P183&lt;&gt;0,Courses!Q183&lt;&gt;0,Courses!R183&lt;&gt;0,Courses!S183&lt;&gt;0,Courses!T183&lt;&gt;0,Courses!U183&lt;&gt;0,Courses!V183&lt;&gt;0,Courses!W183&lt;&gt;0,Courses!X183&lt;&gt;0,Courses!Y183&lt;&gt;0,Courses!Z183&lt;&gt;0,Courses!AA183&lt;&gt;0)),"Row "&amp;Courses!A183&amp;" (none); ","")</f>
        <v/>
      </c>
      <c r="K189" s="1592" t="str">
        <f>Courses!B183&amp;Courses!K183&amp;Courses!L183</f>
        <v/>
      </c>
      <c r="L189" s="1592" t="str">
        <f>IF(AND($P$9=1,Courses!$B183&lt;&gt;"",COUNTIF(Dummy,Courses!$C183)&lt;&gt;1),IF(SUMPRODUCT(--($K$20:$K$219=$K189))&gt;1,"Row "&amp;Courses!$A183&amp;"; ",""),"")</f>
        <v/>
      </c>
      <c r="O189" s="1593" t="str">
        <f>IF(AND($Q$9=1,Courses!E183&lt;&gt;"",Courses!F183=""),"Row "&amp;Courses!A183&amp;", "&amp;Courses!$E$10&amp;"; ","")</f>
        <v/>
      </c>
      <c r="P189" t="str">
        <f>IF(AND($Q$9=1,Courses!G183&lt;&gt;"",Courses!H183=""),"Row "&amp;Courses!A183&amp;", "&amp;Courses!$G$10&amp;"; ","")</f>
        <v/>
      </c>
      <c r="Q189" s="183" t="str">
        <f>IF(AND($Q$9=1,Courses!I183&lt;&gt;"",Courses!J183=""),"Row "&amp;Courses!A183&amp;", "&amp;Courses!$I$10&amp;"; ","")</f>
        <v/>
      </c>
      <c r="U189" s="1593" t="str">
        <f>IF(AND($R$9=1,Courses!B183&lt;&gt;"",Courses!E183&lt;&gt;"",Courses!G183="",Courses!I183="",Courses!F183&lt;&gt;1),"Row "&amp;Courses!A183&amp;"; ","")</f>
        <v/>
      </c>
      <c r="V189" t="str">
        <f>IF(AND($R$9=1,Courses!B183&lt;&gt;"",Courses!I183="",Courses!F183&lt;&gt;"",Courses!G183&lt;&gt;"",Courses!H183&lt;&gt;""),IF(OR((Courses!F183+Courses!H183)&lt;&gt;1),"Row "&amp;Courses!A183&amp;"; ",""),"")</f>
        <v/>
      </c>
      <c r="W189" s="183" t="str">
        <f>IF(AND($R$9=1,Courses!B183&lt;&gt;"",Courses!I183&lt;&gt;"",Courses!J183&lt;&gt;"",Courses!H183&lt;&gt;"",Courses!G183&lt;&gt;"",Courses!F183&lt;&gt;""),IF(OR((Courses!F183+Courses!H183+Courses!J183)&lt;&gt;1),"Row "&amp;Courses!A183&amp;"; ",""),"")</f>
        <v/>
      </c>
      <c r="Y189" s="1592" t="str">
        <f>IF(AND($R$9=1,Courses!E183&lt;&gt;"",U189="",V189="",W189="",SUM(Courses!F183,Courses!H183,Courses!J183)&lt;&gt;1),"Row "&amp;Courses!A183&amp;"; ","")</f>
        <v/>
      </c>
      <c r="AB189" s="1593" t="str">
        <f>IF(AND($S$9=1,Courses!B183&lt;&gt;"",Courses!E183&lt;&gt;"",Courses!F183&lt;&gt;""),IF((TRUNC(Courses!F183*100)&lt;&gt;Courses!F183*100),"Row "&amp;Courses!A183&amp;", "&amp;Courses!$F$10&amp;"; ",""),"")</f>
        <v/>
      </c>
      <c r="AC189" t="str">
        <f>IF(AND($S$9=1,Courses!B183&lt;&gt;"",Courses!G183&lt;&gt;"",Courses!H183&lt;&gt;""),IF((TRUNC(Courses!H183*100)&lt;&gt;Courses!H183*100),"Row "&amp;Courses!A183&amp;", "&amp;Courses!$H$10&amp;"; ",""),"")</f>
        <v/>
      </c>
      <c r="AD189" s="183" t="str">
        <f>IF(AND($S$9=1,Courses!B183&lt;&gt;"",Courses!I183&lt;&gt;"",Courses!J183&lt;&gt;""),IF((TRUNC(Courses!J183*100)&lt;&gt;Courses!J183*100),"Row "&amp;Courses!A183&amp;", "&amp;Courses!$J$10&amp;"; ",""),"")</f>
        <v/>
      </c>
      <c r="AG189" s="1593" t="str">
        <f>IF(AND($T$9=1,G189="",Courses!B183&lt;&gt;"",Courses!K183&lt;&gt;$B$9,Courses!K183&lt;&gt;$B$10,Courses!K183&lt;&gt;$B$11,Courses!K183&lt;&gt;$B$12,Courses!K183&lt;&gt;$B$13,Courses!K183&lt;&gt;$B$14),"Row "&amp;Courses!A183&amp;"; ","")</f>
        <v/>
      </c>
      <c r="AH189" s="183" t="str">
        <f>IF(AND($U$9=1,G189="",Courses!B183&lt;&gt;"",Courses!L183&lt;&gt;"Standard",Courses!L183&lt;&gt;"Long"),"Row "&amp;Courses!A183&amp;"; ","")</f>
        <v/>
      </c>
      <c r="AK189" s="40">
        <v>170</v>
      </c>
      <c r="AL189" s="1593" t="str">
        <f>IF(AND($V$9=1,(TRUNC(Courses!M183)&lt;&gt;Courses!M183)), "Row "&amp;Courses!$A183&amp;", "&amp;AL$9&amp;", "&amp;AL$10&amp;", "&amp;AL$11&amp;"; ","")</f>
        <v/>
      </c>
      <c r="AM189" t="str">
        <f>IF(AND($V$9=1,(TRUNC(Courses!N183)&lt;&gt;Courses!N183)), "Row "&amp;Courses!$A183&amp;", "&amp;AM$9&amp;", "&amp;AM$10&amp;", "&amp;AM$11&amp;"; ","")</f>
        <v/>
      </c>
      <c r="AN189" t="str">
        <f>IF(AND($V$9=1,(TRUNC(Courses!O183)&lt;&gt;Courses!O183)), "Row "&amp;Courses!$A183&amp;", "&amp;AN$9&amp;", "&amp;AN$10&amp;", "&amp;AN$11&amp;"; ","")</f>
        <v/>
      </c>
      <c r="AO189" t="str">
        <f>IF(AND($V$9=1,(TRUNC(Courses!P183)&lt;&gt;Courses!P183)), "Row "&amp;Courses!$A183&amp;", "&amp;AO$9&amp;", "&amp;AO$10&amp;", "&amp;AO$11&amp;"; ","")</f>
        <v/>
      </c>
      <c r="AP189" s="2120" t="str">
        <f>IF(AND($V$9=1,(TRUNC(Courses!Q183)&lt;&gt;Courses!Q183)), "Row "&amp;Courses!$A183&amp;", "&amp;AP$9&amp;", "&amp;AP$10&amp;"; ","")</f>
        <v/>
      </c>
      <c r="AQ189" s="1593" t="str">
        <f>IF(AND($V$9=1,(TRUNC(Courses!R183)&lt;&gt;Courses!R183)), "Row "&amp;Courses!$A183&amp;", "&amp;AQ$9&amp;", "&amp;AQ$10&amp;", "&amp;AQ$11&amp;"; ","")</f>
        <v/>
      </c>
      <c r="AR189" t="str">
        <f>IF(AND($V$9=1,(TRUNC(Courses!S183)&lt;&gt;Courses!S183)), "Row "&amp;Courses!$A183&amp;", "&amp;AR$9&amp;", "&amp;AR$10&amp;", "&amp;AR$11&amp;"; ","")</f>
        <v/>
      </c>
      <c r="AS189" t="str">
        <f>IF(AND($V$9=1,(TRUNC(Courses!T183)&lt;&gt;Courses!T183)), "Row "&amp;Courses!$A183&amp;", "&amp;AS$9&amp;", "&amp;AS$10&amp;", "&amp;AS$11&amp;"; ","")</f>
        <v/>
      </c>
      <c r="AT189" t="str">
        <f>IF(AND($V$9=1,(TRUNC(Courses!U183)&lt;&gt;Courses!U183)), "Row "&amp;Courses!$A183&amp;", "&amp;AT$9&amp;", "&amp;AT$10&amp;", "&amp;AT$11&amp;"; ","")</f>
        <v/>
      </c>
      <c r="AU189" s="2120" t="str">
        <f>IF(AND($V$9=1,(TRUNC(Courses!V183)&lt;&gt;Courses!V183)), "Row "&amp;Courses!$A183&amp;", "&amp;AU$9&amp;", "&amp;AU$10&amp;"; ","")</f>
        <v/>
      </c>
      <c r="AV189" t="str">
        <f>IF(AND($V$9=1,(TRUNC(Courses!W183)&lt;&gt;Courses!W183)), "Row "&amp;Courses!$A183&amp;", "&amp;AV$9&amp;", "&amp;AV$10&amp;", "&amp;AV$11&amp;"; ","")</f>
        <v/>
      </c>
      <c r="AW189" t="str">
        <f>IF(AND($V$9=1,(TRUNC(Courses!X183)&lt;&gt;Courses!X183)), "Row "&amp;Courses!$A183&amp;", "&amp;AW$9&amp;", "&amp;AW$10&amp;", "&amp;AW$11&amp;"; ","")</f>
        <v/>
      </c>
      <c r="AX189" t="str">
        <f>IF(AND($V$9=1,(TRUNC(Courses!Y183)&lt;&gt;Courses!Y183)), "Row "&amp;Courses!$A183&amp;", "&amp;AX$9&amp;", "&amp;AX$10&amp;", "&amp;AX$11&amp;"; ","")</f>
        <v/>
      </c>
      <c r="AY189" t="str">
        <f>IF(AND($V$9=1,(TRUNC(Courses!Z183)&lt;&gt;Courses!Z183)), "Row "&amp;Courses!$A183&amp;", "&amp;AY$9&amp;", "&amp;AY$10&amp;", "&amp;AY$11&amp;"; ","")</f>
        <v/>
      </c>
      <c r="AZ189" s="2120" t="str">
        <f>IF(AND($V$9=1,(TRUNC(Courses!AA183)&lt;&gt;Courses!AA183)), "Row "&amp;Courses!$A183&amp;", "&amp;AZ$9&amp;", "&amp;AZ$10&amp;"; ","")</f>
        <v/>
      </c>
      <c r="BC189" s="40">
        <v>170</v>
      </c>
      <c r="BD189" s="1593" t="str">
        <f>IF(AND($W$9=1,Courses!M183&lt;0), "Row "&amp;Courses!$A183&amp;", "&amp;BD$9&amp;", "&amp;BD$10&amp;", "&amp;BD$11&amp;"; ","")</f>
        <v/>
      </c>
      <c r="BE189" t="str">
        <f>IF(AND($W$9=1,Courses!N183&lt;0), "Row "&amp;Courses!$A183&amp;", "&amp;BE$9&amp;", "&amp;BE$10&amp;", "&amp;BE$11&amp;"; ","")</f>
        <v/>
      </c>
      <c r="BF189" t="str">
        <f>IF(AND($W$9=1,Courses!O183&lt;0), "Row "&amp;Courses!$A183&amp;", "&amp;BF$9&amp;", "&amp;BF$10&amp;", "&amp;BF$11&amp;"; ","")</f>
        <v/>
      </c>
      <c r="BG189" t="str">
        <f>IF(AND($W$9=1,Courses!P183&lt;0), "Row "&amp;Courses!$A183&amp;", "&amp;BG$9&amp;", "&amp;BG$10&amp;", "&amp;BG$11&amp;"; ","")</f>
        <v/>
      </c>
      <c r="BH189" s="2120" t="str">
        <f>IF(AND($W$9=1,Courses!Q183&lt;0), "Row "&amp;Courses!$A183&amp;", "&amp;BH$9&amp;", "&amp;BH$10&amp;"; ","")</f>
        <v/>
      </c>
      <c r="BI189" s="1593" t="str">
        <f>IF(AND($W$9=1,Courses!R183&lt;0), "Row "&amp;Courses!$A183&amp;", "&amp;BI$9&amp;", "&amp;BI$10&amp;", "&amp;BI$11&amp;"; ","")</f>
        <v/>
      </c>
      <c r="BJ189" t="str">
        <f>IF(AND($W$9=1,Courses!S183&lt;0), "Row "&amp;Courses!$A183&amp;", "&amp;BJ$9&amp;", "&amp;BJ$10&amp;", "&amp;BJ$11&amp;"; ","")</f>
        <v/>
      </c>
      <c r="BK189" t="str">
        <f>IF(AND($W$9=1,Courses!T183&lt;0), "Row "&amp;Courses!$A183&amp;", "&amp;BK$9&amp;", "&amp;BK$10&amp;", "&amp;BK$11&amp;"; ","")</f>
        <v/>
      </c>
      <c r="BL189" t="str">
        <f>IF(AND($W$9=1,Courses!U183&lt;0), "Row "&amp;Courses!$A183&amp;", "&amp;BL$9&amp;", "&amp;BL$10&amp;", "&amp;BL$11&amp;"; ","")</f>
        <v/>
      </c>
      <c r="BM189" s="2120" t="str">
        <f>IF(AND($W$9=1,Courses!V183&lt;0), "Row "&amp;Courses!$A183&amp;", "&amp;BM$9&amp;", "&amp;BM$10&amp;"; ","")</f>
        <v/>
      </c>
      <c r="BN189" t="str">
        <f>IF(AND($W$9=1,Courses!W183&lt;0), "Row "&amp;Courses!$A183&amp;", "&amp;BN$9&amp;", "&amp;BN$10&amp;", "&amp;BN$11&amp;"; ","")</f>
        <v/>
      </c>
      <c r="BO189" t="str">
        <f>IF(AND($W$9=1,Courses!X183&lt;0), "Row "&amp;Courses!$A183&amp;", "&amp;BO$9&amp;", "&amp;BO$10&amp;", "&amp;BO$11&amp;"; ","")</f>
        <v/>
      </c>
      <c r="BP189" t="str">
        <f>IF(AND($W$9=1,Courses!Y183&lt;0), "Row "&amp;Courses!$A183&amp;", "&amp;BP$9&amp;", "&amp;BP$10&amp;", "&amp;BP$11&amp;"; ","")</f>
        <v/>
      </c>
      <c r="BQ189" t="str">
        <f>IF(AND($W$9=1,Courses!Z183&lt;0), "Row "&amp;Courses!$A183&amp;", "&amp;BQ$9&amp;", "&amp;BQ$10&amp;", "&amp;BQ$11&amp;"; ","")</f>
        <v/>
      </c>
      <c r="BR189" s="2120" t="str">
        <f>IF(AND($W$9=1,Courses!AA183&lt;0), "Row "&amp;Courses!$A183&amp;", "&amp;BR$9&amp;", "&amp;BR$10&amp;"; ","")</f>
        <v/>
      </c>
      <c r="BT189" s="3">
        <f t="shared" si="5"/>
        <v>170</v>
      </c>
      <c r="BU189" s="40">
        <f>IF(AND($X$9=1,Courses!B183="",Courses!F183="",Courses!H183="",Courses!J183="",Courses!K183="",Courses!L183="",Courses!M183=0,Courses!N183=0,Courses!O183=0,Courses!P183=0,Courses!Q183=0,Courses!R183=0,Courses!S183=0,Courses!T183=0,Courses!U183=0,Courses!V183=0,Courses!W183=0,Courses!X183=0,Courses!Y183=0,Courses!Z183=0,Courses!AA183=0),0,1)</f>
        <v>0</v>
      </c>
      <c r="BV189" s="40">
        <f>IF(AND(BU189=0,SUM(BU190:$BU$219)&gt;0),1,0)</f>
        <v>0</v>
      </c>
      <c r="BW189" s="1592" t="str">
        <f>IF(BV189=1,"Row "&amp;Courses!A183&amp;"; ","")</f>
        <v/>
      </c>
      <c r="BX189" s="17"/>
      <c r="BZ189" s="1592" t="str">
        <f>IF(AND($Y$9=1,Courses!B183&lt;&gt;"",SUM(Courses!M183:AA183)=0),"Row "&amp;Courses!A183&amp;"; ","")</f>
        <v/>
      </c>
      <c r="CA189" s="17"/>
      <c r="CC189" s="1592" t="str">
        <f>IF(AND($Z$9=1,Courses!AD183=1,(LEN(Courses!AB183)&gt;200)),"Row "&amp;Courses!A183&amp;"; ","")</f>
        <v/>
      </c>
      <c r="CE189" s="131"/>
      <c r="CG189" s="1593" t="str">
        <f>IF(AND($AD$9=1,Courses!E183&lt;&gt;"",Courses!F183&lt;&gt;"",Courses!F183=0,SUM(Courses!H183,Courses!J183)=1),"Row "&amp;Courses!A183&amp;", "&amp;Courses!$F$10&amp;"; ","")</f>
        <v/>
      </c>
      <c r="CH189" t="str">
        <f>IF(AND($AD$9=1,Courses!G183&lt;&gt;"",Courses!H183&lt;&gt;"",Courses!H183=0,SUM(Courses!J183,Courses!F183)=1),"Row "&amp;Courses!A183&amp;", "&amp;Courses!$H$10&amp;"; ","")</f>
        <v/>
      </c>
      <c r="CI189" s="183" t="str">
        <f>IF(AND($AD$9=1,Courses!I183&lt;&gt;"",Courses!J183&lt;&gt;"",Courses!J183=0, SUM(Courses!H183,Courses!F183)=1),"Row "&amp;Courses!A183&amp;", "&amp;Courses!$J$10&amp;"; ","")</f>
        <v/>
      </c>
      <c r="CL189" s="1592" t="str">
        <f>IF(AND(Courses!B183&lt;&gt;"",ISNA(VLOOKUP(Courses!C183,CourseInfo,2,FALSE))=FALSE,COUNTIF(Dummy,Courses!C183)&lt;&gt;1),VLOOKUP(Courses!C183,CourseInfo,6,FALSE),"")</f>
        <v/>
      </c>
      <c r="CM189" s="1592" t="str">
        <f>IF(AND($AE$9=1,Courses!B183&lt;&gt;"",'Courses Valid'!AG189="",COUNTIF(Dummy,Courses!C183)&lt;&gt;1),IF(Courses!K183&lt;&gt;'Courses Valid'!CL189,"Row "&amp;Courses!A183&amp;", Level on LARS is "&amp;'Courses Valid'!CL189&amp;"; ",""),"")</f>
        <v/>
      </c>
      <c r="CN189" s="131"/>
    </row>
    <row r="190" spans="3:92" x14ac:dyDescent="0.35">
      <c r="C190" s="1595">
        <f t="shared" si="4"/>
        <v>0</v>
      </c>
      <c r="G190" s="1592" t="str">
        <f>IF(SUMPRODUCT(--(CourseAims=Courses!$C184))=1,"",IF(AND($N$9=1,Courses!$C184&lt;&gt;""),"Row "&amp;Courses!A184&amp;" (invalid); ",""))</f>
        <v/>
      </c>
      <c r="H190" s="1592" t="str">
        <f>IF(AND($O$9=1,Courses!B184="",OR(Courses!F184&lt;&gt;"",Courses!H184&lt;&gt;"",Courses!J184&lt;&gt;"",Courses!K184&lt;&gt;"",Courses!L184&lt;&gt;"",Courses!M184&lt;&gt;0,Courses!N184&lt;&gt;0,Courses!O184&lt;&gt;0,Courses!P184&lt;&gt;0,Courses!Q184&lt;&gt;0,Courses!R184&lt;&gt;0,Courses!S184&lt;&gt;0,Courses!T184&lt;&gt;0,Courses!U184&lt;&gt;0,Courses!V184&lt;&gt;0,Courses!W184&lt;&gt;0,Courses!X184&lt;&gt;0,Courses!Y184&lt;&gt;0,Courses!Z184&lt;&gt;0,Courses!AA184&lt;&gt;0)),"Row "&amp;Courses!A184&amp;" (none); ","")</f>
        <v/>
      </c>
      <c r="K190" s="1592" t="str">
        <f>Courses!B184&amp;Courses!K184&amp;Courses!L184</f>
        <v/>
      </c>
      <c r="L190" s="1592" t="str">
        <f>IF(AND($P$9=1,Courses!$B184&lt;&gt;"",COUNTIF(Dummy,Courses!$C184)&lt;&gt;1),IF(SUMPRODUCT(--($K$20:$K$219=$K190))&gt;1,"Row "&amp;Courses!$A184&amp;"; ",""),"")</f>
        <v/>
      </c>
      <c r="O190" s="1593" t="str">
        <f>IF(AND($Q$9=1,Courses!E184&lt;&gt;"",Courses!F184=""),"Row "&amp;Courses!A184&amp;", "&amp;Courses!$E$10&amp;"; ","")</f>
        <v/>
      </c>
      <c r="P190" t="str">
        <f>IF(AND($Q$9=1,Courses!G184&lt;&gt;"",Courses!H184=""),"Row "&amp;Courses!A184&amp;", "&amp;Courses!$G$10&amp;"; ","")</f>
        <v/>
      </c>
      <c r="Q190" s="183" t="str">
        <f>IF(AND($Q$9=1,Courses!I184&lt;&gt;"",Courses!J184=""),"Row "&amp;Courses!A184&amp;", "&amp;Courses!$I$10&amp;"; ","")</f>
        <v/>
      </c>
      <c r="U190" s="1593" t="str">
        <f>IF(AND($R$9=1,Courses!B184&lt;&gt;"",Courses!E184&lt;&gt;"",Courses!G184="",Courses!I184="",Courses!F184&lt;&gt;1),"Row "&amp;Courses!A184&amp;"; ","")</f>
        <v/>
      </c>
      <c r="V190" t="str">
        <f>IF(AND($R$9=1,Courses!B184&lt;&gt;"",Courses!I184="",Courses!F184&lt;&gt;"",Courses!G184&lt;&gt;"",Courses!H184&lt;&gt;""),IF(OR((Courses!F184+Courses!H184)&lt;&gt;1),"Row "&amp;Courses!A184&amp;"; ",""),"")</f>
        <v/>
      </c>
      <c r="W190" s="183" t="str">
        <f>IF(AND($R$9=1,Courses!B184&lt;&gt;"",Courses!I184&lt;&gt;"",Courses!J184&lt;&gt;"",Courses!H184&lt;&gt;"",Courses!G184&lt;&gt;"",Courses!F184&lt;&gt;""),IF(OR((Courses!F184+Courses!H184+Courses!J184)&lt;&gt;1),"Row "&amp;Courses!A184&amp;"; ",""),"")</f>
        <v/>
      </c>
      <c r="Y190" s="1592" t="str">
        <f>IF(AND($R$9=1,Courses!E184&lt;&gt;"",U190="",V190="",W190="",SUM(Courses!F184,Courses!H184,Courses!J184)&lt;&gt;1),"Row "&amp;Courses!A184&amp;"; ","")</f>
        <v/>
      </c>
      <c r="AB190" s="1593" t="str">
        <f>IF(AND($S$9=1,Courses!B184&lt;&gt;"",Courses!E184&lt;&gt;"",Courses!F184&lt;&gt;""),IF((TRUNC(Courses!F184*100)&lt;&gt;Courses!F184*100),"Row "&amp;Courses!A184&amp;", "&amp;Courses!$F$10&amp;"; ",""),"")</f>
        <v/>
      </c>
      <c r="AC190" t="str">
        <f>IF(AND($S$9=1,Courses!B184&lt;&gt;"",Courses!G184&lt;&gt;"",Courses!H184&lt;&gt;""),IF((TRUNC(Courses!H184*100)&lt;&gt;Courses!H184*100),"Row "&amp;Courses!A184&amp;", "&amp;Courses!$H$10&amp;"; ",""),"")</f>
        <v/>
      </c>
      <c r="AD190" s="183" t="str">
        <f>IF(AND($S$9=1,Courses!B184&lt;&gt;"",Courses!I184&lt;&gt;"",Courses!J184&lt;&gt;""),IF((TRUNC(Courses!J184*100)&lt;&gt;Courses!J184*100),"Row "&amp;Courses!A184&amp;", "&amp;Courses!$J$10&amp;"; ",""),"")</f>
        <v/>
      </c>
      <c r="AG190" s="1593" t="str">
        <f>IF(AND($T$9=1,G190="",Courses!B184&lt;&gt;"",Courses!K184&lt;&gt;$B$9,Courses!K184&lt;&gt;$B$10,Courses!K184&lt;&gt;$B$11,Courses!K184&lt;&gt;$B$12,Courses!K184&lt;&gt;$B$13,Courses!K184&lt;&gt;$B$14),"Row "&amp;Courses!A184&amp;"; ","")</f>
        <v/>
      </c>
      <c r="AH190" s="183" t="str">
        <f>IF(AND($U$9=1,G190="",Courses!B184&lt;&gt;"",Courses!L184&lt;&gt;"Standard",Courses!L184&lt;&gt;"Long"),"Row "&amp;Courses!A184&amp;"; ","")</f>
        <v/>
      </c>
      <c r="AK190" s="40">
        <v>171</v>
      </c>
      <c r="AL190" s="1593" t="str">
        <f>IF(AND($V$9=1,(TRUNC(Courses!M184)&lt;&gt;Courses!M184)), "Row "&amp;Courses!$A184&amp;", "&amp;AL$9&amp;", "&amp;AL$10&amp;", "&amp;AL$11&amp;"; ","")</f>
        <v/>
      </c>
      <c r="AM190" t="str">
        <f>IF(AND($V$9=1,(TRUNC(Courses!N184)&lt;&gt;Courses!N184)), "Row "&amp;Courses!$A184&amp;", "&amp;AM$9&amp;", "&amp;AM$10&amp;", "&amp;AM$11&amp;"; ","")</f>
        <v/>
      </c>
      <c r="AN190" t="str">
        <f>IF(AND($V$9=1,(TRUNC(Courses!O184)&lt;&gt;Courses!O184)), "Row "&amp;Courses!$A184&amp;", "&amp;AN$9&amp;", "&amp;AN$10&amp;", "&amp;AN$11&amp;"; ","")</f>
        <v/>
      </c>
      <c r="AO190" t="str">
        <f>IF(AND($V$9=1,(TRUNC(Courses!P184)&lt;&gt;Courses!P184)), "Row "&amp;Courses!$A184&amp;", "&amp;AO$9&amp;", "&amp;AO$10&amp;", "&amp;AO$11&amp;"; ","")</f>
        <v/>
      </c>
      <c r="AP190" s="2120" t="str">
        <f>IF(AND($V$9=1,(TRUNC(Courses!Q184)&lt;&gt;Courses!Q184)), "Row "&amp;Courses!$A184&amp;", "&amp;AP$9&amp;", "&amp;AP$10&amp;"; ","")</f>
        <v/>
      </c>
      <c r="AQ190" s="1593" t="str">
        <f>IF(AND($V$9=1,(TRUNC(Courses!R184)&lt;&gt;Courses!R184)), "Row "&amp;Courses!$A184&amp;", "&amp;AQ$9&amp;", "&amp;AQ$10&amp;", "&amp;AQ$11&amp;"; ","")</f>
        <v/>
      </c>
      <c r="AR190" t="str">
        <f>IF(AND($V$9=1,(TRUNC(Courses!S184)&lt;&gt;Courses!S184)), "Row "&amp;Courses!$A184&amp;", "&amp;AR$9&amp;", "&amp;AR$10&amp;", "&amp;AR$11&amp;"; ","")</f>
        <v/>
      </c>
      <c r="AS190" t="str">
        <f>IF(AND($V$9=1,(TRUNC(Courses!T184)&lt;&gt;Courses!T184)), "Row "&amp;Courses!$A184&amp;", "&amp;AS$9&amp;", "&amp;AS$10&amp;", "&amp;AS$11&amp;"; ","")</f>
        <v/>
      </c>
      <c r="AT190" t="str">
        <f>IF(AND($V$9=1,(TRUNC(Courses!U184)&lt;&gt;Courses!U184)), "Row "&amp;Courses!$A184&amp;", "&amp;AT$9&amp;", "&amp;AT$10&amp;", "&amp;AT$11&amp;"; ","")</f>
        <v/>
      </c>
      <c r="AU190" s="2120" t="str">
        <f>IF(AND($V$9=1,(TRUNC(Courses!V184)&lt;&gt;Courses!V184)), "Row "&amp;Courses!$A184&amp;", "&amp;AU$9&amp;", "&amp;AU$10&amp;"; ","")</f>
        <v/>
      </c>
      <c r="AV190" t="str">
        <f>IF(AND($V$9=1,(TRUNC(Courses!W184)&lt;&gt;Courses!W184)), "Row "&amp;Courses!$A184&amp;", "&amp;AV$9&amp;", "&amp;AV$10&amp;", "&amp;AV$11&amp;"; ","")</f>
        <v/>
      </c>
      <c r="AW190" t="str">
        <f>IF(AND($V$9=1,(TRUNC(Courses!X184)&lt;&gt;Courses!X184)), "Row "&amp;Courses!$A184&amp;", "&amp;AW$9&amp;", "&amp;AW$10&amp;", "&amp;AW$11&amp;"; ","")</f>
        <v/>
      </c>
      <c r="AX190" t="str">
        <f>IF(AND($V$9=1,(TRUNC(Courses!Y184)&lt;&gt;Courses!Y184)), "Row "&amp;Courses!$A184&amp;", "&amp;AX$9&amp;", "&amp;AX$10&amp;", "&amp;AX$11&amp;"; ","")</f>
        <v/>
      </c>
      <c r="AY190" t="str">
        <f>IF(AND($V$9=1,(TRUNC(Courses!Z184)&lt;&gt;Courses!Z184)), "Row "&amp;Courses!$A184&amp;", "&amp;AY$9&amp;", "&amp;AY$10&amp;", "&amp;AY$11&amp;"; ","")</f>
        <v/>
      </c>
      <c r="AZ190" s="2120" t="str">
        <f>IF(AND($V$9=1,(TRUNC(Courses!AA184)&lt;&gt;Courses!AA184)), "Row "&amp;Courses!$A184&amp;", "&amp;AZ$9&amp;", "&amp;AZ$10&amp;"; ","")</f>
        <v/>
      </c>
      <c r="BC190" s="40">
        <v>171</v>
      </c>
      <c r="BD190" s="1593" t="str">
        <f>IF(AND($W$9=1,Courses!M184&lt;0), "Row "&amp;Courses!$A184&amp;", "&amp;BD$9&amp;", "&amp;BD$10&amp;", "&amp;BD$11&amp;"; ","")</f>
        <v/>
      </c>
      <c r="BE190" t="str">
        <f>IF(AND($W$9=1,Courses!N184&lt;0), "Row "&amp;Courses!$A184&amp;", "&amp;BE$9&amp;", "&amp;BE$10&amp;", "&amp;BE$11&amp;"; ","")</f>
        <v/>
      </c>
      <c r="BF190" t="str">
        <f>IF(AND($W$9=1,Courses!O184&lt;0), "Row "&amp;Courses!$A184&amp;", "&amp;BF$9&amp;", "&amp;BF$10&amp;", "&amp;BF$11&amp;"; ","")</f>
        <v/>
      </c>
      <c r="BG190" t="str">
        <f>IF(AND($W$9=1,Courses!P184&lt;0), "Row "&amp;Courses!$A184&amp;", "&amp;BG$9&amp;", "&amp;BG$10&amp;", "&amp;BG$11&amp;"; ","")</f>
        <v/>
      </c>
      <c r="BH190" s="2120" t="str">
        <f>IF(AND($W$9=1,Courses!Q184&lt;0), "Row "&amp;Courses!$A184&amp;", "&amp;BH$9&amp;", "&amp;BH$10&amp;"; ","")</f>
        <v/>
      </c>
      <c r="BI190" s="1593" t="str">
        <f>IF(AND($W$9=1,Courses!R184&lt;0), "Row "&amp;Courses!$A184&amp;", "&amp;BI$9&amp;", "&amp;BI$10&amp;", "&amp;BI$11&amp;"; ","")</f>
        <v/>
      </c>
      <c r="BJ190" t="str">
        <f>IF(AND($W$9=1,Courses!S184&lt;0), "Row "&amp;Courses!$A184&amp;", "&amp;BJ$9&amp;", "&amp;BJ$10&amp;", "&amp;BJ$11&amp;"; ","")</f>
        <v/>
      </c>
      <c r="BK190" t="str">
        <f>IF(AND($W$9=1,Courses!T184&lt;0), "Row "&amp;Courses!$A184&amp;", "&amp;BK$9&amp;", "&amp;BK$10&amp;", "&amp;BK$11&amp;"; ","")</f>
        <v/>
      </c>
      <c r="BL190" t="str">
        <f>IF(AND($W$9=1,Courses!U184&lt;0), "Row "&amp;Courses!$A184&amp;", "&amp;BL$9&amp;", "&amp;BL$10&amp;", "&amp;BL$11&amp;"; ","")</f>
        <v/>
      </c>
      <c r="BM190" s="2120" t="str">
        <f>IF(AND($W$9=1,Courses!V184&lt;0), "Row "&amp;Courses!$A184&amp;", "&amp;BM$9&amp;", "&amp;BM$10&amp;"; ","")</f>
        <v/>
      </c>
      <c r="BN190" t="str">
        <f>IF(AND($W$9=1,Courses!W184&lt;0), "Row "&amp;Courses!$A184&amp;", "&amp;BN$9&amp;", "&amp;BN$10&amp;", "&amp;BN$11&amp;"; ","")</f>
        <v/>
      </c>
      <c r="BO190" t="str">
        <f>IF(AND($W$9=1,Courses!X184&lt;0), "Row "&amp;Courses!$A184&amp;", "&amp;BO$9&amp;", "&amp;BO$10&amp;", "&amp;BO$11&amp;"; ","")</f>
        <v/>
      </c>
      <c r="BP190" t="str">
        <f>IF(AND($W$9=1,Courses!Y184&lt;0), "Row "&amp;Courses!$A184&amp;", "&amp;BP$9&amp;", "&amp;BP$10&amp;", "&amp;BP$11&amp;"; ","")</f>
        <v/>
      </c>
      <c r="BQ190" t="str">
        <f>IF(AND($W$9=1,Courses!Z184&lt;0), "Row "&amp;Courses!$A184&amp;", "&amp;BQ$9&amp;", "&amp;BQ$10&amp;", "&amp;BQ$11&amp;"; ","")</f>
        <v/>
      </c>
      <c r="BR190" s="2120" t="str">
        <f>IF(AND($W$9=1,Courses!AA184&lt;0), "Row "&amp;Courses!$A184&amp;", "&amp;BR$9&amp;", "&amp;BR$10&amp;"; ","")</f>
        <v/>
      </c>
      <c r="BT190" s="3">
        <f t="shared" si="5"/>
        <v>171</v>
      </c>
      <c r="BU190" s="40">
        <f>IF(AND($X$9=1,Courses!B184="",Courses!F184="",Courses!H184="",Courses!J184="",Courses!K184="",Courses!L184="",Courses!M184=0,Courses!N184=0,Courses!O184=0,Courses!P184=0,Courses!Q184=0,Courses!R184=0,Courses!S184=0,Courses!T184=0,Courses!U184=0,Courses!V184=0,Courses!W184=0,Courses!X184=0,Courses!Y184=0,Courses!Z184=0,Courses!AA184=0),0,1)</f>
        <v>0</v>
      </c>
      <c r="BV190" s="40">
        <f>IF(AND(BU190=0,SUM(BU191:$BU$219)&gt;0),1,0)</f>
        <v>0</v>
      </c>
      <c r="BW190" s="1592" t="str">
        <f>IF(BV190=1,"Row "&amp;Courses!A184&amp;"; ","")</f>
        <v/>
      </c>
      <c r="BX190" s="17"/>
      <c r="BZ190" s="1592" t="str">
        <f>IF(AND($Y$9=1,Courses!B184&lt;&gt;"",SUM(Courses!M184:AA184)=0),"Row "&amp;Courses!A184&amp;"; ","")</f>
        <v/>
      </c>
      <c r="CA190" s="17"/>
      <c r="CC190" s="1592" t="str">
        <f>IF(AND($Z$9=1,Courses!AD184=1,(LEN(Courses!AB184)&gt;200)),"Row "&amp;Courses!A184&amp;"; ","")</f>
        <v/>
      </c>
      <c r="CE190" s="131"/>
      <c r="CG190" s="1593" t="str">
        <f>IF(AND($AD$9=1,Courses!E184&lt;&gt;"",Courses!F184&lt;&gt;"",Courses!F184=0,SUM(Courses!H184,Courses!J184)=1),"Row "&amp;Courses!A184&amp;", "&amp;Courses!$F$10&amp;"; ","")</f>
        <v/>
      </c>
      <c r="CH190" t="str">
        <f>IF(AND($AD$9=1,Courses!G184&lt;&gt;"",Courses!H184&lt;&gt;"",Courses!H184=0,SUM(Courses!J184,Courses!F184)=1),"Row "&amp;Courses!A184&amp;", "&amp;Courses!$H$10&amp;"; ","")</f>
        <v/>
      </c>
      <c r="CI190" s="183" t="str">
        <f>IF(AND($AD$9=1,Courses!I184&lt;&gt;"",Courses!J184&lt;&gt;"",Courses!J184=0, SUM(Courses!H184,Courses!F184)=1),"Row "&amp;Courses!A184&amp;", "&amp;Courses!$J$10&amp;"; ","")</f>
        <v/>
      </c>
      <c r="CL190" s="1592" t="str">
        <f>IF(AND(Courses!B184&lt;&gt;"",ISNA(VLOOKUP(Courses!C184,CourseInfo,2,FALSE))=FALSE,COUNTIF(Dummy,Courses!C184)&lt;&gt;1),VLOOKUP(Courses!C184,CourseInfo,6,FALSE),"")</f>
        <v/>
      </c>
      <c r="CM190" s="1592" t="str">
        <f>IF(AND($AE$9=1,Courses!B184&lt;&gt;"",'Courses Valid'!AG190="",COUNTIF(Dummy,Courses!C184)&lt;&gt;1),IF(Courses!K184&lt;&gt;'Courses Valid'!CL190,"Row "&amp;Courses!A184&amp;", Level on LARS is "&amp;'Courses Valid'!CL190&amp;"; ",""),"")</f>
        <v/>
      </c>
      <c r="CN190" s="131"/>
    </row>
    <row r="191" spans="3:92" x14ac:dyDescent="0.35">
      <c r="C191" s="1595">
        <f t="shared" si="4"/>
        <v>0</v>
      </c>
      <c r="G191" s="1592" t="str">
        <f>IF(SUMPRODUCT(--(CourseAims=Courses!$C185))=1,"",IF(AND($N$9=1,Courses!$C185&lt;&gt;""),"Row "&amp;Courses!A185&amp;" (invalid); ",""))</f>
        <v/>
      </c>
      <c r="H191" s="1592" t="str">
        <f>IF(AND($O$9=1,Courses!B185="",OR(Courses!F185&lt;&gt;"",Courses!H185&lt;&gt;"",Courses!J185&lt;&gt;"",Courses!K185&lt;&gt;"",Courses!L185&lt;&gt;"",Courses!M185&lt;&gt;0,Courses!N185&lt;&gt;0,Courses!O185&lt;&gt;0,Courses!P185&lt;&gt;0,Courses!Q185&lt;&gt;0,Courses!R185&lt;&gt;0,Courses!S185&lt;&gt;0,Courses!T185&lt;&gt;0,Courses!U185&lt;&gt;0,Courses!V185&lt;&gt;0,Courses!W185&lt;&gt;0,Courses!X185&lt;&gt;0,Courses!Y185&lt;&gt;0,Courses!Z185&lt;&gt;0,Courses!AA185&lt;&gt;0)),"Row "&amp;Courses!A185&amp;" (none); ","")</f>
        <v/>
      </c>
      <c r="K191" s="1592" t="str">
        <f>Courses!B185&amp;Courses!K185&amp;Courses!L185</f>
        <v/>
      </c>
      <c r="L191" s="1592" t="str">
        <f>IF(AND($P$9=1,Courses!$B185&lt;&gt;"",COUNTIF(Dummy,Courses!$C185)&lt;&gt;1),IF(SUMPRODUCT(--($K$20:$K$219=$K191))&gt;1,"Row "&amp;Courses!$A185&amp;"; ",""),"")</f>
        <v/>
      </c>
      <c r="O191" s="1593" t="str">
        <f>IF(AND($Q$9=1,Courses!E185&lt;&gt;"",Courses!F185=""),"Row "&amp;Courses!A185&amp;", "&amp;Courses!$E$10&amp;"; ","")</f>
        <v/>
      </c>
      <c r="P191" t="str">
        <f>IF(AND($Q$9=1,Courses!G185&lt;&gt;"",Courses!H185=""),"Row "&amp;Courses!A185&amp;", "&amp;Courses!$G$10&amp;"; ","")</f>
        <v/>
      </c>
      <c r="Q191" s="183" t="str">
        <f>IF(AND($Q$9=1,Courses!I185&lt;&gt;"",Courses!J185=""),"Row "&amp;Courses!A185&amp;", "&amp;Courses!$I$10&amp;"; ","")</f>
        <v/>
      </c>
      <c r="U191" s="1593" t="str">
        <f>IF(AND($R$9=1,Courses!B185&lt;&gt;"",Courses!E185&lt;&gt;"",Courses!G185="",Courses!I185="",Courses!F185&lt;&gt;1),"Row "&amp;Courses!A185&amp;"; ","")</f>
        <v/>
      </c>
      <c r="V191" t="str">
        <f>IF(AND($R$9=1,Courses!B185&lt;&gt;"",Courses!I185="",Courses!F185&lt;&gt;"",Courses!G185&lt;&gt;"",Courses!H185&lt;&gt;""),IF(OR((Courses!F185+Courses!H185)&lt;&gt;1),"Row "&amp;Courses!A185&amp;"; ",""),"")</f>
        <v/>
      </c>
      <c r="W191" s="183" t="str">
        <f>IF(AND($R$9=1,Courses!B185&lt;&gt;"",Courses!I185&lt;&gt;"",Courses!J185&lt;&gt;"",Courses!H185&lt;&gt;"",Courses!G185&lt;&gt;"",Courses!F185&lt;&gt;""),IF(OR((Courses!F185+Courses!H185+Courses!J185)&lt;&gt;1),"Row "&amp;Courses!A185&amp;"; ",""),"")</f>
        <v/>
      </c>
      <c r="Y191" s="1592" t="str">
        <f>IF(AND($R$9=1,Courses!E185&lt;&gt;"",U191="",V191="",W191="",SUM(Courses!F185,Courses!H185,Courses!J185)&lt;&gt;1),"Row "&amp;Courses!A185&amp;"; ","")</f>
        <v/>
      </c>
      <c r="AB191" s="1593" t="str">
        <f>IF(AND($S$9=1,Courses!B185&lt;&gt;"",Courses!E185&lt;&gt;"",Courses!F185&lt;&gt;""),IF((TRUNC(Courses!F185*100)&lt;&gt;Courses!F185*100),"Row "&amp;Courses!A185&amp;", "&amp;Courses!$F$10&amp;"; ",""),"")</f>
        <v/>
      </c>
      <c r="AC191" t="str">
        <f>IF(AND($S$9=1,Courses!B185&lt;&gt;"",Courses!G185&lt;&gt;"",Courses!H185&lt;&gt;""),IF((TRUNC(Courses!H185*100)&lt;&gt;Courses!H185*100),"Row "&amp;Courses!A185&amp;", "&amp;Courses!$H$10&amp;"; ",""),"")</f>
        <v/>
      </c>
      <c r="AD191" s="183" t="str">
        <f>IF(AND($S$9=1,Courses!B185&lt;&gt;"",Courses!I185&lt;&gt;"",Courses!J185&lt;&gt;""),IF((TRUNC(Courses!J185*100)&lt;&gt;Courses!J185*100),"Row "&amp;Courses!A185&amp;", "&amp;Courses!$J$10&amp;"; ",""),"")</f>
        <v/>
      </c>
      <c r="AG191" s="1593" t="str">
        <f>IF(AND($T$9=1,G191="",Courses!B185&lt;&gt;"",Courses!K185&lt;&gt;$B$9,Courses!K185&lt;&gt;$B$10,Courses!K185&lt;&gt;$B$11,Courses!K185&lt;&gt;$B$12,Courses!K185&lt;&gt;$B$13,Courses!K185&lt;&gt;$B$14),"Row "&amp;Courses!A185&amp;"; ","")</f>
        <v/>
      </c>
      <c r="AH191" s="183" t="str">
        <f>IF(AND($U$9=1,G191="",Courses!B185&lt;&gt;"",Courses!L185&lt;&gt;"Standard",Courses!L185&lt;&gt;"Long"),"Row "&amp;Courses!A185&amp;"; ","")</f>
        <v/>
      </c>
      <c r="AK191" s="40">
        <v>172</v>
      </c>
      <c r="AL191" s="1593" t="str">
        <f>IF(AND($V$9=1,(TRUNC(Courses!M185)&lt;&gt;Courses!M185)), "Row "&amp;Courses!$A185&amp;", "&amp;AL$9&amp;", "&amp;AL$10&amp;", "&amp;AL$11&amp;"; ","")</f>
        <v/>
      </c>
      <c r="AM191" t="str">
        <f>IF(AND($V$9=1,(TRUNC(Courses!N185)&lt;&gt;Courses!N185)), "Row "&amp;Courses!$A185&amp;", "&amp;AM$9&amp;", "&amp;AM$10&amp;", "&amp;AM$11&amp;"; ","")</f>
        <v/>
      </c>
      <c r="AN191" t="str">
        <f>IF(AND($V$9=1,(TRUNC(Courses!O185)&lt;&gt;Courses!O185)), "Row "&amp;Courses!$A185&amp;", "&amp;AN$9&amp;", "&amp;AN$10&amp;", "&amp;AN$11&amp;"; ","")</f>
        <v/>
      </c>
      <c r="AO191" t="str">
        <f>IF(AND($V$9=1,(TRUNC(Courses!P185)&lt;&gt;Courses!P185)), "Row "&amp;Courses!$A185&amp;", "&amp;AO$9&amp;", "&amp;AO$10&amp;", "&amp;AO$11&amp;"; ","")</f>
        <v/>
      </c>
      <c r="AP191" s="2120" t="str">
        <f>IF(AND($V$9=1,(TRUNC(Courses!Q185)&lt;&gt;Courses!Q185)), "Row "&amp;Courses!$A185&amp;", "&amp;AP$9&amp;", "&amp;AP$10&amp;"; ","")</f>
        <v/>
      </c>
      <c r="AQ191" s="1593" t="str">
        <f>IF(AND($V$9=1,(TRUNC(Courses!R185)&lt;&gt;Courses!R185)), "Row "&amp;Courses!$A185&amp;", "&amp;AQ$9&amp;", "&amp;AQ$10&amp;", "&amp;AQ$11&amp;"; ","")</f>
        <v/>
      </c>
      <c r="AR191" t="str">
        <f>IF(AND($V$9=1,(TRUNC(Courses!S185)&lt;&gt;Courses!S185)), "Row "&amp;Courses!$A185&amp;", "&amp;AR$9&amp;", "&amp;AR$10&amp;", "&amp;AR$11&amp;"; ","")</f>
        <v/>
      </c>
      <c r="AS191" t="str">
        <f>IF(AND($V$9=1,(TRUNC(Courses!T185)&lt;&gt;Courses!T185)), "Row "&amp;Courses!$A185&amp;", "&amp;AS$9&amp;", "&amp;AS$10&amp;", "&amp;AS$11&amp;"; ","")</f>
        <v/>
      </c>
      <c r="AT191" t="str">
        <f>IF(AND($V$9=1,(TRUNC(Courses!U185)&lt;&gt;Courses!U185)), "Row "&amp;Courses!$A185&amp;", "&amp;AT$9&amp;", "&amp;AT$10&amp;", "&amp;AT$11&amp;"; ","")</f>
        <v/>
      </c>
      <c r="AU191" s="2120" t="str">
        <f>IF(AND($V$9=1,(TRUNC(Courses!V185)&lt;&gt;Courses!V185)), "Row "&amp;Courses!$A185&amp;", "&amp;AU$9&amp;", "&amp;AU$10&amp;"; ","")</f>
        <v/>
      </c>
      <c r="AV191" t="str">
        <f>IF(AND($V$9=1,(TRUNC(Courses!W185)&lt;&gt;Courses!W185)), "Row "&amp;Courses!$A185&amp;", "&amp;AV$9&amp;", "&amp;AV$10&amp;", "&amp;AV$11&amp;"; ","")</f>
        <v/>
      </c>
      <c r="AW191" t="str">
        <f>IF(AND($V$9=1,(TRUNC(Courses!X185)&lt;&gt;Courses!X185)), "Row "&amp;Courses!$A185&amp;", "&amp;AW$9&amp;", "&amp;AW$10&amp;", "&amp;AW$11&amp;"; ","")</f>
        <v/>
      </c>
      <c r="AX191" t="str">
        <f>IF(AND($V$9=1,(TRUNC(Courses!Y185)&lt;&gt;Courses!Y185)), "Row "&amp;Courses!$A185&amp;", "&amp;AX$9&amp;", "&amp;AX$10&amp;", "&amp;AX$11&amp;"; ","")</f>
        <v/>
      </c>
      <c r="AY191" t="str">
        <f>IF(AND($V$9=1,(TRUNC(Courses!Z185)&lt;&gt;Courses!Z185)), "Row "&amp;Courses!$A185&amp;", "&amp;AY$9&amp;", "&amp;AY$10&amp;", "&amp;AY$11&amp;"; ","")</f>
        <v/>
      </c>
      <c r="AZ191" s="2120" t="str">
        <f>IF(AND($V$9=1,(TRUNC(Courses!AA185)&lt;&gt;Courses!AA185)), "Row "&amp;Courses!$A185&amp;", "&amp;AZ$9&amp;", "&amp;AZ$10&amp;"; ","")</f>
        <v/>
      </c>
      <c r="BC191" s="40">
        <v>172</v>
      </c>
      <c r="BD191" s="1593" t="str">
        <f>IF(AND($W$9=1,Courses!M185&lt;0), "Row "&amp;Courses!$A185&amp;", "&amp;BD$9&amp;", "&amp;BD$10&amp;", "&amp;BD$11&amp;"; ","")</f>
        <v/>
      </c>
      <c r="BE191" t="str">
        <f>IF(AND($W$9=1,Courses!N185&lt;0), "Row "&amp;Courses!$A185&amp;", "&amp;BE$9&amp;", "&amp;BE$10&amp;", "&amp;BE$11&amp;"; ","")</f>
        <v/>
      </c>
      <c r="BF191" t="str">
        <f>IF(AND($W$9=1,Courses!O185&lt;0), "Row "&amp;Courses!$A185&amp;", "&amp;BF$9&amp;", "&amp;BF$10&amp;", "&amp;BF$11&amp;"; ","")</f>
        <v/>
      </c>
      <c r="BG191" t="str">
        <f>IF(AND($W$9=1,Courses!P185&lt;0), "Row "&amp;Courses!$A185&amp;", "&amp;BG$9&amp;", "&amp;BG$10&amp;", "&amp;BG$11&amp;"; ","")</f>
        <v/>
      </c>
      <c r="BH191" s="2120" t="str">
        <f>IF(AND($W$9=1,Courses!Q185&lt;0), "Row "&amp;Courses!$A185&amp;", "&amp;BH$9&amp;", "&amp;BH$10&amp;"; ","")</f>
        <v/>
      </c>
      <c r="BI191" s="1593" t="str">
        <f>IF(AND($W$9=1,Courses!R185&lt;0), "Row "&amp;Courses!$A185&amp;", "&amp;BI$9&amp;", "&amp;BI$10&amp;", "&amp;BI$11&amp;"; ","")</f>
        <v/>
      </c>
      <c r="BJ191" t="str">
        <f>IF(AND($W$9=1,Courses!S185&lt;0), "Row "&amp;Courses!$A185&amp;", "&amp;BJ$9&amp;", "&amp;BJ$10&amp;", "&amp;BJ$11&amp;"; ","")</f>
        <v/>
      </c>
      <c r="BK191" t="str">
        <f>IF(AND($W$9=1,Courses!T185&lt;0), "Row "&amp;Courses!$A185&amp;", "&amp;BK$9&amp;", "&amp;BK$10&amp;", "&amp;BK$11&amp;"; ","")</f>
        <v/>
      </c>
      <c r="BL191" t="str">
        <f>IF(AND($W$9=1,Courses!U185&lt;0), "Row "&amp;Courses!$A185&amp;", "&amp;BL$9&amp;", "&amp;BL$10&amp;", "&amp;BL$11&amp;"; ","")</f>
        <v/>
      </c>
      <c r="BM191" s="2120" t="str">
        <f>IF(AND($W$9=1,Courses!V185&lt;0), "Row "&amp;Courses!$A185&amp;", "&amp;BM$9&amp;", "&amp;BM$10&amp;"; ","")</f>
        <v/>
      </c>
      <c r="BN191" t="str">
        <f>IF(AND($W$9=1,Courses!W185&lt;0), "Row "&amp;Courses!$A185&amp;", "&amp;BN$9&amp;", "&amp;BN$10&amp;", "&amp;BN$11&amp;"; ","")</f>
        <v/>
      </c>
      <c r="BO191" t="str">
        <f>IF(AND($W$9=1,Courses!X185&lt;0), "Row "&amp;Courses!$A185&amp;", "&amp;BO$9&amp;", "&amp;BO$10&amp;", "&amp;BO$11&amp;"; ","")</f>
        <v/>
      </c>
      <c r="BP191" t="str">
        <f>IF(AND($W$9=1,Courses!Y185&lt;0), "Row "&amp;Courses!$A185&amp;", "&amp;BP$9&amp;", "&amp;BP$10&amp;", "&amp;BP$11&amp;"; ","")</f>
        <v/>
      </c>
      <c r="BQ191" t="str">
        <f>IF(AND($W$9=1,Courses!Z185&lt;0), "Row "&amp;Courses!$A185&amp;", "&amp;BQ$9&amp;", "&amp;BQ$10&amp;", "&amp;BQ$11&amp;"; ","")</f>
        <v/>
      </c>
      <c r="BR191" s="2120" t="str">
        <f>IF(AND($W$9=1,Courses!AA185&lt;0), "Row "&amp;Courses!$A185&amp;", "&amp;BR$9&amp;", "&amp;BR$10&amp;"; ","")</f>
        <v/>
      </c>
      <c r="BT191" s="3">
        <f t="shared" si="5"/>
        <v>172</v>
      </c>
      <c r="BU191" s="40">
        <f>IF(AND($X$9=1,Courses!B185="",Courses!F185="",Courses!H185="",Courses!J185="",Courses!K185="",Courses!L185="",Courses!M185=0,Courses!N185=0,Courses!O185=0,Courses!P185=0,Courses!Q185=0,Courses!R185=0,Courses!S185=0,Courses!T185=0,Courses!U185=0,Courses!V185=0,Courses!W185=0,Courses!X185=0,Courses!Y185=0,Courses!Z185=0,Courses!AA185=0),0,1)</f>
        <v>0</v>
      </c>
      <c r="BV191" s="40">
        <f>IF(AND(BU191=0,SUM(BU192:$BU$219)&gt;0),1,0)</f>
        <v>0</v>
      </c>
      <c r="BW191" s="1592" t="str">
        <f>IF(BV191=1,"Row "&amp;Courses!A185&amp;"; ","")</f>
        <v/>
      </c>
      <c r="BX191" s="17"/>
      <c r="BZ191" s="1592" t="str">
        <f>IF(AND($Y$9=1,Courses!B185&lt;&gt;"",SUM(Courses!M185:AA185)=0),"Row "&amp;Courses!A185&amp;"; ","")</f>
        <v/>
      </c>
      <c r="CA191" s="17"/>
      <c r="CC191" s="1592" t="str">
        <f>IF(AND($Z$9=1,Courses!AD185=1,(LEN(Courses!AB185)&gt;200)),"Row "&amp;Courses!A185&amp;"; ","")</f>
        <v/>
      </c>
      <c r="CE191" s="131"/>
      <c r="CG191" s="1593" t="str">
        <f>IF(AND($AD$9=1,Courses!E185&lt;&gt;"",Courses!F185&lt;&gt;"",Courses!F185=0,SUM(Courses!H185,Courses!J185)=1),"Row "&amp;Courses!A185&amp;", "&amp;Courses!$F$10&amp;"; ","")</f>
        <v/>
      </c>
      <c r="CH191" t="str">
        <f>IF(AND($AD$9=1,Courses!G185&lt;&gt;"",Courses!H185&lt;&gt;"",Courses!H185=0,SUM(Courses!J185,Courses!F185)=1),"Row "&amp;Courses!A185&amp;", "&amp;Courses!$H$10&amp;"; ","")</f>
        <v/>
      </c>
      <c r="CI191" s="183" t="str">
        <f>IF(AND($AD$9=1,Courses!I185&lt;&gt;"",Courses!J185&lt;&gt;"",Courses!J185=0, SUM(Courses!H185,Courses!F185)=1),"Row "&amp;Courses!A185&amp;", "&amp;Courses!$J$10&amp;"; ","")</f>
        <v/>
      </c>
      <c r="CL191" s="1592" t="str">
        <f>IF(AND(Courses!B185&lt;&gt;"",ISNA(VLOOKUP(Courses!C185,CourseInfo,2,FALSE))=FALSE,COUNTIF(Dummy,Courses!C185)&lt;&gt;1),VLOOKUP(Courses!C185,CourseInfo,6,FALSE),"")</f>
        <v/>
      </c>
      <c r="CM191" s="1592" t="str">
        <f>IF(AND($AE$9=1,Courses!B185&lt;&gt;"",'Courses Valid'!AG191="",COUNTIF(Dummy,Courses!C185)&lt;&gt;1),IF(Courses!K185&lt;&gt;'Courses Valid'!CL191,"Row "&amp;Courses!A185&amp;", Level on LARS is "&amp;'Courses Valid'!CL191&amp;"; ",""),"")</f>
        <v/>
      </c>
      <c r="CN191" s="131"/>
    </row>
    <row r="192" spans="3:92" x14ac:dyDescent="0.35">
      <c r="C192" s="1595">
        <f t="shared" si="4"/>
        <v>0</v>
      </c>
      <c r="G192" s="1592" t="str">
        <f>IF(SUMPRODUCT(--(CourseAims=Courses!$C186))=1,"",IF(AND($N$9=1,Courses!$C186&lt;&gt;""),"Row "&amp;Courses!A186&amp;" (invalid); ",""))</f>
        <v/>
      </c>
      <c r="H192" s="1592" t="str">
        <f>IF(AND($O$9=1,Courses!B186="",OR(Courses!F186&lt;&gt;"",Courses!H186&lt;&gt;"",Courses!J186&lt;&gt;"",Courses!K186&lt;&gt;"",Courses!L186&lt;&gt;"",Courses!M186&lt;&gt;0,Courses!N186&lt;&gt;0,Courses!O186&lt;&gt;0,Courses!P186&lt;&gt;0,Courses!Q186&lt;&gt;0,Courses!R186&lt;&gt;0,Courses!S186&lt;&gt;0,Courses!T186&lt;&gt;0,Courses!U186&lt;&gt;0,Courses!V186&lt;&gt;0,Courses!W186&lt;&gt;0,Courses!X186&lt;&gt;0,Courses!Y186&lt;&gt;0,Courses!Z186&lt;&gt;0,Courses!AA186&lt;&gt;0)),"Row "&amp;Courses!A186&amp;" (none); ","")</f>
        <v/>
      </c>
      <c r="K192" s="1592" t="str">
        <f>Courses!B186&amp;Courses!K186&amp;Courses!L186</f>
        <v/>
      </c>
      <c r="L192" s="1592" t="str">
        <f>IF(AND($P$9=1,Courses!$B186&lt;&gt;"",COUNTIF(Dummy,Courses!$C186)&lt;&gt;1),IF(SUMPRODUCT(--($K$20:$K$219=$K192))&gt;1,"Row "&amp;Courses!$A186&amp;"; ",""),"")</f>
        <v/>
      </c>
      <c r="O192" s="1593" t="str">
        <f>IF(AND($Q$9=1,Courses!E186&lt;&gt;"",Courses!F186=""),"Row "&amp;Courses!A186&amp;", "&amp;Courses!$E$10&amp;"; ","")</f>
        <v/>
      </c>
      <c r="P192" t="str">
        <f>IF(AND($Q$9=1,Courses!G186&lt;&gt;"",Courses!H186=""),"Row "&amp;Courses!A186&amp;", "&amp;Courses!$G$10&amp;"; ","")</f>
        <v/>
      </c>
      <c r="Q192" s="183" t="str">
        <f>IF(AND($Q$9=1,Courses!I186&lt;&gt;"",Courses!J186=""),"Row "&amp;Courses!A186&amp;", "&amp;Courses!$I$10&amp;"; ","")</f>
        <v/>
      </c>
      <c r="U192" s="1593" t="str">
        <f>IF(AND($R$9=1,Courses!B186&lt;&gt;"",Courses!E186&lt;&gt;"",Courses!G186="",Courses!I186="",Courses!F186&lt;&gt;1),"Row "&amp;Courses!A186&amp;"; ","")</f>
        <v/>
      </c>
      <c r="V192" t="str">
        <f>IF(AND($R$9=1,Courses!B186&lt;&gt;"",Courses!I186="",Courses!F186&lt;&gt;"",Courses!G186&lt;&gt;"",Courses!H186&lt;&gt;""),IF(OR((Courses!F186+Courses!H186)&lt;&gt;1),"Row "&amp;Courses!A186&amp;"; ",""),"")</f>
        <v/>
      </c>
      <c r="W192" s="183" t="str">
        <f>IF(AND($R$9=1,Courses!B186&lt;&gt;"",Courses!I186&lt;&gt;"",Courses!J186&lt;&gt;"",Courses!H186&lt;&gt;"",Courses!G186&lt;&gt;"",Courses!F186&lt;&gt;""),IF(OR((Courses!F186+Courses!H186+Courses!J186)&lt;&gt;1),"Row "&amp;Courses!A186&amp;"; ",""),"")</f>
        <v/>
      </c>
      <c r="Y192" s="1592" t="str">
        <f>IF(AND($R$9=1,Courses!E186&lt;&gt;"",U192="",V192="",W192="",SUM(Courses!F186,Courses!H186,Courses!J186)&lt;&gt;1),"Row "&amp;Courses!A186&amp;"; ","")</f>
        <v/>
      </c>
      <c r="AB192" s="1593" t="str">
        <f>IF(AND($S$9=1,Courses!B186&lt;&gt;"",Courses!E186&lt;&gt;"",Courses!F186&lt;&gt;""),IF((TRUNC(Courses!F186*100)&lt;&gt;Courses!F186*100),"Row "&amp;Courses!A186&amp;", "&amp;Courses!$F$10&amp;"; ",""),"")</f>
        <v/>
      </c>
      <c r="AC192" t="str">
        <f>IF(AND($S$9=1,Courses!B186&lt;&gt;"",Courses!G186&lt;&gt;"",Courses!H186&lt;&gt;""),IF((TRUNC(Courses!H186*100)&lt;&gt;Courses!H186*100),"Row "&amp;Courses!A186&amp;", "&amp;Courses!$H$10&amp;"; ",""),"")</f>
        <v/>
      </c>
      <c r="AD192" s="183" t="str">
        <f>IF(AND($S$9=1,Courses!B186&lt;&gt;"",Courses!I186&lt;&gt;"",Courses!J186&lt;&gt;""),IF((TRUNC(Courses!J186*100)&lt;&gt;Courses!J186*100),"Row "&amp;Courses!A186&amp;", "&amp;Courses!$J$10&amp;"; ",""),"")</f>
        <v/>
      </c>
      <c r="AG192" s="1593" t="str">
        <f>IF(AND($T$9=1,G192="",Courses!B186&lt;&gt;"",Courses!K186&lt;&gt;$B$9,Courses!K186&lt;&gt;$B$10,Courses!K186&lt;&gt;$B$11,Courses!K186&lt;&gt;$B$12,Courses!K186&lt;&gt;$B$13,Courses!K186&lt;&gt;$B$14),"Row "&amp;Courses!A186&amp;"; ","")</f>
        <v/>
      </c>
      <c r="AH192" s="183" t="str">
        <f>IF(AND($U$9=1,G192="",Courses!B186&lt;&gt;"",Courses!L186&lt;&gt;"Standard",Courses!L186&lt;&gt;"Long"),"Row "&amp;Courses!A186&amp;"; ","")</f>
        <v/>
      </c>
      <c r="AK192" s="40">
        <v>173</v>
      </c>
      <c r="AL192" s="1593" t="str">
        <f>IF(AND($V$9=1,(TRUNC(Courses!M186)&lt;&gt;Courses!M186)), "Row "&amp;Courses!$A186&amp;", "&amp;AL$9&amp;", "&amp;AL$10&amp;", "&amp;AL$11&amp;"; ","")</f>
        <v/>
      </c>
      <c r="AM192" t="str">
        <f>IF(AND($V$9=1,(TRUNC(Courses!N186)&lt;&gt;Courses!N186)), "Row "&amp;Courses!$A186&amp;", "&amp;AM$9&amp;", "&amp;AM$10&amp;", "&amp;AM$11&amp;"; ","")</f>
        <v/>
      </c>
      <c r="AN192" t="str">
        <f>IF(AND($V$9=1,(TRUNC(Courses!O186)&lt;&gt;Courses!O186)), "Row "&amp;Courses!$A186&amp;", "&amp;AN$9&amp;", "&amp;AN$10&amp;", "&amp;AN$11&amp;"; ","")</f>
        <v/>
      </c>
      <c r="AO192" t="str">
        <f>IF(AND($V$9=1,(TRUNC(Courses!P186)&lt;&gt;Courses!P186)), "Row "&amp;Courses!$A186&amp;", "&amp;AO$9&amp;", "&amp;AO$10&amp;", "&amp;AO$11&amp;"; ","")</f>
        <v/>
      </c>
      <c r="AP192" s="2120" t="str">
        <f>IF(AND($V$9=1,(TRUNC(Courses!Q186)&lt;&gt;Courses!Q186)), "Row "&amp;Courses!$A186&amp;", "&amp;AP$9&amp;", "&amp;AP$10&amp;"; ","")</f>
        <v/>
      </c>
      <c r="AQ192" s="1593" t="str">
        <f>IF(AND($V$9=1,(TRUNC(Courses!R186)&lt;&gt;Courses!R186)), "Row "&amp;Courses!$A186&amp;", "&amp;AQ$9&amp;", "&amp;AQ$10&amp;", "&amp;AQ$11&amp;"; ","")</f>
        <v/>
      </c>
      <c r="AR192" t="str">
        <f>IF(AND($V$9=1,(TRUNC(Courses!S186)&lt;&gt;Courses!S186)), "Row "&amp;Courses!$A186&amp;", "&amp;AR$9&amp;", "&amp;AR$10&amp;", "&amp;AR$11&amp;"; ","")</f>
        <v/>
      </c>
      <c r="AS192" t="str">
        <f>IF(AND($V$9=1,(TRUNC(Courses!T186)&lt;&gt;Courses!T186)), "Row "&amp;Courses!$A186&amp;", "&amp;AS$9&amp;", "&amp;AS$10&amp;", "&amp;AS$11&amp;"; ","")</f>
        <v/>
      </c>
      <c r="AT192" t="str">
        <f>IF(AND($V$9=1,(TRUNC(Courses!U186)&lt;&gt;Courses!U186)), "Row "&amp;Courses!$A186&amp;", "&amp;AT$9&amp;", "&amp;AT$10&amp;", "&amp;AT$11&amp;"; ","")</f>
        <v/>
      </c>
      <c r="AU192" s="2120" t="str">
        <f>IF(AND($V$9=1,(TRUNC(Courses!V186)&lt;&gt;Courses!V186)), "Row "&amp;Courses!$A186&amp;", "&amp;AU$9&amp;", "&amp;AU$10&amp;"; ","")</f>
        <v/>
      </c>
      <c r="AV192" t="str">
        <f>IF(AND($V$9=1,(TRUNC(Courses!W186)&lt;&gt;Courses!W186)), "Row "&amp;Courses!$A186&amp;", "&amp;AV$9&amp;", "&amp;AV$10&amp;", "&amp;AV$11&amp;"; ","")</f>
        <v/>
      </c>
      <c r="AW192" t="str">
        <f>IF(AND($V$9=1,(TRUNC(Courses!X186)&lt;&gt;Courses!X186)), "Row "&amp;Courses!$A186&amp;", "&amp;AW$9&amp;", "&amp;AW$10&amp;", "&amp;AW$11&amp;"; ","")</f>
        <v/>
      </c>
      <c r="AX192" t="str">
        <f>IF(AND($V$9=1,(TRUNC(Courses!Y186)&lt;&gt;Courses!Y186)), "Row "&amp;Courses!$A186&amp;", "&amp;AX$9&amp;", "&amp;AX$10&amp;", "&amp;AX$11&amp;"; ","")</f>
        <v/>
      </c>
      <c r="AY192" t="str">
        <f>IF(AND($V$9=1,(TRUNC(Courses!Z186)&lt;&gt;Courses!Z186)), "Row "&amp;Courses!$A186&amp;", "&amp;AY$9&amp;", "&amp;AY$10&amp;", "&amp;AY$11&amp;"; ","")</f>
        <v/>
      </c>
      <c r="AZ192" s="2120" t="str">
        <f>IF(AND($V$9=1,(TRUNC(Courses!AA186)&lt;&gt;Courses!AA186)), "Row "&amp;Courses!$A186&amp;", "&amp;AZ$9&amp;", "&amp;AZ$10&amp;"; ","")</f>
        <v/>
      </c>
      <c r="BC192" s="40">
        <v>173</v>
      </c>
      <c r="BD192" s="1593" t="str">
        <f>IF(AND($W$9=1,Courses!M186&lt;0), "Row "&amp;Courses!$A186&amp;", "&amp;BD$9&amp;", "&amp;BD$10&amp;", "&amp;BD$11&amp;"; ","")</f>
        <v/>
      </c>
      <c r="BE192" t="str">
        <f>IF(AND($W$9=1,Courses!N186&lt;0), "Row "&amp;Courses!$A186&amp;", "&amp;BE$9&amp;", "&amp;BE$10&amp;", "&amp;BE$11&amp;"; ","")</f>
        <v/>
      </c>
      <c r="BF192" t="str">
        <f>IF(AND($W$9=1,Courses!O186&lt;0), "Row "&amp;Courses!$A186&amp;", "&amp;BF$9&amp;", "&amp;BF$10&amp;", "&amp;BF$11&amp;"; ","")</f>
        <v/>
      </c>
      <c r="BG192" t="str">
        <f>IF(AND($W$9=1,Courses!P186&lt;0), "Row "&amp;Courses!$A186&amp;", "&amp;BG$9&amp;", "&amp;BG$10&amp;", "&amp;BG$11&amp;"; ","")</f>
        <v/>
      </c>
      <c r="BH192" s="2120" t="str">
        <f>IF(AND($W$9=1,Courses!Q186&lt;0), "Row "&amp;Courses!$A186&amp;", "&amp;BH$9&amp;", "&amp;BH$10&amp;"; ","")</f>
        <v/>
      </c>
      <c r="BI192" s="1593" t="str">
        <f>IF(AND($W$9=1,Courses!R186&lt;0), "Row "&amp;Courses!$A186&amp;", "&amp;BI$9&amp;", "&amp;BI$10&amp;", "&amp;BI$11&amp;"; ","")</f>
        <v/>
      </c>
      <c r="BJ192" t="str">
        <f>IF(AND($W$9=1,Courses!S186&lt;0), "Row "&amp;Courses!$A186&amp;", "&amp;BJ$9&amp;", "&amp;BJ$10&amp;", "&amp;BJ$11&amp;"; ","")</f>
        <v/>
      </c>
      <c r="BK192" t="str">
        <f>IF(AND($W$9=1,Courses!T186&lt;0), "Row "&amp;Courses!$A186&amp;", "&amp;BK$9&amp;", "&amp;BK$10&amp;", "&amp;BK$11&amp;"; ","")</f>
        <v/>
      </c>
      <c r="BL192" t="str">
        <f>IF(AND($W$9=1,Courses!U186&lt;0), "Row "&amp;Courses!$A186&amp;", "&amp;BL$9&amp;", "&amp;BL$10&amp;", "&amp;BL$11&amp;"; ","")</f>
        <v/>
      </c>
      <c r="BM192" s="2120" t="str">
        <f>IF(AND($W$9=1,Courses!V186&lt;0), "Row "&amp;Courses!$A186&amp;", "&amp;BM$9&amp;", "&amp;BM$10&amp;"; ","")</f>
        <v/>
      </c>
      <c r="BN192" t="str">
        <f>IF(AND($W$9=1,Courses!W186&lt;0), "Row "&amp;Courses!$A186&amp;", "&amp;BN$9&amp;", "&amp;BN$10&amp;", "&amp;BN$11&amp;"; ","")</f>
        <v/>
      </c>
      <c r="BO192" t="str">
        <f>IF(AND($W$9=1,Courses!X186&lt;0), "Row "&amp;Courses!$A186&amp;", "&amp;BO$9&amp;", "&amp;BO$10&amp;", "&amp;BO$11&amp;"; ","")</f>
        <v/>
      </c>
      <c r="BP192" t="str">
        <f>IF(AND($W$9=1,Courses!Y186&lt;0), "Row "&amp;Courses!$A186&amp;", "&amp;BP$9&amp;", "&amp;BP$10&amp;", "&amp;BP$11&amp;"; ","")</f>
        <v/>
      </c>
      <c r="BQ192" t="str">
        <f>IF(AND($W$9=1,Courses!Z186&lt;0), "Row "&amp;Courses!$A186&amp;", "&amp;BQ$9&amp;", "&amp;BQ$10&amp;", "&amp;BQ$11&amp;"; ","")</f>
        <v/>
      </c>
      <c r="BR192" s="2120" t="str">
        <f>IF(AND($W$9=1,Courses!AA186&lt;0), "Row "&amp;Courses!$A186&amp;", "&amp;BR$9&amp;", "&amp;BR$10&amp;"; ","")</f>
        <v/>
      </c>
      <c r="BT192" s="3">
        <f t="shared" si="5"/>
        <v>173</v>
      </c>
      <c r="BU192" s="40">
        <f>IF(AND($X$9=1,Courses!B186="",Courses!F186="",Courses!H186="",Courses!J186="",Courses!K186="",Courses!L186="",Courses!M186=0,Courses!N186=0,Courses!O186=0,Courses!P186=0,Courses!Q186=0,Courses!R186=0,Courses!S186=0,Courses!T186=0,Courses!U186=0,Courses!V186=0,Courses!W186=0,Courses!X186=0,Courses!Y186=0,Courses!Z186=0,Courses!AA186=0),0,1)</f>
        <v>0</v>
      </c>
      <c r="BV192" s="40">
        <f>IF(AND(BU192=0,SUM(BU193:$BU$219)&gt;0),1,0)</f>
        <v>0</v>
      </c>
      <c r="BW192" s="1592" t="str">
        <f>IF(BV192=1,"Row "&amp;Courses!A186&amp;"; ","")</f>
        <v/>
      </c>
      <c r="BX192" s="17"/>
      <c r="BZ192" s="1592" t="str">
        <f>IF(AND($Y$9=1,Courses!B186&lt;&gt;"",SUM(Courses!M186:AA186)=0),"Row "&amp;Courses!A186&amp;"; ","")</f>
        <v/>
      </c>
      <c r="CA192" s="17"/>
      <c r="CC192" s="1592" t="str">
        <f>IF(AND($Z$9=1,Courses!AD186=1,(LEN(Courses!AB186)&gt;200)),"Row "&amp;Courses!A186&amp;"; ","")</f>
        <v/>
      </c>
      <c r="CE192" s="131"/>
      <c r="CG192" s="1593" t="str">
        <f>IF(AND($AD$9=1,Courses!E186&lt;&gt;"",Courses!F186&lt;&gt;"",Courses!F186=0,SUM(Courses!H186,Courses!J186)=1),"Row "&amp;Courses!A186&amp;", "&amp;Courses!$F$10&amp;"; ","")</f>
        <v/>
      </c>
      <c r="CH192" t="str">
        <f>IF(AND($AD$9=1,Courses!G186&lt;&gt;"",Courses!H186&lt;&gt;"",Courses!H186=0,SUM(Courses!J186,Courses!F186)=1),"Row "&amp;Courses!A186&amp;", "&amp;Courses!$H$10&amp;"; ","")</f>
        <v/>
      </c>
      <c r="CI192" s="183" t="str">
        <f>IF(AND($AD$9=1,Courses!I186&lt;&gt;"",Courses!J186&lt;&gt;"",Courses!J186=0, SUM(Courses!H186,Courses!F186)=1),"Row "&amp;Courses!A186&amp;", "&amp;Courses!$J$10&amp;"; ","")</f>
        <v/>
      </c>
      <c r="CL192" s="1592" t="str">
        <f>IF(AND(Courses!B186&lt;&gt;"",ISNA(VLOOKUP(Courses!C186,CourseInfo,2,FALSE))=FALSE,COUNTIF(Dummy,Courses!C186)&lt;&gt;1),VLOOKUP(Courses!C186,CourseInfo,6,FALSE),"")</f>
        <v/>
      </c>
      <c r="CM192" s="1592" t="str">
        <f>IF(AND($AE$9=1,Courses!B186&lt;&gt;"",'Courses Valid'!AG192="",COUNTIF(Dummy,Courses!C186)&lt;&gt;1),IF(Courses!K186&lt;&gt;'Courses Valid'!CL192,"Row "&amp;Courses!A186&amp;", Level on LARS is "&amp;'Courses Valid'!CL192&amp;"; ",""),"")</f>
        <v/>
      </c>
      <c r="CN192" s="131"/>
    </row>
    <row r="193" spans="3:92" x14ac:dyDescent="0.35">
      <c r="C193" s="1595">
        <f t="shared" si="4"/>
        <v>0</v>
      </c>
      <c r="G193" s="1592" t="str">
        <f>IF(SUMPRODUCT(--(CourseAims=Courses!$C187))=1,"",IF(AND($N$9=1,Courses!$C187&lt;&gt;""),"Row "&amp;Courses!A187&amp;" (invalid); ",""))</f>
        <v/>
      </c>
      <c r="H193" s="1592" t="str">
        <f>IF(AND($O$9=1,Courses!B187="",OR(Courses!F187&lt;&gt;"",Courses!H187&lt;&gt;"",Courses!J187&lt;&gt;"",Courses!K187&lt;&gt;"",Courses!L187&lt;&gt;"",Courses!M187&lt;&gt;0,Courses!N187&lt;&gt;0,Courses!O187&lt;&gt;0,Courses!P187&lt;&gt;0,Courses!Q187&lt;&gt;0,Courses!R187&lt;&gt;0,Courses!S187&lt;&gt;0,Courses!T187&lt;&gt;0,Courses!U187&lt;&gt;0,Courses!V187&lt;&gt;0,Courses!W187&lt;&gt;0,Courses!X187&lt;&gt;0,Courses!Y187&lt;&gt;0,Courses!Z187&lt;&gt;0,Courses!AA187&lt;&gt;0)),"Row "&amp;Courses!A187&amp;" (none); ","")</f>
        <v/>
      </c>
      <c r="K193" s="1592" t="str">
        <f>Courses!B187&amp;Courses!K187&amp;Courses!L187</f>
        <v/>
      </c>
      <c r="L193" s="1592" t="str">
        <f>IF(AND($P$9=1,Courses!$B187&lt;&gt;"",COUNTIF(Dummy,Courses!$C187)&lt;&gt;1),IF(SUMPRODUCT(--($K$20:$K$219=$K193))&gt;1,"Row "&amp;Courses!$A187&amp;"; ",""),"")</f>
        <v/>
      </c>
      <c r="O193" s="1593" t="str">
        <f>IF(AND($Q$9=1,Courses!E187&lt;&gt;"",Courses!F187=""),"Row "&amp;Courses!A187&amp;", "&amp;Courses!$E$10&amp;"; ","")</f>
        <v/>
      </c>
      <c r="P193" t="str">
        <f>IF(AND($Q$9=1,Courses!G187&lt;&gt;"",Courses!H187=""),"Row "&amp;Courses!A187&amp;", "&amp;Courses!$G$10&amp;"; ","")</f>
        <v/>
      </c>
      <c r="Q193" s="183" t="str">
        <f>IF(AND($Q$9=1,Courses!I187&lt;&gt;"",Courses!J187=""),"Row "&amp;Courses!A187&amp;", "&amp;Courses!$I$10&amp;"; ","")</f>
        <v/>
      </c>
      <c r="U193" s="1593" t="str">
        <f>IF(AND($R$9=1,Courses!B187&lt;&gt;"",Courses!E187&lt;&gt;"",Courses!G187="",Courses!I187="",Courses!F187&lt;&gt;1),"Row "&amp;Courses!A187&amp;"; ","")</f>
        <v/>
      </c>
      <c r="V193" t="str">
        <f>IF(AND($R$9=1,Courses!B187&lt;&gt;"",Courses!I187="",Courses!F187&lt;&gt;"",Courses!G187&lt;&gt;"",Courses!H187&lt;&gt;""),IF(OR((Courses!F187+Courses!H187)&lt;&gt;1),"Row "&amp;Courses!A187&amp;"; ",""),"")</f>
        <v/>
      </c>
      <c r="W193" s="183" t="str">
        <f>IF(AND($R$9=1,Courses!B187&lt;&gt;"",Courses!I187&lt;&gt;"",Courses!J187&lt;&gt;"",Courses!H187&lt;&gt;"",Courses!G187&lt;&gt;"",Courses!F187&lt;&gt;""),IF(OR((Courses!F187+Courses!H187+Courses!J187)&lt;&gt;1),"Row "&amp;Courses!A187&amp;"; ",""),"")</f>
        <v/>
      </c>
      <c r="Y193" s="1592" t="str">
        <f>IF(AND($R$9=1,Courses!E187&lt;&gt;"",U193="",V193="",W193="",SUM(Courses!F187,Courses!H187,Courses!J187)&lt;&gt;1),"Row "&amp;Courses!A187&amp;"; ","")</f>
        <v/>
      </c>
      <c r="AB193" s="1593" t="str">
        <f>IF(AND($S$9=1,Courses!B187&lt;&gt;"",Courses!E187&lt;&gt;"",Courses!F187&lt;&gt;""),IF((TRUNC(Courses!F187*100)&lt;&gt;Courses!F187*100),"Row "&amp;Courses!A187&amp;", "&amp;Courses!$F$10&amp;"; ",""),"")</f>
        <v/>
      </c>
      <c r="AC193" t="str">
        <f>IF(AND($S$9=1,Courses!B187&lt;&gt;"",Courses!G187&lt;&gt;"",Courses!H187&lt;&gt;""),IF((TRUNC(Courses!H187*100)&lt;&gt;Courses!H187*100),"Row "&amp;Courses!A187&amp;", "&amp;Courses!$H$10&amp;"; ",""),"")</f>
        <v/>
      </c>
      <c r="AD193" s="183" t="str">
        <f>IF(AND($S$9=1,Courses!B187&lt;&gt;"",Courses!I187&lt;&gt;"",Courses!J187&lt;&gt;""),IF((TRUNC(Courses!J187*100)&lt;&gt;Courses!J187*100),"Row "&amp;Courses!A187&amp;", "&amp;Courses!$J$10&amp;"; ",""),"")</f>
        <v/>
      </c>
      <c r="AG193" s="1593" t="str">
        <f>IF(AND($T$9=1,G193="",Courses!B187&lt;&gt;"",Courses!K187&lt;&gt;$B$9,Courses!K187&lt;&gt;$B$10,Courses!K187&lt;&gt;$B$11,Courses!K187&lt;&gt;$B$12,Courses!K187&lt;&gt;$B$13,Courses!K187&lt;&gt;$B$14),"Row "&amp;Courses!A187&amp;"; ","")</f>
        <v/>
      </c>
      <c r="AH193" s="183" t="str">
        <f>IF(AND($U$9=1,G193="",Courses!B187&lt;&gt;"",Courses!L187&lt;&gt;"Standard",Courses!L187&lt;&gt;"Long"),"Row "&amp;Courses!A187&amp;"; ","")</f>
        <v/>
      </c>
      <c r="AK193" s="40">
        <v>174</v>
      </c>
      <c r="AL193" s="1593" t="str">
        <f>IF(AND($V$9=1,(TRUNC(Courses!M187)&lt;&gt;Courses!M187)), "Row "&amp;Courses!$A187&amp;", "&amp;AL$9&amp;", "&amp;AL$10&amp;", "&amp;AL$11&amp;"; ","")</f>
        <v/>
      </c>
      <c r="AM193" t="str">
        <f>IF(AND($V$9=1,(TRUNC(Courses!N187)&lt;&gt;Courses!N187)), "Row "&amp;Courses!$A187&amp;", "&amp;AM$9&amp;", "&amp;AM$10&amp;", "&amp;AM$11&amp;"; ","")</f>
        <v/>
      </c>
      <c r="AN193" t="str">
        <f>IF(AND($V$9=1,(TRUNC(Courses!O187)&lt;&gt;Courses!O187)), "Row "&amp;Courses!$A187&amp;", "&amp;AN$9&amp;", "&amp;AN$10&amp;", "&amp;AN$11&amp;"; ","")</f>
        <v/>
      </c>
      <c r="AO193" t="str">
        <f>IF(AND($V$9=1,(TRUNC(Courses!P187)&lt;&gt;Courses!P187)), "Row "&amp;Courses!$A187&amp;", "&amp;AO$9&amp;", "&amp;AO$10&amp;", "&amp;AO$11&amp;"; ","")</f>
        <v/>
      </c>
      <c r="AP193" s="2120" t="str">
        <f>IF(AND($V$9=1,(TRUNC(Courses!Q187)&lt;&gt;Courses!Q187)), "Row "&amp;Courses!$A187&amp;", "&amp;AP$9&amp;", "&amp;AP$10&amp;"; ","")</f>
        <v/>
      </c>
      <c r="AQ193" s="1593" t="str">
        <f>IF(AND($V$9=1,(TRUNC(Courses!R187)&lt;&gt;Courses!R187)), "Row "&amp;Courses!$A187&amp;", "&amp;AQ$9&amp;", "&amp;AQ$10&amp;", "&amp;AQ$11&amp;"; ","")</f>
        <v/>
      </c>
      <c r="AR193" t="str">
        <f>IF(AND($V$9=1,(TRUNC(Courses!S187)&lt;&gt;Courses!S187)), "Row "&amp;Courses!$A187&amp;", "&amp;AR$9&amp;", "&amp;AR$10&amp;", "&amp;AR$11&amp;"; ","")</f>
        <v/>
      </c>
      <c r="AS193" t="str">
        <f>IF(AND($V$9=1,(TRUNC(Courses!T187)&lt;&gt;Courses!T187)), "Row "&amp;Courses!$A187&amp;", "&amp;AS$9&amp;", "&amp;AS$10&amp;", "&amp;AS$11&amp;"; ","")</f>
        <v/>
      </c>
      <c r="AT193" t="str">
        <f>IF(AND($V$9=1,(TRUNC(Courses!U187)&lt;&gt;Courses!U187)), "Row "&amp;Courses!$A187&amp;", "&amp;AT$9&amp;", "&amp;AT$10&amp;", "&amp;AT$11&amp;"; ","")</f>
        <v/>
      </c>
      <c r="AU193" s="2120" t="str">
        <f>IF(AND($V$9=1,(TRUNC(Courses!V187)&lt;&gt;Courses!V187)), "Row "&amp;Courses!$A187&amp;", "&amp;AU$9&amp;", "&amp;AU$10&amp;"; ","")</f>
        <v/>
      </c>
      <c r="AV193" t="str">
        <f>IF(AND($V$9=1,(TRUNC(Courses!W187)&lt;&gt;Courses!W187)), "Row "&amp;Courses!$A187&amp;", "&amp;AV$9&amp;", "&amp;AV$10&amp;", "&amp;AV$11&amp;"; ","")</f>
        <v/>
      </c>
      <c r="AW193" t="str">
        <f>IF(AND($V$9=1,(TRUNC(Courses!X187)&lt;&gt;Courses!X187)), "Row "&amp;Courses!$A187&amp;", "&amp;AW$9&amp;", "&amp;AW$10&amp;", "&amp;AW$11&amp;"; ","")</f>
        <v/>
      </c>
      <c r="AX193" t="str">
        <f>IF(AND($V$9=1,(TRUNC(Courses!Y187)&lt;&gt;Courses!Y187)), "Row "&amp;Courses!$A187&amp;", "&amp;AX$9&amp;", "&amp;AX$10&amp;", "&amp;AX$11&amp;"; ","")</f>
        <v/>
      </c>
      <c r="AY193" t="str">
        <f>IF(AND($V$9=1,(TRUNC(Courses!Z187)&lt;&gt;Courses!Z187)), "Row "&amp;Courses!$A187&amp;", "&amp;AY$9&amp;", "&amp;AY$10&amp;", "&amp;AY$11&amp;"; ","")</f>
        <v/>
      </c>
      <c r="AZ193" s="2120" t="str">
        <f>IF(AND($V$9=1,(TRUNC(Courses!AA187)&lt;&gt;Courses!AA187)), "Row "&amp;Courses!$A187&amp;", "&amp;AZ$9&amp;", "&amp;AZ$10&amp;"; ","")</f>
        <v/>
      </c>
      <c r="BC193" s="40">
        <v>174</v>
      </c>
      <c r="BD193" s="1593" t="str">
        <f>IF(AND($W$9=1,Courses!M187&lt;0), "Row "&amp;Courses!$A187&amp;", "&amp;BD$9&amp;", "&amp;BD$10&amp;", "&amp;BD$11&amp;"; ","")</f>
        <v/>
      </c>
      <c r="BE193" t="str">
        <f>IF(AND($W$9=1,Courses!N187&lt;0), "Row "&amp;Courses!$A187&amp;", "&amp;BE$9&amp;", "&amp;BE$10&amp;", "&amp;BE$11&amp;"; ","")</f>
        <v/>
      </c>
      <c r="BF193" t="str">
        <f>IF(AND($W$9=1,Courses!O187&lt;0), "Row "&amp;Courses!$A187&amp;", "&amp;BF$9&amp;", "&amp;BF$10&amp;", "&amp;BF$11&amp;"; ","")</f>
        <v/>
      </c>
      <c r="BG193" t="str">
        <f>IF(AND($W$9=1,Courses!P187&lt;0), "Row "&amp;Courses!$A187&amp;", "&amp;BG$9&amp;", "&amp;BG$10&amp;", "&amp;BG$11&amp;"; ","")</f>
        <v/>
      </c>
      <c r="BH193" s="2120" t="str">
        <f>IF(AND($W$9=1,Courses!Q187&lt;0), "Row "&amp;Courses!$A187&amp;", "&amp;BH$9&amp;", "&amp;BH$10&amp;"; ","")</f>
        <v/>
      </c>
      <c r="BI193" s="1593" t="str">
        <f>IF(AND($W$9=1,Courses!R187&lt;0), "Row "&amp;Courses!$A187&amp;", "&amp;BI$9&amp;", "&amp;BI$10&amp;", "&amp;BI$11&amp;"; ","")</f>
        <v/>
      </c>
      <c r="BJ193" t="str">
        <f>IF(AND($W$9=1,Courses!S187&lt;0), "Row "&amp;Courses!$A187&amp;", "&amp;BJ$9&amp;", "&amp;BJ$10&amp;", "&amp;BJ$11&amp;"; ","")</f>
        <v/>
      </c>
      <c r="BK193" t="str">
        <f>IF(AND($W$9=1,Courses!T187&lt;0), "Row "&amp;Courses!$A187&amp;", "&amp;BK$9&amp;", "&amp;BK$10&amp;", "&amp;BK$11&amp;"; ","")</f>
        <v/>
      </c>
      <c r="BL193" t="str">
        <f>IF(AND($W$9=1,Courses!U187&lt;0), "Row "&amp;Courses!$A187&amp;", "&amp;BL$9&amp;", "&amp;BL$10&amp;", "&amp;BL$11&amp;"; ","")</f>
        <v/>
      </c>
      <c r="BM193" s="2120" t="str">
        <f>IF(AND($W$9=1,Courses!V187&lt;0), "Row "&amp;Courses!$A187&amp;", "&amp;BM$9&amp;", "&amp;BM$10&amp;"; ","")</f>
        <v/>
      </c>
      <c r="BN193" t="str">
        <f>IF(AND($W$9=1,Courses!W187&lt;0), "Row "&amp;Courses!$A187&amp;", "&amp;BN$9&amp;", "&amp;BN$10&amp;", "&amp;BN$11&amp;"; ","")</f>
        <v/>
      </c>
      <c r="BO193" t="str">
        <f>IF(AND($W$9=1,Courses!X187&lt;0), "Row "&amp;Courses!$A187&amp;", "&amp;BO$9&amp;", "&amp;BO$10&amp;", "&amp;BO$11&amp;"; ","")</f>
        <v/>
      </c>
      <c r="BP193" t="str">
        <f>IF(AND($W$9=1,Courses!Y187&lt;0), "Row "&amp;Courses!$A187&amp;", "&amp;BP$9&amp;", "&amp;BP$10&amp;", "&amp;BP$11&amp;"; ","")</f>
        <v/>
      </c>
      <c r="BQ193" t="str">
        <f>IF(AND($W$9=1,Courses!Z187&lt;0), "Row "&amp;Courses!$A187&amp;", "&amp;BQ$9&amp;", "&amp;BQ$10&amp;", "&amp;BQ$11&amp;"; ","")</f>
        <v/>
      </c>
      <c r="BR193" s="2120" t="str">
        <f>IF(AND($W$9=1,Courses!AA187&lt;0), "Row "&amp;Courses!$A187&amp;", "&amp;BR$9&amp;", "&amp;BR$10&amp;"; ","")</f>
        <v/>
      </c>
      <c r="BT193" s="3">
        <f t="shared" si="5"/>
        <v>174</v>
      </c>
      <c r="BU193" s="40">
        <f>IF(AND($X$9=1,Courses!B187="",Courses!F187="",Courses!H187="",Courses!J187="",Courses!K187="",Courses!L187="",Courses!M187=0,Courses!N187=0,Courses!O187=0,Courses!P187=0,Courses!Q187=0,Courses!R187=0,Courses!S187=0,Courses!T187=0,Courses!U187=0,Courses!V187=0,Courses!W187=0,Courses!X187=0,Courses!Y187=0,Courses!Z187=0,Courses!AA187=0),0,1)</f>
        <v>0</v>
      </c>
      <c r="BV193" s="40">
        <f>IF(AND(BU193=0,SUM(BU194:$BU$219)&gt;0),1,0)</f>
        <v>0</v>
      </c>
      <c r="BW193" s="1592" t="str">
        <f>IF(BV193=1,"Row "&amp;Courses!A187&amp;"; ","")</f>
        <v/>
      </c>
      <c r="BX193" s="17"/>
      <c r="BZ193" s="1592" t="str">
        <f>IF(AND($Y$9=1,Courses!B187&lt;&gt;"",SUM(Courses!M187:AA187)=0),"Row "&amp;Courses!A187&amp;"; ","")</f>
        <v/>
      </c>
      <c r="CA193" s="17"/>
      <c r="CC193" s="1592" t="str">
        <f>IF(AND($Z$9=1,Courses!AD187=1,(LEN(Courses!AB187)&gt;200)),"Row "&amp;Courses!A187&amp;"; ","")</f>
        <v/>
      </c>
      <c r="CE193" s="131"/>
      <c r="CG193" s="1593" t="str">
        <f>IF(AND($AD$9=1,Courses!E187&lt;&gt;"",Courses!F187&lt;&gt;"",Courses!F187=0,SUM(Courses!H187,Courses!J187)=1),"Row "&amp;Courses!A187&amp;", "&amp;Courses!$F$10&amp;"; ","")</f>
        <v/>
      </c>
      <c r="CH193" t="str">
        <f>IF(AND($AD$9=1,Courses!G187&lt;&gt;"",Courses!H187&lt;&gt;"",Courses!H187=0,SUM(Courses!J187,Courses!F187)=1),"Row "&amp;Courses!A187&amp;", "&amp;Courses!$H$10&amp;"; ","")</f>
        <v/>
      </c>
      <c r="CI193" s="183" t="str">
        <f>IF(AND($AD$9=1,Courses!I187&lt;&gt;"",Courses!J187&lt;&gt;"",Courses!J187=0, SUM(Courses!H187,Courses!F187)=1),"Row "&amp;Courses!A187&amp;", "&amp;Courses!$J$10&amp;"; ","")</f>
        <v/>
      </c>
      <c r="CL193" s="1592" t="str">
        <f>IF(AND(Courses!B187&lt;&gt;"",ISNA(VLOOKUP(Courses!C187,CourseInfo,2,FALSE))=FALSE,COUNTIF(Dummy,Courses!C187)&lt;&gt;1),VLOOKUP(Courses!C187,CourseInfo,6,FALSE),"")</f>
        <v/>
      </c>
      <c r="CM193" s="1592" t="str">
        <f>IF(AND($AE$9=1,Courses!B187&lt;&gt;"",'Courses Valid'!AG193="",COUNTIF(Dummy,Courses!C187)&lt;&gt;1),IF(Courses!K187&lt;&gt;'Courses Valid'!CL193,"Row "&amp;Courses!A187&amp;", Level on LARS is "&amp;'Courses Valid'!CL193&amp;"; ",""),"")</f>
        <v/>
      </c>
      <c r="CN193" s="131"/>
    </row>
    <row r="194" spans="3:92" x14ac:dyDescent="0.35">
      <c r="C194" s="1595">
        <f t="shared" si="4"/>
        <v>0</v>
      </c>
      <c r="G194" s="1592" t="str">
        <f>IF(SUMPRODUCT(--(CourseAims=Courses!$C188))=1,"",IF(AND($N$9=1,Courses!$C188&lt;&gt;""),"Row "&amp;Courses!A188&amp;" (invalid); ",""))</f>
        <v/>
      </c>
      <c r="H194" s="1592" t="str">
        <f>IF(AND($O$9=1,Courses!B188="",OR(Courses!F188&lt;&gt;"",Courses!H188&lt;&gt;"",Courses!J188&lt;&gt;"",Courses!K188&lt;&gt;"",Courses!L188&lt;&gt;"",Courses!M188&lt;&gt;0,Courses!N188&lt;&gt;0,Courses!O188&lt;&gt;0,Courses!P188&lt;&gt;0,Courses!Q188&lt;&gt;0,Courses!R188&lt;&gt;0,Courses!S188&lt;&gt;0,Courses!T188&lt;&gt;0,Courses!U188&lt;&gt;0,Courses!V188&lt;&gt;0,Courses!W188&lt;&gt;0,Courses!X188&lt;&gt;0,Courses!Y188&lt;&gt;0,Courses!Z188&lt;&gt;0,Courses!AA188&lt;&gt;0)),"Row "&amp;Courses!A188&amp;" (none); ","")</f>
        <v/>
      </c>
      <c r="K194" s="1592" t="str">
        <f>Courses!B188&amp;Courses!K188&amp;Courses!L188</f>
        <v/>
      </c>
      <c r="L194" s="1592" t="str">
        <f>IF(AND($P$9=1,Courses!$B188&lt;&gt;"",COUNTIF(Dummy,Courses!$C188)&lt;&gt;1),IF(SUMPRODUCT(--($K$20:$K$219=$K194))&gt;1,"Row "&amp;Courses!$A188&amp;"; ",""),"")</f>
        <v/>
      </c>
      <c r="O194" s="1593" t="str">
        <f>IF(AND($Q$9=1,Courses!E188&lt;&gt;"",Courses!F188=""),"Row "&amp;Courses!A188&amp;", "&amp;Courses!$E$10&amp;"; ","")</f>
        <v/>
      </c>
      <c r="P194" t="str">
        <f>IF(AND($Q$9=1,Courses!G188&lt;&gt;"",Courses!H188=""),"Row "&amp;Courses!A188&amp;", "&amp;Courses!$G$10&amp;"; ","")</f>
        <v/>
      </c>
      <c r="Q194" s="183" t="str">
        <f>IF(AND($Q$9=1,Courses!I188&lt;&gt;"",Courses!J188=""),"Row "&amp;Courses!A188&amp;", "&amp;Courses!$I$10&amp;"; ","")</f>
        <v/>
      </c>
      <c r="U194" s="1593" t="str">
        <f>IF(AND($R$9=1,Courses!B188&lt;&gt;"",Courses!E188&lt;&gt;"",Courses!G188="",Courses!I188="",Courses!F188&lt;&gt;1),"Row "&amp;Courses!A188&amp;"; ","")</f>
        <v/>
      </c>
      <c r="V194" t="str">
        <f>IF(AND($R$9=1,Courses!B188&lt;&gt;"",Courses!I188="",Courses!F188&lt;&gt;"",Courses!G188&lt;&gt;"",Courses!H188&lt;&gt;""),IF(OR((Courses!F188+Courses!H188)&lt;&gt;1),"Row "&amp;Courses!A188&amp;"; ",""),"")</f>
        <v/>
      </c>
      <c r="W194" s="183" t="str">
        <f>IF(AND($R$9=1,Courses!B188&lt;&gt;"",Courses!I188&lt;&gt;"",Courses!J188&lt;&gt;"",Courses!H188&lt;&gt;"",Courses!G188&lt;&gt;"",Courses!F188&lt;&gt;""),IF(OR((Courses!F188+Courses!H188+Courses!J188)&lt;&gt;1),"Row "&amp;Courses!A188&amp;"; ",""),"")</f>
        <v/>
      </c>
      <c r="Y194" s="1592" t="str">
        <f>IF(AND($R$9=1,Courses!E188&lt;&gt;"",U194="",V194="",W194="",SUM(Courses!F188,Courses!H188,Courses!J188)&lt;&gt;1),"Row "&amp;Courses!A188&amp;"; ","")</f>
        <v/>
      </c>
      <c r="AB194" s="1593" t="str">
        <f>IF(AND($S$9=1,Courses!B188&lt;&gt;"",Courses!E188&lt;&gt;"",Courses!F188&lt;&gt;""),IF((TRUNC(Courses!F188*100)&lt;&gt;Courses!F188*100),"Row "&amp;Courses!A188&amp;", "&amp;Courses!$F$10&amp;"; ",""),"")</f>
        <v/>
      </c>
      <c r="AC194" t="str">
        <f>IF(AND($S$9=1,Courses!B188&lt;&gt;"",Courses!G188&lt;&gt;"",Courses!H188&lt;&gt;""),IF((TRUNC(Courses!H188*100)&lt;&gt;Courses!H188*100),"Row "&amp;Courses!A188&amp;", "&amp;Courses!$H$10&amp;"; ",""),"")</f>
        <v/>
      </c>
      <c r="AD194" s="183" t="str">
        <f>IF(AND($S$9=1,Courses!B188&lt;&gt;"",Courses!I188&lt;&gt;"",Courses!J188&lt;&gt;""),IF((TRUNC(Courses!J188*100)&lt;&gt;Courses!J188*100),"Row "&amp;Courses!A188&amp;", "&amp;Courses!$J$10&amp;"; ",""),"")</f>
        <v/>
      </c>
      <c r="AG194" s="1593" t="str">
        <f>IF(AND($T$9=1,G194="",Courses!B188&lt;&gt;"",Courses!K188&lt;&gt;$B$9,Courses!K188&lt;&gt;$B$10,Courses!K188&lt;&gt;$B$11,Courses!K188&lt;&gt;$B$12,Courses!K188&lt;&gt;$B$13,Courses!K188&lt;&gt;$B$14),"Row "&amp;Courses!A188&amp;"; ","")</f>
        <v/>
      </c>
      <c r="AH194" s="183" t="str">
        <f>IF(AND($U$9=1,G194="",Courses!B188&lt;&gt;"",Courses!L188&lt;&gt;"Standard",Courses!L188&lt;&gt;"Long"),"Row "&amp;Courses!A188&amp;"; ","")</f>
        <v/>
      </c>
      <c r="AK194" s="40">
        <v>175</v>
      </c>
      <c r="AL194" s="1593" t="str">
        <f>IF(AND($V$9=1,(TRUNC(Courses!M188)&lt;&gt;Courses!M188)), "Row "&amp;Courses!$A188&amp;", "&amp;AL$9&amp;", "&amp;AL$10&amp;", "&amp;AL$11&amp;"; ","")</f>
        <v/>
      </c>
      <c r="AM194" t="str">
        <f>IF(AND($V$9=1,(TRUNC(Courses!N188)&lt;&gt;Courses!N188)), "Row "&amp;Courses!$A188&amp;", "&amp;AM$9&amp;", "&amp;AM$10&amp;", "&amp;AM$11&amp;"; ","")</f>
        <v/>
      </c>
      <c r="AN194" t="str">
        <f>IF(AND($V$9=1,(TRUNC(Courses!O188)&lt;&gt;Courses!O188)), "Row "&amp;Courses!$A188&amp;", "&amp;AN$9&amp;", "&amp;AN$10&amp;", "&amp;AN$11&amp;"; ","")</f>
        <v/>
      </c>
      <c r="AO194" t="str">
        <f>IF(AND($V$9=1,(TRUNC(Courses!P188)&lt;&gt;Courses!P188)), "Row "&amp;Courses!$A188&amp;", "&amp;AO$9&amp;", "&amp;AO$10&amp;", "&amp;AO$11&amp;"; ","")</f>
        <v/>
      </c>
      <c r="AP194" s="2120" t="str">
        <f>IF(AND($V$9=1,(TRUNC(Courses!Q188)&lt;&gt;Courses!Q188)), "Row "&amp;Courses!$A188&amp;", "&amp;AP$9&amp;", "&amp;AP$10&amp;"; ","")</f>
        <v/>
      </c>
      <c r="AQ194" s="1593" t="str">
        <f>IF(AND($V$9=1,(TRUNC(Courses!R188)&lt;&gt;Courses!R188)), "Row "&amp;Courses!$A188&amp;", "&amp;AQ$9&amp;", "&amp;AQ$10&amp;", "&amp;AQ$11&amp;"; ","")</f>
        <v/>
      </c>
      <c r="AR194" t="str">
        <f>IF(AND($V$9=1,(TRUNC(Courses!S188)&lt;&gt;Courses!S188)), "Row "&amp;Courses!$A188&amp;", "&amp;AR$9&amp;", "&amp;AR$10&amp;", "&amp;AR$11&amp;"; ","")</f>
        <v/>
      </c>
      <c r="AS194" t="str">
        <f>IF(AND($V$9=1,(TRUNC(Courses!T188)&lt;&gt;Courses!T188)), "Row "&amp;Courses!$A188&amp;", "&amp;AS$9&amp;", "&amp;AS$10&amp;", "&amp;AS$11&amp;"; ","")</f>
        <v/>
      </c>
      <c r="AT194" t="str">
        <f>IF(AND($V$9=1,(TRUNC(Courses!U188)&lt;&gt;Courses!U188)), "Row "&amp;Courses!$A188&amp;", "&amp;AT$9&amp;", "&amp;AT$10&amp;", "&amp;AT$11&amp;"; ","")</f>
        <v/>
      </c>
      <c r="AU194" s="2120" t="str">
        <f>IF(AND($V$9=1,(TRUNC(Courses!V188)&lt;&gt;Courses!V188)), "Row "&amp;Courses!$A188&amp;", "&amp;AU$9&amp;", "&amp;AU$10&amp;"; ","")</f>
        <v/>
      </c>
      <c r="AV194" t="str">
        <f>IF(AND($V$9=1,(TRUNC(Courses!W188)&lt;&gt;Courses!W188)), "Row "&amp;Courses!$A188&amp;", "&amp;AV$9&amp;", "&amp;AV$10&amp;", "&amp;AV$11&amp;"; ","")</f>
        <v/>
      </c>
      <c r="AW194" t="str">
        <f>IF(AND($V$9=1,(TRUNC(Courses!X188)&lt;&gt;Courses!X188)), "Row "&amp;Courses!$A188&amp;", "&amp;AW$9&amp;", "&amp;AW$10&amp;", "&amp;AW$11&amp;"; ","")</f>
        <v/>
      </c>
      <c r="AX194" t="str">
        <f>IF(AND($V$9=1,(TRUNC(Courses!Y188)&lt;&gt;Courses!Y188)), "Row "&amp;Courses!$A188&amp;", "&amp;AX$9&amp;", "&amp;AX$10&amp;", "&amp;AX$11&amp;"; ","")</f>
        <v/>
      </c>
      <c r="AY194" t="str">
        <f>IF(AND($V$9=1,(TRUNC(Courses!Z188)&lt;&gt;Courses!Z188)), "Row "&amp;Courses!$A188&amp;", "&amp;AY$9&amp;", "&amp;AY$10&amp;", "&amp;AY$11&amp;"; ","")</f>
        <v/>
      </c>
      <c r="AZ194" s="2120" t="str">
        <f>IF(AND($V$9=1,(TRUNC(Courses!AA188)&lt;&gt;Courses!AA188)), "Row "&amp;Courses!$A188&amp;", "&amp;AZ$9&amp;", "&amp;AZ$10&amp;"; ","")</f>
        <v/>
      </c>
      <c r="BC194" s="40">
        <v>175</v>
      </c>
      <c r="BD194" s="1593" t="str">
        <f>IF(AND($W$9=1,Courses!M188&lt;0), "Row "&amp;Courses!$A188&amp;", "&amp;BD$9&amp;", "&amp;BD$10&amp;", "&amp;BD$11&amp;"; ","")</f>
        <v/>
      </c>
      <c r="BE194" t="str">
        <f>IF(AND($W$9=1,Courses!N188&lt;0), "Row "&amp;Courses!$A188&amp;", "&amp;BE$9&amp;", "&amp;BE$10&amp;", "&amp;BE$11&amp;"; ","")</f>
        <v/>
      </c>
      <c r="BF194" t="str">
        <f>IF(AND($W$9=1,Courses!O188&lt;0), "Row "&amp;Courses!$A188&amp;", "&amp;BF$9&amp;", "&amp;BF$10&amp;", "&amp;BF$11&amp;"; ","")</f>
        <v/>
      </c>
      <c r="BG194" t="str">
        <f>IF(AND($W$9=1,Courses!P188&lt;0), "Row "&amp;Courses!$A188&amp;", "&amp;BG$9&amp;", "&amp;BG$10&amp;", "&amp;BG$11&amp;"; ","")</f>
        <v/>
      </c>
      <c r="BH194" s="2120" t="str">
        <f>IF(AND($W$9=1,Courses!Q188&lt;0), "Row "&amp;Courses!$A188&amp;", "&amp;BH$9&amp;", "&amp;BH$10&amp;"; ","")</f>
        <v/>
      </c>
      <c r="BI194" s="1593" t="str">
        <f>IF(AND($W$9=1,Courses!R188&lt;0), "Row "&amp;Courses!$A188&amp;", "&amp;BI$9&amp;", "&amp;BI$10&amp;", "&amp;BI$11&amp;"; ","")</f>
        <v/>
      </c>
      <c r="BJ194" t="str">
        <f>IF(AND($W$9=1,Courses!S188&lt;0), "Row "&amp;Courses!$A188&amp;", "&amp;BJ$9&amp;", "&amp;BJ$10&amp;", "&amp;BJ$11&amp;"; ","")</f>
        <v/>
      </c>
      <c r="BK194" t="str">
        <f>IF(AND($W$9=1,Courses!T188&lt;0), "Row "&amp;Courses!$A188&amp;", "&amp;BK$9&amp;", "&amp;BK$10&amp;", "&amp;BK$11&amp;"; ","")</f>
        <v/>
      </c>
      <c r="BL194" t="str">
        <f>IF(AND($W$9=1,Courses!U188&lt;0), "Row "&amp;Courses!$A188&amp;", "&amp;BL$9&amp;", "&amp;BL$10&amp;", "&amp;BL$11&amp;"; ","")</f>
        <v/>
      </c>
      <c r="BM194" s="2120" t="str">
        <f>IF(AND($W$9=1,Courses!V188&lt;0), "Row "&amp;Courses!$A188&amp;", "&amp;BM$9&amp;", "&amp;BM$10&amp;"; ","")</f>
        <v/>
      </c>
      <c r="BN194" t="str">
        <f>IF(AND($W$9=1,Courses!W188&lt;0), "Row "&amp;Courses!$A188&amp;", "&amp;BN$9&amp;", "&amp;BN$10&amp;", "&amp;BN$11&amp;"; ","")</f>
        <v/>
      </c>
      <c r="BO194" t="str">
        <f>IF(AND($W$9=1,Courses!X188&lt;0), "Row "&amp;Courses!$A188&amp;", "&amp;BO$9&amp;", "&amp;BO$10&amp;", "&amp;BO$11&amp;"; ","")</f>
        <v/>
      </c>
      <c r="BP194" t="str">
        <f>IF(AND($W$9=1,Courses!Y188&lt;0), "Row "&amp;Courses!$A188&amp;", "&amp;BP$9&amp;", "&amp;BP$10&amp;", "&amp;BP$11&amp;"; ","")</f>
        <v/>
      </c>
      <c r="BQ194" t="str">
        <f>IF(AND($W$9=1,Courses!Z188&lt;0), "Row "&amp;Courses!$A188&amp;", "&amp;BQ$9&amp;", "&amp;BQ$10&amp;", "&amp;BQ$11&amp;"; ","")</f>
        <v/>
      </c>
      <c r="BR194" s="2120" t="str">
        <f>IF(AND($W$9=1,Courses!AA188&lt;0), "Row "&amp;Courses!$A188&amp;", "&amp;BR$9&amp;", "&amp;BR$10&amp;"; ","")</f>
        <v/>
      </c>
      <c r="BT194" s="3">
        <f t="shared" si="5"/>
        <v>175</v>
      </c>
      <c r="BU194" s="40">
        <f>IF(AND($X$9=1,Courses!B188="",Courses!F188="",Courses!H188="",Courses!J188="",Courses!K188="",Courses!L188="",Courses!M188=0,Courses!N188=0,Courses!O188=0,Courses!P188=0,Courses!Q188=0,Courses!R188=0,Courses!S188=0,Courses!T188=0,Courses!U188=0,Courses!V188=0,Courses!W188=0,Courses!X188=0,Courses!Y188=0,Courses!Z188=0,Courses!AA188=0),0,1)</f>
        <v>0</v>
      </c>
      <c r="BV194" s="40">
        <f>IF(AND(BU194=0,SUM(BU195:$BU$219)&gt;0),1,0)</f>
        <v>0</v>
      </c>
      <c r="BW194" s="1592" t="str">
        <f>IF(BV194=1,"Row "&amp;Courses!A188&amp;"; ","")</f>
        <v/>
      </c>
      <c r="BX194" s="17"/>
      <c r="BZ194" s="1592" t="str">
        <f>IF(AND($Y$9=1,Courses!B188&lt;&gt;"",SUM(Courses!M188:AA188)=0),"Row "&amp;Courses!A188&amp;"; ","")</f>
        <v/>
      </c>
      <c r="CA194" s="17"/>
      <c r="CC194" s="1592" t="str">
        <f>IF(AND($Z$9=1,Courses!AD188=1,(LEN(Courses!AB188)&gt;200)),"Row "&amp;Courses!A188&amp;"; ","")</f>
        <v/>
      </c>
      <c r="CE194" s="131"/>
      <c r="CG194" s="1593" t="str">
        <f>IF(AND($AD$9=1,Courses!E188&lt;&gt;"",Courses!F188&lt;&gt;"",Courses!F188=0,SUM(Courses!H188,Courses!J188)=1),"Row "&amp;Courses!A188&amp;", "&amp;Courses!$F$10&amp;"; ","")</f>
        <v/>
      </c>
      <c r="CH194" t="str">
        <f>IF(AND($AD$9=1,Courses!G188&lt;&gt;"",Courses!H188&lt;&gt;"",Courses!H188=0,SUM(Courses!J188,Courses!F188)=1),"Row "&amp;Courses!A188&amp;", "&amp;Courses!$H$10&amp;"; ","")</f>
        <v/>
      </c>
      <c r="CI194" s="183" t="str">
        <f>IF(AND($AD$9=1,Courses!I188&lt;&gt;"",Courses!J188&lt;&gt;"",Courses!J188=0, SUM(Courses!H188,Courses!F188)=1),"Row "&amp;Courses!A188&amp;", "&amp;Courses!$J$10&amp;"; ","")</f>
        <v/>
      </c>
      <c r="CL194" s="1592" t="str">
        <f>IF(AND(Courses!B188&lt;&gt;"",ISNA(VLOOKUP(Courses!C188,CourseInfo,2,FALSE))=FALSE,COUNTIF(Dummy,Courses!C188)&lt;&gt;1),VLOOKUP(Courses!C188,CourseInfo,6,FALSE),"")</f>
        <v/>
      </c>
      <c r="CM194" s="1592" t="str">
        <f>IF(AND($AE$9=1,Courses!B188&lt;&gt;"",'Courses Valid'!AG194="",COUNTIF(Dummy,Courses!C188)&lt;&gt;1),IF(Courses!K188&lt;&gt;'Courses Valid'!CL194,"Row "&amp;Courses!A188&amp;", Level on LARS is "&amp;'Courses Valid'!CL194&amp;"; ",""),"")</f>
        <v/>
      </c>
      <c r="CN194" s="131"/>
    </row>
    <row r="195" spans="3:92" x14ac:dyDescent="0.35">
      <c r="C195" s="1595">
        <f t="shared" si="4"/>
        <v>0</v>
      </c>
      <c r="G195" s="1592" t="str">
        <f>IF(SUMPRODUCT(--(CourseAims=Courses!$C189))=1,"",IF(AND($N$9=1,Courses!$C189&lt;&gt;""),"Row "&amp;Courses!A189&amp;" (invalid); ",""))</f>
        <v/>
      </c>
      <c r="H195" s="1592" t="str">
        <f>IF(AND($O$9=1,Courses!B189="",OR(Courses!F189&lt;&gt;"",Courses!H189&lt;&gt;"",Courses!J189&lt;&gt;"",Courses!K189&lt;&gt;"",Courses!L189&lt;&gt;"",Courses!M189&lt;&gt;0,Courses!N189&lt;&gt;0,Courses!O189&lt;&gt;0,Courses!P189&lt;&gt;0,Courses!Q189&lt;&gt;0,Courses!R189&lt;&gt;0,Courses!S189&lt;&gt;0,Courses!T189&lt;&gt;0,Courses!U189&lt;&gt;0,Courses!V189&lt;&gt;0,Courses!W189&lt;&gt;0,Courses!X189&lt;&gt;0,Courses!Y189&lt;&gt;0,Courses!Z189&lt;&gt;0,Courses!AA189&lt;&gt;0)),"Row "&amp;Courses!A189&amp;" (none); ","")</f>
        <v/>
      </c>
      <c r="K195" s="1592" t="str">
        <f>Courses!B189&amp;Courses!K189&amp;Courses!L189</f>
        <v/>
      </c>
      <c r="L195" s="1592" t="str">
        <f>IF(AND($P$9=1,Courses!$B189&lt;&gt;"",COUNTIF(Dummy,Courses!$C189)&lt;&gt;1),IF(SUMPRODUCT(--($K$20:$K$219=$K195))&gt;1,"Row "&amp;Courses!$A189&amp;"; ",""),"")</f>
        <v/>
      </c>
      <c r="O195" s="1593" t="str">
        <f>IF(AND($Q$9=1,Courses!E189&lt;&gt;"",Courses!F189=""),"Row "&amp;Courses!A189&amp;", "&amp;Courses!$E$10&amp;"; ","")</f>
        <v/>
      </c>
      <c r="P195" t="str">
        <f>IF(AND($Q$9=1,Courses!G189&lt;&gt;"",Courses!H189=""),"Row "&amp;Courses!A189&amp;", "&amp;Courses!$G$10&amp;"; ","")</f>
        <v/>
      </c>
      <c r="Q195" s="183" t="str">
        <f>IF(AND($Q$9=1,Courses!I189&lt;&gt;"",Courses!J189=""),"Row "&amp;Courses!A189&amp;", "&amp;Courses!$I$10&amp;"; ","")</f>
        <v/>
      </c>
      <c r="U195" s="1593" t="str">
        <f>IF(AND($R$9=1,Courses!B189&lt;&gt;"",Courses!E189&lt;&gt;"",Courses!G189="",Courses!I189="",Courses!F189&lt;&gt;1),"Row "&amp;Courses!A189&amp;"; ","")</f>
        <v/>
      </c>
      <c r="V195" t="str">
        <f>IF(AND($R$9=1,Courses!B189&lt;&gt;"",Courses!I189="",Courses!F189&lt;&gt;"",Courses!G189&lt;&gt;"",Courses!H189&lt;&gt;""),IF(OR((Courses!F189+Courses!H189)&lt;&gt;1),"Row "&amp;Courses!A189&amp;"; ",""),"")</f>
        <v/>
      </c>
      <c r="W195" s="183" t="str">
        <f>IF(AND($R$9=1,Courses!B189&lt;&gt;"",Courses!I189&lt;&gt;"",Courses!J189&lt;&gt;"",Courses!H189&lt;&gt;"",Courses!G189&lt;&gt;"",Courses!F189&lt;&gt;""),IF(OR((Courses!F189+Courses!H189+Courses!J189)&lt;&gt;1),"Row "&amp;Courses!A189&amp;"; ",""),"")</f>
        <v/>
      </c>
      <c r="Y195" s="1592" t="str">
        <f>IF(AND($R$9=1,Courses!E189&lt;&gt;"",U195="",V195="",W195="",SUM(Courses!F189,Courses!H189,Courses!J189)&lt;&gt;1),"Row "&amp;Courses!A189&amp;"; ","")</f>
        <v/>
      </c>
      <c r="AB195" s="1593" t="str">
        <f>IF(AND($S$9=1,Courses!B189&lt;&gt;"",Courses!E189&lt;&gt;"",Courses!F189&lt;&gt;""),IF((TRUNC(Courses!F189*100)&lt;&gt;Courses!F189*100),"Row "&amp;Courses!A189&amp;", "&amp;Courses!$F$10&amp;"; ",""),"")</f>
        <v/>
      </c>
      <c r="AC195" t="str">
        <f>IF(AND($S$9=1,Courses!B189&lt;&gt;"",Courses!G189&lt;&gt;"",Courses!H189&lt;&gt;""),IF((TRUNC(Courses!H189*100)&lt;&gt;Courses!H189*100),"Row "&amp;Courses!A189&amp;", "&amp;Courses!$H$10&amp;"; ",""),"")</f>
        <v/>
      </c>
      <c r="AD195" s="183" t="str">
        <f>IF(AND($S$9=1,Courses!B189&lt;&gt;"",Courses!I189&lt;&gt;"",Courses!J189&lt;&gt;""),IF((TRUNC(Courses!J189*100)&lt;&gt;Courses!J189*100),"Row "&amp;Courses!A189&amp;", "&amp;Courses!$J$10&amp;"; ",""),"")</f>
        <v/>
      </c>
      <c r="AG195" s="1593" t="str">
        <f>IF(AND($T$9=1,G195="",Courses!B189&lt;&gt;"",Courses!K189&lt;&gt;$B$9,Courses!K189&lt;&gt;$B$10,Courses!K189&lt;&gt;$B$11,Courses!K189&lt;&gt;$B$12,Courses!K189&lt;&gt;$B$13,Courses!K189&lt;&gt;$B$14),"Row "&amp;Courses!A189&amp;"; ","")</f>
        <v/>
      </c>
      <c r="AH195" s="183" t="str">
        <f>IF(AND($U$9=1,G195="",Courses!B189&lt;&gt;"",Courses!L189&lt;&gt;"Standard",Courses!L189&lt;&gt;"Long"),"Row "&amp;Courses!A189&amp;"; ","")</f>
        <v/>
      </c>
      <c r="AK195" s="40">
        <v>176</v>
      </c>
      <c r="AL195" s="1593" t="str">
        <f>IF(AND($V$9=1,(TRUNC(Courses!M189)&lt;&gt;Courses!M189)), "Row "&amp;Courses!$A189&amp;", "&amp;AL$9&amp;", "&amp;AL$10&amp;", "&amp;AL$11&amp;"; ","")</f>
        <v/>
      </c>
      <c r="AM195" t="str">
        <f>IF(AND($V$9=1,(TRUNC(Courses!N189)&lt;&gt;Courses!N189)), "Row "&amp;Courses!$A189&amp;", "&amp;AM$9&amp;", "&amp;AM$10&amp;", "&amp;AM$11&amp;"; ","")</f>
        <v/>
      </c>
      <c r="AN195" t="str">
        <f>IF(AND($V$9=1,(TRUNC(Courses!O189)&lt;&gt;Courses!O189)), "Row "&amp;Courses!$A189&amp;", "&amp;AN$9&amp;", "&amp;AN$10&amp;", "&amp;AN$11&amp;"; ","")</f>
        <v/>
      </c>
      <c r="AO195" t="str">
        <f>IF(AND($V$9=1,(TRUNC(Courses!P189)&lt;&gt;Courses!P189)), "Row "&amp;Courses!$A189&amp;", "&amp;AO$9&amp;", "&amp;AO$10&amp;", "&amp;AO$11&amp;"; ","")</f>
        <v/>
      </c>
      <c r="AP195" s="2120" t="str">
        <f>IF(AND($V$9=1,(TRUNC(Courses!Q189)&lt;&gt;Courses!Q189)), "Row "&amp;Courses!$A189&amp;", "&amp;AP$9&amp;", "&amp;AP$10&amp;"; ","")</f>
        <v/>
      </c>
      <c r="AQ195" s="1593" t="str">
        <f>IF(AND($V$9=1,(TRUNC(Courses!R189)&lt;&gt;Courses!R189)), "Row "&amp;Courses!$A189&amp;", "&amp;AQ$9&amp;", "&amp;AQ$10&amp;", "&amp;AQ$11&amp;"; ","")</f>
        <v/>
      </c>
      <c r="AR195" t="str">
        <f>IF(AND($V$9=1,(TRUNC(Courses!S189)&lt;&gt;Courses!S189)), "Row "&amp;Courses!$A189&amp;", "&amp;AR$9&amp;", "&amp;AR$10&amp;", "&amp;AR$11&amp;"; ","")</f>
        <v/>
      </c>
      <c r="AS195" t="str">
        <f>IF(AND($V$9=1,(TRUNC(Courses!T189)&lt;&gt;Courses!T189)), "Row "&amp;Courses!$A189&amp;", "&amp;AS$9&amp;", "&amp;AS$10&amp;", "&amp;AS$11&amp;"; ","")</f>
        <v/>
      </c>
      <c r="AT195" t="str">
        <f>IF(AND($V$9=1,(TRUNC(Courses!U189)&lt;&gt;Courses!U189)), "Row "&amp;Courses!$A189&amp;", "&amp;AT$9&amp;", "&amp;AT$10&amp;", "&amp;AT$11&amp;"; ","")</f>
        <v/>
      </c>
      <c r="AU195" s="2120" t="str">
        <f>IF(AND($V$9=1,(TRUNC(Courses!V189)&lt;&gt;Courses!V189)), "Row "&amp;Courses!$A189&amp;", "&amp;AU$9&amp;", "&amp;AU$10&amp;"; ","")</f>
        <v/>
      </c>
      <c r="AV195" t="str">
        <f>IF(AND($V$9=1,(TRUNC(Courses!W189)&lt;&gt;Courses!W189)), "Row "&amp;Courses!$A189&amp;", "&amp;AV$9&amp;", "&amp;AV$10&amp;", "&amp;AV$11&amp;"; ","")</f>
        <v/>
      </c>
      <c r="AW195" t="str">
        <f>IF(AND($V$9=1,(TRUNC(Courses!X189)&lt;&gt;Courses!X189)), "Row "&amp;Courses!$A189&amp;", "&amp;AW$9&amp;", "&amp;AW$10&amp;", "&amp;AW$11&amp;"; ","")</f>
        <v/>
      </c>
      <c r="AX195" t="str">
        <f>IF(AND($V$9=1,(TRUNC(Courses!Y189)&lt;&gt;Courses!Y189)), "Row "&amp;Courses!$A189&amp;", "&amp;AX$9&amp;", "&amp;AX$10&amp;", "&amp;AX$11&amp;"; ","")</f>
        <v/>
      </c>
      <c r="AY195" t="str">
        <f>IF(AND($V$9=1,(TRUNC(Courses!Z189)&lt;&gt;Courses!Z189)), "Row "&amp;Courses!$A189&amp;", "&amp;AY$9&amp;", "&amp;AY$10&amp;", "&amp;AY$11&amp;"; ","")</f>
        <v/>
      </c>
      <c r="AZ195" s="2120" t="str">
        <f>IF(AND($V$9=1,(TRUNC(Courses!AA189)&lt;&gt;Courses!AA189)), "Row "&amp;Courses!$A189&amp;", "&amp;AZ$9&amp;", "&amp;AZ$10&amp;"; ","")</f>
        <v/>
      </c>
      <c r="BC195" s="40">
        <v>176</v>
      </c>
      <c r="BD195" s="1593" t="str">
        <f>IF(AND($W$9=1,Courses!M189&lt;0), "Row "&amp;Courses!$A189&amp;", "&amp;BD$9&amp;", "&amp;BD$10&amp;", "&amp;BD$11&amp;"; ","")</f>
        <v/>
      </c>
      <c r="BE195" t="str">
        <f>IF(AND($W$9=1,Courses!N189&lt;0), "Row "&amp;Courses!$A189&amp;", "&amp;BE$9&amp;", "&amp;BE$10&amp;", "&amp;BE$11&amp;"; ","")</f>
        <v/>
      </c>
      <c r="BF195" t="str">
        <f>IF(AND($W$9=1,Courses!O189&lt;0), "Row "&amp;Courses!$A189&amp;", "&amp;BF$9&amp;", "&amp;BF$10&amp;", "&amp;BF$11&amp;"; ","")</f>
        <v/>
      </c>
      <c r="BG195" t="str">
        <f>IF(AND($W$9=1,Courses!P189&lt;0), "Row "&amp;Courses!$A189&amp;", "&amp;BG$9&amp;", "&amp;BG$10&amp;", "&amp;BG$11&amp;"; ","")</f>
        <v/>
      </c>
      <c r="BH195" s="2120" t="str">
        <f>IF(AND($W$9=1,Courses!Q189&lt;0), "Row "&amp;Courses!$A189&amp;", "&amp;BH$9&amp;", "&amp;BH$10&amp;"; ","")</f>
        <v/>
      </c>
      <c r="BI195" s="1593" t="str">
        <f>IF(AND($W$9=1,Courses!R189&lt;0), "Row "&amp;Courses!$A189&amp;", "&amp;BI$9&amp;", "&amp;BI$10&amp;", "&amp;BI$11&amp;"; ","")</f>
        <v/>
      </c>
      <c r="BJ195" t="str">
        <f>IF(AND($W$9=1,Courses!S189&lt;0), "Row "&amp;Courses!$A189&amp;", "&amp;BJ$9&amp;", "&amp;BJ$10&amp;", "&amp;BJ$11&amp;"; ","")</f>
        <v/>
      </c>
      <c r="BK195" t="str">
        <f>IF(AND($W$9=1,Courses!T189&lt;0), "Row "&amp;Courses!$A189&amp;", "&amp;BK$9&amp;", "&amp;BK$10&amp;", "&amp;BK$11&amp;"; ","")</f>
        <v/>
      </c>
      <c r="BL195" t="str">
        <f>IF(AND($W$9=1,Courses!U189&lt;0), "Row "&amp;Courses!$A189&amp;", "&amp;BL$9&amp;", "&amp;BL$10&amp;", "&amp;BL$11&amp;"; ","")</f>
        <v/>
      </c>
      <c r="BM195" s="2120" t="str">
        <f>IF(AND($W$9=1,Courses!V189&lt;0), "Row "&amp;Courses!$A189&amp;", "&amp;BM$9&amp;", "&amp;BM$10&amp;"; ","")</f>
        <v/>
      </c>
      <c r="BN195" t="str">
        <f>IF(AND($W$9=1,Courses!W189&lt;0), "Row "&amp;Courses!$A189&amp;", "&amp;BN$9&amp;", "&amp;BN$10&amp;", "&amp;BN$11&amp;"; ","")</f>
        <v/>
      </c>
      <c r="BO195" t="str">
        <f>IF(AND($W$9=1,Courses!X189&lt;0), "Row "&amp;Courses!$A189&amp;", "&amp;BO$9&amp;", "&amp;BO$10&amp;", "&amp;BO$11&amp;"; ","")</f>
        <v/>
      </c>
      <c r="BP195" t="str">
        <f>IF(AND($W$9=1,Courses!Y189&lt;0), "Row "&amp;Courses!$A189&amp;", "&amp;BP$9&amp;", "&amp;BP$10&amp;", "&amp;BP$11&amp;"; ","")</f>
        <v/>
      </c>
      <c r="BQ195" t="str">
        <f>IF(AND($W$9=1,Courses!Z189&lt;0), "Row "&amp;Courses!$A189&amp;", "&amp;BQ$9&amp;", "&amp;BQ$10&amp;", "&amp;BQ$11&amp;"; ","")</f>
        <v/>
      </c>
      <c r="BR195" s="2120" t="str">
        <f>IF(AND($W$9=1,Courses!AA189&lt;0), "Row "&amp;Courses!$A189&amp;", "&amp;BR$9&amp;", "&amp;BR$10&amp;"; ","")</f>
        <v/>
      </c>
      <c r="BT195" s="3">
        <f t="shared" si="5"/>
        <v>176</v>
      </c>
      <c r="BU195" s="40">
        <f>IF(AND($X$9=1,Courses!B189="",Courses!F189="",Courses!H189="",Courses!J189="",Courses!K189="",Courses!L189="",Courses!M189=0,Courses!N189=0,Courses!O189=0,Courses!P189=0,Courses!Q189=0,Courses!R189=0,Courses!S189=0,Courses!T189=0,Courses!U189=0,Courses!V189=0,Courses!W189=0,Courses!X189=0,Courses!Y189=0,Courses!Z189=0,Courses!AA189=0),0,1)</f>
        <v>0</v>
      </c>
      <c r="BV195" s="40">
        <f>IF(AND(BU195=0,SUM(BU196:$BU$219)&gt;0),1,0)</f>
        <v>0</v>
      </c>
      <c r="BW195" s="1592" t="str">
        <f>IF(BV195=1,"Row "&amp;Courses!A189&amp;"; ","")</f>
        <v/>
      </c>
      <c r="BX195" s="17"/>
      <c r="BZ195" s="1592" t="str">
        <f>IF(AND($Y$9=1,Courses!B189&lt;&gt;"",SUM(Courses!M189:AA189)=0),"Row "&amp;Courses!A189&amp;"; ","")</f>
        <v/>
      </c>
      <c r="CA195" s="17"/>
      <c r="CC195" s="1592" t="str">
        <f>IF(AND($Z$9=1,Courses!AD189=1,(LEN(Courses!AB189)&gt;200)),"Row "&amp;Courses!A189&amp;"; ","")</f>
        <v/>
      </c>
      <c r="CE195" s="131"/>
      <c r="CG195" s="1593" t="str">
        <f>IF(AND($AD$9=1,Courses!E189&lt;&gt;"",Courses!F189&lt;&gt;"",Courses!F189=0,SUM(Courses!H189,Courses!J189)=1),"Row "&amp;Courses!A189&amp;", "&amp;Courses!$F$10&amp;"; ","")</f>
        <v/>
      </c>
      <c r="CH195" t="str">
        <f>IF(AND($AD$9=1,Courses!G189&lt;&gt;"",Courses!H189&lt;&gt;"",Courses!H189=0,SUM(Courses!J189,Courses!F189)=1),"Row "&amp;Courses!A189&amp;", "&amp;Courses!$H$10&amp;"; ","")</f>
        <v/>
      </c>
      <c r="CI195" s="183" t="str">
        <f>IF(AND($AD$9=1,Courses!I189&lt;&gt;"",Courses!J189&lt;&gt;"",Courses!J189=0, SUM(Courses!H189,Courses!F189)=1),"Row "&amp;Courses!A189&amp;", "&amp;Courses!$J$10&amp;"; ","")</f>
        <v/>
      </c>
      <c r="CL195" s="1592" t="str">
        <f>IF(AND(Courses!B189&lt;&gt;"",ISNA(VLOOKUP(Courses!C189,CourseInfo,2,FALSE))=FALSE,COUNTIF(Dummy,Courses!C189)&lt;&gt;1),VLOOKUP(Courses!C189,CourseInfo,6,FALSE),"")</f>
        <v/>
      </c>
      <c r="CM195" s="1592" t="str">
        <f>IF(AND($AE$9=1,Courses!B189&lt;&gt;"",'Courses Valid'!AG195="",COUNTIF(Dummy,Courses!C189)&lt;&gt;1),IF(Courses!K189&lt;&gt;'Courses Valid'!CL195,"Row "&amp;Courses!A189&amp;", Level on LARS is "&amp;'Courses Valid'!CL195&amp;"; ",""),"")</f>
        <v/>
      </c>
      <c r="CN195" s="131"/>
    </row>
    <row r="196" spans="3:92" x14ac:dyDescent="0.35">
      <c r="C196" s="1595">
        <f t="shared" si="4"/>
        <v>0</v>
      </c>
      <c r="G196" s="1592" t="str">
        <f>IF(SUMPRODUCT(--(CourseAims=Courses!$C190))=1,"",IF(AND($N$9=1,Courses!$C190&lt;&gt;""),"Row "&amp;Courses!A190&amp;" (invalid); ",""))</f>
        <v/>
      </c>
      <c r="H196" s="1592" t="str">
        <f>IF(AND($O$9=1,Courses!B190="",OR(Courses!F190&lt;&gt;"",Courses!H190&lt;&gt;"",Courses!J190&lt;&gt;"",Courses!K190&lt;&gt;"",Courses!L190&lt;&gt;"",Courses!M190&lt;&gt;0,Courses!N190&lt;&gt;0,Courses!O190&lt;&gt;0,Courses!P190&lt;&gt;0,Courses!Q190&lt;&gt;0,Courses!R190&lt;&gt;0,Courses!S190&lt;&gt;0,Courses!T190&lt;&gt;0,Courses!U190&lt;&gt;0,Courses!V190&lt;&gt;0,Courses!W190&lt;&gt;0,Courses!X190&lt;&gt;0,Courses!Y190&lt;&gt;0,Courses!Z190&lt;&gt;0,Courses!AA190&lt;&gt;0)),"Row "&amp;Courses!A190&amp;" (none); ","")</f>
        <v/>
      </c>
      <c r="K196" s="1592" t="str">
        <f>Courses!B190&amp;Courses!K190&amp;Courses!L190</f>
        <v/>
      </c>
      <c r="L196" s="1592" t="str">
        <f>IF(AND($P$9=1,Courses!$B190&lt;&gt;"",COUNTIF(Dummy,Courses!$C190)&lt;&gt;1),IF(SUMPRODUCT(--($K$20:$K$219=$K196))&gt;1,"Row "&amp;Courses!$A190&amp;"; ",""),"")</f>
        <v/>
      </c>
      <c r="O196" s="1593" t="str">
        <f>IF(AND($Q$9=1,Courses!E190&lt;&gt;"",Courses!F190=""),"Row "&amp;Courses!A190&amp;", "&amp;Courses!$E$10&amp;"; ","")</f>
        <v/>
      </c>
      <c r="P196" t="str">
        <f>IF(AND($Q$9=1,Courses!G190&lt;&gt;"",Courses!H190=""),"Row "&amp;Courses!A190&amp;", "&amp;Courses!$G$10&amp;"; ","")</f>
        <v/>
      </c>
      <c r="Q196" s="183" t="str">
        <f>IF(AND($Q$9=1,Courses!I190&lt;&gt;"",Courses!J190=""),"Row "&amp;Courses!A190&amp;", "&amp;Courses!$I$10&amp;"; ","")</f>
        <v/>
      </c>
      <c r="U196" s="1593" t="str">
        <f>IF(AND($R$9=1,Courses!B190&lt;&gt;"",Courses!E190&lt;&gt;"",Courses!G190="",Courses!I190="",Courses!F190&lt;&gt;1),"Row "&amp;Courses!A190&amp;"; ","")</f>
        <v/>
      </c>
      <c r="V196" t="str">
        <f>IF(AND($R$9=1,Courses!B190&lt;&gt;"",Courses!I190="",Courses!F190&lt;&gt;"",Courses!G190&lt;&gt;"",Courses!H190&lt;&gt;""),IF(OR((Courses!F190+Courses!H190)&lt;&gt;1),"Row "&amp;Courses!A190&amp;"; ",""),"")</f>
        <v/>
      </c>
      <c r="W196" s="183" t="str">
        <f>IF(AND($R$9=1,Courses!B190&lt;&gt;"",Courses!I190&lt;&gt;"",Courses!J190&lt;&gt;"",Courses!H190&lt;&gt;"",Courses!G190&lt;&gt;"",Courses!F190&lt;&gt;""),IF(OR((Courses!F190+Courses!H190+Courses!J190)&lt;&gt;1),"Row "&amp;Courses!A190&amp;"; ",""),"")</f>
        <v/>
      </c>
      <c r="Y196" s="1592" t="str">
        <f>IF(AND($R$9=1,Courses!E190&lt;&gt;"",U196="",V196="",W196="",SUM(Courses!F190,Courses!H190,Courses!J190)&lt;&gt;1),"Row "&amp;Courses!A190&amp;"; ","")</f>
        <v/>
      </c>
      <c r="AB196" s="1593" t="str">
        <f>IF(AND($S$9=1,Courses!B190&lt;&gt;"",Courses!E190&lt;&gt;"",Courses!F190&lt;&gt;""),IF((TRUNC(Courses!F190*100)&lt;&gt;Courses!F190*100),"Row "&amp;Courses!A190&amp;", "&amp;Courses!$F$10&amp;"; ",""),"")</f>
        <v/>
      </c>
      <c r="AC196" t="str">
        <f>IF(AND($S$9=1,Courses!B190&lt;&gt;"",Courses!G190&lt;&gt;"",Courses!H190&lt;&gt;""),IF((TRUNC(Courses!H190*100)&lt;&gt;Courses!H190*100),"Row "&amp;Courses!A190&amp;", "&amp;Courses!$H$10&amp;"; ",""),"")</f>
        <v/>
      </c>
      <c r="AD196" s="183" t="str">
        <f>IF(AND($S$9=1,Courses!B190&lt;&gt;"",Courses!I190&lt;&gt;"",Courses!J190&lt;&gt;""),IF((TRUNC(Courses!J190*100)&lt;&gt;Courses!J190*100),"Row "&amp;Courses!A190&amp;", "&amp;Courses!$J$10&amp;"; ",""),"")</f>
        <v/>
      </c>
      <c r="AG196" s="1593" t="str">
        <f>IF(AND($T$9=1,G196="",Courses!B190&lt;&gt;"",Courses!K190&lt;&gt;$B$9,Courses!K190&lt;&gt;$B$10,Courses!K190&lt;&gt;$B$11,Courses!K190&lt;&gt;$B$12,Courses!K190&lt;&gt;$B$13,Courses!K190&lt;&gt;$B$14),"Row "&amp;Courses!A190&amp;"; ","")</f>
        <v/>
      </c>
      <c r="AH196" s="183" t="str">
        <f>IF(AND($U$9=1,G196="",Courses!B190&lt;&gt;"",Courses!L190&lt;&gt;"Standard",Courses!L190&lt;&gt;"Long"),"Row "&amp;Courses!A190&amp;"; ","")</f>
        <v/>
      </c>
      <c r="AK196" s="40">
        <v>177</v>
      </c>
      <c r="AL196" s="1593" t="str">
        <f>IF(AND($V$9=1,(TRUNC(Courses!M190)&lt;&gt;Courses!M190)), "Row "&amp;Courses!$A190&amp;", "&amp;AL$9&amp;", "&amp;AL$10&amp;", "&amp;AL$11&amp;"; ","")</f>
        <v/>
      </c>
      <c r="AM196" t="str">
        <f>IF(AND($V$9=1,(TRUNC(Courses!N190)&lt;&gt;Courses!N190)), "Row "&amp;Courses!$A190&amp;", "&amp;AM$9&amp;", "&amp;AM$10&amp;", "&amp;AM$11&amp;"; ","")</f>
        <v/>
      </c>
      <c r="AN196" t="str">
        <f>IF(AND($V$9=1,(TRUNC(Courses!O190)&lt;&gt;Courses!O190)), "Row "&amp;Courses!$A190&amp;", "&amp;AN$9&amp;", "&amp;AN$10&amp;", "&amp;AN$11&amp;"; ","")</f>
        <v/>
      </c>
      <c r="AO196" t="str">
        <f>IF(AND($V$9=1,(TRUNC(Courses!P190)&lt;&gt;Courses!P190)), "Row "&amp;Courses!$A190&amp;", "&amp;AO$9&amp;", "&amp;AO$10&amp;", "&amp;AO$11&amp;"; ","")</f>
        <v/>
      </c>
      <c r="AP196" s="2120" t="str">
        <f>IF(AND($V$9=1,(TRUNC(Courses!Q190)&lt;&gt;Courses!Q190)), "Row "&amp;Courses!$A190&amp;", "&amp;AP$9&amp;", "&amp;AP$10&amp;"; ","")</f>
        <v/>
      </c>
      <c r="AQ196" s="1593" t="str">
        <f>IF(AND($V$9=1,(TRUNC(Courses!R190)&lt;&gt;Courses!R190)), "Row "&amp;Courses!$A190&amp;", "&amp;AQ$9&amp;", "&amp;AQ$10&amp;", "&amp;AQ$11&amp;"; ","")</f>
        <v/>
      </c>
      <c r="AR196" t="str">
        <f>IF(AND($V$9=1,(TRUNC(Courses!S190)&lt;&gt;Courses!S190)), "Row "&amp;Courses!$A190&amp;", "&amp;AR$9&amp;", "&amp;AR$10&amp;", "&amp;AR$11&amp;"; ","")</f>
        <v/>
      </c>
      <c r="AS196" t="str">
        <f>IF(AND($V$9=1,(TRUNC(Courses!T190)&lt;&gt;Courses!T190)), "Row "&amp;Courses!$A190&amp;", "&amp;AS$9&amp;", "&amp;AS$10&amp;", "&amp;AS$11&amp;"; ","")</f>
        <v/>
      </c>
      <c r="AT196" t="str">
        <f>IF(AND($V$9=1,(TRUNC(Courses!U190)&lt;&gt;Courses!U190)), "Row "&amp;Courses!$A190&amp;", "&amp;AT$9&amp;", "&amp;AT$10&amp;", "&amp;AT$11&amp;"; ","")</f>
        <v/>
      </c>
      <c r="AU196" s="2120" t="str">
        <f>IF(AND($V$9=1,(TRUNC(Courses!V190)&lt;&gt;Courses!V190)), "Row "&amp;Courses!$A190&amp;", "&amp;AU$9&amp;", "&amp;AU$10&amp;"; ","")</f>
        <v/>
      </c>
      <c r="AV196" t="str">
        <f>IF(AND($V$9=1,(TRUNC(Courses!W190)&lt;&gt;Courses!W190)), "Row "&amp;Courses!$A190&amp;", "&amp;AV$9&amp;", "&amp;AV$10&amp;", "&amp;AV$11&amp;"; ","")</f>
        <v/>
      </c>
      <c r="AW196" t="str">
        <f>IF(AND($V$9=1,(TRUNC(Courses!X190)&lt;&gt;Courses!X190)), "Row "&amp;Courses!$A190&amp;", "&amp;AW$9&amp;", "&amp;AW$10&amp;", "&amp;AW$11&amp;"; ","")</f>
        <v/>
      </c>
      <c r="AX196" t="str">
        <f>IF(AND($V$9=1,(TRUNC(Courses!Y190)&lt;&gt;Courses!Y190)), "Row "&amp;Courses!$A190&amp;", "&amp;AX$9&amp;", "&amp;AX$10&amp;", "&amp;AX$11&amp;"; ","")</f>
        <v/>
      </c>
      <c r="AY196" t="str">
        <f>IF(AND($V$9=1,(TRUNC(Courses!Z190)&lt;&gt;Courses!Z190)), "Row "&amp;Courses!$A190&amp;", "&amp;AY$9&amp;", "&amp;AY$10&amp;", "&amp;AY$11&amp;"; ","")</f>
        <v/>
      </c>
      <c r="AZ196" s="2120" t="str">
        <f>IF(AND($V$9=1,(TRUNC(Courses!AA190)&lt;&gt;Courses!AA190)), "Row "&amp;Courses!$A190&amp;", "&amp;AZ$9&amp;", "&amp;AZ$10&amp;"; ","")</f>
        <v/>
      </c>
      <c r="BC196" s="40">
        <v>177</v>
      </c>
      <c r="BD196" s="1593" t="str">
        <f>IF(AND($W$9=1,Courses!M190&lt;0), "Row "&amp;Courses!$A190&amp;", "&amp;BD$9&amp;", "&amp;BD$10&amp;", "&amp;BD$11&amp;"; ","")</f>
        <v/>
      </c>
      <c r="BE196" t="str">
        <f>IF(AND($W$9=1,Courses!N190&lt;0), "Row "&amp;Courses!$A190&amp;", "&amp;BE$9&amp;", "&amp;BE$10&amp;", "&amp;BE$11&amp;"; ","")</f>
        <v/>
      </c>
      <c r="BF196" t="str">
        <f>IF(AND($W$9=1,Courses!O190&lt;0), "Row "&amp;Courses!$A190&amp;", "&amp;BF$9&amp;", "&amp;BF$10&amp;", "&amp;BF$11&amp;"; ","")</f>
        <v/>
      </c>
      <c r="BG196" t="str">
        <f>IF(AND($W$9=1,Courses!P190&lt;0), "Row "&amp;Courses!$A190&amp;", "&amp;BG$9&amp;", "&amp;BG$10&amp;", "&amp;BG$11&amp;"; ","")</f>
        <v/>
      </c>
      <c r="BH196" s="2120" t="str">
        <f>IF(AND($W$9=1,Courses!Q190&lt;0), "Row "&amp;Courses!$A190&amp;", "&amp;BH$9&amp;", "&amp;BH$10&amp;"; ","")</f>
        <v/>
      </c>
      <c r="BI196" s="1593" t="str">
        <f>IF(AND($W$9=1,Courses!R190&lt;0), "Row "&amp;Courses!$A190&amp;", "&amp;BI$9&amp;", "&amp;BI$10&amp;", "&amp;BI$11&amp;"; ","")</f>
        <v/>
      </c>
      <c r="BJ196" t="str">
        <f>IF(AND($W$9=1,Courses!S190&lt;0), "Row "&amp;Courses!$A190&amp;", "&amp;BJ$9&amp;", "&amp;BJ$10&amp;", "&amp;BJ$11&amp;"; ","")</f>
        <v/>
      </c>
      <c r="BK196" t="str">
        <f>IF(AND($W$9=1,Courses!T190&lt;0), "Row "&amp;Courses!$A190&amp;", "&amp;BK$9&amp;", "&amp;BK$10&amp;", "&amp;BK$11&amp;"; ","")</f>
        <v/>
      </c>
      <c r="BL196" t="str">
        <f>IF(AND($W$9=1,Courses!U190&lt;0), "Row "&amp;Courses!$A190&amp;", "&amp;BL$9&amp;", "&amp;BL$10&amp;", "&amp;BL$11&amp;"; ","")</f>
        <v/>
      </c>
      <c r="BM196" s="2120" t="str">
        <f>IF(AND($W$9=1,Courses!V190&lt;0), "Row "&amp;Courses!$A190&amp;", "&amp;BM$9&amp;", "&amp;BM$10&amp;"; ","")</f>
        <v/>
      </c>
      <c r="BN196" t="str">
        <f>IF(AND($W$9=1,Courses!W190&lt;0), "Row "&amp;Courses!$A190&amp;", "&amp;BN$9&amp;", "&amp;BN$10&amp;", "&amp;BN$11&amp;"; ","")</f>
        <v/>
      </c>
      <c r="BO196" t="str">
        <f>IF(AND($W$9=1,Courses!X190&lt;0), "Row "&amp;Courses!$A190&amp;", "&amp;BO$9&amp;", "&amp;BO$10&amp;", "&amp;BO$11&amp;"; ","")</f>
        <v/>
      </c>
      <c r="BP196" t="str">
        <f>IF(AND($W$9=1,Courses!Y190&lt;0), "Row "&amp;Courses!$A190&amp;", "&amp;BP$9&amp;", "&amp;BP$10&amp;", "&amp;BP$11&amp;"; ","")</f>
        <v/>
      </c>
      <c r="BQ196" t="str">
        <f>IF(AND($W$9=1,Courses!Z190&lt;0), "Row "&amp;Courses!$A190&amp;", "&amp;BQ$9&amp;", "&amp;BQ$10&amp;", "&amp;BQ$11&amp;"; ","")</f>
        <v/>
      </c>
      <c r="BR196" s="2120" t="str">
        <f>IF(AND($W$9=1,Courses!AA190&lt;0), "Row "&amp;Courses!$A190&amp;", "&amp;BR$9&amp;", "&amp;BR$10&amp;"; ","")</f>
        <v/>
      </c>
      <c r="BT196" s="3">
        <f t="shared" si="5"/>
        <v>177</v>
      </c>
      <c r="BU196" s="40">
        <f>IF(AND($X$9=1,Courses!B190="",Courses!F190="",Courses!H190="",Courses!J190="",Courses!K190="",Courses!L190="",Courses!M190=0,Courses!N190=0,Courses!O190=0,Courses!P190=0,Courses!Q190=0,Courses!R190=0,Courses!S190=0,Courses!T190=0,Courses!U190=0,Courses!V190=0,Courses!W190=0,Courses!X190=0,Courses!Y190=0,Courses!Z190=0,Courses!AA190=0),0,1)</f>
        <v>0</v>
      </c>
      <c r="BV196" s="40">
        <f>IF(AND(BU196=0,SUM(BU197:$BU$219)&gt;0),1,0)</f>
        <v>0</v>
      </c>
      <c r="BW196" s="1592" t="str">
        <f>IF(BV196=1,"Row "&amp;Courses!A190&amp;"; ","")</f>
        <v/>
      </c>
      <c r="BX196" s="17"/>
      <c r="BZ196" s="1592" t="str">
        <f>IF(AND($Y$9=1,Courses!B190&lt;&gt;"",SUM(Courses!M190:AA190)=0),"Row "&amp;Courses!A190&amp;"; ","")</f>
        <v/>
      </c>
      <c r="CA196" s="17"/>
      <c r="CC196" s="1592" t="str">
        <f>IF(AND($Z$9=1,Courses!AD190=1,(LEN(Courses!AB190)&gt;200)),"Row "&amp;Courses!A190&amp;"; ","")</f>
        <v/>
      </c>
      <c r="CE196" s="131"/>
      <c r="CG196" s="1593" t="str">
        <f>IF(AND($AD$9=1,Courses!E190&lt;&gt;"",Courses!F190&lt;&gt;"",Courses!F190=0,SUM(Courses!H190,Courses!J190)=1),"Row "&amp;Courses!A190&amp;", "&amp;Courses!$F$10&amp;"; ","")</f>
        <v/>
      </c>
      <c r="CH196" t="str">
        <f>IF(AND($AD$9=1,Courses!G190&lt;&gt;"",Courses!H190&lt;&gt;"",Courses!H190=0,SUM(Courses!J190,Courses!F190)=1),"Row "&amp;Courses!A190&amp;", "&amp;Courses!$H$10&amp;"; ","")</f>
        <v/>
      </c>
      <c r="CI196" s="183" t="str">
        <f>IF(AND($AD$9=1,Courses!I190&lt;&gt;"",Courses!J190&lt;&gt;"",Courses!J190=0, SUM(Courses!H190,Courses!F190)=1),"Row "&amp;Courses!A190&amp;", "&amp;Courses!$J$10&amp;"; ","")</f>
        <v/>
      </c>
      <c r="CL196" s="1592" t="str">
        <f>IF(AND(Courses!B190&lt;&gt;"",ISNA(VLOOKUP(Courses!C190,CourseInfo,2,FALSE))=FALSE,COUNTIF(Dummy,Courses!C190)&lt;&gt;1),VLOOKUP(Courses!C190,CourseInfo,6,FALSE),"")</f>
        <v/>
      </c>
      <c r="CM196" s="1592" t="str">
        <f>IF(AND($AE$9=1,Courses!B190&lt;&gt;"",'Courses Valid'!AG196="",COUNTIF(Dummy,Courses!C190)&lt;&gt;1),IF(Courses!K190&lt;&gt;'Courses Valid'!CL196,"Row "&amp;Courses!A190&amp;", Level on LARS is "&amp;'Courses Valid'!CL196&amp;"; ",""),"")</f>
        <v/>
      </c>
      <c r="CN196" s="131"/>
    </row>
    <row r="197" spans="3:92" x14ac:dyDescent="0.35">
      <c r="C197" s="1595">
        <f t="shared" si="4"/>
        <v>0</v>
      </c>
      <c r="G197" s="1592" t="str">
        <f>IF(SUMPRODUCT(--(CourseAims=Courses!$C191))=1,"",IF(AND($N$9=1,Courses!$C191&lt;&gt;""),"Row "&amp;Courses!A191&amp;" (invalid); ",""))</f>
        <v/>
      </c>
      <c r="H197" s="1592" t="str">
        <f>IF(AND($O$9=1,Courses!B191="",OR(Courses!F191&lt;&gt;"",Courses!H191&lt;&gt;"",Courses!J191&lt;&gt;"",Courses!K191&lt;&gt;"",Courses!L191&lt;&gt;"",Courses!M191&lt;&gt;0,Courses!N191&lt;&gt;0,Courses!O191&lt;&gt;0,Courses!P191&lt;&gt;0,Courses!Q191&lt;&gt;0,Courses!R191&lt;&gt;0,Courses!S191&lt;&gt;0,Courses!T191&lt;&gt;0,Courses!U191&lt;&gt;0,Courses!V191&lt;&gt;0,Courses!W191&lt;&gt;0,Courses!X191&lt;&gt;0,Courses!Y191&lt;&gt;0,Courses!Z191&lt;&gt;0,Courses!AA191&lt;&gt;0)),"Row "&amp;Courses!A191&amp;" (none); ","")</f>
        <v/>
      </c>
      <c r="K197" s="1592" t="str">
        <f>Courses!B191&amp;Courses!K191&amp;Courses!L191</f>
        <v/>
      </c>
      <c r="L197" s="1592" t="str">
        <f>IF(AND($P$9=1,Courses!$B191&lt;&gt;"",COUNTIF(Dummy,Courses!$C191)&lt;&gt;1),IF(SUMPRODUCT(--($K$20:$K$219=$K197))&gt;1,"Row "&amp;Courses!$A191&amp;"; ",""),"")</f>
        <v/>
      </c>
      <c r="O197" s="1593" t="str">
        <f>IF(AND($Q$9=1,Courses!E191&lt;&gt;"",Courses!F191=""),"Row "&amp;Courses!A191&amp;", "&amp;Courses!$E$10&amp;"; ","")</f>
        <v/>
      </c>
      <c r="P197" t="str">
        <f>IF(AND($Q$9=1,Courses!G191&lt;&gt;"",Courses!H191=""),"Row "&amp;Courses!A191&amp;", "&amp;Courses!$G$10&amp;"; ","")</f>
        <v/>
      </c>
      <c r="Q197" s="183" t="str">
        <f>IF(AND($Q$9=1,Courses!I191&lt;&gt;"",Courses!J191=""),"Row "&amp;Courses!A191&amp;", "&amp;Courses!$I$10&amp;"; ","")</f>
        <v/>
      </c>
      <c r="U197" s="1593" t="str">
        <f>IF(AND($R$9=1,Courses!B191&lt;&gt;"",Courses!E191&lt;&gt;"",Courses!G191="",Courses!I191="",Courses!F191&lt;&gt;1),"Row "&amp;Courses!A191&amp;"; ","")</f>
        <v/>
      </c>
      <c r="V197" t="str">
        <f>IF(AND($R$9=1,Courses!B191&lt;&gt;"",Courses!I191="",Courses!F191&lt;&gt;"",Courses!G191&lt;&gt;"",Courses!H191&lt;&gt;""),IF(OR((Courses!F191+Courses!H191)&lt;&gt;1),"Row "&amp;Courses!A191&amp;"; ",""),"")</f>
        <v/>
      </c>
      <c r="W197" s="183" t="str">
        <f>IF(AND($R$9=1,Courses!B191&lt;&gt;"",Courses!I191&lt;&gt;"",Courses!J191&lt;&gt;"",Courses!H191&lt;&gt;"",Courses!G191&lt;&gt;"",Courses!F191&lt;&gt;""),IF(OR((Courses!F191+Courses!H191+Courses!J191)&lt;&gt;1),"Row "&amp;Courses!A191&amp;"; ",""),"")</f>
        <v/>
      </c>
      <c r="Y197" s="1592" t="str">
        <f>IF(AND($R$9=1,Courses!E191&lt;&gt;"",U197="",V197="",W197="",SUM(Courses!F191,Courses!H191,Courses!J191)&lt;&gt;1),"Row "&amp;Courses!A191&amp;"; ","")</f>
        <v/>
      </c>
      <c r="AB197" s="1593" t="str">
        <f>IF(AND($S$9=1,Courses!B191&lt;&gt;"",Courses!E191&lt;&gt;"",Courses!F191&lt;&gt;""),IF((TRUNC(Courses!F191*100)&lt;&gt;Courses!F191*100),"Row "&amp;Courses!A191&amp;", "&amp;Courses!$F$10&amp;"; ",""),"")</f>
        <v/>
      </c>
      <c r="AC197" t="str">
        <f>IF(AND($S$9=1,Courses!B191&lt;&gt;"",Courses!G191&lt;&gt;"",Courses!H191&lt;&gt;""),IF((TRUNC(Courses!H191*100)&lt;&gt;Courses!H191*100),"Row "&amp;Courses!A191&amp;", "&amp;Courses!$H$10&amp;"; ",""),"")</f>
        <v/>
      </c>
      <c r="AD197" s="183" t="str">
        <f>IF(AND($S$9=1,Courses!B191&lt;&gt;"",Courses!I191&lt;&gt;"",Courses!J191&lt;&gt;""),IF((TRUNC(Courses!J191*100)&lt;&gt;Courses!J191*100),"Row "&amp;Courses!A191&amp;", "&amp;Courses!$J$10&amp;"; ",""),"")</f>
        <v/>
      </c>
      <c r="AG197" s="1593" t="str">
        <f>IF(AND($T$9=1,G197="",Courses!B191&lt;&gt;"",Courses!K191&lt;&gt;$B$9,Courses!K191&lt;&gt;$B$10,Courses!K191&lt;&gt;$B$11,Courses!K191&lt;&gt;$B$12,Courses!K191&lt;&gt;$B$13,Courses!K191&lt;&gt;$B$14),"Row "&amp;Courses!A191&amp;"; ","")</f>
        <v/>
      </c>
      <c r="AH197" s="183" t="str">
        <f>IF(AND($U$9=1,G197="",Courses!B191&lt;&gt;"",Courses!L191&lt;&gt;"Standard",Courses!L191&lt;&gt;"Long"),"Row "&amp;Courses!A191&amp;"; ","")</f>
        <v/>
      </c>
      <c r="AK197" s="40">
        <v>178</v>
      </c>
      <c r="AL197" s="1593" t="str">
        <f>IF(AND($V$9=1,(TRUNC(Courses!M191)&lt;&gt;Courses!M191)), "Row "&amp;Courses!$A191&amp;", "&amp;AL$9&amp;", "&amp;AL$10&amp;", "&amp;AL$11&amp;"; ","")</f>
        <v/>
      </c>
      <c r="AM197" t="str">
        <f>IF(AND($V$9=1,(TRUNC(Courses!N191)&lt;&gt;Courses!N191)), "Row "&amp;Courses!$A191&amp;", "&amp;AM$9&amp;", "&amp;AM$10&amp;", "&amp;AM$11&amp;"; ","")</f>
        <v/>
      </c>
      <c r="AN197" t="str">
        <f>IF(AND($V$9=1,(TRUNC(Courses!O191)&lt;&gt;Courses!O191)), "Row "&amp;Courses!$A191&amp;", "&amp;AN$9&amp;", "&amp;AN$10&amp;", "&amp;AN$11&amp;"; ","")</f>
        <v/>
      </c>
      <c r="AO197" t="str">
        <f>IF(AND($V$9=1,(TRUNC(Courses!P191)&lt;&gt;Courses!P191)), "Row "&amp;Courses!$A191&amp;", "&amp;AO$9&amp;", "&amp;AO$10&amp;", "&amp;AO$11&amp;"; ","")</f>
        <v/>
      </c>
      <c r="AP197" s="2120" t="str">
        <f>IF(AND($V$9=1,(TRUNC(Courses!Q191)&lt;&gt;Courses!Q191)), "Row "&amp;Courses!$A191&amp;", "&amp;AP$9&amp;", "&amp;AP$10&amp;"; ","")</f>
        <v/>
      </c>
      <c r="AQ197" s="1593" t="str">
        <f>IF(AND($V$9=1,(TRUNC(Courses!R191)&lt;&gt;Courses!R191)), "Row "&amp;Courses!$A191&amp;", "&amp;AQ$9&amp;", "&amp;AQ$10&amp;", "&amp;AQ$11&amp;"; ","")</f>
        <v/>
      </c>
      <c r="AR197" t="str">
        <f>IF(AND($V$9=1,(TRUNC(Courses!S191)&lt;&gt;Courses!S191)), "Row "&amp;Courses!$A191&amp;", "&amp;AR$9&amp;", "&amp;AR$10&amp;", "&amp;AR$11&amp;"; ","")</f>
        <v/>
      </c>
      <c r="AS197" t="str">
        <f>IF(AND($V$9=1,(TRUNC(Courses!T191)&lt;&gt;Courses!T191)), "Row "&amp;Courses!$A191&amp;", "&amp;AS$9&amp;", "&amp;AS$10&amp;", "&amp;AS$11&amp;"; ","")</f>
        <v/>
      </c>
      <c r="AT197" t="str">
        <f>IF(AND($V$9=1,(TRUNC(Courses!U191)&lt;&gt;Courses!U191)), "Row "&amp;Courses!$A191&amp;", "&amp;AT$9&amp;", "&amp;AT$10&amp;", "&amp;AT$11&amp;"; ","")</f>
        <v/>
      </c>
      <c r="AU197" s="2120" t="str">
        <f>IF(AND($V$9=1,(TRUNC(Courses!V191)&lt;&gt;Courses!V191)), "Row "&amp;Courses!$A191&amp;", "&amp;AU$9&amp;", "&amp;AU$10&amp;"; ","")</f>
        <v/>
      </c>
      <c r="AV197" t="str">
        <f>IF(AND($V$9=1,(TRUNC(Courses!W191)&lt;&gt;Courses!W191)), "Row "&amp;Courses!$A191&amp;", "&amp;AV$9&amp;", "&amp;AV$10&amp;", "&amp;AV$11&amp;"; ","")</f>
        <v/>
      </c>
      <c r="AW197" t="str">
        <f>IF(AND($V$9=1,(TRUNC(Courses!X191)&lt;&gt;Courses!X191)), "Row "&amp;Courses!$A191&amp;", "&amp;AW$9&amp;", "&amp;AW$10&amp;", "&amp;AW$11&amp;"; ","")</f>
        <v/>
      </c>
      <c r="AX197" t="str">
        <f>IF(AND($V$9=1,(TRUNC(Courses!Y191)&lt;&gt;Courses!Y191)), "Row "&amp;Courses!$A191&amp;", "&amp;AX$9&amp;", "&amp;AX$10&amp;", "&amp;AX$11&amp;"; ","")</f>
        <v/>
      </c>
      <c r="AY197" t="str">
        <f>IF(AND($V$9=1,(TRUNC(Courses!Z191)&lt;&gt;Courses!Z191)), "Row "&amp;Courses!$A191&amp;", "&amp;AY$9&amp;", "&amp;AY$10&amp;", "&amp;AY$11&amp;"; ","")</f>
        <v/>
      </c>
      <c r="AZ197" s="2120" t="str">
        <f>IF(AND($V$9=1,(TRUNC(Courses!AA191)&lt;&gt;Courses!AA191)), "Row "&amp;Courses!$A191&amp;", "&amp;AZ$9&amp;", "&amp;AZ$10&amp;"; ","")</f>
        <v/>
      </c>
      <c r="BC197" s="40">
        <v>178</v>
      </c>
      <c r="BD197" s="1593" t="str">
        <f>IF(AND($W$9=1,Courses!M191&lt;0), "Row "&amp;Courses!$A191&amp;", "&amp;BD$9&amp;", "&amp;BD$10&amp;", "&amp;BD$11&amp;"; ","")</f>
        <v/>
      </c>
      <c r="BE197" t="str">
        <f>IF(AND($W$9=1,Courses!N191&lt;0), "Row "&amp;Courses!$A191&amp;", "&amp;BE$9&amp;", "&amp;BE$10&amp;", "&amp;BE$11&amp;"; ","")</f>
        <v/>
      </c>
      <c r="BF197" t="str">
        <f>IF(AND($W$9=1,Courses!O191&lt;0), "Row "&amp;Courses!$A191&amp;", "&amp;BF$9&amp;", "&amp;BF$10&amp;", "&amp;BF$11&amp;"; ","")</f>
        <v/>
      </c>
      <c r="BG197" t="str">
        <f>IF(AND($W$9=1,Courses!P191&lt;0), "Row "&amp;Courses!$A191&amp;", "&amp;BG$9&amp;", "&amp;BG$10&amp;", "&amp;BG$11&amp;"; ","")</f>
        <v/>
      </c>
      <c r="BH197" s="2120" t="str">
        <f>IF(AND($W$9=1,Courses!Q191&lt;0), "Row "&amp;Courses!$A191&amp;", "&amp;BH$9&amp;", "&amp;BH$10&amp;"; ","")</f>
        <v/>
      </c>
      <c r="BI197" s="1593" t="str">
        <f>IF(AND($W$9=1,Courses!R191&lt;0), "Row "&amp;Courses!$A191&amp;", "&amp;BI$9&amp;", "&amp;BI$10&amp;", "&amp;BI$11&amp;"; ","")</f>
        <v/>
      </c>
      <c r="BJ197" t="str">
        <f>IF(AND($W$9=1,Courses!S191&lt;0), "Row "&amp;Courses!$A191&amp;", "&amp;BJ$9&amp;", "&amp;BJ$10&amp;", "&amp;BJ$11&amp;"; ","")</f>
        <v/>
      </c>
      <c r="BK197" t="str">
        <f>IF(AND($W$9=1,Courses!T191&lt;0), "Row "&amp;Courses!$A191&amp;", "&amp;BK$9&amp;", "&amp;BK$10&amp;", "&amp;BK$11&amp;"; ","")</f>
        <v/>
      </c>
      <c r="BL197" t="str">
        <f>IF(AND($W$9=1,Courses!U191&lt;0), "Row "&amp;Courses!$A191&amp;", "&amp;BL$9&amp;", "&amp;BL$10&amp;", "&amp;BL$11&amp;"; ","")</f>
        <v/>
      </c>
      <c r="BM197" s="2120" t="str">
        <f>IF(AND($W$9=1,Courses!V191&lt;0), "Row "&amp;Courses!$A191&amp;", "&amp;BM$9&amp;", "&amp;BM$10&amp;"; ","")</f>
        <v/>
      </c>
      <c r="BN197" t="str">
        <f>IF(AND($W$9=1,Courses!W191&lt;0), "Row "&amp;Courses!$A191&amp;", "&amp;BN$9&amp;", "&amp;BN$10&amp;", "&amp;BN$11&amp;"; ","")</f>
        <v/>
      </c>
      <c r="BO197" t="str">
        <f>IF(AND($W$9=1,Courses!X191&lt;0), "Row "&amp;Courses!$A191&amp;", "&amp;BO$9&amp;", "&amp;BO$10&amp;", "&amp;BO$11&amp;"; ","")</f>
        <v/>
      </c>
      <c r="BP197" t="str">
        <f>IF(AND($W$9=1,Courses!Y191&lt;0), "Row "&amp;Courses!$A191&amp;", "&amp;BP$9&amp;", "&amp;BP$10&amp;", "&amp;BP$11&amp;"; ","")</f>
        <v/>
      </c>
      <c r="BQ197" t="str">
        <f>IF(AND($W$9=1,Courses!Z191&lt;0), "Row "&amp;Courses!$A191&amp;", "&amp;BQ$9&amp;", "&amp;BQ$10&amp;", "&amp;BQ$11&amp;"; ","")</f>
        <v/>
      </c>
      <c r="BR197" s="2120" t="str">
        <f>IF(AND($W$9=1,Courses!AA191&lt;0), "Row "&amp;Courses!$A191&amp;", "&amp;BR$9&amp;", "&amp;BR$10&amp;"; ","")</f>
        <v/>
      </c>
      <c r="BT197" s="3">
        <f t="shared" si="5"/>
        <v>178</v>
      </c>
      <c r="BU197" s="40">
        <f>IF(AND($X$9=1,Courses!B191="",Courses!F191="",Courses!H191="",Courses!J191="",Courses!K191="",Courses!L191="",Courses!M191=0,Courses!N191=0,Courses!O191=0,Courses!P191=0,Courses!Q191=0,Courses!R191=0,Courses!S191=0,Courses!T191=0,Courses!U191=0,Courses!V191=0,Courses!W191=0,Courses!X191=0,Courses!Y191=0,Courses!Z191=0,Courses!AA191=0),0,1)</f>
        <v>0</v>
      </c>
      <c r="BV197" s="40">
        <f>IF(AND(BU197=0,SUM(BU198:$BU$219)&gt;0),1,0)</f>
        <v>0</v>
      </c>
      <c r="BW197" s="1592" t="str">
        <f>IF(BV197=1,"Row "&amp;Courses!A191&amp;"; ","")</f>
        <v/>
      </c>
      <c r="BX197" s="17"/>
      <c r="BZ197" s="1592" t="str">
        <f>IF(AND($Y$9=1,Courses!B191&lt;&gt;"",SUM(Courses!M191:AA191)=0),"Row "&amp;Courses!A191&amp;"; ","")</f>
        <v/>
      </c>
      <c r="CA197" s="17"/>
      <c r="CC197" s="1592" t="str">
        <f>IF(AND($Z$9=1,Courses!AD191=1,(LEN(Courses!AB191)&gt;200)),"Row "&amp;Courses!A191&amp;"; ","")</f>
        <v/>
      </c>
      <c r="CE197" s="131"/>
      <c r="CG197" s="1593" t="str">
        <f>IF(AND($AD$9=1,Courses!E191&lt;&gt;"",Courses!F191&lt;&gt;"",Courses!F191=0,SUM(Courses!H191,Courses!J191)=1),"Row "&amp;Courses!A191&amp;", "&amp;Courses!$F$10&amp;"; ","")</f>
        <v/>
      </c>
      <c r="CH197" t="str">
        <f>IF(AND($AD$9=1,Courses!G191&lt;&gt;"",Courses!H191&lt;&gt;"",Courses!H191=0,SUM(Courses!J191,Courses!F191)=1),"Row "&amp;Courses!A191&amp;", "&amp;Courses!$H$10&amp;"; ","")</f>
        <v/>
      </c>
      <c r="CI197" s="183" t="str">
        <f>IF(AND($AD$9=1,Courses!I191&lt;&gt;"",Courses!J191&lt;&gt;"",Courses!J191=0, SUM(Courses!H191,Courses!F191)=1),"Row "&amp;Courses!A191&amp;", "&amp;Courses!$J$10&amp;"; ","")</f>
        <v/>
      </c>
      <c r="CL197" s="1592" t="str">
        <f>IF(AND(Courses!B191&lt;&gt;"",ISNA(VLOOKUP(Courses!C191,CourseInfo,2,FALSE))=FALSE,COUNTIF(Dummy,Courses!C191)&lt;&gt;1),VLOOKUP(Courses!C191,CourseInfo,6,FALSE),"")</f>
        <v/>
      </c>
      <c r="CM197" s="1592" t="str">
        <f>IF(AND($AE$9=1,Courses!B191&lt;&gt;"",'Courses Valid'!AG197="",COUNTIF(Dummy,Courses!C191)&lt;&gt;1),IF(Courses!K191&lt;&gt;'Courses Valid'!CL197,"Row "&amp;Courses!A191&amp;", Level on LARS is "&amp;'Courses Valid'!CL197&amp;"; ",""),"")</f>
        <v/>
      </c>
      <c r="CN197" s="131"/>
    </row>
    <row r="198" spans="3:92" x14ac:dyDescent="0.35">
      <c r="C198" s="1595">
        <f t="shared" si="4"/>
        <v>0</v>
      </c>
      <c r="G198" s="1592" t="str">
        <f>IF(SUMPRODUCT(--(CourseAims=Courses!$C192))=1,"",IF(AND($N$9=1,Courses!$C192&lt;&gt;""),"Row "&amp;Courses!A192&amp;" (invalid); ",""))</f>
        <v/>
      </c>
      <c r="H198" s="1592" t="str">
        <f>IF(AND($O$9=1,Courses!B192="",OR(Courses!F192&lt;&gt;"",Courses!H192&lt;&gt;"",Courses!J192&lt;&gt;"",Courses!K192&lt;&gt;"",Courses!L192&lt;&gt;"",Courses!M192&lt;&gt;0,Courses!N192&lt;&gt;0,Courses!O192&lt;&gt;0,Courses!P192&lt;&gt;0,Courses!Q192&lt;&gt;0,Courses!R192&lt;&gt;0,Courses!S192&lt;&gt;0,Courses!T192&lt;&gt;0,Courses!U192&lt;&gt;0,Courses!V192&lt;&gt;0,Courses!W192&lt;&gt;0,Courses!X192&lt;&gt;0,Courses!Y192&lt;&gt;0,Courses!Z192&lt;&gt;0,Courses!AA192&lt;&gt;0)),"Row "&amp;Courses!A192&amp;" (none); ","")</f>
        <v/>
      </c>
      <c r="K198" s="1592" t="str">
        <f>Courses!B192&amp;Courses!K192&amp;Courses!L192</f>
        <v/>
      </c>
      <c r="L198" s="1592" t="str">
        <f>IF(AND($P$9=1,Courses!$B192&lt;&gt;"",COUNTIF(Dummy,Courses!$C192)&lt;&gt;1),IF(SUMPRODUCT(--($K$20:$K$219=$K198))&gt;1,"Row "&amp;Courses!$A192&amp;"; ",""),"")</f>
        <v/>
      </c>
      <c r="O198" s="1593" t="str">
        <f>IF(AND($Q$9=1,Courses!E192&lt;&gt;"",Courses!F192=""),"Row "&amp;Courses!A192&amp;", "&amp;Courses!$E$10&amp;"; ","")</f>
        <v/>
      </c>
      <c r="P198" t="str">
        <f>IF(AND($Q$9=1,Courses!G192&lt;&gt;"",Courses!H192=""),"Row "&amp;Courses!A192&amp;", "&amp;Courses!$G$10&amp;"; ","")</f>
        <v/>
      </c>
      <c r="Q198" s="183" t="str">
        <f>IF(AND($Q$9=1,Courses!I192&lt;&gt;"",Courses!J192=""),"Row "&amp;Courses!A192&amp;", "&amp;Courses!$I$10&amp;"; ","")</f>
        <v/>
      </c>
      <c r="U198" s="1593" t="str">
        <f>IF(AND($R$9=1,Courses!B192&lt;&gt;"",Courses!E192&lt;&gt;"",Courses!G192="",Courses!I192="",Courses!F192&lt;&gt;1),"Row "&amp;Courses!A192&amp;"; ","")</f>
        <v/>
      </c>
      <c r="V198" t="str">
        <f>IF(AND($R$9=1,Courses!B192&lt;&gt;"",Courses!I192="",Courses!F192&lt;&gt;"",Courses!G192&lt;&gt;"",Courses!H192&lt;&gt;""),IF(OR((Courses!F192+Courses!H192)&lt;&gt;1),"Row "&amp;Courses!A192&amp;"; ",""),"")</f>
        <v/>
      </c>
      <c r="W198" s="183" t="str">
        <f>IF(AND($R$9=1,Courses!B192&lt;&gt;"",Courses!I192&lt;&gt;"",Courses!J192&lt;&gt;"",Courses!H192&lt;&gt;"",Courses!G192&lt;&gt;"",Courses!F192&lt;&gt;""),IF(OR((Courses!F192+Courses!H192+Courses!J192)&lt;&gt;1),"Row "&amp;Courses!A192&amp;"; ",""),"")</f>
        <v/>
      </c>
      <c r="Y198" s="1592" t="str">
        <f>IF(AND($R$9=1,Courses!E192&lt;&gt;"",U198="",V198="",W198="",SUM(Courses!F192,Courses!H192,Courses!J192)&lt;&gt;1),"Row "&amp;Courses!A192&amp;"; ","")</f>
        <v/>
      </c>
      <c r="AB198" s="1593" t="str">
        <f>IF(AND($S$9=1,Courses!B192&lt;&gt;"",Courses!E192&lt;&gt;"",Courses!F192&lt;&gt;""),IF((TRUNC(Courses!F192*100)&lt;&gt;Courses!F192*100),"Row "&amp;Courses!A192&amp;", "&amp;Courses!$F$10&amp;"; ",""),"")</f>
        <v/>
      </c>
      <c r="AC198" t="str">
        <f>IF(AND($S$9=1,Courses!B192&lt;&gt;"",Courses!G192&lt;&gt;"",Courses!H192&lt;&gt;""),IF((TRUNC(Courses!H192*100)&lt;&gt;Courses!H192*100),"Row "&amp;Courses!A192&amp;", "&amp;Courses!$H$10&amp;"; ",""),"")</f>
        <v/>
      </c>
      <c r="AD198" s="183" t="str">
        <f>IF(AND($S$9=1,Courses!B192&lt;&gt;"",Courses!I192&lt;&gt;"",Courses!J192&lt;&gt;""),IF((TRUNC(Courses!J192*100)&lt;&gt;Courses!J192*100),"Row "&amp;Courses!A192&amp;", "&amp;Courses!$J$10&amp;"; ",""),"")</f>
        <v/>
      </c>
      <c r="AG198" s="1593" t="str">
        <f>IF(AND($T$9=1,G198="",Courses!B192&lt;&gt;"",Courses!K192&lt;&gt;$B$9,Courses!K192&lt;&gt;$B$10,Courses!K192&lt;&gt;$B$11,Courses!K192&lt;&gt;$B$12,Courses!K192&lt;&gt;$B$13,Courses!K192&lt;&gt;$B$14),"Row "&amp;Courses!A192&amp;"; ","")</f>
        <v/>
      </c>
      <c r="AH198" s="183" t="str">
        <f>IF(AND($U$9=1,G198="",Courses!B192&lt;&gt;"",Courses!L192&lt;&gt;"Standard",Courses!L192&lt;&gt;"Long"),"Row "&amp;Courses!A192&amp;"; ","")</f>
        <v/>
      </c>
      <c r="AK198" s="40">
        <v>179</v>
      </c>
      <c r="AL198" s="1593" t="str">
        <f>IF(AND($V$9=1,(TRUNC(Courses!M192)&lt;&gt;Courses!M192)), "Row "&amp;Courses!$A192&amp;", "&amp;AL$9&amp;", "&amp;AL$10&amp;", "&amp;AL$11&amp;"; ","")</f>
        <v/>
      </c>
      <c r="AM198" t="str">
        <f>IF(AND($V$9=1,(TRUNC(Courses!N192)&lt;&gt;Courses!N192)), "Row "&amp;Courses!$A192&amp;", "&amp;AM$9&amp;", "&amp;AM$10&amp;", "&amp;AM$11&amp;"; ","")</f>
        <v/>
      </c>
      <c r="AN198" t="str">
        <f>IF(AND($V$9=1,(TRUNC(Courses!O192)&lt;&gt;Courses!O192)), "Row "&amp;Courses!$A192&amp;", "&amp;AN$9&amp;", "&amp;AN$10&amp;", "&amp;AN$11&amp;"; ","")</f>
        <v/>
      </c>
      <c r="AO198" t="str">
        <f>IF(AND($V$9=1,(TRUNC(Courses!P192)&lt;&gt;Courses!P192)), "Row "&amp;Courses!$A192&amp;", "&amp;AO$9&amp;", "&amp;AO$10&amp;", "&amp;AO$11&amp;"; ","")</f>
        <v/>
      </c>
      <c r="AP198" s="2120" t="str">
        <f>IF(AND($V$9=1,(TRUNC(Courses!Q192)&lt;&gt;Courses!Q192)), "Row "&amp;Courses!$A192&amp;", "&amp;AP$9&amp;", "&amp;AP$10&amp;"; ","")</f>
        <v/>
      </c>
      <c r="AQ198" s="1593" t="str">
        <f>IF(AND($V$9=1,(TRUNC(Courses!R192)&lt;&gt;Courses!R192)), "Row "&amp;Courses!$A192&amp;", "&amp;AQ$9&amp;", "&amp;AQ$10&amp;", "&amp;AQ$11&amp;"; ","")</f>
        <v/>
      </c>
      <c r="AR198" t="str">
        <f>IF(AND($V$9=1,(TRUNC(Courses!S192)&lt;&gt;Courses!S192)), "Row "&amp;Courses!$A192&amp;", "&amp;AR$9&amp;", "&amp;AR$10&amp;", "&amp;AR$11&amp;"; ","")</f>
        <v/>
      </c>
      <c r="AS198" t="str">
        <f>IF(AND($V$9=1,(TRUNC(Courses!T192)&lt;&gt;Courses!T192)), "Row "&amp;Courses!$A192&amp;", "&amp;AS$9&amp;", "&amp;AS$10&amp;", "&amp;AS$11&amp;"; ","")</f>
        <v/>
      </c>
      <c r="AT198" t="str">
        <f>IF(AND($V$9=1,(TRUNC(Courses!U192)&lt;&gt;Courses!U192)), "Row "&amp;Courses!$A192&amp;", "&amp;AT$9&amp;", "&amp;AT$10&amp;", "&amp;AT$11&amp;"; ","")</f>
        <v/>
      </c>
      <c r="AU198" s="2120" t="str">
        <f>IF(AND($V$9=1,(TRUNC(Courses!V192)&lt;&gt;Courses!V192)), "Row "&amp;Courses!$A192&amp;", "&amp;AU$9&amp;", "&amp;AU$10&amp;"; ","")</f>
        <v/>
      </c>
      <c r="AV198" t="str">
        <f>IF(AND($V$9=1,(TRUNC(Courses!W192)&lt;&gt;Courses!W192)), "Row "&amp;Courses!$A192&amp;", "&amp;AV$9&amp;", "&amp;AV$10&amp;", "&amp;AV$11&amp;"; ","")</f>
        <v/>
      </c>
      <c r="AW198" t="str">
        <f>IF(AND($V$9=1,(TRUNC(Courses!X192)&lt;&gt;Courses!X192)), "Row "&amp;Courses!$A192&amp;", "&amp;AW$9&amp;", "&amp;AW$10&amp;", "&amp;AW$11&amp;"; ","")</f>
        <v/>
      </c>
      <c r="AX198" t="str">
        <f>IF(AND($V$9=1,(TRUNC(Courses!Y192)&lt;&gt;Courses!Y192)), "Row "&amp;Courses!$A192&amp;", "&amp;AX$9&amp;", "&amp;AX$10&amp;", "&amp;AX$11&amp;"; ","")</f>
        <v/>
      </c>
      <c r="AY198" t="str">
        <f>IF(AND($V$9=1,(TRUNC(Courses!Z192)&lt;&gt;Courses!Z192)), "Row "&amp;Courses!$A192&amp;", "&amp;AY$9&amp;", "&amp;AY$10&amp;", "&amp;AY$11&amp;"; ","")</f>
        <v/>
      </c>
      <c r="AZ198" s="2120" t="str">
        <f>IF(AND($V$9=1,(TRUNC(Courses!AA192)&lt;&gt;Courses!AA192)), "Row "&amp;Courses!$A192&amp;", "&amp;AZ$9&amp;", "&amp;AZ$10&amp;"; ","")</f>
        <v/>
      </c>
      <c r="BC198" s="40">
        <v>179</v>
      </c>
      <c r="BD198" s="1593" t="str">
        <f>IF(AND($W$9=1,Courses!M192&lt;0), "Row "&amp;Courses!$A192&amp;", "&amp;BD$9&amp;", "&amp;BD$10&amp;", "&amp;BD$11&amp;"; ","")</f>
        <v/>
      </c>
      <c r="BE198" t="str">
        <f>IF(AND($W$9=1,Courses!N192&lt;0), "Row "&amp;Courses!$A192&amp;", "&amp;BE$9&amp;", "&amp;BE$10&amp;", "&amp;BE$11&amp;"; ","")</f>
        <v/>
      </c>
      <c r="BF198" t="str">
        <f>IF(AND($W$9=1,Courses!O192&lt;0), "Row "&amp;Courses!$A192&amp;", "&amp;BF$9&amp;", "&amp;BF$10&amp;", "&amp;BF$11&amp;"; ","")</f>
        <v/>
      </c>
      <c r="BG198" t="str">
        <f>IF(AND($W$9=1,Courses!P192&lt;0), "Row "&amp;Courses!$A192&amp;", "&amp;BG$9&amp;", "&amp;BG$10&amp;", "&amp;BG$11&amp;"; ","")</f>
        <v/>
      </c>
      <c r="BH198" s="2120" t="str">
        <f>IF(AND($W$9=1,Courses!Q192&lt;0), "Row "&amp;Courses!$A192&amp;", "&amp;BH$9&amp;", "&amp;BH$10&amp;"; ","")</f>
        <v/>
      </c>
      <c r="BI198" s="1593" t="str">
        <f>IF(AND($W$9=1,Courses!R192&lt;0), "Row "&amp;Courses!$A192&amp;", "&amp;BI$9&amp;", "&amp;BI$10&amp;", "&amp;BI$11&amp;"; ","")</f>
        <v/>
      </c>
      <c r="BJ198" t="str">
        <f>IF(AND($W$9=1,Courses!S192&lt;0), "Row "&amp;Courses!$A192&amp;", "&amp;BJ$9&amp;", "&amp;BJ$10&amp;", "&amp;BJ$11&amp;"; ","")</f>
        <v/>
      </c>
      <c r="BK198" t="str">
        <f>IF(AND($W$9=1,Courses!T192&lt;0), "Row "&amp;Courses!$A192&amp;", "&amp;BK$9&amp;", "&amp;BK$10&amp;", "&amp;BK$11&amp;"; ","")</f>
        <v/>
      </c>
      <c r="BL198" t="str">
        <f>IF(AND($W$9=1,Courses!U192&lt;0), "Row "&amp;Courses!$A192&amp;", "&amp;BL$9&amp;", "&amp;BL$10&amp;", "&amp;BL$11&amp;"; ","")</f>
        <v/>
      </c>
      <c r="BM198" s="2120" t="str">
        <f>IF(AND($W$9=1,Courses!V192&lt;0), "Row "&amp;Courses!$A192&amp;", "&amp;BM$9&amp;", "&amp;BM$10&amp;"; ","")</f>
        <v/>
      </c>
      <c r="BN198" t="str">
        <f>IF(AND($W$9=1,Courses!W192&lt;0), "Row "&amp;Courses!$A192&amp;", "&amp;BN$9&amp;", "&amp;BN$10&amp;", "&amp;BN$11&amp;"; ","")</f>
        <v/>
      </c>
      <c r="BO198" t="str">
        <f>IF(AND($W$9=1,Courses!X192&lt;0), "Row "&amp;Courses!$A192&amp;", "&amp;BO$9&amp;", "&amp;BO$10&amp;", "&amp;BO$11&amp;"; ","")</f>
        <v/>
      </c>
      <c r="BP198" t="str">
        <f>IF(AND($W$9=1,Courses!Y192&lt;0), "Row "&amp;Courses!$A192&amp;", "&amp;BP$9&amp;", "&amp;BP$10&amp;", "&amp;BP$11&amp;"; ","")</f>
        <v/>
      </c>
      <c r="BQ198" t="str">
        <f>IF(AND($W$9=1,Courses!Z192&lt;0), "Row "&amp;Courses!$A192&amp;", "&amp;BQ$9&amp;", "&amp;BQ$10&amp;", "&amp;BQ$11&amp;"; ","")</f>
        <v/>
      </c>
      <c r="BR198" s="2120" t="str">
        <f>IF(AND($W$9=1,Courses!AA192&lt;0), "Row "&amp;Courses!$A192&amp;", "&amp;BR$9&amp;", "&amp;BR$10&amp;"; ","")</f>
        <v/>
      </c>
      <c r="BT198" s="3">
        <f t="shared" si="5"/>
        <v>179</v>
      </c>
      <c r="BU198" s="40">
        <f>IF(AND($X$9=1,Courses!B192="",Courses!F192="",Courses!H192="",Courses!J192="",Courses!K192="",Courses!L192="",Courses!M192=0,Courses!N192=0,Courses!O192=0,Courses!P192=0,Courses!Q192=0,Courses!R192=0,Courses!S192=0,Courses!T192=0,Courses!U192=0,Courses!V192=0,Courses!W192=0,Courses!X192=0,Courses!Y192=0,Courses!Z192=0,Courses!AA192=0),0,1)</f>
        <v>0</v>
      </c>
      <c r="BV198" s="40">
        <f>IF(AND(BU198=0,SUM(BU199:$BU$219)&gt;0),1,0)</f>
        <v>0</v>
      </c>
      <c r="BW198" s="1592" t="str">
        <f>IF(BV198=1,"Row "&amp;Courses!A192&amp;"; ","")</f>
        <v/>
      </c>
      <c r="BX198" s="17"/>
      <c r="BZ198" s="1592" t="str">
        <f>IF(AND($Y$9=1,Courses!B192&lt;&gt;"",SUM(Courses!M192:AA192)=0),"Row "&amp;Courses!A192&amp;"; ","")</f>
        <v/>
      </c>
      <c r="CA198" s="17"/>
      <c r="CC198" s="1592" t="str">
        <f>IF(AND($Z$9=1,Courses!AD192=1,(LEN(Courses!AB192)&gt;200)),"Row "&amp;Courses!A192&amp;"; ","")</f>
        <v/>
      </c>
      <c r="CE198" s="131"/>
      <c r="CG198" s="1593" t="str">
        <f>IF(AND($AD$9=1,Courses!E192&lt;&gt;"",Courses!F192&lt;&gt;"",Courses!F192=0,SUM(Courses!H192,Courses!J192)=1),"Row "&amp;Courses!A192&amp;", "&amp;Courses!$F$10&amp;"; ","")</f>
        <v/>
      </c>
      <c r="CH198" t="str">
        <f>IF(AND($AD$9=1,Courses!G192&lt;&gt;"",Courses!H192&lt;&gt;"",Courses!H192=0,SUM(Courses!J192,Courses!F192)=1),"Row "&amp;Courses!A192&amp;", "&amp;Courses!$H$10&amp;"; ","")</f>
        <v/>
      </c>
      <c r="CI198" s="183" t="str">
        <f>IF(AND($AD$9=1,Courses!I192&lt;&gt;"",Courses!J192&lt;&gt;"",Courses!J192=0, SUM(Courses!H192,Courses!F192)=1),"Row "&amp;Courses!A192&amp;", "&amp;Courses!$J$10&amp;"; ","")</f>
        <v/>
      </c>
      <c r="CL198" s="1592" t="str">
        <f>IF(AND(Courses!B192&lt;&gt;"",ISNA(VLOOKUP(Courses!C192,CourseInfo,2,FALSE))=FALSE,COUNTIF(Dummy,Courses!C192)&lt;&gt;1),VLOOKUP(Courses!C192,CourseInfo,6,FALSE),"")</f>
        <v/>
      </c>
      <c r="CM198" s="1592" t="str">
        <f>IF(AND($AE$9=1,Courses!B192&lt;&gt;"",'Courses Valid'!AG198="",COUNTIF(Dummy,Courses!C192)&lt;&gt;1),IF(Courses!K192&lt;&gt;'Courses Valid'!CL198,"Row "&amp;Courses!A192&amp;", Level on LARS is "&amp;'Courses Valid'!CL198&amp;"; ",""),"")</f>
        <v/>
      </c>
      <c r="CN198" s="131"/>
    </row>
    <row r="199" spans="3:92" x14ac:dyDescent="0.35">
      <c r="C199" s="1595">
        <f t="shared" si="4"/>
        <v>0</v>
      </c>
      <c r="G199" s="1592" t="str">
        <f>IF(SUMPRODUCT(--(CourseAims=Courses!$C193))=1,"",IF(AND($N$9=1,Courses!$C193&lt;&gt;""),"Row "&amp;Courses!A193&amp;" (invalid); ",""))</f>
        <v/>
      </c>
      <c r="H199" s="1592" t="str">
        <f>IF(AND($O$9=1,Courses!B193="",OR(Courses!F193&lt;&gt;"",Courses!H193&lt;&gt;"",Courses!J193&lt;&gt;"",Courses!K193&lt;&gt;"",Courses!L193&lt;&gt;"",Courses!M193&lt;&gt;0,Courses!N193&lt;&gt;0,Courses!O193&lt;&gt;0,Courses!P193&lt;&gt;0,Courses!Q193&lt;&gt;0,Courses!R193&lt;&gt;0,Courses!S193&lt;&gt;0,Courses!T193&lt;&gt;0,Courses!U193&lt;&gt;0,Courses!V193&lt;&gt;0,Courses!W193&lt;&gt;0,Courses!X193&lt;&gt;0,Courses!Y193&lt;&gt;0,Courses!Z193&lt;&gt;0,Courses!AA193&lt;&gt;0)),"Row "&amp;Courses!A193&amp;" (none); ","")</f>
        <v/>
      </c>
      <c r="K199" s="1592" t="str">
        <f>Courses!B193&amp;Courses!K193&amp;Courses!L193</f>
        <v/>
      </c>
      <c r="L199" s="1592" t="str">
        <f>IF(AND($P$9=1,Courses!$B193&lt;&gt;"",COUNTIF(Dummy,Courses!$C193)&lt;&gt;1),IF(SUMPRODUCT(--($K$20:$K$219=$K199))&gt;1,"Row "&amp;Courses!$A193&amp;"; ",""),"")</f>
        <v/>
      </c>
      <c r="O199" s="1593" t="str">
        <f>IF(AND($Q$9=1,Courses!E193&lt;&gt;"",Courses!F193=""),"Row "&amp;Courses!A193&amp;", "&amp;Courses!$E$10&amp;"; ","")</f>
        <v/>
      </c>
      <c r="P199" t="str">
        <f>IF(AND($Q$9=1,Courses!G193&lt;&gt;"",Courses!H193=""),"Row "&amp;Courses!A193&amp;", "&amp;Courses!$G$10&amp;"; ","")</f>
        <v/>
      </c>
      <c r="Q199" s="183" t="str">
        <f>IF(AND($Q$9=1,Courses!I193&lt;&gt;"",Courses!J193=""),"Row "&amp;Courses!A193&amp;", "&amp;Courses!$I$10&amp;"; ","")</f>
        <v/>
      </c>
      <c r="U199" s="1593" t="str">
        <f>IF(AND($R$9=1,Courses!B193&lt;&gt;"",Courses!E193&lt;&gt;"",Courses!G193="",Courses!I193="",Courses!F193&lt;&gt;1),"Row "&amp;Courses!A193&amp;"; ","")</f>
        <v/>
      </c>
      <c r="V199" t="str">
        <f>IF(AND($R$9=1,Courses!B193&lt;&gt;"",Courses!I193="",Courses!F193&lt;&gt;"",Courses!G193&lt;&gt;"",Courses!H193&lt;&gt;""),IF(OR((Courses!F193+Courses!H193)&lt;&gt;1),"Row "&amp;Courses!A193&amp;"; ",""),"")</f>
        <v/>
      </c>
      <c r="W199" s="183" t="str">
        <f>IF(AND($R$9=1,Courses!B193&lt;&gt;"",Courses!I193&lt;&gt;"",Courses!J193&lt;&gt;"",Courses!H193&lt;&gt;"",Courses!G193&lt;&gt;"",Courses!F193&lt;&gt;""),IF(OR((Courses!F193+Courses!H193+Courses!J193)&lt;&gt;1),"Row "&amp;Courses!A193&amp;"; ",""),"")</f>
        <v/>
      </c>
      <c r="Y199" s="1592" t="str">
        <f>IF(AND($R$9=1,Courses!E193&lt;&gt;"",U199="",V199="",W199="",SUM(Courses!F193,Courses!H193,Courses!J193)&lt;&gt;1),"Row "&amp;Courses!A193&amp;"; ","")</f>
        <v/>
      </c>
      <c r="AB199" s="1593" t="str">
        <f>IF(AND($S$9=1,Courses!B193&lt;&gt;"",Courses!E193&lt;&gt;"",Courses!F193&lt;&gt;""),IF((TRUNC(Courses!F193*100)&lt;&gt;Courses!F193*100),"Row "&amp;Courses!A193&amp;", "&amp;Courses!$F$10&amp;"; ",""),"")</f>
        <v/>
      </c>
      <c r="AC199" t="str">
        <f>IF(AND($S$9=1,Courses!B193&lt;&gt;"",Courses!G193&lt;&gt;"",Courses!H193&lt;&gt;""),IF((TRUNC(Courses!H193*100)&lt;&gt;Courses!H193*100),"Row "&amp;Courses!A193&amp;", "&amp;Courses!$H$10&amp;"; ",""),"")</f>
        <v/>
      </c>
      <c r="AD199" s="183" t="str">
        <f>IF(AND($S$9=1,Courses!B193&lt;&gt;"",Courses!I193&lt;&gt;"",Courses!J193&lt;&gt;""),IF((TRUNC(Courses!J193*100)&lt;&gt;Courses!J193*100),"Row "&amp;Courses!A193&amp;", "&amp;Courses!$J$10&amp;"; ",""),"")</f>
        <v/>
      </c>
      <c r="AG199" s="1593" t="str">
        <f>IF(AND($T$9=1,G199="",Courses!B193&lt;&gt;"",Courses!K193&lt;&gt;$B$9,Courses!K193&lt;&gt;$B$10,Courses!K193&lt;&gt;$B$11,Courses!K193&lt;&gt;$B$12,Courses!K193&lt;&gt;$B$13,Courses!K193&lt;&gt;$B$14),"Row "&amp;Courses!A193&amp;"; ","")</f>
        <v/>
      </c>
      <c r="AH199" s="183" t="str">
        <f>IF(AND($U$9=1,G199="",Courses!B193&lt;&gt;"",Courses!L193&lt;&gt;"Standard",Courses!L193&lt;&gt;"Long"),"Row "&amp;Courses!A193&amp;"; ","")</f>
        <v/>
      </c>
      <c r="AK199" s="40">
        <v>180</v>
      </c>
      <c r="AL199" s="1593" t="str">
        <f>IF(AND($V$9=1,(TRUNC(Courses!M193)&lt;&gt;Courses!M193)), "Row "&amp;Courses!$A193&amp;", "&amp;AL$9&amp;", "&amp;AL$10&amp;", "&amp;AL$11&amp;"; ","")</f>
        <v/>
      </c>
      <c r="AM199" t="str">
        <f>IF(AND($V$9=1,(TRUNC(Courses!N193)&lt;&gt;Courses!N193)), "Row "&amp;Courses!$A193&amp;", "&amp;AM$9&amp;", "&amp;AM$10&amp;", "&amp;AM$11&amp;"; ","")</f>
        <v/>
      </c>
      <c r="AN199" t="str">
        <f>IF(AND($V$9=1,(TRUNC(Courses!O193)&lt;&gt;Courses!O193)), "Row "&amp;Courses!$A193&amp;", "&amp;AN$9&amp;", "&amp;AN$10&amp;", "&amp;AN$11&amp;"; ","")</f>
        <v/>
      </c>
      <c r="AO199" t="str">
        <f>IF(AND($V$9=1,(TRUNC(Courses!P193)&lt;&gt;Courses!P193)), "Row "&amp;Courses!$A193&amp;", "&amp;AO$9&amp;", "&amp;AO$10&amp;", "&amp;AO$11&amp;"; ","")</f>
        <v/>
      </c>
      <c r="AP199" s="2120" t="str">
        <f>IF(AND($V$9=1,(TRUNC(Courses!Q193)&lt;&gt;Courses!Q193)), "Row "&amp;Courses!$A193&amp;", "&amp;AP$9&amp;", "&amp;AP$10&amp;"; ","")</f>
        <v/>
      </c>
      <c r="AQ199" s="1593" t="str">
        <f>IF(AND($V$9=1,(TRUNC(Courses!R193)&lt;&gt;Courses!R193)), "Row "&amp;Courses!$A193&amp;", "&amp;AQ$9&amp;", "&amp;AQ$10&amp;", "&amp;AQ$11&amp;"; ","")</f>
        <v/>
      </c>
      <c r="AR199" t="str">
        <f>IF(AND($V$9=1,(TRUNC(Courses!S193)&lt;&gt;Courses!S193)), "Row "&amp;Courses!$A193&amp;", "&amp;AR$9&amp;", "&amp;AR$10&amp;", "&amp;AR$11&amp;"; ","")</f>
        <v/>
      </c>
      <c r="AS199" t="str">
        <f>IF(AND($V$9=1,(TRUNC(Courses!T193)&lt;&gt;Courses!T193)), "Row "&amp;Courses!$A193&amp;", "&amp;AS$9&amp;", "&amp;AS$10&amp;", "&amp;AS$11&amp;"; ","")</f>
        <v/>
      </c>
      <c r="AT199" t="str">
        <f>IF(AND($V$9=1,(TRUNC(Courses!U193)&lt;&gt;Courses!U193)), "Row "&amp;Courses!$A193&amp;", "&amp;AT$9&amp;", "&amp;AT$10&amp;", "&amp;AT$11&amp;"; ","")</f>
        <v/>
      </c>
      <c r="AU199" s="2120" t="str">
        <f>IF(AND($V$9=1,(TRUNC(Courses!V193)&lt;&gt;Courses!V193)), "Row "&amp;Courses!$A193&amp;", "&amp;AU$9&amp;", "&amp;AU$10&amp;"; ","")</f>
        <v/>
      </c>
      <c r="AV199" t="str">
        <f>IF(AND($V$9=1,(TRUNC(Courses!W193)&lt;&gt;Courses!W193)), "Row "&amp;Courses!$A193&amp;", "&amp;AV$9&amp;", "&amp;AV$10&amp;", "&amp;AV$11&amp;"; ","")</f>
        <v/>
      </c>
      <c r="AW199" t="str">
        <f>IF(AND($V$9=1,(TRUNC(Courses!X193)&lt;&gt;Courses!X193)), "Row "&amp;Courses!$A193&amp;", "&amp;AW$9&amp;", "&amp;AW$10&amp;", "&amp;AW$11&amp;"; ","")</f>
        <v/>
      </c>
      <c r="AX199" t="str">
        <f>IF(AND($V$9=1,(TRUNC(Courses!Y193)&lt;&gt;Courses!Y193)), "Row "&amp;Courses!$A193&amp;", "&amp;AX$9&amp;", "&amp;AX$10&amp;", "&amp;AX$11&amp;"; ","")</f>
        <v/>
      </c>
      <c r="AY199" t="str">
        <f>IF(AND($V$9=1,(TRUNC(Courses!Z193)&lt;&gt;Courses!Z193)), "Row "&amp;Courses!$A193&amp;", "&amp;AY$9&amp;", "&amp;AY$10&amp;", "&amp;AY$11&amp;"; ","")</f>
        <v/>
      </c>
      <c r="AZ199" s="2120" t="str">
        <f>IF(AND($V$9=1,(TRUNC(Courses!AA193)&lt;&gt;Courses!AA193)), "Row "&amp;Courses!$A193&amp;", "&amp;AZ$9&amp;", "&amp;AZ$10&amp;"; ","")</f>
        <v/>
      </c>
      <c r="BC199" s="40">
        <v>180</v>
      </c>
      <c r="BD199" s="1593" t="str">
        <f>IF(AND($W$9=1,Courses!M193&lt;0), "Row "&amp;Courses!$A193&amp;", "&amp;BD$9&amp;", "&amp;BD$10&amp;", "&amp;BD$11&amp;"; ","")</f>
        <v/>
      </c>
      <c r="BE199" t="str">
        <f>IF(AND($W$9=1,Courses!N193&lt;0), "Row "&amp;Courses!$A193&amp;", "&amp;BE$9&amp;", "&amp;BE$10&amp;", "&amp;BE$11&amp;"; ","")</f>
        <v/>
      </c>
      <c r="BF199" t="str">
        <f>IF(AND($W$9=1,Courses!O193&lt;0), "Row "&amp;Courses!$A193&amp;", "&amp;BF$9&amp;", "&amp;BF$10&amp;", "&amp;BF$11&amp;"; ","")</f>
        <v/>
      </c>
      <c r="BG199" t="str">
        <f>IF(AND($W$9=1,Courses!P193&lt;0), "Row "&amp;Courses!$A193&amp;", "&amp;BG$9&amp;", "&amp;BG$10&amp;", "&amp;BG$11&amp;"; ","")</f>
        <v/>
      </c>
      <c r="BH199" s="2120" t="str">
        <f>IF(AND($W$9=1,Courses!Q193&lt;0), "Row "&amp;Courses!$A193&amp;", "&amp;BH$9&amp;", "&amp;BH$10&amp;"; ","")</f>
        <v/>
      </c>
      <c r="BI199" s="1593" t="str">
        <f>IF(AND($W$9=1,Courses!R193&lt;0), "Row "&amp;Courses!$A193&amp;", "&amp;BI$9&amp;", "&amp;BI$10&amp;", "&amp;BI$11&amp;"; ","")</f>
        <v/>
      </c>
      <c r="BJ199" t="str">
        <f>IF(AND($W$9=1,Courses!S193&lt;0), "Row "&amp;Courses!$A193&amp;", "&amp;BJ$9&amp;", "&amp;BJ$10&amp;", "&amp;BJ$11&amp;"; ","")</f>
        <v/>
      </c>
      <c r="BK199" t="str">
        <f>IF(AND($W$9=1,Courses!T193&lt;0), "Row "&amp;Courses!$A193&amp;", "&amp;BK$9&amp;", "&amp;BK$10&amp;", "&amp;BK$11&amp;"; ","")</f>
        <v/>
      </c>
      <c r="BL199" t="str">
        <f>IF(AND($W$9=1,Courses!U193&lt;0), "Row "&amp;Courses!$A193&amp;", "&amp;BL$9&amp;", "&amp;BL$10&amp;", "&amp;BL$11&amp;"; ","")</f>
        <v/>
      </c>
      <c r="BM199" s="2120" t="str">
        <f>IF(AND($W$9=1,Courses!V193&lt;0), "Row "&amp;Courses!$A193&amp;", "&amp;BM$9&amp;", "&amp;BM$10&amp;"; ","")</f>
        <v/>
      </c>
      <c r="BN199" t="str">
        <f>IF(AND($W$9=1,Courses!W193&lt;0), "Row "&amp;Courses!$A193&amp;", "&amp;BN$9&amp;", "&amp;BN$10&amp;", "&amp;BN$11&amp;"; ","")</f>
        <v/>
      </c>
      <c r="BO199" t="str">
        <f>IF(AND($W$9=1,Courses!X193&lt;0), "Row "&amp;Courses!$A193&amp;", "&amp;BO$9&amp;", "&amp;BO$10&amp;", "&amp;BO$11&amp;"; ","")</f>
        <v/>
      </c>
      <c r="BP199" t="str">
        <f>IF(AND($W$9=1,Courses!Y193&lt;0), "Row "&amp;Courses!$A193&amp;", "&amp;BP$9&amp;", "&amp;BP$10&amp;", "&amp;BP$11&amp;"; ","")</f>
        <v/>
      </c>
      <c r="BQ199" t="str">
        <f>IF(AND($W$9=1,Courses!Z193&lt;0), "Row "&amp;Courses!$A193&amp;", "&amp;BQ$9&amp;", "&amp;BQ$10&amp;", "&amp;BQ$11&amp;"; ","")</f>
        <v/>
      </c>
      <c r="BR199" s="2120" t="str">
        <f>IF(AND($W$9=1,Courses!AA193&lt;0), "Row "&amp;Courses!$A193&amp;", "&amp;BR$9&amp;", "&amp;BR$10&amp;"; ","")</f>
        <v/>
      </c>
      <c r="BT199" s="3">
        <f t="shared" si="5"/>
        <v>180</v>
      </c>
      <c r="BU199" s="40">
        <f>IF(AND($X$9=1,Courses!B193="",Courses!F193="",Courses!H193="",Courses!J193="",Courses!K193="",Courses!L193="",Courses!M193=0,Courses!N193=0,Courses!O193=0,Courses!P193=0,Courses!Q193=0,Courses!R193=0,Courses!S193=0,Courses!T193=0,Courses!U193=0,Courses!V193=0,Courses!W193=0,Courses!X193=0,Courses!Y193=0,Courses!Z193=0,Courses!AA193=0),0,1)</f>
        <v>0</v>
      </c>
      <c r="BV199" s="40">
        <f>IF(AND(BU199=0,SUM(BU200:$BU$219)&gt;0),1,0)</f>
        <v>0</v>
      </c>
      <c r="BW199" s="1592" t="str">
        <f>IF(BV199=1,"Row "&amp;Courses!A193&amp;"; ","")</f>
        <v/>
      </c>
      <c r="BX199" s="17"/>
      <c r="BZ199" s="1592" t="str">
        <f>IF(AND($Y$9=1,Courses!B193&lt;&gt;"",SUM(Courses!M193:AA193)=0),"Row "&amp;Courses!A193&amp;"; ","")</f>
        <v/>
      </c>
      <c r="CA199" s="17"/>
      <c r="CC199" s="1592" t="str">
        <f>IF(AND($Z$9=1,Courses!AD193=1,(LEN(Courses!AB193)&gt;200)),"Row "&amp;Courses!A193&amp;"; ","")</f>
        <v/>
      </c>
      <c r="CE199" s="131"/>
      <c r="CG199" s="1593" t="str">
        <f>IF(AND($AD$9=1,Courses!E193&lt;&gt;"",Courses!F193&lt;&gt;"",Courses!F193=0,SUM(Courses!H193,Courses!J193)=1),"Row "&amp;Courses!A193&amp;", "&amp;Courses!$F$10&amp;"; ","")</f>
        <v/>
      </c>
      <c r="CH199" t="str">
        <f>IF(AND($AD$9=1,Courses!G193&lt;&gt;"",Courses!H193&lt;&gt;"",Courses!H193=0,SUM(Courses!J193,Courses!F193)=1),"Row "&amp;Courses!A193&amp;", "&amp;Courses!$H$10&amp;"; ","")</f>
        <v/>
      </c>
      <c r="CI199" s="183" t="str">
        <f>IF(AND($AD$9=1,Courses!I193&lt;&gt;"",Courses!J193&lt;&gt;"",Courses!J193=0, SUM(Courses!H193,Courses!F193)=1),"Row "&amp;Courses!A193&amp;", "&amp;Courses!$J$10&amp;"; ","")</f>
        <v/>
      </c>
      <c r="CL199" s="1592" t="str">
        <f>IF(AND(Courses!B193&lt;&gt;"",ISNA(VLOOKUP(Courses!C193,CourseInfo,2,FALSE))=FALSE,COUNTIF(Dummy,Courses!C193)&lt;&gt;1),VLOOKUP(Courses!C193,CourseInfo,6,FALSE),"")</f>
        <v/>
      </c>
      <c r="CM199" s="1592" t="str">
        <f>IF(AND($AE$9=1,Courses!B193&lt;&gt;"",'Courses Valid'!AG199="",COUNTIF(Dummy,Courses!C193)&lt;&gt;1),IF(Courses!K193&lt;&gt;'Courses Valid'!CL199,"Row "&amp;Courses!A193&amp;", Level on LARS is "&amp;'Courses Valid'!CL199&amp;"; ",""),"")</f>
        <v/>
      </c>
      <c r="CN199" s="131"/>
    </row>
    <row r="200" spans="3:92" x14ac:dyDescent="0.35">
      <c r="C200" s="1595">
        <f t="shared" si="4"/>
        <v>0</v>
      </c>
      <c r="G200" s="1592" t="str">
        <f>IF(SUMPRODUCT(--(CourseAims=Courses!$C194))=1,"",IF(AND($N$9=1,Courses!$C194&lt;&gt;""),"Row "&amp;Courses!A194&amp;" (invalid); ",""))</f>
        <v/>
      </c>
      <c r="H200" s="1592" t="str">
        <f>IF(AND($O$9=1,Courses!B194="",OR(Courses!F194&lt;&gt;"",Courses!H194&lt;&gt;"",Courses!J194&lt;&gt;"",Courses!K194&lt;&gt;"",Courses!L194&lt;&gt;"",Courses!M194&lt;&gt;0,Courses!N194&lt;&gt;0,Courses!O194&lt;&gt;0,Courses!P194&lt;&gt;0,Courses!Q194&lt;&gt;0,Courses!R194&lt;&gt;0,Courses!S194&lt;&gt;0,Courses!T194&lt;&gt;0,Courses!U194&lt;&gt;0,Courses!V194&lt;&gt;0,Courses!W194&lt;&gt;0,Courses!X194&lt;&gt;0,Courses!Y194&lt;&gt;0,Courses!Z194&lt;&gt;0,Courses!AA194&lt;&gt;0)),"Row "&amp;Courses!A194&amp;" (none); ","")</f>
        <v/>
      </c>
      <c r="K200" s="1592" t="str">
        <f>Courses!B194&amp;Courses!K194&amp;Courses!L194</f>
        <v/>
      </c>
      <c r="L200" s="1592" t="str">
        <f>IF(AND($P$9=1,Courses!$B194&lt;&gt;"",COUNTIF(Dummy,Courses!$C194)&lt;&gt;1),IF(SUMPRODUCT(--($K$20:$K$219=$K200))&gt;1,"Row "&amp;Courses!$A194&amp;"; ",""),"")</f>
        <v/>
      </c>
      <c r="O200" s="1593" t="str">
        <f>IF(AND($Q$9=1,Courses!E194&lt;&gt;"",Courses!F194=""),"Row "&amp;Courses!A194&amp;", "&amp;Courses!$E$10&amp;"; ","")</f>
        <v/>
      </c>
      <c r="P200" t="str">
        <f>IF(AND($Q$9=1,Courses!G194&lt;&gt;"",Courses!H194=""),"Row "&amp;Courses!A194&amp;", "&amp;Courses!$G$10&amp;"; ","")</f>
        <v/>
      </c>
      <c r="Q200" s="183" t="str">
        <f>IF(AND($Q$9=1,Courses!I194&lt;&gt;"",Courses!J194=""),"Row "&amp;Courses!A194&amp;", "&amp;Courses!$I$10&amp;"; ","")</f>
        <v/>
      </c>
      <c r="U200" s="1593" t="str">
        <f>IF(AND($R$9=1,Courses!B194&lt;&gt;"",Courses!E194&lt;&gt;"",Courses!G194="",Courses!I194="",Courses!F194&lt;&gt;1),"Row "&amp;Courses!A194&amp;"; ","")</f>
        <v/>
      </c>
      <c r="V200" t="str">
        <f>IF(AND($R$9=1,Courses!B194&lt;&gt;"",Courses!I194="",Courses!F194&lt;&gt;"",Courses!G194&lt;&gt;"",Courses!H194&lt;&gt;""),IF(OR((Courses!F194+Courses!H194)&lt;&gt;1),"Row "&amp;Courses!A194&amp;"; ",""),"")</f>
        <v/>
      </c>
      <c r="W200" s="183" t="str">
        <f>IF(AND($R$9=1,Courses!B194&lt;&gt;"",Courses!I194&lt;&gt;"",Courses!J194&lt;&gt;"",Courses!H194&lt;&gt;"",Courses!G194&lt;&gt;"",Courses!F194&lt;&gt;""),IF(OR((Courses!F194+Courses!H194+Courses!J194)&lt;&gt;1),"Row "&amp;Courses!A194&amp;"; ",""),"")</f>
        <v/>
      </c>
      <c r="Y200" s="1592" t="str">
        <f>IF(AND($R$9=1,Courses!E194&lt;&gt;"",U200="",V200="",W200="",SUM(Courses!F194,Courses!H194,Courses!J194)&lt;&gt;1),"Row "&amp;Courses!A194&amp;"; ","")</f>
        <v/>
      </c>
      <c r="AB200" s="1593" t="str">
        <f>IF(AND($S$9=1,Courses!B194&lt;&gt;"",Courses!E194&lt;&gt;"",Courses!F194&lt;&gt;""),IF((TRUNC(Courses!F194*100)&lt;&gt;Courses!F194*100),"Row "&amp;Courses!A194&amp;", "&amp;Courses!$F$10&amp;"; ",""),"")</f>
        <v/>
      </c>
      <c r="AC200" t="str">
        <f>IF(AND($S$9=1,Courses!B194&lt;&gt;"",Courses!G194&lt;&gt;"",Courses!H194&lt;&gt;""),IF((TRUNC(Courses!H194*100)&lt;&gt;Courses!H194*100),"Row "&amp;Courses!A194&amp;", "&amp;Courses!$H$10&amp;"; ",""),"")</f>
        <v/>
      </c>
      <c r="AD200" s="183" t="str">
        <f>IF(AND($S$9=1,Courses!B194&lt;&gt;"",Courses!I194&lt;&gt;"",Courses!J194&lt;&gt;""),IF((TRUNC(Courses!J194*100)&lt;&gt;Courses!J194*100),"Row "&amp;Courses!A194&amp;", "&amp;Courses!$J$10&amp;"; ",""),"")</f>
        <v/>
      </c>
      <c r="AG200" s="1593" t="str">
        <f>IF(AND($T$9=1,G200="",Courses!B194&lt;&gt;"",Courses!K194&lt;&gt;$B$9,Courses!K194&lt;&gt;$B$10,Courses!K194&lt;&gt;$B$11,Courses!K194&lt;&gt;$B$12,Courses!K194&lt;&gt;$B$13,Courses!K194&lt;&gt;$B$14),"Row "&amp;Courses!A194&amp;"; ","")</f>
        <v/>
      </c>
      <c r="AH200" s="183" t="str">
        <f>IF(AND($U$9=1,G200="",Courses!B194&lt;&gt;"",Courses!L194&lt;&gt;"Standard",Courses!L194&lt;&gt;"Long"),"Row "&amp;Courses!A194&amp;"; ","")</f>
        <v/>
      </c>
      <c r="AK200" s="40">
        <v>181</v>
      </c>
      <c r="AL200" s="1593" t="str">
        <f>IF(AND($V$9=1,(TRUNC(Courses!M194)&lt;&gt;Courses!M194)), "Row "&amp;Courses!$A194&amp;", "&amp;AL$9&amp;", "&amp;AL$10&amp;", "&amp;AL$11&amp;"; ","")</f>
        <v/>
      </c>
      <c r="AM200" t="str">
        <f>IF(AND($V$9=1,(TRUNC(Courses!N194)&lt;&gt;Courses!N194)), "Row "&amp;Courses!$A194&amp;", "&amp;AM$9&amp;", "&amp;AM$10&amp;", "&amp;AM$11&amp;"; ","")</f>
        <v/>
      </c>
      <c r="AN200" t="str">
        <f>IF(AND($V$9=1,(TRUNC(Courses!O194)&lt;&gt;Courses!O194)), "Row "&amp;Courses!$A194&amp;", "&amp;AN$9&amp;", "&amp;AN$10&amp;", "&amp;AN$11&amp;"; ","")</f>
        <v/>
      </c>
      <c r="AO200" t="str">
        <f>IF(AND($V$9=1,(TRUNC(Courses!P194)&lt;&gt;Courses!P194)), "Row "&amp;Courses!$A194&amp;", "&amp;AO$9&amp;", "&amp;AO$10&amp;", "&amp;AO$11&amp;"; ","")</f>
        <v/>
      </c>
      <c r="AP200" s="2120" t="str">
        <f>IF(AND($V$9=1,(TRUNC(Courses!Q194)&lt;&gt;Courses!Q194)), "Row "&amp;Courses!$A194&amp;", "&amp;AP$9&amp;", "&amp;AP$10&amp;"; ","")</f>
        <v/>
      </c>
      <c r="AQ200" s="1593" t="str">
        <f>IF(AND($V$9=1,(TRUNC(Courses!R194)&lt;&gt;Courses!R194)), "Row "&amp;Courses!$A194&amp;", "&amp;AQ$9&amp;", "&amp;AQ$10&amp;", "&amp;AQ$11&amp;"; ","")</f>
        <v/>
      </c>
      <c r="AR200" t="str">
        <f>IF(AND($V$9=1,(TRUNC(Courses!S194)&lt;&gt;Courses!S194)), "Row "&amp;Courses!$A194&amp;", "&amp;AR$9&amp;", "&amp;AR$10&amp;", "&amp;AR$11&amp;"; ","")</f>
        <v/>
      </c>
      <c r="AS200" t="str">
        <f>IF(AND($V$9=1,(TRUNC(Courses!T194)&lt;&gt;Courses!T194)), "Row "&amp;Courses!$A194&amp;", "&amp;AS$9&amp;", "&amp;AS$10&amp;", "&amp;AS$11&amp;"; ","")</f>
        <v/>
      </c>
      <c r="AT200" t="str">
        <f>IF(AND($V$9=1,(TRUNC(Courses!U194)&lt;&gt;Courses!U194)), "Row "&amp;Courses!$A194&amp;", "&amp;AT$9&amp;", "&amp;AT$10&amp;", "&amp;AT$11&amp;"; ","")</f>
        <v/>
      </c>
      <c r="AU200" s="2120" t="str">
        <f>IF(AND($V$9=1,(TRUNC(Courses!V194)&lt;&gt;Courses!V194)), "Row "&amp;Courses!$A194&amp;", "&amp;AU$9&amp;", "&amp;AU$10&amp;"; ","")</f>
        <v/>
      </c>
      <c r="AV200" t="str">
        <f>IF(AND($V$9=1,(TRUNC(Courses!W194)&lt;&gt;Courses!W194)), "Row "&amp;Courses!$A194&amp;", "&amp;AV$9&amp;", "&amp;AV$10&amp;", "&amp;AV$11&amp;"; ","")</f>
        <v/>
      </c>
      <c r="AW200" t="str">
        <f>IF(AND($V$9=1,(TRUNC(Courses!X194)&lt;&gt;Courses!X194)), "Row "&amp;Courses!$A194&amp;", "&amp;AW$9&amp;", "&amp;AW$10&amp;", "&amp;AW$11&amp;"; ","")</f>
        <v/>
      </c>
      <c r="AX200" t="str">
        <f>IF(AND($V$9=1,(TRUNC(Courses!Y194)&lt;&gt;Courses!Y194)), "Row "&amp;Courses!$A194&amp;", "&amp;AX$9&amp;", "&amp;AX$10&amp;", "&amp;AX$11&amp;"; ","")</f>
        <v/>
      </c>
      <c r="AY200" t="str">
        <f>IF(AND($V$9=1,(TRUNC(Courses!Z194)&lt;&gt;Courses!Z194)), "Row "&amp;Courses!$A194&amp;", "&amp;AY$9&amp;", "&amp;AY$10&amp;", "&amp;AY$11&amp;"; ","")</f>
        <v/>
      </c>
      <c r="AZ200" s="2120" t="str">
        <f>IF(AND($V$9=1,(TRUNC(Courses!AA194)&lt;&gt;Courses!AA194)), "Row "&amp;Courses!$A194&amp;", "&amp;AZ$9&amp;", "&amp;AZ$10&amp;"; ","")</f>
        <v/>
      </c>
      <c r="BC200" s="40">
        <v>181</v>
      </c>
      <c r="BD200" s="1593" t="str">
        <f>IF(AND($W$9=1,Courses!M194&lt;0), "Row "&amp;Courses!$A194&amp;", "&amp;BD$9&amp;", "&amp;BD$10&amp;", "&amp;BD$11&amp;"; ","")</f>
        <v/>
      </c>
      <c r="BE200" t="str">
        <f>IF(AND($W$9=1,Courses!N194&lt;0), "Row "&amp;Courses!$A194&amp;", "&amp;BE$9&amp;", "&amp;BE$10&amp;", "&amp;BE$11&amp;"; ","")</f>
        <v/>
      </c>
      <c r="BF200" t="str">
        <f>IF(AND($W$9=1,Courses!O194&lt;0), "Row "&amp;Courses!$A194&amp;", "&amp;BF$9&amp;", "&amp;BF$10&amp;", "&amp;BF$11&amp;"; ","")</f>
        <v/>
      </c>
      <c r="BG200" t="str">
        <f>IF(AND($W$9=1,Courses!P194&lt;0), "Row "&amp;Courses!$A194&amp;", "&amp;BG$9&amp;", "&amp;BG$10&amp;", "&amp;BG$11&amp;"; ","")</f>
        <v/>
      </c>
      <c r="BH200" s="2120" t="str">
        <f>IF(AND($W$9=1,Courses!Q194&lt;0), "Row "&amp;Courses!$A194&amp;", "&amp;BH$9&amp;", "&amp;BH$10&amp;"; ","")</f>
        <v/>
      </c>
      <c r="BI200" s="1593" t="str">
        <f>IF(AND($W$9=1,Courses!R194&lt;0), "Row "&amp;Courses!$A194&amp;", "&amp;BI$9&amp;", "&amp;BI$10&amp;", "&amp;BI$11&amp;"; ","")</f>
        <v/>
      </c>
      <c r="BJ200" t="str">
        <f>IF(AND($W$9=1,Courses!S194&lt;0), "Row "&amp;Courses!$A194&amp;", "&amp;BJ$9&amp;", "&amp;BJ$10&amp;", "&amp;BJ$11&amp;"; ","")</f>
        <v/>
      </c>
      <c r="BK200" t="str">
        <f>IF(AND($W$9=1,Courses!T194&lt;0), "Row "&amp;Courses!$A194&amp;", "&amp;BK$9&amp;", "&amp;BK$10&amp;", "&amp;BK$11&amp;"; ","")</f>
        <v/>
      </c>
      <c r="BL200" t="str">
        <f>IF(AND($W$9=1,Courses!U194&lt;0), "Row "&amp;Courses!$A194&amp;", "&amp;BL$9&amp;", "&amp;BL$10&amp;", "&amp;BL$11&amp;"; ","")</f>
        <v/>
      </c>
      <c r="BM200" s="2120" t="str">
        <f>IF(AND($W$9=1,Courses!V194&lt;0), "Row "&amp;Courses!$A194&amp;", "&amp;BM$9&amp;", "&amp;BM$10&amp;"; ","")</f>
        <v/>
      </c>
      <c r="BN200" t="str">
        <f>IF(AND($W$9=1,Courses!W194&lt;0), "Row "&amp;Courses!$A194&amp;", "&amp;BN$9&amp;", "&amp;BN$10&amp;", "&amp;BN$11&amp;"; ","")</f>
        <v/>
      </c>
      <c r="BO200" t="str">
        <f>IF(AND($W$9=1,Courses!X194&lt;0), "Row "&amp;Courses!$A194&amp;", "&amp;BO$9&amp;", "&amp;BO$10&amp;", "&amp;BO$11&amp;"; ","")</f>
        <v/>
      </c>
      <c r="BP200" t="str">
        <f>IF(AND($W$9=1,Courses!Y194&lt;0), "Row "&amp;Courses!$A194&amp;", "&amp;BP$9&amp;", "&amp;BP$10&amp;", "&amp;BP$11&amp;"; ","")</f>
        <v/>
      </c>
      <c r="BQ200" t="str">
        <f>IF(AND($W$9=1,Courses!Z194&lt;0), "Row "&amp;Courses!$A194&amp;", "&amp;BQ$9&amp;", "&amp;BQ$10&amp;", "&amp;BQ$11&amp;"; ","")</f>
        <v/>
      </c>
      <c r="BR200" s="2120" t="str">
        <f>IF(AND($W$9=1,Courses!AA194&lt;0), "Row "&amp;Courses!$A194&amp;", "&amp;BR$9&amp;", "&amp;BR$10&amp;"; ","")</f>
        <v/>
      </c>
      <c r="BT200" s="3">
        <f t="shared" si="5"/>
        <v>181</v>
      </c>
      <c r="BU200" s="40">
        <f>IF(AND($X$9=1,Courses!B194="",Courses!F194="",Courses!H194="",Courses!J194="",Courses!K194="",Courses!L194="",Courses!M194=0,Courses!N194=0,Courses!O194=0,Courses!P194=0,Courses!Q194=0,Courses!R194=0,Courses!S194=0,Courses!T194=0,Courses!U194=0,Courses!V194=0,Courses!W194=0,Courses!X194=0,Courses!Y194=0,Courses!Z194=0,Courses!AA194=0),0,1)</f>
        <v>0</v>
      </c>
      <c r="BV200" s="40">
        <f>IF(AND(BU200=0,SUM(BU201:$BU$219)&gt;0),1,0)</f>
        <v>0</v>
      </c>
      <c r="BW200" s="1592" t="str">
        <f>IF(BV200=1,"Row "&amp;Courses!A194&amp;"; ","")</f>
        <v/>
      </c>
      <c r="BX200" s="17"/>
      <c r="BZ200" s="1592" t="str">
        <f>IF(AND($Y$9=1,Courses!B194&lt;&gt;"",SUM(Courses!M194:AA194)=0),"Row "&amp;Courses!A194&amp;"; ","")</f>
        <v/>
      </c>
      <c r="CA200" s="17"/>
      <c r="CC200" s="1592" t="str">
        <f>IF(AND($Z$9=1,Courses!AD194=1,(LEN(Courses!AB194)&gt;200)),"Row "&amp;Courses!A194&amp;"; ","")</f>
        <v/>
      </c>
      <c r="CE200" s="131"/>
      <c r="CG200" s="1593" t="str">
        <f>IF(AND($AD$9=1,Courses!E194&lt;&gt;"",Courses!F194&lt;&gt;"",Courses!F194=0,SUM(Courses!H194,Courses!J194)=1),"Row "&amp;Courses!A194&amp;", "&amp;Courses!$F$10&amp;"; ","")</f>
        <v/>
      </c>
      <c r="CH200" t="str">
        <f>IF(AND($AD$9=1,Courses!G194&lt;&gt;"",Courses!H194&lt;&gt;"",Courses!H194=0,SUM(Courses!J194,Courses!F194)=1),"Row "&amp;Courses!A194&amp;", "&amp;Courses!$H$10&amp;"; ","")</f>
        <v/>
      </c>
      <c r="CI200" s="183" t="str">
        <f>IF(AND($AD$9=1,Courses!I194&lt;&gt;"",Courses!J194&lt;&gt;"",Courses!J194=0, SUM(Courses!H194,Courses!F194)=1),"Row "&amp;Courses!A194&amp;", "&amp;Courses!$J$10&amp;"; ","")</f>
        <v/>
      </c>
      <c r="CL200" s="1592" t="str">
        <f>IF(AND(Courses!B194&lt;&gt;"",ISNA(VLOOKUP(Courses!C194,CourseInfo,2,FALSE))=FALSE,COUNTIF(Dummy,Courses!C194)&lt;&gt;1),VLOOKUP(Courses!C194,CourseInfo,6,FALSE),"")</f>
        <v/>
      </c>
      <c r="CM200" s="1592" t="str">
        <f>IF(AND($AE$9=1,Courses!B194&lt;&gt;"",'Courses Valid'!AG200="",COUNTIF(Dummy,Courses!C194)&lt;&gt;1),IF(Courses!K194&lt;&gt;'Courses Valid'!CL200,"Row "&amp;Courses!A194&amp;", Level on LARS is "&amp;'Courses Valid'!CL200&amp;"; ",""),"")</f>
        <v/>
      </c>
      <c r="CN200" s="131"/>
    </row>
    <row r="201" spans="3:92" x14ac:dyDescent="0.35">
      <c r="C201" s="1595">
        <f t="shared" si="4"/>
        <v>0</v>
      </c>
      <c r="G201" s="1592" t="str">
        <f>IF(SUMPRODUCT(--(CourseAims=Courses!$C195))=1,"",IF(AND($N$9=1,Courses!$C195&lt;&gt;""),"Row "&amp;Courses!A195&amp;" (invalid); ",""))</f>
        <v/>
      </c>
      <c r="H201" s="1592" t="str">
        <f>IF(AND($O$9=1,Courses!B195="",OR(Courses!F195&lt;&gt;"",Courses!H195&lt;&gt;"",Courses!J195&lt;&gt;"",Courses!K195&lt;&gt;"",Courses!L195&lt;&gt;"",Courses!M195&lt;&gt;0,Courses!N195&lt;&gt;0,Courses!O195&lt;&gt;0,Courses!P195&lt;&gt;0,Courses!Q195&lt;&gt;0,Courses!R195&lt;&gt;0,Courses!S195&lt;&gt;0,Courses!T195&lt;&gt;0,Courses!U195&lt;&gt;0,Courses!V195&lt;&gt;0,Courses!W195&lt;&gt;0,Courses!X195&lt;&gt;0,Courses!Y195&lt;&gt;0,Courses!Z195&lt;&gt;0,Courses!AA195&lt;&gt;0)),"Row "&amp;Courses!A195&amp;" (none); ","")</f>
        <v/>
      </c>
      <c r="K201" s="1592" t="str">
        <f>Courses!B195&amp;Courses!K195&amp;Courses!L195</f>
        <v/>
      </c>
      <c r="L201" s="1592" t="str">
        <f>IF(AND($P$9=1,Courses!$B195&lt;&gt;"",COUNTIF(Dummy,Courses!$C195)&lt;&gt;1),IF(SUMPRODUCT(--($K$20:$K$219=$K201))&gt;1,"Row "&amp;Courses!$A195&amp;"; ",""),"")</f>
        <v/>
      </c>
      <c r="O201" s="1593" t="str">
        <f>IF(AND($Q$9=1,Courses!E195&lt;&gt;"",Courses!F195=""),"Row "&amp;Courses!A195&amp;", "&amp;Courses!$E$10&amp;"; ","")</f>
        <v/>
      </c>
      <c r="P201" t="str">
        <f>IF(AND($Q$9=1,Courses!G195&lt;&gt;"",Courses!H195=""),"Row "&amp;Courses!A195&amp;", "&amp;Courses!$G$10&amp;"; ","")</f>
        <v/>
      </c>
      <c r="Q201" s="183" t="str">
        <f>IF(AND($Q$9=1,Courses!I195&lt;&gt;"",Courses!J195=""),"Row "&amp;Courses!A195&amp;", "&amp;Courses!$I$10&amp;"; ","")</f>
        <v/>
      </c>
      <c r="U201" s="1593" t="str">
        <f>IF(AND($R$9=1,Courses!B195&lt;&gt;"",Courses!E195&lt;&gt;"",Courses!G195="",Courses!I195="",Courses!F195&lt;&gt;1),"Row "&amp;Courses!A195&amp;"; ","")</f>
        <v/>
      </c>
      <c r="V201" t="str">
        <f>IF(AND($R$9=1,Courses!B195&lt;&gt;"",Courses!I195="",Courses!F195&lt;&gt;"",Courses!G195&lt;&gt;"",Courses!H195&lt;&gt;""),IF(OR((Courses!F195+Courses!H195)&lt;&gt;1),"Row "&amp;Courses!A195&amp;"; ",""),"")</f>
        <v/>
      </c>
      <c r="W201" s="183" t="str">
        <f>IF(AND($R$9=1,Courses!B195&lt;&gt;"",Courses!I195&lt;&gt;"",Courses!J195&lt;&gt;"",Courses!H195&lt;&gt;"",Courses!G195&lt;&gt;"",Courses!F195&lt;&gt;""),IF(OR((Courses!F195+Courses!H195+Courses!J195)&lt;&gt;1),"Row "&amp;Courses!A195&amp;"; ",""),"")</f>
        <v/>
      </c>
      <c r="Y201" s="1592" t="str">
        <f>IF(AND($R$9=1,Courses!E195&lt;&gt;"",U201="",V201="",W201="",SUM(Courses!F195,Courses!H195,Courses!J195)&lt;&gt;1),"Row "&amp;Courses!A195&amp;"; ","")</f>
        <v/>
      </c>
      <c r="AB201" s="1593" t="str">
        <f>IF(AND($S$9=1,Courses!B195&lt;&gt;"",Courses!E195&lt;&gt;"",Courses!F195&lt;&gt;""),IF((TRUNC(Courses!F195*100)&lt;&gt;Courses!F195*100),"Row "&amp;Courses!A195&amp;", "&amp;Courses!$F$10&amp;"; ",""),"")</f>
        <v/>
      </c>
      <c r="AC201" t="str">
        <f>IF(AND($S$9=1,Courses!B195&lt;&gt;"",Courses!G195&lt;&gt;"",Courses!H195&lt;&gt;""),IF((TRUNC(Courses!H195*100)&lt;&gt;Courses!H195*100),"Row "&amp;Courses!A195&amp;", "&amp;Courses!$H$10&amp;"; ",""),"")</f>
        <v/>
      </c>
      <c r="AD201" s="183" t="str">
        <f>IF(AND($S$9=1,Courses!B195&lt;&gt;"",Courses!I195&lt;&gt;"",Courses!J195&lt;&gt;""),IF((TRUNC(Courses!J195*100)&lt;&gt;Courses!J195*100),"Row "&amp;Courses!A195&amp;", "&amp;Courses!$J$10&amp;"; ",""),"")</f>
        <v/>
      </c>
      <c r="AG201" s="1593" t="str">
        <f>IF(AND($T$9=1,G201="",Courses!B195&lt;&gt;"",Courses!K195&lt;&gt;$B$9,Courses!K195&lt;&gt;$B$10,Courses!K195&lt;&gt;$B$11,Courses!K195&lt;&gt;$B$12,Courses!K195&lt;&gt;$B$13,Courses!K195&lt;&gt;$B$14),"Row "&amp;Courses!A195&amp;"; ","")</f>
        <v/>
      </c>
      <c r="AH201" s="183" t="str">
        <f>IF(AND($U$9=1,G201="",Courses!B195&lt;&gt;"",Courses!L195&lt;&gt;"Standard",Courses!L195&lt;&gt;"Long"),"Row "&amp;Courses!A195&amp;"; ","")</f>
        <v/>
      </c>
      <c r="AK201" s="40">
        <v>182</v>
      </c>
      <c r="AL201" s="1593" t="str">
        <f>IF(AND($V$9=1,(TRUNC(Courses!M195)&lt;&gt;Courses!M195)), "Row "&amp;Courses!$A195&amp;", "&amp;AL$9&amp;", "&amp;AL$10&amp;", "&amp;AL$11&amp;"; ","")</f>
        <v/>
      </c>
      <c r="AM201" t="str">
        <f>IF(AND($V$9=1,(TRUNC(Courses!N195)&lt;&gt;Courses!N195)), "Row "&amp;Courses!$A195&amp;", "&amp;AM$9&amp;", "&amp;AM$10&amp;", "&amp;AM$11&amp;"; ","")</f>
        <v/>
      </c>
      <c r="AN201" t="str">
        <f>IF(AND($V$9=1,(TRUNC(Courses!O195)&lt;&gt;Courses!O195)), "Row "&amp;Courses!$A195&amp;", "&amp;AN$9&amp;", "&amp;AN$10&amp;", "&amp;AN$11&amp;"; ","")</f>
        <v/>
      </c>
      <c r="AO201" t="str">
        <f>IF(AND($V$9=1,(TRUNC(Courses!P195)&lt;&gt;Courses!P195)), "Row "&amp;Courses!$A195&amp;", "&amp;AO$9&amp;", "&amp;AO$10&amp;", "&amp;AO$11&amp;"; ","")</f>
        <v/>
      </c>
      <c r="AP201" s="2120" t="str">
        <f>IF(AND($V$9=1,(TRUNC(Courses!Q195)&lt;&gt;Courses!Q195)), "Row "&amp;Courses!$A195&amp;", "&amp;AP$9&amp;", "&amp;AP$10&amp;"; ","")</f>
        <v/>
      </c>
      <c r="AQ201" s="1593" t="str">
        <f>IF(AND($V$9=1,(TRUNC(Courses!R195)&lt;&gt;Courses!R195)), "Row "&amp;Courses!$A195&amp;", "&amp;AQ$9&amp;", "&amp;AQ$10&amp;", "&amp;AQ$11&amp;"; ","")</f>
        <v/>
      </c>
      <c r="AR201" t="str">
        <f>IF(AND($V$9=1,(TRUNC(Courses!S195)&lt;&gt;Courses!S195)), "Row "&amp;Courses!$A195&amp;", "&amp;AR$9&amp;", "&amp;AR$10&amp;", "&amp;AR$11&amp;"; ","")</f>
        <v/>
      </c>
      <c r="AS201" t="str">
        <f>IF(AND($V$9=1,(TRUNC(Courses!T195)&lt;&gt;Courses!T195)), "Row "&amp;Courses!$A195&amp;", "&amp;AS$9&amp;", "&amp;AS$10&amp;", "&amp;AS$11&amp;"; ","")</f>
        <v/>
      </c>
      <c r="AT201" t="str">
        <f>IF(AND($V$9=1,(TRUNC(Courses!U195)&lt;&gt;Courses!U195)), "Row "&amp;Courses!$A195&amp;", "&amp;AT$9&amp;", "&amp;AT$10&amp;", "&amp;AT$11&amp;"; ","")</f>
        <v/>
      </c>
      <c r="AU201" s="2120" t="str">
        <f>IF(AND($V$9=1,(TRUNC(Courses!V195)&lt;&gt;Courses!V195)), "Row "&amp;Courses!$A195&amp;", "&amp;AU$9&amp;", "&amp;AU$10&amp;"; ","")</f>
        <v/>
      </c>
      <c r="AV201" t="str">
        <f>IF(AND($V$9=1,(TRUNC(Courses!W195)&lt;&gt;Courses!W195)), "Row "&amp;Courses!$A195&amp;", "&amp;AV$9&amp;", "&amp;AV$10&amp;", "&amp;AV$11&amp;"; ","")</f>
        <v/>
      </c>
      <c r="AW201" t="str">
        <f>IF(AND($V$9=1,(TRUNC(Courses!X195)&lt;&gt;Courses!X195)), "Row "&amp;Courses!$A195&amp;", "&amp;AW$9&amp;", "&amp;AW$10&amp;", "&amp;AW$11&amp;"; ","")</f>
        <v/>
      </c>
      <c r="AX201" t="str">
        <f>IF(AND($V$9=1,(TRUNC(Courses!Y195)&lt;&gt;Courses!Y195)), "Row "&amp;Courses!$A195&amp;", "&amp;AX$9&amp;", "&amp;AX$10&amp;", "&amp;AX$11&amp;"; ","")</f>
        <v/>
      </c>
      <c r="AY201" t="str">
        <f>IF(AND($V$9=1,(TRUNC(Courses!Z195)&lt;&gt;Courses!Z195)), "Row "&amp;Courses!$A195&amp;", "&amp;AY$9&amp;", "&amp;AY$10&amp;", "&amp;AY$11&amp;"; ","")</f>
        <v/>
      </c>
      <c r="AZ201" s="2120" t="str">
        <f>IF(AND($V$9=1,(TRUNC(Courses!AA195)&lt;&gt;Courses!AA195)), "Row "&amp;Courses!$A195&amp;", "&amp;AZ$9&amp;", "&amp;AZ$10&amp;"; ","")</f>
        <v/>
      </c>
      <c r="BC201" s="40">
        <v>182</v>
      </c>
      <c r="BD201" s="1593" t="str">
        <f>IF(AND($W$9=1,Courses!M195&lt;0), "Row "&amp;Courses!$A195&amp;", "&amp;BD$9&amp;", "&amp;BD$10&amp;", "&amp;BD$11&amp;"; ","")</f>
        <v/>
      </c>
      <c r="BE201" t="str">
        <f>IF(AND($W$9=1,Courses!N195&lt;0), "Row "&amp;Courses!$A195&amp;", "&amp;BE$9&amp;", "&amp;BE$10&amp;", "&amp;BE$11&amp;"; ","")</f>
        <v/>
      </c>
      <c r="BF201" t="str">
        <f>IF(AND($W$9=1,Courses!O195&lt;0), "Row "&amp;Courses!$A195&amp;", "&amp;BF$9&amp;", "&amp;BF$10&amp;", "&amp;BF$11&amp;"; ","")</f>
        <v/>
      </c>
      <c r="BG201" t="str">
        <f>IF(AND($W$9=1,Courses!P195&lt;0), "Row "&amp;Courses!$A195&amp;", "&amp;BG$9&amp;", "&amp;BG$10&amp;", "&amp;BG$11&amp;"; ","")</f>
        <v/>
      </c>
      <c r="BH201" s="2120" t="str">
        <f>IF(AND($W$9=1,Courses!Q195&lt;0), "Row "&amp;Courses!$A195&amp;", "&amp;BH$9&amp;", "&amp;BH$10&amp;"; ","")</f>
        <v/>
      </c>
      <c r="BI201" s="1593" t="str">
        <f>IF(AND($W$9=1,Courses!R195&lt;0), "Row "&amp;Courses!$A195&amp;", "&amp;BI$9&amp;", "&amp;BI$10&amp;", "&amp;BI$11&amp;"; ","")</f>
        <v/>
      </c>
      <c r="BJ201" t="str">
        <f>IF(AND($W$9=1,Courses!S195&lt;0), "Row "&amp;Courses!$A195&amp;", "&amp;BJ$9&amp;", "&amp;BJ$10&amp;", "&amp;BJ$11&amp;"; ","")</f>
        <v/>
      </c>
      <c r="BK201" t="str">
        <f>IF(AND($W$9=1,Courses!T195&lt;0), "Row "&amp;Courses!$A195&amp;", "&amp;BK$9&amp;", "&amp;BK$10&amp;", "&amp;BK$11&amp;"; ","")</f>
        <v/>
      </c>
      <c r="BL201" t="str">
        <f>IF(AND($W$9=1,Courses!U195&lt;0), "Row "&amp;Courses!$A195&amp;", "&amp;BL$9&amp;", "&amp;BL$10&amp;", "&amp;BL$11&amp;"; ","")</f>
        <v/>
      </c>
      <c r="BM201" s="2120" t="str">
        <f>IF(AND($W$9=1,Courses!V195&lt;0), "Row "&amp;Courses!$A195&amp;", "&amp;BM$9&amp;", "&amp;BM$10&amp;"; ","")</f>
        <v/>
      </c>
      <c r="BN201" t="str">
        <f>IF(AND($W$9=1,Courses!W195&lt;0), "Row "&amp;Courses!$A195&amp;", "&amp;BN$9&amp;", "&amp;BN$10&amp;", "&amp;BN$11&amp;"; ","")</f>
        <v/>
      </c>
      <c r="BO201" t="str">
        <f>IF(AND($W$9=1,Courses!X195&lt;0), "Row "&amp;Courses!$A195&amp;", "&amp;BO$9&amp;", "&amp;BO$10&amp;", "&amp;BO$11&amp;"; ","")</f>
        <v/>
      </c>
      <c r="BP201" t="str">
        <f>IF(AND($W$9=1,Courses!Y195&lt;0), "Row "&amp;Courses!$A195&amp;", "&amp;BP$9&amp;", "&amp;BP$10&amp;", "&amp;BP$11&amp;"; ","")</f>
        <v/>
      </c>
      <c r="BQ201" t="str">
        <f>IF(AND($W$9=1,Courses!Z195&lt;0), "Row "&amp;Courses!$A195&amp;", "&amp;BQ$9&amp;", "&amp;BQ$10&amp;", "&amp;BQ$11&amp;"; ","")</f>
        <v/>
      </c>
      <c r="BR201" s="2120" t="str">
        <f>IF(AND($W$9=1,Courses!AA195&lt;0), "Row "&amp;Courses!$A195&amp;", "&amp;BR$9&amp;", "&amp;BR$10&amp;"; ","")</f>
        <v/>
      </c>
      <c r="BT201" s="3">
        <f t="shared" si="5"/>
        <v>182</v>
      </c>
      <c r="BU201" s="40">
        <f>IF(AND($X$9=1,Courses!B195="",Courses!F195="",Courses!H195="",Courses!J195="",Courses!K195="",Courses!L195="",Courses!M195=0,Courses!N195=0,Courses!O195=0,Courses!P195=0,Courses!Q195=0,Courses!R195=0,Courses!S195=0,Courses!T195=0,Courses!U195=0,Courses!V195=0,Courses!W195=0,Courses!X195=0,Courses!Y195=0,Courses!Z195=0,Courses!AA195=0),0,1)</f>
        <v>0</v>
      </c>
      <c r="BV201" s="40">
        <f>IF(AND(BU201=0,SUM(BU202:$BU$219)&gt;0),1,0)</f>
        <v>0</v>
      </c>
      <c r="BW201" s="1592" t="str">
        <f>IF(BV201=1,"Row "&amp;Courses!A195&amp;"; ","")</f>
        <v/>
      </c>
      <c r="BX201" s="17"/>
      <c r="BZ201" s="1592" t="str">
        <f>IF(AND($Y$9=1,Courses!B195&lt;&gt;"",SUM(Courses!M195:AA195)=0),"Row "&amp;Courses!A195&amp;"; ","")</f>
        <v/>
      </c>
      <c r="CA201" s="17"/>
      <c r="CC201" s="1592" t="str">
        <f>IF(AND($Z$9=1,Courses!AD195=1,(LEN(Courses!AB195)&gt;200)),"Row "&amp;Courses!A195&amp;"; ","")</f>
        <v/>
      </c>
      <c r="CE201" s="131"/>
      <c r="CG201" s="1593" t="str">
        <f>IF(AND($AD$9=1,Courses!E195&lt;&gt;"",Courses!F195&lt;&gt;"",Courses!F195=0,SUM(Courses!H195,Courses!J195)=1),"Row "&amp;Courses!A195&amp;", "&amp;Courses!$F$10&amp;"; ","")</f>
        <v/>
      </c>
      <c r="CH201" t="str">
        <f>IF(AND($AD$9=1,Courses!G195&lt;&gt;"",Courses!H195&lt;&gt;"",Courses!H195=0,SUM(Courses!J195,Courses!F195)=1),"Row "&amp;Courses!A195&amp;", "&amp;Courses!$H$10&amp;"; ","")</f>
        <v/>
      </c>
      <c r="CI201" s="183" t="str">
        <f>IF(AND($AD$9=1,Courses!I195&lt;&gt;"",Courses!J195&lt;&gt;"",Courses!J195=0, SUM(Courses!H195,Courses!F195)=1),"Row "&amp;Courses!A195&amp;", "&amp;Courses!$J$10&amp;"; ","")</f>
        <v/>
      </c>
      <c r="CL201" s="1592" t="str">
        <f>IF(AND(Courses!B195&lt;&gt;"",ISNA(VLOOKUP(Courses!C195,CourseInfo,2,FALSE))=FALSE,COUNTIF(Dummy,Courses!C195)&lt;&gt;1),VLOOKUP(Courses!C195,CourseInfo,6,FALSE),"")</f>
        <v/>
      </c>
      <c r="CM201" s="1592" t="str">
        <f>IF(AND($AE$9=1,Courses!B195&lt;&gt;"",'Courses Valid'!AG201="",COUNTIF(Dummy,Courses!C195)&lt;&gt;1),IF(Courses!K195&lt;&gt;'Courses Valid'!CL201,"Row "&amp;Courses!A195&amp;", Level on LARS is "&amp;'Courses Valid'!CL201&amp;"; ",""),"")</f>
        <v/>
      </c>
      <c r="CN201" s="131"/>
    </row>
    <row r="202" spans="3:92" x14ac:dyDescent="0.35">
      <c r="C202" s="1595">
        <f t="shared" si="4"/>
        <v>0</v>
      </c>
      <c r="G202" s="1592" t="str">
        <f>IF(SUMPRODUCT(--(CourseAims=Courses!$C196))=1,"",IF(AND($N$9=1,Courses!$C196&lt;&gt;""),"Row "&amp;Courses!A196&amp;" (invalid); ",""))</f>
        <v/>
      </c>
      <c r="H202" s="1592" t="str">
        <f>IF(AND($O$9=1,Courses!B196="",OR(Courses!F196&lt;&gt;"",Courses!H196&lt;&gt;"",Courses!J196&lt;&gt;"",Courses!K196&lt;&gt;"",Courses!L196&lt;&gt;"",Courses!M196&lt;&gt;0,Courses!N196&lt;&gt;0,Courses!O196&lt;&gt;0,Courses!P196&lt;&gt;0,Courses!Q196&lt;&gt;0,Courses!R196&lt;&gt;0,Courses!S196&lt;&gt;0,Courses!T196&lt;&gt;0,Courses!U196&lt;&gt;0,Courses!V196&lt;&gt;0,Courses!W196&lt;&gt;0,Courses!X196&lt;&gt;0,Courses!Y196&lt;&gt;0,Courses!Z196&lt;&gt;0,Courses!AA196&lt;&gt;0)),"Row "&amp;Courses!A196&amp;" (none); ","")</f>
        <v/>
      </c>
      <c r="K202" s="1592" t="str">
        <f>Courses!B196&amp;Courses!K196&amp;Courses!L196</f>
        <v/>
      </c>
      <c r="L202" s="1592" t="str">
        <f>IF(AND($P$9=1,Courses!$B196&lt;&gt;"",COUNTIF(Dummy,Courses!$C196)&lt;&gt;1),IF(SUMPRODUCT(--($K$20:$K$219=$K202))&gt;1,"Row "&amp;Courses!$A196&amp;"; ",""),"")</f>
        <v/>
      </c>
      <c r="O202" s="1593" t="str">
        <f>IF(AND($Q$9=1,Courses!E196&lt;&gt;"",Courses!F196=""),"Row "&amp;Courses!A196&amp;", "&amp;Courses!$E$10&amp;"; ","")</f>
        <v/>
      </c>
      <c r="P202" t="str">
        <f>IF(AND($Q$9=1,Courses!G196&lt;&gt;"",Courses!H196=""),"Row "&amp;Courses!A196&amp;", "&amp;Courses!$G$10&amp;"; ","")</f>
        <v/>
      </c>
      <c r="Q202" s="183" t="str">
        <f>IF(AND($Q$9=1,Courses!I196&lt;&gt;"",Courses!J196=""),"Row "&amp;Courses!A196&amp;", "&amp;Courses!$I$10&amp;"; ","")</f>
        <v/>
      </c>
      <c r="U202" s="1593" t="str">
        <f>IF(AND($R$9=1,Courses!B196&lt;&gt;"",Courses!E196&lt;&gt;"",Courses!G196="",Courses!I196="",Courses!F196&lt;&gt;1),"Row "&amp;Courses!A196&amp;"; ","")</f>
        <v/>
      </c>
      <c r="V202" t="str">
        <f>IF(AND($R$9=1,Courses!B196&lt;&gt;"",Courses!I196="",Courses!F196&lt;&gt;"",Courses!G196&lt;&gt;"",Courses!H196&lt;&gt;""),IF(OR((Courses!F196+Courses!H196)&lt;&gt;1),"Row "&amp;Courses!A196&amp;"; ",""),"")</f>
        <v/>
      </c>
      <c r="W202" s="183" t="str">
        <f>IF(AND($R$9=1,Courses!B196&lt;&gt;"",Courses!I196&lt;&gt;"",Courses!J196&lt;&gt;"",Courses!H196&lt;&gt;"",Courses!G196&lt;&gt;"",Courses!F196&lt;&gt;""),IF(OR((Courses!F196+Courses!H196+Courses!J196)&lt;&gt;1),"Row "&amp;Courses!A196&amp;"; ",""),"")</f>
        <v/>
      </c>
      <c r="Y202" s="1592" t="str">
        <f>IF(AND($R$9=1,Courses!E196&lt;&gt;"",U202="",V202="",W202="",SUM(Courses!F196,Courses!H196,Courses!J196)&lt;&gt;1),"Row "&amp;Courses!A196&amp;"; ","")</f>
        <v/>
      </c>
      <c r="AB202" s="1593" t="str">
        <f>IF(AND($S$9=1,Courses!B196&lt;&gt;"",Courses!E196&lt;&gt;"",Courses!F196&lt;&gt;""),IF((TRUNC(Courses!F196*100)&lt;&gt;Courses!F196*100),"Row "&amp;Courses!A196&amp;", "&amp;Courses!$F$10&amp;"; ",""),"")</f>
        <v/>
      </c>
      <c r="AC202" t="str">
        <f>IF(AND($S$9=1,Courses!B196&lt;&gt;"",Courses!G196&lt;&gt;"",Courses!H196&lt;&gt;""),IF((TRUNC(Courses!H196*100)&lt;&gt;Courses!H196*100),"Row "&amp;Courses!A196&amp;", "&amp;Courses!$H$10&amp;"; ",""),"")</f>
        <v/>
      </c>
      <c r="AD202" s="183" t="str">
        <f>IF(AND($S$9=1,Courses!B196&lt;&gt;"",Courses!I196&lt;&gt;"",Courses!J196&lt;&gt;""),IF((TRUNC(Courses!J196*100)&lt;&gt;Courses!J196*100),"Row "&amp;Courses!A196&amp;", "&amp;Courses!$J$10&amp;"; ",""),"")</f>
        <v/>
      </c>
      <c r="AG202" s="1593" t="str">
        <f>IF(AND($T$9=1,G202="",Courses!B196&lt;&gt;"",Courses!K196&lt;&gt;$B$9,Courses!K196&lt;&gt;$B$10,Courses!K196&lt;&gt;$B$11,Courses!K196&lt;&gt;$B$12,Courses!K196&lt;&gt;$B$13,Courses!K196&lt;&gt;$B$14),"Row "&amp;Courses!A196&amp;"; ","")</f>
        <v/>
      </c>
      <c r="AH202" s="183" t="str">
        <f>IF(AND($U$9=1,G202="",Courses!B196&lt;&gt;"",Courses!L196&lt;&gt;"Standard",Courses!L196&lt;&gt;"Long"),"Row "&amp;Courses!A196&amp;"; ","")</f>
        <v/>
      </c>
      <c r="AK202" s="40">
        <v>183</v>
      </c>
      <c r="AL202" s="1593" t="str">
        <f>IF(AND($V$9=1,(TRUNC(Courses!M196)&lt;&gt;Courses!M196)), "Row "&amp;Courses!$A196&amp;", "&amp;AL$9&amp;", "&amp;AL$10&amp;", "&amp;AL$11&amp;"; ","")</f>
        <v/>
      </c>
      <c r="AM202" t="str">
        <f>IF(AND($V$9=1,(TRUNC(Courses!N196)&lt;&gt;Courses!N196)), "Row "&amp;Courses!$A196&amp;", "&amp;AM$9&amp;", "&amp;AM$10&amp;", "&amp;AM$11&amp;"; ","")</f>
        <v/>
      </c>
      <c r="AN202" t="str">
        <f>IF(AND($V$9=1,(TRUNC(Courses!O196)&lt;&gt;Courses!O196)), "Row "&amp;Courses!$A196&amp;", "&amp;AN$9&amp;", "&amp;AN$10&amp;", "&amp;AN$11&amp;"; ","")</f>
        <v/>
      </c>
      <c r="AO202" t="str">
        <f>IF(AND($V$9=1,(TRUNC(Courses!P196)&lt;&gt;Courses!P196)), "Row "&amp;Courses!$A196&amp;", "&amp;AO$9&amp;", "&amp;AO$10&amp;", "&amp;AO$11&amp;"; ","")</f>
        <v/>
      </c>
      <c r="AP202" s="2120" t="str">
        <f>IF(AND($V$9=1,(TRUNC(Courses!Q196)&lt;&gt;Courses!Q196)), "Row "&amp;Courses!$A196&amp;", "&amp;AP$9&amp;", "&amp;AP$10&amp;"; ","")</f>
        <v/>
      </c>
      <c r="AQ202" s="1593" t="str">
        <f>IF(AND($V$9=1,(TRUNC(Courses!R196)&lt;&gt;Courses!R196)), "Row "&amp;Courses!$A196&amp;", "&amp;AQ$9&amp;", "&amp;AQ$10&amp;", "&amp;AQ$11&amp;"; ","")</f>
        <v/>
      </c>
      <c r="AR202" t="str">
        <f>IF(AND($V$9=1,(TRUNC(Courses!S196)&lt;&gt;Courses!S196)), "Row "&amp;Courses!$A196&amp;", "&amp;AR$9&amp;", "&amp;AR$10&amp;", "&amp;AR$11&amp;"; ","")</f>
        <v/>
      </c>
      <c r="AS202" t="str">
        <f>IF(AND($V$9=1,(TRUNC(Courses!T196)&lt;&gt;Courses!T196)), "Row "&amp;Courses!$A196&amp;", "&amp;AS$9&amp;", "&amp;AS$10&amp;", "&amp;AS$11&amp;"; ","")</f>
        <v/>
      </c>
      <c r="AT202" t="str">
        <f>IF(AND($V$9=1,(TRUNC(Courses!U196)&lt;&gt;Courses!U196)), "Row "&amp;Courses!$A196&amp;", "&amp;AT$9&amp;", "&amp;AT$10&amp;", "&amp;AT$11&amp;"; ","")</f>
        <v/>
      </c>
      <c r="AU202" s="2120" t="str">
        <f>IF(AND($V$9=1,(TRUNC(Courses!V196)&lt;&gt;Courses!V196)), "Row "&amp;Courses!$A196&amp;", "&amp;AU$9&amp;", "&amp;AU$10&amp;"; ","")</f>
        <v/>
      </c>
      <c r="AV202" t="str">
        <f>IF(AND($V$9=1,(TRUNC(Courses!W196)&lt;&gt;Courses!W196)), "Row "&amp;Courses!$A196&amp;", "&amp;AV$9&amp;", "&amp;AV$10&amp;", "&amp;AV$11&amp;"; ","")</f>
        <v/>
      </c>
      <c r="AW202" t="str">
        <f>IF(AND($V$9=1,(TRUNC(Courses!X196)&lt;&gt;Courses!X196)), "Row "&amp;Courses!$A196&amp;", "&amp;AW$9&amp;", "&amp;AW$10&amp;", "&amp;AW$11&amp;"; ","")</f>
        <v/>
      </c>
      <c r="AX202" t="str">
        <f>IF(AND($V$9=1,(TRUNC(Courses!Y196)&lt;&gt;Courses!Y196)), "Row "&amp;Courses!$A196&amp;", "&amp;AX$9&amp;", "&amp;AX$10&amp;", "&amp;AX$11&amp;"; ","")</f>
        <v/>
      </c>
      <c r="AY202" t="str">
        <f>IF(AND($V$9=1,(TRUNC(Courses!Z196)&lt;&gt;Courses!Z196)), "Row "&amp;Courses!$A196&amp;", "&amp;AY$9&amp;", "&amp;AY$10&amp;", "&amp;AY$11&amp;"; ","")</f>
        <v/>
      </c>
      <c r="AZ202" s="2120" t="str">
        <f>IF(AND($V$9=1,(TRUNC(Courses!AA196)&lt;&gt;Courses!AA196)), "Row "&amp;Courses!$A196&amp;", "&amp;AZ$9&amp;", "&amp;AZ$10&amp;"; ","")</f>
        <v/>
      </c>
      <c r="BC202" s="40">
        <v>183</v>
      </c>
      <c r="BD202" s="1593" t="str">
        <f>IF(AND($W$9=1,Courses!M196&lt;0), "Row "&amp;Courses!$A196&amp;", "&amp;BD$9&amp;", "&amp;BD$10&amp;", "&amp;BD$11&amp;"; ","")</f>
        <v/>
      </c>
      <c r="BE202" t="str">
        <f>IF(AND($W$9=1,Courses!N196&lt;0), "Row "&amp;Courses!$A196&amp;", "&amp;BE$9&amp;", "&amp;BE$10&amp;", "&amp;BE$11&amp;"; ","")</f>
        <v/>
      </c>
      <c r="BF202" t="str">
        <f>IF(AND($W$9=1,Courses!O196&lt;0), "Row "&amp;Courses!$A196&amp;", "&amp;BF$9&amp;", "&amp;BF$10&amp;", "&amp;BF$11&amp;"; ","")</f>
        <v/>
      </c>
      <c r="BG202" t="str">
        <f>IF(AND($W$9=1,Courses!P196&lt;0), "Row "&amp;Courses!$A196&amp;", "&amp;BG$9&amp;", "&amp;BG$10&amp;", "&amp;BG$11&amp;"; ","")</f>
        <v/>
      </c>
      <c r="BH202" s="2120" t="str">
        <f>IF(AND($W$9=1,Courses!Q196&lt;0), "Row "&amp;Courses!$A196&amp;", "&amp;BH$9&amp;", "&amp;BH$10&amp;"; ","")</f>
        <v/>
      </c>
      <c r="BI202" s="1593" t="str">
        <f>IF(AND($W$9=1,Courses!R196&lt;0), "Row "&amp;Courses!$A196&amp;", "&amp;BI$9&amp;", "&amp;BI$10&amp;", "&amp;BI$11&amp;"; ","")</f>
        <v/>
      </c>
      <c r="BJ202" t="str">
        <f>IF(AND($W$9=1,Courses!S196&lt;0), "Row "&amp;Courses!$A196&amp;", "&amp;BJ$9&amp;", "&amp;BJ$10&amp;", "&amp;BJ$11&amp;"; ","")</f>
        <v/>
      </c>
      <c r="BK202" t="str">
        <f>IF(AND($W$9=1,Courses!T196&lt;0), "Row "&amp;Courses!$A196&amp;", "&amp;BK$9&amp;", "&amp;BK$10&amp;", "&amp;BK$11&amp;"; ","")</f>
        <v/>
      </c>
      <c r="BL202" t="str">
        <f>IF(AND($W$9=1,Courses!U196&lt;0), "Row "&amp;Courses!$A196&amp;", "&amp;BL$9&amp;", "&amp;BL$10&amp;", "&amp;BL$11&amp;"; ","")</f>
        <v/>
      </c>
      <c r="BM202" s="2120" t="str">
        <f>IF(AND($W$9=1,Courses!V196&lt;0), "Row "&amp;Courses!$A196&amp;", "&amp;BM$9&amp;", "&amp;BM$10&amp;"; ","")</f>
        <v/>
      </c>
      <c r="BN202" t="str">
        <f>IF(AND($W$9=1,Courses!W196&lt;0), "Row "&amp;Courses!$A196&amp;", "&amp;BN$9&amp;", "&amp;BN$10&amp;", "&amp;BN$11&amp;"; ","")</f>
        <v/>
      </c>
      <c r="BO202" t="str">
        <f>IF(AND($W$9=1,Courses!X196&lt;0), "Row "&amp;Courses!$A196&amp;", "&amp;BO$9&amp;", "&amp;BO$10&amp;", "&amp;BO$11&amp;"; ","")</f>
        <v/>
      </c>
      <c r="BP202" t="str">
        <f>IF(AND($W$9=1,Courses!Y196&lt;0), "Row "&amp;Courses!$A196&amp;", "&amp;BP$9&amp;", "&amp;BP$10&amp;", "&amp;BP$11&amp;"; ","")</f>
        <v/>
      </c>
      <c r="BQ202" t="str">
        <f>IF(AND($W$9=1,Courses!Z196&lt;0), "Row "&amp;Courses!$A196&amp;", "&amp;BQ$9&amp;", "&amp;BQ$10&amp;", "&amp;BQ$11&amp;"; ","")</f>
        <v/>
      </c>
      <c r="BR202" s="2120" t="str">
        <f>IF(AND($W$9=1,Courses!AA196&lt;0), "Row "&amp;Courses!$A196&amp;", "&amp;BR$9&amp;", "&amp;BR$10&amp;"; ","")</f>
        <v/>
      </c>
      <c r="BT202" s="3">
        <f t="shared" si="5"/>
        <v>183</v>
      </c>
      <c r="BU202" s="40">
        <f>IF(AND($X$9=1,Courses!B196="",Courses!F196="",Courses!H196="",Courses!J196="",Courses!K196="",Courses!L196="",Courses!M196=0,Courses!N196=0,Courses!O196=0,Courses!P196=0,Courses!Q196=0,Courses!R196=0,Courses!S196=0,Courses!T196=0,Courses!U196=0,Courses!V196=0,Courses!W196=0,Courses!X196=0,Courses!Y196=0,Courses!Z196=0,Courses!AA196=0),0,1)</f>
        <v>0</v>
      </c>
      <c r="BV202" s="40">
        <f>IF(AND(BU202=0,SUM(BU203:$BU$219)&gt;0),1,0)</f>
        <v>0</v>
      </c>
      <c r="BW202" s="1592" t="str">
        <f>IF(BV202=1,"Row "&amp;Courses!A196&amp;"; ","")</f>
        <v/>
      </c>
      <c r="BX202" s="17"/>
      <c r="BZ202" s="1592" t="str">
        <f>IF(AND($Y$9=1,Courses!B196&lt;&gt;"",SUM(Courses!M196:AA196)=0),"Row "&amp;Courses!A196&amp;"; ","")</f>
        <v/>
      </c>
      <c r="CA202" s="17"/>
      <c r="CC202" s="1592" t="str">
        <f>IF(AND($Z$9=1,Courses!AD196=1,(LEN(Courses!AB196)&gt;200)),"Row "&amp;Courses!A196&amp;"; ","")</f>
        <v/>
      </c>
      <c r="CE202" s="131"/>
      <c r="CG202" s="1593" t="str">
        <f>IF(AND($AD$9=1,Courses!E196&lt;&gt;"",Courses!F196&lt;&gt;"",Courses!F196=0,SUM(Courses!H196,Courses!J196)=1),"Row "&amp;Courses!A196&amp;", "&amp;Courses!$F$10&amp;"; ","")</f>
        <v/>
      </c>
      <c r="CH202" t="str">
        <f>IF(AND($AD$9=1,Courses!G196&lt;&gt;"",Courses!H196&lt;&gt;"",Courses!H196=0,SUM(Courses!J196,Courses!F196)=1),"Row "&amp;Courses!A196&amp;", "&amp;Courses!$H$10&amp;"; ","")</f>
        <v/>
      </c>
      <c r="CI202" s="183" t="str">
        <f>IF(AND($AD$9=1,Courses!I196&lt;&gt;"",Courses!J196&lt;&gt;"",Courses!J196=0, SUM(Courses!H196,Courses!F196)=1),"Row "&amp;Courses!A196&amp;", "&amp;Courses!$J$10&amp;"; ","")</f>
        <v/>
      </c>
      <c r="CL202" s="1592" t="str">
        <f>IF(AND(Courses!B196&lt;&gt;"",ISNA(VLOOKUP(Courses!C196,CourseInfo,2,FALSE))=FALSE,COUNTIF(Dummy,Courses!C196)&lt;&gt;1),VLOOKUP(Courses!C196,CourseInfo,6,FALSE),"")</f>
        <v/>
      </c>
      <c r="CM202" s="1592" t="str">
        <f>IF(AND($AE$9=1,Courses!B196&lt;&gt;"",'Courses Valid'!AG202="",COUNTIF(Dummy,Courses!C196)&lt;&gt;1),IF(Courses!K196&lt;&gt;'Courses Valid'!CL202,"Row "&amp;Courses!A196&amp;", Level on LARS is "&amp;'Courses Valid'!CL202&amp;"; ",""),"")</f>
        <v/>
      </c>
      <c r="CN202" s="131"/>
    </row>
    <row r="203" spans="3:92" x14ac:dyDescent="0.35">
      <c r="C203" s="1595">
        <f t="shared" si="4"/>
        <v>0</v>
      </c>
      <c r="G203" s="1592" t="str">
        <f>IF(SUMPRODUCT(--(CourseAims=Courses!$C197))=1,"",IF(AND($N$9=1,Courses!$C197&lt;&gt;""),"Row "&amp;Courses!A197&amp;" (invalid); ",""))</f>
        <v/>
      </c>
      <c r="H203" s="1592" t="str">
        <f>IF(AND($O$9=1,Courses!B197="",OR(Courses!F197&lt;&gt;"",Courses!H197&lt;&gt;"",Courses!J197&lt;&gt;"",Courses!K197&lt;&gt;"",Courses!L197&lt;&gt;"",Courses!M197&lt;&gt;0,Courses!N197&lt;&gt;0,Courses!O197&lt;&gt;0,Courses!P197&lt;&gt;0,Courses!Q197&lt;&gt;0,Courses!R197&lt;&gt;0,Courses!S197&lt;&gt;0,Courses!T197&lt;&gt;0,Courses!U197&lt;&gt;0,Courses!V197&lt;&gt;0,Courses!W197&lt;&gt;0,Courses!X197&lt;&gt;0,Courses!Y197&lt;&gt;0,Courses!Z197&lt;&gt;0,Courses!AA197&lt;&gt;0)),"Row "&amp;Courses!A197&amp;" (none); ","")</f>
        <v/>
      </c>
      <c r="K203" s="1592" t="str">
        <f>Courses!B197&amp;Courses!K197&amp;Courses!L197</f>
        <v/>
      </c>
      <c r="L203" s="1592" t="str">
        <f>IF(AND($P$9=1,Courses!$B197&lt;&gt;"",COUNTIF(Dummy,Courses!$C197)&lt;&gt;1),IF(SUMPRODUCT(--($K$20:$K$219=$K203))&gt;1,"Row "&amp;Courses!$A197&amp;"; ",""),"")</f>
        <v/>
      </c>
      <c r="O203" s="1593" t="str">
        <f>IF(AND($Q$9=1,Courses!E197&lt;&gt;"",Courses!F197=""),"Row "&amp;Courses!A197&amp;", "&amp;Courses!$E$10&amp;"; ","")</f>
        <v/>
      </c>
      <c r="P203" t="str">
        <f>IF(AND($Q$9=1,Courses!G197&lt;&gt;"",Courses!H197=""),"Row "&amp;Courses!A197&amp;", "&amp;Courses!$G$10&amp;"; ","")</f>
        <v/>
      </c>
      <c r="Q203" s="183" t="str">
        <f>IF(AND($Q$9=1,Courses!I197&lt;&gt;"",Courses!J197=""),"Row "&amp;Courses!A197&amp;", "&amp;Courses!$I$10&amp;"; ","")</f>
        <v/>
      </c>
      <c r="U203" s="1593" t="str">
        <f>IF(AND($R$9=1,Courses!B197&lt;&gt;"",Courses!E197&lt;&gt;"",Courses!G197="",Courses!I197="",Courses!F197&lt;&gt;1),"Row "&amp;Courses!A197&amp;"; ","")</f>
        <v/>
      </c>
      <c r="V203" t="str">
        <f>IF(AND($R$9=1,Courses!B197&lt;&gt;"",Courses!I197="",Courses!F197&lt;&gt;"",Courses!G197&lt;&gt;"",Courses!H197&lt;&gt;""),IF(OR((Courses!F197+Courses!H197)&lt;&gt;1),"Row "&amp;Courses!A197&amp;"; ",""),"")</f>
        <v/>
      </c>
      <c r="W203" s="183" t="str">
        <f>IF(AND($R$9=1,Courses!B197&lt;&gt;"",Courses!I197&lt;&gt;"",Courses!J197&lt;&gt;"",Courses!H197&lt;&gt;"",Courses!G197&lt;&gt;"",Courses!F197&lt;&gt;""),IF(OR((Courses!F197+Courses!H197+Courses!J197)&lt;&gt;1),"Row "&amp;Courses!A197&amp;"; ",""),"")</f>
        <v/>
      </c>
      <c r="Y203" s="1592" t="str">
        <f>IF(AND($R$9=1,Courses!E197&lt;&gt;"",U203="",V203="",W203="",SUM(Courses!F197,Courses!H197,Courses!J197)&lt;&gt;1),"Row "&amp;Courses!A197&amp;"; ","")</f>
        <v/>
      </c>
      <c r="AB203" s="1593" t="str">
        <f>IF(AND($S$9=1,Courses!B197&lt;&gt;"",Courses!E197&lt;&gt;"",Courses!F197&lt;&gt;""),IF((TRUNC(Courses!F197*100)&lt;&gt;Courses!F197*100),"Row "&amp;Courses!A197&amp;", "&amp;Courses!$F$10&amp;"; ",""),"")</f>
        <v/>
      </c>
      <c r="AC203" t="str">
        <f>IF(AND($S$9=1,Courses!B197&lt;&gt;"",Courses!G197&lt;&gt;"",Courses!H197&lt;&gt;""),IF((TRUNC(Courses!H197*100)&lt;&gt;Courses!H197*100),"Row "&amp;Courses!A197&amp;", "&amp;Courses!$H$10&amp;"; ",""),"")</f>
        <v/>
      </c>
      <c r="AD203" s="183" t="str">
        <f>IF(AND($S$9=1,Courses!B197&lt;&gt;"",Courses!I197&lt;&gt;"",Courses!J197&lt;&gt;""),IF((TRUNC(Courses!J197*100)&lt;&gt;Courses!J197*100),"Row "&amp;Courses!A197&amp;", "&amp;Courses!$J$10&amp;"; ",""),"")</f>
        <v/>
      </c>
      <c r="AG203" s="1593" t="str">
        <f>IF(AND($T$9=1,G203="",Courses!B197&lt;&gt;"",Courses!K197&lt;&gt;$B$9,Courses!K197&lt;&gt;$B$10,Courses!K197&lt;&gt;$B$11,Courses!K197&lt;&gt;$B$12,Courses!K197&lt;&gt;$B$13,Courses!K197&lt;&gt;$B$14),"Row "&amp;Courses!A197&amp;"; ","")</f>
        <v/>
      </c>
      <c r="AH203" s="183" t="str">
        <f>IF(AND($U$9=1,G203="",Courses!B197&lt;&gt;"",Courses!L197&lt;&gt;"Standard",Courses!L197&lt;&gt;"Long"),"Row "&amp;Courses!A197&amp;"; ","")</f>
        <v/>
      </c>
      <c r="AK203" s="40">
        <v>184</v>
      </c>
      <c r="AL203" s="1593" t="str">
        <f>IF(AND($V$9=1,(TRUNC(Courses!M197)&lt;&gt;Courses!M197)), "Row "&amp;Courses!$A197&amp;", "&amp;AL$9&amp;", "&amp;AL$10&amp;", "&amp;AL$11&amp;"; ","")</f>
        <v/>
      </c>
      <c r="AM203" t="str">
        <f>IF(AND($V$9=1,(TRUNC(Courses!N197)&lt;&gt;Courses!N197)), "Row "&amp;Courses!$A197&amp;", "&amp;AM$9&amp;", "&amp;AM$10&amp;", "&amp;AM$11&amp;"; ","")</f>
        <v/>
      </c>
      <c r="AN203" t="str">
        <f>IF(AND($V$9=1,(TRUNC(Courses!O197)&lt;&gt;Courses!O197)), "Row "&amp;Courses!$A197&amp;", "&amp;AN$9&amp;", "&amp;AN$10&amp;", "&amp;AN$11&amp;"; ","")</f>
        <v/>
      </c>
      <c r="AO203" t="str">
        <f>IF(AND($V$9=1,(TRUNC(Courses!P197)&lt;&gt;Courses!P197)), "Row "&amp;Courses!$A197&amp;", "&amp;AO$9&amp;", "&amp;AO$10&amp;", "&amp;AO$11&amp;"; ","")</f>
        <v/>
      </c>
      <c r="AP203" s="2120" t="str">
        <f>IF(AND($V$9=1,(TRUNC(Courses!Q197)&lt;&gt;Courses!Q197)), "Row "&amp;Courses!$A197&amp;", "&amp;AP$9&amp;", "&amp;AP$10&amp;"; ","")</f>
        <v/>
      </c>
      <c r="AQ203" s="1593" t="str">
        <f>IF(AND($V$9=1,(TRUNC(Courses!R197)&lt;&gt;Courses!R197)), "Row "&amp;Courses!$A197&amp;", "&amp;AQ$9&amp;", "&amp;AQ$10&amp;", "&amp;AQ$11&amp;"; ","")</f>
        <v/>
      </c>
      <c r="AR203" t="str">
        <f>IF(AND($V$9=1,(TRUNC(Courses!S197)&lt;&gt;Courses!S197)), "Row "&amp;Courses!$A197&amp;", "&amp;AR$9&amp;", "&amp;AR$10&amp;", "&amp;AR$11&amp;"; ","")</f>
        <v/>
      </c>
      <c r="AS203" t="str">
        <f>IF(AND($V$9=1,(TRUNC(Courses!T197)&lt;&gt;Courses!T197)), "Row "&amp;Courses!$A197&amp;", "&amp;AS$9&amp;", "&amp;AS$10&amp;", "&amp;AS$11&amp;"; ","")</f>
        <v/>
      </c>
      <c r="AT203" t="str">
        <f>IF(AND($V$9=1,(TRUNC(Courses!U197)&lt;&gt;Courses!U197)), "Row "&amp;Courses!$A197&amp;", "&amp;AT$9&amp;", "&amp;AT$10&amp;", "&amp;AT$11&amp;"; ","")</f>
        <v/>
      </c>
      <c r="AU203" s="2120" t="str">
        <f>IF(AND($V$9=1,(TRUNC(Courses!V197)&lt;&gt;Courses!V197)), "Row "&amp;Courses!$A197&amp;", "&amp;AU$9&amp;", "&amp;AU$10&amp;"; ","")</f>
        <v/>
      </c>
      <c r="AV203" t="str">
        <f>IF(AND($V$9=1,(TRUNC(Courses!W197)&lt;&gt;Courses!W197)), "Row "&amp;Courses!$A197&amp;", "&amp;AV$9&amp;", "&amp;AV$10&amp;", "&amp;AV$11&amp;"; ","")</f>
        <v/>
      </c>
      <c r="AW203" t="str">
        <f>IF(AND($V$9=1,(TRUNC(Courses!X197)&lt;&gt;Courses!X197)), "Row "&amp;Courses!$A197&amp;", "&amp;AW$9&amp;", "&amp;AW$10&amp;", "&amp;AW$11&amp;"; ","")</f>
        <v/>
      </c>
      <c r="AX203" t="str">
        <f>IF(AND($V$9=1,(TRUNC(Courses!Y197)&lt;&gt;Courses!Y197)), "Row "&amp;Courses!$A197&amp;", "&amp;AX$9&amp;", "&amp;AX$10&amp;", "&amp;AX$11&amp;"; ","")</f>
        <v/>
      </c>
      <c r="AY203" t="str">
        <f>IF(AND($V$9=1,(TRUNC(Courses!Z197)&lt;&gt;Courses!Z197)), "Row "&amp;Courses!$A197&amp;", "&amp;AY$9&amp;", "&amp;AY$10&amp;", "&amp;AY$11&amp;"; ","")</f>
        <v/>
      </c>
      <c r="AZ203" s="2120" t="str">
        <f>IF(AND($V$9=1,(TRUNC(Courses!AA197)&lt;&gt;Courses!AA197)), "Row "&amp;Courses!$A197&amp;", "&amp;AZ$9&amp;", "&amp;AZ$10&amp;"; ","")</f>
        <v/>
      </c>
      <c r="BC203" s="40">
        <v>184</v>
      </c>
      <c r="BD203" s="1593" t="str">
        <f>IF(AND($W$9=1,Courses!M197&lt;0), "Row "&amp;Courses!$A197&amp;", "&amp;BD$9&amp;", "&amp;BD$10&amp;", "&amp;BD$11&amp;"; ","")</f>
        <v/>
      </c>
      <c r="BE203" t="str">
        <f>IF(AND($W$9=1,Courses!N197&lt;0), "Row "&amp;Courses!$A197&amp;", "&amp;BE$9&amp;", "&amp;BE$10&amp;", "&amp;BE$11&amp;"; ","")</f>
        <v/>
      </c>
      <c r="BF203" t="str">
        <f>IF(AND($W$9=1,Courses!O197&lt;0), "Row "&amp;Courses!$A197&amp;", "&amp;BF$9&amp;", "&amp;BF$10&amp;", "&amp;BF$11&amp;"; ","")</f>
        <v/>
      </c>
      <c r="BG203" t="str">
        <f>IF(AND($W$9=1,Courses!P197&lt;0), "Row "&amp;Courses!$A197&amp;", "&amp;BG$9&amp;", "&amp;BG$10&amp;", "&amp;BG$11&amp;"; ","")</f>
        <v/>
      </c>
      <c r="BH203" s="2120" t="str">
        <f>IF(AND($W$9=1,Courses!Q197&lt;0), "Row "&amp;Courses!$A197&amp;", "&amp;BH$9&amp;", "&amp;BH$10&amp;"; ","")</f>
        <v/>
      </c>
      <c r="BI203" s="1593" t="str">
        <f>IF(AND($W$9=1,Courses!R197&lt;0), "Row "&amp;Courses!$A197&amp;", "&amp;BI$9&amp;", "&amp;BI$10&amp;", "&amp;BI$11&amp;"; ","")</f>
        <v/>
      </c>
      <c r="BJ203" t="str">
        <f>IF(AND($W$9=1,Courses!S197&lt;0), "Row "&amp;Courses!$A197&amp;", "&amp;BJ$9&amp;", "&amp;BJ$10&amp;", "&amp;BJ$11&amp;"; ","")</f>
        <v/>
      </c>
      <c r="BK203" t="str">
        <f>IF(AND($W$9=1,Courses!T197&lt;0), "Row "&amp;Courses!$A197&amp;", "&amp;BK$9&amp;", "&amp;BK$10&amp;", "&amp;BK$11&amp;"; ","")</f>
        <v/>
      </c>
      <c r="BL203" t="str">
        <f>IF(AND($W$9=1,Courses!U197&lt;0), "Row "&amp;Courses!$A197&amp;", "&amp;BL$9&amp;", "&amp;BL$10&amp;", "&amp;BL$11&amp;"; ","")</f>
        <v/>
      </c>
      <c r="BM203" s="2120" t="str">
        <f>IF(AND($W$9=1,Courses!V197&lt;0), "Row "&amp;Courses!$A197&amp;", "&amp;BM$9&amp;", "&amp;BM$10&amp;"; ","")</f>
        <v/>
      </c>
      <c r="BN203" t="str">
        <f>IF(AND($W$9=1,Courses!W197&lt;0), "Row "&amp;Courses!$A197&amp;", "&amp;BN$9&amp;", "&amp;BN$10&amp;", "&amp;BN$11&amp;"; ","")</f>
        <v/>
      </c>
      <c r="BO203" t="str">
        <f>IF(AND($W$9=1,Courses!X197&lt;0), "Row "&amp;Courses!$A197&amp;", "&amp;BO$9&amp;", "&amp;BO$10&amp;", "&amp;BO$11&amp;"; ","")</f>
        <v/>
      </c>
      <c r="BP203" t="str">
        <f>IF(AND($W$9=1,Courses!Y197&lt;0), "Row "&amp;Courses!$A197&amp;", "&amp;BP$9&amp;", "&amp;BP$10&amp;", "&amp;BP$11&amp;"; ","")</f>
        <v/>
      </c>
      <c r="BQ203" t="str">
        <f>IF(AND($W$9=1,Courses!Z197&lt;0), "Row "&amp;Courses!$A197&amp;", "&amp;BQ$9&amp;", "&amp;BQ$10&amp;", "&amp;BQ$11&amp;"; ","")</f>
        <v/>
      </c>
      <c r="BR203" s="2120" t="str">
        <f>IF(AND($W$9=1,Courses!AA197&lt;0), "Row "&amp;Courses!$A197&amp;", "&amp;BR$9&amp;", "&amp;BR$10&amp;"; ","")</f>
        <v/>
      </c>
      <c r="BT203" s="3">
        <f t="shared" si="5"/>
        <v>184</v>
      </c>
      <c r="BU203" s="40">
        <f>IF(AND($X$9=1,Courses!B197="",Courses!F197="",Courses!H197="",Courses!J197="",Courses!K197="",Courses!L197="",Courses!M197=0,Courses!N197=0,Courses!O197=0,Courses!P197=0,Courses!Q197=0,Courses!R197=0,Courses!S197=0,Courses!T197=0,Courses!U197=0,Courses!V197=0,Courses!W197=0,Courses!X197=0,Courses!Y197=0,Courses!Z197=0,Courses!AA197=0),0,1)</f>
        <v>0</v>
      </c>
      <c r="BV203" s="40">
        <f>IF(AND(BU203=0,SUM(BU204:$BU$219)&gt;0),1,0)</f>
        <v>0</v>
      </c>
      <c r="BW203" s="1592" t="str">
        <f>IF(BV203=1,"Row "&amp;Courses!A197&amp;"; ","")</f>
        <v/>
      </c>
      <c r="BX203" s="17"/>
      <c r="BZ203" s="1592" t="str">
        <f>IF(AND($Y$9=1,Courses!B197&lt;&gt;"",SUM(Courses!M197:AA197)=0),"Row "&amp;Courses!A197&amp;"; ","")</f>
        <v/>
      </c>
      <c r="CA203" s="17"/>
      <c r="CC203" s="1592" t="str">
        <f>IF(AND($Z$9=1,Courses!AD197=1,(LEN(Courses!AB197)&gt;200)),"Row "&amp;Courses!A197&amp;"; ","")</f>
        <v/>
      </c>
      <c r="CE203" s="131"/>
      <c r="CG203" s="1593" t="str">
        <f>IF(AND($AD$9=1,Courses!E197&lt;&gt;"",Courses!F197&lt;&gt;"",Courses!F197=0,SUM(Courses!H197,Courses!J197)=1),"Row "&amp;Courses!A197&amp;", "&amp;Courses!$F$10&amp;"; ","")</f>
        <v/>
      </c>
      <c r="CH203" t="str">
        <f>IF(AND($AD$9=1,Courses!G197&lt;&gt;"",Courses!H197&lt;&gt;"",Courses!H197=0,SUM(Courses!J197,Courses!F197)=1),"Row "&amp;Courses!A197&amp;", "&amp;Courses!$H$10&amp;"; ","")</f>
        <v/>
      </c>
      <c r="CI203" s="183" t="str">
        <f>IF(AND($AD$9=1,Courses!I197&lt;&gt;"",Courses!J197&lt;&gt;"",Courses!J197=0, SUM(Courses!H197,Courses!F197)=1),"Row "&amp;Courses!A197&amp;", "&amp;Courses!$J$10&amp;"; ","")</f>
        <v/>
      </c>
      <c r="CL203" s="1592" t="str">
        <f>IF(AND(Courses!B197&lt;&gt;"",ISNA(VLOOKUP(Courses!C197,CourseInfo,2,FALSE))=FALSE,COUNTIF(Dummy,Courses!C197)&lt;&gt;1),VLOOKUP(Courses!C197,CourseInfo,6,FALSE),"")</f>
        <v/>
      </c>
      <c r="CM203" s="1592" t="str">
        <f>IF(AND($AE$9=1,Courses!B197&lt;&gt;"",'Courses Valid'!AG203="",COUNTIF(Dummy,Courses!C197)&lt;&gt;1),IF(Courses!K197&lt;&gt;'Courses Valid'!CL203,"Row "&amp;Courses!A197&amp;", Level on LARS is "&amp;'Courses Valid'!CL203&amp;"; ",""),"")</f>
        <v/>
      </c>
      <c r="CN203" s="131"/>
    </row>
    <row r="204" spans="3:92" x14ac:dyDescent="0.35">
      <c r="C204" s="1595">
        <f t="shared" si="4"/>
        <v>0</v>
      </c>
      <c r="G204" s="1592" t="str">
        <f>IF(SUMPRODUCT(--(CourseAims=Courses!$C198))=1,"",IF(AND($N$9=1,Courses!$C198&lt;&gt;""),"Row "&amp;Courses!A198&amp;" (invalid); ",""))</f>
        <v/>
      </c>
      <c r="H204" s="1592" t="str">
        <f>IF(AND($O$9=1,Courses!B198="",OR(Courses!F198&lt;&gt;"",Courses!H198&lt;&gt;"",Courses!J198&lt;&gt;"",Courses!K198&lt;&gt;"",Courses!L198&lt;&gt;"",Courses!M198&lt;&gt;0,Courses!N198&lt;&gt;0,Courses!O198&lt;&gt;0,Courses!P198&lt;&gt;0,Courses!Q198&lt;&gt;0,Courses!R198&lt;&gt;0,Courses!S198&lt;&gt;0,Courses!T198&lt;&gt;0,Courses!U198&lt;&gt;0,Courses!V198&lt;&gt;0,Courses!W198&lt;&gt;0,Courses!X198&lt;&gt;0,Courses!Y198&lt;&gt;0,Courses!Z198&lt;&gt;0,Courses!AA198&lt;&gt;0)),"Row "&amp;Courses!A198&amp;" (none); ","")</f>
        <v/>
      </c>
      <c r="K204" s="1592" t="str">
        <f>Courses!B198&amp;Courses!K198&amp;Courses!L198</f>
        <v/>
      </c>
      <c r="L204" s="1592" t="str">
        <f>IF(AND($P$9=1,Courses!$B198&lt;&gt;"",COUNTIF(Dummy,Courses!$C198)&lt;&gt;1),IF(SUMPRODUCT(--($K$20:$K$219=$K204))&gt;1,"Row "&amp;Courses!$A198&amp;"; ",""),"")</f>
        <v/>
      </c>
      <c r="O204" s="1593" t="str">
        <f>IF(AND($Q$9=1,Courses!E198&lt;&gt;"",Courses!F198=""),"Row "&amp;Courses!A198&amp;", "&amp;Courses!$E$10&amp;"; ","")</f>
        <v/>
      </c>
      <c r="P204" t="str">
        <f>IF(AND($Q$9=1,Courses!G198&lt;&gt;"",Courses!H198=""),"Row "&amp;Courses!A198&amp;", "&amp;Courses!$G$10&amp;"; ","")</f>
        <v/>
      </c>
      <c r="Q204" s="183" t="str">
        <f>IF(AND($Q$9=1,Courses!I198&lt;&gt;"",Courses!J198=""),"Row "&amp;Courses!A198&amp;", "&amp;Courses!$I$10&amp;"; ","")</f>
        <v/>
      </c>
      <c r="U204" s="1593" t="str">
        <f>IF(AND($R$9=1,Courses!B198&lt;&gt;"",Courses!E198&lt;&gt;"",Courses!G198="",Courses!I198="",Courses!F198&lt;&gt;1),"Row "&amp;Courses!A198&amp;"; ","")</f>
        <v/>
      </c>
      <c r="V204" t="str">
        <f>IF(AND($R$9=1,Courses!B198&lt;&gt;"",Courses!I198="",Courses!F198&lt;&gt;"",Courses!G198&lt;&gt;"",Courses!H198&lt;&gt;""),IF(OR((Courses!F198+Courses!H198)&lt;&gt;1),"Row "&amp;Courses!A198&amp;"; ",""),"")</f>
        <v/>
      </c>
      <c r="W204" s="183" t="str">
        <f>IF(AND($R$9=1,Courses!B198&lt;&gt;"",Courses!I198&lt;&gt;"",Courses!J198&lt;&gt;"",Courses!H198&lt;&gt;"",Courses!G198&lt;&gt;"",Courses!F198&lt;&gt;""),IF(OR((Courses!F198+Courses!H198+Courses!J198)&lt;&gt;1),"Row "&amp;Courses!A198&amp;"; ",""),"")</f>
        <v/>
      </c>
      <c r="Y204" s="1592" t="str">
        <f>IF(AND($R$9=1,Courses!E198&lt;&gt;"",U204="",V204="",W204="",SUM(Courses!F198,Courses!H198,Courses!J198)&lt;&gt;1),"Row "&amp;Courses!A198&amp;"; ","")</f>
        <v/>
      </c>
      <c r="AB204" s="1593" t="str">
        <f>IF(AND($S$9=1,Courses!B198&lt;&gt;"",Courses!E198&lt;&gt;"",Courses!F198&lt;&gt;""),IF((TRUNC(Courses!F198*100)&lt;&gt;Courses!F198*100),"Row "&amp;Courses!A198&amp;", "&amp;Courses!$F$10&amp;"; ",""),"")</f>
        <v/>
      </c>
      <c r="AC204" t="str">
        <f>IF(AND($S$9=1,Courses!B198&lt;&gt;"",Courses!G198&lt;&gt;"",Courses!H198&lt;&gt;""),IF((TRUNC(Courses!H198*100)&lt;&gt;Courses!H198*100),"Row "&amp;Courses!A198&amp;", "&amp;Courses!$H$10&amp;"; ",""),"")</f>
        <v/>
      </c>
      <c r="AD204" s="183" t="str">
        <f>IF(AND($S$9=1,Courses!B198&lt;&gt;"",Courses!I198&lt;&gt;"",Courses!J198&lt;&gt;""),IF((TRUNC(Courses!J198*100)&lt;&gt;Courses!J198*100),"Row "&amp;Courses!A198&amp;", "&amp;Courses!$J$10&amp;"; ",""),"")</f>
        <v/>
      </c>
      <c r="AG204" s="1593" t="str">
        <f>IF(AND($T$9=1,G204="",Courses!B198&lt;&gt;"",Courses!K198&lt;&gt;$B$9,Courses!K198&lt;&gt;$B$10,Courses!K198&lt;&gt;$B$11,Courses!K198&lt;&gt;$B$12,Courses!K198&lt;&gt;$B$13,Courses!K198&lt;&gt;$B$14),"Row "&amp;Courses!A198&amp;"; ","")</f>
        <v/>
      </c>
      <c r="AH204" s="183" t="str">
        <f>IF(AND($U$9=1,G204="",Courses!B198&lt;&gt;"",Courses!L198&lt;&gt;"Standard",Courses!L198&lt;&gt;"Long"),"Row "&amp;Courses!A198&amp;"; ","")</f>
        <v/>
      </c>
      <c r="AK204" s="40">
        <v>185</v>
      </c>
      <c r="AL204" s="1593" t="str">
        <f>IF(AND($V$9=1,(TRUNC(Courses!M198)&lt;&gt;Courses!M198)), "Row "&amp;Courses!$A198&amp;", "&amp;AL$9&amp;", "&amp;AL$10&amp;", "&amp;AL$11&amp;"; ","")</f>
        <v/>
      </c>
      <c r="AM204" t="str">
        <f>IF(AND($V$9=1,(TRUNC(Courses!N198)&lt;&gt;Courses!N198)), "Row "&amp;Courses!$A198&amp;", "&amp;AM$9&amp;", "&amp;AM$10&amp;", "&amp;AM$11&amp;"; ","")</f>
        <v/>
      </c>
      <c r="AN204" t="str">
        <f>IF(AND($V$9=1,(TRUNC(Courses!O198)&lt;&gt;Courses!O198)), "Row "&amp;Courses!$A198&amp;", "&amp;AN$9&amp;", "&amp;AN$10&amp;", "&amp;AN$11&amp;"; ","")</f>
        <v/>
      </c>
      <c r="AO204" t="str">
        <f>IF(AND($V$9=1,(TRUNC(Courses!P198)&lt;&gt;Courses!P198)), "Row "&amp;Courses!$A198&amp;", "&amp;AO$9&amp;", "&amp;AO$10&amp;", "&amp;AO$11&amp;"; ","")</f>
        <v/>
      </c>
      <c r="AP204" s="2120" t="str">
        <f>IF(AND($V$9=1,(TRUNC(Courses!Q198)&lt;&gt;Courses!Q198)), "Row "&amp;Courses!$A198&amp;", "&amp;AP$9&amp;", "&amp;AP$10&amp;"; ","")</f>
        <v/>
      </c>
      <c r="AQ204" s="1593" t="str">
        <f>IF(AND($V$9=1,(TRUNC(Courses!R198)&lt;&gt;Courses!R198)), "Row "&amp;Courses!$A198&amp;", "&amp;AQ$9&amp;", "&amp;AQ$10&amp;", "&amp;AQ$11&amp;"; ","")</f>
        <v/>
      </c>
      <c r="AR204" t="str">
        <f>IF(AND($V$9=1,(TRUNC(Courses!S198)&lt;&gt;Courses!S198)), "Row "&amp;Courses!$A198&amp;", "&amp;AR$9&amp;", "&amp;AR$10&amp;", "&amp;AR$11&amp;"; ","")</f>
        <v/>
      </c>
      <c r="AS204" t="str">
        <f>IF(AND($V$9=1,(TRUNC(Courses!T198)&lt;&gt;Courses!T198)), "Row "&amp;Courses!$A198&amp;", "&amp;AS$9&amp;", "&amp;AS$10&amp;", "&amp;AS$11&amp;"; ","")</f>
        <v/>
      </c>
      <c r="AT204" t="str">
        <f>IF(AND($V$9=1,(TRUNC(Courses!U198)&lt;&gt;Courses!U198)), "Row "&amp;Courses!$A198&amp;", "&amp;AT$9&amp;", "&amp;AT$10&amp;", "&amp;AT$11&amp;"; ","")</f>
        <v/>
      </c>
      <c r="AU204" s="2120" t="str">
        <f>IF(AND($V$9=1,(TRUNC(Courses!V198)&lt;&gt;Courses!V198)), "Row "&amp;Courses!$A198&amp;", "&amp;AU$9&amp;", "&amp;AU$10&amp;"; ","")</f>
        <v/>
      </c>
      <c r="AV204" t="str">
        <f>IF(AND($V$9=1,(TRUNC(Courses!W198)&lt;&gt;Courses!W198)), "Row "&amp;Courses!$A198&amp;", "&amp;AV$9&amp;", "&amp;AV$10&amp;", "&amp;AV$11&amp;"; ","")</f>
        <v/>
      </c>
      <c r="AW204" t="str">
        <f>IF(AND($V$9=1,(TRUNC(Courses!X198)&lt;&gt;Courses!X198)), "Row "&amp;Courses!$A198&amp;", "&amp;AW$9&amp;", "&amp;AW$10&amp;", "&amp;AW$11&amp;"; ","")</f>
        <v/>
      </c>
      <c r="AX204" t="str">
        <f>IF(AND($V$9=1,(TRUNC(Courses!Y198)&lt;&gt;Courses!Y198)), "Row "&amp;Courses!$A198&amp;", "&amp;AX$9&amp;", "&amp;AX$10&amp;", "&amp;AX$11&amp;"; ","")</f>
        <v/>
      </c>
      <c r="AY204" t="str">
        <f>IF(AND($V$9=1,(TRUNC(Courses!Z198)&lt;&gt;Courses!Z198)), "Row "&amp;Courses!$A198&amp;", "&amp;AY$9&amp;", "&amp;AY$10&amp;", "&amp;AY$11&amp;"; ","")</f>
        <v/>
      </c>
      <c r="AZ204" s="2120" t="str">
        <f>IF(AND($V$9=1,(TRUNC(Courses!AA198)&lt;&gt;Courses!AA198)), "Row "&amp;Courses!$A198&amp;", "&amp;AZ$9&amp;", "&amp;AZ$10&amp;"; ","")</f>
        <v/>
      </c>
      <c r="BC204" s="40">
        <v>185</v>
      </c>
      <c r="BD204" s="1593" t="str">
        <f>IF(AND($W$9=1,Courses!M198&lt;0), "Row "&amp;Courses!$A198&amp;", "&amp;BD$9&amp;", "&amp;BD$10&amp;", "&amp;BD$11&amp;"; ","")</f>
        <v/>
      </c>
      <c r="BE204" t="str">
        <f>IF(AND($W$9=1,Courses!N198&lt;0), "Row "&amp;Courses!$A198&amp;", "&amp;BE$9&amp;", "&amp;BE$10&amp;", "&amp;BE$11&amp;"; ","")</f>
        <v/>
      </c>
      <c r="BF204" t="str">
        <f>IF(AND($W$9=1,Courses!O198&lt;0), "Row "&amp;Courses!$A198&amp;", "&amp;BF$9&amp;", "&amp;BF$10&amp;", "&amp;BF$11&amp;"; ","")</f>
        <v/>
      </c>
      <c r="BG204" t="str">
        <f>IF(AND($W$9=1,Courses!P198&lt;0), "Row "&amp;Courses!$A198&amp;", "&amp;BG$9&amp;", "&amp;BG$10&amp;", "&amp;BG$11&amp;"; ","")</f>
        <v/>
      </c>
      <c r="BH204" s="2120" t="str">
        <f>IF(AND($W$9=1,Courses!Q198&lt;0), "Row "&amp;Courses!$A198&amp;", "&amp;BH$9&amp;", "&amp;BH$10&amp;"; ","")</f>
        <v/>
      </c>
      <c r="BI204" s="1593" t="str">
        <f>IF(AND($W$9=1,Courses!R198&lt;0), "Row "&amp;Courses!$A198&amp;", "&amp;BI$9&amp;", "&amp;BI$10&amp;", "&amp;BI$11&amp;"; ","")</f>
        <v/>
      </c>
      <c r="BJ204" t="str">
        <f>IF(AND($W$9=1,Courses!S198&lt;0), "Row "&amp;Courses!$A198&amp;", "&amp;BJ$9&amp;", "&amp;BJ$10&amp;", "&amp;BJ$11&amp;"; ","")</f>
        <v/>
      </c>
      <c r="BK204" t="str">
        <f>IF(AND($W$9=1,Courses!T198&lt;0), "Row "&amp;Courses!$A198&amp;", "&amp;BK$9&amp;", "&amp;BK$10&amp;", "&amp;BK$11&amp;"; ","")</f>
        <v/>
      </c>
      <c r="BL204" t="str">
        <f>IF(AND($W$9=1,Courses!U198&lt;0), "Row "&amp;Courses!$A198&amp;", "&amp;BL$9&amp;", "&amp;BL$10&amp;", "&amp;BL$11&amp;"; ","")</f>
        <v/>
      </c>
      <c r="BM204" s="2120" t="str">
        <f>IF(AND($W$9=1,Courses!V198&lt;0), "Row "&amp;Courses!$A198&amp;", "&amp;BM$9&amp;", "&amp;BM$10&amp;"; ","")</f>
        <v/>
      </c>
      <c r="BN204" t="str">
        <f>IF(AND($W$9=1,Courses!W198&lt;0), "Row "&amp;Courses!$A198&amp;", "&amp;BN$9&amp;", "&amp;BN$10&amp;", "&amp;BN$11&amp;"; ","")</f>
        <v/>
      </c>
      <c r="BO204" t="str">
        <f>IF(AND($W$9=1,Courses!X198&lt;0), "Row "&amp;Courses!$A198&amp;", "&amp;BO$9&amp;", "&amp;BO$10&amp;", "&amp;BO$11&amp;"; ","")</f>
        <v/>
      </c>
      <c r="BP204" t="str">
        <f>IF(AND($W$9=1,Courses!Y198&lt;0), "Row "&amp;Courses!$A198&amp;", "&amp;BP$9&amp;", "&amp;BP$10&amp;", "&amp;BP$11&amp;"; ","")</f>
        <v/>
      </c>
      <c r="BQ204" t="str">
        <f>IF(AND($W$9=1,Courses!Z198&lt;0), "Row "&amp;Courses!$A198&amp;", "&amp;BQ$9&amp;", "&amp;BQ$10&amp;", "&amp;BQ$11&amp;"; ","")</f>
        <v/>
      </c>
      <c r="BR204" s="2120" t="str">
        <f>IF(AND($W$9=1,Courses!AA198&lt;0), "Row "&amp;Courses!$A198&amp;", "&amp;BR$9&amp;", "&amp;BR$10&amp;"; ","")</f>
        <v/>
      </c>
      <c r="BT204" s="3">
        <f t="shared" si="5"/>
        <v>185</v>
      </c>
      <c r="BU204" s="40">
        <f>IF(AND($X$9=1,Courses!B198="",Courses!F198="",Courses!H198="",Courses!J198="",Courses!K198="",Courses!L198="",Courses!M198=0,Courses!N198=0,Courses!O198=0,Courses!P198=0,Courses!Q198=0,Courses!R198=0,Courses!S198=0,Courses!T198=0,Courses!U198=0,Courses!V198=0,Courses!W198=0,Courses!X198=0,Courses!Y198=0,Courses!Z198=0,Courses!AA198=0),0,1)</f>
        <v>0</v>
      </c>
      <c r="BV204" s="40">
        <f>IF(AND(BU204=0,SUM(BU205:$BU$219)&gt;0),1,0)</f>
        <v>0</v>
      </c>
      <c r="BW204" s="1592" t="str">
        <f>IF(BV204=1,"Row "&amp;Courses!A198&amp;"; ","")</f>
        <v/>
      </c>
      <c r="BX204" s="17"/>
      <c r="BZ204" s="1592" t="str">
        <f>IF(AND($Y$9=1,Courses!B198&lt;&gt;"",SUM(Courses!M198:AA198)=0),"Row "&amp;Courses!A198&amp;"; ","")</f>
        <v/>
      </c>
      <c r="CA204" s="17"/>
      <c r="CC204" s="1592" t="str">
        <f>IF(AND($Z$9=1,Courses!AD198=1,(LEN(Courses!AB198)&gt;200)),"Row "&amp;Courses!A198&amp;"; ","")</f>
        <v/>
      </c>
      <c r="CE204" s="131"/>
      <c r="CG204" s="1593" t="str">
        <f>IF(AND($AD$9=1,Courses!E198&lt;&gt;"",Courses!F198&lt;&gt;"",Courses!F198=0,SUM(Courses!H198,Courses!J198)=1),"Row "&amp;Courses!A198&amp;", "&amp;Courses!$F$10&amp;"; ","")</f>
        <v/>
      </c>
      <c r="CH204" t="str">
        <f>IF(AND($AD$9=1,Courses!G198&lt;&gt;"",Courses!H198&lt;&gt;"",Courses!H198=0,SUM(Courses!J198,Courses!F198)=1),"Row "&amp;Courses!A198&amp;", "&amp;Courses!$H$10&amp;"; ","")</f>
        <v/>
      </c>
      <c r="CI204" s="183" t="str">
        <f>IF(AND($AD$9=1,Courses!I198&lt;&gt;"",Courses!J198&lt;&gt;"",Courses!J198=0, SUM(Courses!H198,Courses!F198)=1),"Row "&amp;Courses!A198&amp;", "&amp;Courses!$J$10&amp;"; ","")</f>
        <v/>
      </c>
      <c r="CL204" s="1592" t="str">
        <f>IF(AND(Courses!B198&lt;&gt;"",ISNA(VLOOKUP(Courses!C198,CourseInfo,2,FALSE))=FALSE,COUNTIF(Dummy,Courses!C198)&lt;&gt;1),VLOOKUP(Courses!C198,CourseInfo,6,FALSE),"")</f>
        <v/>
      </c>
      <c r="CM204" s="1592" t="str">
        <f>IF(AND($AE$9=1,Courses!B198&lt;&gt;"",'Courses Valid'!AG204="",COUNTIF(Dummy,Courses!C198)&lt;&gt;1),IF(Courses!K198&lt;&gt;'Courses Valid'!CL204,"Row "&amp;Courses!A198&amp;", Level on LARS is "&amp;'Courses Valid'!CL204&amp;"; ",""),"")</f>
        <v/>
      </c>
      <c r="CN204" s="131"/>
    </row>
    <row r="205" spans="3:92" x14ac:dyDescent="0.35">
      <c r="C205" s="1595">
        <f t="shared" si="4"/>
        <v>0</v>
      </c>
      <c r="G205" s="1592" t="str">
        <f>IF(SUMPRODUCT(--(CourseAims=Courses!$C199))=1,"",IF(AND($N$9=1,Courses!$C199&lt;&gt;""),"Row "&amp;Courses!A199&amp;" (invalid); ",""))</f>
        <v/>
      </c>
      <c r="H205" s="1592" t="str">
        <f>IF(AND($O$9=1,Courses!B199="",OR(Courses!F199&lt;&gt;"",Courses!H199&lt;&gt;"",Courses!J199&lt;&gt;"",Courses!K199&lt;&gt;"",Courses!L199&lt;&gt;"",Courses!M199&lt;&gt;0,Courses!N199&lt;&gt;0,Courses!O199&lt;&gt;0,Courses!P199&lt;&gt;0,Courses!Q199&lt;&gt;0,Courses!R199&lt;&gt;0,Courses!S199&lt;&gt;0,Courses!T199&lt;&gt;0,Courses!U199&lt;&gt;0,Courses!V199&lt;&gt;0,Courses!W199&lt;&gt;0,Courses!X199&lt;&gt;0,Courses!Y199&lt;&gt;0,Courses!Z199&lt;&gt;0,Courses!AA199&lt;&gt;0)),"Row "&amp;Courses!A199&amp;" (none); ","")</f>
        <v/>
      </c>
      <c r="K205" s="1592" t="str">
        <f>Courses!B199&amp;Courses!K199&amp;Courses!L199</f>
        <v/>
      </c>
      <c r="L205" s="1592" t="str">
        <f>IF(AND($P$9=1,Courses!$B199&lt;&gt;"",COUNTIF(Dummy,Courses!$C199)&lt;&gt;1),IF(SUMPRODUCT(--($K$20:$K$219=$K205))&gt;1,"Row "&amp;Courses!$A199&amp;"; ",""),"")</f>
        <v/>
      </c>
      <c r="O205" s="1593" t="str">
        <f>IF(AND($Q$9=1,Courses!E199&lt;&gt;"",Courses!F199=""),"Row "&amp;Courses!A199&amp;", "&amp;Courses!$E$10&amp;"; ","")</f>
        <v/>
      </c>
      <c r="P205" t="str">
        <f>IF(AND($Q$9=1,Courses!G199&lt;&gt;"",Courses!H199=""),"Row "&amp;Courses!A199&amp;", "&amp;Courses!$G$10&amp;"; ","")</f>
        <v/>
      </c>
      <c r="Q205" s="183" t="str">
        <f>IF(AND($Q$9=1,Courses!I199&lt;&gt;"",Courses!J199=""),"Row "&amp;Courses!A199&amp;", "&amp;Courses!$I$10&amp;"; ","")</f>
        <v/>
      </c>
      <c r="U205" s="1593" t="str">
        <f>IF(AND($R$9=1,Courses!B199&lt;&gt;"",Courses!E199&lt;&gt;"",Courses!G199="",Courses!I199="",Courses!F199&lt;&gt;1),"Row "&amp;Courses!A199&amp;"; ","")</f>
        <v/>
      </c>
      <c r="V205" t="str">
        <f>IF(AND($R$9=1,Courses!B199&lt;&gt;"",Courses!I199="",Courses!F199&lt;&gt;"",Courses!G199&lt;&gt;"",Courses!H199&lt;&gt;""),IF(OR((Courses!F199+Courses!H199)&lt;&gt;1),"Row "&amp;Courses!A199&amp;"; ",""),"")</f>
        <v/>
      </c>
      <c r="W205" s="183" t="str">
        <f>IF(AND($R$9=1,Courses!B199&lt;&gt;"",Courses!I199&lt;&gt;"",Courses!J199&lt;&gt;"",Courses!H199&lt;&gt;"",Courses!G199&lt;&gt;"",Courses!F199&lt;&gt;""),IF(OR((Courses!F199+Courses!H199+Courses!J199)&lt;&gt;1),"Row "&amp;Courses!A199&amp;"; ",""),"")</f>
        <v/>
      </c>
      <c r="Y205" s="1592" t="str">
        <f>IF(AND($R$9=1,Courses!E199&lt;&gt;"",U205="",V205="",W205="",SUM(Courses!F199,Courses!H199,Courses!J199)&lt;&gt;1),"Row "&amp;Courses!A199&amp;"; ","")</f>
        <v/>
      </c>
      <c r="AB205" s="1593" t="str">
        <f>IF(AND($S$9=1,Courses!B199&lt;&gt;"",Courses!E199&lt;&gt;"",Courses!F199&lt;&gt;""),IF((TRUNC(Courses!F199*100)&lt;&gt;Courses!F199*100),"Row "&amp;Courses!A199&amp;", "&amp;Courses!$F$10&amp;"; ",""),"")</f>
        <v/>
      </c>
      <c r="AC205" t="str">
        <f>IF(AND($S$9=1,Courses!B199&lt;&gt;"",Courses!G199&lt;&gt;"",Courses!H199&lt;&gt;""),IF((TRUNC(Courses!H199*100)&lt;&gt;Courses!H199*100),"Row "&amp;Courses!A199&amp;", "&amp;Courses!$H$10&amp;"; ",""),"")</f>
        <v/>
      </c>
      <c r="AD205" s="183" t="str">
        <f>IF(AND($S$9=1,Courses!B199&lt;&gt;"",Courses!I199&lt;&gt;"",Courses!J199&lt;&gt;""),IF((TRUNC(Courses!J199*100)&lt;&gt;Courses!J199*100),"Row "&amp;Courses!A199&amp;", "&amp;Courses!$J$10&amp;"; ",""),"")</f>
        <v/>
      </c>
      <c r="AG205" s="1593" t="str">
        <f>IF(AND($T$9=1,G205="",Courses!B199&lt;&gt;"",Courses!K199&lt;&gt;$B$9,Courses!K199&lt;&gt;$B$10,Courses!K199&lt;&gt;$B$11,Courses!K199&lt;&gt;$B$12,Courses!K199&lt;&gt;$B$13,Courses!K199&lt;&gt;$B$14),"Row "&amp;Courses!A199&amp;"; ","")</f>
        <v/>
      </c>
      <c r="AH205" s="183" t="str">
        <f>IF(AND($U$9=1,G205="",Courses!B199&lt;&gt;"",Courses!L199&lt;&gt;"Standard",Courses!L199&lt;&gt;"Long"),"Row "&amp;Courses!A199&amp;"; ","")</f>
        <v/>
      </c>
      <c r="AK205" s="40">
        <v>186</v>
      </c>
      <c r="AL205" s="1593" t="str">
        <f>IF(AND($V$9=1,(TRUNC(Courses!M199)&lt;&gt;Courses!M199)), "Row "&amp;Courses!$A199&amp;", "&amp;AL$9&amp;", "&amp;AL$10&amp;", "&amp;AL$11&amp;"; ","")</f>
        <v/>
      </c>
      <c r="AM205" t="str">
        <f>IF(AND($V$9=1,(TRUNC(Courses!N199)&lt;&gt;Courses!N199)), "Row "&amp;Courses!$A199&amp;", "&amp;AM$9&amp;", "&amp;AM$10&amp;", "&amp;AM$11&amp;"; ","")</f>
        <v/>
      </c>
      <c r="AN205" t="str">
        <f>IF(AND($V$9=1,(TRUNC(Courses!O199)&lt;&gt;Courses!O199)), "Row "&amp;Courses!$A199&amp;", "&amp;AN$9&amp;", "&amp;AN$10&amp;", "&amp;AN$11&amp;"; ","")</f>
        <v/>
      </c>
      <c r="AO205" t="str">
        <f>IF(AND($V$9=1,(TRUNC(Courses!P199)&lt;&gt;Courses!P199)), "Row "&amp;Courses!$A199&amp;", "&amp;AO$9&amp;", "&amp;AO$10&amp;", "&amp;AO$11&amp;"; ","")</f>
        <v/>
      </c>
      <c r="AP205" s="2120" t="str">
        <f>IF(AND($V$9=1,(TRUNC(Courses!Q199)&lt;&gt;Courses!Q199)), "Row "&amp;Courses!$A199&amp;", "&amp;AP$9&amp;", "&amp;AP$10&amp;"; ","")</f>
        <v/>
      </c>
      <c r="AQ205" s="1593" t="str">
        <f>IF(AND($V$9=1,(TRUNC(Courses!R199)&lt;&gt;Courses!R199)), "Row "&amp;Courses!$A199&amp;", "&amp;AQ$9&amp;", "&amp;AQ$10&amp;", "&amp;AQ$11&amp;"; ","")</f>
        <v/>
      </c>
      <c r="AR205" t="str">
        <f>IF(AND($V$9=1,(TRUNC(Courses!S199)&lt;&gt;Courses!S199)), "Row "&amp;Courses!$A199&amp;", "&amp;AR$9&amp;", "&amp;AR$10&amp;", "&amp;AR$11&amp;"; ","")</f>
        <v/>
      </c>
      <c r="AS205" t="str">
        <f>IF(AND($V$9=1,(TRUNC(Courses!T199)&lt;&gt;Courses!T199)), "Row "&amp;Courses!$A199&amp;", "&amp;AS$9&amp;", "&amp;AS$10&amp;", "&amp;AS$11&amp;"; ","")</f>
        <v/>
      </c>
      <c r="AT205" t="str">
        <f>IF(AND($V$9=1,(TRUNC(Courses!U199)&lt;&gt;Courses!U199)), "Row "&amp;Courses!$A199&amp;", "&amp;AT$9&amp;", "&amp;AT$10&amp;", "&amp;AT$11&amp;"; ","")</f>
        <v/>
      </c>
      <c r="AU205" s="2120" t="str">
        <f>IF(AND($V$9=1,(TRUNC(Courses!V199)&lt;&gt;Courses!V199)), "Row "&amp;Courses!$A199&amp;", "&amp;AU$9&amp;", "&amp;AU$10&amp;"; ","")</f>
        <v/>
      </c>
      <c r="AV205" t="str">
        <f>IF(AND($V$9=1,(TRUNC(Courses!W199)&lt;&gt;Courses!W199)), "Row "&amp;Courses!$A199&amp;", "&amp;AV$9&amp;", "&amp;AV$10&amp;", "&amp;AV$11&amp;"; ","")</f>
        <v/>
      </c>
      <c r="AW205" t="str">
        <f>IF(AND($V$9=1,(TRUNC(Courses!X199)&lt;&gt;Courses!X199)), "Row "&amp;Courses!$A199&amp;", "&amp;AW$9&amp;", "&amp;AW$10&amp;", "&amp;AW$11&amp;"; ","")</f>
        <v/>
      </c>
      <c r="AX205" t="str">
        <f>IF(AND($V$9=1,(TRUNC(Courses!Y199)&lt;&gt;Courses!Y199)), "Row "&amp;Courses!$A199&amp;", "&amp;AX$9&amp;", "&amp;AX$10&amp;", "&amp;AX$11&amp;"; ","")</f>
        <v/>
      </c>
      <c r="AY205" t="str">
        <f>IF(AND($V$9=1,(TRUNC(Courses!Z199)&lt;&gt;Courses!Z199)), "Row "&amp;Courses!$A199&amp;", "&amp;AY$9&amp;", "&amp;AY$10&amp;", "&amp;AY$11&amp;"; ","")</f>
        <v/>
      </c>
      <c r="AZ205" s="2120" t="str">
        <f>IF(AND($V$9=1,(TRUNC(Courses!AA199)&lt;&gt;Courses!AA199)), "Row "&amp;Courses!$A199&amp;", "&amp;AZ$9&amp;", "&amp;AZ$10&amp;"; ","")</f>
        <v/>
      </c>
      <c r="BC205" s="40">
        <v>186</v>
      </c>
      <c r="BD205" s="1593" t="str">
        <f>IF(AND($W$9=1,Courses!M199&lt;0), "Row "&amp;Courses!$A199&amp;", "&amp;BD$9&amp;", "&amp;BD$10&amp;", "&amp;BD$11&amp;"; ","")</f>
        <v/>
      </c>
      <c r="BE205" t="str">
        <f>IF(AND($W$9=1,Courses!N199&lt;0), "Row "&amp;Courses!$A199&amp;", "&amp;BE$9&amp;", "&amp;BE$10&amp;", "&amp;BE$11&amp;"; ","")</f>
        <v/>
      </c>
      <c r="BF205" t="str">
        <f>IF(AND($W$9=1,Courses!O199&lt;0), "Row "&amp;Courses!$A199&amp;", "&amp;BF$9&amp;", "&amp;BF$10&amp;", "&amp;BF$11&amp;"; ","")</f>
        <v/>
      </c>
      <c r="BG205" t="str">
        <f>IF(AND($W$9=1,Courses!P199&lt;0), "Row "&amp;Courses!$A199&amp;", "&amp;BG$9&amp;", "&amp;BG$10&amp;", "&amp;BG$11&amp;"; ","")</f>
        <v/>
      </c>
      <c r="BH205" s="2120" t="str">
        <f>IF(AND($W$9=1,Courses!Q199&lt;0), "Row "&amp;Courses!$A199&amp;", "&amp;BH$9&amp;", "&amp;BH$10&amp;"; ","")</f>
        <v/>
      </c>
      <c r="BI205" s="1593" t="str">
        <f>IF(AND($W$9=1,Courses!R199&lt;0), "Row "&amp;Courses!$A199&amp;", "&amp;BI$9&amp;", "&amp;BI$10&amp;", "&amp;BI$11&amp;"; ","")</f>
        <v/>
      </c>
      <c r="BJ205" t="str">
        <f>IF(AND($W$9=1,Courses!S199&lt;0), "Row "&amp;Courses!$A199&amp;", "&amp;BJ$9&amp;", "&amp;BJ$10&amp;", "&amp;BJ$11&amp;"; ","")</f>
        <v/>
      </c>
      <c r="BK205" t="str">
        <f>IF(AND($W$9=1,Courses!T199&lt;0), "Row "&amp;Courses!$A199&amp;", "&amp;BK$9&amp;", "&amp;BK$10&amp;", "&amp;BK$11&amp;"; ","")</f>
        <v/>
      </c>
      <c r="BL205" t="str">
        <f>IF(AND($W$9=1,Courses!U199&lt;0), "Row "&amp;Courses!$A199&amp;", "&amp;BL$9&amp;", "&amp;BL$10&amp;", "&amp;BL$11&amp;"; ","")</f>
        <v/>
      </c>
      <c r="BM205" s="2120" t="str">
        <f>IF(AND($W$9=1,Courses!V199&lt;0), "Row "&amp;Courses!$A199&amp;", "&amp;BM$9&amp;", "&amp;BM$10&amp;"; ","")</f>
        <v/>
      </c>
      <c r="BN205" t="str">
        <f>IF(AND($W$9=1,Courses!W199&lt;0), "Row "&amp;Courses!$A199&amp;", "&amp;BN$9&amp;", "&amp;BN$10&amp;", "&amp;BN$11&amp;"; ","")</f>
        <v/>
      </c>
      <c r="BO205" t="str">
        <f>IF(AND($W$9=1,Courses!X199&lt;0), "Row "&amp;Courses!$A199&amp;", "&amp;BO$9&amp;", "&amp;BO$10&amp;", "&amp;BO$11&amp;"; ","")</f>
        <v/>
      </c>
      <c r="BP205" t="str">
        <f>IF(AND($W$9=1,Courses!Y199&lt;0), "Row "&amp;Courses!$A199&amp;", "&amp;BP$9&amp;", "&amp;BP$10&amp;", "&amp;BP$11&amp;"; ","")</f>
        <v/>
      </c>
      <c r="BQ205" t="str">
        <f>IF(AND($W$9=1,Courses!Z199&lt;0), "Row "&amp;Courses!$A199&amp;", "&amp;BQ$9&amp;", "&amp;BQ$10&amp;", "&amp;BQ$11&amp;"; ","")</f>
        <v/>
      </c>
      <c r="BR205" s="2120" t="str">
        <f>IF(AND($W$9=1,Courses!AA199&lt;0), "Row "&amp;Courses!$A199&amp;", "&amp;BR$9&amp;", "&amp;BR$10&amp;"; ","")</f>
        <v/>
      </c>
      <c r="BT205" s="3">
        <f t="shared" si="5"/>
        <v>186</v>
      </c>
      <c r="BU205" s="40">
        <f>IF(AND($X$9=1,Courses!B199="",Courses!F199="",Courses!H199="",Courses!J199="",Courses!K199="",Courses!L199="",Courses!M199=0,Courses!N199=0,Courses!O199=0,Courses!P199=0,Courses!Q199=0,Courses!R199=0,Courses!S199=0,Courses!T199=0,Courses!U199=0,Courses!V199=0,Courses!W199=0,Courses!X199=0,Courses!Y199=0,Courses!Z199=0,Courses!AA199=0),0,1)</f>
        <v>0</v>
      </c>
      <c r="BV205" s="40">
        <f>IF(AND(BU205=0,SUM(BU206:$BU$219)&gt;0),1,0)</f>
        <v>0</v>
      </c>
      <c r="BW205" s="1592" t="str">
        <f>IF(BV205=1,"Row "&amp;Courses!A199&amp;"; ","")</f>
        <v/>
      </c>
      <c r="BX205" s="17"/>
      <c r="BZ205" s="1592" t="str">
        <f>IF(AND($Y$9=1,Courses!B199&lt;&gt;"",SUM(Courses!M199:AA199)=0),"Row "&amp;Courses!A199&amp;"; ","")</f>
        <v/>
      </c>
      <c r="CA205" s="17"/>
      <c r="CC205" s="1592" t="str">
        <f>IF(AND($Z$9=1,Courses!AD199=1,(LEN(Courses!AB199)&gt;200)),"Row "&amp;Courses!A199&amp;"; ","")</f>
        <v/>
      </c>
      <c r="CE205" s="131"/>
      <c r="CG205" s="1593" t="str">
        <f>IF(AND($AD$9=1,Courses!E199&lt;&gt;"",Courses!F199&lt;&gt;"",Courses!F199=0,SUM(Courses!H199,Courses!J199)=1),"Row "&amp;Courses!A199&amp;", "&amp;Courses!$F$10&amp;"; ","")</f>
        <v/>
      </c>
      <c r="CH205" t="str">
        <f>IF(AND($AD$9=1,Courses!G199&lt;&gt;"",Courses!H199&lt;&gt;"",Courses!H199=0,SUM(Courses!J199,Courses!F199)=1),"Row "&amp;Courses!A199&amp;", "&amp;Courses!$H$10&amp;"; ","")</f>
        <v/>
      </c>
      <c r="CI205" s="183" t="str">
        <f>IF(AND($AD$9=1,Courses!I199&lt;&gt;"",Courses!J199&lt;&gt;"",Courses!J199=0, SUM(Courses!H199,Courses!F199)=1),"Row "&amp;Courses!A199&amp;", "&amp;Courses!$J$10&amp;"; ","")</f>
        <v/>
      </c>
      <c r="CL205" s="1592" t="str">
        <f>IF(AND(Courses!B199&lt;&gt;"",ISNA(VLOOKUP(Courses!C199,CourseInfo,2,FALSE))=FALSE,COUNTIF(Dummy,Courses!C199)&lt;&gt;1),VLOOKUP(Courses!C199,CourseInfo,6,FALSE),"")</f>
        <v/>
      </c>
      <c r="CM205" s="1592" t="str">
        <f>IF(AND($AE$9=1,Courses!B199&lt;&gt;"",'Courses Valid'!AG205="",COUNTIF(Dummy,Courses!C199)&lt;&gt;1),IF(Courses!K199&lt;&gt;'Courses Valid'!CL205,"Row "&amp;Courses!A199&amp;", Level on LARS is "&amp;'Courses Valid'!CL205&amp;"; ",""),"")</f>
        <v/>
      </c>
      <c r="CN205" s="131"/>
    </row>
    <row r="206" spans="3:92" x14ac:dyDescent="0.35">
      <c r="C206" s="1595">
        <f t="shared" si="4"/>
        <v>0</v>
      </c>
      <c r="G206" s="1592" t="str">
        <f>IF(SUMPRODUCT(--(CourseAims=Courses!$C200))=1,"",IF(AND($N$9=1,Courses!$C200&lt;&gt;""),"Row "&amp;Courses!A200&amp;" (invalid); ",""))</f>
        <v/>
      </c>
      <c r="H206" s="1592" t="str">
        <f>IF(AND($O$9=1,Courses!B200="",OR(Courses!F200&lt;&gt;"",Courses!H200&lt;&gt;"",Courses!J200&lt;&gt;"",Courses!K200&lt;&gt;"",Courses!L200&lt;&gt;"",Courses!M200&lt;&gt;0,Courses!N200&lt;&gt;0,Courses!O200&lt;&gt;0,Courses!P200&lt;&gt;0,Courses!Q200&lt;&gt;0,Courses!R200&lt;&gt;0,Courses!S200&lt;&gt;0,Courses!T200&lt;&gt;0,Courses!U200&lt;&gt;0,Courses!V200&lt;&gt;0,Courses!W200&lt;&gt;0,Courses!X200&lt;&gt;0,Courses!Y200&lt;&gt;0,Courses!Z200&lt;&gt;0,Courses!AA200&lt;&gt;0)),"Row "&amp;Courses!A200&amp;" (none); ","")</f>
        <v/>
      </c>
      <c r="K206" s="1592" t="str">
        <f>Courses!B200&amp;Courses!K200&amp;Courses!L200</f>
        <v/>
      </c>
      <c r="L206" s="1592" t="str">
        <f>IF(AND($P$9=1,Courses!$B200&lt;&gt;"",COUNTIF(Dummy,Courses!$C200)&lt;&gt;1),IF(SUMPRODUCT(--($K$20:$K$219=$K206))&gt;1,"Row "&amp;Courses!$A200&amp;"; ",""),"")</f>
        <v/>
      </c>
      <c r="O206" s="1593" t="str">
        <f>IF(AND($Q$9=1,Courses!E200&lt;&gt;"",Courses!F200=""),"Row "&amp;Courses!A200&amp;", "&amp;Courses!$E$10&amp;"; ","")</f>
        <v/>
      </c>
      <c r="P206" t="str">
        <f>IF(AND($Q$9=1,Courses!G200&lt;&gt;"",Courses!H200=""),"Row "&amp;Courses!A200&amp;", "&amp;Courses!$G$10&amp;"; ","")</f>
        <v/>
      </c>
      <c r="Q206" s="183" t="str">
        <f>IF(AND($Q$9=1,Courses!I200&lt;&gt;"",Courses!J200=""),"Row "&amp;Courses!A200&amp;", "&amp;Courses!$I$10&amp;"; ","")</f>
        <v/>
      </c>
      <c r="U206" s="1593" t="str">
        <f>IF(AND($R$9=1,Courses!B200&lt;&gt;"",Courses!E200&lt;&gt;"",Courses!G200="",Courses!I200="",Courses!F200&lt;&gt;1),"Row "&amp;Courses!A200&amp;"; ","")</f>
        <v/>
      </c>
      <c r="V206" t="str">
        <f>IF(AND($R$9=1,Courses!B200&lt;&gt;"",Courses!I200="",Courses!F200&lt;&gt;"",Courses!G200&lt;&gt;"",Courses!H200&lt;&gt;""),IF(OR((Courses!F200+Courses!H200)&lt;&gt;1),"Row "&amp;Courses!A200&amp;"; ",""),"")</f>
        <v/>
      </c>
      <c r="W206" s="183" t="str">
        <f>IF(AND($R$9=1,Courses!B200&lt;&gt;"",Courses!I200&lt;&gt;"",Courses!J200&lt;&gt;"",Courses!H200&lt;&gt;"",Courses!G200&lt;&gt;"",Courses!F200&lt;&gt;""),IF(OR((Courses!F200+Courses!H200+Courses!J200)&lt;&gt;1),"Row "&amp;Courses!A200&amp;"; ",""),"")</f>
        <v/>
      </c>
      <c r="Y206" s="1592" t="str">
        <f>IF(AND($R$9=1,Courses!E200&lt;&gt;"",U206="",V206="",W206="",SUM(Courses!F200,Courses!H200,Courses!J200)&lt;&gt;1),"Row "&amp;Courses!A200&amp;"; ","")</f>
        <v/>
      </c>
      <c r="AB206" s="1593" t="str">
        <f>IF(AND($S$9=1,Courses!B200&lt;&gt;"",Courses!E200&lt;&gt;"",Courses!F200&lt;&gt;""),IF((TRUNC(Courses!F200*100)&lt;&gt;Courses!F200*100),"Row "&amp;Courses!A200&amp;", "&amp;Courses!$F$10&amp;"; ",""),"")</f>
        <v/>
      </c>
      <c r="AC206" t="str">
        <f>IF(AND($S$9=1,Courses!B200&lt;&gt;"",Courses!G200&lt;&gt;"",Courses!H200&lt;&gt;""),IF((TRUNC(Courses!H200*100)&lt;&gt;Courses!H200*100),"Row "&amp;Courses!A200&amp;", "&amp;Courses!$H$10&amp;"; ",""),"")</f>
        <v/>
      </c>
      <c r="AD206" s="183" t="str">
        <f>IF(AND($S$9=1,Courses!B200&lt;&gt;"",Courses!I200&lt;&gt;"",Courses!J200&lt;&gt;""),IF((TRUNC(Courses!J200*100)&lt;&gt;Courses!J200*100),"Row "&amp;Courses!A200&amp;", "&amp;Courses!$J$10&amp;"; ",""),"")</f>
        <v/>
      </c>
      <c r="AG206" s="1593" t="str">
        <f>IF(AND($T$9=1,G206="",Courses!B200&lt;&gt;"",Courses!K200&lt;&gt;$B$9,Courses!K200&lt;&gt;$B$10,Courses!K200&lt;&gt;$B$11,Courses!K200&lt;&gt;$B$12,Courses!K200&lt;&gt;$B$13,Courses!K200&lt;&gt;$B$14),"Row "&amp;Courses!A200&amp;"; ","")</f>
        <v/>
      </c>
      <c r="AH206" s="183" t="str">
        <f>IF(AND($U$9=1,G206="",Courses!B200&lt;&gt;"",Courses!L200&lt;&gt;"Standard",Courses!L200&lt;&gt;"Long"),"Row "&amp;Courses!A200&amp;"; ","")</f>
        <v/>
      </c>
      <c r="AK206" s="40">
        <v>187</v>
      </c>
      <c r="AL206" s="1593" t="str">
        <f>IF(AND($V$9=1,(TRUNC(Courses!M200)&lt;&gt;Courses!M200)), "Row "&amp;Courses!$A200&amp;", "&amp;AL$9&amp;", "&amp;AL$10&amp;", "&amp;AL$11&amp;"; ","")</f>
        <v/>
      </c>
      <c r="AM206" t="str">
        <f>IF(AND($V$9=1,(TRUNC(Courses!N200)&lt;&gt;Courses!N200)), "Row "&amp;Courses!$A200&amp;", "&amp;AM$9&amp;", "&amp;AM$10&amp;", "&amp;AM$11&amp;"; ","")</f>
        <v/>
      </c>
      <c r="AN206" t="str">
        <f>IF(AND($V$9=1,(TRUNC(Courses!O200)&lt;&gt;Courses!O200)), "Row "&amp;Courses!$A200&amp;", "&amp;AN$9&amp;", "&amp;AN$10&amp;", "&amp;AN$11&amp;"; ","")</f>
        <v/>
      </c>
      <c r="AO206" t="str">
        <f>IF(AND($V$9=1,(TRUNC(Courses!P200)&lt;&gt;Courses!P200)), "Row "&amp;Courses!$A200&amp;", "&amp;AO$9&amp;", "&amp;AO$10&amp;", "&amp;AO$11&amp;"; ","")</f>
        <v/>
      </c>
      <c r="AP206" s="2120" t="str">
        <f>IF(AND($V$9=1,(TRUNC(Courses!Q200)&lt;&gt;Courses!Q200)), "Row "&amp;Courses!$A200&amp;", "&amp;AP$9&amp;", "&amp;AP$10&amp;"; ","")</f>
        <v/>
      </c>
      <c r="AQ206" s="1593" t="str">
        <f>IF(AND($V$9=1,(TRUNC(Courses!R200)&lt;&gt;Courses!R200)), "Row "&amp;Courses!$A200&amp;", "&amp;AQ$9&amp;", "&amp;AQ$10&amp;", "&amp;AQ$11&amp;"; ","")</f>
        <v/>
      </c>
      <c r="AR206" t="str">
        <f>IF(AND($V$9=1,(TRUNC(Courses!S200)&lt;&gt;Courses!S200)), "Row "&amp;Courses!$A200&amp;", "&amp;AR$9&amp;", "&amp;AR$10&amp;", "&amp;AR$11&amp;"; ","")</f>
        <v/>
      </c>
      <c r="AS206" t="str">
        <f>IF(AND($V$9=1,(TRUNC(Courses!T200)&lt;&gt;Courses!T200)), "Row "&amp;Courses!$A200&amp;", "&amp;AS$9&amp;", "&amp;AS$10&amp;", "&amp;AS$11&amp;"; ","")</f>
        <v/>
      </c>
      <c r="AT206" t="str">
        <f>IF(AND($V$9=1,(TRUNC(Courses!U200)&lt;&gt;Courses!U200)), "Row "&amp;Courses!$A200&amp;", "&amp;AT$9&amp;", "&amp;AT$10&amp;", "&amp;AT$11&amp;"; ","")</f>
        <v/>
      </c>
      <c r="AU206" s="2120" t="str">
        <f>IF(AND($V$9=1,(TRUNC(Courses!V200)&lt;&gt;Courses!V200)), "Row "&amp;Courses!$A200&amp;", "&amp;AU$9&amp;", "&amp;AU$10&amp;"; ","")</f>
        <v/>
      </c>
      <c r="AV206" t="str">
        <f>IF(AND($V$9=1,(TRUNC(Courses!W200)&lt;&gt;Courses!W200)), "Row "&amp;Courses!$A200&amp;", "&amp;AV$9&amp;", "&amp;AV$10&amp;", "&amp;AV$11&amp;"; ","")</f>
        <v/>
      </c>
      <c r="AW206" t="str">
        <f>IF(AND($V$9=1,(TRUNC(Courses!X200)&lt;&gt;Courses!X200)), "Row "&amp;Courses!$A200&amp;", "&amp;AW$9&amp;", "&amp;AW$10&amp;", "&amp;AW$11&amp;"; ","")</f>
        <v/>
      </c>
      <c r="AX206" t="str">
        <f>IF(AND($V$9=1,(TRUNC(Courses!Y200)&lt;&gt;Courses!Y200)), "Row "&amp;Courses!$A200&amp;", "&amp;AX$9&amp;", "&amp;AX$10&amp;", "&amp;AX$11&amp;"; ","")</f>
        <v/>
      </c>
      <c r="AY206" t="str">
        <f>IF(AND($V$9=1,(TRUNC(Courses!Z200)&lt;&gt;Courses!Z200)), "Row "&amp;Courses!$A200&amp;", "&amp;AY$9&amp;", "&amp;AY$10&amp;", "&amp;AY$11&amp;"; ","")</f>
        <v/>
      </c>
      <c r="AZ206" s="2120" t="str">
        <f>IF(AND($V$9=1,(TRUNC(Courses!AA200)&lt;&gt;Courses!AA200)), "Row "&amp;Courses!$A200&amp;", "&amp;AZ$9&amp;", "&amp;AZ$10&amp;"; ","")</f>
        <v/>
      </c>
      <c r="BC206" s="40">
        <v>187</v>
      </c>
      <c r="BD206" s="1593" t="str">
        <f>IF(AND($W$9=1,Courses!M200&lt;0), "Row "&amp;Courses!$A200&amp;", "&amp;BD$9&amp;", "&amp;BD$10&amp;", "&amp;BD$11&amp;"; ","")</f>
        <v/>
      </c>
      <c r="BE206" t="str">
        <f>IF(AND($W$9=1,Courses!N200&lt;0), "Row "&amp;Courses!$A200&amp;", "&amp;BE$9&amp;", "&amp;BE$10&amp;", "&amp;BE$11&amp;"; ","")</f>
        <v/>
      </c>
      <c r="BF206" t="str">
        <f>IF(AND($W$9=1,Courses!O200&lt;0), "Row "&amp;Courses!$A200&amp;", "&amp;BF$9&amp;", "&amp;BF$10&amp;", "&amp;BF$11&amp;"; ","")</f>
        <v/>
      </c>
      <c r="BG206" t="str">
        <f>IF(AND($W$9=1,Courses!P200&lt;0), "Row "&amp;Courses!$A200&amp;", "&amp;BG$9&amp;", "&amp;BG$10&amp;", "&amp;BG$11&amp;"; ","")</f>
        <v/>
      </c>
      <c r="BH206" s="2120" t="str">
        <f>IF(AND($W$9=1,Courses!Q200&lt;0), "Row "&amp;Courses!$A200&amp;", "&amp;BH$9&amp;", "&amp;BH$10&amp;"; ","")</f>
        <v/>
      </c>
      <c r="BI206" s="1593" t="str">
        <f>IF(AND($W$9=1,Courses!R200&lt;0), "Row "&amp;Courses!$A200&amp;", "&amp;BI$9&amp;", "&amp;BI$10&amp;", "&amp;BI$11&amp;"; ","")</f>
        <v/>
      </c>
      <c r="BJ206" t="str">
        <f>IF(AND($W$9=1,Courses!S200&lt;0), "Row "&amp;Courses!$A200&amp;", "&amp;BJ$9&amp;", "&amp;BJ$10&amp;", "&amp;BJ$11&amp;"; ","")</f>
        <v/>
      </c>
      <c r="BK206" t="str">
        <f>IF(AND($W$9=1,Courses!T200&lt;0), "Row "&amp;Courses!$A200&amp;", "&amp;BK$9&amp;", "&amp;BK$10&amp;", "&amp;BK$11&amp;"; ","")</f>
        <v/>
      </c>
      <c r="BL206" t="str">
        <f>IF(AND($W$9=1,Courses!U200&lt;0), "Row "&amp;Courses!$A200&amp;", "&amp;BL$9&amp;", "&amp;BL$10&amp;", "&amp;BL$11&amp;"; ","")</f>
        <v/>
      </c>
      <c r="BM206" s="2120" t="str">
        <f>IF(AND($W$9=1,Courses!V200&lt;0), "Row "&amp;Courses!$A200&amp;", "&amp;BM$9&amp;", "&amp;BM$10&amp;"; ","")</f>
        <v/>
      </c>
      <c r="BN206" t="str">
        <f>IF(AND($W$9=1,Courses!W200&lt;0), "Row "&amp;Courses!$A200&amp;", "&amp;BN$9&amp;", "&amp;BN$10&amp;", "&amp;BN$11&amp;"; ","")</f>
        <v/>
      </c>
      <c r="BO206" t="str">
        <f>IF(AND($W$9=1,Courses!X200&lt;0), "Row "&amp;Courses!$A200&amp;", "&amp;BO$9&amp;", "&amp;BO$10&amp;", "&amp;BO$11&amp;"; ","")</f>
        <v/>
      </c>
      <c r="BP206" t="str">
        <f>IF(AND($W$9=1,Courses!Y200&lt;0), "Row "&amp;Courses!$A200&amp;", "&amp;BP$9&amp;", "&amp;BP$10&amp;", "&amp;BP$11&amp;"; ","")</f>
        <v/>
      </c>
      <c r="BQ206" t="str">
        <f>IF(AND($W$9=1,Courses!Z200&lt;0), "Row "&amp;Courses!$A200&amp;", "&amp;BQ$9&amp;", "&amp;BQ$10&amp;", "&amp;BQ$11&amp;"; ","")</f>
        <v/>
      </c>
      <c r="BR206" s="2120" t="str">
        <f>IF(AND($W$9=1,Courses!AA200&lt;0), "Row "&amp;Courses!$A200&amp;", "&amp;BR$9&amp;", "&amp;BR$10&amp;"; ","")</f>
        <v/>
      </c>
      <c r="BT206" s="3">
        <f t="shared" si="5"/>
        <v>187</v>
      </c>
      <c r="BU206" s="40">
        <f>IF(AND($X$9=1,Courses!B200="",Courses!F200="",Courses!H200="",Courses!J200="",Courses!K200="",Courses!L200="",Courses!M200=0,Courses!N200=0,Courses!O200=0,Courses!P200=0,Courses!Q200=0,Courses!R200=0,Courses!S200=0,Courses!T200=0,Courses!U200=0,Courses!V200=0,Courses!W200=0,Courses!X200=0,Courses!Y200=0,Courses!Z200=0,Courses!AA200=0),0,1)</f>
        <v>0</v>
      </c>
      <c r="BV206" s="40">
        <f>IF(AND(BU206=0,SUM(BU207:$BU$219)&gt;0),1,0)</f>
        <v>0</v>
      </c>
      <c r="BW206" s="1592" t="str">
        <f>IF(BV206=1,"Row "&amp;Courses!A200&amp;"; ","")</f>
        <v/>
      </c>
      <c r="BX206" s="17"/>
      <c r="BZ206" s="1592" t="str">
        <f>IF(AND($Y$9=1,Courses!B200&lt;&gt;"",SUM(Courses!M200:AA200)=0),"Row "&amp;Courses!A200&amp;"; ","")</f>
        <v/>
      </c>
      <c r="CA206" s="17"/>
      <c r="CC206" s="1592" t="str">
        <f>IF(AND($Z$9=1,Courses!AD200=1,(LEN(Courses!AB200)&gt;200)),"Row "&amp;Courses!A200&amp;"; ","")</f>
        <v/>
      </c>
      <c r="CE206" s="131"/>
      <c r="CG206" s="1593" t="str">
        <f>IF(AND($AD$9=1,Courses!E200&lt;&gt;"",Courses!F200&lt;&gt;"",Courses!F200=0,SUM(Courses!H200,Courses!J200)=1),"Row "&amp;Courses!A200&amp;", "&amp;Courses!$F$10&amp;"; ","")</f>
        <v/>
      </c>
      <c r="CH206" t="str">
        <f>IF(AND($AD$9=1,Courses!G200&lt;&gt;"",Courses!H200&lt;&gt;"",Courses!H200=0,SUM(Courses!J200,Courses!F200)=1),"Row "&amp;Courses!A200&amp;", "&amp;Courses!$H$10&amp;"; ","")</f>
        <v/>
      </c>
      <c r="CI206" s="183" t="str">
        <f>IF(AND($AD$9=1,Courses!I200&lt;&gt;"",Courses!J200&lt;&gt;"",Courses!J200=0, SUM(Courses!H200,Courses!F200)=1),"Row "&amp;Courses!A200&amp;", "&amp;Courses!$J$10&amp;"; ","")</f>
        <v/>
      </c>
      <c r="CL206" s="1592" t="str">
        <f>IF(AND(Courses!B200&lt;&gt;"",ISNA(VLOOKUP(Courses!C200,CourseInfo,2,FALSE))=FALSE,COUNTIF(Dummy,Courses!C200)&lt;&gt;1),VLOOKUP(Courses!C200,CourseInfo,6,FALSE),"")</f>
        <v/>
      </c>
      <c r="CM206" s="1592" t="str">
        <f>IF(AND($AE$9=1,Courses!B200&lt;&gt;"",'Courses Valid'!AG206="",COUNTIF(Dummy,Courses!C200)&lt;&gt;1),IF(Courses!K200&lt;&gt;'Courses Valid'!CL206,"Row "&amp;Courses!A200&amp;", Level on LARS is "&amp;'Courses Valid'!CL206&amp;"; ",""),"")</f>
        <v/>
      </c>
      <c r="CN206" s="131"/>
    </row>
    <row r="207" spans="3:92" x14ac:dyDescent="0.35">
      <c r="C207" s="1595">
        <f t="shared" si="4"/>
        <v>0</v>
      </c>
      <c r="G207" s="1592" t="str">
        <f>IF(SUMPRODUCT(--(CourseAims=Courses!$C201))=1,"",IF(AND($N$9=1,Courses!$C201&lt;&gt;""),"Row "&amp;Courses!A201&amp;" (invalid); ",""))</f>
        <v/>
      </c>
      <c r="H207" s="1592" t="str">
        <f>IF(AND($O$9=1,Courses!B201="",OR(Courses!F201&lt;&gt;"",Courses!H201&lt;&gt;"",Courses!J201&lt;&gt;"",Courses!K201&lt;&gt;"",Courses!L201&lt;&gt;"",Courses!M201&lt;&gt;0,Courses!N201&lt;&gt;0,Courses!O201&lt;&gt;0,Courses!P201&lt;&gt;0,Courses!Q201&lt;&gt;0,Courses!R201&lt;&gt;0,Courses!S201&lt;&gt;0,Courses!T201&lt;&gt;0,Courses!U201&lt;&gt;0,Courses!V201&lt;&gt;0,Courses!W201&lt;&gt;0,Courses!X201&lt;&gt;0,Courses!Y201&lt;&gt;0,Courses!Z201&lt;&gt;0,Courses!AA201&lt;&gt;0)),"Row "&amp;Courses!A201&amp;" (none); ","")</f>
        <v/>
      </c>
      <c r="K207" s="1592" t="str">
        <f>Courses!B201&amp;Courses!K201&amp;Courses!L201</f>
        <v/>
      </c>
      <c r="L207" s="1592" t="str">
        <f>IF(AND($P$9=1,Courses!$B201&lt;&gt;"",COUNTIF(Dummy,Courses!$C201)&lt;&gt;1),IF(SUMPRODUCT(--($K$20:$K$219=$K207))&gt;1,"Row "&amp;Courses!$A201&amp;"; ",""),"")</f>
        <v/>
      </c>
      <c r="O207" s="1593" t="str">
        <f>IF(AND($Q$9=1,Courses!E201&lt;&gt;"",Courses!F201=""),"Row "&amp;Courses!A201&amp;", "&amp;Courses!$E$10&amp;"; ","")</f>
        <v/>
      </c>
      <c r="P207" t="str">
        <f>IF(AND($Q$9=1,Courses!G201&lt;&gt;"",Courses!H201=""),"Row "&amp;Courses!A201&amp;", "&amp;Courses!$G$10&amp;"; ","")</f>
        <v/>
      </c>
      <c r="Q207" s="183" t="str">
        <f>IF(AND($Q$9=1,Courses!I201&lt;&gt;"",Courses!J201=""),"Row "&amp;Courses!A201&amp;", "&amp;Courses!$I$10&amp;"; ","")</f>
        <v/>
      </c>
      <c r="U207" s="1593" t="str">
        <f>IF(AND($R$9=1,Courses!B201&lt;&gt;"",Courses!E201&lt;&gt;"",Courses!G201="",Courses!I201="",Courses!F201&lt;&gt;1),"Row "&amp;Courses!A201&amp;"; ","")</f>
        <v/>
      </c>
      <c r="V207" t="str">
        <f>IF(AND($R$9=1,Courses!B201&lt;&gt;"",Courses!I201="",Courses!F201&lt;&gt;"",Courses!G201&lt;&gt;"",Courses!H201&lt;&gt;""),IF(OR((Courses!F201+Courses!H201)&lt;&gt;1),"Row "&amp;Courses!A201&amp;"; ",""),"")</f>
        <v/>
      </c>
      <c r="W207" s="183" t="str">
        <f>IF(AND($R$9=1,Courses!B201&lt;&gt;"",Courses!I201&lt;&gt;"",Courses!J201&lt;&gt;"",Courses!H201&lt;&gt;"",Courses!G201&lt;&gt;"",Courses!F201&lt;&gt;""),IF(OR((Courses!F201+Courses!H201+Courses!J201)&lt;&gt;1),"Row "&amp;Courses!A201&amp;"; ",""),"")</f>
        <v/>
      </c>
      <c r="Y207" s="1592" t="str">
        <f>IF(AND($R$9=1,Courses!E201&lt;&gt;"",U207="",V207="",W207="",SUM(Courses!F201,Courses!H201,Courses!J201)&lt;&gt;1),"Row "&amp;Courses!A201&amp;"; ","")</f>
        <v/>
      </c>
      <c r="AB207" s="1593" t="str">
        <f>IF(AND($S$9=1,Courses!B201&lt;&gt;"",Courses!E201&lt;&gt;"",Courses!F201&lt;&gt;""),IF((TRUNC(Courses!F201*100)&lt;&gt;Courses!F201*100),"Row "&amp;Courses!A201&amp;", "&amp;Courses!$F$10&amp;"; ",""),"")</f>
        <v/>
      </c>
      <c r="AC207" t="str">
        <f>IF(AND($S$9=1,Courses!B201&lt;&gt;"",Courses!G201&lt;&gt;"",Courses!H201&lt;&gt;""),IF((TRUNC(Courses!H201*100)&lt;&gt;Courses!H201*100),"Row "&amp;Courses!A201&amp;", "&amp;Courses!$H$10&amp;"; ",""),"")</f>
        <v/>
      </c>
      <c r="AD207" s="183" t="str">
        <f>IF(AND($S$9=1,Courses!B201&lt;&gt;"",Courses!I201&lt;&gt;"",Courses!J201&lt;&gt;""),IF((TRUNC(Courses!J201*100)&lt;&gt;Courses!J201*100),"Row "&amp;Courses!A201&amp;", "&amp;Courses!$J$10&amp;"; ",""),"")</f>
        <v/>
      </c>
      <c r="AG207" s="1593" t="str">
        <f>IF(AND($T$9=1,G207="",Courses!B201&lt;&gt;"",Courses!K201&lt;&gt;$B$9,Courses!K201&lt;&gt;$B$10,Courses!K201&lt;&gt;$B$11,Courses!K201&lt;&gt;$B$12,Courses!K201&lt;&gt;$B$13,Courses!K201&lt;&gt;$B$14),"Row "&amp;Courses!A201&amp;"; ","")</f>
        <v/>
      </c>
      <c r="AH207" s="183" t="str">
        <f>IF(AND($U$9=1,G207="",Courses!B201&lt;&gt;"",Courses!L201&lt;&gt;"Standard",Courses!L201&lt;&gt;"Long"),"Row "&amp;Courses!A201&amp;"; ","")</f>
        <v/>
      </c>
      <c r="AK207" s="40">
        <v>188</v>
      </c>
      <c r="AL207" s="1593" t="str">
        <f>IF(AND($V$9=1,(TRUNC(Courses!M201)&lt;&gt;Courses!M201)), "Row "&amp;Courses!$A201&amp;", "&amp;AL$9&amp;", "&amp;AL$10&amp;", "&amp;AL$11&amp;"; ","")</f>
        <v/>
      </c>
      <c r="AM207" t="str">
        <f>IF(AND($V$9=1,(TRUNC(Courses!N201)&lt;&gt;Courses!N201)), "Row "&amp;Courses!$A201&amp;", "&amp;AM$9&amp;", "&amp;AM$10&amp;", "&amp;AM$11&amp;"; ","")</f>
        <v/>
      </c>
      <c r="AN207" t="str">
        <f>IF(AND($V$9=1,(TRUNC(Courses!O201)&lt;&gt;Courses!O201)), "Row "&amp;Courses!$A201&amp;", "&amp;AN$9&amp;", "&amp;AN$10&amp;", "&amp;AN$11&amp;"; ","")</f>
        <v/>
      </c>
      <c r="AO207" t="str">
        <f>IF(AND($V$9=1,(TRUNC(Courses!P201)&lt;&gt;Courses!P201)), "Row "&amp;Courses!$A201&amp;", "&amp;AO$9&amp;", "&amp;AO$10&amp;", "&amp;AO$11&amp;"; ","")</f>
        <v/>
      </c>
      <c r="AP207" s="2120" t="str">
        <f>IF(AND($V$9=1,(TRUNC(Courses!Q201)&lt;&gt;Courses!Q201)), "Row "&amp;Courses!$A201&amp;", "&amp;AP$9&amp;", "&amp;AP$10&amp;"; ","")</f>
        <v/>
      </c>
      <c r="AQ207" s="1593" t="str">
        <f>IF(AND($V$9=1,(TRUNC(Courses!R201)&lt;&gt;Courses!R201)), "Row "&amp;Courses!$A201&amp;", "&amp;AQ$9&amp;", "&amp;AQ$10&amp;", "&amp;AQ$11&amp;"; ","")</f>
        <v/>
      </c>
      <c r="AR207" t="str">
        <f>IF(AND($V$9=1,(TRUNC(Courses!S201)&lt;&gt;Courses!S201)), "Row "&amp;Courses!$A201&amp;", "&amp;AR$9&amp;", "&amp;AR$10&amp;", "&amp;AR$11&amp;"; ","")</f>
        <v/>
      </c>
      <c r="AS207" t="str">
        <f>IF(AND($V$9=1,(TRUNC(Courses!T201)&lt;&gt;Courses!T201)), "Row "&amp;Courses!$A201&amp;", "&amp;AS$9&amp;", "&amp;AS$10&amp;", "&amp;AS$11&amp;"; ","")</f>
        <v/>
      </c>
      <c r="AT207" t="str">
        <f>IF(AND($V$9=1,(TRUNC(Courses!U201)&lt;&gt;Courses!U201)), "Row "&amp;Courses!$A201&amp;", "&amp;AT$9&amp;", "&amp;AT$10&amp;", "&amp;AT$11&amp;"; ","")</f>
        <v/>
      </c>
      <c r="AU207" s="2120" t="str">
        <f>IF(AND($V$9=1,(TRUNC(Courses!V201)&lt;&gt;Courses!V201)), "Row "&amp;Courses!$A201&amp;", "&amp;AU$9&amp;", "&amp;AU$10&amp;"; ","")</f>
        <v/>
      </c>
      <c r="AV207" t="str">
        <f>IF(AND($V$9=1,(TRUNC(Courses!W201)&lt;&gt;Courses!W201)), "Row "&amp;Courses!$A201&amp;", "&amp;AV$9&amp;", "&amp;AV$10&amp;", "&amp;AV$11&amp;"; ","")</f>
        <v/>
      </c>
      <c r="AW207" t="str">
        <f>IF(AND($V$9=1,(TRUNC(Courses!X201)&lt;&gt;Courses!X201)), "Row "&amp;Courses!$A201&amp;", "&amp;AW$9&amp;", "&amp;AW$10&amp;", "&amp;AW$11&amp;"; ","")</f>
        <v/>
      </c>
      <c r="AX207" t="str">
        <f>IF(AND($V$9=1,(TRUNC(Courses!Y201)&lt;&gt;Courses!Y201)), "Row "&amp;Courses!$A201&amp;", "&amp;AX$9&amp;", "&amp;AX$10&amp;", "&amp;AX$11&amp;"; ","")</f>
        <v/>
      </c>
      <c r="AY207" t="str">
        <f>IF(AND($V$9=1,(TRUNC(Courses!Z201)&lt;&gt;Courses!Z201)), "Row "&amp;Courses!$A201&amp;", "&amp;AY$9&amp;", "&amp;AY$10&amp;", "&amp;AY$11&amp;"; ","")</f>
        <v/>
      </c>
      <c r="AZ207" s="2120" t="str">
        <f>IF(AND($V$9=1,(TRUNC(Courses!AA201)&lt;&gt;Courses!AA201)), "Row "&amp;Courses!$A201&amp;", "&amp;AZ$9&amp;", "&amp;AZ$10&amp;"; ","")</f>
        <v/>
      </c>
      <c r="BC207" s="40">
        <v>188</v>
      </c>
      <c r="BD207" s="1593" t="str">
        <f>IF(AND($W$9=1,Courses!M201&lt;0), "Row "&amp;Courses!$A201&amp;", "&amp;BD$9&amp;", "&amp;BD$10&amp;", "&amp;BD$11&amp;"; ","")</f>
        <v/>
      </c>
      <c r="BE207" t="str">
        <f>IF(AND($W$9=1,Courses!N201&lt;0), "Row "&amp;Courses!$A201&amp;", "&amp;BE$9&amp;", "&amp;BE$10&amp;", "&amp;BE$11&amp;"; ","")</f>
        <v/>
      </c>
      <c r="BF207" t="str">
        <f>IF(AND($W$9=1,Courses!O201&lt;0), "Row "&amp;Courses!$A201&amp;", "&amp;BF$9&amp;", "&amp;BF$10&amp;", "&amp;BF$11&amp;"; ","")</f>
        <v/>
      </c>
      <c r="BG207" t="str">
        <f>IF(AND($W$9=1,Courses!P201&lt;0), "Row "&amp;Courses!$A201&amp;", "&amp;BG$9&amp;", "&amp;BG$10&amp;", "&amp;BG$11&amp;"; ","")</f>
        <v/>
      </c>
      <c r="BH207" s="2120" t="str">
        <f>IF(AND($W$9=1,Courses!Q201&lt;0), "Row "&amp;Courses!$A201&amp;", "&amp;BH$9&amp;", "&amp;BH$10&amp;"; ","")</f>
        <v/>
      </c>
      <c r="BI207" s="1593" t="str">
        <f>IF(AND($W$9=1,Courses!R201&lt;0), "Row "&amp;Courses!$A201&amp;", "&amp;BI$9&amp;", "&amp;BI$10&amp;", "&amp;BI$11&amp;"; ","")</f>
        <v/>
      </c>
      <c r="BJ207" t="str">
        <f>IF(AND($W$9=1,Courses!S201&lt;0), "Row "&amp;Courses!$A201&amp;", "&amp;BJ$9&amp;", "&amp;BJ$10&amp;", "&amp;BJ$11&amp;"; ","")</f>
        <v/>
      </c>
      <c r="BK207" t="str">
        <f>IF(AND($W$9=1,Courses!T201&lt;0), "Row "&amp;Courses!$A201&amp;", "&amp;BK$9&amp;", "&amp;BK$10&amp;", "&amp;BK$11&amp;"; ","")</f>
        <v/>
      </c>
      <c r="BL207" t="str">
        <f>IF(AND($W$9=1,Courses!U201&lt;0), "Row "&amp;Courses!$A201&amp;", "&amp;BL$9&amp;", "&amp;BL$10&amp;", "&amp;BL$11&amp;"; ","")</f>
        <v/>
      </c>
      <c r="BM207" s="2120" t="str">
        <f>IF(AND($W$9=1,Courses!V201&lt;0), "Row "&amp;Courses!$A201&amp;", "&amp;BM$9&amp;", "&amp;BM$10&amp;"; ","")</f>
        <v/>
      </c>
      <c r="BN207" t="str">
        <f>IF(AND($W$9=1,Courses!W201&lt;0), "Row "&amp;Courses!$A201&amp;", "&amp;BN$9&amp;", "&amp;BN$10&amp;", "&amp;BN$11&amp;"; ","")</f>
        <v/>
      </c>
      <c r="BO207" t="str">
        <f>IF(AND($W$9=1,Courses!X201&lt;0), "Row "&amp;Courses!$A201&amp;", "&amp;BO$9&amp;", "&amp;BO$10&amp;", "&amp;BO$11&amp;"; ","")</f>
        <v/>
      </c>
      <c r="BP207" t="str">
        <f>IF(AND($W$9=1,Courses!Y201&lt;0), "Row "&amp;Courses!$A201&amp;", "&amp;BP$9&amp;", "&amp;BP$10&amp;", "&amp;BP$11&amp;"; ","")</f>
        <v/>
      </c>
      <c r="BQ207" t="str">
        <f>IF(AND($W$9=1,Courses!Z201&lt;0), "Row "&amp;Courses!$A201&amp;", "&amp;BQ$9&amp;", "&amp;BQ$10&amp;", "&amp;BQ$11&amp;"; ","")</f>
        <v/>
      </c>
      <c r="BR207" s="2120" t="str">
        <f>IF(AND($W$9=1,Courses!AA201&lt;0), "Row "&amp;Courses!$A201&amp;", "&amp;BR$9&amp;", "&amp;BR$10&amp;"; ","")</f>
        <v/>
      </c>
      <c r="BT207" s="3">
        <f t="shared" si="5"/>
        <v>188</v>
      </c>
      <c r="BU207" s="40">
        <f>IF(AND($X$9=1,Courses!B201="",Courses!F201="",Courses!H201="",Courses!J201="",Courses!K201="",Courses!L201="",Courses!M201=0,Courses!N201=0,Courses!O201=0,Courses!P201=0,Courses!Q201=0,Courses!R201=0,Courses!S201=0,Courses!T201=0,Courses!U201=0,Courses!V201=0,Courses!W201=0,Courses!X201=0,Courses!Y201=0,Courses!Z201=0,Courses!AA201=0),0,1)</f>
        <v>0</v>
      </c>
      <c r="BV207" s="40">
        <f>IF(AND(BU207=0,SUM(BU208:$BU$219)&gt;0),1,0)</f>
        <v>0</v>
      </c>
      <c r="BW207" s="1592" t="str">
        <f>IF(BV207=1,"Row "&amp;Courses!A201&amp;"; ","")</f>
        <v/>
      </c>
      <c r="BX207" s="17"/>
      <c r="BZ207" s="1592" t="str">
        <f>IF(AND($Y$9=1,Courses!B201&lt;&gt;"",SUM(Courses!M201:AA201)=0),"Row "&amp;Courses!A201&amp;"; ","")</f>
        <v/>
      </c>
      <c r="CA207" s="17"/>
      <c r="CC207" s="1592" t="str">
        <f>IF(AND($Z$9=1,Courses!AD201=1,(LEN(Courses!AB201)&gt;200)),"Row "&amp;Courses!A201&amp;"; ","")</f>
        <v/>
      </c>
      <c r="CE207" s="131"/>
      <c r="CG207" s="1593" t="str">
        <f>IF(AND($AD$9=1,Courses!E201&lt;&gt;"",Courses!F201&lt;&gt;"",Courses!F201=0,SUM(Courses!H201,Courses!J201)=1),"Row "&amp;Courses!A201&amp;", "&amp;Courses!$F$10&amp;"; ","")</f>
        <v/>
      </c>
      <c r="CH207" t="str">
        <f>IF(AND($AD$9=1,Courses!G201&lt;&gt;"",Courses!H201&lt;&gt;"",Courses!H201=0,SUM(Courses!J201,Courses!F201)=1),"Row "&amp;Courses!A201&amp;", "&amp;Courses!$H$10&amp;"; ","")</f>
        <v/>
      </c>
      <c r="CI207" s="183" t="str">
        <f>IF(AND($AD$9=1,Courses!I201&lt;&gt;"",Courses!J201&lt;&gt;"",Courses!J201=0, SUM(Courses!H201,Courses!F201)=1),"Row "&amp;Courses!A201&amp;", "&amp;Courses!$J$10&amp;"; ","")</f>
        <v/>
      </c>
      <c r="CL207" s="1592" t="str">
        <f>IF(AND(Courses!B201&lt;&gt;"",ISNA(VLOOKUP(Courses!C201,CourseInfo,2,FALSE))=FALSE,COUNTIF(Dummy,Courses!C201)&lt;&gt;1),VLOOKUP(Courses!C201,CourseInfo,6,FALSE),"")</f>
        <v/>
      </c>
      <c r="CM207" s="1592" t="str">
        <f>IF(AND($AE$9=1,Courses!B201&lt;&gt;"",'Courses Valid'!AG207="",COUNTIF(Dummy,Courses!C201)&lt;&gt;1),IF(Courses!K201&lt;&gt;'Courses Valid'!CL207,"Row "&amp;Courses!A201&amp;", Level on LARS is "&amp;'Courses Valid'!CL207&amp;"; ",""),"")</f>
        <v/>
      </c>
      <c r="CN207" s="131"/>
    </row>
    <row r="208" spans="3:92" x14ac:dyDescent="0.35">
      <c r="C208" s="1595">
        <f t="shared" si="4"/>
        <v>0</v>
      </c>
      <c r="G208" s="1592" t="str">
        <f>IF(SUMPRODUCT(--(CourseAims=Courses!$C202))=1,"",IF(AND($N$9=1,Courses!$C202&lt;&gt;""),"Row "&amp;Courses!A202&amp;" (invalid); ",""))</f>
        <v/>
      </c>
      <c r="H208" s="1592" t="str">
        <f>IF(AND($O$9=1,Courses!B202="",OR(Courses!F202&lt;&gt;"",Courses!H202&lt;&gt;"",Courses!J202&lt;&gt;"",Courses!K202&lt;&gt;"",Courses!L202&lt;&gt;"",Courses!M202&lt;&gt;0,Courses!N202&lt;&gt;0,Courses!O202&lt;&gt;0,Courses!P202&lt;&gt;0,Courses!Q202&lt;&gt;0,Courses!R202&lt;&gt;0,Courses!S202&lt;&gt;0,Courses!T202&lt;&gt;0,Courses!U202&lt;&gt;0,Courses!V202&lt;&gt;0,Courses!W202&lt;&gt;0,Courses!X202&lt;&gt;0,Courses!Y202&lt;&gt;0,Courses!Z202&lt;&gt;0,Courses!AA202&lt;&gt;0)),"Row "&amp;Courses!A202&amp;" (none); ","")</f>
        <v/>
      </c>
      <c r="K208" s="1592" t="str">
        <f>Courses!B202&amp;Courses!K202&amp;Courses!L202</f>
        <v/>
      </c>
      <c r="L208" s="1592" t="str">
        <f>IF(AND($P$9=1,Courses!$B202&lt;&gt;"",COUNTIF(Dummy,Courses!$C202)&lt;&gt;1),IF(SUMPRODUCT(--($K$20:$K$219=$K208))&gt;1,"Row "&amp;Courses!$A202&amp;"; ",""),"")</f>
        <v/>
      </c>
      <c r="O208" s="1593" t="str">
        <f>IF(AND($Q$9=1,Courses!E202&lt;&gt;"",Courses!F202=""),"Row "&amp;Courses!A202&amp;", "&amp;Courses!$E$10&amp;"; ","")</f>
        <v/>
      </c>
      <c r="P208" t="str">
        <f>IF(AND($Q$9=1,Courses!G202&lt;&gt;"",Courses!H202=""),"Row "&amp;Courses!A202&amp;", "&amp;Courses!$G$10&amp;"; ","")</f>
        <v/>
      </c>
      <c r="Q208" s="183" t="str">
        <f>IF(AND($Q$9=1,Courses!I202&lt;&gt;"",Courses!J202=""),"Row "&amp;Courses!A202&amp;", "&amp;Courses!$I$10&amp;"; ","")</f>
        <v/>
      </c>
      <c r="U208" s="1593" t="str">
        <f>IF(AND($R$9=1,Courses!B202&lt;&gt;"",Courses!E202&lt;&gt;"",Courses!G202="",Courses!I202="",Courses!F202&lt;&gt;1),"Row "&amp;Courses!A202&amp;"; ","")</f>
        <v/>
      </c>
      <c r="V208" t="str">
        <f>IF(AND($R$9=1,Courses!B202&lt;&gt;"",Courses!I202="",Courses!F202&lt;&gt;"",Courses!G202&lt;&gt;"",Courses!H202&lt;&gt;""),IF(OR((Courses!F202+Courses!H202)&lt;&gt;1),"Row "&amp;Courses!A202&amp;"; ",""),"")</f>
        <v/>
      </c>
      <c r="W208" s="183" t="str">
        <f>IF(AND($R$9=1,Courses!B202&lt;&gt;"",Courses!I202&lt;&gt;"",Courses!J202&lt;&gt;"",Courses!H202&lt;&gt;"",Courses!G202&lt;&gt;"",Courses!F202&lt;&gt;""),IF(OR((Courses!F202+Courses!H202+Courses!J202)&lt;&gt;1),"Row "&amp;Courses!A202&amp;"; ",""),"")</f>
        <v/>
      </c>
      <c r="Y208" s="1592" t="str">
        <f>IF(AND($R$9=1,Courses!E202&lt;&gt;"",U208="",V208="",W208="",SUM(Courses!F202,Courses!H202,Courses!J202)&lt;&gt;1),"Row "&amp;Courses!A202&amp;"; ","")</f>
        <v/>
      </c>
      <c r="AB208" s="1593" t="str">
        <f>IF(AND($S$9=1,Courses!B202&lt;&gt;"",Courses!E202&lt;&gt;"",Courses!F202&lt;&gt;""),IF((TRUNC(Courses!F202*100)&lt;&gt;Courses!F202*100),"Row "&amp;Courses!A202&amp;", "&amp;Courses!$F$10&amp;"; ",""),"")</f>
        <v/>
      </c>
      <c r="AC208" t="str">
        <f>IF(AND($S$9=1,Courses!B202&lt;&gt;"",Courses!G202&lt;&gt;"",Courses!H202&lt;&gt;""),IF((TRUNC(Courses!H202*100)&lt;&gt;Courses!H202*100),"Row "&amp;Courses!A202&amp;", "&amp;Courses!$H$10&amp;"; ",""),"")</f>
        <v/>
      </c>
      <c r="AD208" s="183" t="str">
        <f>IF(AND($S$9=1,Courses!B202&lt;&gt;"",Courses!I202&lt;&gt;"",Courses!J202&lt;&gt;""),IF((TRUNC(Courses!J202*100)&lt;&gt;Courses!J202*100),"Row "&amp;Courses!A202&amp;", "&amp;Courses!$J$10&amp;"; ",""),"")</f>
        <v/>
      </c>
      <c r="AG208" s="1593" t="str">
        <f>IF(AND($T$9=1,G208="",Courses!B202&lt;&gt;"",Courses!K202&lt;&gt;$B$9,Courses!K202&lt;&gt;$B$10,Courses!K202&lt;&gt;$B$11,Courses!K202&lt;&gt;$B$12,Courses!K202&lt;&gt;$B$13,Courses!K202&lt;&gt;$B$14),"Row "&amp;Courses!A202&amp;"; ","")</f>
        <v/>
      </c>
      <c r="AH208" s="183" t="str">
        <f>IF(AND($U$9=1,G208="",Courses!B202&lt;&gt;"",Courses!L202&lt;&gt;"Standard",Courses!L202&lt;&gt;"Long"),"Row "&amp;Courses!A202&amp;"; ","")</f>
        <v/>
      </c>
      <c r="AK208" s="40">
        <v>189</v>
      </c>
      <c r="AL208" s="1593" t="str">
        <f>IF(AND($V$9=1,(TRUNC(Courses!M202)&lt;&gt;Courses!M202)), "Row "&amp;Courses!$A202&amp;", "&amp;AL$9&amp;", "&amp;AL$10&amp;", "&amp;AL$11&amp;"; ","")</f>
        <v/>
      </c>
      <c r="AM208" t="str">
        <f>IF(AND($V$9=1,(TRUNC(Courses!N202)&lt;&gt;Courses!N202)), "Row "&amp;Courses!$A202&amp;", "&amp;AM$9&amp;", "&amp;AM$10&amp;", "&amp;AM$11&amp;"; ","")</f>
        <v/>
      </c>
      <c r="AN208" t="str">
        <f>IF(AND($V$9=1,(TRUNC(Courses!O202)&lt;&gt;Courses!O202)), "Row "&amp;Courses!$A202&amp;", "&amp;AN$9&amp;", "&amp;AN$10&amp;", "&amp;AN$11&amp;"; ","")</f>
        <v/>
      </c>
      <c r="AO208" t="str">
        <f>IF(AND($V$9=1,(TRUNC(Courses!P202)&lt;&gt;Courses!P202)), "Row "&amp;Courses!$A202&amp;", "&amp;AO$9&amp;", "&amp;AO$10&amp;", "&amp;AO$11&amp;"; ","")</f>
        <v/>
      </c>
      <c r="AP208" s="2120" t="str">
        <f>IF(AND($V$9=1,(TRUNC(Courses!Q202)&lt;&gt;Courses!Q202)), "Row "&amp;Courses!$A202&amp;", "&amp;AP$9&amp;", "&amp;AP$10&amp;"; ","")</f>
        <v/>
      </c>
      <c r="AQ208" s="1593" t="str">
        <f>IF(AND($V$9=1,(TRUNC(Courses!R202)&lt;&gt;Courses!R202)), "Row "&amp;Courses!$A202&amp;", "&amp;AQ$9&amp;", "&amp;AQ$10&amp;", "&amp;AQ$11&amp;"; ","")</f>
        <v/>
      </c>
      <c r="AR208" t="str">
        <f>IF(AND($V$9=1,(TRUNC(Courses!S202)&lt;&gt;Courses!S202)), "Row "&amp;Courses!$A202&amp;", "&amp;AR$9&amp;", "&amp;AR$10&amp;", "&amp;AR$11&amp;"; ","")</f>
        <v/>
      </c>
      <c r="AS208" t="str">
        <f>IF(AND($V$9=1,(TRUNC(Courses!T202)&lt;&gt;Courses!T202)), "Row "&amp;Courses!$A202&amp;", "&amp;AS$9&amp;", "&amp;AS$10&amp;", "&amp;AS$11&amp;"; ","")</f>
        <v/>
      </c>
      <c r="AT208" t="str">
        <f>IF(AND($V$9=1,(TRUNC(Courses!U202)&lt;&gt;Courses!U202)), "Row "&amp;Courses!$A202&amp;", "&amp;AT$9&amp;", "&amp;AT$10&amp;", "&amp;AT$11&amp;"; ","")</f>
        <v/>
      </c>
      <c r="AU208" s="2120" t="str">
        <f>IF(AND($V$9=1,(TRUNC(Courses!V202)&lt;&gt;Courses!V202)), "Row "&amp;Courses!$A202&amp;", "&amp;AU$9&amp;", "&amp;AU$10&amp;"; ","")</f>
        <v/>
      </c>
      <c r="AV208" t="str">
        <f>IF(AND($V$9=1,(TRUNC(Courses!W202)&lt;&gt;Courses!W202)), "Row "&amp;Courses!$A202&amp;", "&amp;AV$9&amp;", "&amp;AV$10&amp;", "&amp;AV$11&amp;"; ","")</f>
        <v/>
      </c>
      <c r="AW208" t="str">
        <f>IF(AND($V$9=1,(TRUNC(Courses!X202)&lt;&gt;Courses!X202)), "Row "&amp;Courses!$A202&amp;", "&amp;AW$9&amp;", "&amp;AW$10&amp;", "&amp;AW$11&amp;"; ","")</f>
        <v/>
      </c>
      <c r="AX208" t="str">
        <f>IF(AND($V$9=1,(TRUNC(Courses!Y202)&lt;&gt;Courses!Y202)), "Row "&amp;Courses!$A202&amp;", "&amp;AX$9&amp;", "&amp;AX$10&amp;", "&amp;AX$11&amp;"; ","")</f>
        <v/>
      </c>
      <c r="AY208" t="str">
        <f>IF(AND($V$9=1,(TRUNC(Courses!Z202)&lt;&gt;Courses!Z202)), "Row "&amp;Courses!$A202&amp;", "&amp;AY$9&amp;", "&amp;AY$10&amp;", "&amp;AY$11&amp;"; ","")</f>
        <v/>
      </c>
      <c r="AZ208" s="2120" t="str">
        <f>IF(AND($V$9=1,(TRUNC(Courses!AA202)&lt;&gt;Courses!AA202)), "Row "&amp;Courses!$A202&amp;", "&amp;AZ$9&amp;", "&amp;AZ$10&amp;"; ","")</f>
        <v/>
      </c>
      <c r="BC208" s="40">
        <v>189</v>
      </c>
      <c r="BD208" s="1593" t="str">
        <f>IF(AND($W$9=1,Courses!M202&lt;0), "Row "&amp;Courses!$A202&amp;", "&amp;BD$9&amp;", "&amp;BD$10&amp;", "&amp;BD$11&amp;"; ","")</f>
        <v/>
      </c>
      <c r="BE208" t="str">
        <f>IF(AND($W$9=1,Courses!N202&lt;0), "Row "&amp;Courses!$A202&amp;", "&amp;BE$9&amp;", "&amp;BE$10&amp;", "&amp;BE$11&amp;"; ","")</f>
        <v/>
      </c>
      <c r="BF208" t="str">
        <f>IF(AND($W$9=1,Courses!O202&lt;0), "Row "&amp;Courses!$A202&amp;", "&amp;BF$9&amp;", "&amp;BF$10&amp;", "&amp;BF$11&amp;"; ","")</f>
        <v/>
      </c>
      <c r="BG208" t="str">
        <f>IF(AND($W$9=1,Courses!P202&lt;0), "Row "&amp;Courses!$A202&amp;", "&amp;BG$9&amp;", "&amp;BG$10&amp;", "&amp;BG$11&amp;"; ","")</f>
        <v/>
      </c>
      <c r="BH208" s="2120" t="str">
        <f>IF(AND($W$9=1,Courses!Q202&lt;0), "Row "&amp;Courses!$A202&amp;", "&amp;BH$9&amp;", "&amp;BH$10&amp;"; ","")</f>
        <v/>
      </c>
      <c r="BI208" s="1593" t="str">
        <f>IF(AND($W$9=1,Courses!R202&lt;0), "Row "&amp;Courses!$A202&amp;", "&amp;BI$9&amp;", "&amp;BI$10&amp;", "&amp;BI$11&amp;"; ","")</f>
        <v/>
      </c>
      <c r="BJ208" t="str">
        <f>IF(AND($W$9=1,Courses!S202&lt;0), "Row "&amp;Courses!$A202&amp;", "&amp;BJ$9&amp;", "&amp;BJ$10&amp;", "&amp;BJ$11&amp;"; ","")</f>
        <v/>
      </c>
      <c r="BK208" t="str">
        <f>IF(AND($W$9=1,Courses!T202&lt;0), "Row "&amp;Courses!$A202&amp;", "&amp;BK$9&amp;", "&amp;BK$10&amp;", "&amp;BK$11&amp;"; ","")</f>
        <v/>
      </c>
      <c r="BL208" t="str">
        <f>IF(AND($W$9=1,Courses!U202&lt;0), "Row "&amp;Courses!$A202&amp;", "&amp;BL$9&amp;", "&amp;BL$10&amp;", "&amp;BL$11&amp;"; ","")</f>
        <v/>
      </c>
      <c r="BM208" s="2120" t="str">
        <f>IF(AND($W$9=1,Courses!V202&lt;0), "Row "&amp;Courses!$A202&amp;", "&amp;BM$9&amp;", "&amp;BM$10&amp;"; ","")</f>
        <v/>
      </c>
      <c r="BN208" t="str">
        <f>IF(AND($W$9=1,Courses!W202&lt;0), "Row "&amp;Courses!$A202&amp;", "&amp;BN$9&amp;", "&amp;BN$10&amp;", "&amp;BN$11&amp;"; ","")</f>
        <v/>
      </c>
      <c r="BO208" t="str">
        <f>IF(AND($W$9=1,Courses!X202&lt;0), "Row "&amp;Courses!$A202&amp;", "&amp;BO$9&amp;", "&amp;BO$10&amp;", "&amp;BO$11&amp;"; ","")</f>
        <v/>
      </c>
      <c r="BP208" t="str">
        <f>IF(AND($W$9=1,Courses!Y202&lt;0), "Row "&amp;Courses!$A202&amp;", "&amp;BP$9&amp;", "&amp;BP$10&amp;", "&amp;BP$11&amp;"; ","")</f>
        <v/>
      </c>
      <c r="BQ208" t="str">
        <f>IF(AND($W$9=1,Courses!Z202&lt;0), "Row "&amp;Courses!$A202&amp;", "&amp;BQ$9&amp;", "&amp;BQ$10&amp;", "&amp;BQ$11&amp;"; ","")</f>
        <v/>
      </c>
      <c r="BR208" s="2120" t="str">
        <f>IF(AND($W$9=1,Courses!AA202&lt;0), "Row "&amp;Courses!$A202&amp;", "&amp;BR$9&amp;", "&amp;BR$10&amp;"; ","")</f>
        <v/>
      </c>
      <c r="BT208" s="3">
        <f t="shared" si="5"/>
        <v>189</v>
      </c>
      <c r="BU208" s="40">
        <f>IF(AND($X$9=1,Courses!B202="",Courses!F202="",Courses!H202="",Courses!J202="",Courses!K202="",Courses!L202="",Courses!M202=0,Courses!N202=0,Courses!O202=0,Courses!P202=0,Courses!Q202=0,Courses!R202=0,Courses!S202=0,Courses!T202=0,Courses!U202=0,Courses!V202=0,Courses!W202=0,Courses!X202=0,Courses!Y202=0,Courses!Z202=0,Courses!AA202=0),0,1)</f>
        <v>0</v>
      </c>
      <c r="BV208" s="40">
        <f>IF(AND(BU208=0,SUM(BU209:$BU$219)&gt;0),1,0)</f>
        <v>0</v>
      </c>
      <c r="BW208" s="1592" t="str">
        <f>IF(BV208=1,"Row "&amp;Courses!A202&amp;"; ","")</f>
        <v/>
      </c>
      <c r="BX208" s="17"/>
      <c r="BZ208" s="1592" t="str">
        <f>IF(AND($Y$9=1,Courses!B202&lt;&gt;"",SUM(Courses!M202:AA202)=0),"Row "&amp;Courses!A202&amp;"; ","")</f>
        <v/>
      </c>
      <c r="CA208" s="17"/>
      <c r="CC208" s="1592" t="str">
        <f>IF(AND($Z$9=1,Courses!AD202=1,(LEN(Courses!AB202)&gt;200)),"Row "&amp;Courses!A202&amp;"; ","")</f>
        <v/>
      </c>
      <c r="CE208" s="131"/>
      <c r="CG208" s="1593" t="str">
        <f>IF(AND($AD$9=1,Courses!E202&lt;&gt;"",Courses!F202&lt;&gt;"",Courses!F202=0,SUM(Courses!H202,Courses!J202)=1),"Row "&amp;Courses!A202&amp;", "&amp;Courses!$F$10&amp;"; ","")</f>
        <v/>
      </c>
      <c r="CH208" t="str">
        <f>IF(AND($AD$9=1,Courses!G202&lt;&gt;"",Courses!H202&lt;&gt;"",Courses!H202=0,SUM(Courses!J202,Courses!F202)=1),"Row "&amp;Courses!A202&amp;", "&amp;Courses!$H$10&amp;"; ","")</f>
        <v/>
      </c>
      <c r="CI208" s="183" t="str">
        <f>IF(AND($AD$9=1,Courses!I202&lt;&gt;"",Courses!J202&lt;&gt;"",Courses!J202=0, SUM(Courses!H202,Courses!F202)=1),"Row "&amp;Courses!A202&amp;", "&amp;Courses!$J$10&amp;"; ","")</f>
        <v/>
      </c>
      <c r="CL208" s="1592" t="str">
        <f>IF(AND(Courses!B202&lt;&gt;"",ISNA(VLOOKUP(Courses!C202,CourseInfo,2,FALSE))=FALSE,COUNTIF(Dummy,Courses!C202)&lt;&gt;1),VLOOKUP(Courses!C202,CourseInfo,6,FALSE),"")</f>
        <v/>
      </c>
      <c r="CM208" s="1592" t="str">
        <f>IF(AND($AE$9=1,Courses!B202&lt;&gt;"",'Courses Valid'!AG208="",COUNTIF(Dummy,Courses!C202)&lt;&gt;1),IF(Courses!K202&lt;&gt;'Courses Valid'!CL208,"Row "&amp;Courses!A202&amp;", Level on LARS is "&amp;'Courses Valid'!CL208&amp;"; ",""),"")</f>
        <v/>
      </c>
      <c r="CN208" s="131"/>
    </row>
    <row r="209" spans="3:92" x14ac:dyDescent="0.35">
      <c r="C209" s="1595">
        <f t="shared" si="4"/>
        <v>0</v>
      </c>
      <c r="G209" s="1592" t="str">
        <f>IF(SUMPRODUCT(--(CourseAims=Courses!$C203))=1,"",IF(AND($N$9=1,Courses!$C203&lt;&gt;""),"Row "&amp;Courses!A203&amp;" (invalid); ",""))</f>
        <v/>
      </c>
      <c r="H209" s="1592" t="str">
        <f>IF(AND($O$9=1,Courses!B203="",OR(Courses!F203&lt;&gt;"",Courses!H203&lt;&gt;"",Courses!J203&lt;&gt;"",Courses!K203&lt;&gt;"",Courses!L203&lt;&gt;"",Courses!M203&lt;&gt;0,Courses!N203&lt;&gt;0,Courses!O203&lt;&gt;0,Courses!P203&lt;&gt;0,Courses!Q203&lt;&gt;0,Courses!R203&lt;&gt;0,Courses!S203&lt;&gt;0,Courses!T203&lt;&gt;0,Courses!U203&lt;&gt;0,Courses!V203&lt;&gt;0,Courses!W203&lt;&gt;0,Courses!X203&lt;&gt;0,Courses!Y203&lt;&gt;0,Courses!Z203&lt;&gt;0,Courses!AA203&lt;&gt;0)),"Row "&amp;Courses!A203&amp;" (none); ","")</f>
        <v/>
      </c>
      <c r="K209" s="1592" t="str">
        <f>Courses!B203&amp;Courses!K203&amp;Courses!L203</f>
        <v/>
      </c>
      <c r="L209" s="1592" t="str">
        <f>IF(AND($P$9=1,Courses!$B203&lt;&gt;"",COUNTIF(Dummy,Courses!$C203)&lt;&gt;1),IF(SUMPRODUCT(--($K$20:$K$219=$K209))&gt;1,"Row "&amp;Courses!$A203&amp;"; ",""),"")</f>
        <v/>
      </c>
      <c r="O209" s="1593" t="str">
        <f>IF(AND($Q$9=1,Courses!E203&lt;&gt;"",Courses!F203=""),"Row "&amp;Courses!A203&amp;", "&amp;Courses!$E$10&amp;"; ","")</f>
        <v/>
      </c>
      <c r="P209" t="str">
        <f>IF(AND($Q$9=1,Courses!G203&lt;&gt;"",Courses!H203=""),"Row "&amp;Courses!A203&amp;", "&amp;Courses!$G$10&amp;"; ","")</f>
        <v/>
      </c>
      <c r="Q209" s="183" t="str">
        <f>IF(AND($Q$9=1,Courses!I203&lt;&gt;"",Courses!J203=""),"Row "&amp;Courses!A203&amp;", "&amp;Courses!$I$10&amp;"; ","")</f>
        <v/>
      </c>
      <c r="U209" s="1593" t="str">
        <f>IF(AND($R$9=1,Courses!B203&lt;&gt;"",Courses!E203&lt;&gt;"",Courses!G203="",Courses!I203="",Courses!F203&lt;&gt;1),"Row "&amp;Courses!A203&amp;"; ","")</f>
        <v/>
      </c>
      <c r="V209" t="str">
        <f>IF(AND($R$9=1,Courses!B203&lt;&gt;"",Courses!I203="",Courses!F203&lt;&gt;"",Courses!G203&lt;&gt;"",Courses!H203&lt;&gt;""),IF(OR((Courses!F203+Courses!H203)&lt;&gt;1),"Row "&amp;Courses!A203&amp;"; ",""),"")</f>
        <v/>
      </c>
      <c r="W209" s="183" t="str">
        <f>IF(AND($R$9=1,Courses!B203&lt;&gt;"",Courses!I203&lt;&gt;"",Courses!J203&lt;&gt;"",Courses!H203&lt;&gt;"",Courses!G203&lt;&gt;"",Courses!F203&lt;&gt;""),IF(OR((Courses!F203+Courses!H203+Courses!J203)&lt;&gt;1),"Row "&amp;Courses!A203&amp;"; ",""),"")</f>
        <v/>
      </c>
      <c r="Y209" s="1592" t="str">
        <f>IF(AND($R$9=1,Courses!E203&lt;&gt;"",U209="",V209="",W209="",SUM(Courses!F203,Courses!H203,Courses!J203)&lt;&gt;1),"Row "&amp;Courses!A203&amp;"; ","")</f>
        <v/>
      </c>
      <c r="AB209" s="1593" t="str">
        <f>IF(AND($S$9=1,Courses!B203&lt;&gt;"",Courses!E203&lt;&gt;"",Courses!F203&lt;&gt;""),IF((TRUNC(Courses!F203*100)&lt;&gt;Courses!F203*100),"Row "&amp;Courses!A203&amp;", "&amp;Courses!$F$10&amp;"; ",""),"")</f>
        <v/>
      </c>
      <c r="AC209" t="str">
        <f>IF(AND($S$9=1,Courses!B203&lt;&gt;"",Courses!G203&lt;&gt;"",Courses!H203&lt;&gt;""),IF((TRUNC(Courses!H203*100)&lt;&gt;Courses!H203*100),"Row "&amp;Courses!A203&amp;", "&amp;Courses!$H$10&amp;"; ",""),"")</f>
        <v/>
      </c>
      <c r="AD209" s="183" t="str">
        <f>IF(AND($S$9=1,Courses!B203&lt;&gt;"",Courses!I203&lt;&gt;"",Courses!J203&lt;&gt;""),IF((TRUNC(Courses!J203*100)&lt;&gt;Courses!J203*100),"Row "&amp;Courses!A203&amp;", "&amp;Courses!$J$10&amp;"; ",""),"")</f>
        <v/>
      </c>
      <c r="AG209" s="1593" t="str">
        <f>IF(AND($T$9=1,G209="",Courses!B203&lt;&gt;"",Courses!K203&lt;&gt;$B$9,Courses!K203&lt;&gt;$B$10,Courses!K203&lt;&gt;$B$11,Courses!K203&lt;&gt;$B$12,Courses!K203&lt;&gt;$B$13,Courses!K203&lt;&gt;$B$14),"Row "&amp;Courses!A203&amp;"; ","")</f>
        <v/>
      </c>
      <c r="AH209" s="183" t="str">
        <f>IF(AND($U$9=1,G209="",Courses!B203&lt;&gt;"",Courses!L203&lt;&gt;"Standard",Courses!L203&lt;&gt;"Long"),"Row "&amp;Courses!A203&amp;"; ","")</f>
        <v/>
      </c>
      <c r="AK209" s="40">
        <v>190</v>
      </c>
      <c r="AL209" s="1593" t="str">
        <f>IF(AND($V$9=1,(TRUNC(Courses!M203)&lt;&gt;Courses!M203)), "Row "&amp;Courses!$A203&amp;", "&amp;AL$9&amp;", "&amp;AL$10&amp;", "&amp;AL$11&amp;"; ","")</f>
        <v/>
      </c>
      <c r="AM209" t="str">
        <f>IF(AND($V$9=1,(TRUNC(Courses!N203)&lt;&gt;Courses!N203)), "Row "&amp;Courses!$A203&amp;", "&amp;AM$9&amp;", "&amp;AM$10&amp;", "&amp;AM$11&amp;"; ","")</f>
        <v/>
      </c>
      <c r="AN209" t="str">
        <f>IF(AND($V$9=1,(TRUNC(Courses!O203)&lt;&gt;Courses!O203)), "Row "&amp;Courses!$A203&amp;", "&amp;AN$9&amp;", "&amp;AN$10&amp;", "&amp;AN$11&amp;"; ","")</f>
        <v/>
      </c>
      <c r="AO209" t="str">
        <f>IF(AND($V$9=1,(TRUNC(Courses!P203)&lt;&gt;Courses!P203)), "Row "&amp;Courses!$A203&amp;", "&amp;AO$9&amp;", "&amp;AO$10&amp;", "&amp;AO$11&amp;"; ","")</f>
        <v/>
      </c>
      <c r="AP209" s="2120" t="str">
        <f>IF(AND($V$9=1,(TRUNC(Courses!Q203)&lt;&gt;Courses!Q203)), "Row "&amp;Courses!$A203&amp;", "&amp;AP$9&amp;", "&amp;AP$10&amp;"; ","")</f>
        <v/>
      </c>
      <c r="AQ209" s="1593" t="str">
        <f>IF(AND($V$9=1,(TRUNC(Courses!R203)&lt;&gt;Courses!R203)), "Row "&amp;Courses!$A203&amp;", "&amp;AQ$9&amp;", "&amp;AQ$10&amp;", "&amp;AQ$11&amp;"; ","")</f>
        <v/>
      </c>
      <c r="AR209" t="str">
        <f>IF(AND($V$9=1,(TRUNC(Courses!S203)&lt;&gt;Courses!S203)), "Row "&amp;Courses!$A203&amp;", "&amp;AR$9&amp;", "&amp;AR$10&amp;", "&amp;AR$11&amp;"; ","")</f>
        <v/>
      </c>
      <c r="AS209" t="str">
        <f>IF(AND($V$9=1,(TRUNC(Courses!T203)&lt;&gt;Courses!T203)), "Row "&amp;Courses!$A203&amp;", "&amp;AS$9&amp;", "&amp;AS$10&amp;", "&amp;AS$11&amp;"; ","")</f>
        <v/>
      </c>
      <c r="AT209" t="str">
        <f>IF(AND($V$9=1,(TRUNC(Courses!U203)&lt;&gt;Courses!U203)), "Row "&amp;Courses!$A203&amp;", "&amp;AT$9&amp;", "&amp;AT$10&amp;", "&amp;AT$11&amp;"; ","")</f>
        <v/>
      </c>
      <c r="AU209" s="2120" t="str">
        <f>IF(AND($V$9=1,(TRUNC(Courses!V203)&lt;&gt;Courses!V203)), "Row "&amp;Courses!$A203&amp;", "&amp;AU$9&amp;", "&amp;AU$10&amp;"; ","")</f>
        <v/>
      </c>
      <c r="AV209" t="str">
        <f>IF(AND($V$9=1,(TRUNC(Courses!W203)&lt;&gt;Courses!W203)), "Row "&amp;Courses!$A203&amp;", "&amp;AV$9&amp;", "&amp;AV$10&amp;", "&amp;AV$11&amp;"; ","")</f>
        <v/>
      </c>
      <c r="AW209" t="str">
        <f>IF(AND($V$9=1,(TRUNC(Courses!X203)&lt;&gt;Courses!X203)), "Row "&amp;Courses!$A203&amp;", "&amp;AW$9&amp;", "&amp;AW$10&amp;", "&amp;AW$11&amp;"; ","")</f>
        <v/>
      </c>
      <c r="AX209" t="str">
        <f>IF(AND($V$9=1,(TRUNC(Courses!Y203)&lt;&gt;Courses!Y203)), "Row "&amp;Courses!$A203&amp;", "&amp;AX$9&amp;", "&amp;AX$10&amp;", "&amp;AX$11&amp;"; ","")</f>
        <v/>
      </c>
      <c r="AY209" t="str">
        <f>IF(AND($V$9=1,(TRUNC(Courses!Z203)&lt;&gt;Courses!Z203)), "Row "&amp;Courses!$A203&amp;", "&amp;AY$9&amp;", "&amp;AY$10&amp;", "&amp;AY$11&amp;"; ","")</f>
        <v/>
      </c>
      <c r="AZ209" s="2120" t="str">
        <f>IF(AND($V$9=1,(TRUNC(Courses!AA203)&lt;&gt;Courses!AA203)), "Row "&amp;Courses!$A203&amp;", "&amp;AZ$9&amp;", "&amp;AZ$10&amp;"; ","")</f>
        <v/>
      </c>
      <c r="BC209" s="40">
        <v>190</v>
      </c>
      <c r="BD209" s="1593" t="str">
        <f>IF(AND($W$9=1,Courses!M203&lt;0), "Row "&amp;Courses!$A203&amp;", "&amp;BD$9&amp;", "&amp;BD$10&amp;", "&amp;BD$11&amp;"; ","")</f>
        <v/>
      </c>
      <c r="BE209" t="str">
        <f>IF(AND($W$9=1,Courses!N203&lt;0), "Row "&amp;Courses!$A203&amp;", "&amp;BE$9&amp;", "&amp;BE$10&amp;", "&amp;BE$11&amp;"; ","")</f>
        <v/>
      </c>
      <c r="BF209" t="str">
        <f>IF(AND($W$9=1,Courses!O203&lt;0), "Row "&amp;Courses!$A203&amp;", "&amp;BF$9&amp;", "&amp;BF$10&amp;", "&amp;BF$11&amp;"; ","")</f>
        <v/>
      </c>
      <c r="BG209" t="str">
        <f>IF(AND($W$9=1,Courses!P203&lt;0), "Row "&amp;Courses!$A203&amp;", "&amp;BG$9&amp;", "&amp;BG$10&amp;", "&amp;BG$11&amp;"; ","")</f>
        <v/>
      </c>
      <c r="BH209" s="2120" t="str">
        <f>IF(AND($W$9=1,Courses!Q203&lt;0), "Row "&amp;Courses!$A203&amp;", "&amp;BH$9&amp;", "&amp;BH$10&amp;"; ","")</f>
        <v/>
      </c>
      <c r="BI209" s="1593" t="str">
        <f>IF(AND($W$9=1,Courses!R203&lt;0), "Row "&amp;Courses!$A203&amp;", "&amp;BI$9&amp;", "&amp;BI$10&amp;", "&amp;BI$11&amp;"; ","")</f>
        <v/>
      </c>
      <c r="BJ209" t="str">
        <f>IF(AND($W$9=1,Courses!S203&lt;0), "Row "&amp;Courses!$A203&amp;", "&amp;BJ$9&amp;", "&amp;BJ$10&amp;", "&amp;BJ$11&amp;"; ","")</f>
        <v/>
      </c>
      <c r="BK209" t="str">
        <f>IF(AND($W$9=1,Courses!T203&lt;0), "Row "&amp;Courses!$A203&amp;", "&amp;BK$9&amp;", "&amp;BK$10&amp;", "&amp;BK$11&amp;"; ","")</f>
        <v/>
      </c>
      <c r="BL209" t="str">
        <f>IF(AND($W$9=1,Courses!U203&lt;0), "Row "&amp;Courses!$A203&amp;", "&amp;BL$9&amp;", "&amp;BL$10&amp;", "&amp;BL$11&amp;"; ","")</f>
        <v/>
      </c>
      <c r="BM209" s="2120" t="str">
        <f>IF(AND($W$9=1,Courses!V203&lt;0), "Row "&amp;Courses!$A203&amp;", "&amp;BM$9&amp;", "&amp;BM$10&amp;"; ","")</f>
        <v/>
      </c>
      <c r="BN209" t="str">
        <f>IF(AND($W$9=1,Courses!W203&lt;0), "Row "&amp;Courses!$A203&amp;", "&amp;BN$9&amp;", "&amp;BN$10&amp;", "&amp;BN$11&amp;"; ","")</f>
        <v/>
      </c>
      <c r="BO209" t="str">
        <f>IF(AND($W$9=1,Courses!X203&lt;0), "Row "&amp;Courses!$A203&amp;", "&amp;BO$9&amp;", "&amp;BO$10&amp;", "&amp;BO$11&amp;"; ","")</f>
        <v/>
      </c>
      <c r="BP209" t="str">
        <f>IF(AND($W$9=1,Courses!Y203&lt;0), "Row "&amp;Courses!$A203&amp;", "&amp;BP$9&amp;", "&amp;BP$10&amp;", "&amp;BP$11&amp;"; ","")</f>
        <v/>
      </c>
      <c r="BQ209" t="str">
        <f>IF(AND($W$9=1,Courses!Z203&lt;0), "Row "&amp;Courses!$A203&amp;", "&amp;BQ$9&amp;", "&amp;BQ$10&amp;", "&amp;BQ$11&amp;"; ","")</f>
        <v/>
      </c>
      <c r="BR209" s="2120" t="str">
        <f>IF(AND($W$9=1,Courses!AA203&lt;0), "Row "&amp;Courses!$A203&amp;", "&amp;BR$9&amp;", "&amp;BR$10&amp;"; ","")</f>
        <v/>
      </c>
      <c r="BT209" s="3">
        <f t="shared" si="5"/>
        <v>190</v>
      </c>
      <c r="BU209" s="40">
        <f>IF(AND($X$9=1,Courses!B203="",Courses!F203="",Courses!H203="",Courses!J203="",Courses!K203="",Courses!L203="",Courses!M203=0,Courses!N203=0,Courses!O203=0,Courses!P203=0,Courses!Q203=0,Courses!R203=0,Courses!S203=0,Courses!T203=0,Courses!U203=0,Courses!V203=0,Courses!W203=0,Courses!X203=0,Courses!Y203=0,Courses!Z203=0,Courses!AA203=0),0,1)</f>
        <v>0</v>
      </c>
      <c r="BV209" s="40">
        <f>IF(AND(BU209=0,SUM(BU210:$BU$219)&gt;0),1,0)</f>
        <v>0</v>
      </c>
      <c r="BW209" s="1592" t="str">
        <f>IF(BV209=1,"Row "&amp;Courses!A203&amp;"; ","")</f>
        <v/>
      </c>
      <c r="BX209" s="17"/>
      <c r="BZ209" s="1592" t="str">
        <f>IF(AND($Y$9=1,Courses!B203&lt;&gt;"",SUM(Courses!M203:AA203)=0),"Row "&amp;Courses!A203&amp;"; ","")</f>
        <v/>
      </c>
      <c r="CA209" s="17"/>
      <c r="CC209" s="1592" t="str">
        <f>IF(AND($Z$9=1,Courses!AD203=1,(LEN(Courses!AB203)&gt;200)),"Row "&amp;Courses!A203&amp;"; ","")</f>
        <v/>
      </c>
      <c r="CE209" s="131"/>
      <c r="CG209" s="1593" t="str">
        <f>IF(AND($AD$9=1,Courses!E203&lt;&gt;"",Courses!F203&lt;&gt;"",Courses!F203=0,SUM(Courses!H203,Courses!J203)=1),"Row "&amp;Courses!A203&amp;", "&amp;Courses!$F$10&amp;"; ","")</f>
        <v/>
      </c>
      <c r="CH209" t="str">
        <f>IF(AND($AD$9=1,Courses!G203&lt;&gt;"",Courses!H203&lt;&gt;"",Courses!H203=0,SUM(Courses!J203,Courses!F203)=1),"Row "&amp;Courses!A203&amp;", "&amp;Courses!$H$10&amp;"; ","")</f>
        <v/>
      </c>
      <c r="CI209" s="183" t="str">
        <f>IF(AND($AD$9=1,Courses!I203&lt;&gt;"",Courses!J203&lt;&gt;"",Courses!J203=0, SUM(Courses!H203,Courses!F203)=1),"Row "&amp;Courses!A203&amp;", "&amp;Courses!$J$10&amp;"; ","")</f>
        <v/>
      </c>
      <c r="CL209" s="1592" t="str">
        <f>IF(AND(Courses!B203&lt;&gt;"",ISNA(VLOOKUP(Courses!C203,CourseInfo,2,FALSE))=FALSE,COUNTIF(Dummy,Courses!C203)&lt;&gt;1),VLOOKUP(Courses!C203,CourseInfo,6,FALSE),"")</f>
        <v/>
      </c>
      <c r="CM209" s="1592" t="str">
        <f>IF(AND($AE$9=1,Courses!B203&lt;&gt;"",'Courses Valid'!AG209="",COUNTIF(Dummy,Courses!C203)&lt;&gt;1),IF(Courses!K203&lt;&gt;'Courses Valid'!CL209,"Row "&amp;Courses!A203&amp;", Level on LARS is "&amp;'Courses Valid'!CL209&amp;"; ",""),"")</f>
        <v/>
      </c>
      <c r="CN209" s="131"/>
    </row>
    <row r="210" spans="3:92" x14ac:dyDescent="0.35">
      <c r="C210" s="1595">
        <f t="shared" si="4"/>
        <v>0</v>
      </c>
      <c r="G210" s="1592" t="str">
        <f>IF(SUMPRODUCT(--(CourseAims=Courses!$C204))=1,"",IF(AND($N$9=1,Courses!$C204&lt;&gt;""),"Row "&amp;Courses!A204&amp;" (invalid); ",""))</f>
        <v/>
      </c>
      <c r="H210" s="1592" t="str">
        <f>IF(AND($O$9=1,Courses!B204="",OR(Courses!F204&lt;&gt;"",Courses!H204&lt;&gt;"",Courses!J204&lt;&gt;"",Courses!K204&lt;&gt;"",Courses!L204&lt;&gt;"",Courses!M204&lt;&gt;0,Courses!N204&lt;&gt;0,Courses!O204&lt;&gt;0,Courses!P204&lt;&gt;0,Courses!Q204&lt;&gt;0,Courses!R204&lt;&gt;0,Courses!S204&lt;&gt;0,Courses!T204&lt;&gt;0,Courses!U204&lt;&gt;0,Courses!V204&lt;&gt;0,Courses!W204&lt;&gt;0,Courses!X204&lt;&gt;0,Courses!Y204&lt;&gt;0,Courses!Z204&lt;&gt;0,Courses!AA204&lt;&gt;0)),"Row "&amp;Courses!A204&amp;" (none); ","")</f>
        <v/>
      </c>
      <c r="K210" s="1592" t="str">
        <f>Courses!B204&amp;Courses!K204&amp;Courses!L204</f>
        <v/>
      </c>
      <c r="L210" s="1592" t="str">
        <f>IF(AND($P$9=1,Courses!$B204&lt;&gt;"",COUNTIF(Dummy,Courses!$C204)&lt;&gt;1),IF(SUMPRODUCT(--($K$20:$K$219=$K210))&gt;1,"Row "&amp;Courses!$A204&amp;"; ",""),"")</f>
        <v/>
      </c>
      <c r="O210" s="1593" t="str">
        <f>IF(AND($Q$9=1,Courses!E204&lt;&gt;"",Courses!F204=""),"Row "&amp;Courses!A204&amp;", "&amp;Courses!$E$10&amp;"; ","")</f>
        <v/>
      </c>
      <c r="P210" t="str">
        <f>IF(AND($Q$9=1,Courses!G204&lt;&gt;"",Courses!H204=""),"Row "&amp;Courses!A204&amp;", "&amp;Courses!$G$10&amp;"; ","")</f>
        <v/>
      </c>
      <c r="Q210" s="183" t="str">
        <f>IF(AND($Q$9=1,Courses!I204&lt;&gt;"",Courses!J204=""),"Row "&amp;Courses!A204&amp;", "&amp;Courses!$I$10&amp;"; ","")</f>
        <v/>
      </c>
      <c r="U210" s="1593" t="str">
        <f>IF(AND($R$9=1,Courses!B204&lt;&gt;"",Courses!E204&lt;&gt;"",Courses!G204="",Courses!I204="",Courses!F204&lt;&gt;1),"Row "&amp;Courses!A204&amp;"; ","")</f>
        <v/>
      </c>
      <c r="V210" t="str">
        <f>IF(AND($R$9=1,Courses!B204&lt;&gt;"",Courses!I204="",Courses!F204&lt;&gt;"",Courses!G204&lt;&gt;"",Courses!H204&lt;&gt;""),IF(OR((Courses!F204+Courses!H204)&lt;&gt;1),"Row "&amp;Courses!A204&amp;"; ",""),"")</f>
        <v/>
      </c>
      <c r="W210" s="183" t="str">
        <f>IF(AND($R$9=1,Courses!B204&lt;&gt;"",Courses!I204&lt;&gt;"",Courses!J204&lt;&gt;"",Courses!H204&lt;&gt;"",Courses!G204&lt;&gt;"",Courses!F204&lt;&gt;""),IF(OR((Courses!F204+Courses!H204+Courses!J204)&lt;&gt;1),"Row "&amp;Courses!A204&amp;"; ",""),"")</f>
        <v/>
      </c>
      <c r="Y210" s="1592" t="str">
        <f>IF(AND($R$9=1,Courses!E204&lt;&gt;"",U210="",V210="",W210="",SUM(Courses!F204,Courses!H204,Courses!J204)&lt;&gt;1),"Row "&amp;Courses!A204&amp;"; ","")</f>
        <v/>
      </c>
      <c r="AB210" s="1593" t="str">
        <f>IF(AND($S$9=1,Courses!B204&lt;&gt;"",Courses!E204&lt;&gt;"",Courses!F204&lt;&gt;""),IF((TRUNC(Courses!F204*100)&lt;&gt;Courses!F204*100),"Row "&amp;Courses!A204&amp;", "&amp;Courses!$F$10&amp;"; ",""),"")</f>
        <v/>
      </c>
      <c r="AC210" t="str">
        <f>IF(AND($S$9=1,Courses!B204&lt;&gt;"",Courses!G204&lt;&gt;"",Courses!H204&lt;&gt;""),IF((TRUNC(Courses!H204*100)&lt;&gt;Courses!H204*100),"Row "&amp;Courses!A204&amp;", "&amp;Courses!$H$10&amp;"; ",""),"")</f>
        <v/>
      </c>
      <c r="AD210" s="183" t="str">
        <f>IF(AND($S$9=1,Courses!B204&lt;&gt;"",Courses!I204&lt;&gt;"",Courses!J204&lt;&gt;""),IF((TRUNC(Courses!J204*100)&lt;&gt;Courses!J204*100),"Row "&amp;Courses!A204&amp;", "&amp;Courses!$J$10&amp;"; ",""),"")</f>
        <v/>
      </c>
      <c r="AG210" s="1593" t="str">
        <f>IF(AND($T$9=1,G210="",Courses!B204&lt;&gt;"",Courses!K204&lt;&gt;$B$9,Courses!K204&lt;&gt;$B$10,Courses!K204&lt;&gt;$B$11,Courses!K204&lt;&gt;$B$12,Courses!K204&lt;&gt;$B$13,Courses!K204&lt;&gt;$B$14),"Row "&amp;Courses!A204&amp;"; ","")</f>
        <v/>
      </c>
      <c r="AH210" s="183" t="str">
        <f>IF(AND($U$9=1,G210="",Courses!B204&lt;&gt;"",Courses!L204&lt;&gt;"Standard",Courses!L204&lt;&gt;"Long"),"Row "&amp;Courses!A204&amp;"; ","")</f>
        <v/>
      </c>
      <c r="AK210" s="40">
        <v>191</v>
      </c>
      <c r="AL210" s="1593" t="str">
        <f>IF(AND($V$9=1,(TRUNC(Courses!M204)&lt;&gt;Courses!M204)), "Row "&amp;Courses!$A204&amp;", "&amp;AL$9&amp;", "&amp;AL$10&amp;", "&amp;AL$11&amp;"; ","")</f>
        <v/>
      </c>
      <c r="AM210" t="str">
        <f>IF(AND($V$9=1,(TRUNC(Courses!N204)&lt;&gt;Courses!N204)), "Row "&amp;Courses!$A204&amp;", "&amp;AM$9&amp;", "&amp;AM$10&amp;", "&amp;AM$11&amp;"; ","")</f>
        <v/>
      </c>
      <c r="AN210" t="str">
        <f>IF(AND($V$9=1,(TRUNC(Courses!O204)&lt;&gt;Courses!O204)), "Row "&amp;Courses!$A204&amp;", "&amp;AN$9&amp;", "&amp;AN$10&amp;", "&amp;AN$11&amp;"; ","")</f>
        <v/>
      </c>
      <c r="AO210" t="str">
        <f>IF(AND($V$9=1,(TRUNC(Courses!P204)&lt;&gt;Courses!P204)), "Row "&amp;Courses!$A204&amp;", "&amp;AO$9&amp;", "&amp;AO$10&amp;", "&amp;AO$11&amp;"; ","")</f>
        <v/>
      </c>
      <c r="AP210" s="2120" t="str">
        <f>IF(AND($V$9=1,(TRUNC(Courses!Q204)&lt;&gt;Courses!Q204)), "Row "&amp;Courses!$A204&amp;", "&amp;AP$9&amp;", "&amp;AP$10&amp;"; ","")</f>
        <v/>
      </c>
      <c r="AQ210" s="1593" t="str">
        <f>IF(AND($V$9=1,(TRUNC(Courses!R204)&lt;&gt;Courses!R204)), "Row "&amp;Courses!$A204&amp;", "&amp;AQ$9&amp;", "&amp;AQ$10&amp;", "&amp;AQ$11&amp;"; ","")</f>
        <v/>
      </c>
      <c r="AR210" t="str">
        <f>IF(AND($V$9=1,(TRUNC(Courses!S204)&lt;&gt;Courses!S204)), "Row "&amp;Courses!$A204&amp;", "&amp;AR$9&amp;", "&amp;AR$10&amp;", "&amp;AR$11&amp;"; ","")</f>
        <v/>
      </c>
      <c r="AS210" t="str">
        <f>IF(AND($V$9=1,(TRUNC(Courses!T204)&lt;&gt;Courses!T204)), "Row "&amp;Courses!$A204&amp;", "&amp;AS$9&amp;", "&amp;AS$10&amp;", "&amp;AS$11&amp;"; ","")</f>
        <v/>
      </c>
      <c r="AT210" t="str">
        <f>IF(AND($V$9=1,(TRUNC(Courses!U204)&lt;&gt;Courses!U204)), "Row "&amp;Courses!$A204&amp;", "&amp;AT$9&amp;", "&amp;AT$10&amp;", "&amp;AT$11&amp;"; ","")</f>
        <v/>
      </c>
      <c r="AU210" s="2120" t="str">
        <f>IF(AND($V$9=1,(TRUNC(Courses!V204)&lt;&gt;Courses!V204)), "Row "&amp;Courses!$A204&amp;", "&amp;AU$9&amp;", "&amp;AU$10&amp;"; ","")</f>
        <v/>
      </c>
      <c r="AV210" t="str">
        <f>IF(AND($V$9=1,(TRUNC(Courses!W204)&lt;&gt;Courses!W204)), "Row "&amp;Courses!$A204&amp;", "&amp;AV$9&amp;", "&amp;AV$10&amp;", "&amp;AV$11&amp;"; ","")</f>
        <v/>
      </c>
      <c r="AW210" t="str">
        <f>IF(AND($V$9=1,(TRUNC(Courses!X204)&lt;&gt;Courses!X204)), "Row "&amp;Courses!$A204&amp;", "&amp;AW$9&amp;", "&amp;AW$10&amp;", "&amp;AW$11&amp;"; ","")</f>
        <v/>
      </c>
      <c r="AX210" t="str">
        <f>IF(AND($V$9=1,(TRUNC(Courses!Y204)&lt;&gt;Courses!Y204)), "Row "&amp;Courses!$A204&amp;", "&amp;AX$9&amp;", "&amp;AX$10&amp;", "&amp;AX$11&amp;"; ","")</f>
        <v/>
      </c>
      <c r="AY210" t="str">
        <f>IF(AND($V$9=1,(TRUNC(Courses!Z204)&lt;&gt;Courses!Z204)), "Row "&amp;Courses!$A204&amp;", "&amp;AY$9&amp;", "&amp;AY$10&amp;", "&amp;AY$11&amp;"; ","")</f>
        <v/>
      </c>
      <c r="AZ210" s="2120" t="str">
        <f>IF(AND($V$9=1,(TRUNC(Courses!AA204)&lt;&gt;Courses!AA204)), "Row "&amp;Courses!$A204&amp;", "&amp;AZ$9&amp;", "&amp;AZ$10&amp;"; ","")</f>
        <v/>
      </c>
      <c r="BC210" s="40">
        <v>191</v>
      </c>
      <c r="BD210" s="1593" t="str">
        <f>IF(AND($W$9=1,Courses!M204&lt;0), "Row "&amp;Courses!$A204&amp;", "&amp;BD$9&amp;", "&amp;BD$10&amp;", "&amp;BD$11&amp;"; ","")</f>
        <v/>
      </c>
      <c r="BE210" t="str">
        <f>IF(AND($W$9=1,Courses!N204&lt;0), "Row "&amp;Courses!$A204&amp;", "&amp;BE$9&amp;", "&amp;BE$10&amp;", "&amp;BE$11&amp;"; ","")</f>
        <v/>
      </c>
      <c r="BF210" t="str">
        <f>IF(AND($W$9=1,Courses!O204&lt;0), "Row "&amp;Courses!$A204&amp;", "&amp;BF$9&amp;", "&amp;BF$10&amp;", "&amp;BF$11&amp;"; ","")</f>
        <v/>
      </c>
      <c r="BG210" t="str">
        <f>IF(AND($W$9=1,Courses!P204&lt;0), "Row "&amp;Courses!$A204&amp;", "&amp;BG$9&amp;", "&amp;BG$10&amp;", "&amp;BG$11&amp;"; ","")</f>
        <v/>
      </c>
      <c r="BH210" s="2120" t="str">
        <f>IF(AND($W$9=1,Courses!Q204&lt;0), "Row "&amp;Courses!$A204&amp;", "&amp;BH$9&amp;", "&amp;BH$10&amp;"; ","")</f>
        <v/>
      </c>
      <c r="BI210" s="1593" t="str">
        <f>IF(AND($W$9=1,Courses!R204&lt;0), "Row "&amp;Courses!$A204&amp;", "&amp;BI$9&amp;", "&amp;BI$10&amp;", "&amp;BI$11&amp;"; ","")</f>
        <v/>
      </c>
      <c r="BJ210" t="str">
        <f>IF(AND($W$9=1,Courses!S204&lt;0), "Row "&amp;Courses!$A204&amp;", "&amp;BJ$9&amp;", "&amp;BJ$10&amp;", "&amp;BJ$11&amp;"; ","")</f>
        <v/>
      </c>
      <c r="BK210" t="str">
        <f>IF(AND($W$9=1,Courses!T204&lt;0), "Row "&amp;Courses!$A204&amp;", "&amp;BK$9&amp;", "&amp;BK$10&amp;", "&amp;BK$11&amp;"; ","")</f>
        <v/>
      </c>
      <c r="BL210" t="str">
        <f>IF(AND($W$9=1,Courses!U204&lt;0), "Row "&amp;Courses!$A204&amp;", "&amp;BL$9&amp;", "&amp;BL$10&amp;", "&amp;BL$11&amp;"; ","")</f>
        <v/>
      </c>
      <c r="BM210" s="2120" t="str">
        <f>IF(AND($W$9=1,Courses!V204&lt;0), "Row "&amp;Courses!$A204&amp;", "&amp;BM$9&amp;", "&amp;BM$10&amp;"; ","")</f>
        <v/>
      </c>
      <c r="BN210" t="str">
        <f>IF(AND($W$9=1,Courses!W204&lt;0), "Row "&amp;Courses!$A204&amp;", "&amp;BN$9&amp;", "&amp;BN$10&amp;", "&amp;BN$11&amp;"; ","")</f>
        <v/>
      </c>
      <c r="BO210" t="str">
        <f>IF(AND($W$9=1,Courses!X204&lt;0), "Row "&amp;Courses!$A204&amp;", "&amp;BO$9&amp;", "&amp;BO$10&amp;", "&amp;BO$11&amp;"; ","")</f>
        <v/>
      </c>
      <c r="BP210" t="str">
        <f>IF(AND($W$9=1,Courses!Y204&lt;0), "Row "&amp;Courses!$A204&amp;", "&amp;BP$9&amp;", "&amp;BP$10&amp;", "&amp;BP$11&amp;"; ","")</f>
        <v/>
      </c>
      <c r="BQ210" t="str">
        <f>IF(AND($W$9=1,Courses!Z204&lt;0), "Row "&amp;Courses!$A204&amp;", "&amp;BQ$9&amp;", "&amp;BQ$10&amp;", "&amp;BQ$11&amp;"; ","")</f>
        <v/>
      </c>
      <c r="BR210" s="2120" t="str">
        <f>IF(AND($W$9=1,Courses!AA204&lt;0), "Row "&amp;Courses!$A204&amp;", "&amp;BR$9&amp;", "&amp;BR$10&amp;"; ","")</f>
        <v/>
      </c>
      <c r="BT210" s="3">
        <f t="shared" si="5"/>
        <v>191</v>
      </c>
      <c r="BU210" s="40">
        <f>IF(AND($X$9=1,Courses!B204="",Courses!F204="",Courses!H204="",Courses!J204="",Courses!K204="",Courses!L204="",Courses!M204=0,Courses!N204=0,Courses!O204=0,Courses!P204=0,Courses!Q204=0,Courses!R204=0,Courses!S204=0,Courses!T204=0,Courses!U204=0,Courses!V204=0,Courses!W204=0,Courses!X204=0,Courses!Y204=0,Courses!Z204=0,Courses!AA204=0),0,1)</f>
        <v>0</v>
      </c>
      <c r="BV210" s="40">
        <f>IF(AND(BU210=0,SUM(BU211:$BU$219)&gt;0),1,0)</f>
        <v>0</v>
      </c>
      <c r="BW210" s="1592" t="str">
        <f>IF(BV210=1,"Row "&amp;Courses!A204&amp;"; ","")</f>
        <v/>
      </c>
      <c r="BX210" s="17"/>
      <c r="BZ210" s="1592" t="str">
        <f>IF(AND($Y$9=1,Courses!B204&lt;&gt;"",SUM(Courses!M204:AA204)=0),"Row "&amp;Courses!A204&amp;"; ","")</f>
        <v/>
      </c>
      <c r="CA210" s="17"/>
      <c r="CC210" s="1592" t="str">
        <f>IF(AND($Z$9=1,Courses!AD204=1,(LEN(Courses!AB204)&gt;200)),"Row "&amp;Courses!A204&amp;"; ","")</f>
        <v/>
      </c>
      <c r="CE210" s="131"/>
      <c r="CG210" s="1593" t="str">
        <f>IF(AND($AD$9=1,Courses!E204&lt;&gt;"",Courses!F204&lt;&gt;"",Courses!F204=0,SUM(Courses!H204,Courses!J204)=1),"Row "&amp;Courses!A204&amp;", "&amp;Courses!$F$10&amp;"; ","")</f>
        <v/>
      </c>
      <c r="CH210" t="str">
        <f>IF(AND($AD$9=1,Courses!G204&lt;&gt;"",Courses!H204&lt;&gt;"",Courses!H204=0,SUM(Courses!J204,Courses!F204)=1),"Row "&amp;Courses!A204&amp;", "&amp;Courses!$H$10&amp;"; ","")</f>
        <v/>
      </c>
      <c r="CI210" s="183" t="str">
        <f>IF(AND($AD$9=1,Courses!I204&lt;&gt;"",Courses!J204&lt;&gt;"",Courses!J204=0, SUM(Courses!H204,Courses!F204)=1),"Row "&amp;Courses!A204&amp;", "&amp;Courses!$J$10&amp;"; ","")</f>
        <v/>
      </c>
      <c r="CL210" s="1592" t="str">
        <f>IF(AND(Courses!B204&lt;&gt;"",ISNA(VLOOKUP(Courses!C204,CourseInfo,2,FALSE))=FALSE,COUNTIF(Dummy,Courses!C204)&lt;&gt;1),VLOOKUP(Courses!C204,CourseInfo,6,FALSE),"")</f>
        <v/>
      </c>
      <c r="CM210" s="1592" t="str">
        <f>IF(AND($AE$9=1,Courses!B204&lt;&gt;"",'Courses Valid'!AG210="",COUNTIF(Dummy,Courses!C204)&lt;&gt;1),IF(Courses!K204&lt;&gt;'Courses Valid'!CL210,"Row "&amp;Courses!A204&amp;", Level on LARS is "&amp;'Courses Valid'!CL210&amp;"; ",""),"")</f>
        <v/>
      </c>
      <c r="CN210" s="131"/>
    </row>
    <row r="211" spans="3:92" x14ac:dyDescent="0.35">
      <c r="C211" s="1595">
        <f t="shared" si="4"/>
        <v>0</v>
      </c>
      <c r="G211" s="1592" t="str">
        <f>IF(SUMPRODUCT(--(CourseAims=Courses!$C205))=1,"",IF(AND($N$9=1,Courses!$C205&lt;&gt;""),"Row "&amp;Courses!A205&amp;" (invalid); ",""))</f>
        <v/>
      </c>
      <c r="H211" s="1592" t="str">
        <f>IF(AND($O$9=1,Courses!B205="",OR(Courses!F205&lt;&gt;"",Courses!H205&lt;&gt;"",Courses!J205&lt;&gt;"",Courses!K205&lt;&gt;"",Courses!L205&lt;&gt;"",Courses!M205&lt;&gt;0,Courses!N205&lt;&gt;0,Courses!O205&lt;&gt;0,Courses!P205&lt;&gt;0,Courses!Q205&lt;&gt;0,Courses!R205&lt;&gt;0,Courses!S205&lt;&gt;0,Courses!T205&lt;&gt;0,Courses!U205&lt;&gt;0,Courses!V205&lt;&gt;0,Courses!W205&lt;&gt;0,Courses!X205&lt;&gt;0,Courses!Y205&lt;&gt;0,Courses!Z205&lt;&gt;0,Courses!AA205&lt;&gt;0)),"Row "&amp;Courses!A205&amp;" (none); ","")</f>
        <v/>
      </c>
      <c r="K211" s="1592" t="str">
        <f>Courses!B205&amp;Courses!K205&amp;Courses!L205</f>
        <v/>
      </c>
      <c r="L211" s="1592" t="str">
        <f>IF(AND($P$9=1,Courses!$B205&lt;&gt;"",COUNTIF(Dummy,Courses!$C205)&lt;&gt;1),IF(SUMPRODUCT(--($K$20:$K$219=$K211))&gt;1,"Row "&amp;Courses!$A205&amp;"; ",""),"")</f>
        <v/>
      </c>
      <c r="O211" s="1593" t="str">
        <f>IF(AND($Q$9=1,Courses!E205&lt;&gt;"",Courses!F205=""),"Row "&amp;Courses!A205&amp;", "&amp;Courses!$E$10&amp;"; ","")</f>
        <v/>
      </c>
      <c r="P211" t="str">
        <f>IF(AND($Q$9=1,Courses!G205&lt;&gt;"",Courses!H205=""),"Row "&amp;Courses!A205&amp;", "&amp;Courses!$G$10&amp;"; ","")</f>
        <v/>
      </c>
      <c r="Q211" s="183" t="str">
        <f>IF(AND($Q$9=1,Courses!I205&lt;&gt;"",Courses!J205=""),"Row "&amp;Courses!A205&amp;", "&amp;Courses!$I$10&amp;"; ","")</f>
        <v/>
      </c>
      <c r="U211" s="1593" t="str">
        <f>IF(AND($R$9=1,Courses!B205&lt;&gt;"",Courses!E205&lt;&gt;"",Courses!G205="",Courses!I205="",Courses!F205&lt;&gt;1),"Row "&amp;Courses!A205&amp;"; ","")</f>
        <v/>
      </c>
      <c r="V211" t="str">
        <f>IF(AND($R$9=1,Courses!B205&lt;&gt;"",Courses!I205="",Courses!F205&lt;&gt;"",Courses!G205&lt;&gt;"",Courses!H205&lt;&gt;""),IF(OR((Courses!F205+Courses!H205)&lt;&gt;1),"Row "&amp;Courses!A205&amp;"; ",""),"")</f>
        <v/>
      </c>
      <c r="W211" s="183" t="str">
        <f>IF(AND($R$9=1,Courses!B205&lt;&gt;"",Courses!I205&lt;&gt;"",Courses!J205&lt;&gt;"",Courses!H205&lt;&gt;"",Courses!G205&lt;&gt;"",Courses!F205&lt;&gt;""),IF(OR((Courses!F205+Courses!H205+Courses!J205)&lt;&gt;1),"Row "&amp;Courses!A205&amp;"; ",""),"")</f>
        <v/>
      </c>
      <c r="Y211" s="1592" t="str">
        <f>IF(AND($R$9=1,Courses!E205&lt;&gt;"",U211="",V211="",W211="",SUM(Courses!F205,Courses!H205,Courses!J205)&lt;&gt;1),"Row "&amp;Courses!A205&amp;"; ","")</f>
        <v/>
      </c>
      <c r="AB211" s="1593" t="str">
        <f>IF(AND($S$9=1,Courses!B205&lt;&gt;"",Courses!E205&lt;&gt;"",Courses!F205&lt;&gt;""),IF((TRUNC(Courses!F205*100)&lt;&gt;Courses!F205*100),"Row "&amp;Courses!A205&amp;", "&amp;Courses!$F$10&amp;"; ",""),"")</f>
        <v/>
      </c>
      <c r="AC211" t="str">
        <f>IF(AND($S$9=1,Courses!B205&lt;&gt;"",Courses!G205&lt;&gt;"",Courses!H205&lt;&gt;""),IF((TRUNC(Courses!H205*100)&lt;&gt;Courses!H205*100),"Row "&amp;Courses!A205&amp;", "&amp;Courses!$H$10&amp;"; ",""),"")</f>
        <v/>
      </c>
      <c r="AD211" s="183" t="str">
        <f>IF(AND($S$9=1,Courses!B205&lt;&gt;"",Courses!I205&lt;&gt;"",Courses!J205&lt;&gt;""),IF((TRUNC(Courses!J205*100)&lt;&gt;Courses!J205*100),"Row "&amp;Courses!A205&amp;", "&amp;Courses!$J$10&amp;"; ",""),"")</f>
        <v/>
      </c>
      <c r="AG211" s="1593" t="str">
        <f>IF(AND($T$9=1,G211="",Courses!B205&lt;&gt;"",Courses!K205&lt;&gt;$B$9,Courses!K205&lt;&gt;$B$10,Courses!K205&lt;&gt;$B$11,Courses!K205&lt;&gt;$B$12,Courses!K205&lt;&gt;$B$13,Courses!K205&lt;&gt;$B$14),"Row "&amp;Courses!A205&amp;"; ","")</f>
        <v/>
      </c>
      <c r="AH211" s="183" t="str">
        <f>IF(AND($U$9=1,G211="",Courses!B205&lt;&gt;"",Courses!L205&lt;&gt;"Standard",Courses!L205&lt;&gt;"Long"),"Row "&amp;Courses!A205&amp;"; ","")</f>
        <v/>
      </c>
      <c r="AK211" s="40">
        <v>192</v>
      </c>
      <c r="AL211" s="1593" t="str">
        <f>IF(AND($V$9=1,(TRUNC(Courses!M205)&lt;&gt;Courses!M205)), "Row "&amp;Courses!$A205&amp;", "&amp;AL$9&amp;", "&amp;AL$10&amp;", "&amp;AL$11&amp;"; ","")</f>
        <v/>
      </c>
      <c r="AM211" t="str">
        <f>IF(AND($V$9=1,(TRUNC(Courses!N205)&lt;&gt;Courses!N205)), "Row "&amp;Courses!$A205&amp;", "&amp;AM$9&amp;", "&amp;AM$10&amp;", "&amp;AM$11&amp;"; ","")</f>
        <v/>
      </c>
      <c r="AN211" t="str">
        <f>IF(AND($V$9=1,(TRUNC(Courses!O205)&lt;&gt;Courses!O205)), "Row "&amp;Courses!$A205&amp;", "&amp;AN$9&amp;", "&amp;AN$10&amp;", "&amp;AN$11&amp;"; ","")</f>
        <v/>
      </c>
      <c r="AO211" t="str">
        <f>IF(AND($V$9=1,(TRUNC(Courses!P205)&lt;&gt;Courses!P205)), "Row "&amp;Courses!$A205&amp;", "&amp;AO$9&amp;", "&amp;AO$10&amp;", "&amp;AO$11&amp;"; ","")</f>
        <v/>
      </c>
      <c r="AP211" s="2120" t="str">
        <f>IF(AND($V$9=1,(TRUNC(Courses!Q205)&lt;&gt;Courses!Q205)), "Row "&amp;Courses!$A205&amp;", "&amp;AP$9&amp;", "&amp;AP$10&amp;"; ","")</f>
        <v/>
      </c>
      <c r="AQ211" s="1593" t="str">
        <f>IF(AND($V$9=1,(TRUNC(Courses!R205)&lt;&gt;Courses!R205)), "Row "&amp;Courses!$A205&amp;", "&amp;AQ$9&amp;", "&amp;AQ$10&amp;", "&amp;AQ$11&amp;"; ","")</f>
        <v/>
      </c>
      <c r="AR211" t="str">
        <f>IF(AND($V$9=1,(TRUNC(Courses!S205)&lt;&gt;Courses!S205)), "Row "&amp;Courses!$A205&amp;", "&amp;AR$9&amp;", "&amp;AR$10&amp;", "&amp;AR$11&amp;"; ","")</f>
        <v/>
      </c>
      <c r="AS211" t="str">
        <f>IF(AND($V$9=1,(TRUNC(Courses!T205)&lt;&gt;Courses!T205)), "Row "&amp;Courses!$A205&amp;", "&amp;AS$9&amp;", "&amp;AS$10&amp;", "&amp;AS$11&amp;"; ","")</f>
        <v/>
      </c>
      <c r="AT211" t="str">
        <f>IF(AND($V$9=1,(TRUNC(Courses!U205)&lt;&gt;Courses!U205)), "Row "&amp;Courses!$A205&amp;", "&amp;AT$9&amp;", "&amp;AT$10&amp;", "&amp;AT$11&amp;"; ","")</f>
        <v/>
      </c>
      <c r="AU211" s="2120" t="str">
        <f>IF(AND($V$9=1,(TRUNC(Courses!V205)&lt;&gt;Courses!V205)), "Row "&amp;Courses!$A205&amp;", "&amp;AU$9&amp;", "&amp;AU$10&amp;"; ","")</f>
        <v/>
      </c>
      <c r="AV211" t="str">
        <f>IF(AND($V$9=1,(TRUNC(Courses!W205)&lt;&gt;Courses!W205)), "Row "&amp;Courses!$A205&amp;", "&amp;AV$9&amp;", "&amp;AV$10&amp;", "&amp;AV$11&amp;"; ","")</f>
        <v/>
      </c>
      <c r="AW211" t="str">
        <f>IF(AND($V$9=1,(TRUNC(Courses!X205)&lt;&gt;Courses!X205)), "Row "&amp;Courses!$A205&amp;", "&amp;AW$9&amp;", "&amp;AW$10&amp;", "&amp;AW$11&amp;"; ","")</f>
        <v/>
      </c>
      <c r="AX211" t="str">
        <f>IF(AND($V$9=1,(TRUNC(Courses!Y205)&lt;&gt;Courses!Y205)), "Row "&amp;Courses!$A205&amp;", "&amp;AX$9&amp;", "&amp;AX$10&amp;", "&amp;AX$11&amp;"; ","")</f>
        <v/>
      </c>
      <c r="AY211" t="str">
        <f>IF(AND($V$9=1,(TRUNC(Courses!Z205)&lt;&gt;Courses!Z205)), "Row "&amp;Courses!$A205&amp;", "&amp;AY$9&amp;", "&amp;AY$10&amp;", "&amp;AY$11&amp;"; ","")</f>
        <v/>
      </c>
      <c r="AZ211" s="2120" t="str">
        <f>IF(AND($V$9=1,(TRUNC(Courses!AA205)&lt;&gt;Courses!AA205)), "Row "&amp;Courses!$A205&amp;", "&amp;AZ$9&amp;", "&amp;AZ$10&amp;"; ","")</f>
        <v/>
      </c>
      <c r="BC211" s="40">
        <v>192</v>
      </c>
      <c r="BD211" s="1593" t="str">
        <f>IF(AND($W$9=1,Courses!M205&lt;0), "Row "&amp;Courses!$A205&amp;", "&amp;BD$9&amp;", "&amp;BD$10&amp;", "&amp;BD$11&amp;"; ","")</f>
        <v/>
      </c>
      <c r="BE211" t="str">
        <f>IF(AND($W$9=1,Courses!N205&lt;0), "Row "&amp;Courses!$A205&amp;", "&amp;BE$9&amp;", "&amp;BE$10&amp;", "&amp;BE$11&amp;"; ","")</f>
        <v/>
      </c>
      <c r="BF211" t="str">
        <f>IF(AND($W$9=1,Courses!O205&lt;0), "Row "&amp;Courses!$A205&amp;", "&amp;BF$9&amp;", "&amp;BF$10&amp;", "&amp;BF$11&amp;"; ","")</f>
        <v/>
      </c>
      <c r="BG211" t="str">
        <f>IF(AND($W$9=1,Courses!P205&lt;0), "Row "&amp;Courses!$A205&amp;", "&amp;BG$9&amp;", "&amp;BG$10&amp;", "&amp;BG$11&amp;"; ","")</f>
        <v/>
      </c>
      <c r="BH211" s="2120" t="str">
        <f>IF(AND($W$9=1,Courses!Q205&lt;0), "Row "&amp;Courses!$A205&amp;", "&amp;BH$9&amp;", "&amp;BH$10&amp;"; ","")</f>
        <v/>
      </c>
      <c r="BI211" s="1593" t="str">
        <f>IF(AND($W$9=1,Courses!R205&lt;0), "Row "&amp;Courses!$A205&amp;", "&amp;BI$9&amp;", "&amp;BI$10&amp;", "&amp;BI$11&amp;"; ","")</f>
        <v/>
      </c>
      <c r="BJ211" t="str">
        <f>IF(AND($W$9=1,Courses!S205&lt;0), "Row "&amp;Courses!$A205&amp;", "&amp;BJ$9&amp;", "&amp;BJ$10&amp;", "&amp;BJ$11&amp;"; ","")</f>
        <v/>
      </c>
      <c r="BK211" t="str">
        <f>IF(AND($W$9=1,Courses!T205&lt;0), "Row "&amp;Courses!$A205&amp;", "&amp;BK$9&amp;", "&amp;BK$10&amp;", "&amp;BK$11&amp;"; ","")</f>
        <v/>
      </c>
      <c r="BL211" t="str">
        <f>IF(AND($W$9=1,Courses!U205&lt;0), "Row "&amp;Courses!$A205&amp;", "&amp;BL$9&amp;", "&amp;BL$10&amp;", "&amp;BL$11&amp;"; ","")</f>
        <v/>
      </c>
      <c r="BM211" s="2120" t="str">
        <f>IF(AND($W$9=1,Courses!V205&lt;0), "Row "&amp;Courses!$A205&amp;", "&amp;BM$9&amp;", "&amp;BM$10&amp;"; ","")</f>
        <v/>
      </c>
      <c r="BN211" t="str">
        <f>IF(AND($W$9=1,Courses!W205&lt;0), "Row "&amp;Courses!$A205&amp;", "&amp;BN$9&amp;", "&amp;BN$10&amp;", "&amp;BN$11&amp;"; ","")</f>
        <v/>
      </c>
      <c r="BO211" t="str">
        <f>IF(AND($W$9=1,Courses!X205&lt;0), "Row "&amp;Courses!$A205&amp;", "&amp;BO$9&amp;", "&amp;BO$10&amp;", "&amp;BO$11&amp;"; ","")</f>
        <v/>
      </c>
      <c r="BP211" t="str">
        <f>IF(AND($W$9=1,Courses!Y205&lt;0), "Row "&amp;Courses!$A205&amp;", "&amp;BP$9&amp;", "&amp;BP$10&amp;", "&amp;BP$11&amp;"; ","")</f>
        <v/>
      </c>
      <c r="BQ211" t="str">
        <f>IF(AND($W$9=1,Courses!Z205&lt;0), "Row "&amp;Courses!$A205&amp;", "&amp;BQ$9&amp;", "&amp;BQ$10&amp;", "&amp;BQ$11&amp;"; ","")</f>
        <v/>
      </c>
      <c r="BR211" s="2120" t="str">
        <f>IF(AND($W$9=1,Courses!AA205&lt;0), "Row "&amp;Courses!$A205&amp;", "&amp;BR$9&amp;", "&amp;BR$10&amp;"; ","")</f>
        <v/>
      </c>
      <c r="BT211" s="3">
        <f t="shared" si="5"/>
        <v>192</v>
      </c>
      <c r="BU211" s="40">
        <f>IF(AND($X$9=1,Courses!B205="",Courses!F205="",Courses!H205="",Courses!J205="",Courses!K205="",Courses!L205="",Courses!M205=0,Courses!N205=0,Courses!O205=0,Courses!P205=0,Courses!Q205=0,Courses!R205=0,Courses!S205=0,Courses!T205=0,Courses!U205=0,Courses!V205=0,Courses!W205=0,Courses!X205=0,Courses!Y205=0,Courses!Z205=0,Courses!AA205=0),0,1)</f>
        <v>0</v>
      </c>
      <c r="BV211" s="40">
        <f>IF(AND(BU211=0,SUM(BU212:$BU$219)&gt;0),1,0)</f>
        <v>0</v>
      </c>
      <c r="BW211" s="1592" t="str">
        <f>IF(BV211=1,"Row "&amp;Courses!A205&amp;"; ","")</f>
        <v/>
      </c>
      <c r="BX211" s="17"/>
      <c r="BZ211" s="1592" t="str">
        <f>IF(AND($Y$9=1,Courses!B205&lt;&gt;"",SUM(Courses!M205:AA205)=0),"Row "&amp;Courses!A205&amp;"; ","")</f>
        <v/>
      </c>
      <c r="CA211" s="17"/>
      <c r="CC211" s="1592" t="str">
        <f>IF(AND($Z$9=1,Courses!AD205=1,(LEN(Courses!AB205)&gt;200)),"Row "&amp;Courses!A205&amp;"; ","")</f>
        <v/>
      </c>
      <c r="CE211" s="131"/>
      <c r="CG211" s="1593" t="str">
        <f>IF(AND($AD$9=1,Courses!E205&lt;&gt;"",Courses!F205&lt;&gt;"",Courses!F205=0,SUM(Courses!H205,Courses!J205)=1),"Row "&amp;Courses!A205&amp;", "&amp;Courses!$F$10&amp;"; ","")</f>
        <v/>
      </c>
      <c r="CH211" t="str">
        <f>IF(AND($AD$9=1,Courses!G205&lt;&gt;"",Courses!H205&lt;&gt;"",Courses!H205=0,SUM(Courses!J205,Courses!F205)=1),"Row "&amp;Courses!A205&amp;", "&amp;Courses!$H$10&amp;"; ","")</f>
        <v/>
      </c>
      <c r="CI211" s="183" t="str">
        <f>IF(AND($AD$9=1,Courses!I205&lt;&gt;"",Courses!J205&lt;&gt;"",Courses!J205=0, SUM(Courses!H205,Courses!F205)=1),"Row "&amp;Courses!A205&amp;", "&amp;Courses!$J$10&amp;"; ","")</f>
        <v/>
      </c>
      <c r="CL211" s="1592" t="str">
        <f>IF(AND(Courses!B205&lt;&gt;"",ISNA(VLOOKUP(Courses!C205,CourseInfo,2,FALSE))=FALSE,COUNTIF(Dummy,Courses!C205)&lt;&gt;1),VLOOKUP(Courses!C205,CourseInfo,6,FALSE),"")</f>
        <v/>
      </c>
      <c r="CM211" s="1592" t="str">
        <f>IF(AND($AE$9=1,Courses!B205&lt;&gt;"",'Courses Valid'!AG211="",COUNTIF(Dummy,Courses!C205)&lt;&gt;1),IF(Courses!K205&lt;&gt;'Courses Valid'!CL211,"Row "&amp;Courses!A205&amp;", Level on LARS is "&amp;'Courses Valid'!CL211&amp;"; ",""),"")</f>
        <v/>
      </c>
      <c r="CN211" s="131"/>
    </row>
    <row r="212" spans="3:92" x14ac:dyDescent="0.35">
      <c r="C212" s="1595">
        <f t="shared" si="4"/>
        <v>0</v>
      </c>
      <c r="G212" s="1592" t="str">
        <f>IF(SUMPRODUCT(--(CourseAims=Courses!$C206))=1,"",IF(AND($N$9=1,Courses!$C206&lt;&gt;""),"Row "&amp;Courses!A206&amp;" (invalid); ",""))</f>
        <v/>
      </c>
      <c r="H212" s="1592" t="str">
        <f>IF(AND($O$9=1,Courses!B206="",OR(Courses!F206&lt;&gt;"",Courses!H206&lt;&gt;"",Courses!J206&lt;&gt;"",Courses!K206&lt;&gt;"",Courses!L206&lt;&gt;"",Courses!M206&lt;&gt;0,Courses!N206&lt;&gt;0,Courses!O206&lt;&gt;0,Courses!P206&lt;&gt;0,Courses!Q206&lt;&gt;0,Courses!R206&lt;&gt;0,Courses!S206&lt;&gt;0,Courses!T206&lt;&gt;0,Courses!U206&lt;&gt;0,Courses!V206&lt;&gt;0,Courses!W206&lt;&gt;0,Courses!X206&lt;&gt;0,Courses!Y206&lt;&gt;0,Courses!Z206&lt;&gt;0,Courses!AA206&lt;&gt;0)),"Row "&amp;Courses!A206&amp;" (none); ","")</f>
        <v/>
      </c>
      <c r="K212" s="1592" t="str">
        <f>Courses!B206&amp;Courses!K206&amp;Courses!L206</f>
        <v/>
      </c>
      <c r="L212" s="1592" t="str">
        <f>IF(AND($P$9=1,Courses!$B206&lt;&gt;"",COUNTIF(Dummy,Courses!$C206)&lt;&gt;1),IF(SUMPRODUCT(--($K$20:$K$219=$K212))&gt;1,"Row "&amp;Courses!$A206&amp;"; ",""),"")</f>
        <v/>
      </c>
      <c r="O212" s="1593" t="str">
        <f>IF(AND($Q$9=1,Courses!E206&lt;&gt;"",Courses!F206=""),"Row "&amp;Courses!A206&amp;", "&amp;Courses!$E$10&amp;"; ","")</f>
        <v/>
      </c>
      <c r="P212" t="str">
        <f>IF(AND($Q$9=1,Courses!G206&lt;&gt;"",Courses!H206=""),"Row "&amp;Courses!A206&amp;", "&amp;Courses!$G$10&amp;"; ","")</f>
        <v/>
      </c>
      <c r="Q212" s="183" t="str">
        <f>IF(AND($Q$9=1,Courses!I206&lt;&gt;"",Courses!J206=""),"Row "&amp;Courses!A206&amp;", "&amp;Courses!$I$10&amp;"; ","")</f>
        <v/>
      </c>
      <c r="U212" s="1593" t="str">
        <f>IF(AND($R$9=1,Courses!B206&lt;&gt;"",Courses!E206&lt;&gt;"",Courses!G206="",Courses!I206="",Courses!F206&lt;&gt;1),"Row "&amp;Courses!A206&amp;"; ","")</f>
        <v/>
      </c>
      <c r="V212" t="str">
        <f>IF(AND($R$9=1,Courses!B206&lt;&gt;"",Courses!I206="",Courses!F206&lt;&gt;"",Courses!G206&lt;&gt;"",Courses!H206&lt;&gt;""),IF(OR((Courses!F206+Courses!H206)&lt;&gt;1),"Row "&amp;Courses!A206&amp;"; ",""),"")</f>
        <v/>
      </c>
      <c r="W212" s="183" t="str">
        <f>IF(AND($R$9=1,Courses!B206&lt;&gt;"",Courses!I206&lt;&gt;"",Courses!J206&lt;&gt;"",Courses!H206&lt;&gt;"",Courses!G206&lt;&gt;"",Courses!F206&lt;&gt;""),IF(OR((Courses!F206+Courses!H206+Courses!J206)&lt;&gt;1),"Row "&amp;Courses!A206&amp;"; ",""),"")</f>
        <v/>
      </c>
      <c r="Y212" s="1592" t="str">
        <f>IF(AND($R$9=1,Courses!E206&lt;&gt;"",U212="",V212="",W212="",SUM(Courses!F206,Courses!H206,Courses!J206)&lt;&gt;1),"Row "&amp;Courses!A206&amp;"; ","")</f>
        <v/>
      </c>
      <c r="AB212" s="1593" t="str">
        <f>IF(AND($S$9=1,Courses!B206&lt;&gt;"",Courses!E206&lt;&gt;"",Courses!F206&lt;&gt;""),IF((TRUNC(Courses!F206*100)&lt;&gt;Courses!F206*100),"Row "&amp;Courses!A206&amp;", "&amp;Courses!$F$10&amp;"; ",""),"")</f>
        <v/>
      </c>
      <c r="AC212" t="str">
        <f>IF(AND($S$9=1,Courses!B206&lt;&gt;"",Courses!G206&lt;&gt;"",Courses!H206&lt;&gt;""),IF((TRUNC(Courses!H206*100)&lt;&gt;Courses!H206*100),"Row "&amp;Courses!A206&amp;", "&amp;Courses!$H$10&amp;"; ",""),"")</f>
        <v/>
      </c>
      <c r="AD212" s="183" t="str">
        <f>IF(AND($S$9=1,Courses!B206&lt;&gt;"",Courses!I206&lt;&gt;"",Courses!J206&lt;&gt;""),IF((TRUNC(Courses!J206*100)&lt;&gt;Courses!J206*100),"Row "&amp;Courses!A206&amp;", "&amp;Courses!$J$10&amp;"; ",""),"")</f>
        <v/>
      </c>
      <c r="AG212" s="1593" t="str">
        <f>IF(AND($T$9=1,G212="",Courses!B206&lt;&gt;"",Courses!K206&lt;&gt;$B$9,Courses!K206&lt;&gt;$B$10,Courses!K206&lt;&gt;$B$11,Courses!K206&lt;&gt;$B$12,Courses!K206&lt;&gt;$B$13,Courses!K206&lt;&gt;$B$14),"Row "&amp;Courses!A206&amp;"; ","")</f>
        <v/>
      </c>
      <c r="AH212" s="183" t="str">
        <f>IF(AND($U$9=1,G212="",Courses!B206&lt;&gt;"",Courses!L206&lt;&gt;"Standard",Courses!L206&lt;&gt;"Long"),"Row "&amp;Courses!A206&amp;"; ","")</f>
        <v/>
      </c>
      <c r="AK212" s="40">
        <v>193</v>
      </c>
      <c r="AL212" s="1593" t="str">
        <f>IF(AND($V$9=1,(TRUNC(Courses!M206)&lt;&gt;Courses!M206)), "Row "&amp;Courses!$A206&amp;", "&amp;AL$9&amp;", "&amp;AL$10&amp;", "&amp;AL$11&amp;"; ","")</f>
        <v/>
      </c>
      <c r="AM212" t="str">
        <f>IF(AND($V$9=1,(TRUNC(Courses!N206)&lt;&gt;Courses!N206)), "Row "&amp;Courses!$A206&amp;", "&amp;AM$9&amp;", "&amp;AM$10&amp;", "&amp;AM$11&amp;"; ","")</f>
        <v/>
      </c>
      <c r="AN212" t="str">
        <f>IF(AND($V$9=1,(TRUNC(Courses!O206)&lt;&gt;Courses!O206)), "Row "&amp;Courses!$A206&amp;", "&amp;AN$9&amp;", "&amp;AN$10&amp;", "&amp;AN$11&amp;"; ","")</f>
        <v/>
      </c>
      <c r="AO212" t="str">
        <f>IF(AND($V$9=1,(TRUNC(Courses!P206)&lt;&gt;Courses!P206)), "Row "&amp;Courses!$A206&amp;", "&amp;AO$9&amp;", "&amp;AO$10&amp;", "&amp;AO$11&amp;"; ","")</f>
        <v/>
      </c>
      <c r="AP212" s="2120" t="str">
        <f>IF(AND($V$9=1,(TRUNC(Courses!Q206)&lt;&gt;Courses!Q206)), "Row "&amp;Courses!$A206&amp;", "&amp;AP$9&amp;", "&amp;AP$10&amp;"; ","")</f>
        <v/>
      </c>
      <c r="AQ212" s="1593" t="str">
        <f>IF(AND($V$9=1,(TRUNC(Courses!R206)&lt;&gt;Courses!R206)), "Row "&amp;Courses!$A206&amp;", "&amp;AQ$9&amp;", "&amp;AQ$10&amp;", "&amp;AQ$11&amp;"; ","")</f>
        <v/>
      </c>
      <c r="AR212" t="str">
        <f>IF(AND($V$9=1,(TRUNC(Courses!S206)&lt;&gt;Courses!S206)), "Row "&amp;Courses!$A206&amp;", "&amp;AR$9&amp;", "&amp;AR$10&amp;", "&amp;AR$11&amp;"; ","")</f>
        <v/>
      </c>
      <c r="AS212" t="str">
        <f>IF(AND($V$9=1,(TRUNC(Courses!T206)&lt;&gt;Courses!T206)), "Row "&amp;Courses!$A206&amp;", "&amp;AS$9&amp;", "&amp;AS$10&amp;", "&amp;AS$11&amp;"; ","")</f>
        <v/>
      </c>
      <c r="AT212" t="str">
        <f>IF(AND($V$9=1,(TRUNC(Courses!U206)&lt;&gt;Courses!U206)), "Row "&amp;Courses!$A206&amp;", "&amp;AT$9&amp;", "&amp;AT$10&amp;", "&amp;AT$11&amp;"; ","")</f>
        <v/>
      </c>
      <c r="AU212" s="2120" t="str">
        <f>IF(AND($V$9=1,(TRUNC(Courses!V206)&lt;&gt;Courses!V206)), "Row "&amp;Courses!$A206&amp;", "&amp;AU$9&amp;", "&amp;AU$10&amp;"; ","")</f>
        <v/>
      </c>
      <c r="AV212" t="str">
        <f>IF(AND($V$9=1,(TRUNC(Courses!W206)&lt;&gt;Courses!W206)), "Row "&amp;Courses!$A206&amp;", "&amp;AV$9&amp;", "&amp;AV$10&amp;", "&amp;AV$11&amp;"; ","")</f>
        <v/>
      </c>
      <c r="AW212" t="str">
        <f>IF(AND($V$9=1,(TRUNC(Courses!X206)&lt;&gt;Courses!X206)), "Row "&amp;Courses!$A206&amp;", "&amp;AW$9&amp;", "&amp;AW$10&amp;", "&amp;AW$11&amp;"; ","")</f>
        <v/>
      </c>
      <c r="AX212" t="str">
        <f>IF(AND($V$9=1,(TRUNC(Courses!Y206)&lt;&gt;Courses!Y206)), "Row "&amp;Courses!$A206&amp;", "&amp;AX$9&amp;", "&amp;AX$10&amp;", "&amp;AX$11&amp;"; ","")</f>
        <v/>
      </c>
      <c r="AY212" t="str">
        <f>IF(AND($V$9=1,(TRUNC(Courses!Z206)&lt;&gt;Courses!Z206)), "Row "&amp;Courses!$A206&amp;", "&amp;AY$9&amp;", "&amp;AY$10&amp;", "&amp;AY$11&amp;"; ","")</f>
        <v/>
      </c>
      <c r="AZ212" s="2120" t="str">
        <f>IF(AND($V$9=1,(TRUNC(Courses!AA206)&lt;&gt;Courses!AA206)), "Row "&amp;Courses!$A206&amp;", "&amp;AZ$9&amp;", "&amp;AZ$10&amp;"; ","")</f>
        <v/>
      </c>
      <c r="BC212" s="40">
        <v>193</v>
      </c>
      <c r="BD212" s="1593" t="str">
        <f>IF(AND($W$9=1,Courses!M206&lt;0), "Row "&amp;Courses!$A206&amp;", "&amp;BD$9&amp;", "&amp;BD$10&amp;", "&amp;BD$11&amp;"; ","")</f>
        <v/>
      </c>
      <c r="BE212" t="str">
        <f>IF(AND($W$9=1,Courses!N206&lt;0), "Row "&amp;Courses!$A206&amp;", "&amp;BE$9&amp;", "&amp;BE$10&amp;", "&amp;BE$11&amp;"; ","")</f>
        <v/>
      </c>
      <c r="BF212" t="str">
        <f>IF(AND($W$9=1,Courses!O206&lt;0), "Row "&amp;Courses!$A206&amp;", "&amp;BF$9&amp;", "&amp;BF$10&amp;", "&amp;BF$11&amp;"; ","")</f>
        <v/>
      </c>
      <c r="BG212" t="str">
        <f>IF(AND($W$9=1,Courses!P206&lt;0), "Row "&amp;Courses!$A206&amp;", "&amp;BG$9&amp;", "&amp;BG$10&amp;", "&amp;BG$11&amp;"; ","")</f>
        <v/>
      </c>
      <c r="BH212" s="2120" t="str">
        <f>IF(AND($W$9=1,Courses!Q206&lt;0), "Row "&amp;Courses!$A206&amp;", "&amp;BH$9&amp;", "&amp;BH$10&amp;"; ","")</f>
        <v/>
      </c>
      <c r="BI212" s="1593" t="str">
        <f>IF(AND($W$9=1,Courses!R206&lt;0), "Row "&amp;Courses!$A206&amp;", "&amp;BI$9&amp;", "&amp;BI$10&amp;", "&amp;BI$11&amp;"; ","")</f>
        <v/>
      </c>
      <c r="BJ212" t="str">
        <f>IF(AND($W$9=1,Courses!S206&lt;0), "Row "&amp;Courses!$A206&amp;", "&amp;BJ$9&amp;", "&amp;BJ$10&amp;", "&amp;BJ$11&amp;"; ","")</f>
        <v/>
      </c>
      <c r="BK212" t="str">
        <f>IF(AND($W$9=1,Courses!T206&lt;0), "Row "&amp;Courses!$A206&amp;", "&amp;BK$9&amp;", "&amp;BK$10&amp;", "&amp;BK$11&amp;"; ","")</f>
        <v/>
      </c>
      <c r="BL212" t="str">
        <f>IF(AND($W$9=1,Courses!U206&lt;0), "Row "&amp;Courses!$A206&amp;", "&amp;BL$9&amp;", "&amp;BL$10&amp;", "&amp;BL$11&amp;"; ","")</f>
        <v/>
      </c>
      <c r="BM212" s="2120" t="str">
        <f>IF(AND($W$9=1,Courses!V206&lt;0), "Row "&amp;Courses!$A206&amp;", "&amp;BM$9&amp;", "&amp;BM$10&amp;"; ","")</f>
        <v/>
      </c>
      <c r="BN212" t="str">
        <f>IF(AND($W$9=1,Courses!W206&lt;0), "Row "&amp;Courses!$A206&amp;", "&amp;BN$9&amp;", "&amp;BN$10&amp;", "&amp;BN$11&amp;"; ","")</f>
        <v/>
      </c>
      <c r="BO212" t="str">
        <f>IF(AND($W$9=1,Courses!X206&lt;0), "Row "&amp;Courses!$A206&amp;", "&amp;BO$9&amp;", "&amp;BO$10&amp;", "&amp;BO$11&amp;"; ","")</f>
        <v/>
      </c>
      <c r="BP212" t="str">
        <f>IF(AND($W$9=1,Courses!Y206&lt;0), "Row "&amp;Courses!$A206&amp;", "&amp;BP$9&amp;", "&amp;BP$10&amp;", "&amp;BP$11&amp;"; ","")</f>
        <v/>
      </c>
      <c r="BQ212" t="str">
        <f>IF(AND($W$9=1,Courses!Z206&lt;0), "Row "&amp;Courses!$A206&amp;", "&amp;BQ$9&amp;", "&amp;BQ$10&amp;", "&amp;BQ$11&amp;"; ","")</f>
        <v/>
      </c>
      <c r="BR212" s="2120" t="str">
        <f>IF(AND($W$9=1,Courses!AA206&lt;0), "Row "&amp;Courses!$A206&amp;", "&amp;BR$9&amp;", "&amp;BR$10&amp;"; ","")</f>
        <v/>
      </c>
      <c r="BT212" s="3">
        <f t="shared" si="5"/>
        <v>193</v>
      </c>
      <c r="BU212" s="40">
        <f>IF(AND($X$9=1,Courses!B206="",Courses!F206="",Courses!H206="",Courses!J206="",Courses!K206="",Courses!L206="",Courses!M206=0,Courses!N206=0,Courses!O206=0,Courses!P206=0,Courses!Q206=0,Courses!R206=0,Courses!S206=0,Courses!T206=0,Courses!U206=0,Courses!V206=0,Courses!W206=0,Courses!X206=0,Courses!Y206=0,Courses!Z206=0,Courses!AA206=0),0,1)</f>
        <v>0</v>
      </c>
      <c r="BV212" s="40">
        <f>IF(AND(BU212=0,SUM(BU213:$BU$219)&gt;0),1,0)</f>
        <v>0</v>
      </c>
      <c r="BW212" s="1592" t="str">
        <f>IF(BV212=1,"Row "&amp;Courses!A206&amp;"; ","")</f>
        <v/>
      </c>
      <c r="BX212" s="17"/>
      <c r="BZ212" s="1592" t="str">
        <f>IF(AND($Y$9=1,Courses!B206&lt;&gt;"",SUM(Courses!M206:AA206)=0),"Row "&amp;Courses!A206&amp;"; ","")</f>
        <v/>
      </c>
      <c r="CA212" s="17"/>
      <c r="CC212" s="1592" t="str">
        <f>IF(AND($Z$9=1,Courses!AD206=1,(LEN(Courses!AB206)&gt;200)),"Row "&amp;Courses!A206&amp;"; ","")</f>
        <v/>
      </c>
      <c r="CE212" s="131"/>
      <c r="CG212" s="1593" t="str">
        <f>IF(AND($AD$9=1,Courses!E206&lt;&gt;"",Courses!F206&lt;&gt;"",Courses!F206=0,SUM(Courses!H206,Courses!J206)=1),"Row "&amp;Courses!A206&amp;", "&amp;Courses!$F$10&amp;"; ","")</f>
        <v/>
      </c>
      <c r="CH212" t="str">
        <f>IF(AND($AD$9=1,Courses!G206&lt;&gt;"",Courses!H206&lt;&gt;"",Courses!H206=0,SUM(Courses!J206,Courses!F206)=1),"Row "&amp;Courses!A206&amp;", "&amp;Courses!$H$10&amp;"; ","")</f>
        <v/>
      </c>
      <c r="CI212" s="183" t="str">
        <f>IF(AND($AD$9=1,Courses!I206&lt;&gt;"",Courses!J206&lt;&gt;"",Courses!J206=0, SUM(Courses!H206,Courses!F206)=1),"Row "&amp;Courses!A206&amp;", "&amp;Courses!$J$10&amp;"; ","")</f>
        <v/>
      </c>
      <c r="CL212" s="1592" t="str">
        <f>IF(AND(Courses!B206&lt;&gt;"",ISNA(VLOOKUP(Courses!C206,CourseInfo,2,FALSE))=FALSE,COUNTIF(Dummy,Courses!C206)&lt;&gt;1),VLOOKUP(Courses!C206,CourseInfo,6,FALSE),"")</f>
        <v/>
      </c>
      <c r="CM212" s="1592" t="str">
        <f>IF(AND($AE$9=1,Courses!B206&lt;&gt;"",'Courses Valid'!AG212="",COUNTIF(Dummy,Courses!C206)&lt;&gt;1),IF(Courses!K206&lt;&gt;'Courses Valid'!CL212,"Row "&amp;Courses!A206&amp;", Level on LARS is "&amp;'Courses Valid'!CL212&amp;"; ",""),"")</f>
        <v/>
      </c>
      <c r="CN212" s="131"/>
    </row>
    <row r="213" spans="3:92" x14ac:dyDescent="0.35">
      <c r="C213" s="1595">
        <f t="shared" ref="C213:C219" si="6">IF(AND(G213="",H213="",O213="",P213="",Q213="",U213="",V213="",W213="",Y213="",AB213="",AC213="",AD213="",AG213="",AH213="",AL213="",AM213="",AN213="",AO213="",AP213="",AQ213="",AR213="",AS213="",AT213="",AU213="",AV213="",AW213="",AX213="",AY213="",AZ213="",BD213="",BE213="",BF213="",BG213="",BH213="",BI213="",BJ213="",BK213="",BL213="",BM213="",BN213="",BO213="",BP213="",BQ213="",BR213="",BW213="",BZ213=""),0,1)</f>
        <v>0</v>
      </c>
      <c r="G213" s="1592" t="str">
        <f>IF(SUMPRODUCT(--(CourseAims=Courses!$C207))=1,"",IF(AND($N$9=1,Courses!$C207&lt;&gt;""),"Row "&amp;Courses!A207&amp;" (invalid); ",""))</f>
        <v/>
      </c>
      <c r="H213" s="1592" t="str">
        <f>IF(AND($O$9=1,Courses!B207="",OR(Courses!F207&lt;&gt;"",Courses!H207&lt;&gt;"",Courses!J207&lt;&gt;"",Courses!K207&lt;&gt;"",Courses!L207&lt;&gt;"",Courses!M207&lt;&gt;0,Courses!N207&lt;&gt;0,Courses!O207&lt;&gt;0,Courses!P207&lt;&gt;0,Courses!Q207&lt;&gt;0,Courses!R207&lt;&gt;0,Courses!S207&lt;&gt;0,Courses!T207&lt;&gt;0,Courses!U207&lt;&gt;0,Courses!V207&lt;&gt;0,Courses!W207&lt;&gt;0,Courses!X207&lt;&gt;0,Courses!Y207&lt;&gt;0,Courses!Z207&lt;&gt;0,Courses!AA207&lt;&gt;0)),"Row "&amp;Courses!A207&amp;" (none); ","")</f>
        <v/>
      </c>
      <c r="K213" s="1592" t="str">
        <f>Courses!B207&amp;Courses!K207&amp;Courses!L207</f>
        <v/>
      </c>
      <c r="L213" s="1592" t="str">
        <f>IF(AND($P$9=1,Courses!$B207&lt;&gt;"",COUNTIF(Dummy,Courses!$C207)&lt;&gt;1),IF(SUMPRODUCT(--($K$20:$K$219=$K213))&gt;1,"Row "&amp;Courses!$A207&amp;"; ",""),"")</f>
        <v/>
      </c>
      <c r="O213" s="1593" t="str">
        <f>IF(AND($Q$9=1,Courses!E207&lt;&gt;"",Courses!F207=""),"Row "&amp;Courses!A207&amp;", "&amp;Courses!$E$10&amp;"; ","")</f>
        <v/>
      </c>
      <c r="P213" t="str">
        <f>IF(AND($Q$9=1,Courses!G207&lt;&gt;"",Courses!H207=""),"Row "&amp;Courses!A207&amp;", "&amp;Courses!$G$10&amp;"; ","")</f>
        <v/>
      </c>
      <c r="Q213" s="183" t="str">
        <f>IF(AND($Q$9=1,Courses!I207&lt;&gt;"",Courses!J207=""),"Row "&amp;Courses!A207&amp;", "&amp;Courses!$I$10&amp;"; ","")</f>
        <v/>
      </c>
      <c r="U213" s="1593" t="str">
        <f>IF(AND($R$9=1,Courses!B207&lt;&gt;"",Courses!E207&lt;&gt;"",Courses!G207="",Courses!I207="",Courses!F207&lt;&gt;1),"Row "&amp;Courses!A207&amp;"; ","")</f>
        <v/>
      </c>
      <c r="V213" t="str">
        <f>IF(AND($R$9=1,Courses!B207&lt;&gt;"",Courses!I207="",Courses!F207&lt;&gt;"",Courses!G207&lt;&gt;"",Courses!H207&lt;&gt;""),IF(OR((Courses!F207+Courses!H207)&lt;&gt;1),"Row "&amp;Courses!A207&amp;"; ",""),"")</f>
        <v/>
      </c>
      <c r="W213" s="183" t="str">
        <f>IF(AND($R$9=1,Courses!B207&lt;&gt;"",Courses!I207&lt;&gt;"",Courses!J207&lt;&gt;"",Courses!H207&lt;&gt;"",Courses!G207&lt;&gt;"",Courses!F207&lt;&gt;""),IF(OR((Courses!F207+Courses!H207+Courses!J207)&lt;&gt;1),"Row "&amp;Courses!A207&amp;"; ",""),"")</f>
        <v/>
      </c>
      <c r="Y213" s="1592" t="str">
        <f>IF(AND($R$9=1,Courses!E207&lt;&gt;"",U213="",V213="",W213="",SUM(Courses!F207,Courses!H207,Courses!J207)&lt;&gt;1),"Row "&amp;Courses!A207&amp;"; ","")</f>
        <v/>
      </c>
      <c r="AB213" s="1593" t="str">
        <f>IF(AND($S$9=1,Courses!B207&lt;&gt;"",Courses!E207&lt;&gt;"",Courses!F207&lt;&gt;""),IF((TRUNC(Courses!F207*100)&lt;&gt;Courses!F207*100),"Row "&amp;Courses!A207&amp;", "&amp;Courses!$F$10&amp;"; ",""),"")</f>
        <v/>
      </c>
      <c r="AC213" t="str">
        <f>IF(AND($S$9=1,Courses!B207&lt;&gt;"",Courses!G207&lt;&gt;"",Courses!H207&lt;&gt;""),IF((TRUNC(Courses!H207*100)&lt;&gt;Courses!H207*100),"Row "&amp;Courses!A207&amp;", "&amp;Courses!$H$10&amp;"; ",""),"")</f>
        <v/>
      </c>
      <c r="AD213" s="183" t="str">
        <f>IF(AND($S$9=1,Courses!B207&lt;&gt;"",Courses!I207&lt;&gt;"",Courses!J207&lt;&gt;""),IF((TRUNC(Courses!J207*100)&lt;&gt;Courses!J207*100),"Row "&amp;Courses!A207&amp;", "&amp;Courses!$J$10&amp;"; ",""),"")</f>
        <v/>
      </c>
      <c r="AG213" s="1593" t="str">
        <f>IF(AND($T$9=1,G213="",Courses!B207&lt;&gt;"",Courses!K207&lt;&gt;$B$9,Courses!K207&lt;&gt;$B$10,Courses!K207&lt;&gt;$B$11,Courses!K207&lt;&gt;$B$12,Courses!K207&lt;&gt;$B$13,Courses!K207&lt;&gt;$B$14),"Row "&amp;Courses!A207&amp;"; ","")</f>
        <v/>
      </c>
      <c r="AH213" s="183" t="str">
        <f>IF(AND($U$9=1,G213="",Courses!B207&lt;&gt;"",Courses!L207&lt;&gt;"Standard",Courses!L207&lt;&gt;"Long"),"Row "&amp;Courses!A207&amp;"; ","")</f>
        <v/>
      </c>
      <c r="AK213" s="40">
        <v>194</v>
      </c>
      <c r="AL213" s="1593" t="str">
        <f>IF(AND($V$9=1,(TRUNC(Courses!M207)&lt;&gt;Courses!M207)), "Row "&amp;Courses!$A207&amp;", "&amp;AL$9&amp;", "&amp;AL$10&amp;", "&amp;AL$11&amp;"; ","")</f>
        <v/>
      </c>
      <c r="AM213" t="str">
        <f>IF(AND($V$9=1,(TRUNC(Courses!N207)&lt;&gt;Courses!N207)), "Row "&amp;Courses!$A207&amp;", "&amp;AM$9&amp;", "&amp;AM$10&amp;", "&amp;AM$11&amp;"; ","")</f>
        <v/>
      </c>
      <c r="AN213" t="str">
        <f>IF(AND($V$9=1,(TRUNC(Courses!O207)&lt;&gt;Courses!O207)), "Row "&amp;Courses!$A207&amp;", "&amp;AN$9&amp;", "&amp;AN$10&amp;", "&amp;AN$11&amp;"; ","")</f>
        <v/>
      </c>
      <c r="AO213" t="str">
        <f>IF(AND($V$9=1,(TRUNC(Courses!P207)&lt;&gt;Courses!P207)), "Row "&amp;Courses!$A207&amp;", "&amp;AO$9&amp;", "&amp;AO$10&amp;", "&amp;AO$11&amp;"; ","")</f>
        <v/>
      </c>
      <c r="AP213" s="2120" t="str">
        <f>IF(AND($V$9=1,(TRUNC(Courses!Q207)&lt;&gt;Courses!Q207)), "Row "&amp;Courses!$A207&amp;", "&amp;AP$9&amp;", "&amp;AP$10&amp;"; ","")</f>
        <v/>
      </c>
      <c r="AQ213" s="1593" t="str">
        <f>IF(AND($V$9=1,(TRUNC(Courses!R207)&lt;&gt;Courses!R207)), "Row "&amp;Courses!$A207&amp;", "&amp;AQ$9&amp;", "&amp;AQ$10&amp;", "&amp;AQ$11&amp;"; ","")</f>
        <v/>
      </c>
      <c r="AR213" t="str">
        <f>IF(AND($V$9=1,(TRUNC(Courses!S207)&lt;&gt;Courses!S207)), "Row "&amp;Courses!$A207&amp;", "&amp;AR$9&amp;", "&amp;AR$10&amp;", "&amp;AR$11&amp;"; ","")</f>
        <v/>
      </c>
      <c r="AS213" t="str">
        <f>IF(AND($V$9=1,(TRUNC(Courses!T207)&lt;&gt;Courses!T207)), "Row "&amp;Courses!$A207&amp;", "&amp;AS$9&amp;", "&amp;AS$10&amp;", "&amp;AS$11&amp;"; ","")</f>
        <v/>
      </c>
      <c r="AT213" t="str">
        <f>IF(AND($V$9=1,(TRUNC(Courses!U207)&lt;&gt;Courses!U207)), "Row "&amp;Courses!$A207&amp;", "&amp;AT$9&amp;", "&amp;AT$10&amp;", "&amp;AT$11&amp;"; ","")</f>
        <v/>
      </c>
      <c r="AU213" s="2120" t="str">
        <f>IF(AND($V$9=1,(TRUNC(Courses!V207)&lt;&gt;Courses!V207)), "Row "&amp;Courses!$A207&amp;", "&amp;AU$9&amp;", "&amp;AU$10&amp;"; ","")</f>
        <v/>
      </c>
      <c r="AV213" t="str">
        <f>IF(AND($V$9=1,(TRUNC(Courses!W207)&lt;&gt;Courses!W207)), "Row "&amp;Courses!$A207&amp;", "&amp;AV$9&amp;", "&amp;AV$10&amp;", "&amp;AV$11&amp;"; ","")</f>
        <v/>
      </c>
      <c r="AW213" t="str">
        <f>IF(AND($V$9=1,(TRUNC(Courses!X207)&lt;&gt;Courses!X207)), "Row "&amp;Courses!$A207&amp;", "&amp;AW$9&amp;", "&amp;AW$10&amp;", "&amp;AW$11&amp;"; ","")</f>
        <v/>
      </c>
      <c r="AX213" t="str">
        <f>IF(AND($V$9=1,(TRUNC(Courses!Y207)&lt;&gt;Courses!Y207)), "Row "&amp;Courses!$A207&amp;", "&amp;AX$9&amp;", "&amp;AX$10&amp;", "&amp;AX$11&amp;"; ","")</f>
        <v/>
      </c>
      <c r="AY213" t="str">
        <f>IF(AND($V$9=1,(TRUNC(Courses!Z207)&lt;&gt;Courses!Z207)), "Row "&amp;Courses!$A207&amp;", "&amp;AY$9&amp;", "&amp;AY$10&amp;", "&amp;AY$11&amp;"; ","")</f>
        <v/>
      </c>
      <c r="AZ213" s="2120" t="str">
        <f>IF(AND($V$9=1,(TRUNC(Courses!AA207)&lt;&gt;Courses!AA207)), "Row "&amp;Courses!$A207&amp;", "&amp;AZ$9&amp;", "&amp;AZ$10&amp;"; ","")</f>
        <v/>
      </c>
      <c r="BC213" s="40">
        <v>194</v>
      </c>
      <c r="BD213" s="1593" t="str">
        <f>IF(AND($W$9=1,Courses!M207&lt;0), "Row "&amp;Courses!$A207&amp;", "&amp;BD$9&amp;", "&amp;BD$10&amp;", "&amp;BD$11&amp;"; ","")</f>
        <v/>
      </c>
      <c r="BE213" t="str">
        <f>IF(AND($W$9=1,Courses!N207&lt;0), "Row "&amp;Courses!$A207&amp;", "&amp;BE$9&amp;", "&amp;BE$10&amp;", "&amp;BE$11&amp;"; ","")</f>
        <v/>
      </c>
      <c r="BF213" t="str">
        <f>IF(AND($W$9=1,Courses!O207&lt;0), "Row "&amp;Courses!$A207&amp;", "&amp;BF$9&amp;", "&amp;BF$10&amp;", "&amp;BF$11&amp;"; ","")</f>
        <v/>
      </c>
      <c r="BG213" t="str">
        <f>IF(AND($W$9=1,Courses!P207&lt;0), "Row "&amp;Courses!$A207&amp;", "&amp;BG$9&amp;", "&amp;BG$10&amp;", "&amp;BG$11&amp;"; ","")</f>
        <v/>
      </c>
      <c r="BH213" s="2120" t="str">
        <f>IF(AND($W$9=1,Courses!Q207&lt;0), "Row "&amp;Courses!$A207&amp;", "&amp;BH$9&amp;", "&amp;BH$10&amp;"; ","")</f>
        <v/>
      </c>
      <c r="BI213" s="1593" t="str">
        <f>IF(AND($W$9=1,Courses!R207&lt;0), "Row "&amp;Courses!$A207&amp;", "&amp;BI$9&amp;", "&amp;BI$10&amp;", "&amp;BI$11&amp;"; ","")</f>
        <v/>
      </c>
      <c r="BJ213" t="str">
        <f>IF(AND($W$9=1,Courses!S207&lt;0), "Row "&amp;Courses!$A207&amp;", "&amp;BJ$9&amp;", "&amp;BJ$10&amp;", "&amp;BJ$11&amp;"; ","")</f>
        <v/>
      </c>
      <c r="BK213" t="str">
        <f>IF(AND($W$9=1,Courses!T207&lt;0), "Row "&amp;Courses!$A207&amp;", "&amp;BK$9&amp;", "&amp;BK$10&amp;", "&amp;BK$11&amp;"; ","")</f>
        <v/>
      </c>
      <c r="BL213" t="str">
        <f>IF(AND($W$9=1,Courses!U207&lt;0), "Row "&amp;Courses!$A207&amp;", "&amp;BL$9&amp;", "&amp;BL$10&amp;", "&amp;BL$11&amp;"; ","")</f>
        <v/>
      </c>
      <c r="BM213" s="2120" t="str">
        <f>IF(AND($W$9=1,Courses!V207&lt;0), "Row "&amp;Courses!$A207&amp;", "&amp;BM$9&amp;", "&amp;BM$10&amp;"; ","")</f>
        <v/>
      </c>
      <c r="BN213" t="str">
        <f>IF(AND($W$9=1,Courses!W207&lt;0), "Row "&amp;Courses!$A207&amp;", "&amp;BN$9&amp;", "&amp;BN$10&amp;", "&amp;BN$11&amp;"; ","")</f>
        <v/>
      </c>
      <c r="BO213" t="str">
        <f>IF(AND($W$9=1,Courses!X207&lt;0), "Row "&amp;Courses!$A207&amp;", "&amp;BO$9&amp;", "&amp;BO$10&amp;", "&amp;BO$11&amp;"; ","")</f>
        <v/>
      </c>
      <c r="BP213" t="str">
        <f>IF(AND($W$9=1,Courses!Y207&lt;0), "Row "&amp;Courses!$A207&amp;", "&amp;BP$9&amp;", "&amp;BP$10&amp;", "&amp;BP$11&amp;"; ","")</f>
        <v/>
      </c>
      <c r="BQ213" t="str">
        <f>IF(AND($W$9=1,Courses!Z207&lt;0), "Row "&amp;Courses!$A207&amp;", "&amp;BQ$9&amp;", "&amp;BQ$10&amp;", "&amp;BQ$11&amp;"; ","")</f>
        <v/>
      </c>
      <c r="BR213" s="2120" t="str">
        <f>IF(AND($W$9=1,Courses!AA207&lt;0), "Row "&amp;Courses!$A207&amp;", "&amp;BR$9&amp;", "&amp;BR$10&amp;"; ","")</f>
        <v/>
      </c>
      <c r="BT213" s="3">
        <f t="shared" si="5"/>
        <v>194</v>
      </c>
      <c r="BU213" s="40">
        <f>IF(AND($X$9=1,Courses!B207="",Courses!F207="",Courses!H207="",Courses!J207="",Courses!K207="",Courses!L207="",Courses!M207=0,Courses!N207=0,Courses!O207=0,Courses!P207=0,Courses!Q207=0,Courses!R207=0,Courses!S207=0,Courses!T207=0,Courses!U207=0,Courses!V207=0,Courses!W207=0,Courses!X207=0,Courses!Y207=0,Courses!Z207=0,Courses!AA207=0),0,1)</f>
        <v>0</v>
      </c>
      <c r="BV213" s="40">
        <f>IF(AND(BU213=0,SUM(BU214:$BU$219)&gt;0),1,0)</f>
        <v>0</v>
      </c>
      <c r="BW213" s="1592" t="str">
        <f>IF(BV213=1,"Row "&amp;Courses!A207&amp;"; ","")</f>
        <v/>
      </c>
      <c r="BX213" s="17"/>
      <c r="BZ213" s="1592" t="str">
        <f>IF(AND($Y$9=1,Courses!B207&lt;&gt;"",SUM(Courses!M207:AA207)=0),"Row "&amp;Courses!A207&amp;"; ","")</f>
        <v/>
      </c>
      <c r="CA213" s="17"/>
      <c r="CC213" s="1592" t="str">
        <f>IF(AND($Z$9=1,Courses!AD207=1,(LEN(Courses!AB207)&gt;200)),"Row "&amp;Courses!A207&amp;"; ","")</f>
        <v/>
      </c>
      <c r="CE213" s="131"/>
      <c r="CG213" s="1593" t="str">
        <f>IF(AND($AD$9=1,Courses!E207&lt;&gt;"",Courses!F207&lt;&gt;"",Courses!F207=0,SUM(Courses!H207,Courses!J207)=1),"Row "&amp;Courses!A207&amp;", "&amp;Courses!$F$10&amp;"; ","")</f>
        <v/>
      </c>
      <c r="CH213" t="str">
        <f>IF(AND($AD$9=1,Courses!G207&lt;&gt;"",Courses!H207&lt;&gt;"",Courses!H207=0,SUM(Courses!J207,Courses!F207)=1),"Row "&amp;Courses!A207&amp;", "&amp;Courses!$H$10&amp;"; ","")</f>
        <v/>
      </c>
      <c r="CI213" s="183" t="str">
        <f>IF(AND($AD$9=1,Courses!I207&lt;&gt;"",Courses!J207&lt;&gt;"",Courses!J207=0, SUM(Courses!H207,Courses!F207)=1),"Row "&amp;Courses!A207&amp;", "&amp;Courses!$J$10&amp;"; ","")</f>
        <v/>
      </c>
      <c r="CL213" s="1592" t="str">
        <f>IF(AND(Courses!B207&lt;&gt;"",ISNA(VLOOKUP(Courses!C207,CourseInfo,2,FALSE))=FALSE,COUNTIF(Dummy,Courses!C207)&lt;&gt;1),VLOOKUP(Courses!C207,CourseInfo,6,FALSE),"")</f>
        <v/>
      </c>
      <c r="CM213" s="1592" t="str">
        <f>IF(AND($AE$9=1,Courses!B207&lt;&gt;"",'Courses Valid'!AG213="",COUNTIF(Dummy,Courses!C207)&lt;&gt;1),IF(Courses!K207&lt;&gt;'Courses Valid'!CL213,"Row "&amp;Courses!A207&amp;", Level on LARS is "&amp;'Courses Valid'!CL213&amp;"; ",""),"")</f>
        <v/>
      </c>
      <c r="CN213" s="131"/>
    </row>
    <row r="214" spans="3:92" x14ac:dyDescent="0.35">
      <c r="C214" s="1595">
        <f t="shared" si="6"/>
        <v>0</v>
      </c>
      <c r="G214" s="1592" t="str">
        <f>IF(SUMPRODUCT(--(CourseAims=Courses!$C208))=1,"",IF(AND($N$9=1,Courses!$C208&lt;&gt;""),"Row "&amp;Courses!A208&amp;" (invalid); ",""))</f>
        <v/>
      </c>
      <c r="H214" s="1592" t="str">
        <f>IF(AND($O$9=1,Courses!B208="",OR(Courses!F208&lt;&gt;"",Courses!H208&lt;&gt;"",Courses!J208&lt;&gt;"",Courses!K208&lt;&gt;"",Courses!L208&lt;&gt;"",Courses!M208&lt;&gt;0,Courses!N208&lt;&gt;0,Courses!O208&lt;&gt;0,Courses!P208&lt;&gt;0,Courses!Q208&lt;&gt;0,Courses!R208&lt;&gt;0,Courses!S208&lt;&gt;0,Courses!T208&lt;&gt;0,Courses!U208&lt;&gt;0,Courses!V208&lt;&gt;0,Courses!W208&lt;&gt;0,Courses!X208&lt;&gt;0,Courses!Y208&lt;&gt;0,Courses!Z208&lt;&gt;0,Courses!AA208&lt;&gt;0)),"Row "&amp;Courses!A208&amp;" (none); ","")</f>
        <v/>
      </c>
      <c r="K214" s="1592" t="str">
        <f>Courses!B208&amp;Courses!K208&amp;Courses!L208</f>
        <v/>
      </c>
      <c r="L214" s="1592" t="str">
        <f>IF(AND($P$9=1,Courses!$B208&lt;&gt;"",COUNTIF(Dummy,Courses!$C208)&lt;&gt;1),IF(SUMPRODUCT(--($K$20:$K$219=$K214))&gt;1,"Row "&amp;Courses!$A208&amp;"; ",""),"")</f>
        <v/>
      </c>
      <c r="O214" s="1593" t="str">
        <f>IF(AND($Q$9=1,Courses!E208&lt;&gt;"",Courses!F208=""),"Row "&amp;Courses!A208&amp;", "&amp;Courses!$E$10&amp;"; ","")</f>
        <v/>
      </c>
      <c r="P214" t="str">
        <f>IF(AND($Q$9=1,Courses!G208&lt;&gt;"",Courses!H208=""),"Row "&amp;Courses!A208&amp;", "&amp;Courses!$G$10&amp;"; ","")</f>
        <v/>
      </c>
      <c r="Q214" s="183" t="str">
        <f>IF(AND($Q$9=1,Courses!I208&lt;&gt;"",Courses!J208=""),"Row "&amp;Courses!A208&amp;", "&amp;Courses!$I$10&amp;"; ","")</f>
        <v/>
      </c>
      <c r="U214" s="1593" t="str">
        <f>IF(AND($R$9=1,Courses!B208&lt;&gt;"",Courses!E208&lt;&gt;"",Courses!G208="",Courses!I208="",Courses!F208&lt;&gt;1),"Row "&amp;Courses!A208&amp;"; ","")</f>
        <v/>
      </c>
      <c r="V214" t="str">
        <f>IF(AND($R$9=1,Courses!B208&lt;&gt;"",Courses!I208="",Courses!F208&lt;&gt;"",Courses!G208&lt;&gt;"",Courses!H208&lt;&gt;""),IF(OR((Courses!F208+Courses!H208)&lt;&gt;1),"Row "&amp;Courses!A208&amp;"; ",""),"")</f>
        <v/>
      </c>
      <c r="W214" s="183" t="str">
        <f>IF(AND($R$9=1,Courses!B208&lt;&gt;"",Courses!I208&lt;&gt;"",Courses!J208&lt;&gt;"",Courses!H208&lt;&gt;"",Courses!G208&lt;&gt;"",Courses!F208&lt;&gt;""),IF(OR((Courses!F208+Courses!H208+Courses!J208)&lt;&gt;1),"Row "&amp;Courses!A208&amp;"; ",""),"")</f>
        <v/>
      </c>
      <c r="Y214" s="1592" t="str">
        <f>IF(AND($R$9=1,Courses!E208&lt;&gt;"",U214="",V214="",W214="",SUM(Courses!F208,Courses!H208,Courses!J208)&lt;&gt;1),"Row "&amp;Courses!A208&amp;"; ","")</f>
        <v/>
      </c>
      <c r="AB214" s="1593" t="str">
        <f>IF(AND($S$9=1,Courses!B208&lt;&gt;"",Courses!E208&lt;&gt;"",Courses!F208&lt;&gt;""),IF((TRUNC(Courses!F208*100)&lt;&gt;Courses!F208*100),"Row "&amp;Courses!A208&amp;", "&amp;Courses!$F$10&amp;"; ",""),"")</f>
        <v/>
      </c>
      <c r="AC214" t="str">
        <f>IF(AND($S$9=1,Courses!B208&lt;&gt;"",Courses!G208&lt;&gt;"",Courses!H208&lt;&gt;""),IF((TRUNC(Courses!H208*100)&lt;&gt;Courses!H208*100),"Row "&amp;Courses!A208&amp;", "&amp;Courses!$H$10&amp;"; ",""),"")</f>
        <v/>
      </c>
      <c r="AD214" s="183" t="str">
        <f>IF(AND($S$9=1,Courses!B208&lt;&gt;"",Courses!I208&lt;&gt;"",Courses!J208&lt;&gt;""),IF((TRUNC(Courses!J208*100)&lt;&gt;Courses!J208*100),"Row "&amp;Courses!A208&amp;", "&amp;Courses!$J$10&amp;"; ",""),"")</f>
        <v/>
      </c>
      <c r="AG214" s="1593" t="str">
        <f>IF(AND($T$9=1,G214="",Courses!B208&lt;&gt;"",Courses!K208&lt;&gt;$B$9,Courses!K208&lt;&gt;$B$10,Courses!K208&lt;&gt;$B$11,Courses!K208&lt;&gt;$B$12,Courses!K208&lt;&gt;$B$13,Courses!K208&lt;&gt;$B$14),"Row "&amp;Courses!A208&amp;"; ","")</f>
        <v/>
      </c>
      <c r="AH214" s="183" t="str">
        <f>IF(AND($U$9=1,G214="",Courses!B208&lt;&gt;"",Courses!L208&lt;&gt;"Standard",Courses!L208&lt;&gt;"Long"),"Row "&amp;Courses!A208&amp;"; ","")</f>
        <v/>
      </c>
      <c r="AK214" s="40">
        <v>195</v>
      </c>
      <c r="AL214" s="1593" t="str">
        <f>IF(AND($V$9=1,(TRUNC(Courses!M208)&lt;&gt;Courses!M208)), "Row "&amp;Courses!$A208&amp;", "&amp;AL$9&amp;", "&amp;AL$10&amp;", "&amp;AL$11&amp;"; ","")</f>
        <v/>
      </c>
      <c r="AM214" t="str">
        <f>IF(AND($V$9=1,(TRUNC(Courses!N208)&lt;&gt;Courses!N208)), "Row "&amp;Courses!$A208&amp;", "&amp;AM$9&amp;", "&amp;AM$10&amp;", "&amp;AM$11&amp;"; ","")</f>
        <v/>
      </c>
      <c r="AN214" t="str">
        <f>IF(AND($V$9=1,(TRUNC(Courses!O208)&lt;&gt;Courses!O208)), "Row "&amp;Courses!$A208&amp;", "&amp;AN$9&amp;", "&amp;AN$10&amp;", "&amp;AN$11&amp;"; ","")</f>
        <v/>
      </c>
      <c r="AO214" t="str">
        <f>IF(AND($V$9=1,(TRUNC(Courses!P208)&lt;&gt;Courses!P208)), "Row "&amp;Courses!$A208&amp;", "&amp;AO$9&amp;", "&amp;AO$10&amp;", "&amp;AO$11&amp;"; ","")</f>
        <v/>
      </c>
      <c r="AP214" s="2120" t="str">
        <f>IF(AND($V$9=1,(TRUNC(Courses!Q208)&lt;&gt;Courses!Q208)), "Row "&amp;Courses!$A208&amp;", "&amp;AP$9&amp;", "&amp;AP$10&amp;"; ","")</f>
        <v/>
      </c>
      <c r="AQ214" s="1593" t="str">
        <f>IF(AND($V$9=1,(TRUNC(Courses!R208)&lt;&gt;Courses!R208)), "Row "&amp;Courses!$A208&amp;", "&amp;AQ$9&amp;", "&amp;AQ$10&amp;", "&amp;AQ$11&amp;"; ","")</f>
        <v/>
      </c>
      <c r="AR214" t="str">
        <f>IF(AND($V$9=1,(TRUNC(Courses!S208)&lt;&gt;Courses!S208)), "Row "&amp;Courses!$A208&amp;", "&amp;AR$9&amp;", "&amp;AR$10&amp;", "&amp;AR$11&amp;"; ","")</f>
        <v/>
      </c>
      <c r="AS214" t="str">
        <f>IF(AND($V$9=1,(TRUNC(Courses!T208)&lt;&gt;Courses!T208)), "Row "&amp;Courses!$A208&amp;", "&amp;AS$9&amp;", "&amp;AS$10&amp;", "&amp;AS$11&amp;"; ","")</f>
        <v/>
      </c>
      <c r="AT214" t="str">
        <f>IF(AND($V$9=1,(TRUNC(Courses!U208)&lt;&gt;Courses!U208)), "Row "&amp;Courses!$A208&amp;", "&amp;AT$9&amp;", "&amp;AT$10&amp;", "&amp;AT$11&amp;"; ","")</f>
        <v/>
      </c>
      <c r="AU214" s="2120" t="str">
        <f>IF(AND($V$9=1,(TRUNC(Courses!V208)&lt;&gt;Courses!V208)), "Row "&amp;Courses!$A208&amp;", "&amp;AU$9&amp;", "&amp;AU$10&amp;"; ","")</f>
        <v/>
      </c>
      <c r="AV214" t="str">
        <f>IF(AND($V$9=1,(TRUNC(Courses!W208)&lt;&gt;Courses!W208)), "Row "&amp;Courses!$A208&amp;", "&amp;AV$9&amp;", "&amp;AV$10&amp;", "&amp;AV$11&amp;"; ","")</f>
        <v/>
      </c>
      <c r="AW214" t="str">
        <f>IF(AND($V$9=1,(TRUNC(Courses!X208)&lt;&gt;Courses!X208)), "Row "&amp;Courses!$A208&amp;", "&amp;AW$9&amp;", "&amp;AW$10&amp;", "&amp;AW$11&amp;"; ","")</f>
        <v/>
      </c>
      <c r="AX214" t="str">
        <f>IF(AND($V$9=1,(TRUNC(Courses!Y208)&lt;&gt;Courses!Y208)), "Row "&amp;Courses!$A208&amp;", "&amp;AX$9&amp;", "&amp;AX$10&amp;", "&amp;AX$11&amp;"; ","")</f>
        <v/>
      </c>
      <c r="AY214" t="str">
        <f>IF(AND($V$9=1,(TRUNC(Courses!Z208)&lt;&gt;Courses!Z208)), "Row "&amp;Courses!$A208&amp;", "&amp;AY$9&amp;", "&amp;AY$10&amp;", "&amp;AY$11&amp;"; ","")</f>
        <v/>
      </c>
      <c r="AZ214" s="2120" t="str">
        <f>IF(AND($V$9=1,(TRUNC(Courses!AA208)&lt;&gt;Courses!AA208)), "Row "&amp;Courses!$A208&amp;", "&amp;AZ$9&amp;", "&amp;AZ$10&amp;"; ","")</f>
        <v/>
      </c>
      <c r="BC214" s="40">
        <v>195</v>
      </c>
      <c r="BD214" s="1593" t="str">
        <f>IF(AND($W$9=1,Courses!M208&lt;0), "Row "&amp;Courses!$A208&amp;", "&amp;BD$9&amp;", "&amp;BD$10&amp;", "&amp;BD$11&amp;"; ","")</f>
        <v/>
      </c>
      <c r="BE214" t="str">
        <f>IF(AND($W$9=1,Courses!N208&lt;0), "Row "&amp;Courses!$A208&amp;", "&amp;BE$9&amp;", "&amp;BE$10&amp;", "&amp;BE$11&amp;"; ","")</f>
        <v/>
      </c>
      <c r="BF214" t="str">
        <f>IF(AND($W$9=1,Courses!O208&lt;0), "Row "&amp;Courses!$A208&amp;", "&amp;BF$9&amp;", "&amp;BF$10&amp;", "&amp;BF$11&amp;"; ","")</f>
        <v/>
      </c>
      <c r="BG214" t="str">
        <f>IF(AND($W$9=1,Courses!P208&lt;0), "Row "&amp;Courses!$A208&amp;", "&amp;BG$9&amp;", "&amp;BG$10&amp;", "&amp;BG$11&amp;"; ","")</f>
        <v/>
      </c>
      <c r="BH214" s="2120" t="str">
        <f>IF(AND($W$9=1,Courses!Q208&lt;0), "Row "&amp;Courses!$A208&amp;", "&amp;BH$9&amp;", "&amp;BH$10&amp;"; ","")</f>
        <v/>
      </c>
      <c r="BI214" s="1593" t="str">
        <f>IF(AND($W$9=1,Courses!R208&lt;0), "Row "&amp;Courses!$A208&amp;", "&amp;BI$9&amp;", "&amp;BI$10&amp;", "&amp;BI$11&amp;"; ","")</f>
        <v/>
      </c>
      <c r="BJ214" t="str">
        <f>IF(AND($W$9=1,Courses!S208&lt;0), "Row "&amp;Courses!$A208&amp;", "&amp;BJ$9&amp;", "&amp;BJ$10&amp;", "&amp;BJ$11&amp;"; ","")</f>
        <v/>
      </c>
      <c r="BK214" t="str">
        <f>IF(AND($W$9=1,Courses!T208&lt;0), "Row "&amp;Courses!$A208&amp;", "&amp;BK$9&amp;", "&amp;BK$10&amp;", "&amp;BK$11&amp;"; ","")</f>
        <v/>
      </c>
      <c r="BL214" t="str">
        <f>IF(AND($W$9=1,Courses!U208&lt;0), "Row "&amp;Courses!$A208&amp;", "&amp;BL$9&amp;", "&amp;BL$10&amp;", "&amp;BL$11&amp;"; ","")</f>
        <v/>
      </c>
      <c r="BM214" s="2120" t="str">
        <f>IF(AND($W$9=1,Courses!V208&lt;0), "Row "&amp;Courses!$A208&amp;", "&amp;BM$9&amp;", "&amp;BM$10&amp;"; ","")</f>
        <v/>
      </c>
      <c r="BN214" t="str">
        <f>IF(AND($W$9=1,Courses!W208&lt;0), "Row "&amp;Courses!$A208&amp;", "&amp;BN$9&amp;", "&amp;BN$10&amp;", "&amp;BN$11&amp;"; ","")</f>
        <v/>
      </c>
      <c r="BO214" t="str">
        <f>IF(AND($W$9=1,Courses!X208&lt;0), "Row "&amp;Courses!$A208&amp;", "&amp;BO$9&amp;", "&amp;BO$10&amp;", "&amp;BO$11&amp;"; ","")</f>
        <v/>
      </c>
      <c r="BP214" t="str">
        <f>IF(AND($W$9=1,Courses!Y208&lt;0), "Row "&amp;Courses!$A208&amp;", "&amp;BP$9&amp;", "&amp;BP$10&amp;", "&amp;BP$11&amp;"; ","")</f>
        <v/>
      </c>
      <c r="BQ214" t="str">
        <f>IF(AND($W$9=1,Courses!Z208&lt;0), "Row "&amp;Courses!$A208&amp;", "&amp;BQ$9&amp;", "&amp;BQ$10&amp;", "&amp;BQ$11&amp;"; ","")</f>
        <v/>
      </c>
      <c r="BR214" s="2120" t="str">
        <f>IF(AND($W$9=1,Courses!AA208&lt;0), "Row "&amp;Courses!$A208&amp;", "&amp;BR$9&amp;", "&amp;BR$10&amp;"; ","")</f>
        <v/>
      </c>
      <c r="BT214" s="3">
        <f t="shared" si="5"/>
        <v>195</v>
      </c>
      <c r="BU214" s="40">
        <f>IF(AND($X$9=1,Courses!B208="",Courses!F208="",Courses!H208="",Courses!J208="",Courses!K208="",Courses!L208="",Courses!M208=0,Courses!N208=0,Courses!O208=0,Courses!P208=0,Courses!Q208=0,Courses!R208=0,Courses!S208=0,Courses!T208=0,Courses!U208=0,Courses!V208=0,Courses!W208=0,Courses!X208=0,Courses!Y208=0,Courses!Z208=0,Courses!AA208=0),0,1)</f>
        <v>0</v>
      </c>
      <c r="BV214" s="40">
        <f>IF(AND(BU214=0,SUM(BU215:$BU$219)&gt;0),1,0)</f>
        <v>0</v>
      </c>
      <c r="BW214" s="1592" t="str">
        <f>IF(BV214=1,"Row "&amp;Courses!A208&amp;"; ","")</f>
        <v/>
      </c>
      <c r="BX214" s="17"/>
      <c r="BZ214" s="1592" t="str">
        <f>IF(AND($Y$9=1,Courses!B208&lt;&gt;"",SUM(Courses!M208:AA208)=0),"Row "&amp;Courses!A208&amp;"; ","")</f>
        <v/>
      </c>
      <c r="CA214" s="17"/>
      <c r="CC214" s="1592" t="str">
        <f>IF(AND($Z$9=1,Courses!AD208=1,(LEN(Courses!AB208)&gt;200)),"Row "&amp;Courses!A208&amp;"; ","")</f>
        <v/>
      </c>
      <c r="CE214" s="131"/>
      <c r="CG214" s="1593" t="str">
        <f>IF(AND($AD$9=1,Courses!E208&lt;&gt;"",Courses!F208&lt;&gt;"",Courses!F208=0,SUM(Courses!H208,Courses!J208)=1),"Row "&amp;Courses!A208&amp;", "&amp;Courses!$F$10&amp;"; ","")</f>
        <v/>
      </c>
      <c r="CH214" t="str">
        <f>IF(AND($AD$9=1,Courses!G208&lt;&gt;"",Courses!H208&lt;&gt;"",Courses!H208=0,SUM(Courses!J208,Courses!F208)=1),"Row "&amp;Courses!A208&amp;", "&amp;Courses!$H$10&amp;"; ","")</f>
        <v/>
      </c>
      <c r="CI214" s="183" t="str">
        <f>IF(AND($AD$9=1,Courses!I208&lt;&gt;"",Courses!J208&lt;&gt;"",Courses!J208=0, SUM(Courses!H208,Courses!F208)=1),"Row "&amp;Courses!A208&amp;", "&amp;Courses!$J$10&amp;"; ","")</f>
        <v/>
      </c>
      <c r="CL214" s="1592" t="str">
        <f>IF(AND(Courses!B208&lt;&gt;"",ISNA(VLOOKUP(Courses!C208,CourseInfo,2,FALSE))=FALSE,COUNTIF(Dummy,Courses!C208)&lt;&gt;1),VLOOKUP(Courses!C208,CourseInfo,6,FALSE),"")</f>
        <v/>
      </c>
      <c r="CM214" s="1592" t="str">
        <f>IF(AND($AE$9=1,Courses!B208&lt;&gt;"",'Courses Valid'!AG214="",COUNTIF(Dummy,Courses!C208)&lt;&gt;1),IF(Courses!K208&lt;&gt;'Courses Valid'!CL214,"Row "&amp;Courses!A208&amp;", Level on LARS is "&amp;'Courses Valid'!CL214&amp;"; ",""),"")</f>
        <v/>
      </c>
      <c r="CN214" s="131"/>
    </row>
    <row r="215" spans="3:92" x14ac:dyDescent="0.35">
      <c r="C215" s="1595">
        <f t="shared" si="6"/>
        <v>0</v>
      </c>
      <c r="G215" s="1592" t="str">
        <f>IF(SUMPRODUCT(--(CourseAims=Courses!$C209))=1,"",IF(AND($N$9=1,Courses!$C209&lt;&gt;""),"Row "&amp;Courses!A209&amp;" (invalid); ",""))</f>
        <v/>
      </c>
      <c r="H215" s="1592" t="str">
        <f>IF(AND($O$9=1,Courses!B209="",OR(Courses!F209&lt;&gt;"",Courses!H209&lt;&gt;"",Courses!J209&lt;&gt;"",Courses!K209&lt;&gt;"",Courses!L209&lt;&gt;"",Courses!M209&lt;&gt;0,Courses!N209&lt;&gt;0,Courses!O209&lt;&gt;0,Courses!P209&lt;&gt;0,Courses!Q209&lt;&gt;0,Courses!R209&lt;&gt;0,Courses!S209&lt;&gt;0,Courses!T209&lt;&gt;0,Courses!U209&lt;&gt;0,Courses!V209&lt;&gt;0,Courses!W209&lt;&gt;0,Courses!X209&lt;&gt;0,Courses!Y209&lt;&gt;0,Courses!Z209&lt;&gt;0,Courses!AA209&lt;&gt;0)),"Row "&amp;Courses!A209&amp;" (none); ","")</f>
        <v/>
      </c>
      <c r="K215" s="1592" t="str">
        <f>Courses!B209&amp;Courses!K209&amp;Courses!L209</f>
        <v/>
      </c>
      <c r="L215" s="1592" t="str">
        <f>IF(AND($P$9=1,Courses!$B209&lt;&gt;"",COUNTIF(Dummy,Courses!$C209)&lt;&gt;1),IF(SUMPRODUCT(--($K$20:$K$219=$K215))&gt;1,"Row "&amp;Courses!$A209&amp;"; ",""),"")</f>
        <v/>
      </c>
      <c r="O215" s="1593" t="str">
        <f>IF(AND($Q$9=1,Courses!E209&lt;&gt;"",Courses!F209=""),"Row "&amp;Courses!A209&amp;", "&amp;Courses!$E$10&amp;"; ","")</f>
        <v/>
      </c>
      <c r="P215" t="str">
        <f>IF(AND($Q$9=1,Courses!G209&lt;&gt;"",Courses!H209=""),"Row "&amp;Courses!A209&amp;", "&amp;Courses!$G$10&amp;"; ","")</f>
        <v/>
      </c>
      <c r="Q215" s="183" t="str">
        <f>IF(AND($Q$9=1,Courses!I209&lt;&gt;"",Courses!J209=""),"Row "&amp;Courses!A209&amp;", "&amp;Courses!$I$10&amp;"; ","")</f>
        <v/>
      </c>
      <c r="U215" s="1593" t="str">
        <f>IF(AND($R$9=1,Courses!B209&lt;&gt;"",Courses!E209&lt;&gt;"",Courses!G209="",Courses!I209="",Courses!F209&lt;&gt;1),"Row "&amp;Courses!A209&amp;"; ","")</f>
        <v/>
      </c>
      <c r="V215" t="str">
        <f>IF(AND($R$9=1,Courses!B209&lt;&gt;"",Courses!I209="",Courses!F209&lt;&gt;"",Courses!G209&lt;&gt;"",Courses!H209&lt;&gt;""),IF(OR((Courses!F209+Courses!H209)&lt;&gt;1),"Row "&amp;Courses!A209&amp;"; ",""),"")</f>
        <v/>
      </c>
      <c r="W215" s="183" t="str">
        <f>IF(AND($R$9=1,Courses!B209&lt;&gt;"",Courses!I209&lt;&gt;"",Courses!J209&lt;&gt;"",Courses!H209&lt;&gt;"",Courses!G209&lt;&gt;"",Courses!F209&lt;&gt;""),IF(OR((Courses!F209+Courses!H209+Courses!J209)&lt;&gt;1),"Row "&amp;Courses!A209&amp;"; ",""),"")</f>
        <v/>
      </c>
      <c r="Y215" s="1592" t="str">
        <f>IF(AND($R$9=1,Courses!E209&lt;&gt;"",U215="",V215="",W215="",SUM(Courses!F209,Courses!H209,Courses!J209)&lt;&gt;1),"Row "&amp;Courses!A209&amp;"; ","")</f>
        <v/>
      </c>
      <c r="AB215" s="1593" t="str">
        <f>IF(AND($S$9=1,Courses!B209&lt;&gt;"",Courses!E209&lt;&gt;"",Courses!F209&lt;&gt;""),IF((TRUNC(Courses!F209*100)&lt;&gt;Courses!F209*100),"Row "&amp;Courses!A209&amp;", "&amp;Courses!$F$10&amp;"; ",""),"")</f>
        <v/>
      </c>
      <c r="AC215" t="str">
        <f>IF(AND($S$9=1,Courses!B209&lt;&gt;"",Courses!G209&lt;&gt;"",Courses!H209&lt;&gt;""),IF((TRUNC(Courses!H209*100)&lt;&gt;Courses!H209*100),"Row "&amp;Courses!A209&amp;", "&amp;Courses!$H$10&amp;"; ",""),"")</f>
        <v/>
      </c>
      <c r="AD215" s="183" t="str">
        <f>IF(AND($S$9=1,Courses!B209&lt;&gt;"",Courses!I209&lt;&gt;"",Courses!J209&lt;&gt;""),IF((TRUNC(Courses!J209*100)&lt;&gt;Courses!J209*100),"Row "&amp;Courses!A209&amp;", "&amp;Courses!$J$10&amp;"; ",""),"")</f>
        <v/>
      </c>
      <c r="AG215" s="1593" t="str">
        <f>IF(AND($T$9=1,G215="",Courses!B209&lt;&gt;"",Courses!K209&lt;&gt;$B$9,Courses!K209&lt;&gt;$B$10,Courses!K209&lt;&gt;$B$11,Courses!K209&lt;&gt;$B$12,Courses!K209&lt;&gt;$B$13,Courses!K209&lt;&gt;$B$14),"Row "&amp;Courses!A209&amp;"; ","")</f>
        <v/>
      </c>
      <c r="AH215" s="183" t="str">
        <f>IF(AND($U$9=1,G215="",Courses!B209&lt;&gt;"",Courses!L209&lt;&gt;"Standard",Courses!L209&lt;&gt;"Long"),"Row "&amp;Courses!A209&amp;"; ","")</f>
        <v/>
      </c>
      <c r="AK215" s="40">
        <v>196</v>
      </c>
      <c r="AL215" s="1593" t="str">
        <f>IF(AND($V$9=1,(TRUNC(Courses!M209)&lt;&gt;Courses!M209)), "Row "&amp;Courses!$A209&amp;", "&amp;AL$9&amp;", "&amp;AL$10&amp;", "&amp;AL$11&amp;"; ","")</f>
        <v/>
      </c>
      <c r="AM215" t="str">
        <f>IF(AND($V$9=1,(TRUNC(Courses!N209)&lt;&gt;Courses!N209)), "Row "&amp;Courses!$A209&amp;", "&amp;AM$9&amp;", "&amp;AM$10&amp;", "&amp;AM$11&amp;"; ","")</f>
        <v/>
      </c>
      <c r="AN215" t="str">
        <f>IF(AND($V$9=1,(TRUNC(Courses!O209)&lt;&gt;Courses!O209)), "Row "&amp;Courses!$A209&amp;", "&amp;AN$9&amp;", "&amp;AN$10&amp;", "&amp;AN$11&amp;"; ","")</f>
        <v/>
      </c>
      <c r="AO215" t="str">
        <f>IF(AND($V$9=1,(TRUNC(Courses!P209)&lt;&gt;Courses!P209)), "Row "&amp;Courses!$A209&amp;", "&amp;AO$9&amp;", "&amp;AO$10&amp;", "&amp;AO$11&amp;"; ","")</f>
        <v/>
      </c>
      <c r="AP215" s="2120" t="str">
        <f>IF(AND($V$9=1,(TRUNC(Courses!Q209)&lt;&gt;Courses!Q209)), "Row "&amp;Courses!$A209&amp;", "&amp;AP$9&amp;", "&amp;AP$10&amp;"; ","")</f>
        <v/>
      </c>
      <c r="AQ215" s="1593" t="str">
        <f>IF(AND($V$9=1,(TRUNC(Courses!R209)&lt;&gt;Courses!R209)), "Row "&amp;Courses!$A209&amp;", "&amp;AQ$9&amp;", "&amp;AQ$10&amp;", "&amp;AQ$11&amp;"; ","")</f>
        <v/>
      </c>
      <c r="AR215" t="str">
        <f>IF(AND($V$9=1,(TRUNC(Courses!S209)&lt;&gt;Courses!S209)), "Row "&amp;Courses!$A209&amp;", "&amp;AR$9&amp;", "&amp;AR$10&amp;", "&amp;AR$11&amp;"; ","")</f>
        <v/>
      </c>
      <c r="AS215" t="str">
        <f>IF(AND($V$9=1,(TRUNC(Courses!T209)&lt;&gt;Courses!T209)), "Row "&amp;Courses!$A209&amp;", "&amp;AS$9&amp;", "&amp;AS$10&amp;", "&amp;AS$11&amp;"; ","")</f>
        <v/>
      </c>
      <c r="AT215" t="str">
        <f>IF(AND($V$9=1,(TRUNC(Courses!U209)&lt;&gt;Courses!U209)), "Row "&amp;Courses!$A209&amp;", "&amp;AT$9&amp;", "&amp;AT$10&amp;", "&amp;AT$11&amp;"; ","")</f>
        <v/>
      </c>
      <c r="AU215" s="2120" t="str">
        <f>IF(AND($V$9=1,(TRUNC(Courses!V209)&lt;&gt;Courses!V209)), "Row "&amp;Courses!$A209&amp;", "&amp;AU$9&amp;", "&amp;AU$10&amp;"; ","")</f>
        <v/>
      </c>
      <c r="AV215" t="str">
        <f>IF(AND($V$9=1,(TRUNC(Courses!W209)&lt;&gt;Courses!W209)), "Row "&amp;Courses!$A209&amp;", "&amp;AV$9&amp;", "&amp;AV$10&amp;", "&amp;AV$11&amp;"; ","")</f>
        <v/>
      </c>
      <c r="AW215" t="str">
        <f>IF(AND($V$9=1,(TRUNC(Courses!X209)&lt;&gt;Courses!X209)), "Row "&amp;Courses!$A209&amp;", "&amp;AW$9&amp;", "&amp;AW$10&amp;", "&amp;AW$11&amp;"; ","")</f>
        <v/>
      </c>
      <c r="AX215" t="str">
        <f>IF(AND($V$9=1,(TRUNC(Courses!Y209)&lt;&gt;Courses!Y209)), "Row "&amp;Courses!$A209&amp;", "&amp;AX$9&amp;", "&amp;AX$10&amp;", "&amp;AX$11&amp;"; ","")</f>
        <v/>
      </c>
      <c r="AY215" t="str">
        <f>IF(AND($V$9=1,(TRUNC(Courses!Z209)&lt;&gt;Courses!Z209)), "Row "&amp;Courses!$A209&amp;", "&amp;AY$9&amp;", "&amp;AY$10&amp;", "&amp;AY$11&amp;"; ","")</f>
        <v/>
      </c>
      <c r="AZ215" s="2120" t="str">
        <f>IF(AND($V$9=1,(TRUNC(Courses!AA209)&lt;&gt;Courses!AA209)), "Row "&amp;Courses!$A209&amp;", "&amp;AZ$9&amp;", "&amp;AZ$10&amp;"; ","")</f>
        <v/>
      </c>
      <c r="BC215" s="40">
        <v>196</v>
      </c>
      <c r="BD215" s="1593" t="str">
        <f>IF(AND($W$9=1,Courses!M209&lt;0), "Row "&amp;Courses!$A209&amp;", "&amp;BD$9&amp;", "&amp;BD$10&amp;", "&amp;BD$11&amp;"; ","")</f>
        <v/>
      </c>
      <c r="BE215" t="str">
        <f>IF(AND($W$9=1,Courses!N209&lt;0), "Row "&amp;Courses!$A209&amp;", "&amp;BE$9&amp;", "&amp;BE$10&amp;", "&amp;BE$11&amp;"; ","")</f>
        <v/>
      </c>
      <c r="BF215" t="str">
        <f>IF(AND($W$9=1,Courses!O209&lt;0), "Row "&amp;Courses!$A209&amp;", "&amp;BF$9&amp;", "&amp;BF$10&amp;", "&amp;BF$11&amp;"; ","")</f>
        <v/>
      </c>
      <c r="BG215" t="str">
        <f>IF(AND($W$9=1,Courses!P209&lt;0), "Row "&amp;Courses!$A209&amp;", "&amp;BG$9&amp;", "&amp;BG$10&amp;", "&amp;BG$11&amp;"; ","")</f>
        <v/>
      </c>
      <c r="BH215" s="2120" t="str">
        <f>IF(AND($W$9=1,Courses!Q209&lt;0), "Row "&amp;Courses!$A209&amp;", "&amp;BH$9&amp;", "&amp;BH$10&amp;"; ","")</f>
        <v/>
      </c>
      <c r="BI215" s="1593" t="str">
        <f>IF(AND($W$9=1,Courses!R209&lt;0), "Row "&amp;Courses!$A209&amp;", "&amp;BI$9&amp;", "&amp;BI$10&amp;", "&amp;BI$11&amp;"; ","")</f>
        <v/>
      </c>
      <c r="BJ215" t="str">
        <f>IF(AND($W$9=1,Courses!S209&lt;0), "Row "&amp;Courses!$A209&amp;", "&amp;BJ$9&amp;", "&amp;BJ$10&amp;", "&amp;BJ$11&amp;"; ","")</f>
        <v/>
      </c>
      <c r="BK215" t="str">
        <f>IF(AND($W$9=1,Courses!T209&lt;0), "Row "&amp;Courses!$A209&amp;", "&amp;BK$9&amp;", "&amp;BK$10&amp;", "&amp;BK$11&amp;"; ","")</f>
        <v/>
      </c>
      <c r="BL215" t="str">
        <f>IF(AND($W$9=1,Courses!U209&lt;0), "Row "&amp;Courses!$A209&amp;", "&amp;BL$9&amp;", "&amp;BL$10&amp;", "&amp;BL$11&amp;"; ","")</f>
        <v/>
      </c>
      <c r="BM215" s="2120" t="str">
        <f>IF(AND($W$9=1,Courses!V209&lt;0), "Row "&amp;Courses!$A209&amp;", "&amp;BM$9&amp;", "&amp;BM$10&amp;"; ","")</f>
        <v/>
      </c>
      <c r="BN215" t="str">
        <f>IF(AND($W$9=1,Courses!W209&lt;0), "Row "&amp;Courses!$A209&amp;", "&amp;BN$9&amp;", "&amp;BN$10&amp;", "&amp;BN$11&amp;"; ","")</f>
        <v/>
      </c>
      <c r="BO215" t="str">
        <f>IF(AND($W$9=1,Courses!X209&lt;0), "Row "&amp;Courses!$A209&amp;", "&amp;BO$9&amp;", "&amp;BO$10&amp;", "&amp;BO$11&amp;"; ","")</f>
        <v/>
      </c>
      <c r="BP215" t="str">
        <f>IF(AND($W$9=1,Courses!Y209&lt;0), "Row "&amp;Courses!$A209&amp;", "&amp;BP$9&amp;", "&amp;BP$10&amp;", "&amp;BP$11&amp;"; ","")</f>
        <v/>
      </c>
      <c r="BQ215" t="str">
        <f>IF(AND($W$9=1,Courses!Z209&lt;0), "Row "&amp;Courses!$A209&amp;", "&amp;BQ$9&amp;", "&amp;BQ$10&amp;", "&amp;BQ$11&amp;"; ","")</f>
        <v/>
      </c>
      <c r="BR215" s="2120" t="str">
        <f>IF(AND($W$9=1,Courses!AA209&lt;0), "Row "&amp;Courses!$A209&amp;", "&amp;BR$9&amp;", "&amp;BR$10&amp;"; ","")</f>
        <v/>
      </c>
      <c r="BT215" s="3">
        <f t="shared" si="5"/>
        <v>196</v>
      </c>
      <c r="BU215" s="40">
        <f>IF(AND($X$9=1,Courses!B209="",Courses!F209="",Courses!H209="",Courses!J209="",Courses!K209="",Courses!L209="",Courses!M209=0,Courses!N209=0,Courses!O209=0,Courses!P209=0,Courses!Q209=0,Courses!R209=0,Courses!S209=0,Courses!T209=0,Courses!U209=0,Courses!V209=0,Courses!W209=0,Courses!X209=0,Courses!Y209=0,Courses!Z209=0,Courses!AA209=0),0,1)</f>
        <v>0</v>
      </c>
      <c r="BV215" s="40">
        <f>IF(AND(BU215=0,SUM(BU216:$BU$219)&gt;0),1,0)</f>
        <v>0</v>
      </c>
      <c r="BW215" s="1592" t="str">
        <f>IF(BV215=1,"Row "&amp;Courses!A209&amp;"; ","")</f>
        <v/>
      </c>
      <c r="BX215" s="17"/>
      <c r="BZ215" s="1592" t="str">
        <f>IF(AND($Y$9=1,Courses!B209&lt;&gt;"",SUM(Courses!M209:AA209)=0),"Row "&amp;Courses!A209&amp;"; ","")</f>
        <v/>
      </c>
      <c r="CA215" s="17"/>
      <c r="CC215" s="1592" t="str">
        <f>IF(AND($Z$9=1,Courses!AD209=1,(LEN(Courses!AB209)&gt;200)),"Row "&amp;Courses!A209&amp;"; ","")</f>
        <v/>
      </c>
      <c r="CE215" s="131"/>
      <c r="CG215" s="1593" t="str">
        <f>IF(AND($AD$9=1,Courses!E209&lt;&gt;"",Courses!F209&lt;&gt;"",Courses!F209=0,SUM(Courses!H209,Courses!J209)=1),"Row "&amp;Courses!A209&amp;", "&amp;Courses!$F$10&amp;"; ","")</f>
        <v/>
      </c>
      <c r="CH215" t="str">
        <f>IF(AND($AD$9=1,Courses!G209&lt;&gt;"",Courses!H209&lt;&gt;"",Courses!H209=0,SUM(Courses!J209,Courses!F209)=1),"Row "&amp;Courses!A209&amp;", "&amp;Courses!$H$10&amp;"; ","")</f>
        <v/>
      </c>
      <c r="CI215" s="183" t="str">
        <f>IF(AND($AD$9=1,Courses!I209&lt;&gt;"",Courses!J209&lt;&gt;"",Courses!J209=0, SUM(Courses!H209,Courses!F209)=1),"Row "&amp;Courses!A209&amp;", "&amp;Courses!$J$10&amp;"; ","")</f>
        <v/>
      </c>
      <c r="CL215" s="1592" t="str">
        <f>IF(AND(Courses!B209&lt;&gt;"",ISNA(VLOOKUP(Courses!C209,CourseInfo,2,FALSE))=FALSE,COUNTIF(Dummy,Courses!C209)&lt;&gt;1),VLOOKUP(Courses!C209,CourseInfo,6,FALSE),"")</f>
        <v/>
      </c>
      <c r="CM215" s="1592" t="str">
        <f>IF(AND($AE$9=1,Courses!B209&lt;&gt;"",'Courses Valid'!AG215="",COUNTIF(Dummy,Courses!C209)&lt;&gt;1),IF(Courses!K209&lt;&gt;'Courses Valid'!CL215,"Row "&amp;Courses!A209&amp;", Level on LARS is "&amp;'Courses Valid'!CL215&amp;"; ",""),"")</f>
        <v/>
      </c>
      <c r="CN215" s="131"/>
    </row>
    <row r="216" spans="3:92" x14ac:dyDescent="0.35">
      <c r="C216" s="1595">
        <f t="shared" si="6"/>
        <v>0</v>
      </c>
      <c r="G216" s="1592" t="str">
        <f>IF(SUMPRODUCT(--(CourseAims=Courses!$C210))=1,"",IF(AND($N$9=1,Courses!$C210&lt;&gt;""),"Row "&amp;Courses!A210&amp;" (invalid); ",""))</f>
        <v/>
      </c>
      <c r="H216" s="1592" t="str">
        <f>IF(AND($O$9=1,Courses!B210="",OR(Courses!F210&lt;&gt;"",Courses!H210&lt;&gt;"",Courses!J210&lt;&gt;"",Courses!K210&lt;&gt;"",Courses!L210&lt;&gt;"",Courses!M210&lt;&gt;0,Courses!N210&lt;&gt;0,Courses!O210&lt;&gt;0,Courses!P210&lt;&gt;0,Courses!Q210&lt;&gt;0,Courses!R210&lt;&gt;0,Courses!S210&lt;&gt;0,Courses!T210&lt;&gt;0,Courses!U210&lt;&gt;0,Courses!V210&lt;&gt;0,Courses!W210&lt;&gt;0,Courses!X210&lt;&gt;0,Courses!Y210&lt;&gt;0,Courses!Z210&lt;&gt;0,Courses!AA210&lt;&gt;0)),"Row "&amp;Courses!A210&amp;" (none); ","")</f>
        <v/>
      </c>
      <c r="K216" s="1592" t="str">
        <f>Courses!B210&amp;Courses!K210&amp;Courses!L210</f>
        <v/>
      </c>
      <c r="L216" s="1592" t="str">
        <f>IF(AND($P$9=1,Courses!$B210&lt;&gt;"",COUNTIF(Dummy,Courses!$C210)&lt;&gt;1),IF(SUMPRODUCT(--($K$20:$K$219=$K216))&gt;1,"Row "&amp;Courses!$A210&amp;"; ",""),"")</f>
        <v/>
      </c>
      <c r="O216" s="1593" t="str">
        <f>IF(AND($Q$9=1,Courses!E210&lt;&gt;"",Courses!F210=""),"Row "&amp;Courses!A210&amp;", "&amp;Courses!$E$10&amp;"; ","")</f>
        <v/>
      </c>
      <c r="P216" t="str">
        <f>IF(AND($Q$9=1,Courses!G210&lt;&gt;"",Courses!H210=""),"Row "&amp;Courses!A210&amp;", "&amp;Courses!$G$10&amp;"; ","")</f>
        <v/>
      </c>
      <c r="Q216" s="183" t="str">
        <f>IF(AND($Q$9=1,Courses!I210&lt;&gt;"",Courses!J210=""),"Row "&amp;Courses!A210&amp;", "&amp;Courses!$I$10&amp;"; ","")</f>
        <v/>
      </c>
      <c r="U216" s="1593" t="str">
        <f>IF(AND($R$9=1,Courses!B210&lt;&gt;"",Courses!E210&lt;&gt;"",Courses!G210="",Courses!I210="",Courses!F210&lt;&gt;1),"Row "&amp;Courses!A210&amp;"; ","")</f>
        <v/>
      </c>
      <c r="V216" t="str">
        <f>IF(AND($R$9=1,Courses!B210&lt;&gt;"",Courses!I210="",Courses!F210&lt;&gt;"",Courses!G210&lt;&gt;"",Courses!H210&lt;&gt;""),IF(OR((Courses!F210+Courses!H210)&lt;&gt;1),"Row "&amp;Courses!A210&amp;"; ",""),"")</f>
        <v/>
      </c>
      <c r="W216" s="183" t="str">
        <f>IF(AND($R$9=1,Courses!B210&lt;&gt;"",Courses!I210&lt;&gt;"",Courses!J210&lt;&gt;"",Courses!H210&lt;&gt;"",Courses!G210&lt;&gt;"",Courses!F210&lt;&gt;""),IF(OR((Courses!F210+Courses!H210+Courses!J210)&lt;&gt;1),"Row "&amp;Courses!A210&amp;"; ",""),"")</f>
        <v/>
      </c>
      <c r="Y216" s="1592" t="str">
        <f>IF(AND($R$9=1,Courses!E210&lt;&gt;"",U216="",V216="",W216="",SUM(Courses!F210,Courses!H210,Courses!J210)&lt;&gt;1),"Row "&amp;Courses!A210&amp;"; ","")</f>
        <v/>
      </c>
      <c r="AB216" s="1593" t="str">
        <f>IF(AND($S$9=1,Courses!B210&lt;&gt;"",Courses!E210&lt;&gt;"",Courses!F210&lt;&gt;""),IF((TRUNC(Courses!F210*100)&lt;&gt;Courses!F210*100),"Row "&amp;Courses!A210&amp;", "&amp;Courses!$F$10&amp;"; ",""),"")</f>
        <v/>
      </c>
      <c r="AC216" t="str">
        <f>IF(AND($S$9=1,Courses!B210&lt;&gt;"",Courses!G210&lt;&gt;"",Courses!H210&lt;&gt;""),IF((TRUNC(Courses!H210*100)&lt;&gt;Courses!H210*100),"Row "&amp;Courses!A210&amp;", "&amp;Courses!$H$10&amp;"; ",""),"")</f>
        <v/>
      </c>
      <c r="AD216" s="183" t="str">
        <f>IF(AND($S$9=1,Courses!B210&lt;&gt;"",Courses!I210&lt;&gt;"",Courses!J210&lt;&gt;""),IF((TRUNC(Courses!J210*100)&lt;&gt;Courses!J210*100),"Row "&amp;Courses!A210&amp;", "&amp;Courses!$J$10&amp;"; ",""),"")</f>
        <v/>
      </c>
      <c r="AG216" s="1593" t="str">
        <f>IF(AND($T$9=1,G216="",Courses!B210&lt;&gt;"",Courses!K210&lt;&gt;$B$9,Courses!K210&lt;&gt;$B$10,Courses!K210&lt;&gt;$B$11,Courses!K210&lt;&gt;$B$12,Courses!K210&lt;&gt;$B$13,Courses!K210&lt;&gt;$B$14),"Row "&amp;Courses!A210&amp;"; ","")</f>
        <v/>
      </c>
      <c r="AH216" s="183" t="str">
        <f>IF(AND($U$9=1,G216="",Courses!B210&lt;&gt;"",Courses!L210&lt;&gt;"Standard",Courses!L210&lt;&gt;"Long"),"Row "&amp;Courses!A210&amp;"; ","")</f>
        <v/>
      </c>
      <c r="AK216" s="40">
        <v>197</v>
      </c>
      <c r="AL216" s="1593" t="str">
        <f>IF(AND($V$9=1,(TRUNC(Courses!M210)&lt;&gt;Courses!M210)), "Row "&amp;Courses!$A210&amp;", "&amp;AL$9&amp;", "&amp;AL$10&amp;", "&amp;AL$11&amp;"; ","")</f>
        <v/>
      </c>
      <c r="AM216" t="str">
        <f>IF(AND($V$9=1,(TRUNC(Courses!N210)&lt;&gt;Courses!N210)), "Row "&amp;Courses!$A210&amp;", "&amp;AM$9&amp;", "&amp;AM$10&amp;", "&amp;AM$11&amp;"; ","")</f>
        <v/>
      </c>
      <c r="AN216" t="str">
        <f>IF(AND($V$9=1,(TRUNC(Courses!O210)&lt;&gt;Courses!O210)), "Row "&amp;Courses!$A210&amp;", "&amp;AN$9&amp;", "&amp;AN$10&amp;", "&amp;AN$11&amp;"; ","")</f>
        <v/>
      </c>
      <c r="AO216" t="str">
        <f>IF(AND($V$9=1,(TRUNC(Courses!P210)&lt;&gt;Courses!P210)), "Row "&amp;Courses!$A210&amp;", "&amp;AO$9&amp;", "&amp;AO$10&amp;", "&amp;AO$11&amp;"; ","")</f>
        <v/>
      </c>
      <c r="AP216" s="2120" t="str">
        <f>IF(AND($V$9=1,(TRUNC(Courses!Q210)&lt;&gt;Courses!Q210)), "Row "&amp;Courses!$A210&amp;", "&amp;AP$9&amp;", "&amp;AP$10&amp;"; ","")</f>
        <v/>
      </c>
      <c r="AQ216" s="1593" t="str">
        <f>IF(AND($V$9=1,(TRUNC(Courses!R210)&lt;&gt;Courses!R210)), "Row "&amp;Courses!$A210&amp;", "&amp;AQ$9&amp;", "&amp;AQ$10&amp;", "&amp;AQ$11&amp;"; ","")</f>
        <v/>
      </c>
      <c r="AR216" t="str">
        <f>IF(AND($V$9=1,(TRUNC(Courses!S210)&lt;&gt;Courses!S210)), "Row "&amp;Courses!$A210&amp;", "&amp;AR$9&amp;", "&amp;AR$10&amp;", "&amp;AR$11&amp;"; ","")</f>
        <v/>
      </c>
      <c r="AS216" t="str">
        <f>IF(AND($V$9=1,(TRUNC(Courses!T210)&lt;&gt;Courses!T210)), "Row "&amp;Courses!$A210&amp;", "&amp;AS$9&amp;", "&amp;AS$10&amp;", "&amp;AS$11&amp;"; ","")</f>
        <v/>
      </c>
      <c r="AT216" t="str">
        <f>IF(AND($V$9=1,(TRUNC(Courses!U210)&lt;&gt;Courses!U210)), "Row "&amp;Courses!$A210&amp;", "&amp;AT$9&amp;", "&amp;AT$10&amp;", "&amp;AT$11&amp;"; ","")</f>
        <v/>
      </c>
      <c r="AU216" s="2120" t="str">
        <f>IF(AND($V$9=1,(TRUNC(Courses!V210)&lt;&gt;Courses!V210)), "Row "&amp;Courses!$A210&amp;", "&amp;AU$9&amp;", "&amp;AU$10&amp;"; ","")</f>
        <v/>
      </c>
      <c r="AV216" t="str">
        <f>IF(AND($V$9=1,(TRUNC(Courses!W210)&lt;&gt;Courses!W210)), "Row "&amp;Courses!$A210&amp;", "&amp;AV$9&amp;", "&amp;AV$10&amp;", "&amp;AV$11&amp;"; ","")</f>
        <v/>
      </c>
      <c r="AW216" t="str">
        <f>IF(AND($V$9=1,(TRUNC(Courses!X210)&lt;&gt;Courses!X210)), "Row "&amp;Courses!$A210&amp;", "&amp;AW$9&amp;", "&amp;AW$10&amp;", "&amp;AW$11&amp;"; ","")</f>
        <v/>
      </c>
      <c r="AX216" t="str">
        <f>IF(AND($V$9=1,(TRUNC(Courses!Y210)&lt;&gt;Courses!Y210)), "Row "&amp;Courses!$A210&amp;", "&amp;AX$9&amp;", "&amp;AX$10&amp;", "&amp;AX$11&amp;"; ","")</f>
        <v/>
      </c>
      <c r="AY216" t="str">
        <f>IF(AND($V$9=1,(TRUNC(Courses!Z210)&lt;&gt;Courses!Z210)), "Row "&amp;Courses!$A210&amp;", "&amp;AY$9&amp;", "&amp;AY$10&amp;", "&amp;AY$11&amp;"; ","")</f>
        <v/>
      </c>
      <c r="AZ216" s="2120" t="str">
        <f>IF(AND($V$9=1,(TRUNC(Courses!AA210)&lt;&gt;Courses!AA210)), "Row "&amp;Courses!$A210&amp;", "&amp;AZ$9&amp;", "&amp;AZ$10&amp;"; ","")</f>
        <v/>
      </c>
      <c r="BC216" s="40">
        <v>197</v>
      </c>
      <c r="BD216" s="1593" t="str">
        <f>IF(AND($W$9=1,Courses!M210&lt;0), "Row "&amp;Courses!$A210&amp;", "&amp;BD$9&amp;", "&amp;BD$10&amp;", "&amp;BD$11&amp;"; ","")</f>
        <v/>
      </c>
      <c r="BE216" t="str">
        <f>IF(AND($W$9=1,Courses!N210&lt;0), "Row "&amp;Courses!$A210&amp;", "&amp;BE$9&amp;", "&amp;BE$10&amp;", "&amp;BE$11&amp;"; ","")</f>
        <v/>
      </c>
      <c r="BF216" t="str">
        <f>IF(AND($W$9=1,Courses!O210&lt;0), "Row "&amp;Courses!$A210&amp;", "&amp;BF$9&amp;", "&amp;BF$10&amp;", "&amp;BF$11&amp;"; ","")</f>
        <v/>
      </c>
      <c r="BG216" t="str">
        <f>IF(AND($W$9=1,Courses!P210&lt;0), "Row "&amp;Courses!$A210&amp;", "&amp;BG$9&amp;", "&amp;BG$10&amp;", "&amp;BG$11&amp;"; ","")</f>
        <v/>
      </c>
      <c r="BH216" s="2120" t="str">
        <f>IF(AND($W$9=1,Courses!Q210&lt;0), "Row "&amp;Courses!$A210&amp;", "&amp;BH$9&amp;", "&amp;BH$10&amp;"; ","")</f>
        <v/>
      </c>
      <c r="BI216" s="1593" t="str">
        <f>IF(AND($W$9=1,Courses!R210&lt;0), "Row "&amp;Courses!$A210&amp;", "&amp;BI$9&amp;", "&amp;BI$10&amp;", "&amp;BI$11&amp;"; ","")</f>
        <v/>
      </c>
      <c r="BJ216" t="str">
        <f>IF(AND($W$9=1,Courses!S210&lt;0), "Row "&amp;Courses!$A210&amp;", "&amp;BJ$9&amp;", "&amp;BJ$10&amp;", "&amp;BJ$11&amp;"; ","")</f>
        <v/>
      </c>
      <c r="BK216" t="str">
        <f>IF(AND($W$9=1,Courses!T210&lt;0), "Row "&amp;Courses!$A210&amp;", "&amp;BK$9&amp;", "&amp;BK$10&amp;", "&amp;BK$11&amp;"; ","")</f>
        <v/>
      </c>
      <c r="BL216" t="str">
        <f>IF(AND($W$9=1,Courses!U210&lt;0), "Row "&amp;Courses!$A210&amp;", "&amp;BL$9&amp;", "&amp;BL$10&amp;", "&amp;BL$11&amp;"; ","")</f>
        <v/>
      </c>
      <c r="BM216" s="2120" t="str">
        <f>IF(AND($W$9=1,Courses!V210&lt;0), "Row "&amp;Courses!$A210&amp;", "&amp;BM$9&amp;", "&amp;BM$10&amp;"; ","")</f>
        <v/>
      </c>
      <c r="BN216" t="str">
        <f>IF(AND($W$9=1,Courses!W210&lt;0), "Row "&amp;Courses!$A210&amp;", "&amp;BN$9&amp;", "&amp;BN$10&amp;", "&amp;BN$11&amp;"; ","")</f>
        <v/>
      </c>
      <c r="BO216" t="str">
        <f>IF(AND($W$9=1,Courses!X210&lt;0), "Row "&amp;Courses!$A210&amp;", "&amp;BO$9&amp;", "&amp;BO$10&amp;", "&amp;BO$11&amp;"; ","")</f>
        <v/>
      </c>
      <c r="BP216" t="str">
        <f>IF(AND($W$9=1,Courses!Y210&lt;0), "Row "&amp;Courses!$A210&amp;", "&amp;BP$9&amp;", "&amp;BP$10&amp;", "&amp;BP$11&amp;"; ","")</f>
        <v/>
      </c>
      <c r="BQ216" t="str">
        <f>IF(AND($W$9=1,Courses!Z210&lt;0), "Row "&amp;Courses!$A210&amp;", "&amp;BQ$9&amp;", "&amp;BQ$10&amp;", "&amp;BQ$11&amp;"; ","")</f>
        <v/>
      </c>
      <c r="BR216" s="2120" t="str">
        <f>IF(AND($W$9=1,Courses!AA210&lt;0), "Row "&amp;Courses!$A210&amp;", "&amp;BR$9&amp;", "&amp;BR$10&amp;"; ","")</f>
        <v/>
      </c>
      <c r="BT216" s="3">
        <f t="shared" si="5"/>
        <v>197</v>
      </c>
      <c r="BU216" s="40">
        <f>IF(AND($X$9=1,Courses!B210="",Courses!F210="",Courses!H210="",Courses!J210="",Courses!K210="",Courses!L210="",Courses!M210=0,Courses!N210=0,Courses!O210=0,Courses!P210=0,Courses!Q210=0,Courses!R210=0,Courses!S210=0,Courses!T210=0,Courses!U210=0,Courses!V210=0,Courses!W210=0,Courses!X210=0,Courses!Y210=0,Courses!Z210=0,Courses!AA210=0),0,1)</f>
        <v>0</v>
      </c>
      <c r="BV216" s="40">
        <f>IF(AND(BU216=0,SUM(BU217:$BU$219)&gt;0),1,0)</f>
        <v>0</v>
      </c>
      <c r="BW216" s="1592" t="str">
        <f>IF(BV216=1,"Row "&amp;Courses!A210&amp;"; ","")</f>
        <v/>
      </c>
      <c r="BX216" s="17"/>
      <c r="BZ216" s="1592" t="str">
        <f>IF(AND($Y$9=1,Courses!B210&lt;&gt;"",SUM(Courses!M210:AA210)=0),"Row "&amp;Courses!A210&amp;"; ","")</f>
        <v/>
      </c>
      <c r="CA216" s="17"/>
      <c r="CC216" s="1592" t="str">
        <f>IF(AND($Z$9=1,Courses!AD210=1,(LEN(Courses!AB210)&gt;200)),"Row "&amp;Courses!A210&amp;"; ","")</f>
        <v/>
      </c>
      <c r="CE216" s="131"/>
      <c r="CG216" s="1593" t="str">
        <f>IF(AND($AD$9=1,Courses!E210&lt;&gt;"",Courses!F210&lt;&gt;"",Courses!F210=0,SUM(Courses!H210,Courses!J210)=1),"Row "&amp;Courses!A210&amp;", "&amp;Courses!$F$10&amp;"; ","")</f>
        <v/>
      </c>
      <c r="CH216" t="str">
        <f>IF(AND($AD$9=1,Courses!G210&lt;&gt;"",Courses!H210&lt;&gt;"",Courses!H210=0,SUM(Courses!J210,Courses!F210)=1),"Row "&amp;Courses!A210&amp;", "&amp;Courses!$H$10&amp;"; ","")</f>
        <v/>
      </c>
      <c r="CI216" s="183" t="str">
        <f>IF(AND($AD$9=1,Courses!I210&lt;&gt;"",Courses!J210&lt;&gt;"",Courses!J210=0, SUM(Courses!H210,Courses!F210)=1),"Row "&amp;Courses!A210&amp;", "&amp;Courses!$J$10&amp;"; ","")</f>
        <v/>
      </c>
      <c r="CL216" s="1592" t="str">
        <f>IF(AND(Courses!B210&lt;&gt;"",ISNA(VLOOKUP(Courses!C210,CourseInfo,2,FALSE))=FALSE,COUNTIF(Dummy,Courses!C210)&lt;&gt;1),VLOOKUP(Courses!C210,CourseInfo,6,FALSE),"")</f>
        <v/>
      </c>
      <c r="CM216" s="1592" t="str">
        <f>IF(AND($AE$9=1,Courses!B210&lt;&gt;"",'Courses Valid'!AG216="",COUNTIF(Dummy,Courses!C210)&lt;&gt;1),IF(Courses!K210&lt;&gt;'Courses Valid'!CL216,"Row "&amp;Courses!A210&amp;", Level on LARS is "&amp;'Courses Valid'!CL216&amp;"; ",""),"")</f>
        <v/>
      </c>
      <c r="CN216" s="131"/>
    </row>
    <row r="217" spans="3:92" x14ac:dyDescent="0.35">
      <c r="C217" s="1595">
        <f t="shared" si="6"/>
        <v>0</v>
      </c>
      <c r="G217" s="1592" t="str">
        <f>IF(SUMPRODUCT(--(CourseAims=Courses!$C211))=1,"",IF(AND($N$9=1,Courses!$C211&lt;&gt;""),"Row "&amp;Courses!A211&amp;" (invalid); ",""))</f>
        <v/>
      </c>
      <c r="H217" s="1592" t="str">
        <f>IF(AND($O$9=1,Courses!B211="",OR(Courses!F211&lt;&gt;"",Courses!H211&lt;&gt;"",Courses!J211&lt;&gt;"",Courses!K211&lt;&gt;"",Courses!L211&lt;&gt;"",Courses!M211&lt;&gt;0,Courses!N211&lt;&gt;0,Courses!O211&lt;&gt;0,Courses!P211&lt;&gt;0,Courses!Q211&lt;&gt;0,Courses!R211&lt;&gt;0,Courses!S211&lt;&gt;0,Courses!T211&lt;&gt;0,Courses!U211&lt;&gt;0,Courses!V211&lt;&gt;0,Courses!W211&lt;&gt;0,Courses!X211&lt;&gt;0,Courses!Y211&lt;&gt;0,Courses!Z211&lt;&gt;0,Courses!AA211&lt;&gt;0)),"Row "&amp;Courses!A211&amp;" (none); ","")</f>
        <v/>
      </c>
      <c r="K217" s="1592" t="str">
        <f>Courses!B211&amp;Courses!K211&amp;Courses!L211</f>
        <v/>
      </c>
      <c r="L217" s="1592" t="str">
        <f>IF(AND($P$9=1,Courses!$B211&lt;&gt;"",COUNTIF(Dummy,Courses!$C211)&lt;&gt;1),IF(SUMPRODUCT(--($K$20:$K$219=$K217))&gt;1,"Row "&amp;Courses!$A211&amp;"; ",""),"")</f>
        <v/>
      </c>
      <c r="O217" s="1593" t="str">
        <f>IF(AND($Q$9=1,Courses!E211&lt;&gt;"",Courses!F211=""),"Row "&amp;Courses!A211&amp;", "&amp;Courses!$E$10&amp;"; ","")</f>
        <v/>
      </c>
      <c r="P217" t="str">
        <f>IF(AND($Q$9=1,Courses!G211&lt;&gt;"",Courses!H211=""),"Row "&amp;Courses!A211&amp;", "&amp;Courses!$G$10&amp;"; ","")</f>
        <v/>
      </c>
      <c r="Q217" s="183" t="str">
        <f>IF(AND($Q$9=1,Courses!I211&lt;&gt;"",Courses!J211=""),"Row "&amp;Courses!A211&amp;", "&amp;Courses!$I$10&amp;"; ","")</f>
        <v/>
      </c>
      <c r="U217" s="1593" t="str">
        <f>IF(AND($R$9=1,Courses!B211&lt;&gt;"",Courses!E211&lt;&gt;"",Courses!G211="",Courses!I211="",Courses!F211&lt;&gt;1),"Row "&amp;Courses!A211&amp;"; ","")</f>
        <v/>
      </c>
      <c r="V217" t="str">
        <f>IF(AND($R$9=1,Courses!B211&lt;&gt;"",Courses!I211="",Courses!F211&lt;&gt;"",Courses!G211&lt;&gt;"",Courses!H211&lt;&gt;""),IF(OR((Courses!F211+Courses!H211)&lt;&gt;1),"Row "&amp;Courses!A211&amp;"; ",""),"")</f>
        <v/>
      </c>
      <c r="W217" s="183" t="str">
        <f>IF(AND($R$9=1,Courses!B211&lt;&gt;"",Courses!I211&lt;&gt;"",Courses!J211&lt;&gt;"",Courses!H211&lt;&gt;"",Courses!G211&lt;&gt;"",Courses!F211&lt;&gt;""),IF(OR((Courses!F211+Courses!H211+Courses!J211)&lt;&gt;1),"Row "&amp;Courses!A211&amp;"; ",""),"")</f>
        <v/>
      </c>
      <c r="Y217" s="1592" t="str">
        <f>IF(AND($R$9=1,Courses!E211&lt;&gt;"",U217="",V217="",W217="",SUM(Courses!F211,Courses!H211,Courses!J211)&lt;&gt;1),"Row "&amp;Courses!A211&amp;"; ","")</f>
        <v/>
      </c>
      <c r="AB217" s="1593" t="str">
        <f>IF(AND($S$9=1,Courses!B211&lt;&gt;"",Courses!E211&lt;&gt;"",Courses!F211&lt;&gt;""),IF((TRUNC(Courses!F211*100)&lt;&gt;Courses!F211*100),"Row "&amp;Courses!A211&amp;", "&amp;Courses!$F$10&amp;"; ",""),"")</f>
        <v/>
      </c>
      <c r="AC217" t="str">
        <f>IF(AND($S$9=1,Courses!B211&lt;&gt;"",Courses!G211&lt;&gt;"",Courses!H211&lt;&gt;""),IF((TRUNC(Courses!H211*100)&lt;&gt;Courses!H211*100),"Row "&amp;Courses!A211&amp;", "&amp;Courses!$H$10&amp;"; ",""),"")</f>
        <v/>
      </c>
      <c r="AD217" s="183" t="str">
        <f>IF(AND($S$9=1,Courses!B211&lt;&gt;"",Courses!I211&lt;&gt;"",Courses!J211&lt;&gt;""),IF((TRUNC(Courses!J211*100)&lt;&gt;Courses!J211*100),"Row "&amp;Courses!A211&amp;", "&amp;Courses!$J$10&amp;"; ",""),"")</f>
        <v/>
      </c>
      <c r="AG217" s="1593" t="str">
        <f>IF(AND($T$9=1,G217="",Courses!B211&lt;&gt;"",Courses!K211&lt;&gt;$B$9,Courses!K211&lt;&gt;$B$10,Courses!K211&lt;&gt;$B$11,Courses!K211&lt;&gt;$B$12,Courses!K211&lt;&gt;$B$13,Courses!K211&lt;&gt;$B$14),"Row "&amp;Courses!A211&amp;"; ","")</f>
        <v/>
      </c>
      <c r="AH217" s="183" t="str">
        <f>IF(AND($U$9=1,G217="",Courses!B211&lt;&gt;"",Courses!L211&lt;&gt;"Standard",Courses!L211&lt;&gt;"Long"),"Row "&amp;Courses!A211&amp;"; ","")</f>
        <v/>
      </c>
      <c r="AK217" s="40">
        <v>198</v>
      </c>
      <c r="AL217" s="1593" t="str">
        <f>IF(AND($V$9=1,(TRUNC(Courses!M211)&lt;&gt;Courses!M211)), "Row "&amp;Courses!$A211&amp;", "&amp;AL$9&amp;", "&amp;AL$10&amp;", "&amp;AL$11&amp;"; ","")</f>
        <v/>
      </c>
      <c r="AM217" t="str">
        <f>IF(AND($V$9=1,(TRUNC(Courses!N211)&lt;&gt;Courses!N211)), "Row "&amp;Courses!$A211&amp;", "&amp;AM$9&amp;", "&amp;AM$10&amp;", "&amp;AM$11&amp;"; ","")</f>
        <v/>
      </c>
      <c r="AN217" t="str">
        <f>IF(AND($V$9=1,(TRUNC(Courses!O211)&lt;&gt;Courses!O211)), "Row "&amp;Courses!$A211&amp;", "&amp;AN$9&amp;", "&amp;AN$10&amp;", "&amp;AN$11&amp;"; ","")</f>
        <v/>
      </c>
      <c r="AO217" t="str">
        <f>IF(AND($V$9=1,(TRUNC(Courses!P211)&lt;&gt;Courses!P211)), "Row "&amp;Courses!$A211&amp;", "&amp;AO$9&amp;", "&amp;AO$10&amp;", "&amp;AO$11&amp;"; ","")</f>
        <v/>
      </c>
      <c r="AP217" s="2120" t="str">
        <f>IF(AND($V$9=1,(TRUNC(Courses!Q211)&lt;&gt;Courses!Q211)), "Row "&amp;Courses!$A211&amp;", "&amp;AP$9&amp;", "&amp;AP$10&amp;"; ","")</f>
        <v/>
      </c>
      <c r="AQ217" s="1593" t="str">
        <f>IF(AND($V$9=1,(TRUNC(Courses!R211)&lt;&gt;Courses!R211)), "Row "&amp;Courses!$A211&amp;", "&amp;AQ$9&amp;", "&amp;AQ$10&amp;", "&amp;AQ$11&amp;"; ","")</f>
        <v/>
      </c>
      <c r="AR217" t="str">
        <f>IF(AND($V$9=1,(TRUNC(Courses!S211)&lt;&gt;Courses!S211)), "Row "&amp;Courses!$A211&amp;", "&amp;AR$9&amp;", "&amp;AR$10&amp;", "&amp;AR$11&amp;"; ","")</f>
        <v/>
      </c>
      <c r="AS217" t="str">
        <f>IF(AND($V$9=1,(TRUNC(Courses!T211)&lt;&gt;Courses!T211)), "Row "&amp;Courses!$A211&amp;", "&amp;AS$9&amp;", "&amp;AS$10&amp;", "&amp;AS$11&amp;"; ","")</f>
        <v/>
      </c>
      <c r="AT217" t="str">
        <f>IF(AND($V$9=1,(TRUNC(Courses!U211)&lt;&gt;Courses!U211)), "Row "&amp;Courses!$A211&amp;", "&amp;AT$9&amp;", "&amp;AT$10&amp;", "&amp;AT$11&amp;"; ","")</f>
        <v/>
      </c>
      <c r="AU217" s="2120" t="str">
        <f>IF(AND($V$9=1,(TRUNC(Courses!V211)&lt;&gt;Courses!V211)), "Row "&amp;Courses!$A211&amp;", "&amp;AU$9&amp;", "&amp;AU$10&amp;"; ","")</f>
        <v/>
      </c>
      <c r="AV217" t="str">
        <f>IF(AND($V$9=1,(TRUNC(Courses!W211)&lt;&gt;Courses!W211)), "Row "&amp;Courses!$A211&amp;", "&amp;AV$9&amp;", "&amp;AV$10&amp;", "&amp;AV$11&amp;"; ","")</f>
        <v/>
      </c>
      <c r="AW217" t="str">
        <f>IF(AND($V$9=1,(TRUNC(Courses!X211)&lt;&gt;Courses!X211)), "Row "&amp;Courses!$A211&amp;", "&amp;AW$9&amp;", "&amp;AW$10&amp;", "&amp;AW$11&amp;"; ","")</f>
        <v/>
      </c>
      <c r="AX217" t="str">
        <f>IF(AND($V$9=1,(TRUNC(Courses!Y211)&lt;&gt;Courses!Y211)), "Row "&amp;Courses!$A211&amp;", "&amp;AX$9&amp;", "&amp;AX$10&amp;", "&amp;AX$11&amp;"; ","")</f>
        <v/>
      </c>
      <c r="AY217" t="str">
        <f>IF(AND($V$9=1,(TRUNC(Courses!Z211)&lt;&gt;Courses!Z211)), "Row "&amp;Courses!$A211&amp;", "&amp;AY$9&amp;", "&amp;AY$10&amp;", "&amp;AY$11&amp;"; ","")</f>
        <v/>
      </c>
      <c r="AZ217" s="2120" t="str">
        <f>IF(AND($V$9=1,(TRUNC(Courses!AA211)&lt;&gt;Courses!AA211)), "Row "&amp;Courses!$A211&amp;", "&amp;AZ$9&amp;", "&amp;AZ$10&amp;"; ","")</f>
        <v/>
      </c>
      <c r="BC217" s="40">
        <v>198</v>
      </c>
      <c r="BD217" s="1593" t="str">
        <f>IF(AND($W$9=1,Courses!M211&lt;0), "Row "&amp;Courses!$A211&amp;", "&amp;BD$9&amp;", "&amp;BD$10&amp;", "&amp;BD$11&amp;"; ","")</f>
        <v/>
      </c>
      <c r="BE217" t="str">
        <f>IF(AND($W$9=1,Courses!N211&lt;0), "Row "&amp;Courses!$A211&amp;", "&amp;BE$9&amp;", "&amp;BE$10&amp;", "&amp;BE$11&amp;"; ","")</f>
        <v/>
      </c>
      <c r="BF217" t="str">
        <f>IF(AND($W$9=1,Courses!O211&lt;0), "Row "&amp;Courses!$A211&amp;", "&amp;BF$9&amp;", "&amp;BF$10&amp;", "&amp;BF$11&amp;"; ","")</f>
        <v/>
      </c>
      <c r="BG217" t="str">
        <f>IF(AND($W$9=1,Courses!P211&lt;0), "Row "&amp;Courses!$A211&amp;", "&amp;BG$9&amp;", "&amp;BG$10&amp;", "&amp;BG$11&amp;"; ","")</f>
        <v/>
      </c>
      <c r="BH217" s="2120" t="str">
        <f>IF(AND($W$9=1,Courses!Q211&lt;0), "Row "&amp;Courses!$A211&amp;", "&amp;BH$9&amp;", "&amp;BH$10&amp;"; ","")</f>
        <v/>
      </c>
      <c r="BI217" s="1593" t="str">
        <f>IF(AND($W$9=1,Courses!R211&lt;0), "Row "&amp;Courses!$A211&amp;", "&amp;BI$9&amp;", "&amp;BI$10&amp;", "&amp;BI$11&amp;"; ","")</f>
        <v/>
      </c>
      <c r="BJ217" t="str">
        <f>IF(AND($W$9=1,Courses!S211&lt;0), "Row "&amp;Courses!$A211&amp;", "&amp;BJ$9&amp;", "&amp;BJ$10&amp;", "&amp;BJ$11&amp;"; ","")</f>
        <v/>
      </c>
      <c r="BK217" t="str">
        <f>IF(AND($W$9=1,Courses!T211&lt;0), "Row "&amp;Courses!$A211&amp;", "&amp;BK$9&amp;", "&amp;BK$10&amp;", "&amp;BK$11&amp;"; ","")</f>
        <v/>
      </c>
      <c r="BL217" t="str">
        <f>IF(AND($W$9=1,Courses!U211&lt;0), "Row "&amp;Courses!$A211&amp;", "&amp;BL$9&amp;", "&amp;BL$10&amp;", "&amp;BL$11&amp;"; ","")</f>
        <v/>
      </c>
      <c r="BM217" s="2120" t="str">
        <f>IF(AND($W$9=1,Courses!V211&lt;0), "Row "&amp;Courses!$A211&amp;", "&amp;BM$9&amp;", "&amp;BM$10&amp;"; ","")</f>
        <v/>
      </c>
      <c r="BN217" t="str">
        <f>IF(AND($W$9=1,Courses!W211&lt;0), "Row "&amp;Courses!$A211&amp;", "&amp;BN$9&amp;", "&amp;BN$10&amp;", "&amp;BN$11&amp;"; ","")</f>
        <v/>
      </c>
      <c r="BO217" t="str">
        <f>IF(AND($W$9=1,Courses!X211&lt;0), "Row "&amp;Courses!$A211&amp;", "&amp;BO$9&amp;", "&amp;BO$10&amp;", "&amp;BO$11&amp;"; ","")</f>
        <v/>
      </c>
      <c r="BP217" t="str">
        <f>IF(AND($W$9=1,Courses!Y211&lt;0), "Row "&amp;Courses!$A211&amp;", "&amp;BP$9&amp;", "&amp;BP$10&amp;", "&amp;BP$11&amp;"; ","")</f>
        <v/>
      </c>
      <c r="BQ217" t="str">
        <f>IF(AND($W$9=1,Courses!Z211&lt;0), "Row "&amp;Courses!$A211&amp;", "&amp;BQ$9&amp;", "&amp;BQ$10&amp;", "&amp;BQ$11&amp;"; ","")</f>
        <v/>
      </c>
      <c r="BR217" s="2120" t="str">
        <f>IF(AND($W$9=1,Courses!AA211&lt;0), "Row "&amp;Courses!$A211&amp;", "&amp;BR$9&amp;", "&amp;BR$10&amp;"; ","")</f>
        <v/>
      </c>
      <c r="BT217" s="3">
        <f t="shared" si="5"/>
        <v>198</v>
      </c>
      <c r="BU217" s="40">
        <f>IF(AND($X$9=1,Courses!B211="",Courses!F211="",Courses!H211="",Courses!J211="",Courses!K211="",Courses!L211="",Courses!M211=0,Courses!N211=0,Courses!O211=0,Courses!P211=0,Courses!Q211=0,Courses!R211=0,Courses!S211=0,Courses!T211=0,Courses!U211=0,Courses!V211=0,Courses!W211=0,Courses!X211=0,Courses!Y211=0,Courses!Z211=0,Courses!AA211=0),0,1)</f>
        <v>0</v>
      </c>
      <c r="BV217" s="40">
        <f>IF(AND(BU217=0,SUM(BU218:$BU$219)&gt;0),1,0)</f>
        <v>0</v>
      </c>
      <c r="BW217" s="1592" t="str">
        <f>IF(BV217=1,"Row "&amp;Courses!A211&amp;"; ","")</f>
        <v/>
      </c>
      <c r="BX217" s="17"/>
      <c r="BZ217" s="1592" t="str">
        <f>IF(AND($Y$9=1,Courses!B211&lt;&gt;"",SUM(Courses!M211:AA211)=0),"Row "&amp;Courses!A211&amp;"; ","")</f>
        <v/>
      </c>
      <c r="CA217" s="17"/>
      <c r="CC217" s="1592" t="str">
        <f>IF(AND($Z$9=1,Courses!AD211=1,(LEN(Courses!AB211)&gt;200)),"Row "&amp;Courses!A211&amp;"; ","")</f>
        <v/>
      </c>
      <c r="CE217" s="131"/>
      <c r="CG217" s="1593" t="str">
        <f>IF(AND($AD$9=1,Courses!E211&lt;&gt;"",Courses!F211&lt;&gt;"",Courses!F211=0,SUM(Courses!H211,Courses!J211)=1),"Row "&amp;Courses!A211&amp;", "&amp;Courses!$F$10&amp;"; ","")</f>
        <v/>
      </c>
      <c r="CH217" t="str">
        <f>IF(AND($AD$9=1,Courses!G211&lt;&gt;"",Courses!H211&lt;&gt;"",Courses!H211=0,SUM(Courses!J211,Courses!F211)=1),"Row "&amp;Courses!A211&amp;", "&amp;Courses!$H$10&amp;"; ","")</f>
        <v/>
      </c>
      <c r="CI217" s="183" t="str">
        <f>IF(AND($AD$9=1,Courses!I211&lt;&gt;"",Courses!J211&lt;&gt;"",Courses!J211=0, SUM(Courses!H211,Courses!F211)=1),"Row "&amp;Courses!A211&amp;", "&amp;Courses!$J$10&amp;"; ","")</f>
        <v/>
      </c>
      <c r="CL217" s="1592" t="str">
        <f>IF(AND(Courses!B211&lt;&gt;"",ISNA(VLOOKUP(Courses!C211,CourseInfo,2,FALSE))=FALSE,COUNTIF(Dummy,Courses!C211)&lt;&gt;1),VLOOKUP(Courses!C211,CourseInfo,6,FALSE),"")</f>
        <v/>
      </c>
      <c r="CM217" s="1592" t="str">
        <f>IF(AND($AE$9=1,Courses!B211&lt;&gt;"",'Courses Valid'!AG217="",COUNTIF(Dummy,Courses!C211)&lt;&gt;1),IF(Courses!K211&lt;&gt;'Courses Valid'!CL217,"Row "&amp;Courses!A211&amp;", Level on LARS is "&amp;'Courses Valid'!CL217&amp;"; ",""),"")</f>
        <v/>
      </c>
      <c r="CN217" s="131"/>
    </row>
    <row r="218" spans="3:92" x14ac:dyDescent="0.35">
      <c r="C218" s="1595">
        <f t="shared" si="6"/>
        <v>0</v>
      </c>
      <c r="G218" s="1592" t="str">
        <f>IF(SUMPRODUCT(--(CourseAims=Courses!$C212))=1,"",IF(AND($N$9=1,Courses!$C212&lt;&gt;""),"Row "&amp;Courses!A212&amp;" (invalid); ",""))</f>
        <v/>
      </c>
      <c r="H218" s="1592" t="str">
        <f>IF(AND($O$9=1,Courses!B212="",OR(Courses!F212&lt;&gt;"",Courses!H212&lt;&gt;"",Courses!J212&lt;&gt;"",Courses!K212&lt;&gt;"",Courses!L212&lt;&gt;"",Courses!M212&lt;&gt;0,Courses!N212&lt;&gt;0,Courses!O212&lt;&gt;0,Courses!P212&lt;&gt;0,Courses!Q212&lt;&gt;0,Courses!R212&lt;&gt;0,Courses!S212&lt;&gt;0,Courses!T212&lt;&gt;0,Courses!U212&lt;&gt;0,Courses!V212&lt;&gt;0,Courses!W212&lt;&gt;0,Courses!X212&lt;&gt;0,Courses!Y212&lt;&gt;0,Courses!Z212&lt;&gt;0,Courses!AA212&lt;&gt;0)),"Row "&amp;Courses!A212&amp;" (none); ","")</f>
        <v/>
      </c>
      <c r="K218" s="1592" t="str">
        <f>Courses!B212&amp;Courses!K212&amp;Courses!L212</f>
        <v/>
      </c>
      <c r="L218" s="1592" t="str">
        <f>IF(AND($P$9=1,Courses!$B212&lt;&gt;"",COUNTIF(Dummy,Courses!$C212)&lt;&gt;1),IF(SUMPRODUCT(--($K$20:$K$219=$K218))&gt;1,"Row "&amp;Courses!$A212&amp;"; ",""),"")</f>
        <v/>
      </c>
      <c r="O218" s="1593" t="str">
        <f>IF(AND($Q$9=1,Courses!E212&lt;&gt;"",Courses!F212=""),"Row "&amp;Courses!A212&amp;", "&amp;Courses!$E$10&amp;"; ","")</f>
        <v/>
      </c>
      <c r="P218" t="str">
        <f>IF(AND($Q$9=1,Courses!G212&lt;&gt;"",Courses!H212=""),"Row "&amp;Courses!A212&amp;", "&amp;Courses!$G$10&amp;"; ","")</f>
        <v/>
      </c>
      <c r="Q218" s="183" t="str">
        <f>IF(AND($Q$9=1,Courses!I212&lt;&gt;"",Courses!J212=""),"Row "&amp;Courses!A212&amp;", "&amp;Courses!$I$10&amp;"; ","")</f>
        <v/>
      </c>
      <c r="U218" s="1593" t="str">
        <f>IF(AND($R$9=1,Courses!B212&lt;&gt;"",Courses!E212&lt;&gt;"",Courses!G212="",Courses!I212="",Courses!F212&lt;&gt;1),"Row "&amp;Courses!A212&amp;"; ","")</f>
        <v/>
      </c>
      <c r="V218" t="str">
        <f>IF(AND($R$9=1,Courses!B212&lt;&gt;"",Courses!I212="",Courses!F212&lt;&gt;"",Courses!G212&lt;&gt;"",Courses!H212&lt;&gt;""),IF(OR((Courses!F212+Courses!H212)&lt;&gt;1),"Row "&amp;Courses!A212&amp;"; ",""),"")</f>
        <v/>
      </c>
      <c r="W218" s="183" t="str">
        <f>IF(AND($R$9=1,Courses!B212&lt;&gt;"",Courses!I212&lt;&gt;"",Courses!J212&lt;&gt;"",Courses!H212&lt;&gt;"",Courses!G212&lt;&gt;"",Courses!F212&lt;&gt;""),IF(OR((Courses!F212+Courses!H212+Courses!J212)&lt;&gt;1),"Row "&amp;Courses!A212&amp;"; ",""),"")</f>
        <v/>
      </c>
      <c r="Y218" s="1592" t="str">
        <f>IF(AND($R$9=1,Courses!E212&lt;&gt;"",U218="",V218="",W218="",SUM(Courses!F212,Courses!H212,Courses!J212)&lt;&gt;1),"Row "&amp;Courses!A212&amp;"; ","")</f>
        <v/>
      </c>
      <c r="AB218" s="1593" t="str">
        <f>IF(AND($S$9=1,Courses!B212&lt;&gt;"",Courses!E212&lt;&gt;"",Courses!F212&lt;&gt;""),IF((TRUNC(Courses!F212*100)&lt;&gt;Courses!F212*100),"Row "&amp;Courses!A212&amp;", "&amp;Courses!$F$10&amp;"; ",""),"")</f>
        <v/>
      </c>
      <c r="AC218" t="str">
        <f>IF(AND($S$9=1,Courses!B212&lt;&gt;"",Courses!G212&lt;&gt;"",Courses!H212&lt;&gt;""),IF((TRUNC(Courses!H212*100)&lt;&gt;Courses!H212*100),"Row "&amp;Courses!A212&amp;", "&amp;Courses!$H$10&amp;"; ",""),"")</f>
        <v/>
      </c>
      <c r="AD218" s="183" t="str">
        <f>IF(AND($S$9=1,Courses!B212&lt;&gt;"",Courses!I212&lt;&gt;"",Courses!J212&lt;&gt;""),IF((TRUNC(Courses!J212*100)&lt;&gt;Courses!J212*100),"Row "&amp;Courses!A212&amp;", "&amp;Courses!$J$10&amp;"; ",""),"")</f>
        <v/>
      </c>
      <c r="AG218" s="1593" t="str">
        <f>IF(AND($T$9=1,G218="",Courses!B212&lt;&gt;"",Courses!K212&lt;&gt;$B$9,Courses!K212&lt;&gt;$B$10,Courses!K212&lt;&gt;$B$11,Courses!K212&lt;&gt;$B$12,Courses!K212&lt;&gt;$B$13,Courses!K212&lt;&gt;$B$14),"Row "&amp;Courses!A212&amp;"; ","")</f>
        <v/>
      </c>
      <c r="AH218" s="183" t="str">
        <f>IF(AND($U$9=1,G218="",Courses!B212&lt;&gt;"",Courses!L212&lt;&gt;"Standard",Courses!L212&lt;&gt;"Long"),"Row "&amp;Courses!A212&amp;"; ","")</f>
        <v/>
      </c>
      <c r="AK218" s="40">
        <v>199</v>
      </c>
      <c r="AL218" s="1593" t="str">
        <f>IF(AND($V$9=1,(TRUNC(Courses!M212)&lt;&gt;Courses!M212)), "Row "&amp;Courses!$A212&amp;", "&amp;AL$9&amp;", "&amp;AL$10&amp;", "&amp;AL$11&amp;"; ","")</f>
        <v/>
      </c>
      <c r="AM218" t="str">
        <f>IF(AND($V$9=1,(TRUNC(Courses!N212)&lt;&gt;Courses!N212)), "Row "&amp;Courses!$A212&amp;", "&amp;AM$9&amp;", "&amp;AM$10&amp;", "&amp;AM$11&amp;"; ","")</f>
        <v/>
      </c>
      <c r="AN218" t="str">
        <f>IF(AND($V$9=1,(TRUNC(Courses!O212)&lt;&gt;Courses!O212)), "Row "&amp;Courses!$A212&amp;", "&amp;AN$9&amp;", "&amp;AN$10&amp;", "&amp;AN$11&amp;"; ","")</f>
        <v/>
      </c>
      <c r="AO218" t="str">
        <f>IF(AND($V$9=1,(TRUNC(Courses!P212)&lt;&gt;Courses!P212)), "Row "&amp;Courses!$A212&amp;", "&amp;AO$9&amp;", "&amp;AO$10&amp;", "&amp;AO$11&amp;"; ","")</f>
        <v/>
      </c>
      <c r="AP218" s="2120" t="str">
        <f>IF(AND($V$9=1,(TRUNC(Courses!Q212)&lt;&gt;Courses!Q212)), "Row "&amp;Courses!$A212&amp;", "&amp;AP$9&amp;", "&amp;AP$10&amp;"; ","")</f>
        <v/>
      </c>
      <c r="AQ218" s="1593" t="str">
        <f>IF(AND($V$9=1,(TRUNC(Courses!R212)&lt;&gt;Courses!R212)), "Row "&amp;Courses!$A212&amp;", "&amp;AQ$9&amp;", "&amp;AQ$10&amp;", "&amp;AQ$11&amp;"; ","")</f>
        <v/>
      </c>
      <c r="AR218" t="str">
        <f>IF(AND($V$9=1,(TRUNC(Courses!S212)&lt;&gt;Courses!S212)), "Row "&amp;Courses!$A212&amp;", "&amp;AR$9&amp;", "&amp;AR$10&amp;", "&amp;AR$11&amp;"; ","")</f>
        <v/>
      </c>
      <c r="AS218" t="str">
        <f>IF(AND($V$9=1,(TRUNC(Courses!T212)&lt;&gt;Courses!T212)), "Row "&amp;Courses!$A212&amp;", "&amp;AS$9&amp;", "&amp;AS$10&amp;", "&amp;AS$11&amp;"; ","")</f>
        <v/>
      </c>
      <c r="AT218" t="str">
        <f>IF(AND($V$9=1,(TRUNC(Courses!U212)&lt;&gt;Courses!U212)), "Row "&amp;Courses!$A212&amp;", "&amp;AT$9&amp;", "&amp;AT$10&amp;", "&amp;AT$11&amp;"; ","")</f>
        <v/>
      </c>
      <c r="AU218" s="2120" t="str">
        <f>IF(AND($V$9=1,(TRUNC(Courses!V212)&lt;&gt;Courses!V212)), "Row "&amp;Courses!$A212&amp;", "&amp;AU$9&amp;", "&amp;AU$10&amp;"; ","")</f>
        <v/>
      </c>
      <c r="AV218" t="str">
        <f>IF(AND($V$9=1,(TRUNC(Courses!W212)&lt;&gt;Courses!W212)), "Row "&amp;Courses!$A212&amp;", "&amp;AV$9&amp;", "&amp;AV$10&amp;", "&amp;AV$11&amp;"; ","")</f>
        <v/>
      </c>
      <c r="AW218" t="str">
        <f>IF(AND($V$9=1,(TRUNC(Courses!X212)&lt;&gt;Courses!X212)), "Row "&amp;Courses!$A212&amp;", "&amp;AW$9&amp;", "&amp;AW$10&amp;", "&amp;AW$11&amp;"; ","")</f>
        <v/>
      </c>
      <c r="AX218" t="str">
        <f>IF(AND($V$9=1,(TRUNC(Courses!Y212)&lt;&gt;Courses!Y212)), "Row "&amp;Courses!$A212&amp;", "&amp;AX$9&amp;", "&amp;AX$10&amp;", "&amp;AX$11&amp;"; ","")</f>
        <v/>
      </c>
      <c r="AY218" t="str">
        <f>IF(AND($V$9=1,(TRUNC(Courses!Z212)&lt;&gt;Courses!Z212)), "Row "&amp;Courses!$A212&amp;", "&amp;AY$9&amp;", "&amp;AY$10&amp;", "&amp;AY$11&amp;"; ","")</f>
        <v/>
      </c>
      <c r="AZ218" s="2120" t="str">
        <f>IF(AND($V$9=1,(TRUNC(Courses!AA212)&lt;&gt;Courses!AA212)), "Row "&amp;Courses!$A212&amp;", "&amp;AZ$9&amp;", "&amp;AZ$10&amp;"; ","")</f>
        <v/>
      </c>
      <c r="BC218" s="40">
        <v>199</v>
      </c>
      <c r="BD218" s="1593" t="str">
        <f>IF(AND($W$9=1,Courses!M212&lt;0), "Row "&amp;Courses!$A212&amp;", "&amp;BD$9&amp;", "&amp;BD$10&amp;", "&amp;BD$11&amp;"; ","")</f>
        <v/>
      </c>
      <c r="BE218" t="str">
        <f>IF(AND($W$9=1,Courses!N212&lt;0), "Row "&amp;Courses!$A212&amp;", "&amp;BE$9&amp;", "&amp;BE$10&amp;", "&amp;BE$11&amp;"; ","")</f>
        <v/>
      </c>
      <c r="BF218" t="str">
        <f>IF(AND($W$9=1,Courses!O212&lt;0), "Row "&amp;Courses!$A212&amp;", "&amp;BF$9&amp;", "&amp;BF$10&amp;", "&amp;BF$11&amp;"; ","")</f>
        <v/>
      </c>
      <c r="BG218" t="str">
        <f>IF(AND($W$9=1,Courses!P212&lt;0), "Row "&amp;Courses!$A212&amp;", "&amp;BG$9&amp;", "&amp;BG$10&amp;", "&amp;BG$11&amp;"; ","")</f>
        <v/>
      </c>
      <c r="BH218" s="2120" t="str">
        <f>IF(AND($W$9=1,Courses!Q212&lt;0), "Row "&amp;Courses!$A212&amp;", "&amp;BH$9&amp;", "&amp;BH$10&amp;"; ","")</f>
        <v/>
      </c>
      <c r="BI218" s="1593" t="str">
        <f>IF(AND($W$9=1,Courses!R212&lt;0), "Row "&amp;Courses!$A212&amp;", "&amp;BI$9&amp;", "&amp;BI$10&amp;", "&amp;BI$11&amp;"; ","")</f>
        <v/>
      </c>
      <c r="BJ218" t="str">
        <f>IF(AND($W$9=1,Courses!S212&lt;0), "Row "&amp;Courses!$A212&amp;", "&amp;BJ$9&amp;", "&amp;BJ$10&amp;", "&amp;BJ$11&amp;"; ","")</f>
        <v/>
      </c>
      <c r="BK218" t="str">
        <f>IF(AND($W$9=1,Courses!T212&lt;0), "Row "&amp;Courses!$A212&amp;", "&amp;BK$9&amp;", "&amp;BK$10&amp;", "&amp;BK$11&amp;"; ","")</f>
        <v/>
      </c>
      <c r="BL218" t="str">
        <f>IF(AND($W$9=1,Courses!U212&lt;0), "Row "&amp;Courses!$A212&amp;", "&amp;BL$9&amp;", "&amp;BL$10&amp;", "&amp;BL$11&amp;"; ","")</f>
        <v/>
      </c>
      <c r="BM218" s="2120" t="str">
        <f>IF(AND($W$9=1,Courses!V212&lt;0), "Row "&amp;Courses!$A212&amp;", "&amp;BM$9&amp;", "&amp;BM$10&amp;"; ","")</f>
        <v/>
      </c>
      <c r="BN218" t="str">
        <f>IF(AND($W$9=1,Courses!W212&lt;0), "Row "&amp;Courses!$A212&amp;", "&amp;BN$9&amp;", "&amp;BN$10&amp;", "&amp;BN$11&amp;"; ","")</f>
        <v/>
      </c>
      <c r="BO218" t="str">
        <f>IF(AND($W$9=1,Courses!X212&lt;0), "Row "&amp;Courses!$A212&amp;", "&amp;BO$9&amp;", "&amp;BO$10&amp;", "&amp;BO$11&amp;"; ","")</f>
        <v/>
      </c>
      <c r="BP218" t="str">
        <f>IF(AND($W$9=1,Courses!Y212&lt;0), "Row "&amp;Courses!$A212&amp;", "&amp;BP$9&amp;", "&amp;BP$10&amp;", "&amp;BP$11&amp;"; ","")</f>
        <v/>
      </c>
      <c r="BQ218" t="str">
        <f>IF(AND($W$9=1,Courses!Z212&lt;0), "Row "&amp;Courses!$A212&amp;", "&amp;BQ$9&amp;", "&amp;BQ$10&amp;", "&amp;BQ$11&amp;"; ","")</f>
        <v/>
      </c>
      <c r="BR218" s="2120" t="str">
        <f>IF(AND($W$9=1,Courses!AA212&lt;0), "Row "&amp;Courses!$A212&amp;", "&amp;BR$9&amp;", "&amp;BR$10&amp;"; ","")</f>
        <v/>
      </c>
      <c r="BT218" s="3">
        <f t="shared" si="5"/>
        <v>199</v>
      </c>
      <c r="BU218" s="40">
        <f>IF(AND($X$9=1,Courses!B212="",Courses!F212="",Courses!H212="",Courses!J212="",Courses!K212="",Courses!L212="",Courses!M212=0,Courses!N212=0,Courses!O212=0,Courses!P212=0,Courses!Q212=0,Courses!R212=0,Courses!S212=0,Courses!T212=0,Courses!U212=0,Courses!V212=0,Courses!W212=0,Courses!X212=0,Courses!Y212=0,Courses!Z212=0,Courses!AA212=0),0,1)</f>
        <v>0</v>
      </c>
      <c r="BV218" s="40">
        <f>IF(AND(BU218=0,SUM(BU219:$BU$219)&gt;0),1,0)</f>
        <v>0</v>
      </c>
      <c r="BW218" s="1592" t="str">
        <f>IF(BV218=1,"Row "&amp;Courses!A212&amp;"; ","")</f>
        <v/>
      </c>
      <c r="BX218" s="17"/>
      <c r="BZ218" s="1592" t="str">
        <f>IF(AND($Y$9=1,Courses!B212&lt;&gt;"",SUM(Courses!M212:AA212)=0),"Row "&amp;Courses!A212&amp;"; ","")</f>
        <v/>
      </c>
      <c r="CA218" s="17"/>
      <c r="CC218" s="1592" t="str">
        <f>IF(AND($Z$9=1,Courses!AD212=1,(LEN(Courses!AB212)&gt;200)),"Row "&amp;Courses!A212&amp;"; ","")</f>
        <v/>
      </c>
      <c r="CE218" s="131"/>
      <c r="CG218" s="1593" t="str">
        <f>IF(AND($AD$9=1,Courses!E212&lt;&gt;"",Courses!F212&lt;&gt;"",Courses!F212=0,SUM(Courses!H212,Courses!J212)=1),"Row "&amp;Courses!A212&amp;", "&amp;Courses!$F$10&amp;"; ","")</f>
        <v/>
      </c>
      <c r="CH218" t="str">
        <f>IF(AND($AD$9=1,Courses!G212&lt;&gt;"",Courses!H212&lt;&gt;"",Courses!H212=0,SUM(Courses!J212,Courses!F212)=1),"Row "&amp;Courses!A212&amp;", "&amp;Courses!$H$10&amp;"; ","")</f>
        <v/>
      </c>
      <c r="CI218" s="183" t="str">
        <f>IF(AND($AD$9=1,Courses!I212&lt;&gt;"",Courses!J212&lt;&gt;"",Courses!J212=0, SUM(Courses!H212,Courses!F212)=1),"Row "&amp;Courses!A212&amp;", "&amp;Courses!$J$10&amp;"; ","")</f>
        <v/>
      </c>
      <c r="CL218" s="1592" t="str">
        <f>IF(AND(Courses!B212&lt;&gt;"",ISNA(VLOOKUP(Courses!C212,CourseInfo,2,FALSE))=FALSE,COUNTIF(Dummy,Courses!C212)&lt;&gt;1),VLOOKUP(Courses!C212,CourseInfo,6,FALSE),"")</f>
        <v/>
      </c>
      <c r="CM218" s="1592" t="str">
        <f>IF(AND($AE$9=1,Courses!B212&lt;&gt;"",'Courses Valid'!AG218="",COUNTIF(Dummy,Courses!C212)&lt;&gt;1),IF(Courses!K212&lt;&gt;'Courses Valid'!CL218,"Row "&amp;Courses!A212&amp;", Level on LARS is "&amp;'Courses Valid'!CL218&amp;"; ",""),"")</f>
        <v/>
      </c>
      <c r="CN218" s="131"/>
    </row>
    <row r="219" spans="3:92" x14ac:dyDescent="0.35">
      <c r="C219" s="217">
        <f t="shared" si="6"/>
        <v>0</v>
      </c>
      <c r="G219" s="187" t="str">
        <f>IF(SUMPRODUCT(--(CourseAims=Courses!$C213))=1,"",IF(AND($N$9=1,Courses!$C213&lt;&gt;""),"Row "&amp;Courses!A213&amp;" (invalid); ",""))</f>
        <v/>
      </c>
      <c r="H219" s="187" t="str">
        <f>IF(AND($O$9=1,Courses!B213="",OR(Courses!F213&lt;&gt;"",Courses!H213&lt;&gt;"",Courses!J213&lt;&gt;"",Courses!K213&lt;&gt;"",Courses!L213&lt;&gt;"",Courses!M213&lt;&gt;0,Courses!N213&lt;&gt;0,Courses!O213&lt;&gt;0,Courses!P213&lt;&gt;0,Courses!Q213&lt;&gt;0,Courses!R213&lt;&gt;0,Courses!S213&lt;&gt;0,Courses!T213&lt;&gt;0,Courses!U213&lt;&gt;0,Courses!V213&lt;&gt;0,Courses!W213&lt;&gt;0,Courses!X213&lt;&gt;0,Courses!Y213&lt;&gt;0,Courses!Z213&lt;&gt;0,Courses!AA213&lt;&gt;0)),"Row "&amp;Courses!A213&amp;" (none); ","")</f>
        <v/>
      </c>
      <c r="K219" s="187" t="str">
        <f>Courses!B213&amp;Courses!K213&amp;Courses!L213</f>
        <v/>
      </c>
      <c r="L219" s="187" t="str">
        <f>IF(AND($P$9=1,Courses!$B213&lt;&gt;"",COUNTIF(Dummy,Courses!$C213)&lt;&gt;1),IF(SUMPRODUCT(--($K$20:$K$219=$K219))&gt;1,"Row "&amp;Courses!$A213&amp;"; ",""),"")</f>
        <v/>
      </c>
      <c r="O219" s="188" t="str">
        <f>IF(AND($Q$9=1,Courses!E213&lt;&gt;"",Courses!F213=""),"Row "&amp;Courses!A213&amp;", "&amp;Courses!$E$10&amp;"; ","")</f>
        <v/>
      </c>
      <c r="P219" s="189" t="str">
        <f>IF(AND($Q$9=1,Courses!G213&lt;&gt;"",Courses!H213=""),"Row "&amp;Courses!A213&amp;", "&amp;Courses!$G$10&amp;"; ","")</f>
        <v/>
      </c>
      <c r="Q219" s="31" t="str">
        <f>IF(AND($Q$9=1,Courses!I213&lt;&gt;"",Courses!J213=""),"Row "&amp;Courses!A213&amp;", "&amp;Courses!$I$10&amp;"; ","")</f>
        <v/>
      </c>
      <c r="U219" s="188" t="str">
        <f>IF(AND($R$9=1,Courses!B213&lt;&gt;"",Courses!E213&lt;&gt;"",Courses!G213="",Courses!I213="",Courses!F213&lt;&gt;1),"Row "&amp;Courses!A213&amp;"; ","")</f>
        <v/>
      </c>
      <c r="V219" s="189" t="str">
        <f>IF(AND($R$9=1,Courses!B213&lt;&gt;"",Courses!I213="",Courses!F213&lt;&gt;"",Courses!G213&lt;&gt;"",Courses!H213&lt;&gt;""),IF(OR((Courses!F213+Courses!H213)&lt;&gt;1),"Row "&amp;Courses!A213&amp;"; ",""),"")</f>
        <v/>
      </c>
      <c r="W219" s="31" t="str">
        <f>IF(AND($R$9=1,Courses!B213&lt;&gt;"",Courses!I213&lt;&gt;"",Courses!J213&lt;&gt;"",Courses!H213&lt;&gt;"",Courses!G213&lt;&gt;"",Courses!F213&lt;&gt;""),IF(OR((Courses!F213+Courses!H213+Courses!J213)&lt;&gt;1),"Row "&amp;Courses!A213&amp;"; ",""),"")</f>
        <v/>
      </c>
      <c r="Y219" s="187" t="str">
        <f>IF(AND($R$9=1,Courses!E213&lt;&gt;"",U219="",V219="",W219="",SUM(Courses!F213,Courses!H213,Courses!J213)&lt;&gt;1),"Row "&amp;Courses!A213&amp;"; ","")</f>
        <v/>
      </c>
      <c r="AB219" s="188" t="str">
        <f>IF(AND($S$9=1,Courses!B213&lt;&gt;"",Courses!E213&lt;&gt;"",Courses!F213&lt;&gt;""),IF((TRUNC(Courses!F213*100)&lt;&gt;Courses!F213*100),"Row "&amp;Courses!A213&amp;", "&amp;Courses!$F$10&amp;"; ",""),"")</f>
        <v/>
      </c>
      <c r="AC219" s="189" t="str">
        <f>IF(AND($S$9=1,Courses!B213&lt;&gt;"",Courses!G213&lt;&gt;"",Courses!H213&lt;&gt;""),IF((TRUNC(Courses!H213*100)&lt;&gt;Courses!H213*100),"Row "&amp;Courses!A213&amp;", "&amp;Courses!$H$10&amp;"; ",""),"")</f>
        <v/>
      </c>
      <c r="AD219" s="31" t="str">
        <f>IF(AND($S$9=1,Courses!B213&lt;&gt;"",Courses!I213&lt;&gt;"",Courses!J213&lt;&gt;""),IF((TRUNC(Courses!J213*100)&lt;&gt;Courses!J213*100),"Row "&amp;Courses!A213&amp;", "&amp;Courses!$J$10&amp;"; ",""),"")</f>
        <v/>
      </c>
      <c r="AG219" s="188" t="str">
        <f>IF(AND($T$9=1,G219="",Courses!B213&lt;&gt;"",Courses!K213&lt;&gt;$B$9,Courses!K213&lt;&gt;$B$10,Courses!K213&lt;&gt;$B$11,Courses!K213&lt;&gt;$B$12,Courses!K213&lt;&gt;$B$13,Courses!K213&lt;&gt;$B$14),"Row "&amp;Courses!A213&amp;"; ","")</f>
        <v/>
      </c>
      <c r="AH219" s="31" t="str">
        <f>IF(AND($U$9=1,G219="",Courses!B213&lt;&gt;"",Courses!L213&lt;&gt;"Standard",Courses!L213&lt;&gt;"Long"),"Row "&amp;Courses!A213&amp;"; ","")</f>
        <v/>
      </c>
      <c r="AK219" s="40">
        <v>200</v>
      </c>
      <c r="AL219" s="188" t="str">
        <f>IF(AND($V$9=1,(TRUNC(Courses!M213)&lt;&gt;Courses!M213)), "Row "&amp;Courses!$A213&amp;", "&amp;AL$9&amp;", "&amp;AL$10&amp;", "&amp;AL$11&amp;"; ","")</f>
        <v/>
      </c>
      <c r="AM219" s="189" t="str">
        <f>IF(AND($V$9=1,(TRUNC(Courses!N213)&lt;&gt;Courses!N213)), "Row "&amp;Courses!$A213&amp;", "&amp;AM$9&amp;", "&amp;AM$10&amp;", "&amp;AM$11&amp;"; ","")</f>
        <v/>
      </c>
      <c r="AN219" s="189" t="str">
        <f>IF(AND($V$9=1,(TRUNC(Courses!O213)&lt;&gt;Courses!O213)), "Row "&amp;Courses!$A213&amp;", "&amp;AN$9&amp;", "&amp;AN$10&amp;", "&amp;AN$11&amp;"; ","")</f>
        <v/>
      </c>
      <c r="AO219" s="189" t="str">
        <f>IF(AND($V$9=1,(TRUNC(Courses!P213)&lt;&gt;Courses!P213)), "Row "&amp;Courses!$A213&amp;", "&amp;AO$9&amp;", "&amp;AO$10&amp;", "&amp;AO$11&amp;"; ","")</f>
        <v/>
      </c>
      <c r="AP219" s="2121" t="str">
        <f>IF(AND($V$9=1,(TRUNC(Courses!Q213)&lt;&gt;Courses!Q213)), "Row "&amp;Courses!$A213&amp;", "&amp;AP$9&amp;", "&amp;AP$10&amp;"; ","")</f>
        <v/>
      </c>
      <c r="AQ219" s="188" t="str">
        <f>IF(AND($V$9=1,(TRUNC(Courses!R213)&lt;&gt;Courses!R213)), "Row "&amp;Courses!$A213&amp;", "&amp;AQ$9&amp;", "&amp;AQ$10&amp;", "&amp;AQ$11&amp;"; ","")</f>
        <v/>
      </c>
      <c r="AR219" s="189" t="str">
        <f>IF(AND($V$9=1,(TRUNC(Courses!S213)&lt;&gt;Courses!S213)), "Row "&amp;Courses!$A213&amp;", "&amp;AR$9&amp;", "&amp;AR$10&amp;", "&amp;AR$11&amp;"; ","")</f>
        <v/>
      </c>
      <c r="AS219" s="189" t="str">
        <f>IF(AND($V$9=1,(TRUNC(Courses!T213)&lt;&gt;Courses!T213)), "Row "&amp;Courses!$A213&amp;", "&amp;AS$9&amp;", "&amp;AS$10&amp;", "&amp;AS$11&amp;"; ","")</f>
        <v/>
      </c>
      <c r="AT219" s="189" t="str">
        <f>IF(AND($V$9=1,(TRUNC(Courses!U213)&lt;&gt;Courses!U213)), "Row "&amp;Courses!$A213&amp;", "&amp;AT$9&amp;", "&amp;AT$10&amp;", "&amp;AT$11&amp;"; ","")</f>
        <v/>
      </c>
      <c r="AU219" s="2121" t="str">
        <f>IF(AND($V$9=1,(TRUNC(Courses!V213)&lt;&gt;Courses!V213)), "Row "&amp;Courses!$A213&amp;", "&amp;AU$9&amp;", "&amp;AU$10&amp;"; ","")</f>
        <v/>
      </c>
      <c r="AV219" s="189" t="str">
        <f>IF(AND($V$9=1,(TRUNC(Courses!W213)&lt;&gt;Courses!W213)), "Row "&amp;Courses!$A213&amp;", "&amp;AV$9&amp;", "&amp;AV$10&amp;", "&amp;AV$11&amp;"; ","")</f>
        <v/>
      </c>
      <c r="AW219" s="189" t="str">
        <f>IF(AND($V$9=1,(TRUNC(Courses!X213)&lt;&gt;Courses!X213)), "Row "&amp;Courses!$A213&amp;", "&amp;AW$9&amp;", "&amp;AW$10&amp;", "&amp;AW$11&amp;"; ","")</f>
        <v/>
      </c>
      <c r="AX219" s="189" t="str">
        <f>IF(AND($V$9=1,(TRUNC(Courses!Y213)&lt;&gt;Courses!Y213)), "Row "&amp;Courses!$A213&amp;", "&amp;AX$9&amp;", "&amp;AX$10&amp;", "&amp;AX$11&amp;"; ","")</f>
        <v/>
      </c>
      <c r="AY219" s="189" t="str">
        <f>IF(AND($V$9=1,(TRUNC(Courses!Z213)&lt;&gt;Courses!Z213)), "Row "&amp;Courses!$A213&amp;", "&amp;AY$9&amp;", "&amp;AY$10&amp;", "&amp;AY$11&amp;"; ","")</f>
        <v/>
      </c>
      <c r="AZ219" s="2121" t="str">
        <f>IF(AND($V$9=1,(TRUNC(Courses!AA213)&lt;&gt;Courses!AA213)), "Row "&amp;Courses!$A213&amp;", "&amp;AZ$9&amp;", "&amp;AZ$10&amp;"; ","")</f>
        <v/>
      </c>
      <c r="BC219" s="40">
        <v>200</v>
      </c>
      <c r="BD219" s="188" t="str">
        <f>IF(AND($W$9=1,Courses!M213&lt;0), "Row "&amp;Courses!$A213&amp;", "&amp;BD$9&amp;", "&amp;BD$10&amp;", "&amp;BD$11&amp;"; ","")</f>
        <v/>
      </c>
      <c r="BE219" s="189" t="str">
        <f>IF(AND($W$9=1,Courses!N213&lt;0), "Row "&amp;Courses!$A213&amp;", "&amp;BE$9&amp;", "&amp;BE$10&amp;", "&amp;BE$11&amp;"; ","")</f>
        <v/>
      </c>
      <c r="BF219" s="189" t="str">
        <f>IF(AND($W$9=1,Courses!O213&lt;0), "Row "&amp;Courses!$A213&amp;", "&amp;BF$9&amp;", "&amp;BF$10&amp;", "&amp;BF$11&amp;"; ","")</f>
        <v/>
      </c>
      <c r="BG219" s="189" t="str">
        <f>IF(AND($W$9=1,Courses!P213&lt;0), "Row "&amp;Courses!$A213&amp;", "&amp;BG$9&amp;", "&amp;BG$10&amp;", "&amp;BG$11&amp;"; ","")</f>
        <v/>
      </c>
      <c r="BH219" s="2121" t="str">
        <f>IF(AND($W$9=1,Courses!Q213&lt;0), "Row "&amp;Courses!$A213&amp;", "&amp;BH$9&amp;", "&amp;BH$10&amp;"; ","")</f>
        <v/>
      </c>
      <c r="BI219" s="188" t="str">
        <f>IF(AND($W$9=1,Courses!R213&lt;0), "Row "&amp;Courses!$A213&amp;", "&amp;BI$9&amp;", "&amp;BI$10&amp;", "&amp;BI$11&amp;"; ","")</f>
        <v/>
      </c>
      <c r="BJ219" s="189" t="str">
        <f>IF(AND($W$9=1,Courses!S213&lt;0), "Row "&amp;Courses!$A213&amp;", "&amp;BJ$9&amp;", "&amp;BJ$10&amp;", "&amp;BJ$11&amp;"; ","")</f>
        <v/>
      </c>
      <c r="BK219" s="189" t="str">
        <f>IF(AND($W$9=1,Courses!T213&lt;0), "Row "&amp;Courses!$A213&amp;", "&amp;BK$9&amp;", "&amp;BK$10&amp;", "&amp;BK$11&amp;"; ","")</f>
        <v/>
      </c>
      <c r="BL219" s="189" t="str">
        <f>IF(AND($W$9=1,Courses!U213&lt;0), "Row "&amp;Courses!$A213&amp;", "&amp;BL$9&amp;", "&amp;BL$10&amp;", "&amp;BL$11&amp;"; ","")</f>
        <v/>
      </c>
      <c r="BM219" s="2121" t="str">
        <f>IF(AND($W$9=1,Courses!V213&lt;0), "Row "&amp;Courses!$A213&amp;", "&amp;BM$9&amp;", "&amp;BM$10&amp;"; ","")</f>
        <v/>
      </c>
      <c r="BN219" s="189" t="str">
        <f>IF(AND($W$9=1,Courses!W213&lt;0), "Row "&amp;Courses!$A213&amp;", "&amp;BN$9&amp;", "&amp;BN$10&amp;", "&amp;BN$11&amp;"; ","")</f>
        <v/>
      </c>
      <c r="BO219" s="189" t="str">
        <f>IF(AND($W$9=1,Courses!X213&lt;0), "Row "&amp;Courses!$A213&amp;", "&amp;BO$9&amp;", "&amp;BO$10&amp;", "&amp;BO$11&amp;"; ","")</f>
        <v/>
      </c>
      <c r="BP219" s="189" t="str">
        <f>IF(AND($W$9=1,Courses!Y213&lt;0), "Row "&amp;Courses!$A213&amp;", "&amp;BP$9&amp;", "&amp;BP$10&amp;", "&amp;BP$11&amp;"; ","")</f>
        <v/>
      </c>
      <c r="BQ219" s="189" t="str">
        <f>IF(AND($W$9=1,Courses!Z213&lt;0), "Row "&amp;Courses!$A213&amp;", "&amp;BQ$9&amp;", "&amp;BQ$10&amp;", "&amp;BQ$11&amp;"; ","")</f>
        <v/>
      </c>
      <c r="BR219" s="2121" t="str">
        <f>IF(AND($W$9=1,Courses!AA213&lt;0), "Row "&amp;Courses!$A213&amp;", "&amp;BR$9&amp;", "&amp;BR$10&amp;"; ","")</f>
        <v/>
      </c>
      <c r="BT219" s="3">
        <f t="shared" si="5"/>
        <v>200</v>
      </c>
      <c r="BU219" s="40">
        <f>IF(AND($X$9=1,Courses!B213="",Courses!F213="",Courses!H213="",Courses!J213="",Courses!K213="",Courses!L213="",Courses!M213=0,Courses!N213=0,Courses!O213=0,Courses!P213=0,Courses!Q213=0,Courses!R213=0,Courses!S213=0,Courses!T213=0,Courses!U213=0,Courses!V213=0,Courses!W213=0,Courses!X213=0,Courses!Y213=0,Courses!Z213=0,Courses!AA213=0),0,1)</f>
        <v>0</v>
      </c>
      <c r="BV219" s="40"/>
      <c r="BW219" s="187" t="str">
        <f>IF(BV219=1,"Row "&amp;Courses!A213&amp;"; ","")</f>
        <v/>
      </c>
      <c r="BX219" s="17"/>
      <c r="BZ219" s="187" t="str">
        <f>IF(AND($Y$9=1,Courses!B213&lt;&gt;"",SUM(Courses!M213:AA213)=0),"Row "&amp;Courses!A213&amp;"; ","")</f>
        <v/>
      </c>
      <c r="CA219" s="17"/>
      <c r="CC219" s="187" t="str">
        <f>IF(AND($Z$9=1,Courses!AD213=1,(LEN(Courses!AB213)&gt;200)),"Row "&amp;Courses!A213&amp;"; ","")</f>
        <v/>
      </c>
      <c r="CE219" s="131"/>
      <c r="CG219" s="188" t="str">
        <f>IF(AND($AD$9=1,Courses!E213&lt;&gt;"",Courses!F213&lt;&gt;"",Courses!F213=0,SUM(Courses!H213,Courses!J213)=1),"Row "&amp;Courses!A213&amp;", "&amp;Courses!$F$10&amp;"; ","")</f>
        <v/>
      </c>
      <c r="CH219" s="189" t="str">
        <f>IF(AND($AD$9=1,Courses!G213&lt;&gt;"",Courses!H213&lt;&gt;"",Courses!H213=0,SUM(Courses!J213,Courses!F213)=1),"Row "&amp;Courses!A213&amp;", "&amp;Courses!$H$10&amp;"; ","")</f>
        <v/>
      </c>
      <c r="CI219" s="31" t="str">
        <f>IF(AND($AD$9=1,Courses!I213&lt;&gt;"",Courses!J213&lt;&gt;"",Courses!J213=0, SUM(Courses!H213,Courses!F213)=1),"Row "&amp;Courses!A213&amp;", "&amp;Courses!$J$10&amp;"; ","")</f>
        <v/>
      </c>
      <c r="CL219" s="187" t="str">
        <f>IF(AND(Courses!B213&lt;&gt;"",ISNA(VLOOKUP(Courses!C213,CourseInfo,2,FALSE))=FALSE,COUNTIF(Dummy,Courses!C213)&lt;&gt;1),VLOOKUP(Courses!C213,CourseInfo,6,FALSE),"")</f>
        <v/>
      </c>
      <c r="CM219" s="187" t="str">
        <f>IF(AND($AE$9=1,Courses!B213&lt;&gt;"",'Courses Valid'!AG219="",COUNTIF(Dummy,Courses!C213)&lt;&gt;1),IF(Courses!K213&lt;&gt;'Courses Valid'!CL219,"Row "&amp;Courses!A213&amp;", Level on LARS is "&amp;'Courses Valid'!CL219&amp;"; ",""),"")</f>
        <v/>
      </c>
      <c r="CN219" s="131"/>
    </row>
    <row r="220" spans="3:92" x14ac:dyDescent="0.35">
      <c r="BX220" s="17"/>
      <c r="BY220" s="119"/>
      <c r="BZ220" s="15"/>
      <c r="CA220" s="25"/>
      <c r="CE220" s="131"/>
      <c r="CF220" s="132"/>
      <c r="CG220" s="133"/>
      <c r="CH220" s="133"/>
      <c r="CI220" s="133"/>
      <c r="CJ220" s="133"/>
      <c r="CK220" s="133"/>
      <c r="CL220" s="133"/>
      <c r="CM220" s="133"/>
      <c r="CN220" s="134"/>
    </row>
    <row r="227" spans="6:31" x14ac:dyDescent="0.35">
      <c r="F227" t="s">
        <v>390</v>
      </c>
    </row>
    <row r="228" spans="6:31" ht="39.4" x14ac:dyDescent="0.35">
      <c r="F228" s="1783" t="s">
        <v>305</v>
      </c>
      <c r="G228" s="506" t="s">
        <v>306</v>
      </c>
      <c r="H228" s="507" t="s">
        <v>307</v>
      </c>
      <c r="I228" s="1784" t="s">
        <v>308</v>
      </c>
      <c r="J228" s="1785" t="s">
        <v>309</v>
      </c>
      <c r="K228" s="1784" t="s">
        <v>310</v>
      </c>
      <c r="L228" s="1785" t="s">
        <v>311</v>
      </c>
      <c r="M228" s="1784" t="s">
        <v>312</v>
      </c>
      <c r="N228" s="1785" t="s">
        <v>313</v>
      </c>
      <c r="O228" s="507" t="s">
        <v>314</v>
      </c>
      <c r="P228" s="507" t="s">
        <v>315</v>
      </c>
      <c r="Q228" s="1786" t="s">
        <v>316</v>
      </c>
      <c r="R228" s="508" t="s">
        <v>317</v>
      </c>
      <c r="S228" s="508" t="s">
        <v>318</v>
      </c>
      <c r="T228" s="508" t="s">
        <v>319</v>
      </c>
      <c r="U228" s="508" t="s">
        <v>320</v>
      </c>
      <c r="V228" s="1786" t="s">
        <v>321</v>
      </c>
      <c r="W228" s="508" t="s">
        <v>322</v>
      </c>
      <c r="X228" s="508" t="s">
        <v>323</v>
      </c>
      <c r="Y228" s="508" t="s">
        <v>324</v>
      </c>
      <c r="Z228" s="508" t="s">
        <v>325</v>
      </c>
      <c r="AA228" s="1786" t="s">
        <v>326</v>
      </c>
      <c r="AB228" s="508" t="s">
        <v>327</v>
      </c>
      <c r="AC228" s="508" t="s">
        <v>328</v>
      </c>
      <c r="AD228" s="508" t="s">
        <v>329</v>
      </c>
      <c r="AE228" s="1785" t="s">
        <v>330</v>
      </c>
    </row>
    <row r="229" spans="6:31" x14ac:dyDescent="0.35">
      <c r="F229" s="1597">
        <f>IF(OR(G20&lt;&gt;"",H20&lt;&gt;"",L20&lt;&gt;""),1,0)</f>
        <v>0</v>
      </c>
      <c r="G229" s="40"/>
      <c r="H229" s="40"/>
      <c r="I229" s="40"/>
      <c r="J229" s="40">
        <f>IF(OR(O20&lt;&gt;"",U20&lt;&gt;"",AB20&lt;&gt;""),1,0)</f>
        <v>0</v>
      </c>
      <c r="K229" s="40"/>
      <c r="L229" s="40">
        <f>IF(OR(P20&lt;&gt;"",V20&lt;&gt;"",AC20&lt;&gt;""),1,0)</f>
        <v>0</v>
      </c>
      <c r="M229" s="40"/>
      <c r="N229" s="40">
        <f>IF(OR(Q20&lt;&gt;"",W20&lt;&gt;"",AD20&lt;&gt;""),1,0)</f>
        <v>0</v>
      </c>
      <c r="O229" s="40">
        <f>IF(OR(L20&lt;&gt;"",AG20&lt;&gt;""),1,0)</f>
        <v>0</v>
      </c>
      <c r="P229" s="40">
        <f>IF(OR(L20&lt;&gt;"",AH20&lt;&gt;""),1,0)</f>
        <v>0</v>
      </c>
      <c r="Q229" s="40">
        <f>IF(OR(AL20&lt;&gt;"",BD20&lt;&gt;"",$BZ20&lt;&gt;""),1,0)</f>
        <v>0</v>
      </c>
      <c r="R229" s="40">
        <f t="shared" ref="R229:AD229" si="7">IF(OR(AM20&lt;&gt;"",BE20&lt;&gt;"",$BZ20&lt;&gt;""),1,0)</f>
        <v>0</v>
      </c>
      <c r="S229" s="40">
        <f t="shared" si="7"/>
        <v>0</v>
      </c>
      <c r="T229" s="40">
        <f t="shared" si="7"/>
        <v>0</v>
      </c>
      <c r="U229" s="40">
        <f t="shared" si="7"/>
        <v>0</v>
      </c>
      <c r="V229" s="40">
        <f t="shared" si="7"/>
        <v>0</v>
      </c>
      <c r="W229" s="40">
        <f t="shared" si="7"/>
        <v>0</v>
      </c>
      <c r="X229" s="40">
        <f t="shared" si="7"/>
        <v>0</v>
      </c>
      <c r="Y229" s="40">
        <f t="shared" si="7"/>
        <v>0</v>
      </c>
      <c r="Z229" s="40">
        <f t="shared" si="7"/>
        <v>0</v>
      </c>
      <c r="AA229" s="40">
        <f t="shared" si="7"/>
        <v>0</v>
      </c>
      <c r="AB229" s="40">
        <f t="shared" si="7"/>
        <v>0</v>
      </c>
      <c r="AC229" s="40">
        <f t="shared" si="7"/>
        <v>0</v>
      </c>
      <c r="AD229" s="40">
        <f t="shared" si="7"/>
        <v>0</v>
      </c>
      <c r="AE229" s="509">
        <f>IF(OR(AZ20&lt;&gt;"",BR20&lt;&gt;"",$BZ20&lt;&gt;""),1,0)</f>
        <v>0</v>
      </c>
    </row>
    <row r="230" spans="6:31" x14ac:dyDescent="0.35">
      <c r="F230" s="1597">
        <f t="shared" ref="F230:F293" si="8">IF(OR(G21&lt;&gt;"",H21&lt;&gt;"",L21&lt;&gt;""),1,0)</f>
        <v>0</v>
      </c>
      <c r="G230" s="40"/>
      <c r="H230" s="40"/>
      <c r="I230" s="40"/>
      <c r="J230" s="40">
        <f t="shared" ref="J230:J293" si="9">IF(OR(O21&lt;&gt;"",U21&lt;&gt;"",AB21&lt;&gt;""),1,0)</f>
        <v>0</v>
      </c>
      <c r="K230" s="40"/>
      <c r="L230" s="40">
        <f t="shared" ref="L230:L293" si="10">IF(OR(P21&lt;&gt;"",V21&lt;&gt;"",AC21&lt;&gt;""),1,0)</f>
        <v>0</v>
      </c>
      <c r="M230" s="40"/>
      <c r="N230" s="40">
        <f t="shared" ref="N230:N293" si="11">IF(OR(Q21&lt;&gt;"",W21&lt;&gt;"",AD21&lt;&gt;""),1,0)</f>
        <v>0</v>
      </c>
      <c r="O230" s="40">
        <f t="shared" ref="O230:O293" si="12">IF(OR(L21&lt;&gt;"",AG21&lt;&gt;""),1,0)</f>
        <v>0</v>
      </c>
      <c r="P230" s="40">
        <f t="shared" ref="P230:P293" si="13">IF(OR(L21&lt;&gt;"",AH21&lt;&gt;""),1,0)</f>
        <v>0</v>
      </c>
      <c r="Q230" s="40">
        <f t="shared" ref="Q230:Q293" si="14">IF(OR(AL21&lt;&gt;"",BD21&lt;&gt;"",$BZ21&lt;&gt;""),1,0)</f>
        <v>0</v>
      </c>
      <c r="R230" s="40">
        <f t="shared" ref="R230:R293" si="15">IF(OR(AM21&lt;&gt;"",BE21&lt;&gt;"",$BZ21&lt;&gt;""),1,0)</f>
        <v>0</v>
      </c>
      <c r="S230" s="40">
        <f t="shared" ref="S230:S293" si="16">IF(OR(AN21&lt;&gt;"",BF21&lt;&gt;"",$BZ21&lt;&gt;""),1,0)</f>
        <v>0</v>
      </c>
      <c r="T230" s="40">
        <f t="shared" ref="T230:T293" si="17">IF(OR(AO21&lt;&gt;"",BG21&lt;&gt;"",$BZ21&lt;&gt;""),1,0)</f>
        <v>0</v>
      </c>
      <c r="U230" s="40">
        <f t="shared" ref="U230:U293" si="18">IF(OR(AP21&lt;&gt;"",BH21&lt;&gt;"",$BZ21&lt;&gt;""),1,0)</f>
        <v>0</v>
      </c>
      <c r="V230" s="40">
        <f t="shared" ref="V230:V293" si="19">IF(OR(AQ21&lt;&gt;"",BI21&lt;&gt;"",$BZ21&lt;&gt;""),1,0)</f>
        <v>0</v>
      </c>
      <c r="W230" s="40">
        <f t="shared" ref="W230:W293" si="20">IF(OR(AR21&lt;&gt;"",BJ21&lt;&gt;"",$BZ21&lt;&gt;""),1,0)</f>
        <v>0</v>
      </c>
      <c r="X230" s="40">
        <f t="shared" ref="X230:X293" si="21">IF(OR(AS21&lt;&gt;"",BK21&lt;&gt;"",$BZ21&lt;&gt;""),1,0)</f>
        <v>0</v>
      </c>
      <c r="Y230" s="40">
        <f t="shared" ref="Y230:Y293" si="22">IF(OR(AT21&lt;&gt;"",BL21&lt;&gt;"",$BZ21&lt;&gt;""),1,0)</f>
        <v>0</v>
      </c>
      <c r="Z230" s="40">
        <f t="shared" ref="Z230:Z293" si="23">IF(OR(AU21&lt;&gt;"",BM21&lt;&gt;"",$BZ21&lt;&gt;""),1,0)</f>
        <v>0</v>
      </c>
      <c r="AA230" s="40">
        <f t="shared" ref="AA230:AA293" si="24">IF(OR(AV21&lt;&gt;"",BN21&lt;&gt;"",$BZ21&lt;&gt;""),1,0)</f>
        <v>0</v>
      </c>
      <c r="AB230" s="40">
        <f t="shared" ref="AB230:AB293" si="25">IF(OR(AW21&lt;&gt;"",BO21&lt;&gt;"",$BZ21&lt;&gt;""),1,0)</f>
        <v>0</v>
      </c>
      <c r="AC230" s="40">
        <f t="shared" ref="AC230:AC293" si="26">IF(OR(AX21&lt;&gt;"",BP21&lt;&gt;"",$BZ21&lt;&gt;""),1,0)</f>
        <v>0</v>
      </c>
      <c r="AD230" s="40">
        <f t="shared" ref="AD230:AE245" si="27">IF(OR(AY21&lt;&gt;"",BQ21&lt;&gt;"",$BZ21&lt;&gt;""),1,0)</f>
        <v>0</v>
      </c>
      <c r="AE230" s="509">
        <f t="shared" si="27"/>
        <v>0</v>
      </c>
    </row>
    <row r="231" spans="6:31" x14ac:dyDescent="0.35">
      <c r="F231" s="1597">
        <f t="shared" si="8"/>
        <v>0</v>
      </c>
      <c r="G231" s="40"/>
      <c r="H231" s="40"/>
      <c r="I231" s="40"/>
      <c r="J231" s="40">
        <f t="shared" si="9"/>
        <v>0</v>
      </c>
      <c r="K231" s="40"/>
      <c r="L231" s="40">
        <f t="shared" si="10"/>
        <v>0</v>
      </c>
      <c r="M231" s="40"/>
      <c r="N231" s="40">
        <f t="shared" si="11"/>
        <v>0</v>
      </c>
      <c r="O231" s="40">
        <f t="shared" si="12"/>
        <v>0</v>
      </c>
      <c r="P231" s="40">
        <f t="shared" si="13"/>
        <v>0</v>
      </c>
      <c r="Q231" s="40">
        <f t="shared" si="14"/>
        <v>0</v>
      </c>
      <c r="R231" s="40">
        <f t="shared" si="15"/>
        <v>0</v>
      </c>
      <c r="S231" s="40">
        <f t="shared" si="16"/>
        <v>0</v>
      </c>
      <c r="T231" s="40">
        <f t="shared" si="17"/>
        <v>0</v>
      </c>
      <c r="U231" s="40">
        <f t="shared" si="18"/>
        <v>0</v>
      </c>
      <c r="V231" s="40">
        <f t="shared" si="19"/>
        <v>0</v>
      </c>
      <c r="W231" s="40">
        <f t="shared" si="20"/>
        <v>0</v>
      </c>
      <c r="X231" s="40">
        <f t="shared" si="21"/>
        <v>0</v>
      </c>
      <c r="Y231" s="40">
        <f t="shared" si="22"/>
        <v>0</v>
      </c>
      <c r="Z231" s="40">
        <f t="shared" si="23"/>
        <v>0</v>
      </c>
      <c r="AA231" s="40">
        <f t="shared" si="24"/>
        <v>0</v>
      </c>
      <c r="AB231" s="40">
        <f t="shared" si="25"/>
        <v>0</v>
      </c>
      <c r="AC231" s="40">
        <f t="shared" si="26"/>
        <v>0</v>
      </c>
      <c r="AD231" s="40">
        <f t="shared" si="27"/>
        <v>0</v>
      </c>
      <c r="AE231" s="509">
        <f t="shared" ref="AE231:AE294" si="28">IF(OR(AZ22&lt;&gt;"",BR22&lt;&gt;"",$BZ22&lt;&gt;""),1,0)</f>
        <v>0</v>
      </c>
    </row>
    <row r="232" spans="6:31" x14ac:dyDescent="0.35">
      <c r="F232" s="1597">
        <f t="shared" si="8"/>
        <v>0</v>
      </c>
      <c r="G232" s="40"/>
      <c r="H232" s="40"/>
      <c r="I232" s="40"/>
      <c r="J232" s="40">
        <f t="shared" si="9"/>
        <v>0</v>
      </c>
      <c r="K232" s="40"/>
      <c r="L232" s="40">
        <f t="shared" si="10"/>
        <v>0</v>
      </c>
      <c r="M232" s="40"/>
      <c r="N232" s="40">
        <f t="shared" si="11"/>
        <v>0</v>
      </c>
      <c r="O232" s="40">
        <f t="shared" si="12"/>
        <v>0</v>
      </c>
      <c r="P232" s="40">
        <f t="shared" si="13"/>
        <v>0</v>
      </c>
      <c r="Q232" s="40">
        <f t="shared" si="14"/>
        <v>0</v>
      </c>
      <c r="R232" s="40">
        <f t="shared" si="15"/>
        <v>0</v>
      </c>
      <c r="S232" s="40">
        <f t="shared" si="16"/>
        <v>0</v>
      </c>
      <c r="T232" s="40">
        <f t="shared" si="17"/>
        <v>0</v>
      </c>
      <c r="U232" s="40">
        <f t="shared" si="18"/>
        <v>0</v>
      </c>
      <c r="V232" s="40">
        <f t="shared" si="19"/>
        <v>0</v>
      </c>
      <c r="W232" s="40">
        <f t="shared" si="20"/>
        <v>0</v>
      </c>
      <c r="X232" s="40">
        <f t="shared" si="21"/>
        <v>0</v>
      </c>
      <c r="Y232" s="40">
        <f t="shared" si="22"/>
        <v>0</v>
      </c>
      <c r="Z232" s="40">
        <f t="shared" si="23"/>
        <v>0</v>
      </c>
      <c r="AA232" s="40">
        <f t="shared" si="24"/>
        <v>0</v>
      </c>
      <c r="AB232" s="40">
        <f t="shared" si="25"/>
        <v>0</v>
      </c>
      <c r="AC232" s="40">
        <f t="shared" si="26"/>
        <v>0</v>
      </c>
      <c r="AD232" s="40">
        <f t="shared" si="27"/>
        <v>0</v>
      </c>
      <c r="AE232" s="509">
        <f t="shared" si="28"/>
        <v>0</v>
      </c>
    </row>
    <row r="233" spans="6:31" x14ac:dyDescent="0.35">
      <c r="F233" s="1597">
        <f t="shared" si="8"/>
        <v>0</v>
      </c>
      <c r="G233" s="40"/>
      <c r="H233" s="40"/>
      <c r="I233" s="40"/>
      <c r="J233" s="40">
        <f t="shared" si="9"/>
        <v>0</v>
      </c>
      <c r="K233" s="40"/>
      <c r="L233" s="40">
        <f t="shared" si="10"/>
        <v>0</v>
      </c>
      <c r="M233" s="40"/>
      <c r="N233" s="40">
        <f t="shared" si="11"/>
        <v>0</v>
      </c>
      <c r="O233" s="40">
        <f t="shared" si="12"/>
        <v>0</v>
      </c>
      <c r="P233" s="40">
        <f t="shared" si="13"/>
        <v>0</v>
      </c>
      <c r="Q233" s="40">
        <f t="shared" si="14"/>
        <v>0</v>
      </c>
      <c r="R233" s="40">
        <f t="shared" si="15"/>
        <v>0</v>
      </c>
      <c r="S233" s="40">
        <f t="shared" si="16"/>
        <v>0</v>
      </c>
      <c r="T233" s="40">
        <f t="shared" si="17"/>
        <v>0</v>
      </c>
      <c r="U233" s="40">
        <f t="shared" si="18"/>
        <v>0</v>
      </c>
      <c r="V233" s="40">
        <f t="shared" si="19"/>
        <v>0</v>
      </c>
      <c r="W233" s="40">
        <f t="shared" si="20"/>
        <v>0</v>
      </c>
      <c r="X233" s="40">
        <f t="shared" si="21"/>
        <v>0</v>
      </c>
      <c r="Y233" s="40">
        <f t="shared" si="22"/>
        <v>0</v>
      </c>
      <c r="Z233" s="40">
        <f t="shared" si="23"/>
        <v>0</v>
      </c>
      <c r="AA233" s="40">
        <f t="shared" si="24"/>
        <v>0</v>
      </c>
      <c r="AB233" s="40">
        <f t="shared" si="25"/>
        <v>0</v>
      </c>
      <c r="AC233" s="40">
        <f t="shared" si="26"/>
        <v>0</v>
      </c>
      <c r="AD233" s="40">
        <f t="shared" si="27"/>
        <v>0</v>
      </c>
      <c r="AE233" s="509">
        <f t="shared" si="28"/>
        <v>0</v>
      </c>
    </row>
    <row r="234" spans="6:31" x14ac:dyDescent="0.35">
      <c r="F234" s="1597">
        <f t="shared" si="8"/>
        <v>0</v>
      </c>
      <c r="G234" s="40"/>
      <c r="H234" s="40"/>
      <c r="I234" s="40"/>
      <c r="J234" s="40">
        <f t="shared" si="9"/>
        <v>0</v>
      </c>
      <c r="K234" s="40"/>
      <c r="L234" s="40">
        <f t="shared" si="10"/>
        <v>0</v>
      </c>
      <c r="M234" s="40"/>
      <c r="N234" s="40">
        <f t="shared" si="11"/>
        <v>0</v>
      </c>
      <c r="O234" s="40">
        <f t="shared" si="12"/>
        <v>0</v>
      </c>
      <c r="P234" s="40">
        <f t="shared" si="13"/>
        <v>0</v>
      </c>
      <c r="Q234" s="40">
        <f t="shared" si="14"/>
        <v>0</v>
      </c>
      <c r="R234" s="40">
        <f t="shared" si="15"/>
        <v>0</v>
      </c>
      <c r="S234" s="40">
        <f t="shared" si="16"/>
        <v>0</v>
      </c>
      <c r="T234" s="40">
        <f t="shared" si="17"/>
        <v>0</v>
      </c>
      <c r="U234" s="40">
        <f t="shared" si="18"/>
        <v>0</v>
      </c>
      <c r="V234" s="40">
        <f t="shared" si="19"/>
        <v>0</v>
      </c>
      <c r="W234" s="40">
        <f t="shared" si="20"/>
        <v>0</v>
      </c>
      <c r="X234" s="40">
        <f t="shared" si="21"/>
        <v>0</v>
      </c>
      <c r="Y234" s="40">
        <f t="shared" si="22"/>
        <v>0</v>
      </c>
      <c r="Z234" s="40">
        <f t="shared" si="23"/>
        <v>0</v>
      </c>
      <c r="AA234" s="40">
        <f t="shared" si="24"/>
        <v>0</v>
      </c>
      <c r="AB234" s="40">
        <f t="shared" si="25"/>
        <v>0</v>
      </c>
      <c r="AC234" s="40">
        <f t="shared" si="26"/>
        <v>0</v>
      </c>
      <c r="AD234" s="40">
        <f t="shared" si="27"/>
        <v>0</v>
      </c>
      <c r="AE234" s="509">
        <f t="shared" si="28"/>
        <v>0</v>
      </c>
    </row>
    <row r="235" spans="6:31" x14ac:dyDescent="0.35">
      <c r="F235" s="1597">
        <f t="shared" si="8"/>
        <v>0</v>
      </c>
      <c r="G235" s="40"/>
      <c r="H235" s="40"/>
      <c r="I235" s="40"/>
      <c r="J235" s="40">
        <f t="shared" si="9"/>
        <v>0</v>
      </c>
      <c r="K235" s="40"/>
      <c r="L235" s="40">
        <f t="shared" si="10"/>
        <v>0</v>
      </c>
      <c r="M235" s="40"/>
      <c r="N235" s="40">
        <f t="shared" si="11"/>
        <v>0</v>
      </c>
      <c r="O235" s="40">
        <f t="shared" si="12"/>
        <v>0</v>
      </c>
      <c r="P235" s="40">
        <f t="shared" si="13"/>
        <v>0</v>
      </c>
      <c r="Q235" s="40">
        <f t="shared" si="14"/>
        <v>0</v>
      </c>
      <c r="R235" s="40">
        <f t="shared" si="15"/>
        <v>0</v>
      </c>
      <c r="S235" s="40">
        <f t="shared" si="16"/>
        <v>0</v>
      </c>
      <c r="T235" s="40">
        <f t="shared" si="17"/>
        <v>0</v>
      </c>
      <c r="U235" s="40">
        <f t="shared" si="18"/>
        <v>0</v>
      </c>
      <c r="V235" s="40">
        <f t="shared" si="19"/>
        <v>0</v>
      </c>
      <c r="W235" s="40">
        <f t="shared" si="20"/>
        <v>0</v>
      </c>
      <c r="X235" s="40">
        <f t="shared" si="21"/>
        <v>0</v>
      </c>
      <c r="Y235" s="40">
        <f t="shared" si="22"/>
        <v>0</v>
      </c>
      <c r="Z235" s="40">
        <f t="shared" si="23"/>
        <v>0</v>
      </c>
      <c r="AA235" s="40">
        <f t="shared" si="24"/>
        <v>0</v>
      </c>
      <c r="AB235" s="40">
        <f t="shared" si="25"/>
        <v>0</v>
      </c>
      <c r="AC235" s="40">
        <f t="shared" si="26"/>
        <v>0</v>
      </c>
      <c r="AD235" s="40">
        <f t="shared" si="27"/>
        <v>0</v>
      </c>
      <c r="AE235" s="509">
        <f t="shared" si="28"/>
        <v>0</v>
      </c>
    </row>
    <row r="236" spans="6:31" x14ac:dyDescent="0.35">
      <c r="F236" s="1597">
        <f t="shared" si="8"/>
        <v>0</v>
      </c>
      <c r="G236" s="40"/>
      <c r="H236" s="40"/>
      <c r="I236" s="40"/>
      <c r="J236" s="40">
        <f t="shared" si="9"/>
        <v>0</v>
      </c>
      <c r="K236" s="40"/>
      <c r="L236" s="40">
        <f t="shared" si="10"/>
        <v>0</v>
      </c>
      <c r="M236" s="40"/>
      <c r="N236" s="40">
        <f t="shared" si="11"/>
        <v>0</v>
      </c>
      <c r="O236" s="40">
        <f t="shared" si="12"/>
        <v>0</v>
      </c>
      <c r="P236" s="40">
        <f t="shared" si="13"/>
        <v>0</v>
      </c>
      <c r="Q236" s="40">
        <f t="shared" si="14"/>
        <v>0</v>
      </c>
      <c r="R236" s="40">
        <f t="shared" si="15"/>
        <v>0</v>
      </c>
      <c r="S236" s="40">
        <f t="shared" si="16"/>
        <v>0</v>
      </c>
      <c r="T236" s="40">
        <f t="shared" si="17"/>
        <v>0</v>
      </c>
      <c r="U236" s="40">
        <f t="shared" si="18"/>
        <v>0</v>
      </c>
      <c r="V236" s="40">
        <f t="shared" si="19"/>
        <v>0</v>
      </c>
      <c r="W236" s="40">
        <f t="shared" si="20"/>
        <v>0</v>
      </c>
      <c r="X236" s="40">
        <f t="shared" si="21"/>
        <v>0</v>
      </c>
      <c r="Y236" s="40">
        <f t="shared" si="22"/>
        <v>0</v>
      </c>
      <c r="Z236" s="40">
        <f t="shared" si="23"/>
        <v>0</v>
      </c>
      <c r="AA236" s="40">
        <f t="shared" si="24"/>
        <v>0</v>
      </c>
      <c r="AB236" s="40">
        <f t="shared" si="25"/>
        <v>0</v>
      </c>
      <c r="AC236" s="40">
        <f t="shared" si="26"/>
        <v>0</v>
      </c>
      <c r="AD236" s="40">
        <f t="shared" si="27"/>
        <v>0</v>
      </c>
      <c r="AE236" s="509">
        <f t="shared" si="28"/>
        <v>0</v>
      </c>
    </row>
    <row r="237" spans="6:31" x14ac:dyDescent="0.35">
      <c r="F237" s="1597">
        <f t="shared" si="8"/>
        <v>0</v>
      </c>
      <c r="G237" s="40"/>
      <c r="H237" s="40"/>
      <c r="I237" s="40"/>
      <c r="J237" s="40">
        <f t="shared" si="9"/>
        <v>0</v>
      </c>
      <c r="K237" s="40"/>
      <c r="L237" s="40">
        <f t="shared" si="10"/>
        <v>0</v>
      </c>
      <c r="M237" s="40"/>
      <c r="N237" s="40">
        <f t="shared" si="11"/>
        <v>0</v>
      </c>
      <c r="O237" s="40">
        <f t="shared" si="12"/>
        <v>0</v>
      </c>
      <c r="P237" s="40">
        <f t="shared" si="13"/>
        <v>0</v>
      </c>
      <c r="Q237" s="40">
        <f t="shared" si="14"/>
        <v>0</v>
      </c>
      <c r="R237" s="40">
        <f t="shared" si="15"/>
        <v>0</v>
      </c>
      <c r="S237" s="40">
        <f t="shared" si="16"/>
        <v>0</v>
      </c>
      <c r="T237" s="40">
        <f t="shared" si="17"/>
        <v>0</v>
      </c>
      <c r="U237" s="40">
        <f t="shared" si="18"/>
        <v>0</v>
      </c>
      <c r="V237" s="40">
        <f t="shared" si="19"/>
        <v>0</v>
      </c>
      <c r="W237" s="40">
        <f t="shared" si="20"/>
        <v>0</v>
      </c>
      <c r="X237" s="40">
        <f t="shared" si="21"/>
        <v>0</v>
      </c>
      <c r="Y237" s="40">
        <f t="shared" si="22"/>
        <v>0</v>
      </c>
      <c r="Z237" s="40">
        <f t="shared" si="23"/>
        <v>0</v>
      </c>
      <c r="AA237" s="40">
        <f t="shared" si="24"/>
        <v>0</v>
      </c>
      <c r="AB237" s="40">
        <f t="shared" si="25"/>
        <v>0</v>
      </c>
      <c r="AC237" s="40">
        <f t="shared" si="26"/>
        <v>0</v>
      </c>
      <c r="AD237" s="40">
        <f t="shared" si="27"/>
        <v>0</v>
      </c>
      <c r="AE237" s="509">
        <f t="shared" si="28"/>
        <v>0</v>
      </c>
    </row>
    <row r="238" spans="6:31" x14ac:dyDescent="0.35">
      <c r="F238" s="1597">
        <f t="shared" si="8"/>
        <v>0</v>
      </c>
      <c r="G238" s="40"/>
      <c r="H238" s="40"/>
      <c r="I238" s="40"/>
      <c r="J238" s="40">
        <f t="shared" si="9"/>
        <v>0</v>
      </c>
      <c r="K238" s="40"/>
      <c r="L238" s="40">
        <f t="shared" si="10"/>
        <v>0</v>
      </c>
      <c r="M238" s="40"/>
      <c r="N238" s="40">
        <f t="shared" si="11"/>
        <v>0</v>
      </c>
      <c r="O238" s="40">
        <f t="shared" si="12"/>
        <v>0</v>
      </c>
      <c r="P238" s="40">
        <f t="shared" si="13"/>
        <v>0</v>
      </c>
      <c r="Q238" s="40">
        <f t="shared" si="14"/>
        <v>0</v>
      </c>
      <c r="R238" s="40">
        <f t="shared" si="15"/>
        <v>0</v>
      </c>
      <c r="S238" s="40">
        <f t="shared" si="16"/>
        <v>0</v>
      </c>
      <c r="T238" s="40">
        <f t="shared" si="17"/>
        <v>0</v>
      </c>
      <c r="U238" s="40">
        <f t="shared" si="18"/>
        <v>0</v>
      </c>
      <c r="V238" s="40">
        <f t="shared" si="19"/>
        <v>0</v>
      </c>
      <c r="W238" s="40">
        <f t="shared" si="20"/>
        <v>0</v>
      </c>
      <c r="X238" s="40">
        <f t="shared" si="21"/>
        <v>0</v>
      </c>
      <c r="Y238" s="40">
        <f t="shared" si="22"/>
        <v>0</v>
      </c>
      <c r="Z238" s="40">
        <f t="shared" si="23"/>
        <v>0</v>
      </c>
      <c r="AA238" s="40">
        <f t="shared" si="24"/>
        <v>0</v>
      </c>
      <c r="AB238" s="40">
        <f t="shared" si="25"/>
        <v>0</v>
      </c>
      <c r="AC238" s="40">
        <f t="shared" si="26"/>
        <v>0</v>
      </c>
      <c r="AD238" s="40">
        <f t="shared" si="27"/>
        <v>0</v>
      </c>
      <c r="AE238" s="509">
        <f t="shared" si="28"/>
        <v>0</v>
      </c>
    </row>
    <row r="239" spans="6:31" x14ac:dyDescent="0.35">
      <c r="F239" s="1597">
        <f t="shared" si="8"/>
        <v>0</v>
      </c>
      <c r="G239" s="40"/>
      <c r="H239" s="40"/>
      <c r="I239" s="40"/>
      <c r="J239" s="40">
        <f t="shared" si="9"/>
        <v>0</v>
      </c>
      <c r="K239" s="40"/>
      <c r="L239" s="40">
        <f t="shared" si="10"/>
        <v>0</v>
      </c>
      <c r="M239" s="40"/>
      <c r="N239" s="40">
        <f t="shared" si="11"/>
        <v>0</v>
      </c>
      <c r="O239" s="40">
        <f t="shared" si="12"/>
        <v>0</v>
      </c>
      <c r="P239" s="40">
        <f t="shared" si="13"/>
        <v>0</v>
      </c>
      <c r="Q239" s="40">
        <f t="shared" si="14"/>
        <v>0</v>
      </c>
      <c r="R239" s="40">
        <f t="shared" si="15"/>
        <v>0</v>
      </c>
      <c r="S239" s="40">
        <f t="shared" si="16"/>
        <v>0</v>
      </c>
      <c r="T239" s="40">
        <f t="shared" si="17"/>
        <v>0</v>
      </c>
      <c r="U239" s="40">
        <f t="shared" si="18"/>
        <v>0</v>
      </c>
      <c r="V239" s="40">
        <f t="shared" si="19"/>
        <v>0</v>
      </c>
      <c r="W239" s="40">
        <f t="shared" si="20"/>
        <v>0</v>
      </c>
      <c r="X239" s="40">
        <f t="shared" si="21"/>
        <v>0</v>
      </c>
      <c r="Y239" s="40">
        <f t="shared" si="22"/>
        <v>0</v>
      </c>
      <c r="Z239" s="40">
        <f t="shared" si="23"/>
        <v>0</v>
      </c>
      <c r="AA239" s="40">
        <f t="shared" si="24"/>
        <v>0</v>
      </c>
      <c r="AB239" s="40">
        <f t="shared" si="25"/>
        <v>0</v>
      </c>
      <c r="AC239" s="40">
        <f t="shared" si="26"/>
        <v>0</v>
      </c>
      <c r="AD239" s="40">
        <f t="shared" si="27"/>
        <v>0</v>
      </c>
      <c r="AE239" s="509">
        <f t="shared" si="28"/>
        <v>0</v>
      </c>
    </row>
    <row r="240" spans="6:31" x14ac:dyDescent="0.35">
      <c r="F240" s="1597">
        <f t="shared" si="8"/>
        <v>0</v>
      </c>
      <c r="G240" s="40"/>
      <c r="H240" s="40"/>
      <c r="I240" s="40"/>
      <c r="J240" s="40">
        <f t="shared" si="9"/>
        <v>0</v>
      </c>
      <c r="K240" s="40"/>
      <c r="L240" s="40">
        <f t="shared" si="10"/>
        <v>0</v>
      </c>
      <c r="M240" s="40"/>
      <c r="N240" s="40">
        <f t="shared" si="11"/>
        <v>0</v>
      </c>
      <c r="O240" s="40">
        <f t="shared" si="12"/>
        <v>0</v>
      </c>
      <c r="P240" s="40">
        <f t="shared" si="13"/>
        <v>0</v>
      </c>
      <c r="Q240" s="40">
        <f t="shared" si="14"/>
        <v>0</v>
      </c>
      <c r="R240" s="40">
        <f t="shared" si="15"/>
        <v>0</v>
      </c>
      <c r="S240" s="40">
        <f t="shared" si="16"/>
        <v>0</v>
      </c>
      <c r="T240" s="40">
        <f t="shared" si="17"/>
        <v>0</v>
      </c>
      <c r="U240" s="40">
        <f t="shared" si="18"/>
        <v>0</v>
      </c>
      <c r="V240" s="40">
        <f t="shared" si="19"/>
        <v>0</v>
      </c>
      <c r="W240" s="40">
        <f t="shared" si="20"/>
        <v>0</v>
      </c>
      <c r="X240" s="40">
        <f t="shared" si="21"/>
        <v>0</v>
      </c>
      <c r="Y240" s="40">
        <f t="shared" si="22"/>
        <v>0</v>
      </c>
      <c r="Z240" s="40">
        <f t="shared" si="23"/>
        <v>0</v>
      </c>
      <c r="AA240" s="40">
        <f t="shared" si="24"/>
        <v>0</v>
      </c>
      <c r="AB240" s="40">
        <f t="shared" si="25"/>
        <v>0</v>
      </c>
      <c r="AC240" s="40">
        <f t="shared" si="26"/>
        <v>0</v>
      </c>
      <c r="AD240" s="40">
        <f t="shared" si="27"/>
        <v>0</v>
      </c>
      <c r="AE240" s="509">
        <f t="shared" si="28"/>
        <v>0</v>
      </c>
    </row>
    <row r="241" spans="6:31" x14ac:dyDescent="0.35">
      <c r="F241" s="1597">
        <f t="shared" si="8"/>
        <v>0</v>
      </c>
      <c r="G241" s="40"/>
      <c r="H241" s="40"/>
      <c r="I241" s="40"/>
      <c r="J241" s="40">
        <f t="shared" si="9"/>
        <v>0</v>
      </c>
      <c r="K241" s="40"/>
      <c r="L241" s="40">
        <f t="shared" si="10"/>
        <v>0</v>
      </c>
      <c r="M241" s="40"/>
      <c r="N241" s="40">
        <f t="shared" si="11"/>
        <v>0</v>
      </c>
      <c r="O241" s="40">
        <f t="shared" si="12"/>
        <v>0</v>
      </c>
      <c r="P241" s="40">
        <f t="shared" si="13"/>
        <v>0</v>
      </c>
      <c r="Q241" s="40">
        <f t="shared" si="14"/>
        <v>0</v>
      </c>
      <c r="R241" s="40">
        <f t="shared" si="15"/>
        <v>0</v>
      </c>
      <c r="S241" s="40">
        <f t="shared" si="16"/>
        <v>0</v>
      </c>
      <c r="T241" s="40">
        <f t="shared" si="17"/>
        <v>0</v>
      </c>
      <c r="U241" s="40">
        <f t="shared" si="18"/>
        <v>0</v>
      </c>
      <c r="V241" s="40">
        <f t="shared" si="19"/>
        <v>0</v>
      </c>
      <c r="W241" s="40">
        <f t="shared" si="20"/>
        <v>0</v>
      </c>
      <c r="X241" s="40">
        <f t="shared" si="21"/>
        <v>0</v>
      </c>
      <c r="Y241" s="40">
        <f t="shared" si="22"/>
        <v>0</v>
      </c>
      <c r="Z241" s="40">
        <f t="shared" si="23"/>
        <v>0</v>
      </c>
      <c r="AA241" s="40">
        <f t="shared" si="24"/>
        <v>0</v>
      </c>
      <c r="AB241" s="40">
        <f t="shared" si="25"/>
        <v>0</v>
      </c>
      <c r="AC241" s="40">
        <f t="shared" si="26"/>
        <v>0</v>
      </c>
      <c r="AD241" s="40">
        <f t="shared" si="27"/>
        <v>0</v>
      </c>
      <c r="AE241" s="509">
        <f t="shared" si="28"/>
        <v>0</v>
      </c>
    </row>
    <row r="242" spans="6:31" x14ac:dyDescent="0.35">
      <c r="F242" s="1597">
        <f t="shared" si="8"/>
        <v>0</v>
      </c>
      <c r="G242" s="40"/>
      <c r="H242" s="40"/>
      <c r="I242" s="40"/>
      <c r="J242" s="40">
        <f t="shared" si="9"/>
        <v>0</v>
      </c>
      <c r="K242" s="40"/>
      <c r="L242" s="40">
        <f t="shared" si="10"/>
        <v>0</v>
      </c>
      <c r="M242" s="40"/>
      <c r="N242" s="40">
        <f t="shared" si="11"/>
        <v>0</v>
      </c>
      <c r="O242" s="40">
        <f t="shared" si="12"/>
        <v>0</v>
      </c>
      <c r="P242" s="40">
        <f t="shared" si="13"/>
        <v>0</v>
      </c>
      <c r="Q242" s="40">
        <f t="shared" si="14"/>
        <v>0</v>
      </c>
      <c r="R242" s="40">
        <f t="shared" si="15"/>
        <v>0</v>
      </c>
      <c r="S242" s="40">
        <f t="shared" si="16"/>
        <v>0</v>
      </c>
      <c r="T242" s="40">
        <f t="shared" si="17"/>
        <v>0</v>
      </c>
      <c r="U242" s="40">
        <f t="shared" si="18"/>
        <v>0</v>
      </c>
      <c r="V242" s="40">
        <f t="shared" si="19"/>
        <v>0</v>
      </c>
      <c r="W242" s="40">
        <f t="shared" si="20"/>
        <v>0</v>
      </c>
      <c r="X242" s="40">
        <f t="shared" si="21"/>
        <v>0</v>
      </c>
      <c r="Y242" s="40">
        <f t="shared" si="22"/>
        <v>0</v>
      </c>
      <c r="Z242" s="40">
        <f t="shared" si="23"/>
        <v>0</v>
      </c>
      <c r="AA242" s="40">
        <f t="shared" si="24"/>
        <v>0</v>
      </c>
      <c r="AB242" s="40">
        <f t="shared" si="25"/>
        <v>0</v>
      </c>
      <c r="AC242" s="40">
        <f t="shared" si="26"/>
        <v>0</v>
      </c>
      <c r="AD242" s="40">
        <f t="shared" si="27"/>
        <v>0</v>
      </c>
      <c r="AE242" s="509">
        <f t="shared" si="28"/>
        <v>0</v>
      </c>
    </row>
    <row r="243" spans="6:31" x14ac:dyDescent="0.35">
      <c r="F243" s="1597">
        <f t="shared" si="8"/>
        <v>0</v>
      </c>
      <c r="G243" s="40"/>
      <c r="H243" s="40"/>
      <c r="I243" s="40"/>
      <c r="J243" s="40">
        <f t="shared" si="9"/>
        <v>0</v>
      </c>
      <c r="K243" s="40"/>
      <c r="L243" s="40">
        <f t="shared" si="10"/>
        <v>0</v>
      </c>
      <c r="M243" s="40"/>
      <c r="N243" s="40">
        <f t="shared" si="11"/>
        <v>0</v>
      </c>
      <c r="O243" s="40">
        <f t="shared" si="12"/>
        <v>0</v>
      </c>
      <c r="P243" s="40">
        <f t="shared" si="13"/>
        <v>0</v>
      </c>
      <c r="Q243" s="40">
        <f t="shared" si="14"/>
        <v>0</v>
      </c>
      <c r="R243" s="40">
        <f t="shared" si="15"/>
        <v>0</v>
      </c>
      <c r="S243" s="40">
        <f t="shared" si="16"/>
        <v>0</v>
      </c>
      <c r="T243" s="40">
        <f t="shared" si="17"/>
        <v>0</v>
      </c>
      <c r="U243" s="40">
        <f t="shared" si="18"/>
        <v>0</v>
      </c>
      <c r="V243" s="40">
        <f t="shared" si="19"/>
        <v>0</v>
      </c>
      <c r="W243" s="40">
        <f t="shared" si="20"/>
        <v>0</v>
      </c>
      <c r="X243" s="40">
        <f t="shared" si="21"/>
        <v>0</v>
      </c>
      <c r="Y243" s="40">
        <f t="shared" si="22"/>
        <v>0</v>
      </c>
      <c r="Z243" s="40">
        <f t="shared" si="23"/>
        <v>0</v>
      </c>
      <c r="AA243" s="40">
        <f t="shared" si="24"/>
        <v>0</v>
      </c>
      <c r="AB243" s="40">
        <f t="shared" si="25"/>
        <v>0</v>
      </c>
      <c r="AC243" s="40">
        <f t="shared" si="26"/>
        <v>0</v>
      </c>
      <c r="AD243" s="40">
        <f t="shared" si="27"/>
        <v>0</v>
      </c>
      <c r="AE243" s="509">
        <f t="shared" si="28"/>
        <v>0</v>
      </c>
    </row>
    <row r="244" spans="6:31" x14ac:dyDescent="0.35">
      <c r="F244" s="1597">
        <f t="shared" si="8"/>
        <v>0</v>
      </c>
      <c r="G244" s="40"/>
      <c r="H244" s="40"/>
      <c r="I244" s="40"/>
      <c r="J244" s="40">
        <f t="shared" si="9"/>
        <v>0</v>
      </c>
      <c r="K244" s="40"/>
      <c r="L244" s="40">
        <f t="shared" si="10"/>
        <v>0</v>
      </c>
      <c r="M244" s="40"/>
      <c r="N244" s="40">
        <f t="shared" si="11"/>
        <v>0</v>
      </c>
      <c r="O244" s="40">
        <f t="shared" si="12"/>
        <v>0</v>
      </c>
      <c r="P244" s="40">
        <f t="shared" si="13"/>
        <v>0</v>
      </c>
      <c r="Q244" s="40">
        <f t="shared" si="14"/>
        <v>0</v>
      </c>
      <c r="R244" s="40">
        <f t="shared" si="15"/>
        <v>0</v>
      </c>
      <c r="S244" s="40">
        <f t="shared" si="16"/>
        <v>0</v>
      </c>
      <c r="T244" s="40">
        <f t="shared" si="17"/>
        <v>0</v>
      </c>
      <c r="U244" s="40">
        <f t="shared" si="18"/>
        <v>0</v>
      </c>
      <c r="V244" s="40">
        <f t="shared" si="19"/>
        <v>0</v>
      </c>
      <c r="W244" s="40">
        <f t="shared" si="20"/>
        <v>0</v>
      </c>
      <c r="X244" s="40">
        <f t="shared" si="21"/>
        <v>0</v>
      </c>
      <c r="Y244" s="40">
        <f t="shared" si="22"/>
        <v>0</v>
      </c>
      <c r="Z244" s="40">
        <f t="shared" si="23"/>
        <v>0</v>
      </c>
      <c r="AA244" s="40">
        <f t="shared" si="24"/>
        <v>0</v>
      </c>
      <c r="AB244" s="40">
        <f t="shared" si="25"/>
        <v>0</v>
      </c>
      <c r="AC244" s="40">
        <f t="shared" si="26"/>
        <v>0</v>
      </c>
      <c r="AD244" s="40">
        <f t="shared" si="27"/>
        <v>0</v>
      </c>
      <c r="AE244" s="509">
        <f t="shared" si="28"/>
        <v>0</v>
      </c>
    </row>
    <row r="245" spans="6:31" x14ac:dyDescent="0.35">
      <c r="F245" s="1597">
        <f t="shared" si="8"/>
        <v>0</v>
      </c>
      <c r="G245" s="40"/>
      <c r="H245" s="40"/>
      <c r="I245" s="40"/>
      <c r="J245" s="40">
        <f t="shared" si="9"/>
        <v>0</v>
      </c>
      <c r="K245" s="40"/>
      <c r="L245" s="40">
        <f t="shared" si="10"/>
        <v>0</v>
      </c>
      <c r="M245" s="40"/>
      <c r="N245" s="40">
        <f t="shared" si="11"/>
        <v>0</v>
      </c>
      <c r="O245" s="40">
        <f t="shared" si="12"/>
        <v>0</v>
      </c>
      <c r="P245" s="40">
        <f t="shared" si="13"/>
        <v>0</v>
      </c>
      <c r="Q245" s="40">
        <f t="shared" si="14"/>
        <v>0</v>
      </c>
      <c r="R245" s="40">
        <f t="shared" si="15"/>
        <v>0</v>
      </c>
      <c r="S245" s="40">
        <f t="shared" si="16"/>
        <v>0</v>
      </c>
      <c r="T245" s="40">
        <f t="shared" si="17"/>
        <v>0</v>
      </c>
      <c r="U245" s="40">
        <f t="shared" si="18"/>
        <v>0</v>
      </c>
      <c r="V245" s="40">
        <f t="shared" si="19"/>
        <v>0</v>
      </c>
      <c r="W245" s="40">
        <f t="shared" si="20"/>
        <v>0</v>
      </c>
      <c r="X245" s="40">
        <f t="shared" si="21"/>
        <v>0</v>
      </c>
      <c r="Y245" s="40">
        <f t="shared" si="22"/>
        <v>0</v>
      </c>
      <c r="Z245" s="40">
        <f t="shared" si="23"/>
        <v>0</v>
      </c>
      <c r="AA245" s="40">
        <f t="shared" si="24"/>
        <v>0</v>
      </c>
      <c r="AB245" s="40">
        <f t="shared" si="25"/>
        <v>0</v>
      </c>
      <c r="AC245" s="40">
        <f t="shared" si="26"/>
        <v>0</v>
      </c>
      <c r="AD245" s="40">
        <f t="shared" si="27"/>
        <v>0</v>
      </c>
      <c r="AE245" s="509">
        <f t="shared" si="28"/>
        <v>0</v>
      </c>
    </row>
    <row r="246" spans="6:31" x14ac:dyDescent="0.35">
      <c r="F246" s="1597">
        <f t="shared" si="8"/>
        <v>0</v>
      </c>
      <c r="G246" s="40"/>
      <c r="H246" s="40"/>
      <c r="I246" s="40"/>
      <c r="J246" s="40">
        <f t="shared" si="9"/>
        <v>0</v>
      </c>
      <c r="K246" s="40"/>
      <c r="L246" s="40">
        <f t="shared" si="10"/>
        <v>0</v>
      </c>
      <c r="M246" s="40"/>
      <c r="N246" s="40">
        <f t="shared" si="11"/>
        <v>0</v>
      </c>
      <c r="O246" s="40">
        <f t="shared" si="12"/>
        <v>0</v>
      </c>
      <c r="P246" s="40">
        <f t="shared" si="13"/>
        <v>0</v>
      </c>
      <c r="Q246" s="40">
        <f t="shared" si="14"/>
        <v>0</v>
      </c>
      <c r="R246" s="40">
        <f t="shared" si="15"/>
        <v>0</v>
      </c>
      <c r="S246" s="40">
        <f t="shared" si="16"/>
        <v>0</v>
      </c>
      <c r="T246" s="40">
        <f t="shared" si="17"/>
        <v>0</v>
      </c>
      <c r="U246" s="40">
        <f t="shared" si="18"/>
        <v>0</v>
      </c>
      <c r="V246" s="40">
        <f t="shared" si="19"/>
        <v>0</v>
      </c>
      <c r="W246" s="40">
        <f t="shared" si="20"/>
        <v>0</v>
      </c>
      <c r="X246" s="40">
        <f t="shared" si="21"/>
        <v>0</v>
      </c>
      <c r="Y246" s="40">
        <f t="shared" si="22"/>
        <v>0</v>
      </c>
      <c r="Z246" s="40">
        <f t="shared" si="23"/>
        <v>0</v>
      </c>
      <c r="AA246" s="40">
        <f t="shared" si="24"/>
        <v>0</v>
      </c>
      <c r="AB246" s="40">
        <f t="shared" si="25"/>
        <v>0</v>
      </c>
      <c r="AC246" s="40">
        <f t="shared" si="26"/>
        <v>0</v>
      </c>
      <c r="AD246" s="40">
        <f t="shared" ref="AD246:AD309" si="29">IF(OR(AY37&lt;&gt;"",BQ37&lt;&gt;"",$BZ37&lt;&gt;""),1,0)</f>
        <v>0</v>
      </c>
      <c r="AE246" s="509">
        <f t="shared" si="28"/>
        <v>0</v>
      </c>
    </row>
    <row r="247" spans="6:31" x14ac:dyDescent="0.35">
      <c r="F247" s="1597">
        <f t="shared" si="8"/>
        <v>0</v>
      </c>
      <c r="G247" s="40"/>
      <c r="H247" s="40"/>
      <c r="I247" s="40"/>
      <c r="J247" s="40">
        <f t="shared" si="9"/>
        <v>0</v>
      </c>
      <c r="K247" s="40"/>
      <c r="L247" s="40">
        <f t="shared" si="10"/>
        <v>0</v>
      </c>
      <c r="M247" s="40"/>
      <c r="N247" s="40">
        <f t="shared" si="11"/>
        <v>0</v>
      </c>
      <c r="O247" s="40">
        <f t="shared" si="12"/>
        <v>0</v>
      </c>
      <c r="P247" s="40">
        <f t="shared" si="13"/>
        <v>0</v>
      </c>
      <c r="Q247" s="40">
        <f t="shared" si="14"/>
        <v>0</v>
      </c>
      <c r="R247" s="40">
        <f t="shared" si="15"/>
        <v>0</v>
      </c>
      <c r="S247" s="40">
        <f t="shared" si="16"/>
        <v>0</v>
      </c>
      <c r="T247" s="40">
        <f t="shared" si="17"/>
        <v>0</v>
      </c>
      <c r="U247" s="40">
        <f t="shared" si="18"/>
        <v>0</v>
      </c>
      <c r="V247" s="40">
        <f t="shared" si="19"/>
        <v>0</v>
      </c>
      <c r="W247" s="40">
        <f t="shared" si="20"/>
        <v>0</v>
      </c>
      <c r="X247" s="40">
        <f t="shared" si="21"/>
        <v>0</v>
      </c>
      <c r="Y247" s="40">
        <f t="shared" si="22"/>
        <v>0</v>
      </c>
      <c r="Z247" s="40">
        <f t="shared" si="23"/>
        <v>0</v>
      </c>
      <c r="AA247" s="40">
        <f t="shared" si="24"/>
        <v>0</v>
      </c>
      <c r="AB247" s="40">
        <f t="shared" si="25"/>
        <v>0</v>
      </c>
      <c r="AC247" s="40">
        <f t="shared" si="26"/>
        <v>0</v>
      </c>
      <c r="AD247" s="40">
        <f t="shared" si="29"/>
        <v>0</v>
      </c>
      <c r="AE247" s="509">
        <f t="shared" si="28"/>
        <v>0</v>
      </c>
    </row>
    <row r="248" spans="6:31" x14ac:dyDescent="0.35">
      <c r="F248" s="1597">
        <f t="shared" si="8"/>
        <v>0</v>
      </c>
      <c r="G248" s="40"/>
      <c r="H248" s="40"/>
      <c r="I248" s="40"/>
      <c r="J248" s="40">
        <f t="shared" si="9"/>
        <v>0</v>
      </c>
      <c r="K248" s="40"/>
      <c r="L248" s="40">
        <f t="shared" si="10"/>
        <v>0</v>
      </c>
      <c r="M248" s="40"/>
      <c r="N248" s="40">
        <f t="shared" si="11"/>
        <v>0</v>
      </c>
      <c r="O248" s="40">
        <f t="shared" si="12"/>
        <v>0</v>
      </c>
      <c r="P248" s="40">
        <f t="shared" si="13"/>
        <v>0</v>
      </c>
      <c r="Q248" s="40">
        <f t="shared" si="14"/>
        <v>0</v>
      </c>
      <c r="R248" s="40">
        <f t="shared" si="15"/>
        <v>0</v>
      </c>
      <c r="S248" s="40">
        <f t="shared" si="16"/>
        <v>0</v>
      </c>
      <c r="T248" s="40">
        <f t="shared" si="17"/>
        <v>0</v>
      </c>
      <c r="U248" s="40">
        <f t="shared" si="18"/>
        <v>0</v>
      </c>
      <c r="V248" s="40">
        <f t="shared" si="19"/>
        <v>0</v>
      </c>
      <c r="W248" s="40">
        <f t="shared" si="20"/>
        <v>0</v>
      </c>
      <c r="X248" s="40">
        <f t="shared" si="21"/>
        <v>0</v>
      </c>
      <c r="Y248" s="40">
        <f t="shared" si="22"/>
        <v>0</v>
      </c>
      <c r="Z248" s="40">
        <f t="shared" si="23"/>
        <v>0</v>
      </c>
      <c r="AA248" s="40">
        <f t="shared" si="24"/>
        <v>0</v>
      </c>
      <c r="AB248" s="40">
        <f t="shared" si="25"/>
        <v>0</v>
      </c>
      <c r="AC248" s="40">
        <f t="shared" si="26"/>
        <v>0</v>
      </c>
      <c r="AD248" s="40">
        <f t="shared" si="29"/>
        <v>0</v>
      </c>
      <c r="AE248" s="509">
        <f t="shared" si="28"/>
        <v>0</v>
      </c>
    </row>
    <row r="249" spans="6:31" x14ac:dyDescent="0.35">
      <c r="F249" s="1597">
        <f t="shared" si="8"/>
        <v>0</v>
      </c>
      <c r="G249" s="40"/>
      <c r="H249" s="40"/>
      <c r="I249" s="40"/>
      <c r="J249" s="40">
        <f t="shared" si="9"/>
        <v>0</v>
      </c>
      <c r="K249" s="40"/>
      <c r="L249" s="40">
        <f t="shared" si="10"/>
        <v>0</v>
      </c>
      <c r="M249" s="40"/>
      <c r="N249" s="40">
        <f t="shared" si="11"/>
        <v>0</v>
      </c>
      <c r="O249" s="40">
        <f t="shared" si="12"/>
        <v>0</v>
      </c>
      <c r="P249" s="40">
        <f t="shared" si="13"/>
        <v>0</v>
      </c>
      <c r="Q249" s="40">
        <f t="shared" si="14"/>
        <v>0</v>
      </c>
      <c r="R249" s="40">
        <f t="shared" si="15"/>
        <v>0</v>
      </c>
      <c r="S249" s="40">
        <f t="shared" si="16"/>
        <v>0</v>
      </c>
      <c r="T249" s="40">
        <f t="shared" si="17"/>
        <v>0</v>
      </c>
      <c r="U249" s="40">
        <f t="shared" si="18"/>
        <v>0</v>
      </c>
      <c r="V249" s="40">
        <f t="shared" si="19"/>
        <v>0</v>
      </c>
      <c r="W249" s="40">
        <f t="shared" si="20"/>
        <v>0</v>
      </c>
      <c r="X249" s="40">
        <f t="shared" si="21"/>
        <v>0</v>
      </c>
      <c r="Y249" s="40">
        <f t="shared" si="22"/>
        <v>0</v>
      </c>
      <c r="Z249" s="40">
        <f t="shared" si="23"/>
        <v>0</v>
      </c>
      <c r="AA249" s="40">
        <f t="shared" si="24"/>
        <v>0</v>
      </c>
      <c r="AB249" s="40">
        <f t="shared" si="25"/>
        <v>0</v>
      </c>
      <c r="AC249" s="40">
        <f t="shared" si="26"/>
        <v>0</v>
      </c>
      <c r="AD249" s="40">
        <f t="shared" si="29"/>
        <v>0</v>
      </c>
      <c r="AE249" s="509">
        <f t="shared" si="28"/>
        <v>0</v>
      </c>
    </row>
    <row r="250" spans="6:31" x14ac:dyDescent="0.35">
      <c r="F250" s="1597">
        <f t="shared" si="8"/>
        <v>0</v>
      </c>
      <c r="G250" s="40"/>
      <c r="H250" s="40"/>
      <c r="I250" s="40"/>
      <c r="J250" s="40">
        <f t="shared" si="9"/>
        <v>0</v>
      </c>
      <c r="K250" s="40"/>
      <c r="L250" s="40">
        <f t="shared" si="10"/>
        <v>0</v>
      </c>
      <c r="M250" s="40"/>
      <c r="N250" s="40">
        <f t="shared" si="11"/>
        <v>0</v>
      </c>
      <c r="O250" s="40">
        <f t="shared" si="12"/>
        <v>0</v>
      </c>
      <c r="P250" s="40">
        <f t="shared" si="13"/>
        <v>0</v>
      </c>
      <c r="Q250" s="40">
        <f t="shared" si="14"/>
        <v>0</v>
      </c>
      <c r="R250" s="40">
        <f t="shared" si="15"/>
        <v>0</v>
      </c>
      <c r="S250" s="40">
        <f t="shared" si="16"/>
        <v>0</v>
      </c>
      <c r="T250" s="40">
        <f t="shared" si="17"/>
        <v>0</v>
      </c>
      <c r="U250" s="40">
        <f t="shared" si="18"/>
        <v>0</v>
      </c>
      <c r="V250" s="40">
        <f t="shared" si="19"/>
        <v>0</v>
      </c>
      <c r="W250" s="40">
        <f t="shared" si="20"/>
        <v>0</v>
      </c>
      <c r="X250" s="40">
        <f t="shared" si="21"/>
        <v>0</v>
      </c>
      <c r="Y250" s="40">
        <f t="shared" si="22"/>
        <v>0</v>
      </c>
      <c r="Z250" s="40">
        <f t="shared" si="23"/>
        <v>0</v>
      </c>
      <c r="AA250" s="40">
        <f t="shared" si="24"/>
        <v>0</v>
      </c>
      <c r="AB250" s="40">
        <f t="shared" si="25"/>
        <v>0</v>
      </c>
      <c r="AC250" s="40">
        <f t="shared" si="26"/>
        <v>0</v>
      </c>
      <c r="AD250" s="40">
        <f t="shared" si="29"/>
        <v>0</v>
      </c>
      <c r="AE250" s="509">
        <f t="shared" si="28"/>
        <v>0</v>
      </c>
    </row>
    <row r="251" spans="6:31" x14ac:dyDescent="0.35">
      <c r="F251" s="1597">
        <f t="shared" si="8"/>
        <v>0</v>
      </c>
      <c r="G251" s="40"/>
      <c r="H251" s="40"/>
      <c r="I251" s="40"/>
      <c r="J251" s="40">
        <f t="shared" si="9"/>
        <v>0</v>
      </c>
      <c r="K251" s="40"/>
      <c r="L251" s="40">
        <f t="shared" si="10"/>
        <v>0</v>
      </c>
      <c r="M251" s="40"/>
      <c r="N251" s="40">
        <f t="shared" si="11"/>
        <v>0</v>
      </c>
      <c r="O251" s="40">
        <f t="shared" si="12"/>
        <v>0</v>
      </c>
      <c r="P251" s="40">
        <f t="shared" si="13"/>
        <v>0</v>
      </c>
      <c r="Q251" s="40">
        <f t="shared" si="14"/>
        <v>0</v>
      </c>
      <c r="R251" s="40">
        <f t="shared" si="15"/>
        <v>0</v>
      </c>
      <c r="S251" s="40">
        <f t="shared" si="16"/>
        <v>0</v>
      </c>
      <c r="T251" s="40">
        <f t="shared" si="17"/>
        <v>0</v>
      </c>
      <c r="U251" s="40">
        <f t="shared" si="18"/>
        <v>0</v>
      </c>
      <c r="V251" s="40">
        <f t="shared" si="19"/>
        <v>0</v>
      </c>
      <c r="W251" s="40">
        <f t="shared" si="20"/>
        <v>0</v>
      </c>
      <c r="X251" s="40">
        <f t="shared" si="21"/>
        <v>0</v>
      </c>
      <c r="Y251" s="40">
        <f t="shared" si="22"/>
        <v>0</v>
      </c>
      <c r="Z251" s="40">
        <f t="shared" si="23"/>
        <v>0</v>
      </c>
      <c r="AA251" s="40">
        <f t="shared" si="24"/>
        <v>0</v>
      </c>
      <c r="AB251" s="40">
        <f t="shared" si="25"/>
        <v>0</v>
      </c>
      <c r="AC251" s="40">
        <f t="shared" si="26"/>
        <v>0</v>
      </c>
      <c r="AD251" s="40">
        <f t="shared" si="29"/>
        <v>0</v>
      </c>
      <c r="AE251" s="509">
        <f t="shared" si="28"/>
        <v>0</v>
      </c>
    </row>
    <row r="252" spans="6:31" x14ac:dyDescent="0.35">
      <c r="F252" s="1597">
        <f t="shared" si="8"/>
        <v>0</v>
      </c>
      <c r="G252" s="40"/>
      <c r="H252" s="40"/>
      <c r="I252" s="40"/>
      <c r="J252" s="40">
        <f t="shared" si="9"/>
        <v>0</v>
      </c>
      <c r="K252" s="40"/>
      <c r="L252" s="40">
        <f t="shared" si="10"/>
        <v>0</v>
      </c>
      <c r="M252" s="40"/>
      <c r="N252" s="40">
        <f t="shared" si="11"/>
        <v>0</v>
      </c>
      <c r="O252" s="40">
        <f t="shared" si="12"/>
        <v>0</v>
      </c>
      <c r="P252" s="40">
        <f t="shared" si="13"/>
        <v>0</v>
      </c>
      <c r="Q252" s="40">
        <f t="shared" si="14"/>
        <v>0</v>
      </c>
      <c r="R252" s="40">
        <f t="shared" si="15"/>
        <v>0</v>
      </c>
      <c r="S252" s="40">
        <f t="shared" si="16"/>
        <v>0</v>
      </c>
      <c r="T252" s="40">
        <f t="shared" si="17"/>
        <v>0</v>
      </c>
      <c r="U252" s="40">
        <f t="shared" si="18"/>
        <v>0</v>
      </c>
      <c r="V252" s="40">
        <f t="shared" si="19"/>
        <v>0</v>
      </c>
      <c r="W252" s="40">
        <f t="shared" si="20"/>
        <v>0</v>
      </c>
      <c r="X252" s="40">
        <f t="shared" si="21"/>
        <v>0</v>
      </c>
      <c r="Y252" s="40">
        <f t="shared" si="22"/>
        <v>0</v>
      </c>
      <c r="Z252" s="40">
        <f t="shared" si="23"/>
        <v>0</v>
      </c>
      <c r="AA252" s="40">
        <f t="shared" si="24"/>
        <v>0</v>
      </c>
      <c r="AB252" s="40">
        <f t="shared" si="25"/>
        <v>0</v>
      </c>
      <c r="AC252" s="40">
        <f t="shared" si="26"/>
        <v>0</v>
      </c>
      <c r="AD252" s="40">
        <f t="shared" si="29"/>
        <v>0</v>
      </c>
      <c r="AE252" s="509">
        <f t="shared" si="28"/>
        <v>0</v>
      </c>
    </row>
    <row r="253" spans="6:31" x14ac:dyDescent="0.35">
      <c r="F253" s="1597">
        <f t="shared" si="8"/>
        <v>0</v>
      </c>
      <c r="G253" s="40"/>
      <c r="H253" s="40"/>
      <c r="I253" s="40"/>
      <c r="J253" s="40">
        <f t="shared" si="9"/>
        <v>0</v>
      </c>
      <c r="K253" s="40"/>
      <c r="L253" s="40">
        <f t="shared" si="10"/>
        <v>0</v>
      </c>
      <c r="M253" s="40"/>
      <c r="N253" s="40">
        <f t="shared" si="11"/>
        <v>0</v>
      </c>
      <c r="O253" s="40">
        <f t="shared" si="12"/>
        <v>0</v>
      </c>
      <c r="P253" s="40">
        <f t="shared" si="13"/>
        <v>0</v>
      </c>
      <c r="Q253" s="40">
        <f t="shared" si="14"/>
        <v>0</v>
      </c>
      <c r="R253" s="40">
        <f t="shared" si="15"/>
        <v>0</v>
      </c>
      <c r="S253" s="40">
        <f t="shared" si="16"/>
        <v>0</v>
      </c>
      <c r="T253" s="40">
        <f t="shared" si="17"/>
        <v>0</v>
      </c>
      <c r="U253" s="40">
        <f t="shared" si="18"/>
        <v>0</v>
      </c>
      <c r="V253" s="40">
        <f t="shared" si="19"/>
        <v>0</v>
      </c>
      <c r="W253" s="40">
        <f t="shared" si="20"/>
        <v>0</v>
      </c>
      <c r="X253" s="40">
        <f t="shared" si="21"/>
        <v>0</v>
      </c>
      <c r="Y253" s="40">
        <f t="shared" si="22"/>
        <v>0</v>
      </c>
      <c r="Z253" s="40">
        <f t="shared" si="23"/>
        <v>0</v>
      </c>
      <c r="AA253" s="40">
        <f t="shared" si="24"/>
        <v>0</v>
      </c>
      <c r="AB253" s="40">
        <f t="shared" si="25"/>
        <v>0</v>
      </c>
      <c r="AC253" s="40">
        <f t="shared" si="26"/>
        <v>0</v>
      </c>
      <c r="AD253" s="40">
        <f t="shared" si="29"/>
        <v>0</v>
      </c>
      <c r="AE253" s="509">
        <f t="shared" si="28"/>
        <v>0</v>
      </c>
    </row>
    <row r="254" spans="6:31" x14ac:dyDescent="0.35">
      <c r="F254" s="1597">
        <f t="shared" si="8"/>
        <v>0</v>
      </c>
      <c r="G254" s="40"/>
      <c r="H254" s="40"/>
      <c r="I254" s="40"/>
      <c r="J254" s="40">
        <f t="shared" si="9"/>
        <v>0</v>
      </c>
      <c r="K254" s="40"/>
      <c r="L254" s="40">
        <f t="shared" si="10"/>
        <v>0</v>
      </c>
      <c r="M254" s="40"/>
      <c r="N254" s="40">
        <f t="shared" si="11"/>
        <v>0</v>
      </c>
      <c r="O254" s="40">
        <f t="shared" si="12"/>
        <v>0</v>
      </c>
      <c r="P254" s="40">
        <f t="shared" si="13"/>
        <v>0</v>
      </c>
      <c r="Q254" s="40">
        <f t="shared" si="14"/>
        <v>0</v>
      </c>
      <c r="R254" s="40">
        <f t="shared" si="15"/>
        <v>0</v>
      </c>
      <c r="S254" s="40">
        <f t="shared" si="16"/>
        <v>0</v>
      </c>
      <c r="T254" s="40">
        <f t="shared" si="17"/>
        <v>0</v>
      </c>
      <c r="U254" s="40">
        <f t="shared" si="18"/>
        <v>0</v>
      </c>
      <c r="V254" s="40">
        <f t="shared" si="19"/>
        <v>0</v>
      </c>
      <c r="W254" s="40">
        <f t="shared" si="20"/>
        <v>0</v>
      </c>
      <c r="X254" s="40">
        <f t="shared" si="21"/>
        <v>0</v>
      </c>
      <c r="Y254" s="40">
        <f t="shared" si="22"/>
        <v>0</v>
      </c>
      <c r="Z254" s="40">
        <f t="shared" si="23"/>
        <v>0</v>
      </c>
      <c r="AA254" s="40">
        <f t="shared" si="24"/>
        <v>0</v>
      </c>
      <c r="AB254" s="40">
        <f t="shared" si="25"/>
        <v>0</v>
      </c>
      <c r="AC254" s="40">
        <f t="shared" si="26"/>
        <v>0</v>
      </c>
      <c r="AD254" s="40">
        <f t="shared" si="29"/>
        <v>0</v>
      </c>
      <c r="AE254" s="509">
        <f t="shared" si="28"/>
        <v>0</v>
      </c>
    </row>
    <row r="255" spans="6:31" x14ac:dyDescent="0.35">
      <c r="F255" s="1597">
        <f t="shared" si="8"/>
        <v>0</v>
      </c>
      <c r="G255" s="40"/>
      <c r="H255" s="40"/>
      <c r="I255" s="40"/>
      <c r="J255" s="40">
        <f t="shared" si="9"/>
        <v>0</v>
      </c>
      <c r="K255" s="40"/>
      <c r="L255" s="40">
        <f t="shared" si="10"/>
        <v>0</v>
      </c>
      <c r="M255" s="40"/>
      <c r="N255" s="40">
        <f t="shared" si="11"/>
        <v>0</v>
      </c>
      <c r="O255" s="40">
        <f t="shared" si="12"/>
        <v>0</v>
      </c>
      <c r="P255" s="40">
        <f t="shared" si="13"/>
        <v>0</v>
      </c>
      <c r="Q255" s="40">
        <f t="shared" si="14"/>
        <v>0</v>
      </c>
      <c r="R255" s="40">
        <f t="shared" si="15"/>
        <v>0</v>
      </c>
      <c r="S255" s="40">
        <f t="shared" si="16"/>
        <v>0</v>
      </c>
      <c r="T255" s="40">
        <f t="shared" si="17"/>
        <v>0</v>
      </c>
      <c r="U255" s="40">
        <f t="shared" si="18"/>
        <v>0</v>
      </c>
      <c r="V255" s="40">
        <f t="shared" si="19"/>
        <v>0</v>
      </c>
      <c r="W255" s="40">
        <f t="shared" si="20"/>
        <v>0</v>
      </c>
      <c r="X255" s="40">
        <f t="shared" si="21"/>
        <v>0</v>
      </c>
      <c r="Y255" s="40">
        <f t="shared" si="22"/>
        <v>0</v>
      </c>
      <c r="Z255" s="40">
        <f t="shared" si="23"/>
        <v>0</v>
      </c>
      <c r="AA255" s="40">
        <f t="shared" si="24"/>
        <v>0</v>
      </c>
      <c r="AB255" s="40">
        <f t="shared" si="25"/>
        <v>0</v>
      </c>
      <c r="AC255" s="40">
        <f t="shared" si="26"/>
        <v>0</v>
      </c>
      <c r="AD255" s="40">
        <f t="shared" si="29"/>
        <v>0</v>
      </c>
      <c r="AE255" s="509">
        <f t="shared" si="28"/>
        <v>0</v>
      </c>
    </row>
    <row r="256" spans="6:31" x14ac:dyDescent="0.35">
      <c r="F256" s="1597">
        <f t="shared" si="8"/>
        <v>0</v>
      </c>
      <c r="G256" s="40"/>
      <c r="H256" s="40"/>
      <c r="I256" s="40"/>
      <c r="J256" s="40">
        <f t="shared" si="9"/>
        <v>0</v>
      </c>
      <c r="K256" s="40"/>
      <c r="L256" s="40">
        <f t="shared" si="10"/>
        <v>0</v>
      </c>
      <c r="M256" s="40"/>
      <c r="N256" s="40">
        <f t="shared" si="11"/>
        <v>0</v>
      </c>
      <c r="O256" s="40">
        <f t="shared" si="12"/>
        <v>0</v>
      </c>
      <c r="P256" s="40">
        <f t="shared" si="13"/>
        <v>0</v>
      </c>
      <c r="Q256" s="40">
        <f t="shared" si="14"/>
        <v>0</v>
      </c>
      <c r="R256" s="40">
        <f t="shared" si="15"/>
        <v>0</v>
      </c>
      <c r="S256" s="40">
        <f t="shared" si="16"/>
        <v>0</v>
      </c>
      <c r="T256" s="40">
        <f t="shared" si="17"/>
        <v>0</v>
      </c>
      <c r="U256" s="40">
        <f t="shared" si="18"/>
        <v>0</v>
      </c>
      <c r="V256" s="40">
        <f t="shared" si="19"/>
        <v>0</v>
      </c>
      <c r="W256" s="40">
        <f t="shared" si="20"/>
        <v>0</v>
      </c>
      <c r="X256" s="40">
        <f t="shared" si="21"/>
        <v>0</v>
      </c>
      <c r="Y256" s="40">
        <f t="shared" si="22"/>
        <v>0</v>
      </c>
      <c r="Z256" s="40">
        <f t="shared" si="23"/>
        <v>0</v>
      </c>
      <c r="AA256" s="40">
        <f t="shared" si="24"/>
        <v>0</v>
      </c>
      <c r="AB256" s="40">
        <f t="shared" si="25"/>
        <v>0</v>
      </c>
      <c r="AC256" s="40">
        <f t="shared" si="26"/>
        <v>0</v>
      </c>
      <c r="AD256" s="40">
        <f t="shared" si="29"/>
        <v>0</v>
      </c>
      <c r="AE256" s="509">
        <f t="shared" si="28"/>
        <v>0</v>
      </c>
    </row>
    <row r="257" spans="6:31" x14ac:dyDescent="0.35">
      <c r="F257" s="1597">
        <f t="shared" si="8"/>
        <v>0</v>
      </c>
      <c r="G257" s="40"/>
      <c r="H257" s="40"/>
      <c r="I257" s="40"/>
      <c r="J257" s="40">
        <f t="shared" si="9"/>
        <v>0</v>
      </c>
      <c r="K257" s="40"/>
      <c r="L257" s="40">
        <f t="shared" si="10"/>
        <v>0</v>
      </c>
      <c r="M257" s="40"/>
      <c r="N257" s="40">
        <f t="shared" si="11"/>
        <v>0</v>
      </c>
      <c r="O257" s="40">
        <f t="shared" si="12"/>
        <v>0</v>
      </c>
      <c r="P257" s="40">
        <f t="shared" si="13"/>
        <v>0</v>
      </c>
      <c r="Q257" s="40">
        <f t="shared" si="14"/>
        <v>0</v>
      </c>
      <c r="R257" s="40">
        <f t="shared" si="15"/>
        <v>0</v>
      </c>
      <c r="S257" s="40">
        <f t="shared" si="16"/>
        <v>0</v>
      </c>
      <c r="T257" s="40">
        <f t="shared" si="17"/>
        <v>0</v>
      </c>
      <c r="U257" s="40">
        <f t="shared" si="18"/>
        <v>0</v>
      </c>
      <c r="V257" s="40">
        <f t="shared" si="19"/>
        <v>0</v>
      </c>
      <c r="W257" s="40">
        <f t="shared" si="20"/>
        <v>0</v>
      </c>
      <c r="X257" s="40">
        <f t="shared" si="21"/>
        <v>0</v>
      </c>
      <c r="Y257" s="40">
        <f t="shared" si="22"/>
        <v>0</v>
      </c>
      <c r="Z257" s="40">
        <f t="shared" si="23"/>
        <v>0</v>
      </c>
      <c r="AA257" s="40">
        <f t="shared" si="24"/>
        <v>0</v>
      </c>
      <c r="AB257" s="40">
        <f t="shared" si="25"/>
        <v>0</v>
      </c>
      <c r="AC257" s="40">
        <f t="shared" si="26"/>
        <v>0</v>
      </c>
      <c r="AD257" s="40">
        <f t="shared" si="29"/>
        <v>0</v>
      </c>
      <c r="AE257" s="509">
        <f t="shared" si="28"/>
        <v>0</v>
      </c>
    </row>
    <row r="258" spans="6:31" x14ac:dyDescent="0.35">
      <c r="F258" s="1597">
        <f t="shared" si="8"/>
        <v>0</v>
      </c>
      <c r="G258" s="40"/>
      <c r="H258" s="40"/>
      <c r="I258" s="40"/>
      <c r="J258" s="40">
        <f t="shared" si="9"/>
        <v>0</v>
      </c>
      <c r="K258" s="40"/>
      <c r="L258" s="40">
        <f t="shared" si="10"/>
        <v>0</v>
      </c>
      <c r="M258" s="40"/>
      <c r="N258" s="40">
        <f t="shared" si="11"/>
        <v>0</v>
      </c>
      <c r="O258" s="40">
        <f t="shared" si="12"/>
        <v>0</v>
      </c>
      <c r="P258" s="40">
        <f t="shared" si="13"/>
        <v>0</v>
      </c>
      <c r="Q258" s="40">
        <f t="shared" si="14"/>
        <v>0</v>
      </c>
      <c r="R258" s="40">
        <f t="shared" si="15"/>
        <v>0</v>
      </c>
      <c r="S258" s="40">
        <f t="shared" si="16"/>
        <v>0</v>
      </c>
      <c r="T258" s="40">
        <f t="shared" si="17"/>
        <v>0</v>
      </c>
      <c r="U258" s="40">
        <f t="shared" si="18"/>
        <v>0</v>
      </c>
      <c r="V258" s="40">
        <f t="shared" si="19"/>
        <v>0</v>
      </c>
      <c r="W258" s="40">
        <f t="shared" si="20"/>
        <v>0</v>
      </c>
      <c r="X258" s="40">
        <f t="shared" si="21"/>
        <v>0</v>
      </c>
      <c r="Y258" s="40">
        <f t="shared" si="22"/>
        <v>0</v>
      </c>
      <c r="Z258" s="40">
        <f t="shared" si="23"/>
        <v>0</v>
      </c>
      <c r="AA258" s="40">
        <f t="shared" si="24"/>
        <v>0</v>
      </c>
      <c r="AB258" s="40">
        <f t="shared" si="25"/>
        <v>0</v>
      </c>
      <c r="AC258" s="40">
        <f t="shared" si="26"/>
        <v>0</v>
      </c>
      <c r="AD258" s="40">
        <f t="shared" si="29"/>
        <v>0</v>
      </c>
      <c r="AE258" s="509">
        <f t="shared" si="28"/>
        <v>0</v>
      </c>
    </row>
    <row r="259" spans="6:31" x14ac:dyDescent="0.35">
      <c r="F259" s="1597">
        <f t="shared" si="8"/>
        <v>0</v>
      </c>
      <c r="G259" s="40"/>
      <c r="H259" s="40"/>
      <c r="I259" s="40"/>
      <c r="J259" s="40">
        <f t="shared" si="9"/>
        <v>0</v>
      </c>
      <c r="K259" s="40"/>
      <c r="L259" s="40">
        <f t="shared" si="10"/>
        <v>0</v>
      </c>
      <c r="M259" s="40"/>
      <c r="N259" s="40">
        <f t="shared" si="11"/>
        <v>0</v>
      </c>
      <c r="O259" s="40">
        <f t="shared" si="12"/>
        <v>0</v>
      </c>
      <c r="P259" s="40">
        <f t="shared" si="13"/>
        <v>0</v>
      </c>
      <c r="Q259" s="40">
        <f t="shared" si="14"/>
        <v>0</v>
      </c>
      <c r="R259" s="40">
        <f t="shared" si="15"/>
        <v>0</v>
      </c>
      <c r="S259" s="40">
        <f t="shared" si="16"/>
        <v>0</v>
      </c>
      <c r="T259" s="40">
        <f t="shared" si="17"/>
        <v>0</v>
      </c>
      <c r="U259" s="40">
        <f t="shared" si="18"/>
        <v>0</v>
      </c>
      <c r="V259" s="40">
        <f t="shared" si="19"/>
        <v>0</v>
      </c>
      <c r="W259" s="40">
        <f t="shared" si="20"/>
        <v>0</v>
      </c>
      <c r="X259" s="40">
        <f t="shared" si="21"/>
        <v>0</v>
      </c>
      <c r="Y259" s="40">
        <f t="shared" si="22"/>
        <v>0</v>
      </c>
      <c r="Z259" s="40">
        <f t="shared" si="23"/>
        <v>0</v>
      </c>
      <c r="AA259" s="40">
        <f t="shared" si="24"/>
        <v>0</v>
      </c>
      <c r="AB259" s="40">
        <f t="shared" si="25"/>
        <v>0</v>
      </c>
      <c r="AC259" s="40">
        <f t="shared" si="26"/>
        <v>0</v>
      </c>
      <c r="AD259" s="40">
        <f t="shared" si="29"/>
        <v>0</v>
      </c>
      <c r="AE259" s="509">
        <f t="shared" si="28"/>
        <v>0</v>
      </c>
    </row>
    <row r="260" spans="6:31" x14ac:dyDescent="0.35">
      <c r="F260" s="1597">
        <f t="shared" si="8"/>
        <v>0</v>
      </c>
      <c r="G260" s="40"/>
      <c r="H260" s="40"/>
      <c r="I260" s="40"/>
      <c r="J260" s="40">
        <f t="shared" si="9"/>
        <v>0</v>
      </c>
      <c r="K260" s="40"/>
      <c r="L260" s="40">
        <f t="shared" si="10"/>
        <v>0</v>
      </c>
      <c r="M260" s="40"/>
      <c r="N260" s="40">
        <f t="shared" si="11"/>
        <v>0</v>
      </c>
      <c r="O260" s="40">
        <f t="shared" si="12"/>
        <v>0</v>
      </c>
      <c r="P260" s="40">
        <f t="shared" si="13"/>
        <v>0</v>
      </c>
      <c r="Q260" s="40">
        <f t="shared" si="14"/>
        <v>0</v>
      </c>
      <c r="R260" s="40">
        <f t="shared" si="15"/>
        <v>0</v>
      </c>
      <c r="S260" s="40">
        <f t="shared" si="16"/>
        <v>0</v>
      </c>
      <c r="T260" s="40">
        <f t="shared" si="17"/>
        <v>0</v>
      </c>
      <c r="U260" s="40">
        <f t="shared" si="18"/>
        <v>0</v>
      </c>
      <c r="V260" s="40">
        <f t="shared" si="19"/>
        <v>0</v>
      </c>
      <c r="W260" s="40">
        <f t="shared" si="20"/>
        <v>0</v>
      </c>
      <c r="X260" s="40">
        <f t="shared" si="21"/>
        <v>0</v>
      </c>
      <c r="Y260" s="40">
        <f t="shared" si="22"/>
        <v>0</v>
      </c>
      <c r="Z260" s="40">
        <f t="shared" si="23"/>
        <v>0</v>
      </c>
      <c r="AA260" s="40">
        <f t="shared" si="24"/>
        <v>0</v>
      </c>
      <c r="AB260" s="40">
        <f t="shared" si="25"/>
        <v>0</v>
      </c>
      <c r="AC260" s="40">
        <f t="shared" si="26"/>
        <v>0</v>
      </c>
      <c r="AD260" s="40">
        <f t="shared" si="29"/>
        <v>0</v>
      </c>
      <c r="AE260" s="509">
        <f t="shared" si="28"/>
        <v>0</v>
      </c>
    </row>
    <row r="261" spans="6:31" x14ac:dyDescent="0.35">
      <c r="F261" s="1597">
        <f t="shared" si="8"/>
        <v>0</v>
      </c>
      <c r="G261" s="40"/>
      <c r="H261" s="40"/>
      <c r="I261" s="40"/>
      <c r="J261" s="40">
        <f t="shared" si="9"/>
        <v>0</v>
      </c>
      <c r="K261" s="40"/>
      <c r="L261" s="40">
        <f t="shared" si="10"/>
        <v>0</v>
      </c>
      <c r="M261" s="40"/>
      <c r="N261" s="40">
        <f t="shared" si="11"/>
        <v>0</v>
      </c>
      <c r="O261" s="40">
        <f t="shared" si="12"/>
        <v>0</v>
      </c>
      <c r="P261" s="40">
        <f t="shared" si="13"/>
        <v>0</v>
      </c>
      <c r="Q261" s="40">
        <f t="shared" si="14"/>
        <v>0</v>
      </c>
      <c r="R261" s="40">
        <f t="shared" si="15"/>
        <v>0</v>
      </c>
      <c r="S261" s="40">
        <f t="shared" si="16"/>
        <v>0</v>
      </c>
      <c r="T261" s="40">
        <f t="shared" si="17"/>
        <v>0</v>
      </c>
      <c r="U261" s="40">
        <f t="shared" si="18"/>
        <v>0</v>
      </c>
      <c r="V261" s="40">
        <f t="shared" si="19"/>
        <v>0</v>
      </c>
      <c r="W261" s="40">
        <f t="shared" si="20"/>
        <v>0</v>
      </c>
      <c r="X261" s="40">
        <f t="shared" si="21"/>
        <v>0</v>
      </c>
      <c r="Y261" s="40">
        <f t="shared" si="22"/>
        <v>0</v>
      </c>
      <c r="Z261" s="40">
        <f t="shared" si="23"/>
        <v>0</v>
      </c>
      <c r="AA261" s="40">
        <f t="shared" si="24"/>
        <v>0</v>
      </c>
      <c r="AB261" s="40">
        <f t="shared" si="25"/>
        <v>0</v>
      </c>
      <c r="AC261" s="40">
        <f t="shared" si="26"/>
        <v>0</v>
      </c>
      <c r="AD261" s="40">
        <f t="shared" si="29"/>
        <v>0</v>
      </c>
      <c r="AE261" s="509">
        <f t="shared" si="28"/>
        <v>0</v>
      </c>
    </row>
    <row r="262" spans="6:31" x14ac:dyDescent="0.35">
      <c r="F262" s="1597">
        <f t="shared" si="8"/>
        <v>0</v>
      </c>
      <c r="G262" s="40"/>
      <c r="H262" s="40"/>
      <c r="I262" s="40"/>
      <c r="J262" s="40">
        <f t="shared" si="9"/>
        <v>0</v>
      </c>
      <c r="K262" s="40"/>
      <c r="L262" s="40">
        <f t="shared" si="10"/>
        <v>0</v>
      </c>
      <c r="M262" s="40"/>
      <c r="N262" s="40">
        <f t="shared" si="11"/>
        <v>0</v>
      </c>
      <c r="O262" s="40">
        <f t="shared" si="12"/>
        <v>0</v>
      </c>
      <c r="P262" s="40">
        <f t="shared" si="13"/>
        <v>0</v>
      </c>
      <c r="Q262" s="40">
        <f t="shared" si="14"/>
        <v>0</v>
      </c>
      <c r="R262" s="40">
        <f t="shared" si="15"/>
        <v>0</v>
      </c>
      <c r="S262" s="40">
        <f t="shared" si="16"/>
        <v>0</v>
      </c>
      <c r="T262" s="40">
        <f t="shared" si="17"/>
        <v>0</v>
      </c>
      <c r="U262" s="40">
        <f t="shared" si="18"/>
        <v>0</v>
      </c>
      <c r="V262" s="40">
        <f t="shared" si="19"/>
        <v>0</v>
      </c>
      <c r="W262" s="40">
        <f t="shared" si="20"/>
        <v>0</v>
      </c>
      <c r="X262" s="40">
        <f t="shared" si="21"/>
        <v>0</v>
      </c>
      <c r="Y262" s="40">
        <f t="shared" si="22"/>
        <v>0</v>
      </c>
      <c r="Z262" s="40">
        <f t="shared" si="23"/>
        <v>0</v>
      </c>
      <c r="AA262" s="40">
        <f t="shared" si="24"/>
        <v>0</v>
      </c>
      <c r="AB262" s="40">
        <f t="shared" si="25"/>
        <v>0</v>
      </c>
      <c r="AC262" s="40">
        <f t="shared" si="26"/>
        <v>0</v>
      </c>
      <c r="AD262" s="40">
        <f t="shared" si="29"/>
        <v>0</v>
      </c>
      <c r="AE262" s="509">
        <f t="shared" si="28"/>
        <v>0</v>
      </c>
    </row>
    <row r="263" spans="6:31" x14ac:dyDescent="0.35">
      <c r="F263" s="1597">
        <f t="shared" si="8"/>
        <v>0</v>
      </c>
      <c r="G263" s="40"/>
      <c r="H263" s="40"/>
      <c r="I263" s="40"/>
      <c r="J263" s="40">
        <f t="shared" si="9"/>
        <v>0</v>
      </c>
      <c r="K263" s="40"/>
      <c r="L263" s="40">
        <f t="shared" si="10"/>
        <v>0</v>
      </c>
      <c r="M263" s="40"/>
      <c r="N263" s="40">
        <f t="shared" si="11"/>
        <v>0</v>
      </c>
      <c r="O263" s="40">
        <f t="shared" si="12"/>
        <v>0</v>
      </c>
      <c r="P263" s="40">
        <f t="shared" si="13"/>
        <v>0</v>
      </c>
      <c r="Q263" s="40">
        <f t="shared" si="14"/>
        <v>0</v>
      </c>
      <c r="R263" s="40">
        <f t="shared" si="15"/>
        <v>0</v>
      </c>
      <c r="S263" s="40">
        <f t="shared" si="16"/>
        <v>0</v>
      </c>
      <c r="T263" s="40">
        <f t="shared" si="17"/>
        <v>0</v>
      </c>
      <c r="U263" s="40">
        <f t="shared" si="18"/>
        <v>0</v>
      </c>
      <c r="V263" s="40">
        <f t="shared" si="19"/>
        <v>0</v>
      </c>
      <c r="W263" s="40">
        <f t="shared" si="20"/>
        <v>0</v>
      </c>
      <c r="X263" s="40">
        <f t="shared" si="21"/>
        <v>0</v>
      </c>
      <c r="Y263" s="40">
        <f t="shared" si="22"/>
        <v>0</v>
      </c>
      <c r="Z263" s="40">
        <f t="shared" si="23"/>
        <v>0</v>
      </c>
      <c r="AA263" s="40">
        <f t="shared" si="24"/>
        <v>0</v>
      </c>
      <c r="AB263" s="40">
        <f t="shared" si="25"/>
        <v>0</v>
      </c>
      <c r="AC263" s="40">
        <f t="shared" si="26"/>
        <v>0</v>
      </c>
      <c r="AD263" s="40">
        <f t="shared" si="29"/>
        <v>0</v>
      </c>
      <c r="AE263" s="509">
        <f t="shared" si="28"/>
        <v>0</v>
      </c>
    </row>
    <row r="264" spans="6:31" x14ac:dyDescent="0.35">
      <c r="F264" s="1597">
        <f t="shared" si="8"/>
        <v>0</v>
      </c>
      <c r="G264" s="40"/>
      <c r="H264" s="40"/>
      <c r="I264" s="40"/>
      <c r="J264" s="40">
        <f t="shared" si="9"/>
        <v>0</v>
      </c>
      <c r="K264" s="40"/>
      <c r="L264" s="40">
        <f t="shared" si="10"/>
        <v>0</v>
      </c>
      <c r="M264" s="40"/>
      <c r="N264" s="40">
        <f t="shared" si="11"/>
        <v>0</v>
      </c>
      <c r="O264" s="40">
        <f t="shared" si="12"/>
        <v>0</v>
      </c>
      <c r="P264" s="40">
        <f t="shared" si="13"/>
        <v>0</v>
      </c>
      <c r="Q264" s="40">
        <f t="shared" si="14"/>
        <v>0</v>
      </c>
      <c r="R264" s="40">
        <f t="shared" si="15"/>
        <v>0</v>
      </c>
      <c r="S264" s="40">
        <f t="shared" si="16"/>
        <v>0</v>
      </c>
      <c r="T264" s="40">
        <f t="shared" si="17"/>
        <v>0</v>
      </c>
      <c r="U264" s="40">
        <f t="shared" si="18"/>
        <v>0</v>
      </c>
      <c r="V264" s="40">
        <f t="shared" si="19"/>
        <v>0</v>
      </c>
      <c r="W264" s="40">
        <f t="shared" si="20"/>
        <v>0</v>
      </c>
      <c r="X264" s="40">
        <f t="shared" si="21"/>
        <v>0</v>
      </c>
      <c r="Y264" s="40">
        <f t="shared" si="22"/>
        <v>0</v>
      </c>
      <c r="Z264" s="40">
        <f t="shared" si="23"/>
        <v>0</v>
      </c>
      <c r="AA264" s="40">
        <f t="shared" si="24"/>
        <v>0</v>
      </c>
      <c r="AB264" s="40">
        <f t="shared" si="25"/>
        <v>0</v>
      </c>
      <c r="AC264" s="40">
        <f t="shared" si="26"/>
        <v>0</v>
      </c>
      <c r="AD264" s="40">
        <f t="shared" si="29"/>
        <v>0</v>
      </c>
      <c r="AE264" s="509">
        <f t="shared" si="28"/>
        <v>0</v>
      </c>
    </row>
    <row r="265" spans="6:31" x14ac:dyDescent="0.35">
      <c r="F265" s="1597">
        <f t="shared" si="8"/>
        <v>0</v>
      </c>
      <c r="G265" s="40"/>
      <c r="H265" s="40"/>
      <c r="I265" s="40"/>
      <c r="J265" s="40">
        <f t="shared" si="9"/>
        <v>0</v>
      </c>
      <c r="K265" s="40"/>
      <c r="L265" s="40">
        <f t="shared" si="10"/>
        <v>0</v>
      </c>
      <c r="M265" s="40"/>
      <c r="N265" s="40">
        <f t="shared" si="11"/>
        <v>0</v>
      </c>
      <c r="O265" s="40">
        <f t="shared" si="12"/>
        <v>0</v>
      </c>
      <c r="P265" s="40">
        <f t="shared" si="13"/>
        <v>0</v>
      </c>
      <c r="Q265" s="40">
        <f t="shared" si="14"/>
        <v>0</v>
      </c>
      <c r="R265" s="40">
        <f t="shared" si="15"/>
        <v>0</v>
      </c>
      <c r="S265" s="40">
        <f t="shared" si="16"/>
        <v>0</v>
      </c>
      <c r="T265" s="40">
        <f t="shared" si="17"/>
        <v>0</v>
      </c>
      <c r="U265" s="40">
        <f t="shared" si="18"/>
        <v>0</v>
      </c>
      <c r="V265" s="40">
        <f t="shared" si="19"/>
        <v>0</v>
      </c>
      <c r="W265" s="40">
        <f t="shared" si="20"/>
        <v>0</v>
      </c>
      <c r="X265" s="40">
        <f t="shared" si="21"/>
        <v>0</v>
      </c>
      <c r="Y265" s="40">
        <f t="shared" si="22"/>
        <v>0</v>
      </c>
      <c r="Z265" s="40">
        <f t="shared" si="23"/>
        <v>0</v>
      </c>
      <c r="AA265" s="40">
        <f t="shared" si="24"/>
        <v>0</v>
      </c>
      <c r="AB265" s="40">
        <f t="shared" si="25"/>
        <v>0</v>
      </c>
      <c r="AC265" s="40">
        <f t="shared" si="26"/>
        <v>0</v>
      </c>
      <c r="AD265" s="40">
        <f t="shared" si="29"/>
        <v>0</v>
      </c>
      <c r="AE265" s="509">
        <f t="shared" si="28"/>
        <v>0</v>
      </c>
    </row>
    <row r="266" spans="6:31" x14ac:dyDescent="0.35">
      <c r="F266" s="1597">
        <f t="shared" si="8"/>
        <v>0</v>
      </c>
      <c r="G266" s="40"/>
      <c r="H266" s="40"/>
      <c r="I266" s="40"/>
      <c r="J266" s="40">
        <f t="shared" si="9"/>
        <v>0</v>
      </c>
      <c r="K266" s="40"/>
      <c r="L266" s="40">
        <f t="shared" si="10"/>
        <v>0</v>
      </c>
      <c r="M266" s="40"/>
      <c r="N266" s="40">
        <f t="shared" si="11"/>
        <v>0</v>
      </c>
      <c r="O266" s="40">
        <f t="shared" si="12"/>
        <v>0</v>
      </c>
      <c r="P266" s="40">
        <f t="shared" si="13"/>
        <v>0</v>
      </c>
      <c r="Q266" s="40">
        <f t="shared" si="14"/>
        <v>0</v>
      </c>
      <c r="R266" s="40">
        <f t="shared" si="15"/>
        <v>0</v>
      </c>
      <c r="S266" s="40">
        <f t="shared" si="16"/>
        <v>0</v>
      </c>
      <c r="T266" s="40">
        <f t="shared" si="17"/>
        <v>0</v>
      </c>
      <c r="U266" s="40">
        <f t="shared" si="18"/>
        <v>0</v>
      </c>
      <c r="V266" s="40">
        <f t="shared" si="19"/>
        <v>0</v>
      </c>
      <c r="W266" s="40">
        <f t="shared" si="20"/>
        <v>0</v>
      </c>
      <c r="X266" s="40">
        <f t="shared" si="21"/>
        <v>0</v>
      </c>
      <c r="Y266" s="40">
        <f t="shared" si="22"/>
        <v>0</v>
      </c>
      <c r="Z266" s="40">
        <f t="shared" si="23"/>
        <v>0</v>
      </c>
      <c r="AA266" s="40">
        <f t="shared" si="24"/>
        <v>0</v>
      </c>
      <c r="AB266" s="40">
        <f t="shared" si="25"/>
        <v>0</v>
      </c>
      <c r="AC266" s="40">
        <f t="shared" si="26"/>
        <v>0</v>
      </c>
      <c r="AD266" s="40">
        <f t="shared" si="29"/>
        <v>0</v>
      </c>
      <c r="AE266" s="509">
        <f t="shared" si="28"/>
        <v>0</v>
      </c>
    </row>
    <row r="267" spans="6:31" x14ac:dyDescent="0.35">
      <c r="F267" s="1597">
        <f t="shared" si="8"/>
        <v>0</v>
      </c>
      <c r="G267" s="40"/>
      <c r="H267" s="40"/>
      <c r="I267" s="40"/>
      <c r="J267" s="40">
        <f t="shared" si="9"/>
        <v>0</v>
      </c>
      <c r="K267" s="40"/>
      <c r="L267" s="40">
        <f t="shared" si="10"/>
        <v>0</v>
      </c>
      <c r="M267" s="40"/>
      <c r="N267" s="40">
        <f t="shared" si="11"/>
        <v>0</v>
      </c>
      <c r="O267" s="40">
        <f t="shared" si="12"/>
        <v>0</v>
      </c>
      <c r="P267" s="40">
        <f t="shared" si="13"/>
        <v>0</v>
      </c>
      <c r="Q267" s="40">
        <f t="shared" si="14"/>
        <v>0</v>
      </c>
      <c r="R267" s="40">
        <f t="shared" si="15"/>
        <v>0</v>
      </c>
      <c r="S267" s="40">
        <f t="shared" si="16"/>
        <v>0</v>
      </c>
      <c r="T267" s="40">
        <f t="shared" si="17"/>
        <v>0</v>
      </c>
      <c r="U267" s="40">
        <f t="shared" si="18"/>
        <v>0</v>
      </c>
      <c r="V267" s="40">
        <f t="shared" si="19"/>
        <v>0</v>
      </c>
      <c r="W267" s="40">
        <f t="shared" si="20"/>
        <v>0</v>
      </c>
      <c r="X267" s="40">
        <f t="shared" si="21"/>
        <v>0</v>
      </c>
      <c r="Y267" s="40">
        <f t="shared" si="22"/>
        <v>0</v>
      </c>
      <c r="Z267" s="40">
        <f t="shared" si="23"/>
        <v>0</v>
      </c>
      <c r="AA267" s="40">
        <f t="shared" si="24"/>
        <v>0</v>
      </c>
      <c r="AB267" s="40">
        <f t="shared" si="25"/>
        <v>0</v>
      </c>
      <c r="AC267" s="40">
        <f t="shared" si="26"/>
        <v>0</v>
      </c>
      <c r="AD267" s="40">
        <f t="shared" si="29"/>
        <v>0</v>
      </c>
      <c r="AE267" s="509">
        <f t="shared" si="28"/>
        <v>0</v>
      </c>
    </row>
    <row r="268" spans="6:31" x14ac:dyDescent="0.35">
      <c r="F268" s="1597">
        <f t="shared" si="8"/>
        <v>0</v>
      </c>
      <c r="G268" s="40"/>
      <c r="H268" s="40"/>
      <c r="I268" s="40"/>
      <c r="J268" s="40">
        <f t="shared" si="9"/>
        <v>0</v>
      </c>
      <c r="K268" s="40"/>
      <c r="L268" s="40">
        <f t="shared" si="10"/>
        <v>0</v>
      </c>
      <c r="M268" s="40"/>
      <c r="N268" s="40">
        <f t="shared" si="11"/>
        <v>0</v>
      </c>
      <c r="O268" s="40">
        <f t="shared" si="12"/>
        <v>0</v>
      </c>
      <c r="P268" s="40">
        <f t="shared" si="13"/>
        <v>0</v>
      </c>
      <c r="Q268" s="40">
        <f t="shared" si="14"/>
        <v>0</v>
      </c>
      <c r="R268" s="40">
        <f t="shared" si="15"/>
        <v>0</v>
      </c>
      <c r="S268" s="40">
        <f t="shared" si="16"/>
        <v>0</v>
      </c>
      <c r="T268" s="40">
        <f t="shared" si="17"/>
        <v>0</v>
      </c>
      <c r="U268" s="40">
        <f t="shared" si="18"/>
        <v>0</v>
      </c>
      <c r="V268" s="40">
        <f t="shared" si="19"/>
        <v>0</v>
      </c>
      <c r="W268" s="40">
        <f t="shared" si="20"/>
        <v>0</v>
      </c>
      <c r="X268" s="40">
        <f t="shared" si="21"/>
        <v>0</v>
      </c>
      <c r="Y268" s="40">
        <f t="shared" si="22"/>
        <v>0</v>
      </c>
      <c r="Z268" s="40">
        <f t="shared" si="23"/>
        <v>0</v>
      </c>
      <c r="AA268" s="40">
        <f t="shared" si="24"/>
        <v>0</v>
      </c>
      <c r="AB268" s="40">
        <f t="shared" si="25"/>
        <v>0</v>
      </c>
      <c r="AC268" s="40">
        <f t="shared" si="26"/>
        <v>0</v>
      </c>
      <c r="AD268" s="40">
        <f t="shared" si="29"/>
        <v>0</v>
      </c>
      <c r="AE268" s="509">
        <f t="shared" si="28"/>
        <v>0</v>
      </c>
    </row>
    <row r="269" spans="6:31" x14ac:dyDescent="0.35">
      <c r="F269" s="1597">
        <f t="shared" si="8"/>
        <v>0</v>
      </c>
      <c r="G269" s="40"/>
      <c r="H269" s="40"/>
      <c r="I269" s="40"/>
      <c r="J269" s="40">
        <f t="shared" si="9"/>
        <v>0</v>
      </c>
      <c r="K269" s="40"/>
      <c r="L269" s="40">
        <f t="shared" si="10"/>
        <v>0</v>
      </c>
      <c r="M269" s="40"/>
      <c r="N269" s="40">
        <f t="shared" si="11"/>
        <v>0</v>
      </c>
      <c r="O269" s="40">
        <f t="shared" si="12"/>
        <v>0</v>
      </c>
      <c r="P269" s="40">
        <f t="shared" si="13"/>
        <v>0</v>
      </c>
      <c r="Q269" s="40">
        <f t="shared" si="14"/>
        <v>0</v>
      </c>
      <c r="R269" s="40">
        <f t="shared" si="15"/>
        <v>0</v>
      </c>
      <c r="S269" s="40">
        <f t="shared" si="16"/>
        <v>0</v>
      </c>
      <c r="T269" s="40">
        <f t="shared" si="17"/>
        <v>0</v>
      </c>
      <c r="U269" s="40">
        <f t="shared" si="18"/>
        <v>0</v>
      </c>
      <c r="V269" s="40">
        <f t="shared" si="19"/>
        <v>0</v>
      </c>
      <c r="W269" s="40">
        <f t="shared" si="20"/>
        <v>0</v>
      </c>
      <c r="X269" s="40">
        <f t="shared" si="21"/>
        <v>0</v>
      </c>
      <c r="Y269" s="40">
        <f t="shared" si="22"/>
        <v>0</v>
      </c>
      <c r="Z269" s="40">
        <f t="shared" si="23"/>
        <v>0</v>
      </c>
      <c r="AA269" s="40">
        <f t="shared" si="24"/>
        <v>0</v>
      </c>
      <c r="AB269" s="40">
        <f t="shared" si="25"/>
        <v>0</v>
      </c>
      <c r="AC269" s="40">
        <f t="shared" si="26"/>
        <v>0</v>
      </c>
      <c r="AD269" s="40">
        <f t="shared" si="29"/>
        <v>0</v>
      </c>
      <c r="AE269" s="509">
        <f t="shared" si="28"/>
        <v>0</v>
      </c>
    </row>
    <row r="270" spans="6:31" x14ac:dyDescent="0.35">
      <c r="F270" s="1597">
        <f t="shared" si="8"/>
        <v>0</v>
      </c>
      <c r="G270" s="40"/>
      <c r="H270" s="40"/>
      <c r="I270" s="40"/>
      <c r="J270" s="40">
        <f t="shared" si="9"/>
        <v>0</v>
      </c>
      <c r="K270" s="40"/>
      <c r="L270" s="40">
        <f t="shared" si="10"/>
        <v>0</v>
      </c>
      <c r="M270" s="40"/>
      <c r="N270" s="40">
        <f t="shared" si="11"/>
        <v>0</v>
      </c>
      <c r="O270" s="40">
        <f t="shared" si="12"/>
        <v>0</v>
      </c>
      <c r="P270" s="40">
        <f t="shared" si="13"/>
        <v>0</v>
      </c>
      <c r="Q270" s="40">
        <f t="shared" si="14"/>
        <v>0</v>
      </c>
      <c r="R270" s="40">
        <f t="shared" si="15"/>
        <v>0</v>
      </c>
      <c r="S270" s="40">
        <f t="shared" si="16"/>
        <v>0</v>
      </c>
      <c r="T270" s="40">
        <f t="shared" si="17"/>
        <v>0</v>
      </c>
      <c r="U270" s="40">
        <f t="shared" si="18"/>
        <v>0</v>
      </c>
      <c r="V270" s="40">
        <f t="shared" si="19"/>
        <v>0</v>
      </c>
      <c r="W270" s="40">
        <f t="shared" si="20"/>
        <v>0</v>
      </c>
      <c r="X270" s="40">
        <f t="shared" si="21"/>
        <v>0</v>
      </c>
      <c r="Y270" s="40">
        <f t="shared" si="22"/>
        <v>0</v>
      </c>
      <c r="Z270" s="40">
        <f t="shared" si="23"/>
        <v>0</v>
      </c>
      <c r="AA270" s="40">
        <f t="shared" si="24"/>
        <v>0</v>
      </c>
      <c r="AB270" s="40">
        <f t="shared" si="25"/>
        <v>0</v>
      </c>
      <c r="AC270" s="40">
        <f t="shared" si="26"/>
        <v>0</v>
      </c>
      <c r="AD270" s="40">
        <f t="shared" si="29"/>
        <v>0</v>
      </c>
      <c r="AE270" s="509">
        <f t="shared" si="28"/>
        <v>0</v>
      </c>
    </row>
    <row r="271" spans="6:31" x14ac:dyDescent="0.35">
      <c r="F271" s="1597">
        <f t="shared" si="8"/>
        <v>0</v>
      </c>
      <c r="G271" s="40"/>
      <c r="H271" s="40"/>
      <c r="I271" s="40"/>
      <c r="J271" s="40">
        <f t="shared" si="9"/>
        <v>0</v>
      </c>
      <c r="K271" s="40"/>
      <c r="L271" s="40">
        <f t="shared" si="10"/>
        <v>0</v>
      </c>
      <c r="M271" s="40"/>
      <c r="N271" s="40">
        <f t="shared" si="11"/>
        <v>0</v>
      </c>
      <c r="O271" s="40">
        <f t="shared" si="12"/>
        <v>0</v>
      </c>
      <c r="P271" s="40">
        <f t="shared" si="13"/>
        <v>0</v>
      </c>
      <c r="Q271" s="40">
        <f t="shared" si="14"/>
        <v>0</v>
      </c>
      <c r="R271" s="40">
        <f t="shared" si="15"/>
        <v>0</v>
      </c>
      <c r="S271" s="40">
        <f t="shared" si="16"/>
        <v>0</v>
      </c>
      <c r="T271" s="40">
        <f t="shared" si="17"/>
        <v>0</v>
      </c>
      <c r="U271" s="40">
        <f t="shared" si="18"/>
        <v>0</v>
      </c>
      <c r="V271" s="40">
        <f t="shared" si="19"/>
        <v>0</v>
      </c>
      <c r="W271" s="40">
        <f t="shared" si="20"/>
        <v>0</v>
      </c>
      <c r="X271" s="40">
        <f t="shared" si="21"/>
        <v>0</v>
      </c>
      <c r="Y271" s="40">
        <f t="shared" si="22"/>
        <v>0</v>
      </c>
      <c r="Z271" s="40">
        <f t="shared" si="23"/>
        <v>0</v>
      </c>
      <c r="AA271" s="40">
        <f t="shared" si="24"/>
        <v>0</v>
      </c>
      <c r="AB271" s="40">
        <f t="shared" si="25"/>
        <v>0</v>
      </c>
      <c r="AC271" s="40">
        <f t="shared" si="26"/>
        <v>0</v>
      </c>
      <c r="AD271" s="40">
        <f t="shared" si="29"/>
        <v>0</v>
      </c>
      <c r="AE271" s="509">
        <f t="shared" si="28"/>
        <v>0</v>
      </c>
    </row>
    <row r="272" spans="6:31" x14ac:dyDescent="0.35">
      <c r="F272" s="1597">
        <f t="shared" si="8"/>
        <v>0</v>
      </c>
      <c r="G272" s="40"/>
      <c r="H272" s="40"/>
      <c r="I272" s="40"/>
      <c r="J272" s="40">
        <f t="shared" si="9"/>
        <v>0</v>
      </c>
      <c r="K272" s="40"/>
      <c r="L272" s="40">
        <f t="shared" si="10"/>
        <v>0</v>
      </c>
      <c r="M272" s="40"/>
      <c r="N272" s="40">
        <f t="shared" si="11"/>
        <v>0</v>
      </c>
      <c r="O272" s="40">
        <f t="shared" si="12"/>
        <v>0</v>
      </c>
      <c r="P272" s="40">
        <f t="shared" si="13"/>
        <v>0</v>
      </c>
      <c r="Q272" s="40">
        <f t="shared" si="14"/>
        <v>0</v>
      </c>
      <c r="R272" s="40">
        <f t="shared" si="15"/>
        <v>0</v>
      </c>
      <c r="S272" s="40">
        <f t="shared" si="16"/>
        <v>0</v>
      </c>
      <c r="T272" s="40">
        <f t="shared" si="17"/>
        <v>0</v>
      </c>
      <c r="U272" s="40">
        <f t="shared" si="18"/>
        <v>0</v>
      </c>
      <c r="V272" s="40">
        <f t="shared" si="19"/>
        <v>0</v>
      </c>
      <c r="W272" s="40">
        <f t="shared" si="20"/>
        <v>0</v>
      </c>
      <c r="X272" s="40">
        <f t="shared" si="21"/>
        <v>0</v>
      </c>
      <c r="Y272" s="40">
        <f t="shared" si="22"/>
        <v>0</v>
      </c>
      <c r="Z272" s="40">
        <f t="shared" si="23"/>
        <v>0</v>
      </c>
      <c r="AA272" s="40">
        <f t="shared" si="24"/>
        <v>0</v>
      </c>
      <c r="AB272" s="40">
        <f t="shared" si="25"/>
        <v>0</v>
      </c>
      <c r="AC272" s="40">
        <f t="shared" si="26"/>
        <v>0</v>
      </c>
      <c r="AD272" s="40">
        <f t="shared" si="29"/>
        <v>0</v>
      </c>
      <c r="AE272" s="509">
        <f t="shared" si="28"/>
        <v>0</v>
      </c>
    </row>
    <row r="273" spans="6:31" x14ac:dyDescent="0.35">
      <c r="F273" s="1597">
        <f t="shared" si="8"/>
        <v>0</v>
      </c>
      <c r="G273" s="40"/>
      <c r="H273" s="40"/>
      <c r="I273" s="40"/>
      <c r="J273" s="40">
        <f t="shared" si="9"/>
        <v>0</v>
      </c>
      <c r="K273" s="40"/>
      <c r="L273" s="40">
        <f t="shared" si="10"/>
        <v>0</v>
      </c>
      <c r="M273" s="40"/>
      <c r="N273" s="40">
        <f t="shared" si="11"/>
        <v>0</v>
      </c>
      <c r="O273" s="40">
        <f t="shared" si="12"/>
        <v>0</v>
      </c>
      <c r="P273" s="40">
        <f t="shared" si="13"/>
        <v>0</v>
      </c>
      <c r="Q273" s="40">
        <f t="shared" si="14"/>
        <v>0</v>
      </c>
      <c r="R273" s="40">
        <f t="shared" si="15"/>
        <v>0</v>
      </c>
      <c r="S273" s="40">
        <f t="shared" si="16"/>
        <v>0</v>
      </c>
      <c r="T273" s="40">
        <f t="shared" si="17"/>
        <v>0</v>
      </c>
      <c r="U273" s="40">
        <f t="shared" si="18"/>
        <v>0</v>
      </c>
      <c r="V273" s="40">
        <f t="shared" si="19"/>
        <v>0</v>
      </c>
      <c r="W273" s="40">
        <f t="shared" si="20"/>
        <v>0</v>
      </c>
      <c r="X273" s="40">
        <f t="shared" si="21"/>
        <v>0</v>
      </c>
      <c r="Y273" s="40">
        <f t="shared" si="22"/>
        <v>0</v>
      </c>
      <c r="Z273" s="40">
        <f t="shared" si="23"/>
        <v>0</v>
      </c>
      <c r="AA273" s="40">
        <f t="shared" si="24"/>
        <v>0</v>
      </c>
      <c r="AB273" s="40">
        <f t="shared" si="25"/>
        <v>0</v>
      </c>
      <c r="AC273" s="40">
        <f t="shared" si="26"/>
        <v>0</v>
      </c>
      <c r="AD273" s="40">
        <f t="shared" si="29"/>
        <v>0</v>
      </c>
      <c r="AE273" s="509">
        <f t="shared" si="28"/>
        <v>0</v>
      </c>
    </row>
    <row r="274" spans="6:31" x14ac:dyDescent="0.35">
      <c r="F274" s="1597">
        <f t="shared" si="8"/>
        <v>0</v>
      </c>
      <c r="G274" s="40"/>
      <c r="H274" s="40"/>
      <c r="I274" s="40"/>
      <c r="J274" s="40">
        <f t="shared" si="9"/>
        <v>0</v>
      </c>
      <c r="K274" s="40"/>
      <c r="L274" s="40">
        <f t="shared" si="10"/>
        <v>0</v>
      </c>
      <c r="M274" s="40"/>
      <c r="N274" s="40">
        <f t="shared" si="11"/>
        <v>0</v>
      </c>
      <c r="O274" s="40">
        <f t="shared" si="12"/>
        <v>0</v>
      </c>
      <c r="P274" s="40">
        <f t="shared" si="13"/>
        <v>0</v>
      </c>
      <c r="Q274" s="40">
        <f t="shared" si="14"/>
        <v>0</v>
      </c>
      <c r="R274" s="40">
        <f t="shared" si="15"/>
        <v>0</v>
      </c>
      <c r="S274" s="40">
        <f t="shared" si="16"/>
        <v>0</v>
      </c>
      <c r="T274" s="40">
        <f t="shared" si="17"/>
        <v>0</v>
      </c>
      <c r="U274" s="40">
        <f t="shared" si="18"/>
        <v>0</v>
      </c>
      <c r="V274" s="40">
        <f t="shared" si="19"/>
        <v>0</v>
      </c>
      <c r="W274" s="40">
        <f t="shared" si="20"/>
        <v>0</v>
      </c>
      <c r="X274" s="40">
        <f t="shared" si="21"/>
        <v>0</v>
      </c>
      <c r="Y274" s="40">
        <f t="shared" si="22"/>
        <v>0</v>
      </c>
      <c r="Z274" s="40">
        <f t="shared" si="23"/>
        <v>0</v>
      </c>
      <c r="AA274" s="40">
        <f t="shared" si="24"/>
        <v>0</v>
      </c>
      <c r="AB274" s="40">
        <f t="shared" si="25"/>
        <v>0</v>
      </c>
      <c r="AC274" s="40">
        <f t="shared" si="26"/>
        <v>0</v>
      </c>
      <c r="AD274" s="40">
        <f t="shared" si="29"/>
        <v>0</v>
      </c>
      <c r="AE274" s="509">
        <f t="shared" si="28"/>
        <v>0</v>
      </c>
    </row>
    <row r="275" spans="6:31" x14ac:dyDescent="0.35">
      <c r="F275" s="1597">
        <f t="shared" si="8"/>
        <v>0</v>
      </c>
      <c r="G275" s="40"/>
      <c r="H275" s="40"/>
      <c r="I275" s="40"/>
      <c r="J275" s="40">
        <f t="shared" si="9"/>
        <v>0</v>
      </c>
      <c r="K275" s="40"/>
      <c r="L275" s="40">
        <f t="shared" si="10"/>
        <v>0</v>
      </c>
      <c r="M275" s="40"/>
      <c r="N275" s="40">
        <f t="shared" si="11"/>
        <v>0</v>
      </c>
      <c r="O275" s="40">
        <f t="shared" si="12"/>
        <v>0</v>
      </c>
      <c r="P275" s="40">
        <f t="shared" si="13"/>
        <v>0</v>
      </c>
      <c r="Q275" s="40">
        <f t="shared" si="14"/>
        <v>0</v>
      </c>
      <c r="R275" s="40">
        <f t="shared" si="15"/>
        <v>0</v>
      </c>
      <c r="S275" s="40">
        <f t="shared" si="16"/>
        <v>0</v>
      </c>
      <c r="T275" s="40">
        <f t="shared" si="17"/>
        <v>0</v>
      </c>
      <c r="U275" s="40">
        <f t="shared" si="18"/>
        <v>0</v>
      </c>
      <c r="V275" s="40">
        <f t="shared" si="19"/>
        <v>0</v>
      </c>
      <c r="W275" s="40">
        <f t="shared" si="20"/>
        <v>0</v>
      </c>
      <c r="X275" s="40">
        <f t="shared" si="21"/>
        <v>0</v>
      </c>
      <c r="Y275" s="40">
        <f t="shared" si="22"/>
        <v>0</v>
      </c>
      <c r="Z275" s="40">
        <f t="shared" si="23"/>
        <v>0</v>
      </c>
      <c r="AA275" s="40">
        <f t="shared" si="24"/>
        <v>0</v>
      </c>
      <c r="AB275" s="40">
        <f t="shared" si="25"/>
        <v>0</v>
      </c>
      <c r="AC275" s="40">
        <f t="shared" si="26"/>
        <v>0</v>
      </c>
      <c r="AD275" s="40">
        <f t="shared" si="29"/>
        <v>0</v>
      </c>
      <c r="AE275" s="509">
        <f t="shared" si="28"/>
        <v>0</v>
      </c>
    </row>
    <row r="276" spans="6:31" x14ac:dyDescent="0.35">
      <c r="F276" s="1597">
        <f t="shared" si="8"/>
        <v>0</v>
      </c>
      <c r="G276" s="40"/>
      <c r="H276" s="40"/>
      <c r="I276" s="40"/>
      <c r="J276" s="40">
        <f t="shared" si="9"/>
        <v>0</v>
      </c>
      <c r="K276" s="40"/>
      <c r="L276" s="40">
        <f t="shared" si="10"/>
        <v>0</v>
      </c>
      <c r="M276" s="40"/>
      <c r="N276" s="40">
        <f t="shared" si="11"/>
        <v>0</v>
      </c>
      <c r="O276" s="40">
        <f t="shared" si="12"/>
        <v>0</v>
      </c>
      <c r="P276" s="40">
        <f t="shared" si="13"/>
        <v>0</v>
      </c>
      <c r="Q276" s="40">
        <f t="shared" si="14"/>
        <v>0</v>
      </c>
      <c r="R276" s="40">
        <f t="shared" si="15"/>
        <v>0</v>
      </c>
      <c r="S276" s="40">
        <f t="shared" si="16"/>
        <v>0</v>
      </c>
      <c r="T276" s="40">
        <f t="shared" si="17"/>
        <v>0</v>
      </c>
      <c r="U276" s="40">
        <f t="shared" si="18"/>
        <v>0</v>
      </c>
      <c r="V276" s="40">
        <f t="shared" si="19"/>
        <v>0</v>
      </c>
      <c r="W276" s="40">
        <f t="shared" si="20"/>
        <v>0</v>
      </c>
      <c r="X276" s="40">
        <f t="shared" si="21"/>
        <v>0</v>
      </c>
      <c r="Y276" s="40">
        <f t="shared" si="22"/>
        <v>0</v>
      </c>
      <c r="Z276" s="40">
        <f t="shared" si="23"/>
        <v>0</v>
      </c>
      <c r="AA276" s="40">
        <f t="shared" si="24"/>
        <v>0</v>
      </c>
      <c r="AB276" s="40">
        <f t="shared" si="25"/>
        <v>0</v>
      </c>
      <c r="AC276" s="40">
        <f t="shared" si="26"/>
        <v>0</v>
      </c>
      <c r="AD276" s="40">
        <f t="shared" si="29"/>
        <v>0</v>
      </c>
      <c r="AE276" s="509">
        <f t="shared" si="28"/>
        <v>0</v>
      </c>
    </row>
    <row r="277" spans="6:31" x14ac:dyDescent="0.35">
      <c r="F277" s="1597">
        <f t="shared" si="8"/>
        <v>0</v>
      </c>
      <c r="G277" s="40"/>
      <c r="H277" s="40"/>
      <c r="I277" s="40"/>
      <c r="J277" s="40">
        <f t="shared" si="9"/>
        <v>0</v>
      </c>
      <c r="K277" s="40"/>
      <c r="L277" s="40">
        <f t="shared" si="10"/>
        <v>0</v>
      </c>
      <c r="M277" s="40"/>
      <c r="N277" s="40">
        <f t="shared" si="11"/>
        <v>0</v>
      </c>
      <c r="O277" s="40">
        <f t="shared" si="12"/>
        <v>0</v>
      </c>
      <c r="P277" s="40">
        <f t="shared" si="13"/>
        <v>0</v>
      </c>
      <c r="Q277" s="40">
        <f t="shared" si="14"/>
        <v>0</v>
      </c>
      <c r="R277" s="40">
        <f t="shared" si="15"/>
        <v>0</v>
      </c>
      <c r="S277" s="40">
        <f t="shared" si="16"/>
        <v>0</v>
      </c>
      <c r="T277" s="40">
        <f t="shared" si="17"/>
        <v>0</v>
      </c>
      <c r="U277" s="40">
        <f t="shared" si="18"/>
        <v>0</v>
      </c>
      <c r="V277" s="40">
        <f t="shared" si="19"/>
        <v>0</v>
      </c>
      <c r="W277" s="40">
        <f t="shared" si="20"/>
        <v>0</v>
      </c>
      <c r="X277" s="40">
        <f t="shared" si="21"/>
        <v>0</v>
      </c>
      <c r="Y277" s="40">
        <f t="shared" si="22"/>
        <v>0</v>
      </c>
      <c r="Z277" s="40">
        <f t="shared" si="23"/>
        <v>0</v>
      </c>
      <c r="AA277" s="40">
        <f t="shared" si="24"/>
        <v>0</v>
      </c>
      <c r="AB277" s="40">
        <f t="shared" si="25"/>
        <v>0</v>
      </c>
      <c r="AC277" s="40">
        <f t="shared" si="26"/>
        <v>0</v>
      </c>
      <c r="AD277" s="40">
        <f t="shared" si="29"/>
        <v>0</v>
      </c>
      <c r="AE277" s="509">
        <f t="shared" si="28"/>
        <v>0</v>
      </c>
    </row>
    <row r="278" spans="6:31" x14ac:dyDescent="0.35">
      <c r="F278" s="1597">
        <f t="shared" si="8"/>
        <v>0</v>
      </c>
      <c r="G278" s="40"/>
      <c r="H278" s="40"/>
      <c r="I278" s="40"/>
      <c r="J278" s="40">
        <f t="shared" si="9"/>
        <v>0</v>
      </c>
      <c r="K278" s="40"/>
      <c r="L278" s="40">
        <f t="shared" si="10"/>
        <v>0</v>
      </c>
      <c r="M278" s="40"/>
      <c r="N278" s="40">
        <f t="shared" si="11"/>
        <v>0</v>
      </c>
      <c r="O278" s="40">
        <f t="shared" si="12"/>
        <v>0</v>
      </c>
      <c r="P278" s="40">
        <f t="shared" si="13"/>
        <v>0</v>
      </c>
      <c r="Q278" s="40">
        <f t="shared" si="14"/>
        <v>0</v>
      </c>
      <c r="R278" s="40">
        <f t="shared" si="15"/>
        <v>0</v>
      </c>
      <c r="S278" s="40">
        <f t="shared" si="16"/>
        <v>0</v>
      </c>
      <c r="T278" s="40">
        <f t="shared" si="17"/>
        <v>0</v>
      </c>
      <c r="U278" s="40">
        <f t="shared" si="18"/>
        <v>0</v>
      </c>
      <c r="V278" s="40">
        <f t="shared" si="19"/>
        <v>0</v>
      </c>
      <c r="W278" s="40">
        <f t="shared" si="20"/>
        <v>0</v>
      </c>
      <c r="X278" s="40">
        <f t="shared" si="21"/>
        <v>0</v>
      </c>
      <c r="Y278" s="40">
        <f t="shared" si="22"/>
        <v>0</v>
      </c>
      <c r="Z278" s="40">
        <f t="shared" si="23"/>
        <v>0</v>
      </c>
      <c r="AA278" s="40">
        <f t="shared" si="24"/>
        <v>0</v>
      </c>
      <c r="AB278" s="40">
        <f t="shared" si="25"/>
        <v>0</v>
      </c>
      <c r="AC278" s="40">
        <f t="shared" si="26"/>
        <v>0</v>
      </c>
      <c r="AD278" s="40">
        <f t="shared" si="29"/>
        <v>0</v>
      </c>
      <c r="AE278" s="509">
        <f t="shared" si="28"/>
        <v>0</v>
      </c>
    </row>
    <row r="279" spans="6:31" x14ac:dyDescent="0.35">
      <c r="F279" s="1597">
        <f t="shared" si="8"/>
        <v>0</v>
      </c>
      <c r="G279" s="40"/>
      <c r="H279" s="40"/>
      <c r="I279" s="40"/>
      <c r="J279" s="40">
        <f t="shared" si="9"/>
        <v>0</v>
      </c>
      <c r="K279" s="40"/>
      <c r="L279" s="40">
        <f t="shared" si="10"/>
        <v>0</v>
      </c>
      <c r="M279" s="40"/>
      <c r="N279" s="40">
        <f t="shared" si="11"/>
        <v>0</v>
      </c>
      <c r="O279" s="40">
        <f t="shared" si="12"/>
        <v>0</v>
      </c>
      <c r="P279" s="40">
        <f t="shared" si="13"/>
        <v>0</v>
      </c>
      <c r="Q279" s="40">
        <f t="shared" si="14"/>
        <v>0</v>
      </c>
      <c r="R279" s="40">
        <f t="shared" si="15"/>
        <v>0</v>
      </c>
      <c r="S279" s="40">
        <f t="shared" si="16"/>
        <v>0</v>
      </c>
      <c r="T279" s="40">
        <f t="shared" si="17"/>
        <v>0</v>
      </c>
      <c r="U279" s="40">
        <f t="shared" si="18"/>
        <v>0</v>
      </c>
      <c r="V279" s="40">
        <f t="shared" si="19"/>
        <v>0</v>
      </c>
      <c r="W279" s="40">
        <f t="shared" si="20"/>
        <v>0</v>
      </c>
      <c r="X279" s="40">
        <f t="shared" si="21"/>
        <v>0</v>
      </c>
      <c r="Y279" s="40">
        <f t="shared" si="22"/>
        <v>0</v>
      </c>
      <c r="Z279" s="40">
        <f t="shared" si="23"/>
        <v>0</v>
      </c>
      <c r="AA279" s="40">
        <f t="shared" si="24"/>
        <v>0</v>
      </c>
      <c r="AB279" s="40">
        <f t="shared" si="25"/>
        <v>0</v>
      </c>
      <c r="AC279" s="40">
        <f t="shared" si="26"/>
        <v>0</v>
      </c>
      <c r="AD279" s="40">
        <f t="shared" si="29"/>
        <v>0</v>
      </c>
      <c r="AE279" s="509">
        <f t="shared" si="28"/>
        <v>0</v>
      </c>
    </row>
    <row r="280" spans="6:31" x14ac:dyDescent="0.35">
      <c r="F280" s="1597">
        <f t="shared" si="8"/>
        <v>0</v>
      </c>
      <c r="G280" s="40"/>
      <c r="H280" s="40"/>
      <c r="I280" s="40"/>
      <c r="J280" s="40">
        <f t="shared" si="9"/>
        <v>0</v>
      </c>
      <c r="K280" s="40"/>
      <c r="L280" s="40">
        <f t="shared" si="10"/>
        <v>0</v>
      </c>
      <c r="M280" s="40"/>
      <c r="N280" s="40">
        <f t="shared" si="11"/>
        <v>0</v>
      </c>
      <c r="O280" s="40">
        <f t="shared" si="12"/>
        <v>0</v>
      </c>
      <c r="P280" s="40">
        <f t="shared" si="13"/>
        <v>0</v>
      </c>
      <c r="Q280" s="40">
        <f t="shared" si="14"/>
        <v>0</v>
      </c>
      <c r="R280" s="40">
        <f t="shared" si="15"/>
        <v>0</v>
      </c>
      <c r="S280" s="40">
        <f t="shared" si="16"/>
        <v>0</v>
      </c>
      <c r="T280" s="40">
        <f t="shared" si="17"/>
        <v>0</v>
      </c>
      <c r="U280" s="40">
        <f t="shared" si="18"/>
        <v>0</v>
      </c>
      <c r="V280" s="40">
        <f t="shared" si="19"/>
        <v>0</v>
      </c>
      <c r="W280" s="40">
        <f t="shared" si="20"/>
        <v>0</v>
      </c>
      <c r="X280" s="40">
        <f t="shared" si="21"/>
        <v>0</v>
      </c>
      <c r="Y280" s="40">
        <f t="shared" si="22"/>
        <v>0</v>
      </c>
      <c r="Z280" s="40">
        <f t="shared" si="23"/>
        <v>0</v>
      </c>
      <c r="AA280" s="40">
        <f t="shared" si="24"/>
        <v>0</v>
      </c>
      <c r="AB280" s="40">
        <f t="shared" si="25"/>
        <v>0</v>
      </c>
      <c r="AC280" s="40">
        <f t="shared" si="26"/>
        <v>0</v>
      </c>
      <c r="AD280" s="40">
        <f t="shared" si="29"/>
        <v>0</v>
      </c>
      <c r="AE280" s="509">
        <f t="shared" si="28"/>
        <v>0</v>
      </c>
    </row>
    <row r="281" spans="6:31" x14ac:dyDescent="0.35">
      <c r="F281" s="1597">
        <f t="shared" si="8"/>
        <v>0</v>
      </c>
      <c r="G281" s="40"/>
      <c r="H281" s="40"/>
      <c r="I281" s="40"/>
      <c r="J281" s="40">
        <f t="shared" si="9"/>
        <v>0</v>
      </c>
      <c r="K281" s="40"/>
      <c r="L281" s="40">
        <f t="shared" si="10"/>
        <v>0</v>
      </c>
      <c r="M281" s="40"/>
      <c r="N281" s="40">
        <f t="shared" si="11"/>
        <v>0</v>
      </c>
      <c r="O281" s="40">
        <f t="shared" si="12"/>
        <v>0</v>
      </c>
      <c r="P281" s="40">
        <f t="shared" si="13"/>
        <v>0</v>
      </c>
      <c r="Q281" s="40">
        <f t="shared" si="14"/>
        <v>0</v>
      </c>
      <c r="R281" s="40">
        <f t="shared" si="15"/>
        <v>0</v>
      </c>
      <c r="S281" s="40">
        <f t="shared" si="16"/>
        <v>0</v>
      </c>
      <c r="T281" s="40">
        <f t="shared" si="17"/>
        <v>0</v>
      </c>
      <c r="U281" s="40">
        <f t="shared" si="18"/>
        <v>0</v>
      </c>
      <c r="V281" s="40">
        <f t="shared" si="19"/>
        <v>0</v>
      </c>
      <c r="W281" s="40">
        <f t="shared" si="20"/>
        <v>0</v>
      </c>
      <c r="X281" s="40">
        <f t="shared" si="21"/>
        <v>0</v>
      </c>
      <c r="Y281" s="40">
        <f t="shared" si="22"/>
        <v>0</v>
      </c>
      <c r="Z281" s="40">
        <f t="shared" si="23"/>
        <v>0</v>
      </c>
      <c r="AA281" s="40">
        <f t="shared" si="24"/>
        <v>0</v>
      </c>
      <c r="AB281" s="40">
        <f t="shared" si="25"/>
        <v>0</v>
      </c>
      <c r="AC281" s="40">
        <f t="shared" si="26"/>
        <v>0</v>
      </c>
      <c r="AD281" s="40">
        <f t="shared" si="29"/>
        <v>0</v>
      </c>
      <c r="AE281" s="509">
        <f t="shared" si="28"/>
        <v>0</v>
      </c>
    </row>
    <row r="282" spans="6:31" x14ac:dyDescent="0.35">
      <c r="F282" s="1597">
        <f t="shared" si="8"/>
        <v>0</v>
      </c>
      <c r="G282" s="40"/>
      <c r="H282" s="40"/>
      <c r="I282" s="40"/>
      <c r="J282" s="40">
        <f t="shared" si="9"/>
        <v>0</v>
      </c>
      <c r="K282" s="40"/>
      <c r="L282" s="40">
        <f t="shared" si="10"/>
        <v>0</v>
      </c>
      <c r="M282" s="40"/>
      <c r="N282" s="40">
        <f t="shared" si="11"/>
        <v>0</v>
      </c>
      <c r="O282" s="40">
        <f t="shared" si="12"/>
        <v>0</v>
      </c>
      <c r="P282" s="40">
        <f t="shared" si="13"/>
        <v>0</v>
      </c>
      <c r="Q282" s="40">
        <f t="shared" si="14"/>
        <v>0</v>
      </c>
      <c r="R282" s="40">
        <f t="shared" si="15"/>
        <v>0</v>
      </c>
      <c r="S282" s="40">
        <f t="shared" si="16"/>
        <v>0</v>
      </c>
      <c r="T282" s="40">
        <f t="shared" si="17"/>
        <v>0</v>
      </c>
      <c r="U282" s="40">
        <f t="shared" si="18"/>
        <v>0</v>
      </c>
      <c r="V282" s="40">
        <f t="shared" si="19"/>
        <v>0</v>
      </c>
      <c r="W282" s="40">
        <f t="shared" si="20"/>
        <v>0</v>
      </c>
      <c r="X282" s="40">
        <f t="shared" si="21"/>
        <v>0</v>
      </c>
      <c r="Y282" s="40">
        <f t="shared" si="22"/>
        <v>0</v>
      </c>
      <c r="Z282" s="40">
        <f t="shared" si="23"/>
        <v>0</v>
      </c>
      <c r="AA282" s="40">
        <f t="shared" si="24"/>
        <v>0</v>
      </c>
      <c r="AB282" s="40">
        <f t="shared" si="25"/>
        <v>0</v>
      </c>
      <c r="AC282" s="40">
        <f t="shared" si="26"/>
        <v>0</v>
      </c>
      <c r="AD282" s="40">
        <f t="shared" si="29"/>
        <v>0</v>
      </c>
      <c r="AE282" s="509">
        <f t="shared" si="28"/>
        <v>0</v>
      </c>
    </row>
    <row r="283" spans="6:31" x14ac:dyDescent="0.35">
      <c r="F283" s="1597">
        <f t="shared" si="8"/>
        <v>0</v>
      </c>
      <c r="G283" s="40"/>
      <c r="H283" s="40"/>
      <c r="I283" s="40"/>
      <c r="J283" s="40">
        <f t="shared" si="9"/>
        <v>0</v>
      </c>
      <c r="K283" s="40"/>
      <c r="L283" s="40">
        <f t="shared" si="10"/>
        <v>0</v>
      </c>
      <c r="M283" s="40"/>
      <c r="N283" s="40">
        <f t="shared" si="11"/>
        <v>0</v>
      </c>
      <c r="O283" s="40">
        <f t="shared" si="12"/>
        <v>0</v>
      </c>
      <c r="P283" s="40">
        <f t="shared" si="13"/>
        <v>0</v>
      </c>
      <c r="Q283" s="40">
        <f t="shared" si="14"/>
        <v>0</v>
      </c>
      <c r="R283" s="40">
        <f t="shared" si="15"/>
        <v>0</v>
      </c>
      <c r="S283" s="40">
        <f t="shared" si="16"/>
        <v>0</v>
      </c>
      <c r="T283" s="40">
        <f t="shared" si="17"/>
        <v>0</v>
      </c>
      <c r="U283" s="40">
        <f t="shared" si="18"/>
        <v>0</v>
      </c>
      <c r="V283" s="40">
        <f t="shared" si="19"/>
        <v>0</v>
      </c>
      <c r="W283" s="40">
        <f t="shared" si="20"/>
        <v>0</v>
      </c>
      <c r="X283" s="40">
        <f t="shared" si="21"/>
        <v>0</v>
      </c>
      <c r="Y283" s="40">
        <f t="shared" si="22"/>
        <v>0</v>
      </c>
      <c r="Z283" s="40">
        <f t="shared" si="23"/>
        <v>0</v>
      </c>
      <c r="AA283" s="40">
        <f t="shared" si="24"/>
        <v>0</v>
      </c>
      <c r="AB283" s="40">
        <f t="shared" si="25"/>
        <v>0</v>
      </c>
      <c r="AC283" s="40">
        <f t="shared" si="26"/>
        <v>0</v>
      </c>
      <c r="AD283" s="40">
        <f t="shared" si="29"/>
        <v>0</v>
      </c>
      <c r="AE283" s="509">
        <f t="shared" si="28"/>
        <v>0</v>
      </c>
    </row>
    <row r="284" spans="6:31" x14ac:dyDescent="0.35">
      <c r="F284" s="1597">
        <f t="shared" si="8"/>
        <v>0</v>
      </c>
      <c r="G284" s="40"/>
      <c r="H284" s="40"/>
      <c r="I284" s="40"/>
      <c r="J284" s="40">
        <f t="shared" si="9"/>
        <v>0</v>
      </c>
      <c r="K284" s="40"/>
      <c r="L284" s="40">
        <f t="shared" si="10"/>
        <v>0</v>
      </c>
      <c r="M284" s="40"/>
      <c r="N284" s="40">
        <f t="shared" si="11"/>
        <v>0</v>
      </c>
      <c r="O284" s="40">
        <f t="shared" si="12"/>
        <v>0</v>
      </c>
      <c r="P284" s="40">
        <f t="shared" si="13"/>
        <v>0</v>
      </c>
      <c r="Q284" s="40">
        <f t="shared" si="14"/>
        <v>0</v>
      </c>
      <c r="R284" s="40">
        <f t="shared" si="15"/>
        <v>0</v>
      </c>
      <c r="S284" s="40">
        <f t="shared" si="16"/>
        <v>0</v>
      </c>
      <c r="T284" s="40">
        <f t="shared" si="17"/>
        <v>0</v>
      </c>
      <c r="U284" s="40">
        <f t="shared" si="18"/>
        <v>0</v>
      </c>
      <c r="V284" s="40">
        <f t="shared" si="19"/>
        <v>0</v>
      </c>
      <c r="W284" s="40">
        <f t="shared" si="20"/>
        <v>0</v>
      </c>
      <c r="X284" s="40">
        <f t="shared" si="21"/>
        <v>0</v>
      </c>
      <c r="Y284" s="40">
        <f t="shared" si="22"/>
        <v>0</v>
      </c>
      <c r="Z284" s="40">
        <f t="shared" si="23"/>
        <v>0</v>
      </c>
      <c r="AA284" s="40">
        <f t="shared" si="24"/>
        <v>0</v>
      </c>
      <c r="AB284" s="40">
        <f t="shared" si="25"/>
        <v>0</v>
      </c>
      <c r="AC284" s="40">
        <f t="shared" si="26"/>
        <v>0</v>
      </c>
      <c r="AD284" s="40">
        <f t="shared" si="29"/>
        <v>0</v>
      </c>
      <c r="AE284" s="509">
        <f t="shared" si="28"/>
        <v>0</v>
      </c>
    </row>
    <row r="285" spans="6:31" x14ac:dyDescent="0.35">
      <c r="F285" s="1597">
        <f t="shared" si="8"/>
        <v>0</v>
      </c>
      <c r="G285" s="40"/>
      <c r="H285" s="40"/>
      <c r="I285" s="40"/>
      <c r="J285" s="40">
        <f t="shared" si="9"/>
        <v>0</v>
      </c>
      <c r="K285" s="40"/>
      <c r="L285" s="40">
        <f t="shared" si="10"/>
        <v>0</v>
      </c>
      <c r="M285" s="40"/>
      <c r="N285" s="40">
        <f t="shared" si="11"/>
        <v>0</v>
      </c>
      <c r="O285" s="40">
        <f t="shared" si="12"/>
        <v>0</v>
      </c>
      <c r="P285" s="40">
        <f t="shared" si="13"/>
        <v>0</v>
      </c>
      <c r="Q285" s="40">
        <f t="shared" si="14"/>
        <v>0</v>
      </c>
      <c r="R285" s="40">
        <f t="shared" si="15"/>
        <v>0</v>
      </c>
      <c r="S285" s="40">
        <f t="shared" si="16"/>
        <v>0</v>
      </c>
      <c r="T285" s="40">
        <f t="shared" si="17"/>
        <v>0</v>
      </c>
      <c r="U285" s="40">
        <f t="shared" si="18"/>
        <v>0</v>
      </c>
      <c r="V285" s="40">
        <f t="shared" si="19"/>
        <v>0</v>
      </c>
      <c r="W285" s="40">
        <f t="shared" si="20"/>
        <v>0</v>
      </c>
      <c r="X285" s="40">
        <f t="shared" si="21"/>
        <v>0</v>
      </c>
      <c r="Y285" s="40">
        <f t="shared" si="22"/>
        <v>0</v>
      </c>
      <c r="Z285" s="40">
        <f t="shared" si="23"/>
        <v>0</v>
      </c>
      <c r="AA285" s="40">
        <f t="shared" si="24"/>
        <v>0</v>
      </c>
      <c r="AB285" s="40">
        <f t="shared" si="25"/>
        <v>0</v>
      </c>
      <c r="AC285" s="40">
        <f t="shared" si="26"/>
        <v>0</v>
      </c>
      <c r="AD285" s="40">
        <f t="shared" si="29"/>
        <v>0</v>
      </c>
      <c r="AE285" s="509">
        <f t="shared" si="28"/>
        <v>0</v>
      </c>
    </row>
    <row r="286" spans="6:31" x14ac:dyDescent="0.35">
      <c r="F286" s="1597">
        <f t="shared" si="8"/>
        <v>0</v>
      </c>
      <c r="G286" s="40"/>
      <c r="H286" s="40"/>
      <c r="I286" s="40"/>
      <c r="J286" s="40">
        <f t="shared" si="9"/>
        <v>0</v>
      </c>
      <c r="K286" s="40"/>
      <c r="L286" s="40">
        <f t="shared" si="10"/>
        <v>0</v>
      </c>
      <c r="M286" s="40"/>
      <c r="N286" s="40">
        <f t="shared" si="11"/>
        <v>0</v>
      </c>
      <c r="O286" s="40">
        <f t="shared" si="12"/>
        <v>0</v>
      </c>
      <c r="P286" s="40">
        <f t="shared" si="13"/>
        <v>0</v>
      </c>
      <c r="Q286" s="40">
        <f t="shared" si="14"/>
        <v>0</v>
      </c>
      <c r="R286" s="40">
        <f t="shared" si="15"/>
        <v>0</v>
      </c>
      <c r="S286" s="40">
        <f t="shared" si="16"/>
        <v>0</v>
      </c>
      <c r="T286" s="40">
        <f t="shared" si="17"/>
        <v>0</v>
      </c>
      <c r="U286" s="40">
        <f t="shared" si="18"/>
        <v>0</v>
      </c>
      <c r="V286" s="40">
        <f t="shared" si="19"/>
        <v>0</v>
      </c>
      <c r="W286" s="40">
        <f t="shared" si="20"/>
        <v>0</v>
      </c>
      <c r="X286" s="40">
        <f t="shared" si="21"/>
        <v>0</v>
      </c>
      <c r="Y286" s="40">
        <f t="shared" si="22"/>
        <v>0</v>
      </c>
      <c r="Z286" s="40">
        <f t="shared" si="23"/>
        <v>0</v>
      </c>
      <c r="AA286" s="40">
        <f t="shared" si="24"/>
        <v>0</v>
      </c>
      <c r="AB286" s="40">
        <f t="shared" si="25"/>
        <v>0</v>
      </c>
      <c r="AC286" s="40">
        <f t="shared" si="26"/>
        <v>0</v>
      </c>
      <c r="AD286" s="40">
        <f t="shared" si="29"/>
        <v>0</v>
      </c>
      <c r="AE286" s="509">
        <f t="shared" si="28"/>
        <v>0</v>
      </c>
    </row>
    <row r="287" spans="6:31" x14ac:dyDescent="0.35">
      <c r="F287" s="1597">
        <f t="shared" si="8"/>
        <v>0</v>
      </c>
      <c r="G287" s="40"/>
      <c r="H287" s="40"/>
      <c r="I287" s="40"/>
      <c r="J287" s="40">
        <f t="shared" si="9"/>
        <v>0</v>
      </c>
      <c r="K287" s="40"/>
      <c r="L287" s="40">
        <f t="shared" si="10"/>
        <v>0</v>
      </c>
      <c r="M287" s="40"/>
      <c r="N287" s="40">
        <f t="shared" si="11"/>
        <v>0</v>
      </c>
      <c r="O287" s="40">
        <f t="shared" si="12"/>
        <v>0</v>
      </c>
      <c r="P287" s="40">
        <f t="shared" si="13"/>
        <v>0</v>
      </c>
      <c r="Q287" s="40">
        <f t="shared" si="14"/>
        <v>0</v>
      </c>
      <c r="R287" s="40">
        <f t="shared" si="15"/>
        <v>0</v>
      </c>
      <c r="S287" s="40">
        <f t="shared" si="16"/>
        <v>0</v>
      </c>
      <c r="T287" s="40">
        <f t="shared" si="17"/>
        <v>0</v>
      </c>
      <c r="U287" s="40">
        <f t="shared" si="18"/>
        <v>0</v>
      </c>
      <c r="V287" s="40">
        <f t="shared" si="19"/>
        <v>0</v>
      </c>
      <c r="W287" s="40">
        <f t="shared" si="20"/>
        <v>0</v>
      </c>
      <c r="X287" s="40">
        <f t="shared" si="21"/>
        <v>0</v>
      </c>
      <c r="Y287" s="40">
        <f t="shared" si="22"/>
        <v>0</v>
      </c>
      <c r="Z287" s="40">
        <f t="shared" si="23"/>
        <v>0</v>
      </c>
      <c r="AA287" s="40">
        <f t="shared" si="24"/>
        <v>0</v>
      </c>
      <c r="AB287" s="40">
        <f t="shared" si="25"/>
        <v>0</v>
      </c>
      <c r="AC287" s="40">
        <f t="shared" si="26"/>
        <v>0</v>
      </c>
      <c r="AD287" s="40">
        <f t="shared" si="29"/>
        <v>0</v>
      </c>
      <c r="AE287" s="509">
        <f t="shared" si="28"/>
        <v>0</v>
      </c>
    </row>
    <row r="288" spans="6:31" x14ac:dyDescent="0.35">
      <c r="F288" s="1597">
        <f t="shared" si="8"/>
        <v>0</v>
      </c>
      <c r="G288" s="40"/>
      <c r="H288" s="40"/>
      <c r="I288" s="40"/>
      <c r="J288" s="40">
        <f t="shared" si="9"/>
        <v>0</v>
      </c>
      <c r="K288" s="40"/>
      <c r="L288" s="40">
        <f t="shared" si="10"/>
        <v>0</v>
      </c>
      <c r="M288" s="40"/>
      <c r="N288" s="40">
        <f t="shared" si="11"/>
        <v>0</v>
      </c>
      <c r="O288" s="40">
        <f t="shared" si="12"/>
        <v>0</v>
      </c>
      <c r="P288" s="40">
        <f t="shared" si="13"/>
        <v>0</v>
      </c>
      <c r="Q288" s="40">
        <f t="shared" si="14"/>
        <v>0</v>
      </c>
      <c r="R288" s="40">
        <f t="shared" si="15"/>
        <v>0</v>
      </c>
      <c r="S288" s="40">
        <f t="shared" si="16"/>
        <v>0</v>
      </c>
      <c r="T288" s="40">
        <f t="shared" si="17"/>
        <v>0</v>
      </c>
      <c r="U288" s="40">
        <f t="shared" si="18"/>
        <v>0</v>
      </c>
      <c r="V288" s="40">
        <f t="shared" si="19"/>
        <v>0</v>
      </c>
      <c r="W288" s="40">
        <f t="shared" si="20"/>
        <v>0</v>
      </c>
      <c r="X288" s="40">
        <f t="shared" si="21"/>
        <v>0</v>
      </c>
      <c r="Y288" s="40">
        <f t="shared" si="22"/>
        <v>0</v>
      </c>
      <c r="Z288" s="40">
        <f t="shared" si="23"/>
        <v>0</v>
      </c>
      <c r="AA288" s="40">
        <f t="shared" si="24"/>
        <v>0</v>
      </c>
      <c r="AB288" s="40">
        <f t="shared" si="25"/>
        <v>0</v>
      </c>
      <c r="AC288" s="40">
        <f t="shared" si="26"/>
        <v>0</v>
      </c>
      <c r="AD288" s="40">
        <f t="shared" si="29"/>
        <v>0</v>
      </c>
      <c r="AE288" s="509">
        <f t="shared" si="28"/>
        <v>0</v>
      </c>
    </row>
    <row r="289" spans="6:31" x14ac:dyDescent="0.35">
      <c r="F289" s="1597">
        <f t="shared" si="8"/>
        <v>0</v>
      </c>
      <c r="G289" s="40"/>
      <c r="H289" s="40"/>
      <c r="I289" s="40"/>
      <c r="J289" s="40">
        <f t="shared" si="9"/>
        <v>0</v>
      </c>
      <c r="K289" s="40"/>
      <c r="L289" s="40">
        <f t="shared" si="10"/>
        <v>0</v>
      </c>
      <c r="M289" s="40"/>
      <c r="N289" s="40">
        <f t="shared" si="11"/>
        <v>0</v>
      </c>
      <c r="O289" s="40">
        <f t="shared" si="12"/>
        <v>0</v>
      </c>
      <c r="P289" s="40">
        <f t="shared" si="13"/>
        <v>0</v>
      </c>
      <c r="Q289" s="40">
        <f t="shared" si="14"/>
        <v>0</v>
      </c>
      <c r="R289" s="40">
        <f t="shared" si="15"/>
        <v>0</v>
      </c>
      <c r="S289" s="40">
        <f t="shared" si="16"/>
        <v>0</v>
      </c>
      <c r="T289" s="40">
        <f t="shared" si="17"/>
        <v>0</v>
      </c>
      <c r="U289" s="40">
        <f t="shared" si="18"/>
        <v>0</v>
      </c>
      <c r="V289" s="40">
        <f t="shared" si="19"/>
        <v>0</v>
      </c>
      <c r="W289" s="40">
        <f t="shared" si="20"/>
        <v>0</v>
      </c>
      <c r="X289" s="40">
        <f t="shared" si="21"/>
        <v>0</v>
      </c>
      <c r="Y289" s="40">
        <f t="shared" si="22"/>
        <v>0</v>
      </c>
      <c r="Z289" s="40">
        <f t="shared" si="23"/>
        <v>0</v>
      </c>
      <c r="AA289" s="40">
        <f t="shared" si="24"/>
        <v>0</v>
      </c>
      <c r="AB289" s="40">
        <f t="shared" si="25"/>
        <v>0</v>
      </c>
      <c r="AC289" s="40">
        <f t="shared" si="26"/>
        <v>0</v>
      </c>
      <c r="AD289" s="40">
        <f t="shared" si="29"/>
        <v>0</v>
      </c>
      <c r="AE289" s="509">
        <f t="shared" si="28"/>
        <v>0</v>
      </c>
    </row>
    <row r="290" spans="6:31" x14ac:dyDescent="0.35">
      <c r="F290" s="1597">
        <f t="shared" si="8"/>
        <v>0</v>
      </c>
      <c r="G290" s="40"/>
      <c r="H290" s="40"/>
      <c r="I290" s="40"/>
      <c r="J290" s="40">
        <f t="shared" si="9"/>
        <v>0</v>
      </c>
      <c r="K290" s="40"/>
      <c r="L290" s="40">
        <f t="shared" si="10"/>
        <v>0</v>
      </c>
      <c r="M290" s="40"/>
      <c r="N290" s="40">
        <f t="shared" si="11"/>
        <v>0</v>
      </c>
      <c r="O290" s="40">
        <f t="shared" si="12"/>
        <v>0</v>
      </c>
      <c r="P290" s="40">
        <f t="shared" si="13"/>
        <v>0</v>
      </c>
      <c r="Q290" s="40">
        <f t="shared" si="14"/>
        <v>0</v>
      </c>
      <c r="R290" s="40">
        <f t="shared" si="15"/>
        <v>0</v>
      </c>
      <c r="S290" s="40">
        <f t="shared" si="16"/>
        <v>0</v>
      </c>
      <c r="T290" s="40">
        <f t="shared" si="17"/>
        <v>0</v>
      </c>
      <c r="U290" s="40">
        <f t="shared" si="18"/>
        <v>0</v>
      </c>
      <c r="V290" s="40">
        <f t="shared" si="19"/>
        <v>0</v>
      </c>
      <c r="W290" s="40">
        <f t="shared" si="20"/>
        <v>0</v>
      </c>
      <c r="X290" s="40">
        <f t="shared" si="21"/>
        <v>0</v>
      </c>
      <c r="Y290" s="40">
        <f t="shared" si="22"/>
        <v>0</v>
      </c>
      <c r="Z290" s="40">
        <f t="shared" si="23"/>
        <v>0</v>
      </c>
      <c r="AA290" s="40">
        <f t="shared" si="24"/>
        <v>0</v>
      </c>
      <c r="AB290" s="40">
        <f t="shared" si="25"/>
        <v>0</v>
      </c>
      <c r="AC290" s="40">
        <f t="shared" si="26"/>
        <v>0</v>
      </c>
      <c r="AD290" s="40">
        <f t="shared" si="29"/>
        <v>0</v>
      </c>
      <c r="AE290" s="509">
        <f t="shared" si="28"/>
        <v>0</v>
      </c>
    </row>
    <row r="291" spans="6:31" x14ac:dyDescent="0.35">
      <c r="F291" s="1597">
        <f t="shared" si="8"/>
        <v>0</v>
      </c>
      <c r="G291" s="40"/>
      <c r="H291" s="40"/>
      <c r="I291" s="40"/>
      <c r="J291" s="40">
        <f t="shared" si="9"/>
        <v>0</v>
      </c>
      <c r="K291" s="40"/>
      <c r="L291" s="40">
        <f t="shared" si="10"/>
        <v>0</v>
      </c>
      <c r="M291" s="40"/>
      <c r="N291" s="40">
        <f t="shared" si="11"/>
        <v>0</v>
      </c>
      <c r="O291" s="40">
        <f t="shared" si="12"/>
        <v>0</v>
      </c>
      <c r="P291" s="40">
        <f t="shared" si="13"/>
        <v>0</v>
      </c>
      <c r="Q291" s="40">
        <f t="shared" si="14"/>
        <v>0</v>
      </c>
      <c r="R291" s="40">
        <f t="shared" si="15"/>
        <v>0</v>
      </c>
      <c r="S291" s="40">
        <f t="shared" si="16"/>
        <v>0</v>
      </c>
      <c r="T291" s="40">
        <f t="shared" si="17"/>
        <v>0</v>
      </c>
      <c r="U291" s="40">
        <f t="shared" si="18"/>
        <v>0</v>
      </c>
      <c r="V291" s="40">
        <f t="shared" si="19"/>
        <v>0</v>
      </c>
      <c r="W291" s="40">
        <f t="shared" si="20"/>
        <v>0</v>
      </c>
      <c r="X291" s="40">
        <f t="shared" si="21"/>
        <v>0</v>
      </c>
      <c r="Y291" s="40">
        <f t="shared" si="22"/>
        <v>0</v>
      </c>
      <c r="Z291" s="40">
        <f t="shared" si="23"/>
        <v>0</v>
      </c>
      <c r="AA291" s="40">
        <f t="shared" si="24"/>
        <v>0</v>
      </c>
      <c r="AB291" s="40">
        <f t="shared" si="25"/>
        <v>0</v>
      </c>
      <c r="AC291" s="40">
        <f t="shared" si="26"/>
        <v>0</v>
      </c>
      <c r="AD291" s="40">
        <f t="shared" si="29"/>
        <v>0</v>
      </c>
      <c r="AE291" s="509">
        <f t="shared" si="28"/>
        <v>0</v>
      </c>
    </row>
    <row r="292" spans="6:31" x14ac:dyDescent="0.35">
      <c r="F292" s="1597">
        <f t="shared" si="8"/>
        <v>0</v>
      </c>
      <c r="G292" s="40"/>
      <c r="H292" s="40"/>
      <c r="I292" s="40"/>
      <c r="J292" s="40">
        <f t="shared" si="9"/>
        <v>0</v>
      </c>
      <c r="K292" s="40"/>
      <c r="L292" s="40">
        <f t="shared" si="10"/>
        <v>0</v>
      </c>
      <c r="M292" s="40"/>
      <c r="N292" s="40">
        <f t="shared" si="11"/>
        <v>0</v>
      </c>
      <c r="O292" s="40">
        <f t="shared" si="12"/>
        <v>0</v>
      </c>
      <c r="P292" s="40">
        <f t="shared" si="13"/>
        <v>0</v>
      </c>
      <c r="Q292" s="40">
        <f t="shared" si="14"/>
        <v>0</v>
      </c>
      <c r="R292" s="40">
        <f t="shared" si="15"/>
        <v>0</v>
      </c>
      <c r="S292" s="40">
        <f t="shared" si="16"/>
        <v>0</v>
      </c>
      <c r="T292" s="40">
        <f t="shared" si="17"/>
        <v>0</v>
      </c>
      <c r="U292" s="40">
        <f t="shared" si="18"/>
        <v>0</v>
      </c>
      <c r="V292" s="40">
        <f t="shared" si="19"/>
        <v>0</v>
      </c>
      <c r="W292" s="40">
        <f t="shared" si="20"/>
        <v>0</v>
      </c>
      <c r="X292" s="40">
        <f t="shared" si="21"/>
        <v>0</v>
      </c>
      <c r="Y292" s="40">
        <f t="shared" si="22"/>
        <v>0</v>
      </c>
      <c r="Z292" s="40">
        <f t="shared" si="23"/>
        <v>0</v>
      </c>
      <c r="AA292" s="40">
        <f t="shared" si="24"/>
        <v>0</v>
      </c>
      <c r="AB292" s="40">
        <f t="shared" si="25"/>
        <v>0</v>
      </c>
      <c r="AC292" s="40">
        <f t="shared" si="26"/>
        <v>0</v>
      </c>
      <c r="AD292" s="40">
        <f t="shared" si="29"/>
        <v>0</v>
      </c>
      <c r="AE292" s="509">
        <f t="shared" si="28"/>
        <v>0</v>
      </c>
    </row>
    <row r="293" spans="6:31" x14ac:dyDescent="0.35">
      <c r="F293" s="1597">
        <f t="shared" si="8"/>
        <v>0</v>
      </c>
      <c r="G293" s="40"/>
      <c r="H293" s="40"/>
      <c r="I293" s="40"/>
      <c r="J293" s="40">
        <f t="shared" si="9"/>
        <v>0</v>
      </c>
      <c r="K293" s="40"/>
      <c r="L293" s="40">
        <f t="shared" si="10"/>
        <v>0</v>
      </c>
      <c r="M293" s="40"/>
      <c r="N293" s="40">
        <f t="shared" si="11"/>
        <v>0</v>
      </c>
      <c r="O293" s="40">
        <f t="shared" si="12"/>
        <v>0</v>
      </c>
      <c r="P293" s="40">
        <f t="shared" si="13"/>
        <v>0</v>
      </c>
      <c r="Q293" s="40">
        <f t="shared" si="14"/>
        <v>0</v>
      </c>
      <c r="R293" s="40">
        <f t="shared" si="15"/>
        <v>0</v>
      </c>
      <c r="S293" s="40">
        <f t="shared" si="16"/>
        <v>0</v>
      </c>
      <c r="T293" s="40">
        <f t="shared" si="17"/>
        <v>0</v>
      </c>
      <c r="U293" s="40">
        <f t="shared" si="18"/>
        <v>0</v>
      </c>
      <c r="V293" s="40">
        <f t="shared" si="19"/>
        <v>0</v>
      </c>
      <c r="W293" s="40">
        <f t="shared" si="20"/>
        <v>0</v>
      </c>
      <c r="X293" s="40">
        <f t="shared" si="21"/>
        <v>0</v>
      </c>
      <c r="Y293" s="40">
        <f t="shared" si="22"/>
        <v>0</v>
      </c>
      <c r="Z293" s="40">
        <f t="shared" si="23"/>
        <v>0</v>
      </c>
      <c r="AA293" s="40">
        <f t="shared" si="24"/>
        <v>0</v>
      </c>
      <c r="AB293" s="40">
        <f t="shared" si="25"/>
        <v>0</v>
      </c>
      <c r="AC293" s="40">
        <f t="shared" si="26"/>
        <v>0</v>
      </c>
      <c r="AD293" s="40">
        <f t="shared" si="29"/>
        <v>0</v>
      </c>
      <c r="AE293" s="509">
        <f t="shared" si="28"/>
        <v>0</v>
      </c>
    </row>
    <row r="294" spans="6:31" x14ac:dyDescent="0.35">
      <c r="F294" s="1597">
        <f t="shared" ref="F294:F357" si="30">IF(OR(G85&lt;&gt;"",H85&lt;&gt;"",L85&lt;&gt;""),1,0)</f>
        <v>0</v>
      </c>
      <c r="G294" s="40"/>
      <c r="H294" s="40"/>
      <c r="I294" s="40"/>
      <c r="J294" s="40">
        <f t="shared" ref="J294:J357" si="31">IF(OR(O85&lt;&gt;"",U85&lt;&gt;"",AB85&lt;&gt;""),1,0)</f>
        <v>0</v>
      </c>
      <c r="K294" s="40"/>
      <c r="L294" s="40">
        <f t="shared" ref="L294:L357" si="32">IF(OR(P85&lt;&gt;"",V85&lt;&gt;"",AC85&lt;&gt;""),1,0)</f>
        <v>0</v>
      </c>
      <c r="M294" s="40"/>
      <c r="N294" s="40">
        <f t="shared" ref="N294:N357" si="33">IF(OR(Q85&lt;&gt;"",W85&lt;&gt;"",AD85&lt;&gt;""),1,0)</f>
        <v>0</v>
      </c>
      <c r="O294" s="40">
        <f t="shared" ref="O294:O357" si="34">IF(OR(L85&lt;&gt;"",AG85&lt;&gt;""),1,0)</f>
        <v>0</v>
      </c>
      <c r="P294" s="40">
        <f t="shared" ref="P294:P357" si="35">IF(OR(L85&lt;&gt;"",AH85&lt;&gt;""),1,0)</f>
        <v>0</v>
      </c>
      <c r="Q294" s="40">
        <f t="shared" ref="Q294:Q357" si="36">IF(OR(AL85&lt;&gt;"",BD85&lt;&gt;"",$BZ85&lt;&gt;""),1,0)</f>
        <v>0</v>
      </c>
      <c r="R294" s="40">
        <f t="shared" ref="R294:R357" si="37">IF(OR(AM85&lt;&gt;"",BE85&lt;&gt;"",$BZ85&lt;&gt;""),1,0)</f>
        <v>0</v>
      </c>
      <c r="S294" s="40">
        <f t="shared" ref="S294:S357" si="38">IF(OR(AN85&lt;&gt;"",BF85&lt;&gt;"",$BZ85&lt;&gt;""),1,0)</f>
        <v>0</v>
      </c>
      <c r="T294" s="40">
        <f t="shared" ref="T294:T357" si="39">IF(OR(AO85&lt;&gt;"",BG85&lt;&gt;"",$BZ85&lt;&gt;""),1,0)</f>
        <v>0</v>
      </c>
      <c r="U294" s="40">
        <f t="shared" ref="U294:U357" si="40">IF(OR(AP85&lt;&gt;"",BH85&lt;&gt;"",$BZ85&lt;&gt;""),1,0)</f>
        <v>0</v>
      </c>
      <c r="V294" s="40">
        <f t="shared" ref="V294:V357" si="41">IF(OR(AQ85&lt;&gt;"",BI85&lt;&gt;"",$BZ85&lt;&gt;""),1,0)</f>
        <v>0</v>
      </c>
      <c r="W294" s="40">
        <f t="shared" ref="W294:W357" si="42">IF(OR(AR85&lt;&gt;"",BJ85&lt;&gt;"",$BZ85&lt;&gt;""),1,0)</f>
        <v>0</v>
      </c>
      <c r="X294" s="40">
        <f t="shared" ref="X294:X357" si="43">IF(OR(AS85&lt;&gt;"",BK85&lt;&gt;"",$BZ85&lt;&gt;""),1,0)</f>
        <v>0</v>
      </c>
      <c r="Y294" s="40">
        <f t="shared" ref="Y294:Y357" si="44">IF(OR(AT85&lt;&gt;"",BL85&lt;&gt;"",$BZ85&lt;&gt;""),1,0)</f>
        <v>0</v>
      </c>
      <c r="Z294" s="40">
        <f t="shared" ref="Z294:Z357" si="45">IF(OR(AU85&lt;&gt;"",BM85&lt;&gt;"",$BZ85&lt;&gt;""),1,0)</f>
        <v>0</v>
      </c>
      <c r="AA294" s="40">
        <f t="shared" ref="AA294:AA357" si="46">IF(OR(AV85&lt;&gt;"",BN85&lt;&gt;"",$BZ85&lt;&gt;""),1,0)</f>
        <v>0</v>
      </c>
      <c r="AB294" s="40">
        <f t="shared" ref="AB294:AB357" si="47">IF(OR(AW85&lt;&gt;"",BO85&lt;&gt;"",$BZ85&lt;&gt;""),1,0)</f>
        <v>0</v>
      </c>
      <c r="AC294" s="40">
        <f t="shared" ref="AC294:AC357" si="48">IF(OR(AX85&lt;&gt;"",BP85&lt;&gt;"",$BZ85&lt;&gt;""),1,0)</f>
        <v>0</v>
      </c>
      <c r="AD294" s="40">
        <f t="shared" si="29"/>
        <v>0</v>
      </c>
      <c r="AE294" s="509">
        <f t="shared" si="28"/>
        <v>0</v>
      </c>
    </row>
    <row r="295" spans="6:31" x14ac:dyDescent="0.35">
      <c r="F295" s="1597">
        <f t="shared" si="30"/>
        <v>0</v>
      </c>
      <c r="G295" s="40"/>
      <c r="H295" s="40"/>
      <c r="I295" s="40"/>
      <c r="J295" s="40">
        <f t="shared" si="31"/>
        <v>0</v>
      </c>
      <c r="K295" s="40"/>
      <c r="L295" s="40">
        <f t="shared" si="32"/>
        <v>0</v>
      </c>
      <c r="M295" s="40"/>
      <c r="N295" s="40">
        <f t="shared" si="33"/>
        <v>0</v>
      </c>
      <c r="O295" s="40">
        <f t="shared" si="34"/>
        <v>0</v>
      </c>
      <c r="P295" s="40">
        <f t="shared" si="35"/>
        <v>0</v>
      </c>
      <c r="Q295" s="40">
        <f t="shared" si="36"/>
        <v>0</v>
      </c>
      <c r="R295" s="40">
        <f t="shared" si="37"/>
        <v>0</v>
      </c>
      <c r="S295" s="40">
        <f t="shared" si="38"/>
        <v>0</v>
      </c>
      <c r="T295" s="40">
        <f t="shared" si="39"/>
        <v>0</v>
      </c>
      <c r="U295" s="40">
        <f t="shared" si="40"/>
        <v>0</v>
      </c>
      <c r="V295" s="40">
        <f t="shared" si="41"/>
        <v>0</v>
      </c>
      <c r="W295" s="40">
        <f t="shared" si="42"/>
        <v>0</v>
      </c>
      <c r="X295" s="40">
        <f t="shared" si="43"/>
        <v>0</v>
      </c>
      <c r="Y295" s="40">
        <f t="shared" si="44"/>
        <v>0</v>
      </c>
      <c r="Z295" s="40">
        <f t="shared" si="45"/>
        <v>0</v>
      </c>
      <c r="AA295" s="40">
        <f t="shared" si="46"/>
        <v>0</v>
      </c>
      <c r="AB295" s="40">
        <f t="shared" si="47"/>
        <v>0</v>
      </c>
      <c r="AC295" s="40">
        <f t="shared" si="48"/>
        <v>0</v>
      </c>
      <c r="AD295" s="40">
        <f t="shared" si="29"/>
        <v>0</v>
      </c>
      <c r="AE295" s="509">
        <f t="shared" ref="AE295:AE358" si="49">IF(OR(AZ86&lt;&gt;"",BR86&lt;&gt;"",$BZ86&lt;&gt;""),1,0)</f>
        <v>0</v>
      </c>
    </row>
    <row r="296" spans="6:31" x14ac:dyDescent="0.35">
      <c r="F296" s="1597">
        <f t="shared" si="30"/>
        <v>0</v>
      </c>
      <c r="G296" s="40"/>
      <c r="H296" s="40"/>
      <c r="I296" s="40"/>
      <c r="J296" s="40">
        <f t="shared" si="31"/>
        <v>0</v>
      </c>
      <c r="K296" s="40"/>
      <c r="L296" s="40">
        <f t="shared" si="32"/>
        <v>0</v>
      </c>
      <c r="M296" s="40"/>
      <c r="N296" s="40">
        <f t="shared" si="33"/>
        <v>0</v>
      </c>
      <c r="O296" s="40">
        <f t="shared" si="34"/>
        <v>0</v>
      </c>
      <c r="P296" s="40">
        <f t="shared" si="35"/>
        <v>0</v>
      </c>
      <c r="Q296" s="40">
        <f t="shared" si="36"/>
        <v>0</v>
      </c>
      <c r="R296" s="40">
        <f t="shared" si="37"/>
        <v>0</v>
      </c>
      <c r="S296" s="40">
        <f t="shared" si="38"/>
        <v>0</v>
      </c>
      <c r="T296" s="40">
        <f t="shared" si="39"/>
        <v>0</v>
      </c>
      <c r="U296" s="40">
        <f t="shared" si="40"/>
        <v>0</v>
      </c>
      <c r="V296" s="40">
        <f t="shared" si="41"/>
        <v>0</v>
      </c>
      <c r="W296" s="40">
        <f t="shared" si="42"/>
        <v>0</v>
      </c>
      <c r="X296" s="40">
        <f t="shared" si="43"/>
        <v>0</v>
      </c>
      <c r="Y296" s="40">
        <f t="shared" si="44"/>
        <v>0</v>
      </c>
      <c r="Z296" s="40">
        <f t="shared" si="45"/>
        <v>0</v>
      </c>
      <c r="AA296" s="40">
        <f t="shared" si="46"/>
        <v>0</v>
      </c>
      <c r="AB296" s="40">
        <f t="shared" si="47"/>
        <v>0</v>
      </c>
      <c r="AC296" s="40">
        <f t="shared" si="48"/>
        <v>0</v>
      </c>
      <c r="AD296" s="40">
        <f t="shared" si="29"/>
        <v>0</v>
      </c>
      <c r="AE296" s="509">
        <f t="shared" si="49"/>
        <v>0</v>
      </c>
    </row>
    <row r="297" spans="6:31" x14ac:dyDescent="0.35">
      <c r="F297" s="1597">
        <f t="shared" si="30"/>
        <v>0</v>
      </c>
      <c r="G297" s="40"/>
      <c r="H297" s="40"/>
      <c r="I297" s="40"/>
      <c r="J297" s="40">
        <f t="shared" si="31"/>
        <v>0</v>
      </c>
      <c r="K297" s="40"/>
      <c r="L297" s="40">
        <f t="shared" si="32"/>
        <v>0</v>
      </c>
      <c r="M297" s="40"/>
      <c r="N297" s="40">
        <f t="shared" si="33"/>
        <v>0</v>
      </c>
      <c r="O297" s="40">
        <f t="shared" si="34"/>
        <v>0</v>
      </c>
      <c r="P297" s="40">
        <f t="shared" si="35"/>
        <v>0</v>
      </c>
      <c r="Q297" s="40">
        <f t="shared" si="36"/>
        <v>0</v>
      </c>
      <c r="R297" s="40">
        <f t="shared" si="37"/>
        <v>0</v>
      </c>
      <c r="S297" s="40">
        <f t="shared" si="38"/>
        <v>0</v>
      </c>
      <c r="T297" s="40">
        <f t="shared" si="39"/>
        <v>0</v>
      </c>
      <c r="U297" s="40">
        <f t="shared" si="40"/>
        <v>0</v>
      </c>
      <c r="V297" s="40">
        <f t="shared" si="41"/>
        <v>0</v>
      </c>
      <c r="W297" s="40">
        <f t="shared" si="42"/>
        <v>0</v>
      </c>
      <c r="X297" s="40">
        <f t="shared" si="43"/>
        <v>0</v>
      </c>
      <c r="Y297" s="40">
        <f t="shared" si="44"/>
        <v>0</v>
      </c>
      <c r="Z297" s="40">
        <f t="shared" si="45"/>
        <v>0</v>
      </c>
      <c r="AA297" s="40">
        <f t="shared" si="46"/>
        <v>0</v>
      </c>
      <c r="AB297" s="40">
        <f t="shared" si="47"/>
        <v>0</v>
      </c>
      <c r="AC297" s="40">
        <f t="shared" si="48"/>
        <v>0</v>
      </c>
      <c r="AD297" s="40">
        <f t="shared" si="29"/>
        <v>0</v>
      </c>
      <c r="AE297" s="509">
        <f t="shared" si="49"/>
        <v>0</v>
      </c>
    </row>
    <row r="298" spans="6:31" x14ac:dyDescent="0.35">
      <c r="F298" s="1597">
        <f t="shared" si="30"/>
        <v>0</v>
      </c>
      <c r="G298" s="40"/>
      <c r="H298" s="40"/>
      <c r="I298" s="40"/>
      <c r="J298" s="40">
        <f t="shared" si="31"/>
        <v>0</v>
      </c>
      <c r="K298" s="40"/>
      <c r="L298" s="40">
        <f t="shared" si="32"/>
        <v>0</v>
      </c>
      <c r="M298" s="40"/>
      <c r="N298" s="40">
        <f t="shared" si="33"/>
        <v>0</v>
      </c>
      <c r="O298" s="40">
        <f t="shared" si="34"/>
        <v>0</v>
      </c>
      <c r="P298" s="40">
        <f t="shared" si="35"/>
        <v>0</v>
      </c>
      <c r="Q298" s="40">
        <f t="shared" si="36"/>
        <v>0</v>
      </c>
      <c r="R298" s="40">
        <f t="shared" si="37"/>
        <v>0</v>
      </c>
      <c r="S298" s="40">
        <f t="shared" si="38"/>
        <v>0</v>
      </c>
      <c r="T298" s="40">
        <f t="shared" si="39"/>
        <v>0</v>
      </c>
      <c r="U298" s="40">
        <f t="shared" si="40"/>
        <v>0</v>
      </c>
      <c r="V298" s="40">
        <f t="shared" si="41"/>
        <v>0</v>
      </c>
      <c r="W298" s="40">
        <f t="shared" si="42"/>
        <v>0</v>
      </c>
      <c r="X298" s="40">
        <f t="shared" si="43"/>
        <v>0</v>
      </c>
      <c r="Y298" s="40">
        <f t="shared" si="44"/>
        <v>0</v>
      </c>
      <c r="Z298" s="40">
        <f t="shared" si="45"/>
        <v>0</v>
      </c>
      <c r="AA298" s="40">
        <f t="shared" si="46"/>
        <v>0</v>
      </c>
      <c r="AB298" s="40">
        <f t="shared" si="47"/>
        <v>0</v>
      </c>
      <c r="AC298" s="40">
        <f t="shared" si="48"/>
        <v>0</v>
      </c>
      <c r="AD298" s="40">
        <f t="shared" si="29"/>
        <v>0</v>
      </c>
      <c r="AE298" s="509">
        <f t="shared" si="49"/>
        <v>0</v>
      </c>
    </row>
    <row r="299" spans="6:31" x14ac:dyDescent="0.35">
      <c r="F299" s="1597">
        <f t="shared" si="30"/>
        <v>0</v>
      </c>
      <c r="G299" s="40"/>
      <c r="H299" s="40"/>
      <c r="I299" s="40"/>
      <c r="J299" s="40">
        <f t="shared" si="31"/>
        <v>0</v>
      </c>
      <c r="K299" s="40"/>
      <c r="L299" s="40">
        <f t="shared" si="32"/>
        <v>0</v>
      </c>
      <c r="M299" s="40"/>
      <c r="N299" s="40">
        <f t="shared" si="33"/>
        <v>0</v>
      </c>
      <c r="O299" s="40">
        <f t="shared" si="34"/>
        <v>0</v>
      </c>
      <c r="P299" s="40">
        <f t="shared" si="35"/>
        <v>0</v>
      </c>
      <c r="Q299" s="40">
        <f t="shared" si="36"/>
        <v>0</v>
      </c>
      <c r="R299" s="40">
        <f t="shared" si="37"/>
        <v>0</v>
      </c>
      <c r="S299" s="40">
        <f t="shared" si="38"/>
        <v>0</v>
      </c>
      <c r="T299" s="40">
        <f t="shared" si="39"/>
        <v>0</v>
      </c>
      <c r="U299" s="40">
        <f t="shared" si="40"/>
        <v>0</v>
      </c>
      <c r="V299" s="40">
        <f t="shared" si="41"/>
        <v>0</v>
      </c>
      <c r="W299" s="40">
        <f t="shared" si="42"/>
        <v>0</v>
      </c>
      <c r="X299" s="40">
        <f t="shared" si="43"/>
        <v>0</v>
      </c>
      <c r="Y299" s="40">
        <f t="shared" si="44"/>
        <v>0</v>
      </c>
      <c r="Z299" s="40">
        <f t="shared" si="45"/>
        <v>0</v>
      </c>
      <c r="AA299" s="40">
        <f t="shared" si="46"/>
        <v>0</v>
      </c>
      <c r="AB299" s="40">
        <f t="shared" si="47"/>
        <v>0</v>
      </c>
      <c r="AC299" s="40">
        <f t="shared" si="48"/>
        <v>0</v>
      </c>
      <c r="AD299" s="40">
        <f t="shared" si="29"/>
        <v>0</v>
      </c>
      <c r="AE299" s="509">
        <f t="shared" si="49"/>
        <v>0</v>
      </c>
    </row>
    <row r="300" spans="6:31" x14ac:dyDescent="0.35">
      <c r="F300" s="1597">
        <f t="shared" si="30"/>
        <v>0</v>
      </c>
      <c r="G300" s="40"/>
      <c r="H300" s="40"/>
      <c r="I300" s="40"/>
      <c r="J300" s="40">
        <f t="shared" si="31"/>
        <v>0</v>
      </c>
      <c r="K300" s="40"/>
      <c r="L300" s="40">
        <f t="shared" si="32"/>
        <v>0</v>
      </c>
      <c r="M300" s="40"/>
      <c r="N300" s="40">
        <f t="shared" si="33"/>
        <v>0</v>
      </c>
      <c r="O300" s="40">
        <f t="shared" si="34"/>
        <v>0</v>
      </c>
      <c r="P300" s="40">
        <f t="shared" si="35"/>
        <v>0</v>
      </c>
      <c r="Q300" s="40">
        <f t="shared" si="36"/>
        <v>0</v>
      </c>
      <c r="R300" s="40">
        <f t="shared" si="37"/>
        <v>0</v>
      </c>
      <c r="S300" s="40">
        <f t="shared" si="38"/>
        <v>0</v>
      </c>
      <c r="T300" s="40">
        <f t="shared" si="39"/>
        <v>0</v>
      </c>
      <c r="U300" s="40">
        <f t="shared" si="40"/>
        <v>0</v>
      </c>
      <c r="V300" s="40">
        <f t="shared" si="41"/>
        <v>0</v>
      </c>
      <c r="W300" s="40">
        <f t="shared" si="42"/>
        <v>0</v>
      </c>
      <c r="X300" s="40">
        <f t="shared" si="43"/>
        <v>0</v>
      </c>
      <c r="Y300" s="40">
        <f t="shared" si="44"/>
        <v>0</v>
      </c>
      <c r="Z300" s="40">
        <f t="shared" si="45"/>
        <v>0</v>
      </c>
      <c r="AA300" s="40">
        <f t="shared" si="46"/>
        <v>0</v>
      </c>
      <c r="AB300" s="40">
        <f t="shared" si="47"/>
        <v>0</v>
      </c>
      <c r="AC300" s="40">
        <f t="shared" si="48"/>
        <v>0</v>
      </c>
      <c r="AD300" s="40">
        <f t="shared" si="29"/>
        <v>0</v>
      </c>
      <c r="AE300" s="509">
        <f t="shared" si="49"/>
        <v>0</v>
      </c>
    </row>
    <row r="301" spans="6:31" x14ac:dyDescent="0.35">
      <c r="F301" s="1597">
        <f t="shared" si="30"/>
        <v>0</v>
      </c>
      <c r="G301" s="40"/>
      <c r="H301" s="40"/>
      <c r="I301" s="40"/>
      <c r="J301" s="40">
        <f t="shared" si="31"/>
        <v>0</v>
      </c>
      <c r="K301" s="40"/>
      <c r="L301" s="40">
        <f t="shared" si="32"/>
        <v>0</v>
      </c>
      <c r="M301" s="40"/>
      <c r="N301" s="40">
        <f t="shared" si="33"/>
        <v>0</v>
      </c>
      <c r="O301" s="40">
        <f t="shared" si="34"/>
        <v>0</v>
      </c>
      <c r="P301" s="40">
        <f t="shared" si="35"/>
        <v>0</v>
      </c>
      <c r="Q301" s="40">
        <f t="shared" si="36"/>
        <v>0</v>
      </c>
      <c r="R301" s="40">
        <f t="shared" si="37"/>
        <v>0</v>
      </c>
      <c r="S301" s="40">
        <f t="shared" si="38"/>
        <v>0</v>
      </c>
      <c r="T301" s="40">
        <f t="shared" si="39"/>
        <v>0</v>
      </c>
      <c r="U301" s="40">
        <f t="shared" si="40"/>
        <v>0</v>
      </c>
      <c r="V301" s="40">
        <f t="shared" si="41"/>
        <v>0</v>
      </c>
      <c r="W301" s="40">
        <f t="shared" si="42"/>
        <v>0</v>
      </c>
      <c r="X301" s="40">
        <f t="shared" si="43"/>
        <v>0</v>
      </c>
      <c r="Y301" s="40">
        <f t="shared" si="44"/>
        <v>0</v>
      </c>
      <c r="Z301" s="40">
        <f t="shared" si="45"/>
        <v>0</v>
      </c>
      <c r="AA301" s="40">
        <f t="shared" si="46"/>
        <v>0</v>
      </c>
      <c r="AB301" s="40">
        <f t="shared" si="47"/>
        <v>0</v>
      </c>
      <c r="AC301" s="40">
        <f t="shared" si="48"/>
        <v>0</v>
      </c>
      <c r="AD301" s="40">
        <f t="shared" si="29"/>
        <v>0</v>
      </c>
      <c r="AE301" s="509">
        <f t="shared" si="49"/>
        <v>0</v>
      </c>
    </row>
    <row r="302" spans="6:31" x14ac:dyDescent="0.35">
      <c r="F302" s="1597">
        <f t="shared" si="30"/>
        <v>0</v>
      </c>
      <c r="G302" s="40"/>
      <c r="H302" s="40"/>
      <c r="I302" s="40"/>
      <c r="J302" s="40">
        <f t="shared" si="31"/>
        <v>0</v>
      </c>
      <c r="K302" s="40"/>
      <c r="L302" s="40">
        <f t="shared" si="32"/>
        <v>0</v>
      </c>
      <c r="M302" s="40"/>
      <c r="N302" s="40">
        <f t="shared" si="33"/>
        <v>0</v>
      </c>
      <c r="O302" s="40">
        <f t="shared" si="34"/>
        <v>0</v>
      </c>
      <c r="P302" s="40">
        <f t="shared" si="35"/>
        <v>0</v>
      </c>
      <c r="Q302" s="40">
        <f t="shared" si="36"/>
        <v>0</v>
      </c>
      <c r="R302" s="40">
        <f t="shared" si="37"/>
        <v>0</v>
      </c>
      <c r="S302" s="40">
        <f t="shared" si="38"/>
        <v>0</v>
      </c>
      <c r="T302" s="40">
        <f t="shared" si="39"/>
        <v>0</v>
      </c>
      <c r="U302" s="40">
        <f t="shared" si="40"/>
        <v>0</v>
      </c>
      <c r="V302" s="40">
        <f t="shared" si="41"/>
        <v>0</v>
      </c>
      <c r="W302" s="40">
        <f t="shared" si="42"/>
        <v>0</v>
      </c>
      <c r="X302" s="40">
        <f t="shared" si="43"/>
        <v>0</v>
      </c>
      <c r="Y302" s="40">
        <f t="shared" si="44"/>
        <v>0</v>
      </c>
      <c r="Z302" s="40">
        <f t="shared" si="45"/>
        <v>0</v>
      </c>
      <c r="AA302" s="40">
        <f t="shared" si="46"/>
        <v>0</v>
      </c>
      <c r="AB302" s="40">
        <f t="shared" si="47"/>
        <v>0</v>
      </c>
      <c r="AC302" s="40">
        <f t="shared" si="48"/>
        <v>0</v>
      </c>
      <c r="AD302" s="40">
        <f t="shared" si="29"/>
        <v>0</v>
      </c>
      <c r="AE302" s="509">
        <f t="shared" si="49"/>
        <v>0</v>
      </c>
    </row>
    <row r="303" spans="6:31" x14ac:dyDescent="0.35">
      <c r="F303" s="1597">
        <f t="shared" si="30"/>
        <v>0</v>
      </c>
      <c r="G303" s="40"/>
      <c r="H303" s="40"/>
      <c r="I303" s="40"/>
      <c r="J303" s="40">
        <f t="shared" si="31"/>
        <v>0</v>
      </c>
      <c r="K303" s="40"/>
      <c r="L303" s="40">
        <f t="shared" si="32"/>
        <v>0</v>
      </c>
      <c r="M303" s="40"/>
      <c r="N303" s="40">
        <f t="shared" si="33"/>
        <v>0</v>
      </c>
      <c r="O303" s="40">
        <f t="shared" si="34"/>
        <v>0</v>
      </c>
      <c r="P303" s="40">
        <f t="shared" si="35"/>
        <v>0</v>
      </c>
      <c r="Q303" s="40">
        <f t="shared" si="36"/>
        <v>0</v>
      </c>
      <c r="R303" s="40">
        <f t="shared" si="37"/>
        <v>0</v>
      </c>
      <c r="S303" s="40">
        <f t="shared" si="38"/>
        <v>0</v>
      </c>
      <c r="T303" s="40">
        <f t="shared" si="39"/>
        <v>0</v>
      </c>
      <c r="U303" s="40">
        <f t="shared" si="40"/>
        <v>0</v>
      </c>
      <c r="V303" s="40">
        <f t="shared" si="41"/>
        <v>0</v>
      </c>
      <c r="W303" s="40">
        <f t="shared" si="42"/>
        <v>0</v>
      </c>
      <c r="X303" s="40">
        <f t="shared" si="43"/>
        <v>0</v>
      </c>
      <c r="Y303" s="40">
        <f t="shared" si="44"/>
        <v>0</v>
      </c>
      <c r="Z303" s="40">
        <f t="shared" si="45"/>
        <v>0</v>
      </c>
      <c r="AA303" s="40">
        <f t="shared" si="46"/>
        <v>0</v>
      </c>
      <c r="AB303" s="40">
        <f t="shared" si="47"/>
        <v>0</v>
      </c>
      <c r="AC303" s="40">
        <f t="shared" si="48"/>
        <v>0</v>
      </c>
      <c r="AD303" s="40">
        <f t="shared" si="29"/>
        <v>0</v>
      </c>
      <c r="AE303" s="509">
        <f t="shared" si="49"/>
        <v>0</v>
      </c>
    </row>
    <row r="304" spans="6:31" x14ac:dyDescent="0.35">
      <c r="F304" s="1597">
        <f t="shared" si="30"/>
        <v>0</v>
      </c>
      <c r="G304" s="40"/>
      <c r="H304" s="40"/>
      <c r="I304" s="40"/>
      <c r="J304" s="40">
        <f t="shared" si="31"/>
        <v>0</v>
      </c>
      <c r="K304" s="40"/>
      <c r="L304" s="40">
        <f t="shared" si="32"/>
        <v>0</v>
      </c>
      <c r="M304" s="40"/>
      <c r="N304" s="40">
        <f t="shared" si="33"/>
        <v>0</v>
      </c>
      <c r="O304" s="40">
        <f t="shared" si="34"/>
        <v>0</v>
      </c>
      <c r="P304" s="40">
        <f t="shared" si="35"/>
        <v>0</v>
      </c>
      <c r="Q304" s="40">
        <f t="shared" si="36"/>
        <v>0</v>
      </c>
      <c r="R304" s="40">
        <f t="shared" si="37"/>
        <v>0</v>
      </c>
      <c r="S304" s="40">
        <f t="shared" si="38"/>
        <v>0</v>
      </c>
      <c r="T304" s="40">
        <f t="shared" si="39"/>
        <v>0</v>
      </c>
      <c r="U304" s="40">
        <f t="shared" si="40"/>
        <v>0</v>
      </c>
      <c r="V304" s="40">
        <f t="shared" si="41"/>
        <v>0</v>
      </c>
      <c r="W304" s="40">
        <f t="shared" si="42"/>
        <v>0</v>
      </c>
      <c r="X304" s="40">
        <f t="shared" si="43"/>
        <v>0</v>
      </c>
      <c r="Y304" s="40">
        <f t="shared" si="44"/>
        <v>0</v>
      </c>
      <c r="Z304" s="40">
        <f t="shared" si="45"/>
        <v>0</v>
      </c>
      <c r="AA304" s="40">
        <f t="shared" si="46"/>
        <v>0</v>
      </c>
      <c r="AB304" s="40">
        <f t="shared" si="47"/>
        <v>0</v>
      </c>
      <c r="AC304" s="40">
        <f t="shared" si="48"/>
        <v>0</v>
      </c>
      <c r="AD304" s="40">
        <f t="shared" si="29"/>
        <v>0</v>
      </c>
      <c r="AE304" s="509">
        <f t="shared" si="49"/>
        <v>0</v>
      </c>
    </row>
    <row r="305" spans="6:31" x14ac:dyDescent="0.35">
      <c r="F305" s="1597">
        <f t="shared" si="30"/>
        <v>0</v>
      </c>
      <c r="G305" s="40"/>
      <c r="H305" s="40"/>
      <c r="I305" s="40"/>
      <c r="J305" s="40">
        <f t="shared" si="31"/>
        <v>0</v>
      </c>
      <c r="K305" s="40"/>
      <c r="L305" s="40">
        <f t="shared" si="32"/>
        <v>0</v>
      </c>
      <c r="M305" s="40"/>
      <c r="N305" s="40">
        <f t="shared" si="33"/>
        <v>0</v>
      </c>
      <c r="O305" s="40">
        <f t="shared" si="34"/>
        <v>0</v>
      </c>
      <c r="P305" s="40">
        <f t="shared" si="35"/>
        <v>0</v>
      </c>
      <c r="Q305" s="40">
        <f t="shared" si="36"/>
        <v>0</v>
      </c>
      <c r="R305" s="40">
        <f t="shared" si="37"/>
        <v>0</v>
      </c>
      <c r="S305" s="40">
        <f t="shared" si="38"/>
        <v>0</v>
      </c>
      <c r="T305" s="40">
        <f t="shared" si="39"/>
        <v>0</v>
      </c>
      <c r="U305" s="40">
        <f t="shared" si="40"/>
        <v>0</v>
      </c>
      <c r="V305" s="40">
        <f t="shared" si="41"/>
        <v>0</v>
      </c>
      <c r="W305" s="40">
        <f t="shared" si="42"/>
        <v>0</v>
      </c>
      <c r="X305" s="40">
        <f t="shared" si="43"/>
        <v>0</v>
      </c>
      <c r="Y305" s="40">
        <f t="shared" si="44"/>
        <v>0</v>
      </c>
      <c r="Z305" s="40">
        <f t="shared" si="45"/>
        <v>0</v>
      </c>
      <c r="AA305" s="40">
        <f t="shared" si="46"/>
        <v>0</v>
      </c>
      <c r="AB305" s="40">
        <f t="shared" si="47"/>
        <v>0</v>
      </c>
      <c r="AC305" s="40">
        <f t="shared" si="48"/>
        <v>0</v>
      </c>
      <c r="AD305" s="40">
        <f t="shared" si="29"/>
        <v>0</v>
      </c>
      <c r="AE305" s="509">
        <f t="shared" si="49"/>
        <v>0</v>
      </c>
    </row>
    <row r="306" spans="6:31" x14ac:dyDescent="0.35">
      <c r="F306" s="1597">
        <f t="shared" si="30"/>
        <v>0</v>
      </c>
      <c r="G306" s="40"/>
      <c r="H306" s="40"/>
      <c r="I306" s="40"/>
      <c r="J306" s="40">
        <f t="shared" si="31"/>
        <v>0</v>
      </c>
      <c r="K306" s="40"/>
      <c r="L306" s="40">
        <f t="shared" si="32"/>
        <v>0</v>
      </c>
      <c r="M306" s="40"/>
      <c r="N306" s="40">
        <f t="shared" si="33"/>
        <v>0</v>
      </c>
      <c r="O306" s="40">
        <f t="shared" si="34"/>
        <v>0</v>
      </c>
      <c r="P306" s="40">
        <f t="shared" si="35"/>
        <v>0</v>
      </c>
      <c r="Q306" s="40">
        <f t="shared" si="36"/>
        <v>0</v>
      </c>
      <c r="R306" s="40">
        <f t="shared" si="37"/>
        <v>0</v>
      </c>
      <c r="S306" s="40">
        <f t="shared" si="38"/>
        <v>0</v>
      </c>
      <c r="T306" s="40">
        <f t="shared" si="39"/>
        <v>0</v>
      </c>
      <c r="U306" s="40">
        <f t="shared" si="40"/>
        <v>0</v>
      </c>
      <c r="V306" s="40">
        <f t="shared" si="41"/>
        <v>0</v>
      </c>
      <c r="W306" s="40">
        <f t="shared" si="42"/>
        <v>0</v>
      </c>
      <c r="X306" s="40">
        <f t="shared" si="43"/>
        <v>0</v>
      </c>
      <c r="Y306" s="40">
        <f t="shared" si="44"/>
        <v>0</v>
      </c>
      <c r="Z306" s="40">
        <f t="shared" si="45"/>
        <v>0</v>
      </c>
      <c r="AA306" s="40">
        <f t="shared" si="46"/>
        <v>0</v>
      </c>
      <c r="AB306" s="40">
        <f t="shared" si="47"/>
        <v>0</v>
      </c>
      <c r="AC306" s="40">
        <f t="shared" si="48"/>
        <v>0</v>
      </c>
      <c r="AD306" s="40">
        <f t="shared" si="29"/>
        <v>0</v>
      </c>
      <c r="AE306" s="509">
        <f t="shared" si="49"/>
        <v>0</v>
      </c>
    </row>
    <row r="307" spans="6:31" x14ac:dyDescent="0.35">
      <c r="F307" s="1597">
        <f t="shared" si="30"/>
        <v>0</v>
      </c>
      <c r="G307" s="40"/>
      <c r="H307" s="40"/>
      <c r="I307" s="40"/>
      <c r="J307" s="40">
        <f t="shared" si="31"/>
        <v>0</v>
      </c>
      <c r="K307" s="40"/>
      <c r="L307" s="40">
        <f t="shared" si="32"/>
        <v>0</v>
      </c>
      <c r="M307" s="40"/>
      <c r="N307" s="40">
        <f t="shared" si="33"/>
        <v>0</v>
      </c>
      <c r="O307" s="40">
        <f t="shared" si="34"/>
        <v>0</v>
      </c>
      <c r="P307" s="40">
        <f t="shared" si="35"/>
        <v>0</v>
      </c>
      <c r="Q307" s="40">
        <f t="shared" si="36"/>
        <v>0</v>
      </c>
      <c r="R307" s="40">
        <f t="shared" si="37"/>
        <v>0</v>
      </c>
      <c r="S307" s="40">
        <f t="shared" si="38"/>
        <v>0</v>
      </c>
      <c r="T307" s="40">
        <f t="shared" si="39"/>
        <v>0</v>
      </c>
      <c r="U307" s="40">
        <f t="shared" si="40"/>
        <v>0</v>
      </c>
      <c r="V307" s="40">
        <f t="shared" si="41"/>
        <v>0</v>
      </c>
      <c r="W307" s="40">
        <f t="shared" si="42"/>
        <v>0</v>
      </c>
      <c r="X307" s="40">
        <f t="shared" si="43"/>
        <v>0</v>
      </c>
      <c r="Y307" s="40">
        <f t="shared" si="44"/>
        <v>0</v>
      </c>
      <c r="Z307" s="40">
        <f t="shared" si="45"/>
        <v>0</v>
      </c>
      <c r="AA307" s="40">
        <f t="shared" si="46"/>
        <v>0</v>
      </c>
      <c r="AB307" s="40">
        <f t="shared" si="47"/>
        <v>0</v>
      </c>
      <c r="AC307" s="40">
        <f t="shared" si="48"/>
        <v>0</v>
      </c>
      <c r="AD307" s="40">
        <f t="shared" si="29"/>
        <v>0</v>
      </c>
      <c r="AE307" s="509">
        <f t="shared" si="49"/>
        <v>0</v>
      </c>
    </row>
    <row r="308" spans="6:31" x14ac:dyDescent="0.35">
      <c r="F308" s="1597">
        <f t="shared" si="30"/>
        <v>0</v>
      </c>
      <c r="G308" s="40"/>
      <c r="H308" s="40"/>
      <c r="I308" s="40"/>
      <c r="J308" s="40">
        <f t="shared" si="31"/>
        <v>0</v>
      </c>
      <c r="K308" s="40"/>
      <c r="L308" s="40">
        <f t="shared" si="32"/>
        <v>0</v>
      </c>
      <c r="M308" s="40"/>
      <c r="N308" s="40">
        <f t="shared" si="33"/>
        <v>0</v>
      </c>
      <c r="O308" s="40">
        <f t="shared" si="34"/>
        <v>0</v>
      </c>
      <c r="P308" s="40">
        <f t="shared" si="35"/>
        <v>0</v>
      </c>
      <c r="Q308" s="40">
        <f t="shared" si="36"/>
        <v>0</v>
      </c>
      <c r="R308" s="40">
        <f t="shared" si="37"/>
        <v>0</v>
      </c>
      <c r="S308" s="40">
        <f t="shared" si="38"/>
        <v>0</v>
      </c>
      <c r="T308" s="40">
        <f t="shared" si="39"/>
        <v>0</v>
      </c>
      <c r="U308" s="40">
        <f t="shared" si="40"/>
        <v>0</v>
      </c>
      <c r="V308" s="40">
        <f t="shared" si="41"/>
        <v>0</v>
      </c>
      <c r="W308" s="40">
        <f t="shared" si="42"/>
        <v>0</v>
      </c>
      <c r="X308" s="40">
        <f t="shared" si="43"/>
        <v>0</v>
      </c>
      <c r="Y308" s="40">
        <f t="shared" si="44"/>
        <v>0</v>
      </c>
      <c r="Z308" s="40">
        <f t="shared" si="45"/>
        <v>0</v>
      </c>
      <c r="AA308" s="40">
        <f t="shared" si="46"/>
        <v>0</v>
      </c>
      <c r="AB308" s="40">
        <f t="shared" si="47"/>
        <v>0</v>
      </c>
      <c r="AC308" s="40">
        <f t="shared" si="48"/>
        <v>0</v>
      </c>
      <c r="AD308" s="40">
        <f t="shared" si="29"/>
        <v>0</v>
      </c>
      <c r="AE308" s="509">
        <f t="shared" si="49"/>
        <v>0</v>
      </c>
    </row>
    <row r="309" spans="6:31" x14ac:dyDescent="0.35">
      <c r="F309" s="1597">
        <f t="shared" si="30"/>
        <v>0</v>
      </c>
      <c r="G309" s="40"/>
      <c r="H309" s="40"/>
      <c r="I309" s="40"/>
      <c r="J309" s="40">
        <f t="shared" si="31"/>
        <v>0</v>
      </c>
      <c r="K309" s="40"/>
      <c r="L309" s="40">
        <f t="shared" si="32"/>
        <v>0</v>
      </c>
      <c r="M309" s="40"/>
      <c r="N309" s="40">
        <f t="shared" si="33"/>
        <v>0</v>
      </c>
      <c r="O309" s="40">
        <f t="shared" si="34"/>
        <v>0</v>
      </c>
      <c r="P309" s="40">
        <f t="shared" si="35"/>
        <v>0</v>
      </c>
      <c r="Q309" s="40">
        <f t="shared" si="36"/>
        <v>0</v>
      </c>
      <c r="R309" s="40">
        <f t="shared" si="37"/>
        <v>0</v>
      </c>
      <c r="S309" s="40">
        <f t="shared" si="38"/>
        <v>0</v>
      </c>
      <c r="T309" s="40">
        <f t="shared" si="39"/>
        <v>0</v>
      </c>
      <c r="U309" s="40">
        <f t="shared" si="40"/>
        <v>0</v>
      </c>
      <c r="V309" s="40">
        <f t="shared" si="41"/>
        <v>0</v>
      </c>
      <c r="W309" s="40">
        <f t="shared" si="42"/>
        <v>0</v>
      </c>
      <c r="X309" s="40">
        <f t="shared" si="43"/>
        <v>0</v>
      </c>
      <c r="Y309" s="40">
        <f t="shared" si="44"/>
        <v>0</v>
      </c>
      <c r="Z309" s="40">
        <f t="shared" si="45"/>
        <v>0</v>
      </c>
      <c r="AA309" s="40">
        <f t="shared" si="46"/>
        <v>0</v>
      </c>
      <c r="AB309" s="40">
        <f t="shared" si="47"/>
        <v>0</v>
      </c>
      <c r="AC309" s="40">
        <f t="shared" si="48"/>
        <v>0</v>
      </c>
      <c r="AD309" s="40">
        <f t="shared" si="29"/>
        <v>0</v>
      </c>
      <c r="AE309" s="509">
        <f t="shared" si="49"/>
        <v>0</v>
      </c>
    </row>
    <row r="310" spans="6:31" x14ac:dyDescent="0.35">
      <c r="F310" s="1597">
        <f t="shared" si="30"/>
        <v>0</v>
      </c>
      <c r="G310" s="40"/>
      <c r="H310" s="40"/>
      <c r="I310" s="40"/>
      <c r="J310" s="40">
        <f t="shared" si="31"/>
        <v>0</v>
      </c>
      <c r="K310" s="40"/>
      <c r="L310" s="40">
        <f t="shared" si="32"/>
        <v>0</v>
      </c>
      <c r="M310" s="40"/>
      <c r="N310" s="40">
        <f t="shared" si="33"/>
        <v>0</v>
      </c>
      <c r="O310" s="40">
        <f t="shared" si="34"/>
        <v>0</v>
      </c>
      <c r="P310" s="40">
        <f t="shared" si="35"/>
        <v>0</v>
      </c>
      <c r="Q310" s="40">
        <f t="shared" si="36"/>
        <v>0</v>
      </c>
      <c r="R310" s="40">
        <f t="shared" si="37"/>
        <v>0</v>
      </c>
      <c r="S310" s="40">
        <f t="shared" si="38"/>
        <v>0</v>
      </c>
      <c r="T310" s="40">
        <f t="shared" si="39"/>
        <v>0</v>
      </c>
      <c r="U310" s="40">
        <f t="shared" si="40"/>
        <v>0</v>
      </c>
      <c r="V310" s="40">
        <f t="shared" si="41"/>
        <v>0</v>
      </c>
      <c r="W310" s="40">
        <f t="shared" si="42"/>
        <v>0</v>
      </c>
      <c r="X310" s="40">
        <f t="shared" si="43"/>
        <v>0</v>
      </c>
      <c r="Y310" s="40">
        <f t="shared" si="44"/>
        <v>0</v>
      </c>
      <c r="Z310" s="40">
        <f t="shared" si="45"/>
        <v>0</v>
      </c>
      <c r="AA310" s="40">
        <f t="shared" si="46"/>
        <v>0</v>
      </c>
      <c r="AB310" s="40">
        <f t="shared" si="47"/>
        <v>0</v>
      </c>
      <c r="AC310" s="40">
        <f t="shared" si="48"/>
        <v>0</v>
      </c>
      <c r="AD310" s="40">
        <f t="shared" ref="AD310:AD373" si="50">IF(OR(AY101&lt;&gt;"",BQ101&lt;&gt;"",$BZ101&lt;&gt;""),1,0)</f>
        <v>0</v>
      </c>
      <c r="AE310" s="509">
        <f t="shared" si="49"/>
        <v>0</v>
      </c>
    </row>
    <row r="311" spans="6:31" x14ac:dyDescent="0.35">
      <c r="F311" s="1597">
        <f t="shared" si="30"/>
        <v>0</v>
      </c>
      <c r="G311" s="40"/>
      <c r="H311" s="40"/>
      <c r="I311" s="40"/>
      <c r="J311" s="40">
        <f t="shared" si="31"/>
        <v>0</v>
      </c>
      <c r="K311" s="40"/>
      <c r="L311" s="40">
        <f t="shared" si="32"/>
        <v>0</v>
      </c>
      <c r="M311" s="40"/>
      <c r="N311" s="40">
        <f t="shared" si="33"/>
        <v>0</v>
      </c>
      <c r="O311" s="40">
        <f t="shared" si="34"/>
        <v>0</v>
      </c>
      <c r="P311" s="40">
        <f t="shared" si="35"/>
        <v>0</v>
      </c>
      <c r="Q311" s="40">
        <f t="shared" si="36"/>
        <v>0</v>
      </c>
      <c r="R311" s="40">
        <f t="shared" si="37"/>
        <v>0</v>
      </c>
      <c r="S311" s="40">
        <f t="shared" si="38"/>
        <v>0</v>
      </c>
      <c r="T311" s="40">
        <f t="shared" si="39"/>
        <v>0</v>
      </c>
      <c r="U311" s="40">
        <f t="shared" si="40"/>
        <v>0</v>
      </c>
      <c r="V311" s="40">
        <f t="shared" si="41"/>
        <v>0</v>
      </c>
      <c r="W311" s="40">
        <f t="shared" si="42"/>
        <v>0</v>
      </c>
      <c r="X311" s="40">
        <f t="shared" si="43"/>
        <v>0</v>
      </c>
      <c r="Y311" s="40">
        <f t="shared" si="44"/>
        <v>0</v>
      </c>
      <c r="Z311" s="40">
        <f t="shared" si="45"/>
        <v>0</v>
      </c>
      <c r="AA311" s="40">
        <f t="shared" si="46"/>
        <v>0</v>
      </c>
      <c r="AB311" s="40">
        <f t="shared" si="47"/>
        <v>0</v>
      </c>
      <c r="AC311" s="40">
        <f t="shared" si="48"/>
        <v>0</v>
      </c>
      <c r="AD311" s="40">
        <f t="shared" si="50"/>
        <v>0</v>
      </c>
      <c r="AE311" s="509">
        <f t="shared" si="49"/>
        <v>0</v>
      </c>
    </row>
    <row r="312" spans="6:31" x14ac:dyDescent="0.35">
      <c r="F312" s="1597">
        <f t="shared" si="30"/>
        <v>0</v>
      </c>
      <c r="G312" s="40"/>
      <c r="H312" s="40"/>
      <c r="I312" s="40"/>
      <c r="J312" s="40">
        <f t="shared" si="31"/>
        <v>0</v>
      </c>
      <c r="K312" s="40"/>
      <c r="L312" s="40">
        <f t="shared" si="32"/>
        <v>0</v>
      </c>
      <c r="M312" s="40"/>
      <c r="N312" s="40">
        <f t="shared" si="33"/>
        <v>0</v>
      </c>
      <c r="O312" s="40">
        <f t="shared" si="34"/>
        <v>0</v>
      </c>
      <c r="P312" s="40">
        <f t="shared" si="35"/>
        <v>0</v>
      </c>
      <c r="Q312" s="40">
        <f t="shared" si="36"/>
        <v>0</v>
      </c>
      <c r="R312" s="40">
        <f t="shared" si="37"/>
        <v>0</v>
      </c>
      <c r="S312" s="40">
        <f t="shared" si="38"/>
        <v>0</v>
      </c>
      <c r="T312" s="40">
        <f t="shared" si="39"/>
        <v>0</v>
      </c>
      <c r="U312" s="40">
        <f t="shared" si="40"/>
        <v>0</v>
      </c>
      <c r="V312" s="40">
        <f t="shared" si="41"/>
        <v>0</v>
      </c>
      <c r="W312" s="40">
        <f t="shared" si="42"/>
        <v>0</v>
      </c>
      <c r="X312" s="40">
        <f t="shared" si="43"/>
        <v>0</v>
      </c>
      <c r="Y312" s="40">
        <f t="shared" si="44"/>
        <v>0</v>
      </c>
      <c r="Z312" s="40">
        <f t="shared" si="45"/>
        <v>0</v>
      </c>
      <c r="AA312" s="40">
        <f t="shared" si="46"/>
        <v>0</v>
      </c>
      <c r="AB312" s="40">
        <f t="shared" si="47"/>
        <v>0</v>
      </c>
      <c r="AC312" s="40">
        <f t="shared" si="48"/>
        <v>0</v>
      </c>
      <c r="AD312" s="40">
        <f t="shared" si="50"/>
        <v>0</v>
      </c>
      <c r="AE312" s="509">
        <f t="shared" si="49"/>
        <v>0</v>
      </c>
    </row>
    <row r="313" spans="6:31" x14ac:dyDescent="0.35">
      <c r="F313" s="1597">
        <f t="shared" si="30"/>
        <v>0</v>
      </c>
      <c r="G313" s="40"/>
      <c r="H313" s="40"/>
      <c r="I313" s="40"/>
      <c r="J313" s="40">
        <f t="shared" si="31"/>
        <v>0</v>
      </c>
      <c r="K313" s="40"/>
      <c r="L313" s="40">
        <f t="shared" si="32"/>
        <v>0</v>
      </c>
      <c r="M313" s="40"/>
      <c r="N313" s="40">
        <f t="shared" si="33"/>
        <v>0</v>
      </c>
      <c r="O313" s="40">
        <f t="shared" si="34"/>
        <v>0</v>
      </c>
      <c r="P313" s="40">
        <f t="shared" si="35"/>
        <v>0</v>
      </c>
      <c r="Q313" s="40">
        <f t="shared" si="36"/>
        <v>0</v>
      </c>
      <c r="R313" s="40">
        <f t="shared" si="37"/>
        <v>0</v>
      </c>
      <c r="S313" s="40">
        <f t="shared" si="38"/>
        <v>0</v>
      </c>
      <c r="T313" s="40">
        <f t="shared" si="39"/>
        <v>0</v>
      </c>
      <c r="U313" s="40">
        <f t="shared" si="40"/>
        <v>0</v>
      </c>
      <c r="V313" s="40">
        <f t="shared" si="41"/>
        <v>0</v>
      </c>
      <c r="W313" s="40">
        <f t="shared" si="42"/>
        <v>0</v>
      </c>
      <c r="X313" s="40">
        <f t="shared" si="43"/>
        <v>0</v>
      </c>
      <c r="Y313" s="40">
        <f t="shared" si="44"/>
        <v>0</v>
      </c>
      <c r="Z313" s="40">
        <f t="shared" si="45"/>
        <v>0</v>
      </c>
      <c r="AA313" s="40">
        <f t="shared" si="46"/>
        <v>0</v>
      </c>
      <c r="AB313" s="40">
        <f t="shared" si="47"/>
        <v>0</v>
      </c>
      <c r="AC313" s="40">
        <f t="shared" si="48"/>
        <v>0</v>
      </c>
      <c r="AD313" s="40">
        <f t="shared" si="50"/>
        <v>0</v>
      </c>
      <c r="AE313" s="509">
        <f t="shared" si="49"/>
        <v>0</v>
      </c>
    </row>
    <row r="314" spans="6:31" x14ac:dyDescent="0.35">
      <c r="F314" s="1597">
        <f t="shared" si="30"/>
        <v>0</v>
      </c>
      <c r="G314" s="40"/>
      <c r="H314" s="40"/>
      <c r="I314" s="40"/>
      <c r="J314" s="40">
        <f t="shared" si="31"/>
        <v>0</v>
      </c>
      <c r="K314" s="40"/>
      <c r="L314" s="40">
        <f t="shared" si="32"/>
        <v>0</v>
      </c>
      <c r="M314" s="40"/>
      <c r="N314" s="40">
        <f t="shared" si="33"/>
        <v>0</v>
      </c>
      <c r="O314" s="40">
        <f t="shared" si="34"/>
        <v>0</v>
      </c>
      <c r="P314" s="40">
        <f t="shared" si="35"/>
        <v>0</v>
      </c>
      <c r="Q314" s="40">
        <f t="shared" si="36"/>
        <v>0</v>
      </c>
      <c r="R314" s="40">
        <f t="shared" si="37"/>
        <v>0</v>
      </c>
      <c r="S314" s="40">
        <f t="shared" si="38"/>
        <v>0</v>
      </c>
      <c r="T314" s="40">
        <f t="shared" si="39"/>
        <v>0</v>
      </c>
      <c r="U314" s="40">
        <f t="shared" si="40"/>
        <v>0</v>
      </c>
      <c r="V314" s="40">
        <f t="shared" si="41"/>
        <v>0</v>
      </c>
      <c r="W314" s="40">
        <f t="shared" si="42"/>
        <v>0</v>
      </c>
      <c r="X314" s="40">
        <f t="shared" si="43"/>
        <v>0</v>
      </c>
      <c r="Y314" s="40">
        <f t="shared" si="44"/>
        <v>0</v>
      </c>
      <c r="Z314" s="40">
        <f t="shared" si="45"/>
        <v>0</v>
      </c>
      <c r="AA314" s="40">
        <f t="shared" si="46"/>
        <v>0</v>
      </c>
      <c r="AB314" s="40">
        <f t="shared" si="47"/>
        <v>0</v>
      </c>
      <c r="AC314" s="40">
        <f t="shared" si="48"/>
        <v>0</v>
      </c>
      <c r="AD314" s="40">
        <f t="shared" si="50"/>
        <v>0</v>
      </c>
      <c r="AE314" s="509">
        <f t="shared" si="49"/>
        <v>0</v>
      </c>
    </row>
    <row r="315" spans="6:31" x14ac:dyDescent="0.35">
      <c r="F315" s="1597">
        <f t="shared" si="30"/>
        <v>0</v>
      </c>
      <c r="G315" s="40"/>
      <c r="H315" s="40"/>
      <c r="I315" s="40"/>
      <c r="J315" s="40">
        <f t="shared" si="31"/>
        <v>0</v>
      </c>
      <c r="K315" s="40"/>
      <c r="L315" s="40">
        <f t="shared" si="32"/>
        <v>0</v>
      </c>
      <c r="M315" s="40"/>
      <c r="N315" s="40">
        <f t="shared" si="33"/>
        <v>0</v>
      </c>
      <c r="O315" s="40">
        <f t="shared" si="34"/>
        <v>0</v>
      </c>
      <c r="P315" s="40">
        <f t="shared" si="35"/>
        <v>0</v>
      </c>
      <c r="Q315" s="40">
        <f t="shared" si="36"/>
        <v>0</v>
      </c>
      <c r="R315" s="40">
        <f t="shared" si="37"/>
        <v>0</v>
      </c>
      <c r="S315" s="40">
        <f t="shared" si="38"/>
        <v>0</v>
      </c>
      <c r="T315" s="40">
        <f t="shared" si="39"/>
        <v>0</v>
      </c>
      <c r="U315" s="40">
        <f t="shared" si="40"/>
        <v>0</v>
      </c>
      <c r="V315" s="40">
        <f t="shared" si="41"/>
        <v>0</v>
      </c>
      <c r="W315" s="40">
        <f t="shared" si="42"/>
        <v>0</v>
      </c>
      <c r="X315" s="40">
        <f t="shared" si="43"/>
        <v>0</v>
      </c>
      <c r="Y315" s="40">
        <f t="shared" si="44"/>
        <v>0</v>
      </c>
      <c r="Z315" s="40">
        <f t="shared" si="45"/>
        <v>0</v>
      </c>
      <c r="AA315" s="40">
        <f t="shared" si="46"/>
        <v>0</v>
      </c>
      <c r="AB315" s="40">
        <f t="shared" si="47"/>
        <v>0</v>
      </c>
      <c r="AC315" s="40">
        <f t="shared" si="48"/>
        <v>0</v>
      </c>
      <c r="AD315" s="40">
        <f t="shared" si="50"/>
        <v>0</v>
      </c>
      <c r="AE315" s="509">
        <f t="shared" si="49"/>
        <v>0</v>
      </c>
    </row>
    <row r="316" spans="6:31" x14ac:dyDescent="0.35">
      <c r="F316" s="1597">
        <f t="shared" si="30"/>
        <v>0</v>
      </c>
      <c r="G316" s="40"/>
      <c r="H316" s="40"/>
      <c r="I316" s="40"/>
      <c r="J316" s="40">
        <f t="shared" si="31"/>
        <v>0</v>
      </c>
      <c r="K316" s="40"/>
      <c r="L316" s="40">
        <f t="shared" si="32"/>
        <v>0</v>
      </c>
      <c r="M316" s="40"/>
      <c r="N316" s="40">
        <f t="shared" si="33"/>
        <v>0</v>
      </c>
      <c r="O316" s="40">
        <f t="shared" si="34"/>
        <v>0</v>
      </c>
      <c r="P316" s="40">
        <f t="shared" si="35"/>
        <v>0</v>
      </c>
      <c r="Q316" s="40">
        <f t="shared" si="36"/>
        <v>0</v>
      </c>
      <c r="R316" s="40">
        <f t="shared" si="37"/>
        <v>0</v>
      </c>
      <c r="S316" s="40">
        <f t="shared" si="38"/>
        <v>0</v>
      </c>
      <c r="T316" s="40">
        <f t="shared" si="39"/>
        <v>0</v>
      </c>
      <c r="U316" s="40">
        <f t="shared" si="40"/>
        <v>0</v>
      </c>
      <c r="V316" s="40">
        <f t="shared" si="41"/>
        <v>0</v>
      </c>
      <c r="W316" s="40">
        <f t="shared" si="42"/>
        <v>0</v>
      </c>
      <c r="X316" s="40">
        <f t="shared" si="43"/>
        <v>0</v>
      </c>
      <c r="Y316" s="40">
        <f t="shared" si="44"/>
        <v>0</v>
      </c>
      <c r="Z316" s="40">
        <f t="shared" si="45"/>
        <v>0</v>
      </c>
      <c r="AA316" s="40">
        <f t="shared" si="46"/>
        <v>0</v>
      </c>
      <c r="AB316" s="40">
        <f t="shared" si="47"/>
        <v>0</v>
      </c>
      <c r="AC316" s="40">
        <f t="shared" si="48"/>
        <v>0</v>
      </c>
      <c r="AD316" s="40">
        <f t="shared" si="50"/>
        <v>0</v>
      </c>
      <c r="AE316" s="509">
        <f t="shared" si="49"/>
        <v>0</v>
      </c>
    </row>
    <row r="317" spans="6:31" x14ac:dyDescent="0.35">
      <c r="F317" s="1597">
        <f t="shared" si="30"/>
        <v>0</v>
      </c>
      <c r="G317" s="40"/>
      <c r="H317" s="40"/>
      <c r="I317" s="40"/>
      <c r="J317" s="40">
        <f t="shared" si="31"/>
        <v>0</v>
      </c>
      <c r="K317" s="40"/>
      <c r="L317" s="40">
        <f t="shared" si="32"/>
        <v>0</v>
      </c>
      <c r="M317" s="40"/>
      <c r="N317" s="40">
        <f t="shared" si="33"/>
        <v>0</v>
      </c>
      <c r="O317" s="40">
        <f t="shared" si="34"/>
        <v>0</v>
      </c>
      <c r="P317" s="40">
        <f t="shared" si="35"/>
        <v>0</v>
      </c>
      <c r="Q317" s="40">
        <f t="shared" si="36"/>
        <v>0</v>
      </c>
      <c r="R317" s="40">
        <f t="shared" si="37"/>
        <v>0</v>
      </c>
      <c r="S317" s="40">
        <f t="shared" si="38"/>
        <v>0</v>
      </c>
      <c r="T317" s="40">
        <f t="shared" si="39"/>
        <v>0</v>
      </c>
      <c r="U317" s="40">
        <f t="shared" si="40"/>
        <v>0</v>
      </c>
      <c r="V317" s="40">
        <f t="shared" si="41"/>
        <v>0</v>
      </c>
      <c r="W317" s="40">
        <f t="shared" si="42"/>
        <v>0</v>
      </c>
      <c r="X317" s="40">
        <f t="shared" si="43"/>
        <v>0</v>
      </c>
      <c r="Y317" s="40">
        <f t="shared" si="44"/>
        <v>0</v>
      </c>
      <c r="Z317" s="40">
        <f t="shared" si="45"/>
        <v>0</v>
      </c>
      <c r="AA317" s="40">
        <f t="shared" si="46"/>
        <v>0</v>
      </c>
      <c r="AB317" s="40">
        <f t="shared" si="47"/>
        <v>0</v>
      </c>
      <c r="AC317" s="40">
        <f t="shared" si="48"/>
        <v>0</v>
      </c>
      <c r="AD317" s="40">
        <f t="shared" si="50"/>
        <v>0</v>
      </c>
      <c r="AE317" s="509">
        <f t="shared" si="49"/>
        <v>0</v>
      </c>
    </row>
    <row r="318" spans="6:31" x14ac:dyDescent="0.35">
      <c r="F318" s="1597">
        <f t="shared" si="30"/>
        <v>0</v>
      </c>
      <c r="G318" s="40"/>
      <c r="H318" s="40"/>
      <c r="I318" s="40"/>
      <c r="J318" s="40">
        <f t="shared" si="31"/>
        <v>0</v>
      </c>
      <c r="K318" s="40"/>
      <c r="L318" s="40">
        <f t="shared" si="32"/>
        <v>0</v>
      </c>
      <c r="M318" s="40"/>
      <c r="N318" s="40">
        <f t="shared" si="33"/>
        <v>0</v>
      </c>
      <c r="O318" s="40">
        <f t="shared" si="34"/>
        <v>0</v>
      </c>
      <c r="P318" s="40">
        <f t="shared" si="35"/>
        <v>0</v>
      </c>
      <c r="Q318" s="40">
        <f t="shared" si="36"/>
        <v>0</v>
      </c>
      <c r="R318" s="40">
        <f t="shared" si="37"/>
        <v>0</v>
      </c>
      <c r="S318" s="40">
        <f t="shared" si="38"/>
        <v>0</v>
      </c>
      <c r="T318" s="40">
        <f t="shared" si="39"/>
        <v>0</v>
      </c>
      <c r="U318" s="40">
        <f t="shared" si="40"/>
        <v>0</v>
      </c>
      <c r="V318" s="40">
        <f t="shared" si="41"/>
        <v>0</v>
      </c>
      <c r="W318" s="40">
        <f t="shared" si="42"/>
        <v>0</v>
      </c>
      <c r="X318" s="40">
        <f t="shared" si="43"/>
        <v>0</v>
      </c>
      <c r="Y318" s="40">
        <f t="shared" si="44"/>
        <v>0</v>
      </c>
      <c r="Z318" s="40">
        <f t="shared" si="45"/>
        <v>0</v>
      </c>
      <c r="AA318" s="40">
        <f t="shared" si="46"/>
        <v>0</v>
      </c>
      <c r="AB318" s="40">
        <f t="shared" si="47"/>
        <v>0</v>
      </c>
      <c r="AC318" s="40">
        <f t="shared" si="48"/>
        <v>0</v>
      </c>
      <c r="AD318" s="40">
        <f t="shared" si="50"/>
        <v>0</v>
      </c>
      <c r="AE318" s="509">
        <f t="shared" si="49"/>
        <v>0</v>
      </c>
    </row>
    <row r="319" spans="6:31" x14ac:dyDescent="0.35">
      <c r="F319" s="1597">
        <f t="shared" si="30"/>
        <v>0</v>
      </c>
      <c r="G319" s="40"/>
      <c r="H319" s="40"/>
      <c r="I319" s="40"/>
      <c r="J319" s="40">
        <f t="shared" si="31"/>
        <v>0</v>
      </c>
      <c r="K319" s="40"/>
      <c r="L319" s="40">
        <f t="shared" si="32"/>
        <v>0</v>
      </c>
      <c r="M319" s="40"/>
      <c r="N319" s="40">
        <f t="shared" si="33"/>
        <v>0</v>
      </c>
      <c r="O319" s="40">
        <f t="shared" si="34"/>
        <v>0</v>
      </c>
      <c r="P319" s="40">
        <f t="shared" si="35"/>
        <v>0</v>
      </c>
      <c r="Q319" s="40">
        <f t="shared" si="36"/>
        <v>0</v>
      </c>
      <c r="R319" s="40">
        <f t="shared" si="37"/>
        <v>0</v>
      </c>
      <c r="S319" s="40">
        <f t="shared" si="38"/>
        <v>0</v>
      </c>
      <c r="T319" s="40">
        <f t="shared" si="39"/>
        <v>0</v>
      </c>
      <c r="U319" s="40">
        <f t="shared" si="40"/>
        <v>0</v>
      </c>
      <c r="V319" s="40">
        <f t="shared" si="41"/>
        <v>0</v>
      </c>
      <c r="W319" s="40">
        <f t="shared" si="42"/>
        <v>0</v>
      </c>
      <c r="X319" s="40">
        <f t="shared" si="43"/>
        <v>0</v>
      </c>
      <c r="Y319" s="40">
        <f t="shared" si="44"/>
        <v>0</v>
      </c>
      <c r="Z319" s="40">
        <f t="shared" si="45"/>
        <v>0</v>
      </c>
      <c r="AA319" s="40">
        <f t="shared" si="46"/>
        <v>0</v>
      </c>
      <c r="AB319" s="40">
        <f t="shared" si="47"/>
        <v>0</v>
      </c>
      <c r="AC319" s="40">
        <f t="shared" si="48"/>
        <v>0</v>
      </c>
      <c r="AD319" s="40">
        <f t="shared" si="50"/>
        <v>0</v>
      </c>
      <c r="AE319" s="509">
        <f t="shared" si="49"/>
        <v>0</v>
      </c>
    </row>
    <row r="320" spans="6:31" x14ac:dyDescent="0.35">
      <c r="F320" s="1597">
        <f t="shared" si="30"/>
        <v>0</v>
      </c>
      <c r="G320" s="40"/>
      <c r="H320" s="40"/>
      <c r="I320" s="40"/>
      <c r="J320" s="40">
        <f t="shared" si="31"/>
        <v>0</v>
      </c>
      <c r="K320" s="40"/>
      <c r="L320" s="40">
        <f t="shared" si="32"/>
        <v>0</v>
      </c>
      <c r="M320" s="40"/>
      <c r="N320" s="40">
        <f t="shared" si="33"/>
        <v>0</v>
      </c>
      <c r="O320" s="40">
        <f t="shared" si="34"/>
        <v>0</v>
      </c>
      <c r="P320" s="40">
        <f t="shared" si="35"/>
        <v>0</v>
      </c>
      <c r="Q320" s="40">
        <f t="shared" si="36"/>
        <v>0</v>
      </c>
      <c r="R320" s="40">
        <f t="shared" si="37"/>
        <v>0</v>
      </c>
      <c r="S320" s="40">
        <f t="shared" si="38"/>
        <v>0</v>
      </c>
      <c r="T320" s="40">
        <f t="shared" si="39"/>
        <v>0</v>
      </c>
      <c r="U320" s="40">
        <f t="shared" si="40"/>
        <v>0</v>
      </c>
      <c r="V320" s="40">
        <f t="shared" si="41"/>
        <v>0</v>
      </c>
      <c r="W320" s="40">
        <f t="shared" si="42"/>
        <v>0</v>
      </c>
      <c r="X320" s="40">
        <f t="shared" si="43"/>
        <v>0</v>
      </c>
      <c r="Y320" s="40">
        <f t="shared" si="44"/>
        <v>0</v>
      </c>
      <c r="Z320" s="40">
        <f t="shared" si="45"/>
        <v>0</v>
      </c>
      <c r="AA320" s="40">
        <f t="shared" si="46"/>
        <v>0</v>
      </c>
      <c r="AB320" s="40">
        <f t="shared" si="47"/>
        <v>0</v>
      </c>
      <c r="AC320" s="40">
        <f t="shared" si="48"/>
        <v>0</v>
      </c>
      <c r="AD320" s="40">
        <f t="shared" si="50"/>
        <v>0</v>
      </c>
      <c r="AE320" s="509">
        <f t="shared" si="49"/>
        <v>0</v>
      </c>
    </row>
    <row r="321" spans="6:31" x14ac:dyDescent="0.35">
      <c r="F321" s="1597">
        <f t="shared" si="30"/>
        <v>0</v>
      </c>
      <c r="G321" s="40"/>
      <c r="H321" s="40"/>
      <c r="I321" s="40"/>
      <c r="J321" s="40">
        <f t="shared" si="31"/>
        <v>0</v>
      </c>
      <c r="K321" s="40"/>
      <c r="L321" s="40">
        <f t="shared" si="32"/>
        <v>0</v>
      </c>
      <c r="M321" s="40"/>
      <c r="N321" s="40">
        <f t="shared" si="33"/>
        <v>0</v>
      </c>
      <c r="O321" s="40">
        <f t="shared" si="34"/>
        <v>0</v>
      </c>
      <c r="P321" s="40">
        <f t="shared" si="35"/>
        <v>0</v>
      </c>
      <c r="Q321" s="40">
        <f t="shared" si="36"/>
        <v>0</v>
      </c>
      <c r="R321" s="40">
        <f t="shared" si="37"/>
        <v>0</v>
      </c>
      <c r="S321" s="40">
        <f t="shared" si="38"/>
        <v>0</v>
      </c>
      <c r="T321" s="40">
        <f t="shared" si="39"/>
        <v>0</v>
      </c>
      <c r="U321" s="40">
        <f t="shared" si="40"/>
        <v>0</v>
      </c>
      <c r="V321" s="40">
        <f t="shared" si="41"/>
        <v>0</v>
      </c>
      <c r="W321" s="40">
        <f t="shared" si="42"/>
        <v>0</v>
      </c>
      <c r="X321" s="40">
        <f t="shared" si="43"/>
        <v>0</v>
      </c>
      <c r="Y321" s="40">
        <f t="shared" si="44"/>
        <v>0</v>
      </c>
      <c r="Z321" s="40">
        <f t="shared" si="45"/>
        <v>0</v>
      </c>
      <c r="AA321" s="40">
        <f t="shared" si="46"/>
        <v>0</v>
      </c>
      <c r="AB321" s="40">
        <f t="shared" si="47"/>
        <v>0</v>
      </c>
      <c r="AC321" s="40">
        <f t="shared" si="48"/>
        <v>0</v>
      </c>
      <c r="AD321" s="40">
        <f t="shared" si="50"/>
        <v>0</v>
      </c>
      <c r="AE321" s="509">
        <f t="shared" si="49"/>
        <v>0</v>
      </c>
    </row>
    <row r="322" spans="6:31" x14ac:dyDescent="0.35">
      <c r="F322" s="1597">
        <f t="shared" si="30"/>
        <v>0</v>
      </c>
      <c r="G322" s="40"/>
      <c r="H322" s="40"/>
      <c r="I322" s="40"/>
      <c r="J322" s="40">
        <f t="shared" si="31"/>
        <v>0</v>
      </c>
      <c r="K322" s="40"/>
      <c r="L322" s="40">
        <f t="shared" si="32"/>
        <v>0</v>
      </c>
      <c r="M322" s="40"/>
      <c r="N322" s="40">
        <f t="shared" si="33"/>
        <v>0</v>
      </c>
      <c r="O322" s="40">
        <f t="shared" si="34"/>
        <v>0</v>
      </c>
      <c r="P322" s="40">
        <f t="shared" si="35"/>
        <v>0</v>
      </c>
      <c r="Q322" s="40">
        <f t="shared" si="36"/>
        <v>0</v>
      </c>
      <c r="R322" s="40">
        <f t="shared" si="37"/>
        <v>0</v>
      </c>
      <c r="S322" s="40">
        <f t="shared" si="38"/>
        <v>0</v>
      </c>
      <c r="T322" s="40">
        <f t="shared" si="39"/>
        <v>0</v>
      </c>
      <c r="U322" s="40">
        <f t="shared" si="40"/>
        <v>0</v>
      </c>
      <c r="V322" s="40">
        <f t="shared" si="41"/>
        <v>0</v>
      </c>
      <c r="W322" s="40">
        <f t="shared" si="42"/>
        <v>0</v>
      </c>
      <c r="X322" s="40">
        <f t="shared" si="43"/>
        <v>0</v>
      </c>
      <c r="Y322" s="40">
        <f t="shared" si="44"/>
        <v>0</v>
      </c>
      <c r="Z322" s="40">
        <f t="shared" si="45"/>
        <v>0</v>
      </c>
      <c r="AA322" s="40">
        <f t="shared" si="46"/>
        <v>0</v>
      </c>
      <c r="AB322" s="40">
        <f t="shared" si="47"/>
        <v>0</v>
      </c>
      <c r="AC322" s="40">
        <f t="shared" si="48"/>
        <v>0</v>
      </c>
      <c r="AD322" s="40">
        <f t="shared" si="50"/>
        <v>0</v>
      </c>
      <c r="AE322" s="509">
        <f t="shared" si="49"/>
        <v>0</v>
      </c>
    </row>
    <row r="323" spans="6:31" x14ac:dyDescent="0.35">
      <c r="F323" s="1597">
        <f t="shared" si="30"/>
        <v>0</v>
      </c>
      <c r="G323" s="40"/>
      <c r="H323" s="40"/>
      <c r="I323" s="40"/>
      <c r="J323" s="40">
        <f t="shared" si="31"/>
        <v>0</v>
      </c>
      <c r="K323" s="40"/>
      <c r="L323" s="40">
        <f t="shared" si="32"/>
        <v>0</v>
      </c>
      <c r="M323" s="40"/>
      <c r="N323" s="40">
        <f t="shared" si="33"/>
        <v>0</v>
      </c>
      <c r="O323" s="40">
        <f t="shared" si="34"/>
        <v>0</v>
      </c>
      <c r="P323" s="40">
        <f t="shared" si="35"/>
        <v>0</v>
      </c>
      <c r="Q323" s="40">
        <f t="shared" si="36"/>
        <v>0</v>
      </c>
      <c r="R323" s="40">
        <f t="shared" si="37"/>
        <v>0</v>
      </c>
      <c r="S323" s="40">
        <f t="shared" si="38"/>
        <v>0</v>
      </c>
      <c r="T323" s="40">
        <f t="shared" si="39"/>
        <v>0</v>
      </c>
      <c r="U323" s="40">
        <f t="shared" si="40"/>
        <v>0</v>
      </c>
      <c r="V323" s="40">
        <f t="shared" si="41"/>
        <v>0</v>
      </c>
      <c r="W323" s="40">
        <f t="shared" si="42"/>
        <v>0</v>
      </c>
      <c r="X323" s="40">
        <f t="shared" si="43"/>
        <v>0</v>
      </c>
      <c r="Y323" s="40">
        <f t="shared" si="44"/>
        <v>0</v>
      </c>
      <c r="Z323" s="40">
        <f t="shared" si="45"/>
        <v>0</v>
      </c>
      <c r="AA323" s="40">
        <f t="shared" si="46"/>
        <v>0</v>
      </c>
      <c r="AB323" s="40">
        <f t="shared" si="47"/>
        <v>0</v>
      </c>
      <c r="AC323" s="40">
        <f t="shared" si="48"/>
        <v>0</v>
      </c>
      <c r="AD323" s="40">
        <f t="shared" si="50"/>
        <v>0</v>
      </c>
      <c r="AE323" s="509">
        <f t="shared" si="49"/>
        <v>0</v>
      </c>
    </row>
    <row r="324" spans="6:31" x14ac:dyDescent="0.35">
      <c r="F324" s="1597">
        <f t="shared" si="30"/>
        <v>0</v>
      </c>
      <c r="G324" s="40"/>
      <c r="H324" s="40"/>
      <c r="I324" s="40"/>
      <c r="J324" s="40">
        <f t="shared" si="31"/>
        <v>0</v>
      </c>
      <c r="K324" s="40"/>
      <c r="L324" s="40">
        <f t="shared" si="32"/>
        <v>0</v>
      </c>
      <c r="M324" s="40"/>
      <c r="N324" s="40">
        <f t="shared" si="33"/>
        <v>0</v>
      </c>
      <c r="O324" s="40">
        <f t="shared" si="34"/>
        <v>0</v>
      </c>
      <c r="P324" s="40">
        <f t="shared" si="35"/>
        <v>0</v>
      </c>
      <c r="Q324" s="40">
        <f t="shared" si="36"/>
        <v>0</v>
      </c>
      <c r="R324" s="40">
        <f t="shared" si="37"/>
        <v>0</v>
      </c>
      <c r="S324" s="40">
        <f t="shared" si="38"/>
        <v>0</v>
      </c>
      <c r="T324" s="40">
        <f t="shared" si="39"/>
        <v>0</v>
      </c>
      <c r="U324" s="40">
        <f t="shared" si="40"/>
        <v>0</v>
      </c>
      <c r="V324" s="40">
        <f t="shared" si="41"/>
        <v>0</v>
      </c>
      <c r="W324" s="40">
        <f t="shared" si="42"/>
        <v>0</v>
      </c>
      <c r="X324" s="40">
        <f t="shared" si="43"/>
        <v>0</v>
      </c>
      <c r="Y324" s="40">
        <f t="shared" si="44"/>
        <v>0</v>
      </c>
      <c r="Z324" s="40">
        <f t="shared" si="45"/>
        <v>0</v>
      </c>
      <c r="AA324" s="40">
        <f t="shared" si="46"/>
        <v>0</v>
      </c>
      <c r="AB324" s="40">
        <f t="shared" si="47"/>
        <v>0</v>
      </c>
      <c r="AC324" s="40">
        <f t="shared" si="48"/>
        <v>0</v>
      </c>
      <c r="AD324" s="40">
        <f t="shared" si="50"/>
        <v>0</v>
      </c>
      <c r="AE324" s="509">
        <f t="shared" si="49"/>
        <v>0</v>
      </c>
    </row>
    <row r="325" spans="6:31" x14ac:dyDescent="0.35">
      <c r="F325" s="1597">
        <f t="shared" si="30"/>
        <v>0</v>
      </c>
      <c r="G325" s="40"/>
      <c r="H325" s="40"/>
      <c r="I325" s="40"/>
      <c r="J325" s="40">
        <f t="shared" si="31"/>
        <v>0</v>
      </c>
      <c r="K325" s="40"/>
      <c r="L325" s="40">
        <f t="shared" si="32"/>
        <v>0</v>
      </c>
      <c r="M325" s="40"/>
      <c r="N325" s="40">
        <f t="shared" si="33"/>
        <v>0</v>
      </c>
      <c r="O325" s="40">
        <f t="shared" si="34"/>
        <v>0</v>
      </c>
      <c r="P325" s="40">
        <f t="shared" si="35"/>
        <v>0</v>
      </c>
      <c r="Q325" s="40">
        <f t="shared" si="36"/>
        <v>0</v>
      </c>
      <c r="R325" s="40">
        <f t="shared" si="37"/>
        <v>0</v>
      </c>
      <c r="S325" s="40">
        <f t="shared" si="38"/>
        <v>0</v>
      </c>
      <c r="T325" s="40">
        <f t="shared" si="39"/>
        <v>0</v>
      </c>
      <c r="U325" s="40">
        <f t="shared" si="40"/>
        <v>0</v>
      </c>
      <c r="V325" s="40">
        <f t="shared" si="41"/>
        <v>0</v>
      </c>
      <c r="W325" s="40">
        <f t="shared" si="42"/>
        <v>0</v>
      </c>
      <c r="X325" s="40">
        <f t="shared" si="43"/>
        <v>0</v>
      </c>
      <c r="Y325" s="40">
        <f t="shared" si="44"/>
        <v>0</v>
      </c>
      <c r="Z325" s="40">
        <f t="shared" si="45"/>
        <v>0</v>
      </c>
      <c r="AA325" s="40">
        <f t="shared" si="46"/>
        <v>0</v>
      </c>
      <c r="AB325" s="40">
        <f t="shared" si="47"/>
        <v>0</v>
      </c>
      <c r="AC325" s="40">
        <f t="shared" si="48"/>
        <v>0</v>
      </c>
      <c r="AD325" s="40">
        <f t="shared" si="50"/>
        <v>0</v>
      </c>
      <c r="AE325" s="509">
        <f t="shared" si="49"/>
        <v>0</v>
      </c>
    </row>
    <row r="326" spans="6:31" x14ac:dyDescent="0.35">
      <c r="F326" s="1597">
        <f t="shared" si="30"/>
        <v>0</v>
      </c>
      <c r="G326" s="40"/>
      <c r="H326" s="40"/>
      <c r="I326" s="40"/>
      <c r="J326" s="40">
        <f t="shared" si="31"/>
        <v>0</v>
      </c>
      <c r="K326" s="40"/>
      <c r="L326" s="40">
        <f t="shared" si="32"/>
        <v>0</v>
      </c>
      <c r="M326" s="40"/>
      <c r="N326" s="40">
        <f t="shared" si="33"/>
        <v>0</v>
      </c>
      <c r="O326" s="40">
        <f t="shared" si="34"/>
        <v>0</v>
      </c>
      <c r="P326" s="40">
        <f t="shared" si="35"/>
        <v>0</v>
      </c>
      <c r="Q326" s="40">
        <f t="shared" si="36"/>
        <v>0</v>
      </c>
      <c r="R326" s="40">
        <f t="shared" si="37"/>
        <v>0</v>
      </c>
      <c r="S326" s="40">
        <f t="shared" si="38"/>
        <v>0</v>
      </c>
      <c r="T326" s="40">
        <f t="shared" si="39"/>
        <v>0</v>
      </c>
      <c r="U326" s="40">
        <f t="shared" si="40"/>
        <v>0</v>
      </c>
      <c r="V326" s="40">
        <f t="shared" si="41"/>
        <v>0</v>
      </c>
      <c r="W326" s="40">
        <f t="shared" si="42"/>
        <v>0</v>
      </c>
      <c r="X326" s="40">
        <f t="shared" si="43"/>
        <v>0</v>
      </c>
      <c r="Y326" s="40">
        <f t="shared" si="44"/>
        <v>0</v>
      </c>
      <c r="Z326" s="40">
        <f t="shared" si="45"/>
        <v>0</v>
      </c>
      <c r="AA326" s="40">
        <f t="shared" si="46"/>
        <v>0</v>
      </c>
      <c r="AB326" s="40">
        <f t="shared" si="47"/>
        <v>0</v>
      </c>
      <c r="AC326" s="40">
        <f t="shared" si="48"/>
        <v>0</v>
      </c>
      <c r="AD326" s="40">
        <f t="shared" si="50"/>
        <v>0</v>
      </c>
      <c r="AE326" s="509">
        <f t="shared" si="49"/>
        <v>0</v>
      </c>
    </row>
    <row r="327" spans="6:31" x14ac:dyDescent="0.35">
      <c r="F327" s="1597">
        <f t="shared" si="30"/>
        <v>0</v>
      </c>
      <c r="G327" s="40"/>
      <c r="H327" s="40"/>
      <c r="I327" s="40"/>
      <c r="J327" s="40">
        <f t="shared" si="31"/>
        <v>0</v>
      </c>
      <c r="K327" s="40"/>
      <c r="L327" s="40">
        <f t="shared" si="32"/>
        <v>0</v>
      </c>
      <c r="M327" s="40"/>
      <c r="N327" s="40">
        <f t="shared" si="33"/>
        <v>0</v>
      </c>
      <c r="O327" s="40">
        <f t="shared" si="34"/>
        <v>0</v>
      </c>
      <c r="P327" s="40">
        <f t="shared" si="35"/>
        <v>0</v>
      </c>
      <c r="Q327" s="40">
        <f t="shared" si="36"/>
        <v>0</v>
      </c>
      <c r="R327" s="40">
        <f t="shared" si="37"/>
        <v>0</v>
      </c>
      <c r="S327" s="40">
        <f t="shared" si="38"/>
        <v>0</v>
      </c>
      <c r="T327" s="40">
        <f t="shared" si="39"/>
        <v>0</v>
      </c>
      <c r="U327" s="40">
        <f t="shared" si="40"/>
        <v>0</v>
      </c>
      <c r="V327" s="40">
        <f t="shared" si="41"/>
        <v>0</v>
      </c>
      <c r="W327" s="40">
        <f t="shared" si="42"/>
        <v>0</v>
      </c>
      <c r="X327" s="40">
        <f t="shared" si="43"/>
        <v>0</v>
      </c>
      <c r="Y327" s="40">
        <f t="shared" si="44"/>
        <v>0</v>
      </c>
      <c r="Z327" s="40">
        <f t="shared" si="45"/>
        <v>0</v>
      </c>
      <c r="AA327" s="40">
        <f t="shared" si="46"/>
        <v>0</v>
      </c>
      <c r="AB327" s="40">
        <f t="shared" si="47"/>
        <v>0</v>
      </c>
      <c r="AC327" s="40">
        <f t="shared" si="48"/>
        <v>0</v>
      </c>
      <c r="AD327" s="40">
        <f t="shared" si="50"/>
        <v>0</v>
      </c>
      <c r="AE327" s="509">
        <f t="shared" si="49"/>
        <v>0</v>
      </c>
    </row>
    <row r="328" spans="6:31" x14ac:dyDescent="0.35">
      <c r="F328" s="1597">
        <f t="shared" si="30"/>
        <v>0</v>
      </c>
      <c r="G328" s="40"/>
      <c r="H328" s="40"/>
      <c r="I328" s="40"/>
      <c r="J328" s="40">
        <f t="shared" si="31"/>
        <v>0</v>
      </c>
      <c r="K328" s="40"/>
      <c r="L328" s="40">
        <f t="shared" si="32"/>
        <v>0</v>
      </c>
      <c r="M328" s="40"/>
      <c r="N328" s="40">
        <f t="shared" si="33"/>
        <v>0</v>
      </c>
      <c r="O328" s="40">
        <f t="shared" si="34"/>
        <v>0</v>
      </c>
      <c r="P328" s="40">
        <f t="shared" si="35"/>
        <v>0</v>
      </c>
      <c r="Q328" s="40">
        <f t="shared" si="36"/>
        <v>0</v>
      </c>
      <c r="R328" s="40">
        <f t="shared" si="37"/>
        <v>0</v>
      </c>
      <c r="S328" s="40">
        <f t="shared" si="38"/>
        <v>0</v>
      </c>
      <c r="T328" s="40">
        <f t="shared" si="39"/>
        <v>0</v>
      </c>
      <c r="U328" s="40">
        <f t="shared" si="40"/>
        <v>0</v>
      </c>
      <c r="V328" s="40">
        <f t="shared" si="41"/>
        <v>0</v>
      </c>
      <c r="W328" s="40">
        <f t="shared" si="42"/>
        <v>0</v>
      </c>
      <c r="X328" s="40">
        <f t="shared" si="43"/>
        <v>0</v>
      </c>
      <c r="Y328" s="40">
        <f t="shared" si="44"/>
        <v>0</v>
      </c>
      <c r="Z328" s="40">
        <f t="shared" si="45"/>
        <v>0</v>
      </c>
      <c r="AA328" s="40">
        <f t="shared" si="46"/>
        <v>0</v>
      </c>
      <c r="AB328" s="40">
        <f t="shared" si="47"/>
        <v>0</v>
      </c>
      <c r="AC328" s="40">
        <f t="shared" si="48"/>
        <v>0</v>
      </c>
      <c r="AD328" s="40">
        <f t="shared" si="50"/>
        <v>0</v>
      </c>
      <c r="AE328" s="509">
        <f t="shared" si="49"/>
        <v>0</v>
      </c>
    </row>
    <row r="329" spans="6:31" x14ac:dyDescent="0.35">
      <c r="F329" s="1597">
        <f t="shared" si="30"/>
        <v>0</v>
      </c>
      <c r="G329" s="40"/>
      <c r="H329" s="40"/>
      <c r="I329" s="40"/>
      <c r="J329" s="40">
        <f t="shared" si="31"/>
        <v>0</v>
      </c>
      <c r="K329" s="40"/>
      <c r="L329" s="40">
        <f t="shared" si="32"/>
        <v>0</v>
      </c>
      <c r="M329" s="40"/>
      <c r="N329" s="40">
        <f t="shared" si="33"/>
        <v>0</v>
      </c>
      <c r="O329" s="40">
        <f t="shared" si="34"/>
        <v>0</v>
      </c>
      <c r="P329" s="40">
        <f t="shared" si="35"/>
        <v>0</v>
      </c>
      <c r="Q329" s="40">
        <f t="shared" si="36"/>
        <v>0</v>
      </c>
      <c r="R329" s="40">
        <f t="shared" si="37"/>
        <v>0</v>
      </c>
      <c r="S329" s="40">
        <f t="shared" si="38"/>
        <v>0</v>
      </c>
      <c r="T329" s="40">
        <f t="shared" si="39"/>
        <v>0</v>
      </c>
      <c r="U329" s="40">
        <f t="shared" si="40"/>
        <v>0</v>
      </c>
      <c r="V329" s="40">
        <f t="shared" si="41"/>
        <v>0</v>
      </c>
      <c r="W329" s="40">
        <f t="shared" si="42"/>
        <v>0</v>
      </c>
      <c r="X329" s="40">
        <f t="shared" si="43"/>
        <v>0</v>
      </c>
      <c r="Y329" s="40">
        <f t="shared" si="44"/>
        <v>0</v>
      </c>
      <c r="Z329" s="40">
        <f t="shared" si="45"/>
        <v>0</v>
      </c>
      <c r="AA329" s="40">
        <f t="shared" si="46"/>
        <v>0</v>
      </c>
      <c r="AB329" s="40">
        <f t="shared" si="47"/>
        <v>0</v>
      </c>
      <c r="AC329" s="40">
        <f t="shared" si="48"/>
        <v>0</v>
      </c>
      <c r="AD329" s="40">
        <f t="shared" si="50"/>
        <v>0</v>
      </c>
      <c r="AE329" s="509">
        <f t="shared" si="49"/>
        <v>0</v>
      </c>
    </row>
    <row r="330" spans="6:31" x14ac:dyDescent="0.35">
      <c r="F330" s="1597">
        <f t="shared" si="30"/>
        <v>0</v>
      </c>
      <c r="G330" s="40"/>
      <c r="H330" s="40"/>
      <c r="I330" s="40"/>
      <c r="J330" s="40">
        <f t="shared" si="31"/>
        <v>0</v>
      </c>
      <c r="K330" s="40"/>
      <c r="L330" s="40">
        <f t="shared" si="32"/>
        <v>0</v>
      </c>
      <c r="M330" s="40"/>
      <c r="N330" s="40">
        <f t="shared" si="33"/>
        <v>0</v>
      </c>
      <c r="O330" s="40">
        <f t="shared" si="34"/>
        <v>0</v>
      </c>
      <c r="P330" s="40">
        <f t="shared" si="35"/>
        <v>0</v>
      </c>
      <c r="Q330" s="40">
        <f t="shared" si="36"/>
        <v>0</v>
      </c>
      <c r="R330" s="40">
        <f t="shared" si="37"/>
        <v>0</v>
      </c>
      <c r="S330" s="40">
        <f t="shared" si="38"/>
        <v>0</v>
      </c>
      <c r="T330" s="40">
        <f t="shared" si="39"/>
        <v>0</v>
      </c>
      <c r="U330" s="40">
        <f t="shared" si="40"/>
        <v>0</v>
      </c>
      <c r="V330" s="40">
        <f t="shared" si="41"/>
        <v>0</v>
      </c>
      <c r="W330" s="40">
        <f t="shared" si="42"/>
        <v>0</v>
      </c>
      <c r="X330" s="40">
        <f t="shared" si="43"/>
        <v>0</v>
      </c>
      <c r="Y330" s="40">
        <f t="shared" si="44"/>
        <v>0</v>
      </c>
      <c r="Z330" s="40">
        <f t="shared" si="45"/>
        <v>0</v>
      </c>
      <c r="AA330" s="40">
        <f t="shared" si="46"/>
        <v>0</v>
      </c>
      <c r="AB330" s="40">
        <f t="shared" si="47"/>
        <v>0</v>
      </c>
      <c r="AC330" s="40">
        <f t="shared" si="48"/>
        <v>0</v>
      </c>
      <c r="AD330" s="40">
        <f t="shared" si="50"/>
        <v>0</v>
      </c>
      <c r="AE330" s="509">
        <f t="shared" si="49"/>
        <v>0</v>
      </c>
    </row>
    <row r="331" spans="6:31" x14ac:dyDescent="0.35">
      <c r="F331" s="1597">
        <f t="shared" si="30"/>
        <v>0</v>
      </c>
      <c r="G331" s="40"/>
      <c r="H331" s="40"/>
      <c r="I331" s="40"/>
      <c r="J331" s="40">
        <f t="shared" si="31"/>
        <v>0</v>
      </c>
      <c r="K331" s="40"/>
      <c r="L331" s="40">
        <f t="shared" si="32"/>
        <v>0</v>
      </c>
      <c r="M331" s="40"/>
      <c r="N331" s="40">
        <f t="shared" si="33"/>
        <v>0</v>
      </c>
      <c r="O331" s="40">
        <f t="shared" si="34"/>
        <v>0</v>
      </c>
      <c r="P331" s="40">
        <f t="shared" si="35"/>
        <v>0</v>
      </c>
      <c r="Q331" s="40">
        <f t="shared" si="36"/>
        <v>0</v>
      </c>
      <c r="R331" s="40">
        <f t="shared" si="37"/>
        <v>0</v>
      </c>
      <c r="S331" s="40">
        <f t="shared" si="38"/>
        <v>0</v>
      </c>
      <c r="T331" s="40">
        <f t="shared" si="39"/>
        <v>0</v>
      </c>
      <c r="U331" s="40">
        <f t="shared" si="40"/>
        <v>0</v>
      </c>
      <c r="V331" s="40">
        <f t="shared" si="41"/>
        <v>0</v>
      </c>
      <c r="W331" s="40">
        <f t="shared" si="42"/>
        <v>0</v>
      </c>
      <c r="X331" s="40">
        <f t="shared" si="43"/>
        <v>0</v>
      </c>
      <c r="Y331" s="40">
        <f t="shared" si="44"/>
        <v>0</v>
      </c>
      <c r="Z331" s="40">
        <f t="shared" si="45"/>
        <v>0</v>
      </c>
      <c r="AA331" s="40">
        <f t="shared" si="46"/>
        <v>0</v>
      </c>
      <c r="AB331" s="40">
        <f t="shared" si="47"/>
        <v>0</v>
      </c>
      <c r="AC331" s="40">
        <f t="shared" si="48"/>
        <v>0</v>
      </c>
      <c r="AD331" s="40">
        <f t="shared" si="50"/>
        <v>0</v>
      </c>
      <c r="AE331" s="509">
        <f t="shared" si="49"/>
        <v>0</v>
      </c>
    </row>
    <row r="332" spans="6:31" x14ac:dyDescent="0.35">
      <c r="F332" s="1597">
        <f t="shared" si="30"/>
        <v>0</v>
      </c>
      <c r="G332" s="40"/>
      <c r="H332" s="40"/>
      <c r="I332" s="40"/>
      <c r="J332" s="40">
        <f t="shared" si="31"/>
        <v>0</v>
      </c>
      <c r="K332" s="40"/>
      <c r="L332" s="40">
        <f t="shared" si="32"/>
        <v>0</v>
      </c>
      <c r="M332" s="40"/>
      <c r="N332" s="40">
        <f t="shared" si="33"/>
        <v>0</v>
      </c>
      <c r="O332" s="40">
        <f t="shared" si="34"/>
        <v>0</v>
      </c>
      <c r="P332" s="40">
        <f t="shared" si="35"/>
        <v>0</v>
      </c>
      <c r="Q332" s="40">
        <f t="shared" si="36"/>
        <v>0</v>
      </c>
      <c r="R332" s="40">
        <f t="shared" si="37"/>
        <v>0</v>
      </c>
      <c r="S332" s="40">
        <f t="shared" si="38"/>
        <v>0</v>
      </c>
      <c r="T332" s="40">
        <f t="shared" si="39"/>
        <v>0</v>
      </c>
      <c r="U332" s="40">
        <f t="shared" si="40"/>
        <v>0</v>
      </c>
      <c r="V332" s="40">
        <f t="shared" si="41"/>
        <v>0</v>
      </c>
      <c r="W332" s="40">
        <f t="shared" si="42"/>
        <v>0</v>
      </c>
      <c r="X332" s="40">
        <f t="shared" si="43"/>
        <v>0</v>
      </c>
      <c r="Y332" s="40">
        <f t="shared" si="44"/>
        <v>0</v>
      </c>
      <c r="Z332" s="40">
        <f t="shared" si="45"/>
        <v>0</v>
      </c>
      <c r="AA332" s="40">
        <f t="shared" si="46"/>
        <v>0</v>
      </c>
      <c r="AB332" s="40">
        <f t="shared" si="47"/>
        <v>0</v>
      </c>
      <c r="AC332" s="40">
        <f t="shared" si="48"/>
        <v>0</v>
      </c>
      <c r="AD332" s="40">
        <f t="shared" si="50"/>
        <v>0</v>
      </c>
      <c r="AE332" s="509">
        <f t="shared" si="49"/>
        <v>0</v>
      </c>
    </row>
    <row r="333" spans="6:31" x14ac:dyDescent="0.35">
      <c r="F333" s="1597">
        <f t="shared" si="30"/>
        <v>0</v>
      </c>
      <c r="G333" s="40"/>
      <c r="H333" s="40"/>
      <c r="I333" s="40"/>
      <c r="J333" s="40">
        <f t="shared" si="31"/>
        <v>0</v>
      </c>
      <c r="K333" s="40"/>
      <c r="L333" s="40">
        <f t="shared" si="32"/>
        <v>0</v>
      </c>
      <c r="M333" s="40"/>
      <c r="N333" s="40">
        <f t="shared" si="33"/>
        <v>0</v>
      </c>
      <c r="O333" s="40">
        <f t="shared" si="34"/>
        <v>0</v>
      </c>
      <c r="P333" s="40">
        <f t="shared" si="35"/>
        <v>0</v>
      </c>
      <c r="Q333" s="40">
        <f t="shared" si="36"/>
        <v>0</v>
      </c>
      <c r="R333" s="40">
        <f t="shared" si="37"/>
        <v>0</v>
      </c>
      <c r="S333" s="40">
        <f t="shared" si="38"/>
        <v>0</v>
      </c>
      <c r="T333" s="40">
        <f t="shared" si="39"/>
        <v>0</v>
      </c>
      <c r="U333" s="40">
        <f t="shared" si="40"/>
        <v>0</v>
      </c>
      <c r="V333" s="40">
        <f t="shared" si="41"/>
        <v>0</v>
      </c>
      <c r="W333" s="40">
        <f t="shared" si="42"/>
        <v>0</v>
      </c>
      <c r="X333" s="40">
        <f t="shared" si="43"/>
        <v>0</v>
      </c>
      <c r="Y333" s="40">
        <f t="shared" si="44"/>
        <v>0</v>
      </c>
      <c r="Z333" s="40">
        <f t="shared" si="45"/>
        <v>0</v>
      </c>
      <c r="AA333" s="40">
        <f t="shared" si="46"/>
        <v>0</v>
      </c>
      <c r="AB333" s="40">
        <f t="shared" si="47"/>
        <v>0</v>
      </c>
      <c r="AC333" s="40">
        <f t="shared" si="48"/>
        <v>0</v>
      </c>
      <c r="AD333" s="40">
        <f t="shared" si="50"/>
        <v>0</v>
      </c>
      <c r="AE333" s="509">
        <f t="shared" si="49"/>
        <v>0</v>
      </c>
    </row>
    <row r="334" spans="6:31" x14ac:dyDescent="0.35">
      <c r="F334" s="1597">
        <f t="shared" si="30"/>
        <v>0</v>
      </c>
      <c r="G334" s="40"/>
      <c r="H334" s="40"/>
      <c r="I334" s="40"/>
      <c r="J334" s="40">
        <f t="shared" si="31"/>
        <v>0</v>
      </c>
      <c r="K334" s="40"/>
      <c r="L334" s="40">
        <f t="shared" si="32"/>
        <v>0</v>
      </c>
      <c r="M334" s="40"/>
      <c r="N334" s="40">
        <f t="shared" si="33"/>
        <v>0</v>
      </c>
      <c r="O334" s="40">
        <f t="shared" si="34"/>
        <v>0</v>
      </c>
      <c r="P334" s="40">
        <f t="shared" si="35"/>
        <v>0</v>
      </c>
      <c r="Q334" s="40">
        <f t="shared" si="36"/>
        <v>0</v>
      </c>
      <c r="R334" s="40">
        <f t="shared" si="37"/>
        <v>0</v>
      </c>
      <c r="S334" s="40">
        <f t="shared" si="38"/>
        <v>0</v>
      </c>
      <c r="T334" s="40">
        <f t="shared" si="39"/>
        <v>0</v>
      </c>
      <c r="U334" s="40">
        <f t="shared" si="40"/>
        <v>0</v>
      </c>
      <c r="V334" s="40">
        <f t="shared" si="41"/>
        <v>0</v>
      </c>
      <c r="W334" s="40">
        <f t="shared" si="42"/>
        <v>0</v>
      </c>
      <c r="X334" s="40">
        <f t="shared" si="43"/>
        <v>0</v>
      </c>
      <c r="Y334" s="40">
        <f t="shared" si="44"/>
        <v>0</v>
      </c>
      <c r="Z334" s="40">
        <f t="shared" si="45"/>
        <v>0</v>
      </c>
      <c r="AA334" s="40">
        <f t="shared" si="46"/>
        <v>0</v>
      </c>
      <c r="AB334" s="40">
        <f t="shared" si="47"/>
        <v>0</v>
      </c>
      <c r="AC334" s="40">
        <f t="shared" si="48"/>
        <v>0</v>
      </c>
      <c r="AD334" s="40">
        <f t="shared" si="50"/>
        <v>0</v>
      </c>
      <c r="AE334" s="509">
        <f t="shared" si="49"/>
        <v>0</v>
      </c>
    </row>
    <row r="335" spans="6:31" x14ac:dyDescent="0.35">
      <c r="F335" s="1597">
        <f t="shared" si="30"/>
        <v>0</v>
      </c>
      <c r="G335" s="40"/>
      <c r="H335" s="40"/>
      <c r="I335" s="40"/>
      <c r="J335" s="40">
        <f t="shared" si="31"/>
        <v>0</v>
      </c>
      <c r="K335" s="40"/>
      <c r="L335" s="40">
        <f t="shared" si="32"/>
        <v>0</v>
      </c>
      <c r="M335" s="40"/>
      <c r="N335" s="40">
        <f t="shared" si="33"/>
        <v>0</v>
      </c>
      <c r="O335" s="40">
        <f t="shared" si="34"/>
        <v>0</v>
      </c>
      <c r="P335" s="40">
        <f t="shared" si="35"/>
        <v>0</v>
      </c>
      <c r="Q335" s="40">
        <f t="shared" si="36"/>
        <v>0</v>
      </c>
      <c r="R335" s="40">
        <f t="shared" si="37"/>
        <v>0</v>
      </c>
      <c r="S335" s="40">
        <f t="shared" si="38"/>
        <v>0</v>
      </c>
      <c r="T335" s="40">
        <f t="shared" si="39"/>
        <v>0</v>
      </c>
      <c r="U335" s="40">
        <f t="shared" si="40"/>
        <v>0</v>
      </c>
      <c r="V335" s="40">
        <f t="shared" si="41"/>
        <v>0</v>
      </c>
      <c r="W335" s="40">
        <f t="shared" si="42"/>
        <v>0</v>
      </c>
      <c r="X335" s="40">
        <f t="shared" si="43"/>
        <v>0</v>
      </c>
      <c r="Y335" s="40">
        <f t="shared" si="44"/>
        <v>0</v>
      </c>
      <c r="Z335" s="40">
        <f t="shared" si="45"/>
        <v>0</v>
      </c>
      <c r="AA335" s="40">
        <f t="shared" si="46"/>
        <v>0</v>
      </c>
      <c r="AB335" s="40">
        <f t="shared" si="47"/>
        <v>0</v>
      </c>
      <c r="AC335" s="40">
        <f t="shared" si="48"/>
        <v>0</v>
      </c>
      <c r="AD335" s="40">
        <f t="shared" si="50"/>
        <v>0</v>
      </c>
      <c r="AE335" s="509">
        <f t="shared" si="49"/>
        <v>0</v>
      </c>
    </row>
    <row r="336" spans="6:31" x14ac:dyDescent="0.35">
      <c r="F336" s="1597">
        <f t="shared" si="30"/>
        <v>0</v>
      </c>
      <c r="G336" s="40"/>
      <c r="H336" s="40"/>
      <c r="I336" s="40"/>
      <c r="J336" s="40">
        <f t="shared" si="31"/>
        <v>0</v>
      </c>
      <c r="K336" s="40"/>
      <c r="L336" s="40">
        <f t="shared" si="32"/>
        <v>0</v>
      </c>
      <c r="M336" s="40"/>
      <c r="N336" s="40">
        <f t="shared" si="33"/>
        <v>0</v>
      </c>
      <c r="O336" s="40">
        <f t="shared" si="34"/>
        <v>0</v>
      </c>
      <c r="P336" s="40">
        <f t="shared" si="35"/>
        <v>0</v>
      </c>
      <c r="Q336" s="40">
        <f t="shared" si="36"/>
        <v>0</v>
      </c>
      <c r="R336" s="40">
        <f t="shared" si="37"/>
        <v>0</v>
      </c>
      <c r="S336" s="40">
        <f t="shared" si="38"/>
        <v>0</v>
      </c>
      <c r="T336" s="40">
        <f t="shared" si="39"/>
        <v>0</v>
      </c>
      <c r="U336" s="40">
        <f t="shared" si="40"/>
        <v>0</v>
      </c>
      <c r="V336" s="40">
        <f t="shared" si="41"/>
        <v>0</v>
      </c>
      <c r="W336" s="40">
        <f t="shared" si="42"/>
        <v>0</v>
      </c>
      <c r="X336" s="40">
        <f t="shared" si="43"/>
        <v>0</v>
      </c>
      <c r="Y336" s="40">
        <f t="shared" si="44"/>
        <v>0</v>
      </c>
      <c r="Z336" s="40">
        <f t="shared" si="45"/>
        <v>0</v>
      </c>
      <c r="AA336" s="40">
        <f t="shared" si="46"/>
        <v>0</v>
      </c>
      <c r="AB336" s="40">
        <f t="shared" si="47"/>
        <v>0</v>
      </c>
      <c r="AC336" s="40">
        <f t="shared" si="48"/>
        <v>0</v>
      </c>
      <c r="AD336" s="40">
        <f t="shared" si="50"/>
        <v>0</v>
      </c>
      <c r="AE336" s="509">
        <f t="shared" si="49"/>
        <v>0</v>
      </c>
    </row>
    <row r="337" spans="6:31" x14ac:dyDescent="0.35">
      <c r="F337" s="1597">
        <f t="shared" si="30"/>
        <v>0</v>
      </c>
      <c r="G337" s="40"/>
      <c r="H337" s="40"/>
      <c r="I337" s="40"/>
      <c r="J337" s="40">
        <f t="shared" si="31"/>
        <v>0</v>
      </c>
      <c r="K337" s="40"/>
      <c r="L337" s="40">
        <f t="shared" si="32"/>
        <v>0</v>
      </c>
      <c r="M337" s="40"/>
      <c r="N337" s="40">
        <f t="shared" si="33"/>
        <v>0</v>
      </c>
      <c r="O337" s="40">
        <f t="shared" si="34"/>
        <v>0</v>
      </c>
      <c r="P337" s="40">
        <f t="shared" si="35"/>
        <v>0</v>
      </c>
      <c r="Q337" s="40">
        <f t="shared" si="36"/>
        <v>0</v>
      </c>
      <c r="R337" s="40">
        <f t="shared" si="37"/>
        <v>0</v>
      </c>
      <c r="S337" s="40">
        <f t="shared" si="38"/>
        <v>0</v>
      </c>
      <c r="T337" s="40">
        <f t="shared" si="39"/>
        <v>0</v>
      </c>
      <c r="U337" s="40">
        <f t="shared" si="40"/>
        <v>0</v>
      </c>
      <c r="V337" s="40">
        <f t="shared" si="41"/>
        <v>0</v>
      </c>
      <c r="W337" s="40">
        <f t="shared" si="42"/>
        <v>0</v>
      </c>
      <c r="X337" s="40">
        <f t="shared" si="43"/>
        <v>0</v>
      </c>
      <c r="Y337" s="40">
        <f t="shared" si="44"/>
        <v>0</v>
      </c>
      <c r="Z337" s="40">
        <f t="shared" si="45"/>
        <v>0</v>
      </c>
      <c r="AA337" s="40">
        <f t="shared" si="46"/>
        <v>0</v>
      </c>
      <c r="AB337" s="40">
        <f t="shared" si="47"/>
        <v>0</v>
      </c>
      <c r="AC337" s="40">
        <f t="shared" si="48"/>
        <v>0</v>
      </c>
      <c r="AD337" s="40">
        <f t="shared" si="50"/>
        <v>0</v>
      </c>
      <c r="AE337" s="509">
        <f t="shared" si="49"/>
        <v>0</v>
      </c>
    </row>
    <row r="338" spans="6:31" x14ac:dyDescent="0.35">
      <c r="F338" s="1597">
        <f t="shared" si="30"/>
        <v>0</v>
      </c>
      <c r="G338" s="40"/>
      <c r="H338" s="40"/>
      <c r="I338" s="40"/>
      <c r="J338" s="40">
        <f t="shared" si="31"/>
        <v>0</v>
      </c>
      <c r="K338" s="40"/>
      <c r="L338" s="40">
        <f t="shared" si="32"/>
        <v>0</v>
      </c>
      <c r="M338" s="40"/>
      <c r="N338" s="40">
        <f t="shared" si="33"/>
        <v>0</v>
      </c>
      <c r="O338" s="40">
        <f t="shared" si="34"/>
        <v>0</v>
      </c>
      <c r="P338" s="40">
        <f t="shared" si="35"/>
        <v>0</v>
      </c>
      <c r="Q338" s="40">
        <f t="shared" si="36"/>
        <v>0</v>
      </c>
      <c r="R338" s="40">
        <f t="shared" si="37"/>
        <v>0</v>
      </c>
      <c r="S338" s="40">
        <f t="shared" si="38"/>
        <v>0</v>
      </c>
      <c r="T338" s="40">
        <f t="shared" si="39"/>
        <v>0</v>
      </c>
      <c r="U338" s="40">
        <f t="shared" si="40"/>
        <v>0</v>
      </c>
      <c r="V338" s="40">
        <f t="shared" si="41"/>
        <v>0</v>
      </c>
      <c r="W338" s="40">
        <f t="shared" si="42"/>
        <v>0</v>
      </c>
      <c r="X338" s="40">
        <f t="shared" si="43"/>
        <v>0</v>
      </c>
      <c r="Y338" s="40">
        <f t="shared" si="44"/>
        <v>0</v>
      </c>
      <c r="Z338" s="40">
        <f t="shared" si="45"/>
        <v>0</v>
      </c>
      <c r="AA338" s="40">
        <f t="shared" si="46"/>
        <v>0</v>
      </c>
      <c r="AB338" s="40">
        <f t="shared" si="47"/>
        <v>0</v>
      </c>
      <c r="AC338" s="40">
        <f t="shared" si="48"/>
        <v>0</v>
      </c>
      <c r="AD338" s="40">
        <f t="shared" si="50"/>
        <v>0</v>
      </c>
      <c r="AE338" s="509">
        <f t="shared" si="49"/>
        <v>0</v>
      </c>
    </row>
    <row r="339" spans="6:31" x14ac:dyDescent="0.35">
      <c r="F339" s="1597">
        <f t="shared" si="30"/>
        <v>0</v>
      </c>
      <c r="G339" s="40"/>
      <c r="H339" s="40"/>
      <c r="I339" s="40"/>
      <c r="J339" s="40">
        <f t="shared" si="31"/>
        <v>0</v>
      </c>
      <c r="K339" s="40"/>
      <c r="L339" s="40">
        <f t="shared" si="32"/>
        <v>0</v>
      </c>
      <c r="M339" s="40"/>
      <c r="N339" s="40">
        <f t="shared" si="33"/>
        <v>0</v>
      </c>
      <c r="O339" s="40">
        <f t="shared" si="34"/>
        <v>0</v>
      </c>
      <c r="P339" s="40">
        <f t="shared" si="35"/>
        <v>0</v>
      </c>
      <c r="Q339" s="40">
        <f t="shared" si="36"/>
        <v>0</v>
      </c>
      <c r="R339" s="40">
        <f t="shared" si="37"/>
        <v>0</v>
      </c>
      <c r="S339" s="40">
        <f t="shared" si="38"/>
        <v>0</v>
      </c>
      <c r="T339" s="40">
        <f t="shared" si="39"/>
        <v>0</v>
      </c>
      <c r="U339" s="40">
        <f t="shared" si="40"/>
        <v>0</v>
      </c>
      <c r="V339" s="40">
        <f t="shared" si="41"/>
        <v>0</v>
      </c>
      <c r="W339" s="40">
        <f t="shared" si="42"/>
        <v>0</v>
      </c>
      <c r="X339" s="40">
        <f t="shared" si="43"/>
        <v>0</v>
      </c>
      <c r="Y339" s="40">
        <f t="shared" si="44"/>
        <v>0</v>
      </c>
      <c r="Z339" s="40">
        <f t="shared" si="45"/>
        <v>0</v>
      </c>
      <c r="AA339" s="40">
        <f t="shared" si="46"/>
        <v>0</v>
      </c>
      <c r="AB339" s="40">
        <f t="shared" si="47"/>
        <v>0</v>
      </c>
      <c r="AC339" s="40">
        <f t="shared" si="48"/>
        <v>0</v>
      </c>
      <c r="AD339" s="40">
        <f t="shared" si="50"/>
        <v>0</v>
      </c>
      <c r="AE339" s="509">
        <f t="shared" si="49"/>
        <v>0</v>
      </c>
    </row>
    <row r="340" spans="6:31" x14ac:dyDescent="0.35">
      <c r="F340" s="1597">
        <f t="shared" si="30"/>
        <v>0</v>
      </c>
      <c r="G340" s="40"/>
      <c r="H340" s="40"/>
      <c r="I340" s="40"/>
      <c r="J340" s="40">
        <f t="shared" si="31"/>
        <v>0</v>
      </c>
      <c r="K340" s="40"/>
      <c r="L340" s="40">
        <f t="shared" si="32"/>
        <v>0</v>
      </c>
      <c r="M340" s="40"/>
      <c r="N340" s="40">
        <f t="shared" si="33"/>
        <v>0</v>
      </c>
      <c r="O340" s="40">
        <f t="shared" si="34"/>
        <v>0</v>
      </c>
      <c r="P340" s="40">
        <f t="shared" si="35"/>
        <v>0</v>
      </c>
      <c r="Q340" s="40">
        <f t="shared" si="36"/>
        <v>0</v>
      </c>
      <c r="R340" s="40">
        <f t="shared" si="37"/>
        <v>0</v>
      </c>
      <c r="S340" s="40">
        <f t="shared" si="38"/>
        <v>0</v>
      </c>
      <c r="T340" s="40">
        <f t="shared" si="39"/>
        <v>0</v>
      </c>
      <c r="U340" s="40">
        <f t="shared" si="40"/>
        <v>0</v>
      </c>
      <c r="V340" s="40">
        <f t="shared" si="41"/>
        <v>0</v>
      </c>
      <c r="W340" s="40">
        <f t="shared" si="42"/>
        <v>0</v>
      </c>
      <c r="X340" s="40">
        <f t="shared" si="43"/>
        <v>0</v>
      </c>
      <c r="Y340" s="40">
        <f t="shared" si="44"/>
        <v>0</v>
      </c>
      <c r="Z340" s="40">
        <f t="shared" si="45"/>
        <v>0</v>
      </c>
      <c r="AA340" s="40">
        <f t="shared" si="46"/>
        <v>0</v>
      </c>
      <c r="AB340" s="40">
        <f t="shared" si="47"/>
        <v>0</v>
      </c>
      <c r="AC340" s="40">
        <f t="shared" si="48"/>
        <v>0</v>
      </c>
      <c r="AD340" s="40">
        <f t="shared" si="50"/>
        <v>0</v>
      </c>
      <c r="AE340" s="509">
        <f t="shared" si="49"/>
        <v>0</v>
      </c>
    </row>
    <row r="341" spans="6:31" x14ac:dyDescent="0.35">
      <c r="F341" s="1597">
        <f t="shared" si="30"/>
        <v>0</v>
      </c>
      <c r="G341" s="40"/>
      <c r="H341" s="40"/>
      <c r="I341" s="40"/>
      <c r="J341" s="40">
        <f t="shared" si="31"/>
        <v>0</v>
      </c>
      <c r="K341" s="40"/>
      <c r="L341" s="40">
        <f t="shared" si="32"/>
        <v>0</v>
      </c>
      <c r="M341" s="40"/>
      <c r="N341" s="40">
        <f t="shared" si="33"/>
        <v>0</v>
      </c>
      <c r="O341" s="40">
        <f t="shared" si="34"/>
        <v>0</v>
      </c>
      <c r="P341" s="40">
        <f t="shared" si="35"/>
        <v>0</v>
      </c>
      <c r="Q341" s="40">
        <f t="shared" si="36"/>
        <v>0</v>
      </c>
      <c r="R341" s="40">
        <f t="shared" si="37"/>
        <v>0</v>
      </c>
      <c r="S341" s="40">
        <f t="shared" si="38"/>
        <v>0</v>
      </c>
      <c r="T341" s="40">
        <f t="shared" si="39"/>
        <v>0</v>
      </c>
      <c r="U341" s="40">
        <f t="shared" si="40"/>
        <v>0</v>
      </c>
      <c r="V341" s="40">
        <f t="shared" si="41"/>
        <v>0</v>
      </c>
      <c r="W341" s="40">
        <f t="shared" si="42"/>
        <v>0</v>
      </c>
      <c r="X341" s="40">
        <f t="shared" si="43"/>
        <v>0</v>
      </c>
      <c r="Y341" s="40">
        <f t="shared" si="44"/>
        <v>0</v>
      </c>
      <c r="Z341" s="40">
        <f t="shared" si="45"/>
        <v>0</v>
      </c>
      <c r="AA341" s="40">
        <f t="shared" si="46"/>
        <v>0</v>
      </c>
      <c r="AB341" s="40">
        <f t="shared" si="47"/>
        <v>0</v>
      </c>
      <c r="AC341" s="40">
        <f t="shared" si="48"/>
        <v>0</v>
      </c>
      <c r="AD341" s="40">
        <f t="shared" si="50"/>
        <v>0</v>
      </c>
      <c r="AE341" s="509">
        <f t="shared" si="49"/>
        <v>0</v>
      </c>
    </row>
    <row r="342" spans="6:31" x14ac:dyDescent="0.35">
      <c r="F342" s="1597">
        <f t="shared" si="30"/>
        <v>0</v>
      </c>
      <c r="G342" s="40"/>
      <c r="H342" s="40"/>
      <c r="I342" s="40"/>
      <c r="J342" s="40">
        <f t="shared" si="31"/>
        <v>0</v>
      </c>
      <c r="K342" s="40"/>
      <c r="L342" s="40">
        <f t="shared" si="32"/>
        <v>0</v>
      </c>
      <c r="M342" s="40"/>
      <c r="N342" s="40">
        <f t="shared" si="33"/>
        <v>0</v>
      </c>
      <c r="O342" s="40">
        <f t="shared" si="34"/>
        <v>0</v>
      </c>
      <c r="P342" s="40">
        <f t="shared" si="35"/>
        <v>0</v>
      </c>
      <c r="Q342" s="40">
        <f t="shared" si="36"/>
        <v>0</v>
      </c>
      <c r="R342" s="40">
        <f t="shared" si="37"/>
        <v>0</v>
      </c>
      <c r="S342" s="40">
        <f t="shared" si="38"/>
        <v>0</v>
      </c>
      <c r="T342" s="40">
        <f t="shared" si="39"/>
        <v>0</v>
      </c>
      <c r="U342" s="40">
        <f t="shared" si="40"/>
        <v>0</v>
      </c>
      <c r="V342" s="40">
        <f t="shared" si="41"/>
        <v>0</v>
      </c>
      <c r="W342" s="40">
        <f t="shared" si="42"/>
        <v>0</v>
      </c>
      <c r="X342" s="40">
        <f t="shared" si="43"/>
        <v>0</v>
      </c>
      <c r="Y342" s="40">
        <f t="shared" si="44"/>
        <v>0</v>
      </c>
      <c r="Z342" s="40">
        <f t="shared" si="45"/>
        <v>0</v>
      </c>
      <c r="AA342" s="40">
        <f t="shared" si="46"/>
        <v>0</v>
      </c>
      <c r="AB342" s="40">
        <f t="shared" si="47"/>
        <v>0</v>
      </c>
      <c r="AC342" s="40">
        <f t="shared" si="48"/>
        <v>0</v>
      </c>
      <c r="AD342" s="40">
        <f t="shared" si="50"/>
        <v>0</v>
      </c>
      <c r="AE342" s="509">
        <f t="shared" si="49"/>
        <v>0</v>
      </c>
    </row>
    <row r="343" spans="6:31" x14ac:dyDescent="0.35">
      <c r="F343" s="1597">
        <f t="shared" si="30"/>
        <v>0</v>
      </c>
      <c r="G343" s="40"/>
      <c r="H343" s="40"/>
      <c r="I343" s="40"/>
      <c r="J343" s="40">
        <f t="shared" si="31"/>
        <v>0</v>
      </c>
      <c r="K343" s="40"/>
      <c r="L343" s="40">
        <f t="shared" si="32"/>
        <v>0</v>
      </c>
      <c r="M343" s="40"/>
      <c r="N343" s="40">
        <f t="shared" si="33"/>
        <v>0</v>
      </c>
      <c r="O343" s="40">
        <f t="shared" si="34"/>
        <v>0</v>
      </c>
      <c r="P343" s="40">
        <f t="shared" si="35"/>
        <v>0</v>
      </c>
      <c r="Q343" s="40">
        <f t="shared" si="36"/>
        <v>0</v>
      </c>
      <c r="R343" s="40">
        <f t="shared" si="37"/>
        <v>0</v>
      </c>
      <c r="S343" s="40">
        <f t="shared" si="38"/>
        <v>0</v>
      </c>
      <c r="T343" s="40">
        <f t="shared" si="39"/>
        <v>0</v>
      </c>
      <c r="U343" s="40">
        <f t="shared" si="40"/>
        <v>0</v>
      </c>
      <c r="V343" s="40">
        <f t="shared" si="41"/>
        <v>0</v>
      </c>
      <c r="W343" s="40">
        <f t="shared" si="42"/>
        <v>0</v>
      </c>
      <c r="X343" s="40">
        <f t="shared" si="43"/>
        <v>0</v>
      </c>
      <c r="Y343" s="40">
        <f t="shared" si="44"/>
        <v>0</v>
      </c>
      <c r="Z343" s="40">
        <f t="shared" si="45"/>
        <v>0</v>
      </c>
      <c r="AA343" s="40">
        <f t="shared" si="46"/>
        <v>0</v>
      </c>
      <c r="AB343" s="40">
        <f t="shared" si="47"/>
        <v>0</v>
      </c>
      <c r="AC343" s="40">
        <f t="shared" si="48"/>
        <v>0</v>
      </c>
      <c r="AD343" s="40">
        <f t="shared" si="50"/>
        <v>0</v>
      </c>
      <c r="AE343" s="509">
        <f t="shared" si="49"/>
        <v>0</v>
      </c>
    </row>
    <row r="344" spans="6:31" x14ac:dyDescent="0.35">
      <c r="F344" s="1597">
        <f t="shared" si="30"/>
        <v>0</v>
      </c>
      <c r="G344" s="40"/>
      <c r="H344" s="40"/>
      <c r="I344" s="40"/>
      <c r="J344" s="40">
        <f t="shared" si="31"/>
        <v>0</v>
      </c>
      <c r="K344" s="40"/>
      <c r="L344" s="40">
        <f t="shared" si="32"/>
        <v>0</v>
      </c>
      <c r="M344" s="40"/>
      <c r="N344" s="40">
        <f t="shared" si="33"/>
        <v>0</v>
      </c>
      <c r="O344" s="40">
        <f t="shared" si="34"/>
        <v>0</v>
      </c>
      <c r="P344" s="40">
        <f t="shared" si="35"/>
        <v>0</v>
      </c>
      <c r="Q344" s="40">
        <f t="shared" si="36"/>
        <v>0</v>
      </c>
      <c r="R344" s="40">
        <f t="shared" si="37"/>
        <v>0</v>
      </c>
      <c r="S344" s="40">
        <f t="shared" si="38"/>
        <v>0</v>
      </c>
      <c r="T344" s="40">
        <f t="shared" si="39"/>
        <v>0</v>
      </c>
      <c r="U344" s="40">
        <f t="shared" si="40"/>
        <v>0</v>
      </c>
      <c r="V344" s="40">
        <f t="shared" si="41"/>
        <v>0</v>
      </c>
      <c r="W344" s="40">
        <f t="shared" si="42"/>
        <v>0</v>
      </c>
      <c r="X344" s="40">
        <f t="shared" si="43"/>
        <v>0</v>
      </c>
      <c r="Y344" s="40">
        <f t="shared" si="44"/>
        <v>0</v>
      </c>
      <c r="Z344" s="40">
        <f t="shared" si="45"/>
        <v>0</v>
      </c>
      <c r="AA344" s="40">
        <f t="shared" si="46"/>
        <v>0</v>
      </c>
      <c r="AB344" s="40">
        <f t="shared" si="47"/>
        <v>0</v>
      </c>
      <c r="AC344" s="40">
        <f t="shared" si="48"/>
        <v>0</v>
      </c>
      <c r="AD344" s="40">
        <f t="shared" si="50"/>
        <v>0</v>
      </c>
      <c r="AE344" s="509">
        <f t="shared" si="49"/>
        <v>0</v>
      </c>
    </row>
    <row r="345" spans="6:31" x14ac:dyDescent="0.35">
      <c r="F345" s="1597">
        <f t="shared" si="30"/>
        <v>0</v>
      </c>
      <c r="G345" s="40"/>
      <c r="H345" s="40"/>
      <c r="I345" s="40"/>
      <c r="J345" s="40">
        <f t="shared" si="31"/>
        <v>0</v>
      </c>
      <c r="K345" s="40"/>
      <c r="L345" s="40">
        <f t="shared" si="32"/>
        <v>0</v>
      </c>
      <c r="M345" s="40"/>
      <c r="N345" s="40">
        <f t="shared" si="33"/>
        <v>0</v>
      </c>
      <c r="O345" s="40">
        <f t="shared" si="34"/>
        <v>0</v>
      </c>
      <c r="P345" s="40">
        <f t="shared" si="35"/>
        <v>0</v>
      </c>
      <c r="Q345" s="40">
        <f t="shared" si="36"/>
        <v>0</v>
      </c>
      <c r="R345" s="40">
        <f t="shared" si="37"/>
        <v>0</v>
      </c>
      <c r="S345" s="40">
        <f t="shared" si="38"/>
        <v>0</v>
      </c>
      <c r="T345" s="40">
        <f t="shared" si="39"/>
        <v>0</v>
      </c>
      <c r="U345" s="40">
        <f t="shared" si="40"/>
        <v>0</v>
      </c>
      <c r="V345" s="40">
        <f t="shared" si="41"/>
        <v>0</v>
      </c>
      <c r="W345" s="40">
        <f t="shared" si="42"/>
        <v>0</v>
      </c>
      <c r="X345" s="40">
        <f t="shared" si="43"/>
        <v>0</v>
      </c>
      <c r="Y345" s="40">
        <f t="shared" si="44"/>
        <v>0</v>
      </c>
      <c r="Z345" s="40">
        <f t="shared" si="45"/>
        <v>0</v>
      </c>
      <c r="AA345" s="40">
        <f t="shared" si="46"/>
        <v>0</v>
      </c>
      <c r="AB345" s="40">
        <f t="shared" si="47"/>
        <v>0</v>
      </c>
      <c r="AC345" s="40">
        <f t="shared" si="48"/>
        <v>0</v>
      </c>
      <c r="AD345" s="40">
        <f t="shared" si="50"/>
        <v>0</v>
      </c>
      <c r="AE345" s="509">
        <f t="shared" si="49"/>
        <v>0</v>
      </c>
    </row>
    <row r="346" spans="6:31" x14ac:dyDescent="0.35">
      <c r="F346" s="1597">
        <f t="shared" si="30"/>
        <v>0</v>
      </c>
      <c r="G346" s="40"/>
      <c r="H346" s="40"/>
      <c r="I346" s="40"/>
      <c r="J346" s="40">
        <f t="shared" si="31"/>
        <v>0</v>
      </c>
      <c r="K346" s="40"/>
      <c r="L346" s="40">
        <f t="shared" si="32"/>
        <v>0</v>
      </c>
      <c r="M346" s="40"/>
      <c r="N346" s="40">
        <f t="shared" si="33"/>
        <v>0</v>
      </c>
      <c r="O346" s="40">
        <f t="shared" si="34"/>
        <v>0</v>
      </c>
      <c r="P346" s="40">
        <f t="shared" si="35"/>
        <v>0</v>
      </c>
      <c r="Q346" s="40">
        <f t="shared" si="36"/>
        <v>0</v>
      </c>
      <c r="R346" s="40">
        <f t="shared" si="37"/>
        <v>0</v>
      </c>
      <c r="S346" s="40">
        <f t="shared" si="38"/>
        <v>0</v>
      </c>
      <c r="T346" s="40">
        <f t="shared" si="39"/>
        <v>0</v>
      </c>
      <c r="U346" s="40">
        <f t="shared" si="40"/>
        <v>0</v>
      </c>
      <c r="V346" s="40">
        <f t="shared" si="41"/>
        <v>0</v>
      </c>
      <c r="W346" s="40">
        <f t="shared" si="42"/>
        <v>0</v>
      </c>
      <c r="X346" s="40">
        <f t="shared" si="43"/>
        <v>0</v>
      </c>
      <c r="Y346" s="40">
        <f t="shared" si="44"/>
        <v>0</v>
      </c>
      <c r="Z346" s="40">
        <f t="shared" si="45"/>
        <v>0</v>
      </c>
      <c r="AA346" s="40">
        <f t="shared" si="46"/>
        <v>0</v>
      </c>
      <c r="AB346" s="40">
        <f t="shared" si="47"/>
        <v>0</v>
      </c>
      <c r="AC346" s="40">
        <f t="shared" si="48"/>
        <v>0</v>
      </c>
      <c r="AD346" s="40">
        <f t="shared" si="50"/>
        <v>0</v>
      </c>
      <c r="AE346" s="509">
        <f t="shared" si="49"/>
        <v>0</v>
      </c>
    </row>
    <row r="347" spans="6:31" x14ac:dyDescent="0.35">
      <c r="F347" s="1597">
        <f t="shared" si="30"/>
        <v>0</v>
      </c>
      <c r="G347" s="40"/>
      <c r="H347" s="40"/>
      <c r="I347" s="40"/>
      <c r="J347" s="40">
        <f t="shared" si="31"/>
        <v>0</v>
      </c>
      <c r="K347" s="40"/>
      <c r="L347" s="40">
        <f t="shared" si="32"/>
        <v>0</v>
      </c>
      <c r="M347" s="40"/>
      <c r="N347" s="40">
        <f t="shared" si="33"/>
        <v>0</v>
      </c>
      <c r="O347" s="40">
        <f t="shared" si="34"/>
        <v>0</v>
      </c>
      <c r="P347" s="40">
        <f t="shared" si="35"/>
        <v>0</v>
      </c>
      <c r="Q347" s="40">
        <f t="shared" si="36"/>
        <v>0</v>
      </c>
      <c r="R347" s="40">
        <f t="shared" si="37"/>
        <v>0</v>
      </c>
      <c r="S347" s="40">
        <f t="shared" si="38"/>
        <v>0</v>
      </c>
      <c r="T347" s="40">
        <f t="shared" si="39"/>
        <v>0</v>
      </c>
      <c r="U347" s="40">
        <f t="shared" si="40"/>
        <v>0</v>
      </c>
      <c r="V347" s="40">
        <f t="shared" si="41"/>
        <v>0</v>
      </c>
      <c r="W347" s="40">
        <f t="shared" si="42"/>
        <v>0</v>
      </c>
      <c r="X347" s="40">
        <f t="shared" si="43"/>
        <v>0</v>
      </c>
      <c r="Y347" s="40">
        <f t="shared" si="44"/>
        <v>0</v>
      </c>
      <c r="Z347" s="40">
        <f t="shared" si="45"/>
        <v>0</v>
      </c>
      <c r="AA347" s="40">
        <f t="shared" si="46"/>
        <v>0</v>
      </c>
      <c r="AB347" s="40">
        <f t="shared" si="47"/>
        <v>0</v>
      </c>
      <c r="AC347" s="40">
        <f t="shared" si="48"/>
        <v>0</v>
      </c>
      <c r="AD347" s="40">
        <f t="shared" si="50"/>
        <v>0</v>
      </c>
      <c r="AE347" s="509">
        <f t="shared" si="49"/>
        <v>0</v>
      </c>
    </row>
    <row r="348" spans="6:31" x14ac:dyDescent="0.35">
      <c r="F348" s="1597">
        <f t="shared" si="30"/>
        <v>0</v>
      </c>
      <c r="G348" s="40"/>
      <c r="H348" s="40"/>
      <c r="I348" s="40"/>
      <c r="J348" s="40">
        <f t="shared" si="31"/>
        <v>0</v>
      </c>
      <c r="K348" s="40"/>
      <c r="L348" s="40">
        <f t="shared" si="32"/>
        <v>0</v>
      </c>
      <c r="M348" s="40"/>
      <c r="N348" s="40">
        <f t="shared" si="33"/>
        <v>0</v>
      </c>
      <c r="O348" s="40">
        <f t="shared" si="34"/>
        <v>0</v>
      </c>
      <c r="P348" s="40">
        <f t="shared" si="35"/>
        <v>0</v>
      </c>
      <c r="Q348" s="40">
        <f t="shared" si="36"/>
        <v>0</v>
      </c>
      <c r="R348" s="40">
        <f t="shared" si="37"/>
        <v>0</v>
      </c>
      <c r="S348" s="40">
        <f t="shared" si="38"/>
        <v>0</v>
      </c>
      <c r="T348" s="40">
        <f t="shared" si="39"/>
        <v>0</v>
      </c>
      <c r="U348" s="40">
        <f t="shared" si="40"/>
        <v>0</v>
      </c>
      <c r="V348" s="40">
        <f t="shared" si="41"/>
        <v>0</v>
      </c>
      <c r="W348" s="40">
        <f t="shared" si="42"/>
        <v>0</v>
      </c>
      <c r="X348" s="40">
        <f t="shared" si="43"/>
        <v>0</v>
      </c>
      <c r="Y348" s="40">
        <f t="shared" si="44"/>
        <v>0</v>
      </c>
      <c r="Z348" s="40">
        <f t="shared" si="45"/>
        <v>0</v>
      </c>
      <c r="AA348" s="40">
        <f t="shared" si="46"/>
        <v>0</v>
      </c>
      <c r="AB348" s="40">
        <f t="shared" si="47"/>
        <v>0</v>
      </c>
      <c r="AC348" s="40">
        <f t="shared" si="48"/>
        <v>0</v>
      </c>
      <c r="AD348" s="40">
        <f t="shared" si="50"/>
        <v>0</v>
      </c>
      <c r="AE348" s="509">
        <f t="shared" si="49"/>
        <v>0</v>
      </c>
    </row>
    <row r="349" spans="6:31" x14ac:dyDescent="0.35">
      <c r="F349" s="1597">
        <f t="shared" si="30"/>
        <v>0</v>
      </c>
      <c r="G349" s="40"/>
      <c r="H349" s="40"/>
      <c r="I349" s="40"/>
      <c r="J349" s="40">
        <f t="shared" si="31"/>
        <v>0</v>
      </c>
      <c r="K349" s="40"/>
      <c r="L349" s="40">
        <f t="shared" si="32"/>
        <v>0</v>
      </c>
      <c r="M349" s="40"/>
      <c r="N349" s="40">
        <f t="shared" si="33"/>
        <v>0</v>
      </c>
      <c r="O349" s="40">
        <f t="shared" si="34"/>
        <v>0</v>
      </c>
      <c r="P349" s="40">
        <f t="shared" si="35"/>
        <v>0</v>
      </c>
      <c r="Q349" s="40">
        <f t="shared" si="36"/>
        <v>0</v>
      </c>
      <c r="R349" s="40">
        <f t="shared" si="37"/>
        <v>0</v>
      </c>
      <c r="S349" s="40">
        <f t="shared" si="38"/>
        <v>0</v>
      </c>
      <c r="T349" s="40">
        <f t="shared" si="39"/>
        <v>0</v>
      </c>
      <c r="U349" s="40">
        <f t="shared" si="40"/>
        <v>0</v>
      </c>
      <c r="V349" s="40">
        <f t="shared" si="41"/>
        <v>0</v>
      </c>
      <c r="W349" s="40">
        <f t="shared" si="42"/>
        <v>0</v>
      </c>
      <c r="X349" s="40">
        <f t="shared" si="43"/>
        <v>0</v>
      </c>
      <c r="Y349" s="40">
        <f t="shared" si="44"/>
        <v>0</v>
      </c>
      <c r="Z349" s="40">
        <f t="shared" si="45"/>
        <v>0</v>
      </c>
      <c r="AA349" s="40">
        <f t="shared" si="46"/>
        <v>0</v>
      </c>
      <c r="AB349" s="40">
        <f t="shared" si="47"/>
        <v>0</v>
      </c>
      <c r="AC349" s="40">
        <f t="shared" si="48"/>
        <v>0</v>
      </c>
      <c r="AD349" s="40">
        <f t="shared" si="50"/>
        <v>0</v>
      </c>
      <c r="AE349" s="509">
        <f t="shared" si="49"/>
        <v>0</v>
      </c>
    </row>
    <row r="350" spans="6:31" x14ac:dyDescent="0.35">
      <c r="F350" s="1597">
        <f t="shared" si="30"/>
        <v>0</v>
      </c>
      <c r="G350" s="40"/>
      <c r="H350" s="40"/>
      <c r="I350" s="40"/>
      <c r="J350" s="40">
        <f t="shared" si="31"/>
        <v>0</v>
      </c>
      <c r="K350" s="40"/>
      <c r="L350" s="40">
        <f t="shared" si="32"/>
        <v>0</v>
      </c>
      <c r="M350" s="40"/>
      <c r="N350" s="40">
        <f t="shared" si="33"/>
        <v>0</v>
      </c>
      <c r="O350" s="40">
        <f t="shared" si="34"/>
        <v>0</v>
      </c>
      <c r="P350" s="40">
        <f t="shared" si="35"/>
        <v>0</v>
      </c>
      <c r="Q350" s="40">
        <f t="shared" si="36"/>
        <v>0</v>
      </c>
      <c r="R350" s="40">
        <f t="shared" si="37"/>
        <v>0</v>
      </c>
      <c r="S350" s="40">
        <f t="shared" si="38"/>
        <v>0</v>
      </c>
      <c r="T350" s="40">
        <f t="shared" si="39"/>
        <v>0</v>
      </c>
      <c r="U350" s="40">
        <f t="shared" si="40"/>
        <v>0</v>
      </c>
      <c r="V350" s="40">
        <f t="shared" si="41"/>
        <v>0</v>
      </c>
      <c r="W350" s="40">
        <f t="shared" si="42"/>
        <v>0</v>
      </c>
      <c r="X350" s="40">
        <f t="shared" si="43"/>
        <v>0</v>
      </c>
      <c r="Y350" s="40">
        <f t="shared" si="44"/>
        <v>0</v>
      </c>
      <c r="Z350" s="40">
        <f t="shared" si="45"/>
        <v>0</v>
      </c>
      <c r="AA350" s="40">
        <f t="shared" si="46"/>
        <v>0</v>
      </c>
      <c r="AB350" s="40">
        <f t="shared" si="47"/>
        <v>0</v>
      </c>
      <c r="AC350" s="40">
        <f t="shared" si="48"/>
        <v>0</v>
      </c>
      <c r="AD350" s="40">
        <f t="shared" si="50"/>
        <v>0</v>
      </c>
      <c r="AE350" s="509">
        <f t="shared" si="49"/>
        <v>0</v>
      </c>
    </row>
    <row r="351" spans="6:31" x14ac:dyDescent="0.35">
      <c r="F351" s="1597">
        <f t="shared" si="30"/>
        <v>0</v>
      </c>
      <c r="G351" s="40"/>
      <c r="H351" s="40"/>
      <c r="I351" s="40"/>
      <c r="J351" s="40">
        <f t="shared" si="31"/>
        <v>0</v>
      </c>
      <c r="K351" s="40"/>
      <c r="L351" s="40">
        <f t="shared" si="32"/>
        <v>0</v>
      </c>
      <c r="M351" s="40"/>
      <c r="N351" s="40">
        <f t="shared" si="33"/>
        <v>0</v>
      </c>
      <c r="O351" s="40">
        <f t="shared" si="34"/>
        <v>0</v>
      </c>
      <c r="P351" s="40">
        <f t="shared" si="35"/>
        <v>0</v>
      </c>
      <c r="Q351" s="40">
        <f t="shared" si="36"/>
        <v>0</v>
      </c>
      <c r="R351" s="40">
        <f t="shared" si="37"/>
        <v>0</v>
      </c>
      <c r="S351" s="40">
        <f t="shared" si="38"/>
        <v>0</v>
      </c>
      <c r="T351" s="40">
        <f t="shared" si="39"/>
        <v>0</v>
      </c>
      <c r="U351" s="40">
        <f t="shared" si="40"/>
        <v>0</v>
      </c>
      <c r="V351" s="40">
        <f t="shared" si="41"/>
        <v>0</v>
      </c>
      <c r="W351" s="40">
        <f t="shared" si="42"/>
        <v>0</v>
      </c>
      <c r="X351" s="40">
        <f t="shared" si="43"/>
        <v>0</v>
      </c>
      <c r="Y351" s="40">
        <f t="shared" si="44"/>
        <v>0</v>
      </c>
      <c r="Z351" s="40">
        <f t="shared" si="45"/>
        <v>0</v>
      </c>
      <c r="AA351" s="40">
        <f t="shared" si="46"/>
        <v>0</v>
      </c>
      <c r="AB351" s="40">
        <f t="shared" si="47"/>
        <v>0</v>
      </c>
      <c r="AC351" s="40">
        <f t="shared" si="48"/>
        <v>0</v>
      </c>
      <c r="AD351" s="40">
        <f t="shared" si="50"/>
        <v>0</v>
      </c>
      <c r="AE351" s="509">
        <f t="shared" si="49"/>
        <v>0</v>
      </c>
    </row>
    <row r="352" spans="6:31" x14ac:dyDescent="0.35">
      <c r="F352" s="1597">
        <f t="shared" si="30"/>
        <v>0</v>
      </c>
      <c r="G352" s="40"/>
      <c r="H352" s="40"/>
      <c r="I352" s="40"/>
      <c r="J352" s="40">
        <f t="shared" si="31"/>
        <v>0</v>
      </c>
      <c r="K352" s="40"/>
      <c r="L352" s="40">
        <f t="shared" si="32"/>
        <v>0</v>
      </c>
      <c r="M352" s="40"/>
      <c r="N352" s="40">
        <f t="shared" si="33"/>
        <v>0</v>
      </c>
      <c r="O352" s="40">
        <f t="shared" si="34"/>
        <v>0</v>
      </c>
      <c r="P352" s="40">
        <f t="shared" si="35"/>
        <v>0</v>
      </c>
      <c r="Q352" s="40">
        <f t="shared" si="36"/>
        <v>0</v>
      </c>
      <c r="R352" s="40">
        <f t="shared" si="37"/>
        <v>0</v>
      </c>
      <c r="S352" s="40">
        <f t="shared" si="38"/>
        <v>0</v>
      </c>
      <c r="T352" s="40">
        <f t="shared" si="39"/>
        <v>0</v>
      </c>
      <c r="U352" s="40">
        <f t="shared" si="40"/>
        <v>0</v>
      </c>
      <c r="V352" s="40">
        <f t="shared" si="41"/>
        <v>0</v>
      </c>
      <c r="W352" s="40">
        <f t="shared" si="42"/>
        <v>0</v>
      </c>
      <c r="X352" s="40">
        <f t="shared" si="43"/>
        <v>0</v>
      </c>
      <c r="Y352" s="40">
        <f t="shared" si="44"/>
        <v>0</v>
      </c>
      <c r="Z352" s="40">
        <f t="shared" si="45"/>
        <v>0</v>
      </c>
      <c r="AA352" s="40">
        <f t="shared" si="46"/>
        <v>0</v>
      </c>
      <c r="AB352" s="40">
        <f t="shared" si="47"/>
        <v>0</v>
      </c>
      <c r="AC352" s="40">
        <f t="shared" si="48"/>
        <v>0</v>
      </c>
      <c r="AD352" s="40">
        <f t="shared" si="50"/>
        <v>0</v>
      </c>
      <c r="AE352" s="509">
        <f t="shared" si="49"/>
        <v>0</v>
      </c>
    </row>
    <row r="353" spans="6:31" x14ac:dyDescent="0.35">
      <c r="F353" s="1597">
        <f t="shared" si="30"/>
        <v>0</v>
      </c>
      <c r="G353" s="40"/>
      <c r="H353" s="40"/>
      <c r="I353" s="40"/>
      <c r="J353" s="40">
        <f t="shared" si="31"/>
        <v>0</v>
      </c>
      <c r="K353" s="40"/>
      <c r="L353" s="40">
        <f t="shared" si="32"/>
        <v>0</v>
      </c>
      <c r="M353" s="40"/>
      <c r="N353" s="40">
        <f t="shared" si="33"/>
        <v>0</v>
      </c>
      <c r="O353" s="40">
        <f t="shared" si="34"/>
        <v>0</v>
      </c>
      <c r="P353" s="40">
        <f t="shared" si="35"/>
        <v>0</v>
      </c>
      <c r="Q353" s="40">
        <f t="shared" si="36"/>
        <v>0</v>
      </c>
      <c r="R353" s="40">
        <f t="shared" si="37"/>
        <v>0</v>
      </c>
      <c r="S353" s="40">
        <f t="shared" si="38"/>
        <v>0</v>
      </c>
      <c r="T353" s="40">
        <f t="shared" si="39"/>
        <v>0</v>
      </c>
      <c r="U353" s="40">
        <f t="shared" si="40"/>
        <v>0</v>
      </c>
      <c r="V353" s="40">
        <f t="shared" si="41"/>
        <v>0</v>
      </c>
      <c r="W353" s="40">
        <f t="shared" si="42"/>
        <v>0</v>
      </c>
      <c r="X353" s="40">
        <f t="shared" si="43"/>
        <v>0</v>
      </c>
      <c r="Y353" s="40">
        <f t="shared" si="44"/>
        <v>0</v>
      </c>
      <c r="Z353" s="40">
        <f t="shared" si="45"/>
        <v>0</v>
      </c>
      <c r="AA353" s="40">
        <f t="shared" si="46"/>
        <v>0</v>
      </c>
      <c r="AB353" s="40">
        <f t="shared" si="47"/>
        <v>0</v>
      </c>
      <c r="AC353" s="40">
        <f t="shared" si="48"/>
        <v>0</v>
      </c>
      <c r="AD353" s="40">
        <f t="shared" si="50"/>
        <v>0</v>
      </c>
      <c r="AE353" s="509">
        <f t="shared" si="49"/>
        <v>0</v>
      </c>
    </row>
    <row r="354" spans="6:31" x14ac:dyDescent="0.35">
      <c r="F354" s="1597">
        <f t="shared" si="30"/>
        <v>0</v>
      </c>
      <c r="G354" s="40"/>
      <c r="H354" s="40"/>
      <c r="I354" s="40"/>
      <c r="J354" s="40">
        <f t="shared" si="31"/>
        <v>0</v>
      </c>
      <c r="K354" s="40"/>
      <c r="L354" s="40">
        <f t="shared" si="32"/>
        <v>0</v>
      </c>
      <c r="M354" s="40"/>
      <c r="N354" s="40">
        <f t="shared" si="33"/>
        <v>0</v>
      </c>
      <c r="O354" s="40">
        <f t="shared" si="34"/>
        <v>0</v>
      </c>
      <c r="P354" s="40">
        <f t="shared" si="35"/>
        <v>0</v>
      </c>
      <c r="Q354" s="40">
        <f t="shared" si="36"/>
        <v>0</v>
      </c>
      <c r="R354" s="40">
        <f t="shared" si="37"/>
        <v>0</v>
      </c>
      <c r="S354" s="40">
        <f t="shared" si="38"/>
        <v>0</v>
      </c>
      <c r="T354" s="40">
        <f t="shared" si="39"/>
        <v>0</v>
      </c>
      <c r="U354" s="40">
        <f t="shared" si="40"/>
        <v>0</v>
      </c>
      <c r="V354" s="40">
        <f t="shared" si="41"/>
        <v>0</v>
      </c>
      <c r="W354" s="40">
        <f t="shared" si="42"/>
        <v>0</v>
      </c>
      <c r="X354" s="40">
        <f t="shared" si="43"/>
        <v>0</v>
      </c>
      <c r="Y354" s="40">
        <f t="shared" si="44"/>
        <v>0</v>
      </c>
      <c r="Z354" s="40">
        <f t="shared" si="45"/>
        <v>0</v>
      </c>
      <c r="AA354" s="40">
        <f t="shared" si="46"/>
        <v>0</v>
      </c>
      <c r="AB354" s="40">
        <f t="shared" si="47"/>
        <v>0</v>
      </c>
      <c r="AC354" s="40">
        <f t="shared" si="48"/>
        <v>0</v>
      </c>
      <c r="AD354" s="40">
        <f t="shared" si="50"/>
        <v>0</v>
      </c>
      <c r="AE354" s="509">
        <f t="shared" si="49"/>
        <v>0</v>
      </c>
    </row>
    <row r="355" spans="6:31" x14ac:dyDescent="0.35">
      <c r="F355" s="1597">
        <f t="shared" si="30"/>
        <v>0</v>
      </c>
      <c r="G355" s="40"/>
      <c r="H355" s="40"/>
      <c r="I355" s="40"/>
      <c r="J355" s="40">
        <f t="shared" si="31"/>
        <v>0</v>
      </c>
      <c r="K355" s="40"/>
      <c r="L355" s="40">
        <f t="shared" si="32"/>
        <v>0</v>
      </c>
      <c r="M355" s="40"/>
      <c r="N355" s="40">
        <f t="shared" si="33"/>
        <v>0</v>
      </c>
      <c r="O355" s="40">
        <f t="shared" si="34"/>
        <v>0</v>
      </c>
      <c r="P355" s="40">
        <f t="shared" si="35"/>
        <v>0</v>
      </c>
      <c r="Q355" s="40">
        <f t="shared" si="36"/>
        <v>0</v>
      </c>
      <c r="R355" s="40">
        <f t="shared" si="37"/>
        <v>0</v>
      </c>
      <c r="S355" s="40">
        <f t="shared" si="38"/>
        <v>0</v>
      </c>
      <c r="T355" s="40">
        <f t="shared" si="39"/>
        <v>0</v>
      </c>
      <c r="U355" s="40">
        <f t="shared" si="40"/>
        <v>0</v>
      </c>
      <c r="V355" s="40">
        <f t="shared" si="41"/>
        <v>0</v>
      </c>
      <c r="W355" s="40">
        <f t="shared" si="42"/>
        <v>0</v>
      </c>
      <c r="X355" s="40">
        <f t="shared" si="43"/>
        <v>0</v>
      </c>
      <c r="Y355" s="40">
        <f t="shared" si="44"/>
        <v>0</v>
      </c>
      <c r="Z355" s="40">
        <f t="shared" si="45"/>
        <v>0</v>
      </c>
      <c r="AA355" s="40">
        <f t="shared" si="46"/>
        <v>0</v>
      </c>
      <c r="AB355" s="40">
        <f t="shared" si="47"/>
        <v>0</v>
      </c>
      <c r="AC355" s="40">
        <f t="shared" si="48"/>
        <v>0</v>
      </c>
      <c r="AD355" s="40">
        <f t="shared" si="50"/>
        <v>0</v>
      </c>
      <c r="AE355" s="509">
        <f t="shared" si="49"/>
        <v>0</v>
      </c>
    </row>
    <row r="356" spans="6:31" x14ac:dyDescent="0.35">
      <c r="F356" s="1597">
        <f t="shared" si="30"/>
        <v>0</v>
      </c>
      <c r="G356" s="40"/>
      <c r="H356" s="40"/>
      <c r="I356" s="40"/>
      <c r="J356" s="40">
        <f t="shared" si="31"/>
        <v>0</v>
      </c>
      <c r="K356" s="40"/>
      <c r="L356" s="40">
        <f t="shared" si="32"/>
        <v>0</v>
      </c>
      <c r="M356" s="40"/>
      <c r="N356" s="40">
        <f t="shared" si="33"/>
        <v>0</v>
      </c>
      <c r="O356" s="40">
        <f t="shared" si="34"/>
        <v>0</v>
      </c>
      <c r="P356" s="40">
        <f t="shared" si="35"/>
        <v>0</v>
      </c>
      <c r="Q356" s="40">
        <f t="shared" si="36"/>
        <v>0</v>
      </c>
      <c r="R356" s="40">
        <f t="shared" si="37"/>
        <v>0</v>
      </c>
      <c r="S356" s="40">
        <f t="shared" si="38"/>
        <v>0</v>
      </c>
      <c r="T356" s="40">
        <f t="shared" si="39"/>
        <v>0</v>
      </c>
      <c r="U356" s="40">
        <f t="shared" si="40"/>
        <v>0</v>
      </c>
      <c r="V356" s="40">
        <f t="shared" si="41"/>
        <v>0</v>
      </c>
      <c r="W356" s="40">
        <f t="shared" si="42"/>
        <v>0</v>
      </c>
      <c r="X356" s="40">
        <f t="shared" si="43"/>
        <v>0</v>
      </c>
      <c r="Y356" s="40">
        <f t="shared" si="44"/>
        <v>0</v>
      </c>
      <c r="Z356" s="40">
        <f t="shared" si="45"/>
        <v>0</v>
      </c>
      <c r="AA356" s="40">
        <f t="shared" si="46"/>
        <v>0</v>
      </c>
      <c r="AB356" s="40">
        <f t="shared" si="47"/>
        <v>0</v>
      </c>
      <c r="AC356" s="40">
        <f t="shared" si="48"/>
        <v>0</v>
      </c>
      <c r="AD356" s="40">
        <f t="shared" si="50"/>
        <v>0</v>
      </c>
      <c r="AE356" s="509">
        <f t="shared" si="49"/>
        <v>0</v>
      </c>
    </row>
    <row r="357" spans="6:31" x14ac:dyDescent="0.35">
      <c r="F357" s="1597">
        <f t="shared" si="30"/>
        <v>0</v>
      </c>
      <c r="G357" s="40"/>
      <c r="H357" s="40"/>
      <c r="I357" s="40"/>
      <c r="J357" s="40">
        <f t="shared" si="31"/>
        <v>0</v>
      </c>
      <c r="K357" s="40"/>
      <c r="L357" s="40">
        <f t="shared" si="32"/>
        <v>0</v>
      </c>
      <c r="M357" s="40"/>
      <c r="N357" s="40">
        <f t="shared" si="33"/>
        <v>0</v>
      </c>
      <c r="O357" s="40">
        <f t="shared" si="34"/>
        <v>0</v>
      </c>
      <c r="P357" s="40">
        <f t="shared" si="35"/>
        <v>0</v>
      </c>
      <c r="Q357" s="40">
        <f t="shared" si="36"/>
        <v>0</v>
      </c>
      <c r="R357" s="40">
        <f t="shared" si="37"/>
        <v>0</v>
      </c>
      <c r="S357" s="40">
        <f t="shared" si="38"/>
        <v>0</v>
      </c>
      <c r="T357" s="40">
        <f t="shared" si="39"/>
        <v>0</v>
      </c>
      <c r="U357" s="40">
        <f t="shared" si="40"/>
        <v>0</v>
      </c>
      <c r="V357" s="40">
        <f t="shared" si="41"/>
        <v>0</v>
      </c>
      <c r="W357" s="40">
        <f t="shared" si="42"/>
        <v>0</v>
      </c>
      <c r="X357" s="40">
        <f t="shared" si="43"/>
        <v>0</v>
      </c>
      <c r="Y357" s="40">
        <f t="shared" si="44"/>
        <v>0</v>
      </c>
      <c r="Z357" s="40">
        <f t="shared" si="45"/>
        <v>0</v>
      </c>
      <c r="AA357" s="40">
        <f t="shared" si="46"/>
        <v>0</v>
      </c>
      <c r="AB357" s="40">
        <f t="shared" si="47"/>
        <v>0</v>
      </c>
      <c r="AC357" s="40">
        <f t="shared" si="48"/>
        <v>0</v>
      </c>
      <c r="AD357" s="40">
        <f t="shared" si="50"/>
        <v>0</v>
      </c>
      <c r="AE357" s="509">
        <f t="shared" si="49"/>
        <v>0</v>
      </c>
    </row>
    <row r="358" spans="6:31" x14ac:dyDescent="0.35">
      <c r="F358" s="1597">
        <f t="shared" ref="F358:F421" si="51">IF(OR(G149&lt;&gt;"",H149&lt;&gt;"",L149&lt;&gt;""),1,0)</f>
        <v>0</v>
      </c>
      <c r="G358" s="40"/>
      <c r="H358" s="40"/>
      <c r="I358" s="40"/>
      <c r="J358" s="40">
        <f t="shared" ref="J358:J421" si="52">IF(OR(O149&lt;&gt;"",U149&lt;&gt;"",AB149&lt;&gt;""),1,0)</f>
        <v>0</v>
      </c>
      <c r="K358" s="40"/>
      <c r="L358" s="40">
        <f t="shared" ref="L358:L421" si="53">IF(OR(P149&lt;&gt;"",V149&lt;&gt;"",AC149&lt;&gt;""),1,0)</f>
        <v>0</v>
      </c>
      <c r="M358" s="40"/>
      <c r="N358" s="40">
        <f t="shared" ref="N358:N421" si="54">IF(OR(Q149&lt;&gt;"",W149&lt;&gt;"",AD149&lt;&gt;""),1,0)</f>
        <v>0</v>
      </c>
      <c r="O358" s="40">
        <f t="shared" ref="O358:O421" si="55">IF(OR(L149&lt;&gt;"",AG149&lt;&gt;""),1,0)</f>
        <v>0</v>
      </c>
      <c r="P358" s="40">
        <f t="shared" ref="P358:P421" si="56">IF(OR(L149&lt;&gt;"",AH149&lt;&gt;""),1,0)</f>
        <v>0</v>
      </c>
      <c r="Q358" s="40">
        <f t="shared" ref="Q358:Q421" si="57">IF(OR(AL149&lt;&gt;"",BD149&lt;&gt;"",$BZ149&lt;&gt;""),1,0)</f>
        <v>0</v>
      </c>
      <c r="R358" s="40">
        <f t="shared" ref="R358:R421" si="58">IF(OR(AM149&lt;&gt;"",BE149&lt;&gt;"",$BZ149&lt;&gt;""),1,0)</f>
        <v>0</v>
      </c>
      <c r="S358" s="40">
        <f t="shared" ref="S358:S421" si="59">IF(OR(AN149&lt;&gt;"",BF149&lt;&gt;"",$BZ149&lt;&gt;""),1,0)</f>
        <v>0</v>
      </c>
      <c r="T358" s="40">
        <f t="shared" ref="T358:T421" si="60">IF(OR(AO149&lt;&gt;"",BG149&lt;&gt;"",$BZ149&lt;&gt;""),1,0)</f>
        <v>0</v>
      </c>
      <c r="U358" s="40">
        <f t="shared" ref="U358:U421" si="61">IF(OR(AP149&lt;&gt;"",BH149&lt;&gt;"",$BZ149&lt;&gt;""),1,0)</f>
        <v>0</v>
      </c>
      <c r="V358" s="40">
        <f t="shared" ref="V358:V421" si="62">IF(OR(AQ149&lt;&gt;"",BI149&lt;&gt;"",$BZ149&lt;&gt;""),1,0)</f>
        <v>0</v>
      </c>
      <c r="W358" s="40">
        <f t="shared" ref="W358:W421" si="63">IF(OR(AR149&lt;&gt;"",BJ149&lt;&gt;"",$BZ149&lt;&gt;""),1,0)</f>
        <v>0</v>
      </c>
      <c r="X358" s="40">
        <f t="shared" ref="X358:X421" si="64">IF(OR(AS149&lt;&gt;"",BK149&lt;&gt;"",$BZ149&lt;&gt;""),1,0)</f>
        <v>0</v>
      </c>
      <c r="Y358" s="40">
        <f t="shared" ref="Y358:Y421" si="65">IF(OR(AT149&lt;&gt;"",BL149&lt;&gt;"",$BZ149&lt;&gt;""),1,0)</f>
        <v>0</v>
      </c>
      <c r="Z358" s="40">
        <f t="shared" ref="Z358:Z421" si="66">IF(OR(AU149&lt;&gt;"",BM149&lt;&gt;"",$BZ149&lt;&gt;""),1,0)</f>
        <v>0</v>
      </c>
      <c r="AA358" s="40">
        <f t="shared" ref="AA358:AA421" si="67">IF(OR(AV149&lt;&gt;"",BN149&lt;&gt;"",$BZ149&lt;&gt;""),1,0)</f>
        <v>0</v>
      </c>
      <c r="AB358" s="40">
        <f t="shared" ref="AB358:AB421" si="68">IF(OR(AW149&lt;&gt;"",BO149&lt;&gt;"",$BZ149&lt;&gt;""),1,0)</f>
        <v>0</v>
      </c>
      <c r="AC358" s="40">
        <f t="shared" ref="AC358:AC421" si="69">IF(OR(AX149&lt;&gt;"",BP149&lt;&gt;"",$BZ149&lt;&gt;""),1,0)</f>
        <v>0</v>
      </c>
      <c r="AD358" s="40">
        <f t="shared" si="50"/>
        <v>0</v>
      </c>
      <c r="AE358" s="509">
        <f t="shared" si="49"/>
        <v>0</v>
      </c>
    </row>
    <row r="359" spans="6:31" x14ac:dyDescent="0.35">
      <c r="F359" s="1597">
        <f t="shared" si="51"/>
        <v>0</v>
      </c>
      <c r="G359" s="40"/>
      <c r="H359" s="40"/>
      <c r="I359" s="40"/>
      <c r="J359" s="40">
        <f t="shared" si="52"/>
        <v>0</v>
      </c>
      <c r="K359" s="40"/>
      <c r="L359" s="40">
        <f t="shared" si="53"/>
        <v>0</v>
      </c>
      <c r="M359" s="40"/>
      <c r="N359" s="40">
        <f t="shared" si="54"/>
        <v>0</v>
      </c>
      <c r="O359" s="40">
        <f t="shared" si="55"/>
        <v>0</v>
      </c>
      <c r="P359" s="40">
        <f t="shared" si="56"/>
        <v>0</v>
      </c>
      <c r="Q359" s="40">
        <f t="shared" si="57"/>
        <v>0</v>
      </c>
      <c r="R359" s="40">
        <f t="shared" si="58"/>
        <v>0</v>
      </c>
      <c r="S359" s="40">
        <f t="shared" si="59"/>
        <v>0</v>
      </c>
      <c r="T359" s="40">
        <f t="shared" si="60"/>
        <v>0</v>
      </c>
      <c r="U359" s="40">
        <f t="shared" si="61"/>
        <v>0</v>
      </c>
      <c r="V359" s="40">
        <f t="shared" si="62"/>
        <v>0</v>
      </c>
      <c r="W359" s="40">
        <f t="shared" si="63"/>
        <v>0</v>
      </c>
      <c r="X359" s="40">
        <f t="shared" si="64"/>
        <v>0</v>
      </c>
      <c r="Y359" s="40">
        <f t="shared" si="65"/>
        <v>0</v>
      </c>
      <c r="Z359" s="40">
        <f t="shared" si="66"/>
        <v>0</v>
      </c>
      <c r="AA359" s="40">
        <f t="shared" si="67"/>
        <v>0</v>
      </c>
      <c r="AB359" s="40">
        <f t="shared" si="68"/>
        <v>0</v>
      </c>
      <c r="AC359" s="40">
        <f t="shared" si="69"/>
        <v>0</v>
      </c>
      <c r="AD359" s="40">
        <f t="shared" si="50"/>
        <v>0</v>
      </c>
      <c r="AE359" s="509">
        <f t="shared" ref="AE359:AE422" si="70">IF(OR(AZ150&lt;&gt;"",BR150&lt;&gt;"",$BZ150&lt;&gt;""),1,0)</f>
        <v>0</v>
      </c>
    </row>
    <row r="360" spans="6:31" x14ac:dyDescent="0.35">
      <c r="F360" s="1597">
        <f t="shared" si="51"/>
        <v>0</v>
      </c>
      <c r="G360" s="40"/>
      <c r="H360" s="40"/>
      <c r="I360" s="40"/>
      <c r="J360" s="40">
        <f t="shared" si="52"/>
        <v>0</v>
      </c>
      <c r="K360" s="40"/>
      <c r="L360" s="40">
        <f t="shared" si="53"/>
        <v>0</v>
      </c>
      <c r="M360" s="40"/>
      <c r="N360" s="40">
        <f t="shared" si="54"/>
        <v>0</v>
      </c>
      <c r="O360" s="40">
        <f t="shared" si="55"/>
        <v>0</v>
      </c>
      <c r="P360" s="40">
        <f t="shared" si="56"/>
        <v>0</v>
      </c>
      <c r="Q360" s="40">
        <f t="shared" si="57"/>
        <v>0</v>
      </c>
      <c r="R360" s="40">
        <f t="shared" si="58"/>
        <v>0</v>
      </c>
      <c r="S360" s="40">
        <f t="shared" si="59"/>
        <v>0</v>
      </c>
      <c r="T360" s="40">
        <f t="shared" si="60"/>
        <v>0</v>
      </c>
      <c r="U360" s="40">
        <f t="shared" si="61"/>
        <v>0</v>
      </c>
      <c r="V360" s="40">
        <f t="shared" si="62"/>
        <v>0</v>
      </c>
      <c r="W360" s="40">
        <f t="shared" si="63"/>
        <v>0</v>
      </c>
      <c r="X360" s="40">
        <f t="shared" si="64"/>
        <v>0</v>
      </c>
      <c r="Y360" s="40">
        <f t="shared" si="65"/>
        <v>0</v>
      </c>
      <c r="Z360" s="40">
        <f t="shared" si="66"/>
        <v>0</v>
      </c>
      <c r="AA360" s="40">
        <f t="shared" si="67"/>
        <v>0</v>
      </c>
      <c r="AB360" s="40">
        <f t="shared" si="68"/>
        <v>0</v>
      </c>
      <c r="AC360" s="40">
        <f t="shared" si="69"/>
        <v>0</v>
      </c>
      <c r="AD360" s="40">
        <f t="shared" si="50"/>
        <v>0</v>
      </c>
      <c r="AE360" s="509">
        <f t="shared" si="70"/>
        <v>0</v>
      </c>
    </row>
    <row r="361" spans="6:31" x14ac:dyDescent="0.35">
      <c r="F361" s="1597">
        <f t="shared" si="51"/>
        <v>0</v>
      </c>
      <c r="G361" s="40"/>
      <c r="H361" s="40"/>
      <c r="I361" s="40"/>
      <c r="J361" s="40">
        <f t="shared" si="52"/>
        <v>0</v>
      </c>
      <c r="K361" s="40"/>
      <c r="L361" s="40">
        <f t="shared" si="53"/>
        <v>0</v>
      </c>
      <c r="M361" s="40"/>
      <c r="N361" s="40">
        <f t="shared" si="54"/>
        <v>0</v>
      </c>
      <c r="O361" s="40">
        <f t="shared" si="55"/>
        <v>0</v>
      </c>
      <c r="P361" s="40">
        <f t="shared" si="56"/>
        <v>0</v>
      </c>
      <c r="Q361" s="40">
        <f t="shared" si="57"/>
        <v>0</v>
      </c>
      <c r="R361" s="40">
        <f t="shared" si="58"/>
        <v>0</v>
      </c>
      <c r="S361" s="40">
        <f t="shared" si="59"/>
        <v>0</v>
      </c>
      <c r="T361" s="40">
        <f t="shared" si="60"/>
        <v>0</v>
      </c>
      <c r="U361" s="40">
        <f t="shared" si="61"/>
        <v>0</v>
      </c>
      <c r="V361" s="40">
        <f t="shared" si="62"/>
        <v>0</v>
      </c>
      <c r="W361" s="40">
        <f t="shared" si="63"/>
        <v>0</v>
      </c>
      <c r="X361" s="40">
        <f t="shared" si="64"/>
        <v>0</v>
      </c>
      <c r="Y361" s="40">
        <f t="shared" si="65"/>
        <v>0</v>
      </c>
      <c r="Z361" s="40">
        <f t="shared" si="66"/>
        <v>0</v>
      </c>
      <c r="AA361" s="40">
        <f t="shared" si="67"/>
        <v>0</v>
      </c>
      <c r="AB361" s="40">
        <f t="shared" si="68"/>
        <v>0</v>
      </c>
      <c r="AC361" s="40">
        <f t="shared" si="69"/>
        <v>0</v>
      </c>
      <c r="AD361" s="40">
        <f t="shared" si="50"/>
        <v>0</v>
      </c>
      <c r="AE361" s="509">
        <f t="shared" si="70"/>
        <v>0</v>
      </c>
    </row>
    <row r="362" spans="6:31" x14ac:dyDescent="0.35">
      <c r="F362" s="1597">
        <f t="shared" si="51"/>
        <v>0</v>
      </c>
      <c r="G362" s="40"/>
      <c r="H362" s="40"/>
      <c r="I362" s="40"/>
      <c r="J362" s="40">
        <f t="shared" si="52"/>
        <v>0</v>
      </c>
      <c r="K362" s="40"/>
      <c r="L362" s="40">
        <f t="shared" si="53"/>
        <v>0</v>
      </c>
      <c r="M362" s="40"/>
      <c r="N362" s="40">
        <f t="shared" si="54"/>
        <v>0</v>
      </c>
      <c r="O362" s="40">
        <f t="shared" si="55"/>
        <v>0</v>
      </c>
      <c r="P362" s="40">
        <f t="shared" si="56"/>
        <v>0</v>
      </c>
      <c r="Q362" s="40">
        <f t="shared" si="57"/>
        <v>0</v>
      </c>
      <c r="R362" s="40">
        <f t="shared" si="58"/>
        <v>0</v>
      </c>
      <c r="S362" s="40">
        <f t="shared" si="59"/>
        <v>0</v>
      </c>
      <c r="T362" s="40">
        <f t="shared" si="60"/>
        <v>0</v>
      </c>
      <c r="U362" s="40">
        <f t="shared" si="61"/>
        <v>0</v>
      </c>
      <c r="V362" s="40">
        <f t="shared" si="62"/>
        <v>0</v>
      </c>
      <c r="W362" s="40">
        <f t="shared" si="63"/>
        <v>0</v>
      </c>
      <c r="X362" s="40">
        <f t="shared" si="64"/>
        <v>0</v>
      </c>
      <c r="Y362" s="40">
        <f t="shared" si="65"/>
        <v>0</v>
      </c>
      <c r="Z362" s="40">
        <f t="shared" si="66"/>
        <v>0</v>
      </c>
      <c r="AA362" s="40">
        <f t="shared" si="67"/>
        <v>0</v>
      </c>
      <c r="AB362" s="40">
        <f t="shared" si="68"/>
        <v>0</v>
      </c>
      <c r="AC362" s="40">
        <f t="shared" si="69"/>
        <v>0</v>
      </c>
      <c r="AD362" s="40">
        <f t="shared" si="50"/>
        <v>0</v>
      </c>
      <c r="AE362" s="509">
        <f t="shared" si="70"/>
        <v>0</v>
      </c>
    </row>
    <row r="363" spans="6:31" x14ac:dyDescent="0.35">
      <c r="F363" s="1597">
        <f t="shared" si="51"/>
        <v>0</v>
      </c>
      <c r="G363" s="40"/>
      <c r="H363" s="40"/>
      <c r="I363" s="40"/>
      <c r="J363" s="40">
        <f t="shared" si="52"/>
        <v>0</v>
      </c>
      <c r="K363" s="40"/>
      <c r="L363" s="40">
        <f t="shared" si="53"/>
        <v>0</v>
      </c>
      <c r="M363" s="40"/>
      <c r="N363" s="40">
        <f t="shared" si="54"/>
        <v>0</v>
      </c>
      <c r="O363" s="40">
        <f t="shared" si="55"/>
        <v>0</v>
      </c>
      <c r="P363" s="40">
        <f t="shared" si="56"/>
        <v>0</v>
      </c>
      <c r="Q363" s="40">
        <f t="shared" si="57"/>
        <v>0</v>
      </c>
      <c r="R363" s="40">
        <f t="shared" si="58"/>
        <v>0</v>
      </c>
      <c r="S363" s="40">
        <f t="shared" si="59"/>
        <v>0</v>
      </c>
      <c r="T363" s="40">
        <f t="shared" si="60"/>
        <v>0</v>
      </c>
      <c r="U363" s="40">
        <f t="shared" si="61"/>
        <v>0</v>
      </c>
      <c r="V363" s="40">
        <f t="shared" si="62"/>
        <v>0</v>
      </c>
      <c r="W363" s="40">
        <f t="shared" si="63"/>
        <v>0</v>
      </c>
      <c r="X363" s="40">
        <f t="shared" si="64"/>
        <v>0</v>
      </c>
      <c r="Y363" s="40">
        <f t="shared" si="65"/>
        <v>0</v>
      </c>
      <c r="Z363" s="40">
        <f t="shared" si="66"/>
        <v>0</v>
      </c>
      <c r="AA363" s="40">
        <f t="shared" si="67"/>
        <v>0</v>
      </c>
      <c r="AB363" s="40">
        <f t="shared" si="68"/>
        <v>0</v>
      </c>
      <c r="AC363" s="40">
        <f t="shared" si="69"/>
        <v>0</v>
      </c>
      <c r="AD363" s="40">
        <f t="shared" si="50"/>
        <v>0</v>
      </c>
      <c r="AE363" s="509">
        <f t="shared" si="70"/>
        <v>0</v>
      </c>
    </row>
    <row r="364" spans="6:31" x14ac:dyDescent="0.35">
      <c r="F364" s="1597">
        <f t="shared" si="51"/>
        <v>0</v>
      </c>
      <c r="G364" s="40"/>
      <c r="H364" s="40"/>
      <c r="I364" s="40"/>
      <c r="J364" s="40">
        <f t="shared" si="52"/>
        <v>0</v>
      </c>
      <c r="K364" s="40"/>
      <c r="L364" s="40">
        <f t="shared" si="53"/>
        <v>0</v>
      </c>
      <c r="M364" s="40"/>
      <c r="N364" s="40">
        <f t="shared" si="54"/>
        <v>0</v>
      </c>
      <c r="O364" s="40">
        <f t="shared" si="55"/>
        <v>0</v>
      </c>
      <c r="P364" s="40">
        <f t="shared" si="56"/>
        <v>0</v>
      </c>
      <c r="Q364" s="40">
        <f t="shared" si="57"/>
        <v>0</v>
      </c>
      <c r="R364" s="40">
        <f t="shared" si="58"/>
        <v>0</v>
      </c>
      <c r="S364" s="40">
        <f t="shared" si="59"/>
        <v>0</v>
      </c>
      <c r="T364" s="40">
        <f t="shared" si="60"/>
        <v>0</v>
      </c>
      <c r="U364" s="40">
        <f t="shared" si="61"/>
        <v>0</v>
      </c>
      <c r="V364" s="40">
        <f t="shared" si="62"/>
        <v>0</v>
      </c>
      <c r="W364" s="40">
        <f t="shared" si="63"/>
        <v>0</v>
      </c>
      <c r="X364" s="40">
        <f t="shared" si="64"/>
        <v>0</v>
      </c>
      <c r="Y364" s="40">
        <f t="shared" si="65"/>
        <v>0</v>
      </c>
      <c r="Z364" s="40">
        <f t="shared" si="66"/>
        <v>0</v>
      </c>
      <c r="AA364" s="40">
        <f t="shared" si="67"/>
        <v>0</v>
      </c>
      <c r="AB364" s="40">
        <f t="shared" si="68"/>
        <v>0</v>
      </c>
      <c r="AC364" s="40">
        <f t="shared" si="69"/>
        <v>0</v>
      </c>
      <c r="AD364" s="40">
        <f t="shared" si="50"/>
        <v>0</v>
      </c>
      <c r="AE364" s="509">
        <f t="shared" si="70"/>
        <v>0</v>
      </c>
    </row>
    <row r="365" spans="6:31" x14ac:dyDescent="0.35">
      <c r="F365" s="1597">
        <f t="shared" si="51"/>
        <v>0</v>
      </c>
      <c r="G365" s="40"/>
      <c r="H365" s="40"/>
      <c r="I365" s="40"/>
      <c r="J365" s="40">
        <f t="shared" si="52"/>
        <v>0</v>
      </c>
      <c r="K365" s="40"/>
      <c r="L365" s="40">
        <f t="shared" si="53"/>
        <v>0</v>
      </c>
      <c r="M365" s="40"/>
      <c r="N365" s="40">
        <f t="shared" si="54"/>
        <v>0</v>
      </c>
      <c r="O365" s="40">
        <f t="shared" si="55"/>
        <v>0</v>
      </c>
      <c r="P365" s="40">
        <f t="shared" si="56"/>
        <v>0</v>
      </c>
      <c r="Q365" s="40">
        <f t="shared" si="57"/>
        <v>0</v>
      </c>
      <c r="R365" s="40">
        <f t="shared" si="58"/>
        <v>0</v>
      </c>
      <c r="S365" s="40">
        <f t="shared" si="59"/>
        <v>0</v>
      </c>
      <c r="T365" s="40">
        <f t="shared" si="60"/>
        <v>0</v>
      </c>
      <c r="U365" s="40">
        <f t="shared" si="61"/>
        <v>0</v>
      </c>
      <c r="V365" s="40">
        <f t="shared" si="62"/>
        <v>0</v>
      </c>
      <c r="W365" s="40">
        <f t="shared" si="63"/>
        <v>0</v>
      </c>
      <c r="X365" s="40">
        <f t="shared" si="64"/>
        <v>0</v>
      </c>
      <c r="Y365" s="40">
        <f t="shared" si="65"/>
        <v>0</v>
      </c>
      <c r="Z365" s="40">
        <f t="shared" si="66"/>
        <v>0</v>
      </c>
      <c r="AA365" s="40">
        <f t="shared" si="67"/>
        <v>0</v>
      </c>
      <c r="AB365" s="40">
        <f t="shared" si="68"/>
        <v>0</v>
      </c>
      <c r="AC365" s="40">
        <f t="shared" si="69"/>
        <v>0</v>
      </c>
      <c r="AD365" s="40">
        <f t="shared" si="50"/>
        <v>0</v>
      </c>
      <c r="AE365" s="509">
        <f t="shared" si="70"/>
        <v>0</v>
      </c>
    </row>
    <row r="366" spans="6:31" x14ac:dyDescent="0.35">
      <c r="F366" s="1597">
        <f t="shared" si="51"/>
        <v>0</v>
      </c>
      <c r="G366" s="40"/>
      <c r="H366" s="40"/>
      <c r="I366" s="40"/>
      <c r="J366" s="40">
        <f t="shared" si="52"/>
        <v>0</v>
      </c>
      <c r="K366" s="40"/>
      <c r="L366" s="40">
        <f t="shared" si="53"/>
        <v>0</v>
      </c>
      <c r="M366" s="40"/>
      <c r="N366" s="40">
        <f t="shared" si="54"/>
        <v>0</v>
      </c>
      <c r="O366" s="40">
        <f t="shared" si="55"/>
        <v>0</v>
      </c>
      <c r="P366" s="40">
        <f t="shared" si="56"/>
        <v>0</v>
      </c>
      <c r="Q366" s="40">
        <f t="shared" si="57"/>
        <v>0</v>
      </c>
      <c r="R366" s="40">
        <f t="shared" si="58"/>
        <v>0</v>
      </c>
      <c r="S366" s="40">
        <f t="shared" si="59"/>
        <v>0</v>
      </c>
      <c r="T366" s="40">
        <f t="shared" si="60"/>
        <v>0</v>
      </c>
      <c r="U366" s="40">
        <f t="shared" si="61"/>
        <v>0</v>
      </c>
      <c r="V366" s="40">
        <f t="shared" si="62"/>
        <v>0</v>
      </c>
      <c r="W366" s="40">
        <f t="shared" si="63"/>
        <v>0</v>
      </c>
      <c r="X366" s="40">
        <f t="shared" si="64"/>
        <v>0</v>
      </c>
      <c r="Y366" s="40">
        <f t="shared" si="65"/>
        <v>0</v>
      </c>
      <c r="Z366" s="40">
        <f t="shared" si="66"/>
        <v>0</v>
      </c>
      <c r="AA366" s="40">
        <f t="shared" si="67"/>
        <v>0</v>
      </c>
      <c r="AB366" s="40">
        <f t="shared" si="68"/>
        <v>0</v>
      </c>
      <c r="AC366" s="40">
        <f t="shared" si="69"/>
        <v>0</v>
      </c>
      <c r="AD366" s="40">
        <f t="shared" si="50"/>
        <v>0</v>
      </c>
      <c r="AE366" s="509">
        <f t="shared" si="70"/>
        <v>0</v>
      </c>
    </row>
    <row r="367" spans="6:31" x14ac:dyDescent="0.35">
      <c r="F367" s="1597">
        <f t="shared" si="51"/>
        <v>0</v>
      </c>
      <c r="G367" s="40"/>
      <c r="H367" s="40"/>
      <c r="I367" s="40"/>
      <c r="J367" s="40">
        <f t="shared" si="52"/>
        <v>0</v>
      </c>
      <c r="K367" s="40"/>
      <c r="L367" s="40">
        <f t="shared" si="53"/>
        <v>0</v>
      </c>
      <c r="M367" s="40"/>
      <c r="N367" s="40">
        <f t="shared" si="54"/>
        <v>0</v>
      </c>
      <c r="O367" s="40">
        <f t="shared" si="55"/>
        <v>0</v>
      </c>
      <c r="P367" s="40">
        <f t="shared" si="56"/>
        <v>0</v>
      </c>
      <c r="Q367" s="40">
        <f t="shared" si="57"/>
        <v>0</v>
      </c>
      <c r="R367" s="40">
        <f t="shared" si="58"/>
        <v>0</v>
      </c>
      <c r="S367" s="40">
        <f t="shared" si="59"/>
        <v>0</v>
      </c>
      <c r="T367" s="40">
        <f t="shared" si="60"/>
        <v>0</v>
      </c>
      <c r="U367" s="40">
        <f t="shared" si="61"/>
        <v>0</v>
      </c>
      <c r="V367" s="40">
        <f t="shared" si="62"/>
        <v>0</v>
      </c>
      <c r="W367" s="40">
        <f t="shared" si="63"/>
        <v>0</v>
      </c>
      <c r="X367" s="40">
        <f t="shared" si="64"/>
        <v>0</v>
      </c>
      <c r="Y367" s="40">
        <f t="shared" si="65"/>
        <v>0</v>
      </c>
      <c r="Z367" s="40">
        <f t="shared" si="66"/>
        <v>0</v>
      </c>
      <c r="AA367" s="40">
        <f t="shared" si="67"/>
        <v>0</v>
      </c>
      <c r="AB367" s="40">
        <f t="shared" si="68"/>
        <v>0</v>
      </c>
      <c r="AC367" s="40">
        <f t="shared" si="69"/>
        <v>0</v>
      </c>
      <c r="AD367" s="40">
        <f t="shared" si="50"/>
        <v>0</v>
      </c>
      <c r="AE367" s="509">
        <f t="shared" si="70"/>
        <v>0</v>
      </c>
    </row>
    <row r="368" spans="6:31" x14ac:dyDescent="0.35">
      <c r="F368" s="1597">
        <f t="shared" si="51"/>
        <v>0</v>
      </c>
      <c r="G368" s="40"/>
      <c r="H368" s="40"/>
      <c r="I368" s="40"/>
      <c r="J368" s="40">
        <f t="shared" si="52"/>
        <v>0</v>
      </c>
      <c r="K368" s="40"/>
      <c r="L368" s="40">
        <f t="shared" si="53"/>
        <v>0</v>
      </c>
      <c r="M368" s="40"/>
      <c r="N368" s="40">
        <f t="shared" si="54"/>
        <v>0</v>
      </c>
      <c r="O368" s="40">
        <f t="shared" si="55"/>
        <v>0</v>
      </c>
      <c r="P368" s="40">
        <f t="shared" si="56"/>
        <v>0</v>
      </c>
      <c r="Q368" s="40">
        <f t="shared" si="57"/>
        <v>0</v>
      </c>
      <c r="R368" s="40">
        <f t="shared" si="58"/>
        <v>0</v>
      </c>
      <c r="S368" s="40">
        <f t="shared" si="59"/>
        <v>0</v>
      </c>
      <c r="T368" s="40">
        <f t="shared" si="60"/>
        <v>0</v>
      </c>
      <c r="U368" s="40">
        <f t="shared" si="61"/>
        <v>0</v>
      </c>
      <c r="V368" s="40">
        <f t="shared" si="62"/>
        <v>0</v>
      </c>
      <c r="W368" s="40">
        <f t="shared" si="63"/>
        <v>0</v>
      </c>
      <c r="X368" s="40">
        <f t="shared" si="64"/>
        <v>0</v>
      </c>
      <c r="Y368" s="40">
        <f t="shared" si="65"/>
        <v>0</v>
      </c>
      <c r="Z368" s="40">
        <f t="shared" si="66"/>
        <v>0</v>
      </c>
      <c r="AA368" s="40">
        <f t="shared" si="67"/>
        <v>0</v>
      </c>
      <c r="AB368" s="40">
        <f t="shared" si="68"/>
        <v>0</v>
      </c>
      <c r="AC368" s="40">
        <f t="shared" si="69"/>
        <v>0</v>
      </c>
      <c r="AD368" s="40">
        <f t="shared" si="50"/>
        <v>0</v>
      </c>
      <c r="AE368" s="509">
        <f t="shared" si="70"/>
        <v>0</v>
      </c>
    </row>
    <row r="369" spans="6:31" x14ac:dyDescent="0.35">
      <c r="F369" s="1597">
        <f t="shared" si="51"/>
        <v>0</v>
      </c>
      <c r="G369" s="40"/>
      <c r="H369" s="40"/>
      <c r="I369" s="40"/>
      <c r="J369" s="40">
        <f t="shared" si="52"/>
        <v>0</v>
      </c>
      <c r="K369" s="40"/>
      <c r="L369" s="40">
        <f t="shared" si="53"/>
        <v>0</v>
      </c>
      <c r="M369" s="40"/>
      <c r="N369" s="40">
        <f t="shared" si="54"/>
        <v>0</v>
      </c>
      <c r="O369" s="40">
        <f t="shared" si="55"/>
        <v>0</v>
      </c>
      <c r="P369" s="40">
        <f t="shared" si="56"/>
        <v>0</v>
      </c>
      <c r="Q369" s="40">
        <f t="shared" si="57"/>
        <v>0</v>
      </c>
      <c r="R369" s="40">
        <f t="shared" si="58"/>
        <v>0</v>
      </c>
      <c r="S369" s="40">
        <f t="shared" si="59"/>
        <v>0</v>
      </c>
      <c r="T369" s="40">
        <f t="shared" si="60"/>
        <v>0</v>
      </c>
      <c r="U369" s="40">
        <f t="shared" si="61"/>
        <v>0</v>
      </c>
      <c r="V369" s="40">
        <f t="shared" si="62"/>
        <v>0</v>
      </c>
      <c r="W369" s="40">
        <f t="shared" si="63"/>
        <v>0</v>
      </c>
      <c r="X369" s="40">
        <f t="shared" si="64"/>
        <v>0</v>
      </c>
      <c r="Y369" s="40">
        <f t="shared" si="65"/>
        <v>0</v>
      </c>
      <c r="Z369" s="40">
        <f t="shared" si="66"/>
        <v>0</v>
      </c>
      <c r="AA369" s="40">
        <f t="shared" si="67"/>
        <v>0</v>
      </c>
      <c r="AB369" s="40">
        <f t="shared" si="68"/>
        <v>0</v>
      </c>
      <c r="AC369" s="40">
        <f t="shared" si="69"/>
        <v>0</v>
      </c>
      <c r="AD369" s="40">
        <f t="shared" si="50"/>
        <v>0</v>
      </c>
      <c r="AE369" s="509">
        <f t="shared" si="70"/>
        <v>0</v>
      </c>
    </row>
    <row r="370" spans="6:31" x14ac:dyDescent="0.35">
      <c r="F370" s="1597">
        <f t="shared" si="51"/>
        <v>0</v>
      </c>
      <c r="G370" s="40"/>
      <c r="H370" s="40"/>
      <c r="I370" s="40"/>
      <c r="J370" s="40">
        <f t="shared" si="52"/>
        <v>0</v>
      </c>
      <c r="K370" s="40"/>
      <c r="L370" s="40">
        <f t="shared" si="53"/>
        <v>0</v>
      </c>
      <c r="M370" s="40"/>
      <c r="N370" s="40">
        <f t="shared" si="54"/>
        <v>0</v>
      </c>
      <c r="O370" s="40">
        <f t="shared" si="55"/>
        <v>0</v>
      </c>
      <c r="P370" s="40">
        <f t="shared" si="56"/>
        <v>0</v>
      </c>
      <c r="Q370" s="40">
        <f t="shared" si="57"/>
        <v>0</v>
      </c>
      <c r="R370" s="40">
        <f t="shared" si="58"/>
        <v>0</v>
      </c>
      <c r="S370" s="40">
        <f t="shared" si="59"/>
        <v>0</v>
      </c>
      <c r="T370" s="40">
        <f t="shared" si="60"/>
        <v>0</v>
      </c>
      <c r="U370" s="40">
        <f t="shared" si="61"/>
        <v>0</v>
      </c>
      <c r="V370" s="40">
        <f t="shared" si="62"/>
        <v>0</v>
      </c>
      <c r="W370" s="40">
        <f t="shared" si="63"/>
        <v>0</v>
      </c>
      <c r="X370" s="40">
        <f t="shared" si="64"/>
        <v>0</v>
      </c>
      <c r="Y370" s="40">
        <f t="shared" si="65"/>
        <v>0</v>
      </c>
      <c r="Z370" s="40">
        <f t="shared" si="66"/>
        <v>0</v>
      </c>
      <c r="AA370" s="40">
        <f t="shared" si="67"/>
        <v>0</v>
      </c>
      <c r="AB370" s="40">
        <f t="shared" si="68"/>
        <v>0</v>
      </c>
      <c r="AC370" s="40">
        <f t="shared" si="69"/>
        <v>0</v>
      </c>
      <c r="AD370" s="40">
        <f t="shared" si="50"/>
        <v>0</v>
      </c>
      <c r="AE370" s="509">
        <f t="shared" si="70"/>
        <v>0</v>
      </c>
    </row>
    <row r="371" spans="6:31" x14ac:dyDescent="0.35">
      <c r="F371" s="1597">
        <f t="shared" si="51"/>
        <v>0</v>
      </c>
      <c r="G371" s="40"/>
      <c r="H371" s="40"/>
      <c r="I371" s="40"/>
      <c r="J371" s="40">
        <f t="shared" si="52"/>
        <v>0</v>
      </c>
      <c r="K371" s="40"/>
      <c r="L371" s="40">
        <f t="shared" si="53"/>
        <v>0</v>
      </c>
      <c r="M371" s="40"/>
      <c r="N371" s="40">
        <f t="shared" si="54"/>
        <v>0</v>
      </c>
      <c r="O371" s="40">
        <f t="shared" si="55"/>
        <v>0</v>
      </c>
      <c r="P371" s="40">
        <f t="shared" si="56"/>
        <v>0</v>
      </c>
      <c r="Q371" s="40">
        <f t="shared" si="57"/>
        <v>0</v>
      </c>
      <c r="R371" s="40">
        <f t="shared" si="58"/>
        <v>0</v>
      </c>
      <c r="S371" s="40">
        <f t="shared" si="59"/>
        <v>0</v>
      </c>
      <c r="T371" s="40">
        <f t="shared" si="60"/>
        <v>0</v>
      </c>
      <c r="U371" s="40">
        <f t="shared" si="61"/>
        <v>0</v>
      </c>
      <c r="V371" s="40">
        <f t="shared" si="62"/>
        <v>0</v>
      </c>
      <c r="W371" s="40">
        <f t="shared" si="63"/>
        <v>0</v>
      </c>
      <c r="X371" s="40">
        <f t="shared" si="64"/>
        <v>0</v>
      </c>
      <c r="Y371" s="40">
        <f t="shared" si="65"/>
        <v>0</v>
      </c>
      <c r="Z371" s="40">
        <f t="shared" si="66"/>
        <v>0</v>
      </c>
      <c r="AA371" s="40">
        <f t="shared" si="67"/>
        <v>0</v>
      </c>
      <c r="AB371" s="40">
        <f t="shared" si="68"/>
        <v>0</v>
      </c>
      <c r="AC371" s="40">
        <f t="shared" si="69"/>
        <v>0</v>
      </c>
      <c r="AD371" s="40">
        <f t="shared" si="50"/>
        <v>0</v>
      </c>
      <c r="AE371" s="509">
        <f t="shared" si="70"/>
        <v>0</v>
      </c>
    </row>
    <row r="372" spans="6:31" x14ac:dyDescent="0.35">
      <c r="F372" s="1597">
        <f t="shared" si="51"/>
        <v>0</v>
      </c>
      <c r="G372" s="40"/>
      <c r="H372" s="40"/>
      <c r="I372" s="40"/>
      <c r="J372" s="40">
        <f t="shared" si="52"/>
        <v>0</v>
      </c>
      <c r="K372" s="40"/>
      <c r="L372" s="40">
        <f t="shared" si="53"/>
        <v>0</v>
      </c>
      <c r="M372" s="40"/>
      <c r="N372" s="40">
        <f t="shared" si="54"/>
        <v>0</v>
      </c>
      <c r="O372" s="40">
        <f t="shared" si="55"/>
        <v>0</v>
      </c>
      <c r="P372" s="40">
        <f t="shared" si="56"/>
        <v>0</v>
      </c>
      <c r="Q372" s="40">
        <f t="shared" si="57"/>
        <v>0</v>
      </c>
      <c r="R372" s="40">
        <f t="shared" si="58"/>
        <v>0</v>
      </c>
      <c r="S372" s="40">
        <f t="shared" si="59"/>
        <v>0</v>
      </c>
      <c r="T372" s="40">
        <f t="shared" si="60"/>
        <v>0</v>
      </c>
      <c r="U372" s="40">
        <f t="shared" si="61"/>
        <v>0</v>
      </c>
      <c r="V372" s="40">
        <f t="shared" si="62"/>
        <v>0</v>
      </c>
      <c r="W372" s="40">
        <f t="shared" si="63"/>
        <v>0</v>
      </c>
      <c r="X372" s="40">
        <f t="shared" si="64"/>
        <v>0</v>
      </c>
      <c r="Y372" s="40">
        <f t="shared" si="65"/>
        <v>0</v>
      </c>
      <c r="Z372" s="40">
        <f t="shared" si="66"/>
        <v>0</v>
      </c>
      <c r="AA372" s="40">
        <f t="shared" si="67"/>
        <v>0</v>
      </c>
      <c r="AB372" s="40">
        <f t="shared" si="68"/>
        <v>0</v>
      </c>
      <c r="AC372" s="40">
        <f t="shared" si="69"/>
        <v>0</v>
      </c>
      <c r="AD372" s="40">
        <f t="shared" si="50"/>
        <v>0</v>
      </c>
      <c r="AE372" s="509">
        <f t="shared" si="70"/>
        <v>0</v>
      </c>
    </row>
    <row r="373" spans="6:31" x14ac:dyDescent="0.35">
      <c r="F373" s="1597">
        <f t="shared" si="51"/>
        <v>0</v>
      </c>
      <c r="G373" s="40"/>
      <c r="H373" s="40"/>
      <c r="I373" s="40"/>
      <c r="J373" s="40">
        <f t="shared" si="52"/>
        <v>0</v>
      </c>
      <c r="K373" s="40"/>
      <c r="L373" s="40">
        <f t="shared" si="53"/>
        <v>0</v>
      </c>
      <c r="M373" s="40"/>
      <c r="N373" s="40">
        <f t="shared" si="54"/>
        <v>0</v>
      </c>
      <c r="O373" s="40">
        <f t="shared" si="55"/>
        <v>0</v>
      </c>
      <c r="P373" s="40">
        <f t="shared" si="56"/>
        <v>0</v>
      </c>
      <c r="Q373" s="40">
        <f t="shared" si="57"/>
        <v>0</v>
      </c>
      <c r="R373" s="40">
        <f t="shared" si="58"/>
        <v>0</v>
      </c>
      <c r="S373" s="40">
        <f t="shared" si="59"/>
        <v>0</v>
      </c>
      <c r="T373" s="40">
        <f t="shared" si="60"/>
        <v>0</v>
      </c>
      <c r="U373" s="40">
        <f t="shared" si="61"/>
        <v>0</v>
      </c>
      <c r="V373" s="40">
        <f t="shared" si="62"/>
        <v>0</v>
      </c>
      <c r="W373" s="40">
        <f t="shared" si="63"/>
        <v>0</v>
      </c>
      <c r="X373" s="40">
        <f t="shared" si="64"/>
        <v>0</v>
      </c>
      <c r="Y373" s="40">
        <f t="shared" si="65"/>
        <v>0</v>
      </c>
      <c r="Z373" s="40">
        <f t="shared" si="66"/>
        <v>0</v>
      </c>
      <c r="AA373" s="40">
        <f t="shared" si="67"/>
        <v>0</v>
      </c>
      <c r="AB373" s="40">
        <f t="shared" si="68"/>
        <v>0</v>
      </c>
      <c r="AC373" s="40">
        <f t="shared" si="69"/>
        <v>0</v>
      </c>
      <c r="AD373" s="40">
        <f t="shared" si="50"/>
        <v>0</v>
      </c>
      <c r="AE373" s="509">
        <f t="shared" si="70"/>
        <v>0</v>
      </c>
    </row>
    <row r="374" spans="6:31" x14ac:dyDescent="0.35">
      <c r="F374" s="1597">
        <f t="shared" si="51"/>
        <v>0</v>
      </c>
      <c r="G374" s="40"/>
      <c r="H374" s="40"/>
      <c r="I374" s="40"/>
      <c r="J374" s="40">
        <f t="shared" si="52"/>
        <v>0</v>
      </c>
      <c r="K374" s="40"/>
      <c r="L374" s="40">
        <f t="shared" si="53"/>
        <v>0</v>
      </c>
      <c r="M374" s="40"/>
      <c r="N374" s="40">
        <f t="shared" si="54"/>
        <v>0</v>
      </c>
      <c r="O374" s="40">
        <f t="shared" si="55"/>
        <v>0</v>
      </c>
      <c r="P374" s="40">
        <f t="shared" si="56"/>
        <v>0</v>
      </c>
      <c r="Q374" s="40">
        <f t="shared" si="57"/>
        <v>0</v>
      </c>
      <c r="R374" s="40">
        <f t="shared" si="58"/>
        <v>0</v>
      </c>
      <c r="S374" s="40">
        <f t="shared" si="59"/>
        <v>0</v>
      </c>
      <c r="T374" s="40">
        <f t="shared" si="60"/>
        <v>0</v>
      </c>
      <c r="U374" s="40">
        <f t="shared" si="61"/>
        <v>0</v>
      </c>
      <c r="V374" s="40">
        <f t="shared" si="62"/>
        <v>0</v>
      </c>
      <c r="W374" s="40">
        <f t="shared" si="63"/>
        <v>0</v>
      </c>
      <c r="X374" s="40">
        <f t="shared" si="64"/>
        <v>0</v>
      </c>
      <c r="Y374" s="40">
        <f t="shared" si="65"/>
        <v>0</v>
      </c>
      <c r="Z374" s="40">
        <f t="shared" si="66"/>
        <v>0</v>
      </c>
      <c r="AA374" s="40">
        <f t="shared" si="67"/>
        <v>0</v>
      </c>
      <c r="AB374" s="40">
        <f t="shared" si="68"/>
        <v>0</v>
      </c>
      <c r="AC374" s="40">
        <f t="shared" si="69"/>
        <v>0</v>
      </c>
      <c r="AD374" s="40">
        <f t="shared" ref="AD374:AD429" si="71">IF(OR(AY165&lt;&gt;"",BQ165&lt;&gt;"",$BZ165&lt;&gt;""),1,0)</f>
        <v>0</v>
      </c>
      <c r="AE374" s="509">
        <f t="shared" si="70"/>
        <v>0</v>
      </c>
    </row>
    <row r="375" spans="6:31" x14ac:dyDescent="0.35">
      <c r="F375" s="1597">
        <f t="shared" si="51"/>
        <v>0</v>
      </c>
      <c r="G375" s="40"/>
      <c r="H375" s="40"/>
      <c r="I375" s="40"/>
      <c r="J375" s="40">
        <f t="shared" si="52"/>
        <v>0</v>
      </c>
      <c r="K375" s="40"/>
      <c r="L375" s="40">
        <f t="shared" si="53"/>
        <v>0</v>
      </c>
      <c r="M375" s="40"/>
      <c r="N375" s="40">
        <f t="shared" si="54"/>
        <v>0</v>
      </c>
      <c r="O375" s="40">
        <f t="shared" si="55"/>
        <v>0</v>
      </c>
      <c r="P375" s="40">
        <f t="shared" si="56"/>
        <v>0</v>
      </c>
      <c r="Q375" s="40">
        <f t="shared" si="57"/>
        <v>0</v>
      </c>
      <c r="R375" s="40">
        <f t="shared" si="58"/>
        <v>0</v>
      </c>
      <c r="S375" s="40">
        <f t="shared" si="59"/>
        <v>0</v>
      </c>
      <c r="T375" s="40">
        <f t="shared" si="60"/>
        <v>0</v>
      </c>
      <c r="U375" s="40">
        <f t="shared" si="61"/>
        <v>0</v>
      </c>
      <c r="V375" s="40">
        <f t="shared" si="62"/>
        <v>0</v>
      </c>
      <c r="W375" s="40">
        <f t="shared" si="63"/>
        <v>0</v>
      </c>
      <c r="X375" s="40">
        <f t="shared" si="64"/>
        <v>0</v>
      </c>
      <c r="Y375" s="40">
        <f t="shared" si="65"/>
        <v>0</v>
      </c>
      <c r="Z375" s="40">
        <f t="shared" si="66"/>
        <v>0</v>
      </c>
      <c r="AA375" s="40">
        <f t="shared" si="67"/>
        <v>0</v>
      </c>
      <c r="AB375" s="40">
        <f t="shared" si="68"/>
        <v>0</v>
      </c>
      <c r="AC375" s="40">
        <f t="shared" si="69"/>
        <v>0</v>
      </c>
      <c r="AD375" s="40">
        <f t="shared" si="71"/>
        <v>0</v>
      </c>
      <c r="AE375" s="509">
        <f t="shared" si="70"/>
        <v>0</v>
      </c>
    </row>
    <row r="376" spans="6:31" x14ac:dyDescent="0.35">
      <c r="F376" s="1597">
        <f t="shared" si="51"/>
        <v>0</v>
      </c>
      <c r="G376" s="40"/>
      <c r="H376" s="40"/>
      <c r="I376" s="40"/>
      <c r="J376" s="40">
        <f t="shared" si="52"/>
        <v>0</v>
      </c>
      <c r="K376" s="40"/>
      <c r="L376" s="40">
        <f t="shared" si="53"/>
        <v>0</v>
      </c>
      <c r="M376" s="40"/>
      <c r="N376" s="40">
        <f t="shared" si="54"/>
        <v>0</v>
      </c>
      <c r="O376" s="40">
        <f t="shared" si="55"/>
        <v>0</v>
      </c>
      <c r="P376" s="40">
        <f t="shared" si="56"/>
        <v>0</v>
      </c>
      <c r="Q376" s="40">
        <f t="shared" si="57"/>
        <v>0</v>
      </c>
      <c r="R376" s="40">
        <f t="shared" si="58"/>
        <v>0</v>
      </c>
      <c r="S376" s="40">
        <f t="shared" si="59"/>
        <v>0</v>
      </c>
      <c r="T376" s="40">
        <f t="shared" si="60"/>
        <v>0</v>
      </c>
      <c r="U376" s="40">
        <f t="shared" si="61"/>
        <v>0</v>
      </c>
      <c r="V376" s="40">
        <f t="shared" si="62"/>
        <v>0</v>
      </c>
      <c r="W376" s="40">
        <f t="shared" si="63"/>
        <v>0</v>
      </c>
      <c r="X376" s="40">
        <f t="shared" si="64"/>
        <v>0</v>
      </c>
      <c r="Y376" s="40">
        <f t="shared" si="65"/>
        <v>0</v>
      </c>
      <c r="Z376" s="40">
        <f t="shared" si="66"/>
        <v>0</v>
      </c>
      <c r="AA376" s="40">
        <f t="shared" si="67"/>
        <v>0</v>
      </c>
      <c r="AB376" s="40">
        <f t="shared" si="68"/>
        <v>0</v>
      </c>
      <c r="AC376" s="40">
        <f t="shared" si="69"/>
        <v>0</v>
      </c>
      <c r="AD376" s="40">
        <f t="shared" si="71"/>
        <v>0</v>
      </c>
      <c r="AE376" s="509">
        <f t="shared" si="70"/>
        <v>0</v>
      </c>
    </row>
    <row r="377" spans="6:31" x14ac:dyDescent="0.35">
      <c r="F377" s="1597">
        <f t="shared" si="51"/>
        <v>0</v>
      </c>
      <c r="G377" s="40"/>
      <c r="H377" s="40"/>
      <c r="I377" s="40"/>
      <c r="J377" s="40">
        <f t="shared" si="52"/>
        <v>0</v>
      </c>
      <c r="K377" s="40"/>
      <c r="L377" s="40">
        <f t="shared" si="53"/>
        <v>0</v>
      </c>
      <c r="M377" s="40"/>
      <c r="N377" s="40">
        <f t="shared" si="54"/>
        <v>0</v>
      </c>
      <c r="O377" s="40">
        <f t="shared" si="55"/>
        <v>0</v>
      </c>
      <c r="P377" s="40">
        <f t="shared" si="56"/>
        <v>0</v>
      </c>
      <c r="Q377" s="40">
        <f t="shared" si="57"/>
        <v>0</v>
      </c>
      <c r="R377" s="40">
        <f t="shared" si="58"/>
        <v>0</v>
      </c>
      <c r="S377" s="40">
        <f t="shared" si="59"/>
        <v>0</v>
      </c>
      <c r="T377" s="40">
        <f t="shared" si="60"/>
        <v>0</v>
      </c>
      <c r="U377" s="40">
        <f t="shared" si="61"/>
        <v>0</v>
      </c>
      <c r="V377" s="40">
        <f t="shared" si="62"/>
        <v>0</v>
      </c>
      <c r="W377" s="40">
        <f t="shared" si="63"/>
        <v>0</v>
      </c>
      <c r="X377" s="40">
        <f t="shared" si="64"/>
        <v>0</v>
      </c>
      <c r="Y377" s="40">
        <f t="shared" si="65"/>
        <v>0</v>
      </c>
      <c r="Z377" s="40">
        <f t="shared" si="66"/>
        <v>0</v>
      </c>
      <c r="AA377" s="40">
        <f t="shared" si="67"/>
        <v>0</v>
      </c>
      <c r="AB377" s="40">
        <f t="shared" si="68"/>
        <v>0</v>
      </c>
      <c r="AC377" s="40">
        <f t="shared" si="69"/>
        <v>0</v>
      </c>
      <c r="AD377" s="40">
        <f t="shared" si="71"/>
        <v>0</v>
      </c>
      <c r="AE377" s="509">
        <f t="shared" si="70"/>
        <v>0</v>
      </c>
    </row>
    <row r="378" spans="6:31" x14ac:dyDescent="0.35">
      <c r="F378" s="1597">
        <f t="shared" si="51"/>
        <v>0</v>
      </c>
      <c r="G378" s="40"/>
      <c r="H378" s="40"/>
      <c r="I378" s="40"/>
      <c r="J378" s="40">
        <f t="shared" si="52"/>
        <v>0</v>
      </c>
      <c r="K378" s="40"/>
      <c r="L378" s="40">
        <f t="shared" si="53"/>
        <v>0</v>
      </c>
      <c r="M378" s="40"/>
      <c r="N378" s="40">
        <f t="shared" si="54"/>
        <v>0</v>
      </c>
      <c r="O378" s="40">
        <f t="shared" si="55"/>
        <v>0</v>
      </c>
      <c r="P378" s="40">
        <f t="shared" si="56"/>
        <v>0</v>
      </c>
      <c r="Q378" s="40">
        <f t="shared" si="57"/>
        <v>0</v>
      </c>
      <c r="R378" s="40">
        <f t="shared" si="58"/>
        <v>0</v>
      </c>
      <c r="S378" s="40">
        <f t="shared" si="59"/>
        <v>0</v>
      </c>
      <c r="T378" s="40">
        <f t="shared" si="60"/>
        <v>0</v>
      </c>
      <c r="U378" s="40">
        <f t="shared" si="61"/>
        <v>0</v>
      </c>
      <c r="V378" s="40">
        <f t="shared" si="62"/>
        <v>0</v>
      </c>
      <c r="W378" s="40">
        <f t="shared" si="63"/>
        <v>0</v>
      </c>
      <c r="X378" s="40">
        <f t="shared" si="64"/>
        <v>0</v>
      </c>
      <c r="Y378" s="40">
        <f t="shared" si="65"/>
        <v>0</v>
      </c>
      <c r="Z378" s="40">
        <f t="shared" si="66"/>
        <v>0</v>
      </c>
      <c r="AA378" s="40">
        <f t="shared" si="67"/>
        <v>0</v>
      </c>
      <c r="AB378" s="40">
        <f t="shared" si="68"/>
        <v>0</v>
      </c>
      <c r="AC378" s="40">
        <f t="shared" si="69"/>
        <v>0</v>
      </c>
      <c r="AD378" s="40">
        <f t="shared" si="71"/>
        <v>0</v>
      </c>
      <c r="AE378" s="509">
        <f t="shared" si="70"/>
        <v>0</v>
      </c>
    </row>
    <row r="379" spans="6:31" x14ac:dyDescent="0.35">
      <c r="F379" s="1597">
        <f t="shared" si="51"/>
        <v>0</v>
      </c>
      <c r="G379" s="40"/>
      <c r="H379" s="40"/>
      <c r="I379" s="40"/>
      <c r="J379" s="40">
        <f t="shared" si="52"/>
        <v>0</v>
      </c>
      <c r="K379" s="40"/>
      <c r="L379" s="40">
        <f t="shared" si="53"/>
        <v>0</v>
      </c>
      <c r="M379" s="40"/>
      <c r="N379" s="40">
        <f t="shared" si="54"/>
        <v>0</v>
      </c>
      <c r="O379" s="40">
        <f t="shared" si="55"/>
        <v>0</v>
      </c>
      <c r="P379" s="40">
        <f t="shared" si="56"/>
        <v>0</v>
      </c>
      <c r="Q379" s="40">
        <f t="shared" si="57"/>
        <v>0</v>
      </c>
      <c r="R379" s="40">
        <f t="shared" si="58"/>
        <v>0</v>
      </c>
      <c r="S379" s="40">
        <f t="shared" si="59"/>
        <v>0</v>
      </c>
      <c r="T379" s="40">
        <f t="shared" si="60"/>
        <v>0</v>
      </c>
      <c r="U379" s="40">
        <f t="shared" si="61"/>
        <v>0</v>
      </c>
      <c r="V379" s="40">
        <f t="shared" si="62"/>
        <v>0</v>
      </c>
      <c r="W379" s="40">
        <f t="shared" si="63"/>
        <v>0</v>
      </c>
      <c r="X379" s="40">
        <f t="shared" si="64"/>
        <v>0</v>
      </c>
      <c r="Y379" s="40">
        <f t="shared" si="65"/>
        <v>0</v>
      </c>
      <c r="Z379" s="40">
        <f t="shared" si="66"/>
        <v>0</v>
      </c>
      <c r="AA379" s="40">
        <f t="shared" si="67"/>
        <v>0</v>
      </c>
      <c r="AB379" s="40">
        <f t="shared" si="68"/>
        <v>0</v>
      </c>
      <c r="AC379" s="40">
        <f t="shared" si="69"/>
        <v>0</v>
      </c>
      <c r="AD379" s="40">
        <f t="shared" si="71"/>
        <v>0</v>
      </c>
      <c r="AE379" s="509">
        <f t="shared" si="70"/>
        <v>0</v>
      </c>
    </row>
    <row r="380" spans="6:31" x14ac:dyDescent="0.35">
      <c r="F380" s="1597">
        <f t="shared" si="51"/>
        <v>0</v>
      </c>
      <c r="G380" s="40"/>
      <c r="H380" s="40"/>
      <c r="I380" s="40"/>
      <c r="J380" s="40">
        <f t="shared" si="52"/>
        <v>0</v>
      </c>
      <c r="K380" s="40"/>
      <c r="L380" s="40">
        <f t="shared" si="53"/>
        <v>0</v>
      </c>
      <c r="M380" s="40"/>
      <c r="N380" s="40">
        <f t="shared" si="54"/>
        <v>0</v>
      </c>
      <c r="O380" s="40">
        <f t="shared" si="55"/>
        <v>0</v>
      </c>
      <c r="P380" s="40">
        <f t="shared" si="56"/>
        <v>0</v>
      </c>
      <c r="Q380" s="40">
        <f t="shared" si="57"/>
        <v>0</v>
      </c>
      <c r="R380" s="40">
        <f t="shared" si="58"/>
        <v>0</v>
      </c>
      <c r="S380" s="40">
        <f t="shared" si="59"/>
        <v>0</v>
      </c>
      <c r="T380" s="40">
        <f t="shared" si="60"/>
        <v>0</v>
      </c>
      <c r="U380" s="40">
        <f t="shared" si="61"/>
        <v>0</v>
      </c>
      <c r="V380" s="40">
        <f t="shared" si="62"/>
        <v>0</v>
      </c>
      <c r="W380" s="40">
        <f t="shared" si="63"/>
        <v>0</v>
      </c>
      <c r="X380" s="40">
        <f t="shared" si="64"/>
        <v>0</v>
      </c>
      <c r="Y380" s="40">
        <f t="shared" si="65"/>
        <v>0</v>
      </c>
      <c r="Z380" s="40">
        <f t="shared" si="66"/>
        <v>0</v>
      </c>
      <c r="AA380" s="40">
        <f t="shared" si="67"/>
        <v>0</v>
      </c>
      <c r="AB380" s="40">
        <f t="shared" si="68"/>
        <v>0</v>
      </c>
      <c r="AC380" s="40">
        <f t="shared" si="69"/>
        <v>0</v>
      </c>
      <c r="AD380" s="40">
        <f t="shared" si="71"/>
        <v>0</v>
      </c>
      <c r="AE380" s="509">
        <f t="shared" si="70"/>
        <v>0</v>
      </c>
    </row>
    <row r="381" spans="6:31" x14ac:dyDescent="0.35">
      <c r="F381" s="1597">
        <f t="shared" si="51"/>
        <v>0</v>
      </c>
      <c r="G381" s="40"/>
      <c r="H381" s="40"/>
      <c r="I381" s="40"/>
      <c r="J381" s="40">
        <f t="shared" si="52"/>
        <v>0</v>
      </c>
      <c r="K381" s="40"/>
      <c r="L381" s="40">
        <f t="shared" si="53"/>
        <v>0</v>
      </c>
      <c r="M381" s="40"/>
      <c r="N381" s="40">
        <f t="shared" si="54"/>
        <v>0</v>
      </c>
      <c r="O381" s="40">
        <f t="shared" si="55"/>
        <v>0</v>
      </c>
      <c r="P381" s="40">
        <f t="shared" si="56"/>
        <v>0</v>
      </c>
      <c r="Q381" s="40">
        <f t="shared" si="57"/>
        <v>0</v>
      </c>
      <c r="R381" s="40">
        <f t="shared" si="58"/>
        <v>0</v>
      </c>
      <c r="S381" s="40">
        <f t="shared" si="59"/>
        <v>0</v>
      </c>
      <c r="T381" s="40">
        <f t="shared" si="60"/>
        <v>0</v>
      </c>
      <c r="U381" s="40">
        <f t="shared" si="61"/>
        <v>0</v>
      </c>
      <c r="V381" s="40">
        <f t="shared" si="62"/>
        <v>0</v>
      </c>
      <c r="W381" s="40">
        <f t="shared" si="63"/>
        <v>0</v>
      </c>
      <c r="X381" s="40">
        <f t="shared" si="64"/>
        <v>0</v>
      </c>
      <c r="Y381" s="40">
        <f t="shared" si="65"/>
        <v>0</v>
      </c>
      <c r="Z381" s="40">
        <f t="shared" si="66"/>
        <v>0</v>
      </c>
      <c r="AA381" s="40">
        <f t="shared" si="67"/>
        <v>0</v>
      </c>
      <c r="AB381" s="40">
        <f t="shared" si="68"/>
        <v>0</v>
      </c>
      <c r="AC381" s="40">
        <f t="shared" si="69"/>
        <v>0</v>
      </c>
      <c r="AD381" s="40">
        <f t="shared" si="71"/>
        <v>0</v>
      </c>
      <c r="AE381" s="509">
        <f t="shared" si="70"/>
        <v>0</v>
      </c>
    </row>
    <row r="382" spans="6:31" x14ac:dyDescent="0.35">
      <c r="F382" s="1597">
        <f t="shared" si="51"/>
        <v>0</v>
      </c>
      <c r="G382" s="40"/>
      <c r="H382" s="40"/>
      <c r="I382" s="40"/>
      <c r="J382" s="40">
        <f t="shared" si="52"/>
        <v>0</v>
      </c>
      <c r="K382" s="40"/>
      <c r="L382" s="40">
        <f t="shared" si="53"/>
        <v>0</v>
      </c>
      <c r="M382" s="40"/>
      <c r="N382" s="40">
        <f t="shared" si="54"/>
        <v>0</v>
      </c>
      <c r="O382" s="40">
        <f t="shared" si="55"/>
        <v>0</v>
      </c>
      <c r="P382" s="40">
        <f t="shared" si="56"/>
        <v>0</v>
      </c>
      <c r="Q382" s="40">
        <f t="shared" si="57"/>
        <v>0</v>
      </c>
      <c r="R382" s="40">
        <f t="shared" si="58"/>
        <v>0</v>
      </c>
      <c r="S382" s="40">
        <f t="shared" si="59"/>
        <v>0</v>
      </c>
      <c r="T382" s="40">
        <f t="shared" si="60"/>
        <v>0</v>
      </c>
      <c r="U382" s="40">
        <f t="shared" si="61"/>
        <v>0</v>
      </c>
      <c r="V382" s="40">
        <f t="shared" si="62"/>
        <v>0</v>
      </c>
      <c r="W382" s="40">
        <f t="shared" si="63"/>
        <v>0</v>
      </c>
      <c r="X382" s="40">
        <f t="shared" si="64"/>
        <v>0</v>
      </c>
      <c r="Y382" s="40">
        <f t="shared" si="65"/>
        <v>0</v>
      </c>
      <c r="Z382" s="40">
        <f t="shared" si="66"/>
        <v>0</v>
      </c>
      <c r="AA382" s="40">
        <f t="shared" si="67"/>
        <v>0</v>
      </c>
      <c r="AB382" s="40">
        <f t="shared" si="68"/>
        <v>0</v>
      </c>
      <c r="AC382" s="40">
        <f t="shared" si="69"/>
        <v>0</v>
      </c>
      <c r="AD382" s="40">
        <f t="shared" si="71"/>
        <v>0</v>
      </c>
      <c r="AE382" s="509">
        <f t="shared" si="70"/>
        <v>0</v>
      </c>
    </row>
    <row r="383" spans="6:31" x14ac:dyDescent="0.35">
      <c r="F383" s="1597">
        <f t="shared" si="51"/>
        <v>0</v>
      </c>
      <c r="G383" s="40"/>
      <c r="H383" s="40"/>
      <c r="I383" s="40"/>
      <c r="J383" s="40">
        <f t="shared" si="52"/>
        <v>0</v>
      </c>
      <c r="K383" s="40"/>
      <c r="L383" s="40">
        <f t="shared" si="53"/>
        <v>0</v>
      </c>
      <c r="M383" s="40"/>
      <c r="N383" s="40">
        <f t="shared" si="54"/>
        <v>0</v>
      </c>
      <c r="O383" s="40">
        <f t="shared" si="55"/>
        <v>0</v>
      </c>
      <c r="P383" s="40">
        <f t="shared" si="56"/>
        <v>0</v>
      </c>
      <c r="Q383" s="40">
        <f t="shared" si="57"/>
        <v>0</v>
      </c>
      <c r="R383" s="40">
        <f t="shared" si="58"/>
        <v>0</v>
      </c>
      <c r="S383" s="40">
        <f t="shared" si="59"/>
        <v>0</v>
      </c>
      <c r="T383" s="40">
        <f t="shared" si="60"/>
        <v>0</v>
      </c>
      <c r="U383" s="40">
        <f t="shared" si="61"/>
        <v>0</v>
      </c>
      <c r="V383" s="40">
        <f t="shared" si="62"/>
        <v>0</v>
      </c>
      <c r="W383" s="40">
        <f t="shared" si="63"/>
        <v>0</v>
      </c>
      <c r="X383" s="40">
        <f t="shared" si="64"/>
        <v>0</v>
      </c>
      <c r="Y383" s="40">
        <f t="shared" si="65"/>
        <v>0</v>
      </c>
      <c r="Z383" s="40">
        <f t="shared" si="66"/>
        <v>0</v>
      </c>
      <c r="AA383" s="40">
        <f t="shared" si="67"/>
        <v>0</v>
      </c>
      <c r="AB383" s="40">
        <f t="shared" si="68"/>
        <v>0</v>
      </c>
      <c r="AC383" s="40">
        <f t="shared" si="69"/>
        <v>0</v>
      </c>
      <c r="AD383" s="40">
        <f t="shared" si="71"/>
        <v>0</v>
      </c>
      <c r="AE383" s="509">
        <f t="shared" si="70"/>
        <v>0</v>
      </c>
    </row>
    <row r="384" spans="6:31" x14ac:dyDescent="0.35">
      <c r="F384" s="1597">
        <f t="shared" si="51"/>
        <v>0</v>
      </c>
      <c r="G384" s="40"/>
      <c r="H384" s="40"/>
      <c r="I384" s="40"/>
      <c r="J384" s="40">
        <f t="shared" si="52"/>
        <v>0</v>
      </c>
      <c r="K384" s="40"/>
      <c r="L384" s="40">
        <f t="shared" si="53"/>
        <v>0</v>
      </c>
      <c r="M384" s="40"/>
      <c r="N384" s="40">
        <f t="shared" si="54"/>
        <v>0</v>
      </c>
      <c r="O384" s="40">
        <f t="shared" si="55"/>
        <v>0</v>
      </c>
      <c r="P384" s="40">
        <f t="shared" si="56"/>
        <v>0</v>
      </c>
      <c r="Q384" s="40">
        <f t="shared" si="57"/>
        <v>0</v>
      </c>
      <c r="R384" s="40">
        <f t="shared" si="58"/>
        <v>0</v>
      </c>
      <c r="S384" s="40">
        <f t="shared" si="59"/>
        <v>0</v>
      </c>
      <c r="T384" s="40">
        <f t="shared" si="60"/>
        <v>0</v>
      </c>
      <c r="U384" s="40">
        <f t="shared" si="61"/>
        <v>0</v>
      </c>
      <c r="V384" s="40">
        <f t="shared" si="62"/>
        <v>0</v>
      </c>
      <c r="W384" s="40">
        <f t="shared" si="63"/>
        <v>0</v>
      </c>
      <c r="X384" s="40">
        <f t="shared" si="64"/>
        <v>0</v>
      </c>
      <c r="Y384" s="40">
        <f t="shared" si="65"/>
        <v>0</v>
      </c>
      <c r="Z384" s="40">
        <f t="shared" si="66"/>
        <v>0</v>
      </c>
      <c r="AA384" s="40">
        <f t="shared" si="67"/>
        <v>0</v>
      </c>
      <c r="AB384" s="40">
        <f t="shared" si="68"/>
        <v>0</v>
      </c>
      <c r="AC384" s="40">
        <f t="shared" si="69"/>
        <v>0</v>
      </c>
      <c r="AD384" s="40">
        <f t="shared" si="71"/>
        <v>0</v>
      </c>
      <c r="AE384" s="509">
        <f t="shared" si="70"/>
        <v>0</v>
      </c>
    </row>
    <row r="385" spans="6:31" x14ac:dyDescent="0.35">
      <c r="F385" s="1597">
        <f t="shared" si="51"/>
        <v>0</v>
      </c>
      <c r="G385" s="40"/>
      <c r="H385" s="40"/>
      <c r="I385" s="40"/>
      <c r="J385" s="40">
        <f t="shared" si="52"/>
        <v>0</v>
      </c>
      <c r="K385" s="40"/>
      <c r="L385" s="40">
        <f t="shared" si="53"/>
        <v>0</v>
      </c>
      <c r="M385" s="40"/>
      <c r="N385" s="40">
        <f t="shared" si="54"/>
        <v>0</v>
      </c>
      <c r="O385" s="40">
        <f t="shared" si="55"/>
        <v>0</v>
      </c>
      <c r="P385" s="40">
        <f t="shared" si="56"/>
        <v>0</v>
      </c>
      <c r="Q385" s="40">
        <f t="shared" si="57"/>
        <v>0</v>
      </c>
      <c r="R385" s="40">
        <f t="shared" si="58"/>
        <v>0</v>
      </c>
      <c r="S385" s="40">
        <f t="shared" si="59"/>
        <v>0</v>
      </c>
      <c r="T385" s="40">
        <f t="shared" si="60"/>
        <v>0</v>
      </c>
      <c r="U385" s="40">
        <f t="shared" si="61"/>
        <v>0</v>
      </c>
      <c r="V385" s="40">
        <f t="shared" si="62"/>
        <v>0</v>
      </c>
      <c r="W385" s="40">
        <f t="shared" si="63"/>
        <v>0</v>
      </c>
      <c r="X385" s="40">
        <f t="shared" si="64"/>
        <v>0</v>
      </c>
      <c r="Y385" s="40">
        <f t="shared" si="65"/>
        <v>0</v>
      </c>
      <c r="Z385" s="40">
        <f t="shared" si="66"/>
        <v>0</v>
      </c>
      <c r="AA385" s="40">
        <f t="shared" si="67"/>
        <v>0</v>
      </c>
      <c r="AB385" s="40">
        <f t="shared" si="68"/>
        <v>0</v>
      </c>
      <c r="AC385" s="40">
        <f t="shared" si="69"/>
        <v>0</v>
      </c>
      <c r="AD385" s="40">
        <f t="shared" si="71"/>
        <v>0</v>
      </c>
      <c r="AE385" s="509">
        <f t="shared" si="70"/>
        <v>0</v>
      </c>
    </row>
    <row r="386" spans="6:31" x14ac:dyDescent="0.35">
      <c r="F386" s="1597">
        <f t="shared" si="51"/>
        <v>0</v>
      </c>
      <c r="G386" s="40"/>
      <c r="H386" s="40"/>
      <c r="I386" s="40"/>
      <c r="J386" s="40">
        <f t="shared" si="52"/>
        <v>0</v>
      </c>
      <c r="K386" s="40"/>
      <c r="L386" s="40">
        <f t="shared" si="53"/>
        <v>0</v>
      </c>
      <c r="M386" s="40"/>
      <c r="N386" s="40">
        <f t="shared" si="54"/>
        <v>0</v>
      </c>
      <c r="O386" s="40">
        <f t="shared" si="55"/>
        <v>0</v>
      </c>
      <c r="P386" s="40">
        <f t="shared" si="56"/>
        <v>0</v>
      </c>
      <c r="Q386" s="40">
        <f t="shared" si="57"/>
        <v>0</v>
      </c>
      <c r="R386" s="40">
        <f t="shared" si="58"/>
        <v>0</v>
      </c>
      <c r="S386" s="40">
        <f t="shared" si="59"/>
        <v>0</v>
      </c>
      <c r="T386" s="40">
        <f t="shared" si="60"/>
        <v>0</v>
      </c>
      <c r="U386" s="40">
        <f t="shared" si="61"/>
        <v>0</v>
      </c>
      <c r="V386" s="40">
        <f t="shared" si="62"/>
        <v>0</v>
      </c>
      <c r="W386" s="40">
        <f t="shared" si="63"/>
        <v>0</v>
      </c>
      <c r="X386" s="40">
        <f t="shared" si="64"/>
        <v>0</v>
      </c>
      <c r="Y386" s="40">
        <f t="shared" si="65"/>
        <v>0</v>
      </c>
      <c r="Z386" s="40">
        <f t="shared" si="66"/>
        <v>0</v>
      </c>
      <c r="AA386" s="40">
        <f t="shared" si="67"/>
        <v>0</v>
      </c>
      <c r="AB386" s="40">
        <f t="shared" si="68"/>
        <v>0</v>
      </c>
      <c r="AC386" s="40">
        <f t="shared" si="69"/>
        <v>0</v>
      </c>
      <c r="AD386" s="40">
        <f t="shared" si="71"/>
        <v>0</v>
      </c>
      <c r="AE386" s="509">
        <f t="shared" si="70"/>
        <v>0</v>
      </c>
    </row>
    <row r="387" spans="6:31" x14ac:dyDescent="0.35">
      <c r="F387" s="1597">
        <f t="shared" si="51"/>
        <v>0</v>
      </c>
      <c r="G387" s="40"/>
      <c r="H387" s="40"/>
      <c r="I387" s="40"/>
      <c r="J387" s="40">
        <f t="shared" si="52"/>
        <v>0</v>
      </c>
      <c r="K387" s="40"/>
      <c r="L387" s="40">
        <f t="shared" si="53"/>
        <v>0</v>
      </c>
      <c r="M387" s="40"/>
      <c r="N387" s="40">
        <f t="shared" si="54"/>
        <v>0</v>
      </c>
      <c r="O387" s="40">
        <f t="shared" si="55"/>
        <v>0</v>
      </c>
      <c r="P387" s="40">
        <f t="shared" si="56"/>
        <v>0</v>
      </c>
      <c r="Q387" s="40">
        <f t="shared" si="57"/>
        <v>0</v>
      </c>
      <c r="R387" s="40">
        <f t="shared" si="58"/>
        <v>0</v>
      </c>
      <c r="S387" s="40">
        <f t="shared" si="59"/>
        <v>0</v>
      </c>
      <c r="T387" s="40">
        <f t="shared" si="60"/>
        <v>0</v>
      </c>
      <c r="U387" s="40">
        <f t="shared" si="61"/>
        <v>0</v>
      </c>
      <c r="V387" s="40">
        <f t="shared" si="62"/>
        <v>0</v>
      </c>
      <c r="W387" s="40">
        <f t="shared" si="63"/>
        <v>0</v>
      </c>
      <c r="X387" s="40">
        <f t="shared" si="64"/>
        <v>0</v>
      </c>
      <c r="Y387" s="40">
        <f t="shared" si="65"/>
        <v>0</v>
      </c>
      <c r="Z387" s="40">
        <f t="shared" si="66"/>
        <v>0</v>
      </c>
      <c r="AA387" s="40">
        <f t="shared" si="67"/>
        <v>0</v>
      </c>
      <c r="AB387" s="40">
        <f t="shared" si="68"/>
        <v>0</v>
      </c>
      <c r="AC387" s="40">
        <f t="shared" si="69"/>
        <v>0</v>
      </c>
      <c r="AD387" s="40">
        <f t="shared" si="71"/>
        <v>0</v>
      </c>
      <c r="AE387" s="509">
        <f t="shared" si="70"/>
        <v>0</v>
      </c>
    </row>
    <row r="388" spans="6:31" x14ac:dyDescent="0.35">
      <c r="F388" s="1597">
        <f t="shared" si="51"/>
        <v>0</v>
      </c>
      <c r="G388" s="40"/>
      <c r="H388" s="40"/>
      <c r="I388" s="40"/>
      <c r="J388" s="40">
        <f t="shared" si="52"/>
        <v>0</v>
      </c>
      <c r="K388" s="40"/>
      <c r="L388" s="40">
        <f t="shared" si="53"/>
        <v>0</v>
      </c>
      <c r="M388" s="40"/>
      <c r="N388" s="40">
        <f t="shared" si="54"/>
        <v>0</v>
      </c>
      <c r="O388" s="40">
        <f t="shared" si="55"/>
        <v>0</v>
      </c>
      <c r="P388" s="40">
        <f t="shared" si="56"/>
        <v>0</v>
      </c>
      <c r="Q388" s="40">
        <f t="shared" si="57"/>
        <v>0</v>
      </c>
      <c r="R388" s="40">
        <f t="shared" si="58"/>
        <v>0</v>
      </c>
      <c r="S388" s="40">
        <f t="shared" si="59"/>
        <v>0</v>
      </c>
      <c r="T388" s="40">
        <f t="shared" si="60"/>
        <v>0</v>
      </c>
      <c r="U388" s="40">
        <f t="shared" si="61"/>
        <v>0</v>
      </c>
      <c r="V388" s="40">
        <f t="shared" si="62"/>
        <v>0</v>
      </c>
      <c r="W388" s="40">
        <f t="shared" si="63"/>
        <v>0</v>
      </c>
      <c r="X388" s="40">
        <f t="shared" si="64"/>
        <v>0</v>
      </c>
      <c r="Y388" s="40">
        <f t="shared" si="65"/>
        <v>0</v>
      </c>
      <c r="Z388" s="40">
        <f t="shared" si="66"/>
        <v>0</v>
      </c>
      <c r="AA388" s="40">
        <f t="shared" si="67"/>
        <v>0</v>
      </c>
      <c r="AB388" s="40">
        <f t="shared" si="68"/>
        <v>0</v>
      </c>
      <c r="AC388" s="40">
        <f t="shared" si="69"/>
        <v>0</v>
      </c>
      <c r="AD388" s="40">
        <f t="shared" si="71"/>
        <v>0</v>
      </c>
      <c r="AE388" s="509">
        <f t="shared" si="70"/>
        <v>0</v>
      </c>
    </row>
    <row r="389" spans="6:31" x14ac:dyDescent="0.35">
      <c r="F389" s="1597">
        <f t="shared" si="51"/>
        <v>0</v>
      </c>
      <c r="G389" s="40"/>
      <c r="H389" s="40"/>
      <c r="I389" s="40"/>
      <c r="J389" s="40">
        <f t="shared" si="52"/>
        <v>0</v>
      </c>
      <c r="K389" s="40"/>
      <c r="L389" s="40">
        <f t="shared" si="53"/>
        <v>0</v>
      </c>
      <c r="M389" s="40"/>
      <c r="N389" s="40">
        <f t="shared" si="54"/>
        <v>0</v>
      </c>
      <c r="O389" s="40">
        <f t="shared" si="55"/>
        <v>0</v>
      </c>
      <c r="P389" s="40">
        <f t="shared" si="56"/>
        <v>0</v>
      </c>
      <c r="Q389" s="40">
        <f t="shared" si="57"/>
        <v>0</v>
      </c>
      <c r="R389" s="40">
        <f t="shared" si="58"/>
        <v>0</v>
      </c>
      <c r="S389" s="40">
        <f t="shared" si="59"/>
        <v>0</v>
      </c>
      <c r="T389" s="40">
        <f t="shared" si="60"/>
        <v>0</v>
      </c>
      <c r="U389" s="40">
        <f t="shared" si="61"/>
        <v>0</v>
      </c>
      <c r="V389" s="40">
        <f t="shared" si="62"/>
        <v>0</v>
      </c>
      <c r="W389" s="40">
        <f t="shared" si="63"/>
        <v>0</v>
      </c>
      <c r="X389" s="40">
        <f t="shared" si="64"/>
        <v>0</v>
      </c>
      <c r="Y389" s="40">
        <f t="shared" si="65"/>
        <v>0</v>
      </c>
      <c r="Z389" s="40">
        <f t="shared" si="66"/>
        <v>0</v>
      </c>
      <c r="AA389" s="40">
        <f t="shared" si="67"/>
        <v>0</v>
      </c>
      <c r="AB389" s="40">
        <f t="shared" si="68"/>
        <v>0</v>
      </c>
      <c r="AC389" s="40">
        <f t="shared" si="69"/>
        <v>0</v>
      </c>
      <c r="AD389" s="40">
        <f t="shared" si="71"/>
        <v>0</v>
      </c>
      <c r="AE389" s="509">
        <f t="shared" si="70"/>
        <v>0</v>
      </c>
    </row>
    <row r="390" spans="6:31" x14ac:dyDescent="0.35">
      <c r="F390" s="1597">
        <f t="shared" si="51"/>
        <v>0</v>
      </c>
      <c r="G390" s="40"/>
      <c r="H390" s="40"/>
      <c r="I390" s="40"/>
      <c r="J390" s="40">
        <f t="shared" si="52"/>
        <v>0</v>
      </c>
      <c r="K390" s="40"/>
      <c r="L390" s="40">
        <f t="shared" si="53"/>
        <v>0</v>
      </c>
      <c r="M390" s="40"/>
      <c r="N390" s="40">
        <f t="shared" si="54"/>
        <v>0</v>
      </c>
      <c r="O390" s="40">
        <f t="shared" si="55"/>
        <v>0</v>
      </c>
      <c r="P390" s="40">
        <f t="shared" si="56"/>
        <v>0</v>
      </c>
      <c r="Q390" s="40">
        <f t="shared" si="57"/>
        <v>0</v>
      </c>
      <c r="R390" s="40">
        <f t="shared" si="58"/>
        <v>0</v>
      </c>
      <c r="S390" s="40">
        <f t="shared" si="59"/>
        <v>0</v>
      </c>
      <c r="T390" s="40">
        <f t="shared" si="60"/>
        <v>0</v>
      </c>
      <c r="U390" s="40">
        <f t="shared" si="61"/>
        <v>0</v>
      </c>
      <c r="V390" s="40">
        <f t="shared" si="62"/>
        <v>0</v>
      </c>
      <c r="W390" s="40">
        <f t="shared" si="63"/>
        <v>0</v>
      </c>
      <c r="X390" s="40">
        <f t="shared" si="64"/>
        <v>0</v>
      </c>
      <c r="Y390" s="40">
        <f t="shared" si="65"/>
        <v>0</v>
      </c>
      <c r="Z390" s="40">
        <f t="shared" si="66"/>
        <v>0</v>
      </c>
      <c r="AA390" s="40">
        <f t="shared" si="67"/>
        <v>0</v>
      </c>
      <c r="AB390" s="40">
        <f t="shared" si="68"/>
        <v>0</v>
      </c>
      <c r="AC390" s="40">
        <f t="shared" si="69"/>
        <v>0</v>
      </c>
      <c r="AD390" s="40">
        <f t="shared" si="71"/>
        <v>0</v>
      </c>
      <c r="AE390" s="509">
        <f t="shared" si="70"/>
        <v>0</v>
      </c>
    </row>
    <row r="391" spans="6:31" x14ac:dyDescent="0.35">
      <c r="F391" s="1597">
        <f t="shared" si="51"/>
        <v>0</v>
      </c>
      <c r="G391" s="40"/>
      <c r="H391" s="40"/>
      <c r="I391" s="40"/>
      <c r="J391" s="40">
        <f t="shared" si="52"/>
        <v>0</v>
      </c>
      <c r="K391" s="40"/>
      <c r="L391" s="40">
        <f t="shared" si="53"/>
        <v>0</v>
      </c>
      <c r="M391" s="40"/>
      <c r="N391" s="40">
        <f t="shared" si="54"/>
        <v>0</v>
      </c>
      <c r="O391" s="40">
        <f t="shared" si="55"/>
        <v>0</v>
      </c>
      <c r="P391" s="40">
        <f t="shared" si="56"/>
        <v>0</v>
      </c>
      <c r="Q391" s="40">
        <f t="shared" si="57"/>
        <v>0</v>
      </c>
      <c r="R391" s="40">
        <f t="shared" si="58"/>
        <v>0</v>
      </c>
      <c r="S391" s="40">
        <f t="shared" si="59"/>
        <v>0</v>
      </c>
      <c r="T391" s="40">
        <f t="shared" si="60"/>
        <v>0</v>
      </c>
      <c r="U391" s="40">
        <f t="shared" si="61"/>
        <v>0</v>
      </c>
      <c r="V391" s="40">
        <f t="shared" si="62"/>
        <v>0</v>
      </c>
      <c r="W391" s="40">
        <f t="shared" si="63"/>
        <v>0</v>
      </c>
      <c r="X391" s="40">
        <f t="shared" si="64"/>
        <v>0</v>
      </c>
      <c r="Y391" s="40">
        <f t="shared" si="65"/>
        <v>0</v>
      </c>
      <c r="Z391" s="40">
        <f t="shared" si="66"/>
        <v>0</v>
      </c>
      <c r="AA391" s="40">
        <f t="shared" si="67"/>
        <v>0</v>
      </c>
      <c r="AB391" s="40">
        <f t="shared" si="68"/>
        <v>0</v>
      </c>
      <c r="AC391" s="40">
        <f t="shared" si="69"/>
        <v>0</v>
      </c>
      <c r="AD391" s="40">
        <f t="shared" si="71"/>
        <v>0</v>
      </c>
      <c r="AE391" s="509">
        <f t="shared" si="70"/>
        <v>0</v>
      </c>
    </row>
    <row r="392" spans="6:31" x14ac:dyDescent="0.35">
      <c r="F392" s="1597">
        <f t="shared" si="51"/>
        <v>0</v>
      </c>
      <c r="G392" s="40"/>
      <c r="H392" s="40"/>
      <c r="I392" s="40"/>
      <c r="J392" s="40">
        <f t="shared" si="52"/>
        <v>0</v>
      </c>
      <c r="K392" s="40"/>
      <c r="L392" s="40">
        <f t="shared" si="53"/>
        <v>0</v>
      </c>
      <c r="M392" s="40"/>
      <c r="N392" s="40">
        <f t="shared" si="54"/>
        <v>0</v>
      </c>
      <c r="O392" s="40">
        <f t="shared" si="55"/>
        <v>0</v>
      </c>
      <c r="P392" s="40">
        <f t="shared" si="56"/>
        <v>0</v>
      </c>
      <c r="Q392" s="40">
        <f t="shared" si="57"/>
        <v>0</v>
      </c>
      <c r="R392" s="40">
        <f t="shared" si="58"/>
        <v>0</v>
      </c>
      <c r="S392" s="40">
        <f t="shared" si="59"/>
        <v>0</v>
      </c>
      <c r="T392" s="40">
        <f t="shared" si="60"/>
        <v>0</v>
      </c>
      <c r="U392" s="40">
        <f t="shared" si="61"/>
        <v>0</v>
      </c>
      <c r="V392" s="40">
        <f t="shared" si="62"/>
        <v>0</v>
      </c>
      <c r="W392" s="40">
        <f t="shared" si="63"/>
        <v>0</v>
      </c>
      <c r="X392" s="40">
        <f t="shared" si="64"/>
        <v>0</v>
      </c>
      <c r="Y392" s="40">
        <f t="shared" si="65"/>
        <v>0</v>
      </c>
      <c r="Z392" s="40">
        <f t="shared" si="66"/>
        <v>0</v>
      </c>
      <c r="AA392" s="40">
        <f t="shared" si="67"/>
        <v>0</v>
      </c>
      <c r="AB392" s="40">
        <f t="shared" si="68"/>
        <v>0</v>
      </c>
      <c r="AC392" s="40">
        <f t="shared" si="69"/>
        <v>0</v>
      </c>
      <c r="AD392" s="40">
        <f t="shared" si="71"/>
        <v>0</v>
      </c>
      <c r="AE392" s="509">
        <f t="shared" si="70"/>
        <v>0</v>
      </c>
    </row>
    <row r="393" spans="6:31" x14ac:dyDescent="0.35">
      <c r="F393" s="1597">
        <f t="shared" si="51"/>
        <v>0</v>
      </c>
      <c r="G393" s="40"/>
      <c r="H393" s="40"/>
      <c r="I393" s="40"/>
      <c r="J393" s="40">
        <f t="shared" si="52"/>
        <v>0</v>
      </c>
      <c r="K393" s="40"/>
      <c r="L393" s="40">
        <f t="shared" si="53"/>
        <v>0</v>
      </c>
      <c r="M393" s="40"/>
      <c r="N393" s="40">
        <f t="shared" si="54"/>
        <v>0</v>
      </c>
      <c r="O393" s="40">
        <f t="shared" si="55"/>
        <v>0</v>
      </c>
      <c r="P393" s="40">
        <f t="shared" si="56"/>
        <v>0</v>
      </c>
      <c r="Q393" s="40">
        <f t="shared" si="57"/>
        <v>0</v>
      </c>
      <c r="R393" s="40">
        <f t="shared" si="58"/>
        <v>0</v>
      </c>
      <c r="S393" s="40">
        <f t="shared" si="59"/>
        <v>0</v>
      </c>
      <c r="T393" s="40">
        <f t="shared" si="60"/>
        <v>0</v>
      </c>
      <c r="U393" s="40">
        <f t="shared" si="61"/>
        <v>0</v>
      </c>
      <c r="V393" s="40">
        <f t="shared" si="62"/>
        <v>0</v>
      </c>
      <c r="W393" s="40">
        <f t="shared" si="63"/>
        <v>0</v>
      </c>
      <c r="X393" s="40">
        <f t="shared" si="64"/>
        <v>0</v>
      </c>
      <c r="Y393" s="40">
        <f t="shared" si="65"/>
        <v>0</v>
      </c>
      <c r="Z393" s="40">
        <f t="shared" si="66"/>
        <v>0</v>
      </c>
      <c r="AA393" s="40">
        <f t="shared" si="67"/>
        <v>0</v>
      </c>
      <c r="AB393" s="40">
        <f t="shared" si="68"/>
        <v>0</v>
      </c>
      <c r="AC393" s="40">
        <f t="shared" si="69"/>
        <v>0</v>
      </c>
      <c r="AD393" s="40">
        <f t="shared" si="71"/>
        <v>0</v>
      </c>
      <c r="AE393" s="509">
        <f t="shared" si="70"/>
        <v>0</v>
      </c>
    </row>
    <row r="394" spans="6:31" x14ac:dyDescent="0.35">
      <c r="F394" s="1597">
        <f t="shared" si="51"/>
        <v>0</v>
      </c>
      <c r="G394" s="40"/>
      <c r="H394" s="40"/>
      <c r="I394" s="40"/>
      <c r="J394" s="40">
        <f t="shared" si="52"/>
        <v>0</v>
      </c>
      <c r="K394" s="40"/>
      <c r="L394" s="40">
        <f t="shared" si="53"/>
        <v>0</v>
      </c>
      <c r="M394" s="40"/>
      <c r="N394" s="40">
        <f t="shared" si="54"/>
        <v>0</v>
      </c>
      <c r="O394" s="40">
        <f t="shared" si="55"/>
        <v>0</v>
      </c>
      <c r="P394" s="40">
        <f t="shared" si="56"/>
        <v>0</v>
      </c>
      <c r="Q394" s="40">
        <f t="shared" si="57"/>
        <v>0</v>
      </c>
      <c r="R394" s="40">
        <f t="shared" si="58"/>
        <v>0</v>
      </c>
      <c r="S394" s="40">
        <f t="shared" si="59"/>
        <v>0</v>
      </c>
      <c r="T394" s="40">
        <f t="shared" si="60"/>
        <v>0</v>
      </c>
      <c r="U394" s="40">
        <f t="shared" si="61"/>
        <v>0</v>
      </c>
      <c r="V394" s="40">
        <f t="shared" si="62"/>
        <v>0</v>
      </c>
      <c r="W394" s="40">
        <f t="shared" si="63"/>
        <v>0</v>
      </c>
      <c r="X394" s="40">
        <f t="shared" si="64"/>
        <v>0</v>
      </c>
      <c r="Y394" s="40">
        <f t="shared" si="65"/>
        <v>0</v>
      </c>
      <c r="Z394" s="40">
        <f t="shared" si="66"/>
        <v>0</v>
      </c>
      <c r="AA394" s="40">
        <f t="shared" si="67"/>
        <v>0</v>
      </c>
      <c r="AB394" s="40">
        <f t="shared" si="68"/>
        <v>0</v>
      </c>
      <c r="AC394" s="40">
        <f t="shared" si="69"/>
        <v>0</v>
      </c>
      <c r="AD394" s="40">
        <f t="shared" si="71"/>
        <v>0</v>
      </c>
      <c r="AE394" s="509">
        <f t="shared" si="70"/>
        <v>0</v>
      </c>
    </row>
    <row r="395" spans="6:31" x14ac:dyDescent="0.35">
      <c r="F395" s="1597">
        <f t="shared" si="51"/>
        <v>0</v>
      </c>
      <c r="G395" s="40"/>
      <c r="H395" s="40"/>
      <c r="I395" s="40"/>
      <c r="J395" s="40">
        <f t="shared" si="52"/>
        <v>0</v>
      </c>
      <c r="K395" s="40"/>
      <c r="L395" s="40">
        <f t="shared" si="53"/>
        <v>0</v>
      </c>
      <c r="M395" s="40"/>
      <c r="N395" s="40">
        <f t="shared" si="54"/>
        <v>0</v>
      </c>
      <c r="O395" s="40">
        <f t="shared" si="55"/>
        <v>0</v>
      </c>
      <c r="P395" s="40">
        <f t="shared" si="56"/>
        <v>0</v>
      </c>
      <c r="Q395" s="40">
        <f t="shared" si="57"/>
        <v>0</v>
      </c>
      <c r="R395" s="40">
        <f t="shared" si="58"/>
        <v>0</v>
      </c>
      <c r="S395" s="40">
        <f t="shared" si="59"/>
        <v>0</v>
      </c>
      <c r="T395" s="40">
        <f t="shared" si="60"/>
        <v>0</v>
      </c>
      <c r="U395" s="40">
        <f t="shared" si="61"/>
        <v>0</v>
      </c>
      <c r="V395" s="40">
        <f t="shared" si="62"/>
        <v>0</v>
      </c>
      <c r="W395" s="40">
        <f t="shared" si="63"/>
        <v>0</v>
      </c>
      <c r="X395" s="40">
        <f t="shared" si="64"/>
        <v>0</v>
      </c>
      <c r="Y395" s="40">
        <f t="shared" si="65"/>
        <v>0</v>
      </c>
      <c r="Z395" s="40">
        <f t="shared" si="66"/>
        <v>0</v>
      </c>
      <c r="AA395" s="40">
        <f t="shared" si="67"/>
        <v>0</v>
      </c>
      <c r="AB395" s="40">
        <f t="shared" si="68"/>
        <v>0</v>
      </c>
      <c r="AC395" s="40">
        <f t="shared" si="69"/>
        <v>0</v>
      </c>
      <c r="AD395" s="40">
        <f t="shared" si="71"/>
        <v>0</v>
      </c>
      <c r="AE395" s="509">
        <f t="shared" si="70"/>
        <v>0</v>
      </c>
    </row>
    <row r="396" spans="6:31" x14ac:dyDescent="0.35">
      <c r="F396" s="1597">
        <f t="shared" si="51"/>
        <v>0</v>
      </c>
      <c r="G396" s="40"/>
      <c r="H396" s="40"/>
      <c r="I396" s="40"/>
      <c r="J396" s="40">
        <f t="shared" si="52"/>
        <v>0</v>
      </c>
      <c r="K396" s="40"/>
      <c r="L396" s="40">
        <f t="shared" si="53"/>
        <v>0</v>
      </c>
      <c r="M396" s="40"/>
      <c r="N396" s="40">
        <f t="shared" si="54"/>
        <v>0</v>
      </c>
      <c r="O396" s="40">
        <f t="shared" si="55"/>
        <v>0</v>
      </c>
      <c r="P396" s="40">
        <f t="shared" si="56"/>
        <v>0</v>
      </c>
      <c r="Q396" s="40">
        <f t="shared" si="57"/>
        <v>0</v>
      </c>
      <c r="R396" s="40">
        <f t="shared" si="58"/>
        <v>0</v>
      </c>
      <c r="S396" s="40">
        <f t="shared" si="59"/>
        <v>0</v>
      </c>
      <c r="T396" s="40">
        <f t="shared" si="60"/>
        <v>0</v>
      </c>
      <c r="U396" s="40">
        <f t="shared" si="61"/>
        <v>0</v>
      </c>
      <c r="V396" s="40">
        <f t="shared" si="62"/>
        <v>0</v>
      </c>
      <c r="W396" s="40">
        <f t="shared" si="63"/>
        <v>0</v>
      </c>
      <c r="X396" s="40">
        <f t="shared" si="64"/>
        <v>0</v>
      </c>
      <c r="Y396" s="40">
        <f t="shared" si="65"/>
        <v>0</v>
      </c>
      <c r="Z396" s="40">
        <f t="shared" si="66"/>
        <v>0</v>
      </c>
      <c r="AA396" s="40">
        <f t="shared" si="67"/>
        <v>0</v>
      </c>
      <c r="AB396" s="40">
        <f t="shared" si="68"/>
        <v>0</v>
      </c>
      <c r="AC396" s="40">
        <f t="shared" si="69"/>
        <v>0</v>
      </c>
      <c r="AD396" s="40">
        <f t="shared" si="71"/>
        <v>0</v>
      </c>
      <c r="AE396" s="509">
        <f t="shared" si="70"/>
        <v>0</v>
      </c>
    </row>
    <row r="397" spans="6:31" x14ac:dyDescent="0.35">
      <c r="F397" s="1597">
        <f t="shared" si="51"/>
        <v>0</v>
      </c>
      <c r="G397" s="40"/>
      <c r="H397" s="40"/>
      <c r="I397" s="40"/>
      <c r="J397" s="40">
        <f t="shared" si="52"/>
        <v>0</v>
      </c>
      <c r="K397" s="40"/>
      <c r="L397" s="40">
        <f t="shared" si="53"/>
        <v>0</v>
      </c>
      <c r="M397" s="40"/>
      <c r="N397" s="40">
        <f t="shared" si="54"/>
        <v>0</v>
      </c>
      <c r="O397" s="40">
        <f t="shared" si="55"/>
        <v>0</v>
      </c>
      <c r="P397" s="40">
        <f t="shared" si="56"/>
        <v>0</v>
      </c>
      <c r="Q397" s="40">
        <f t="shared" si="57"/>
        <v>0</v>
      </c>
      <c r="R397" s="40">
        <f t="shared" si="58"/>
        <v>0</v>
      </c>
      <c r="S397" s="40">
        <f t="shared" si="59"/>
        <v>0</v>
      </c>
      <c r="T397" s="40">
        <f t="shared" si="60"/>
        <v>0</v>
      </c>
      <c r="U397" s="40">
        <f t="shared" si="61"/>
        <v>0</v>
      </c>
      <c r="V397" s="40">
        <f t="shared" si="62"/>
        <v>0</v>
      </c>
      <c r="W397" s="40">
        <f t="shared" si="63"/>
        <v>0</v>
      </c>
      <c r="X397" s="40">
        <f t="shared" si="64"/>
        <v>0</v>
      </c>
      <c r="Y397" s="40">
        <f t="shared" si="65"/>
        <v>0</v>
      </c>
      <c r="Z397" s="40">
        <f t="shared" si="66"/>
        <v>0</v>
      </c>
      <c r="AA397" s="40">
        <f t="shared" si="67"/>
        <v>0</v>
      </c>
      <c r="AB397" s="40">
        <f t="shared" si="68"/>
        <v>0</v>
      </c>
      <c r="AC397" s="40">
        <f t="shared" si="69"/>
        <v>0</v>
      </c>
      <c r="AD397" s="40">
        <f t="shared" si="71"/>
        <v>0</v>
      </c>
      <c r="AE397" s="509">
        <f t="shared" si="70"/>
        <v>0</v>
      </c>
    </row>
    <row r="398" spans="6:31" x14ac:dyDescent="0.35">
      <c r="F398" s="1597">
        <f t="shared" si="51"/>
        <v>0</v>
      </c>
      <c r="G398" s="40"/>
      <c r="H398" s="40"/>
      <c r="I398" s="40"/>
      <c r="J398" s="40">
        <f t="shared" si="52"/>
        <v>0</v>
      </c>
      <c r="K398" s="40"/>
      <c r="L398" s="40">
        <f t="shared" si="53"/>
        <v>0</v>
      </c>
      <c r="M398" s="40"/>
      <c r="N398" s="40">
        <f t="shared" si="54"/>
        <v>0</v>
      </c>
      <c r="O398" s="40">
        <f t="shared" si="55"/>
        <v>0</v>
      </c>
      <c r="P398" s="40">
        <f t="shared" si="56"/>
        <v>0</v>
      </c>
      <c r="Q398" s="40">
        <f t="shared" si="57"/>
        <v>0</v>
      </c>
      <c r="R398" s="40">
        <f t="shared" si="58"/>
        <v>0</v>
      </c>
      <c r="S398" s="40">
        <f t="shared" si="59"/>
        <v>0</v>
      </c>
      <c r="T398" s="40">
        <f t="shared" si="60"/>
        <v>0</v>
      </c>
      <c r="U398" s="40">
        <f t="shared" si="61"/>
        <v>0</v>
      </c>
      <c r="V398" s="40">
        <f t="shared" si="62"/>
        <v>0</v>
      </c>
      <c r="W398" s="40">
        <f t="shared" si="63"/>
        <v>0</v>
      </c>
      <c r="X398" s="40">
        <f t="shared" si="64"/>
        <v>0</v>
      </c>
      <c r="Y398" s="40">
        <f t="shared" si="65"/>
        <v>0</v>
      </c>
      <c r="Z398" s="40">
        <f t="shared" si="66"/>
        <v>0</v>
      </c>
      <c r="AA398" s="40">
        <f t="shared" si="67"/>
        <v>0</v>
      </c>
      <c r="AB398" s="40">
        <f t="shared" si="68"/>
        <v>0</v>
      </c>
      <c r="AC398" s="40">
        <f t="shared" si="69"/>
        <v>0</v>
      </c>
      <c r="AD398" s="40">
        <f t="shared" si="71"/>
        <v>0</v>
      </c>
      <c r="AE398" s="509">
        <f t="shared" si="70"/>
        <v>0</v>
      </c>
    </row>
    <row r="399" spans="6:31" x14ac:dyDescent="0.35">
      <c r="F399" s="1597">
        <f t="shared" si="51"/>
        <v>0</v>
      </c>
      <c r="G399" s="40"/>
      <c r="H399" s="40"/>
      <c r="I399" s="40"/>
      <c r="J399" s="40">
        <f t="shared" si="52"/>
        <v>0</v>
      </c>
      <c r="K399" s="40"/>
      <c r="L399" s="40">
        <f t="shared" si="53"/>
        <v>0</v>
      </c>
      <c r="M399" s="40"/>
      <c r="N399" s="40">
        <f t="shared" si="54"/>
        <v>0</v>
      </c>
      <c r="O399" s="40">
        <f t="shared" si="55"/>
        <v>0</v>
      </c>
      <c r="P399" s="40">
        <f t="shared" si="56"/>
        <v>0</v>
      </c>
      <c r="Q399" s="40">
        <f t="shared" si="57"/>
        <v>0</v>
      </c>
      <c r="R399" s="40">
        <f t="shared" si="58"/>
        <v>0</v>
      </c>
      <c r="S399" s="40">
        <f t="shared" si="59"/>
        <v>0</v>
      </c>
      <c r="T399" s="40">
        <f t="shared" si="60"/>
        <v>0</v>
      </c>
      <c r="U399" s="40">
        <f t="shared" si="61"/>
        <v>0</v>
      </c>
      <c r="V399" s="40">
        <f t="shared" si="62"/>
        <v>0</v>
      </c>
      <c r="W399" s="40">
        <f t="shared" si="63"/>
        <v>0</v>
      </c>
      <c r="X399" s="40">
        <f t="shared" si="64"/>
        <v>0</v>
      </c>
      <c r="Y399" s="40">
        <f t="shared" si="65"/>
        <v>0</v>
      </c>
      <c r="Z399" s="40">
        <f t="shared" si="66"/>
        <v>0</v>
      </c>
      <c r="AA399" s="40">
        <f t="shared" si="67"/>
        <v>0</v>
      </c>
      <c r="AB399" s="40">
        <f t="shared" si="68"/>
        <v>0</v>
      </c>
      <c r="AC399" s="40">
        <f t="shared" si="69"/>
        <v>0</v>
      </c>
      <c r="AD399" s="40">
        <f t="shared" si="71"/>
        <v>0</v>
      </c>
      <c r="AE399" s="509">
        <f t="shared" si="70"/>
        <v>0</v>
      </c>
    </row>
    <row r="400" spans="6:31" x14ac:dyDescent="0.35">
      <c r="F400" s="1597">
        <f t="shared" si="51"/>
        <v>0</v>
      </c>
      <c r="G400" s="40"/>
      <c r="H400" s="40"/>
      <c r="I400" s="40"/>
      <c r="J400" s="40">
        <f t="shared" si="52"/>
        <v>0</v>
      </c>
      <c r="K400" s="40"/>
      <c r="L400" s="40">
        <f t="shared" si="53"/>
        <v>0</v>
      </c>
      <c r="M400" s="40"/>
      <c r="N400" s="40">
        <f t="shared" si="54"/>
        <v>0</v>
      </c>
      <c r="O400" s="40">
        <f t="shared" si="55"/>
        <v>0</v>
      </c>
      <c r="P400" s="40">
        <f t="shared" si="56"/>
        <v>0</v>
      </c>
      <c r="Q400" s="40">
        <f t="shared" si="57"/>
        <v>0</v>
      </c>
      <c r="R400" s="40">
        <f t="shared" si="58"/>
        <v>0</v>
      </c>
      <c r="S400" s="40">
        <f t="shared" si="59"/>
        <v>0</v>
      </c>
      <c r="T400" s="40">
        <f t="shared" si="60"/>
        <v>0</v>
      </c>
      <c r="U400" s="40">
        <f t="shared" si="61"/>
        <v>0</v>
      </c>
      <c r="V400" s="40">
        <f t="shared" si="62"/>
        <v>0</v>
      </c>
      <c r="W400" s="40">
        <f t="shared" si="63"/>
        <v>0</v>
      </c>
      <c r="X400" s="40">
        <f t="shared" si="64"/>
        <v>0</v>
      </c>
      <c r="Y400" s="40">
        <f t="shared" si="65"/>
        <v>0</v>
      </c>
      <c r="Z400" s="40">
        <f t="shared" si="66"/>
        <v>0</v>
      </c>
      <c r="AA400" s="40">
        <f t="shared" si="67"/>
        <v>0</v>
      </c>
      <c r="AB400" s="40">
        <f t="shared" si="68"/>
        <v>0</v>
      </c>
      <c r="AC400" s="40">
        <f t="shared" si="69"/>
        <v>0</v>
      </c>
      <c r="AD400" s="40">
        <f t="shared" si="71"/>
        <v>0</v>
      </c>
      <c r="AE400" s="509">
        <f t="shared" si="70"/>
        <v>0</v>
      </c>
    </row>
    <row r="401" spans="6:31" x14ac:dyDescent="0.35">
      <c r="F401" s="1597">
        <f t="shared" si="51"/>
        <v>0</v>
      </c>
      <c r="G401" s="40"/>
      <c r="H401" s="40"/>
      <c r="I401" s="40"/>
      <c r="J401" s="40">
        <f t="shared" si="52"/>
        <v>0</v>
      </c>
      <c r="K401" s="40"/>
      <c r="L401" s="40">
        <f t="shared" si="53"/>
        <v>0</v>
      </c>
      <c r="M401" s="40"/>
      <c r="N401" s="40">
        <f t="shared" si="54"/>
        <v>0</v>
      </c>
      <c r="O401" s="40">
        <f t="shared" si="55"/>
        <v>0</v>
      </c>
      <c r="P401" s="40">
        <f t="shared" si="56"/>
        <v>0</v>
      </c>
      <c r="Q401" s="40">
        <f t="shared" si="57"/>
        <v>0</v>
      </c>
      <c r="R401" s="40">
        <f t="shared" si="58"/>
        <v>0</v>
      </c>
      <c r="S401" s="40">
        <f t="shared" si="59"/>
        <v>0</v>
      </c>
      <c r="T401" s="40">
        <f t="shared" si="60"/>
        <v>0</v>
      </c>
      <c r="U401" s="40">
        <f t="shared" si="61"/>
        <v>0</v>
      </c>
      <c r="V401" s="40">
        <f t="shared" si="62"/>
        <v>0</v>
      </c>
      <c r="W401" s="40">
        <f t="shared" si="63"/>
        <v>0</v>
      </c>
      <c r="X401" s="40">
        <f t="shared" si="64"/>
        <v>0</v>
      </c>
      <c r="Y401" s="40">
        <f t="shared" si="65"/>
        <v>0</v>
      </c>
      <c r="Z401" s="40">
        <f t="shared" si="66"/>
        <v>0</v>
      </c>
      <c r="AA401" s="40">
        <f t="shared" si="67"/>
        <v>0</v>
      </c>
      <c r="AB401" s="40">
        <f t="shared" si="68"/>
        <v>0</v>
      </c>
      <c r="AC401" s="40">
        <f t="shared" si="69"/>
        <v>0</v>
      </c>
      <c r="AD401" s="40">
        <f t="shared" si="71"/>
        <v>0</v>
      </c>
      <c r="AE401" s="509">
        <f t="shared" si="70"/>
        <v>0</v>
      </c>
    </row>
    <row r="402" spans="6:31" x14ac:dyDescent="0.35">
      <c r="F402" s="1597">
        <f t="shared" si="51"/>
        <v>0</v>
      </c>
      <c r="G402" s="40"/>
      <c r="H402" s="40"/>
      <c r="I402" s="40"/>
      <c r="J402" s="40">
        <f t="shared" si="52"/>
        <v>0</v>
      </c>
      <c r="K402" s="40"/>
      <c r="L402" s="40">
        <f t="shared" si="53"/>
        <v>0</v>
      </c>
      <c r="M402" s="40"/>
      <c r="N402" s="40">
        <f t="shared" si="54"/>
        <v>0</v>
      </c>
      <c r="O402" s="40">
        <f t="shared" si="55"/>
        <v>0</v>
      </c>
      <c r="P402" s="40">
        <f t="shared" si="56"/>
        <v>0</v>
      </c>
      <c r="Q402" s="40">
        <f t="shared" si="57"/>
        <v>0</v>
      </c>
      <c r="R402" s="40">
        <f t="shared" si="58"/>
        <v>0</v>
      </c>
      <c r="S402" s="40">
        <f t="shared" si="59"/>
        <v>0</v>
      </c>
      <c r="T402" s="40">
        <f t="shared" si="60"/>
        <v>0</v>
      </c>
      <c r="U402" s="40">
        <f t="shared" si="61"/>
        <v>0</v>
      </c>
      <c r="V402" s="40">
        <f t="shared" si="62"/>
        <v>0</v>
      </c>
      <c r="W402" s="40">
        <f t="shared" si="63"/>
        <v>0</v>
      </c>
      <c r="X402" s="40">
        <f t="shared" si="64"/>
        <v>0</v>
      </c>
      <c r="Y402" s="40">
        <f t="shared" si="65"/>
        <v>0</v>
      </c>
      <c r="Z402" s="40">
        <f t="shared" si="66"/>
        <v>0</v>
      </c>
      <c r="AA402" s="40">
        <f t="shared" si="67"/>
        <v>0</v>
      </c>
      <c r="AB402" s="40">
        <f t="shared" si="68"/>
        <v>0</v>
      </c>
      <c r="AC402" s="40">
        <f t="shared" si="69"/>
        <v>0</v>
      </c>
      <c r="AD402" s="40">
        <f t="shared" si="71"/>
        <v>0</v>
      </c>
      <c r="AE402" s="509">
        <f t="shared" si="70"/>
        <v>0</v>
      </c>
    </row>
    <row r="403" spans="6:31" x14ac:dyDescent="0.35">
      <c r="F403" s="1597">
        <f t="shared" si="51"/>
        <v>0</v>
      </c>
      <c r="G403" s="40"/>
      <c r="H403" s="40"/>
      <c r="I403" s="40"/>
      <c r="J403" s="40">
        <f t="shared" si="52"/>
        <v>0</v>
      </c>
      <c r="K403" s="40"/>
      <c r="L403" s="40">
        <f t="shared" si="53"/>
        <v>0</v>
      </c>
      <c r="M403" s="40"/>
      <c r="N403" s="40">
        <f t="shared" si="54"/>
        <v>0</v>
      </c>
      <c r="O403" s="40">
        <f t="shared" si="55"/>
        <v>0</v>
      </c>
      <c r="P403" s="40">
        <f t="shared" si="56"/>
        <v>0</v>
      </c>
      <c r="Q403" s="40">
        <f t="shared" si="57"/>
        <v>0</v>
      </c>
      <c r="R403" s="40">
        <f t="shared" si="58"/>
        <v>0</v>
      </c>
      <c r="S403" s="40">
        <f t="shared" si="59"/>
        <v>0</v>
      </c>
      <c r="T403" s="40">
        <f t="shared" si="60"/>
        <v>0</v>
      </c>
      <c r="U403" s="40">
        <f t="shared" si="61"/>
        <v>0</v>
      </c>
      <c r="V403" s="40">
        <f t="shared" si="62"/>
        <v>0</v>
      </c>
      <c r="W403" s="40">
        <f t="shared" si="63"/>
        <v>0</v>
      </c>
      <c r="X403" s="40">
        <f t="shared" si="64"/>
        <v>0</v>
      </c>
      <c r="Y403" s="40">
        <f t="shared" si="65"/>
        <v>0</v>
      </c>
      <c r="Z403" s="40">
        <f t="shared" si="66"/>
        <v>0</v>
      </c>
      <c r="AA403" s="40">
        <f t="shared" si="67"/>
        <v>0</v>
      </c>
      <c r="AB403" s="40">
        <f t="shared" si="68"/>
        <v>0</v>
      </c>
      <c r="AC403" s="40">
        <f t="shared" si="69"/>
        <v>0</v>
      </c>
      <c r="AD403" s="40">
        <f t="shared" si="71"/>
        <v>0</v>
      </c>
      <c r="AE403" s="509">
        <f t="shared" si="70"/>
        <v>0</v>
      </c>
    </row>
    <row r="404" spans="6:31" x14ac:dyDescent="0.35">
      <c r="F404" s="1597">
        <f t="shared" si="51"/>
        <v>0</v>
      </c>
      <c r="G404" s="40"/>
      <c r="H404" s="40"/>
      <c r="I404" s="40"/>
      <c r="J404" s="40">
        <f t="shared" si="52"/>
        <v>0</v>
      </c>
      <c r="K404" s="40"/>
      <c r="L404" s="40">
        <f t="shared" si="53"/>
        <v>0</v>
      </c>
      <c r="M404" s="40"/>
      <c r="N404" s="40">
        <f t="shared" si="54"/>
        <v>0</v>
      </c>
      <c r="O404" s="40">
        <f t="shared" si="55"/>
        <v>0</v>
      </c>
      <c r="P404" s="40">
        <f t="shared" si="56"/>
        <v>0</v>
      </c>
      <c r="Q404" s="40">
        <f t="shared" si="57"/>
        <v>0</v>
      </c>
      <c r="R404" s="40">
        <f t="shared" si="58"/>
        <v>0</v>
      </c>
      <c r="S404" s="40">
        <f t="shared" si="59"/>
        <v>0</v>
      </c>
      <c r="T404" s="40">
        <f t="shared" si="60"/>
        <v>0</v>
      </c>
      <c r="U404" s="40">
        <f t="shared" si="61"/>
        <v>0</v>
      </c>
      <c r="V404" s="40">
        <f t="shared" si="62"/>
        <v>0</v>
      </c>
      <c r="W404" s="40">
        <f t="shared" si="63"/>
        <v>0</v>
      </c>
      <c r="X404" s="40">
        <f t="shared" si="64"/>
        <v>0</v>
      </c>
      <c r="Y404" s="40">
        <f t="shared" si="65"/>
        <v>0</v>
      </c>
      <c r="Z404" s="40">
        <f t="shared" si="66"/>
        <v>0</v>
      </c>
      <c r="AA404" s="40">
        <f t="shared" si="67"/>
        <v>0</v>
      </c>
      <c r="AB404" s="40">
        <f t="shared" si="68"/>
        <v>0</v>
      </c>
      <c r="AC404" s="40">
        <f t="shared" si="69"/>
        <v>0</v>
      </c>
      <c r="AD404" s="40">
        <f t="shared" si="71"/>
        <v>0</v>
      </c>
      <c r="AE404" s="509">
        <f t="shared" si="70"/>
        <v>0</v>
      </c>
    </row>
    <row r="405" spans="6:31" x14ac:dyDescent="0.35">
      <c r="F405" s="1597">
        <f t="shared" si="51"/>
        <v>0</v>
      </c>
      <c r="G405" s="40"/>
      <c r="H405" s="40"/>
      <c r="I405" s="40"/>
      <c r="J405" s="40">
        <f t="shared" si="52"/>
        <v>0</v>
      </c>
      <c r="K405" s="40"/>
      <c r="L405" s="40">
        <f t="shared" si="53"/>
        <v>0</v>
      </c>
      <c r="M405" s="40"/>
      <c r="N405" s="40">
        <f t="shared" si="54"/>
        <v>0</v>
      </c>
      <c r="O405" s="40">
        <f t="shared" si="55"/>
        <v>0</v>
      </c>
      <c r="P405" s="40">
        <f t="shared" si="56"/>
        <v>0</v>
      </c>
      <c r="Q405" s="40">
        <f t="shared" si="57"/>
        <v>0</v>
      </c>
      <c r="R405" s="40">
        <f t="shared" si="58"/>
        <v>0</v>
      </c>
      <c r="S405" s="40">
        <f t="shared" si="59"/>
        <v>0</v>
      </c>
      <c r="T405" s="40">
        <f t="shared" si="60"/>
        <v>0</v>
      </c>
      <c r="U405" s="40">
        <f t="shared" si="61"/>
        <v>0</v>
      </c>
      <c r="V405" s="40">
        <f t="shared" si="62"/>
        <v>0</v>
      </c>
      <c r="W405" s="40">
        <f t="shared" si="63"/>
        <v>0</v>
      </c>
      <c r="X405" s="40">
        <f t="shared" si="64"/>
        <v>0</v>
      </c>
      <c r="Y405" s="40">
        <f t="shared" si="65"/>
        <v>0</v>
      </c>
      <c r="Z405" s="40">
        <f t="shared" si="66"/>
        <v>0</v>
      </c>
      <c r="AA405" s="40">
        <f t="shared" si="67"/>
        <v>0</v>
      </c>
      <c r="AB405" s="40">
        <f t="shared" si="68"/>
        <v>0</v>
      </c>
      <c r="AC405" s="40">
        <f t="shared" si="69"/>
        <v>0</v>
      </c>
      <c r="AD405" s="40">
        <f t="shared" si="71"/>
        <v>0</v>
      </c>
      <c r="AE405" s="509">
        <f t="shared" si="70"/>
        <v>0</v>
      </c>
    </row>
    <row r="406" spans="6:31" x14ac:dyDescent="0.35">
      <c r="F406" s="1597">
        <f t="shared" si="51"/>
        <v>0</v>
      </c>
      <c r="G406" s="40"/>
      <c r="H406" s="40"/>
      <c r="I406" s="40"/>
      <c r="J406" s="40">
        <f t="shared" si="52"/>
        <v>0</v>
      </c>
      <c r="K406" s="40"/>
      <c r="L406" s="40">
        <f t="shared" si="53"/>
        <v>0</v>
      </c>
      <c r="M406" s="40"/>
      <c r="N406" s="40">
        <f t="shared" si="54"/>
        <v>0</v>
      </c>
      <c r="O406" s="40">
        <f t="shared" si="55"/>
        <v>0</v>
      </c>
      <c r="P406" s="40">
        <f t="shared" si="56"/>
        <v>0</v>
      </c>
      <c r="Q406" s="40">
        <f t="shared" si="57"/>
        <v>0</v>
      </c>
      <c r="R406" s="40">
        <f t="shared" si="58"/>
        <v>0</v>
      </c>
      <c r="S406" s="40">
        <f t="shared" si="59"/>
        <v>0</v>
      </c>
      <c r="T406" s="40">
        <f t="shared" si="60"/>
        <v>0</v>
      </c>
      <c r="U406" s="40">
        <f t="shared" si="61"/>
        <v>0</v>
      </c>
      <c r="V406" s="40">
        <f t="shared" si="62"/>
        <v>0</v>
      </c>
      <c r="W406" s="40">
        <f t="shared" si="63"/>
        <v>0</v>
      </c>
      <c r="X406" s="40">
        <f t="shared" si="64"/>
        <v>0</v>
      </c>
      <c r="Y406" s="40">
        <f t="shared" si="65"/>
        <v>0</v>
      </c>
      <c r="Z406" s="40">
        <f t="shared" si="66"/>
        <v>0</v>
      </c>
      <c r="AA406" s="40">
        <f t="shared" si="67"/>
        <v>0</v>
      </c>
      <c r="AB406" s="40">
        <f t="shared" si="68"/>
        <v>0</v>
      </c>
      <c r="AC406" s="40">
        <f t="shared" si="69"/>
        <v>0</v>
      </c>
      <c r="AD406" s="40">
        <f t="shared" si="71"/>
        <v>0</v>
      </c>
      <c r="AE406" s="509">
        <f t="shared" si="70"/>
        <v>0</v>
      </c>
    </row>
    <row r="407" spans="6:31" x14ac:dyDescent="0.35">
      <c r="F407" s="1597">
        <f t="shared" si="51"/>
        <v>0</v>
      </c>
      <c r="G407" s="40"/>
      <c r="H407" s="40"/>
      <c r="I407" s="40"/>
      <c r="J407" s="40">
        <f t="shared" si="52"/>
        <v>0</v>
      </c>
      <c r="K407" s="40"/>
      <c r="L407" s="40">
        <f t="shared" si="53"/>
        <v>0</v>
      </c>
      <c r="M407" s="40"/>
      <c r="N407" s="40">
        <f t="shared" si="54"/>
        <v>0</v>
      </c>
      <c r="O407" s="40">
        <f t="shared" si="55"/>
        <v>0</v>
      </c>
      <c r="P407" s="40">
        <f t="shared" si="56"/>
        <v>0</v>
      </c>
      <c r="Q407" s="40">
        <f t="shared" si="57"/>
        <v>0</v>
      </c>
      <c r="R407" s="40">
        <f t="shared" si="58"/>
        <v>0</v>
      </c>
      <c r="S407" s="40">
        <f t="shared" si="59"/>
        <v>0</v>
      </c>
      <c r="T407" s="40">
        <f t="shared" si="60"/>
        <v>0</v>
      </c>
      <c r="U407" s="40">
        <f t="shared" si="61"/>
        <v>0</v>
      </c>
      <c r="V407" s="40">
        <f t="shared" si="62"/>
        <v>0</v>
      </c>
      <c r="W407" s="40">
        <f t="shared" si="63"/>
        <v>0</v>
      </c>
      <c r="X407" s="40">
        <f t="shared" si="64"/>
        <v>0</v>
      </c>
      <c r="Y407" s="40">
        <f t="shared" si="65"/>
        <v>0</v>
      </c>
      <c r="Z407" s="40">
        <f t="shared" si="66"/>
        <v>0</v>
      </c>
      <c r="AA407" s="40">
        <f t="shared" si="67"/>
        <v>0</v>
      </c>
      <c r="AB407" s="40">
        <f t="shared" si="68"/>
        <v>0</v>
      </c>
      <c r="AC407" s="40">
        <f t="shared" si="69"/>
        <v>0</v>
      </c>
      <c r="AD407" s="40">
        <f t="shared" si="71"/>
        <v>0</v>
      </c>
      <c r="AE407" s="509">
        <f t="shared" si="70"/>
        <v>0</v>
      </c>
    </row>
    <row r="408" spans="6:31" x14ac:dyDescent="0.35">
      <c r="F408" s="1597">
        <f t="shared" si="51"/>
        <v>0</v>
      </c>
      <c r="G408" s="40"/>
      <c r="H408" s="40"/>
      <c r="I408" s="40"/>
      <c r="J408" s="40">
        <f t="shared" si="52"/>
        <v>0</v>
      </c>
      <c r="K408" s="40"/>
      <c r="L408" s="40">
        <f t="shared" si="53"/>
        <v>0</v>
      </c>
      <c r="M408" s="40"/>
      <c r="N408" s="40">
        <f t="shared" si="54"/>
        <v>0</v>
      </c>
      <c r="O408" s="40">
        <f t="shared" si="55"/>
        <v>0</v>
      </c>
      <c r="P408" s="40">
        <f t="shared" si="56"/>
        <v>0</v>
      </c>
      <c r="Q408" s="40">
        <f t="shared" si="57"/>
        <v>0</v>
      </c>
      <c r="R408" s="40">
        <f t="shared" si="58"/>
        <v>0</v>
      </c>
      <c r="S408" s="40">
        <f t="shared" si="59"/>
        <v>0</v>
      </c>
      <c r="T408" s="40">
        <f t="shared" si="60"/>
        <v>0</v>
      </c>
      <c r="U408" s="40">
        <f t="shared" si="61"/>
        <v>0</v>
      </c>
      <c r="V408" s="40">
        <f t="shared" si="62"/>
        <v>0</v>
      </c>
      <c r="W408" s="40">
        <f t="shared" si="63"/>
        <v>0</v>
      </c>
      <c r="X408" s="40">
        <f t="shared" si="64"/>
        <v>0</v>
      </c>
      <c r="Y408" s="40">
        <f t="shared" si="65"/>
        <v>0</v>
      </c>
      <c r="Z408" s="40">
        <f t="shared" si="66"/>
        <v>0</v>
      </c>
      <c r="AA408" s="40">
        <f t="shared" si="67"/>
        <v>0</v>
      </c>
      <c r="AB408" s="40">
        <f t="shared" si="68"/>
        <v>0</v>
      </c>
      <c r="AC408" s="40">
        <f t="shared" si="69"/>
        <v>0</v>
      </c>
      <c r="AD408" s="40">
        <f t="shared" si="71"/>
        <v>0</v>
      </c>
      <c r="AE408" s="509">
        <f t="shared" si="70"/>
        <v>0</v>
      </c>
    </row>
    <row r="409" spans="6:31" x14ac:dyDescent="0.35">
      <c r="F409" s="1597">
        <f t="shared" si="51"/>
        <v>0</v>
      </c>
      <c r="G409" s="40"/>
      <c r="H409" s="40"/>
      <c r="I409" s="40"/>
      <c r="J409" s="40">
        <f t="shared" si="52"/>
        <v>0</v>
      </c>
      <c r="K409" s="40"/>
      <c r="L409" s="40">
        <f t="shared" si="53"/>
        <v>0</v>
      </c>
      <c r="M409" s="40"/>
      <c r="N409" s="40">
        <f t="shared" si="54"/>
        <v>0</v>
      </c>
      <c r="O409" s="40">
        <f t="shared" si="55"/>
        <v>0</v>
      </c>
      <c r="P409" s="40">
        <f t="shared" si="56"/>
        <v>0</v>
      </c>
      <c r="Q409" s="40">
        <f t="shared" si="57"/>
        <v>0</v>
      </c>
      <c r="R409" s="40">
        <f t="shared" si="58"/>
        <v>0</v>
      </c>
      <c r="S409" s="40">
        <f t="shared" si="59"/>
        <v>0</v>
      </c>
      <c r="T409" s="40">
        <f t="shared" si="60"/>
        <v>0</v>
      </c>
      <c r="U409" s="40">
        <f t="shared" si="61"/>
        <v>0</v>
      </c>
      <c r="V409" s="40">
        <f t="shared" si="62"/>
        <v>0</v>
      </c>
      <c r="W409" s="40">
        <f t="shared" si="63"/>
        <v>0</v>
      </c>
      <c r="X409" s="40">
        <f t="shared" si="64"/>
        <v>0</v>
      </c>
      <c r="Y409" s="40">
        <f t="shared" si="65"/>
        <v>0</v>
      </c>
      <c r="Z409" s="40">
        <f t="shared" si="66"/>
        <v>0</v>
      </c>
      <c r="AA409" s="40">
        <f t="shared" si="67"/>
        <v>0</v>
      </c>
      <c r="AB409" s="40">
        <f t="shared" si="68"/>
        <v>0</v>
      </c>
      <c r="AC409" s="40">
        <f t="shared" si="69"/>
        <v>0</v>
      </c>
      <c r="AD409" s="40">
        <f t="shared" si="71"/>
        <v>0</v>
      </c>
      <c r="AE409" s="509">
        <f t="shared" si="70"/>
        <v>0</v>
      </c>
    </row>
    <row r="410" spans="6:31" x14ac:dyDescent="0.35">
      <c r="F410" s="1597">
        <f t="shared" si="51"/>
        <v>0</v>
      </c>
      <c r="G410" s="40"/>
      <c r="H410" s="40"/>
      <c r="I410" s="40"/>
      <c r="J410" s="40">
        <f t="shared" si="52"/>
        <v>0</v>
      </c>
      <c r="K410" s="40"/>
      <c r="L410" s="40">
        <f t="shared" si="53"/>
        <v>0</v>
      </c>
      <c r="M410" s="40"/>
      <c r="N410" s="40">
        <f t="shared" si="54"/>
        <v>0</v>
      </c>
      <c r="O410" s="40">
        <f t="shared" si="55"/>
        <v>0</v>
      </c>
      <c r="P410" s="40">
        <f t="shared" si="56"/>
        <v>0</v>
      </c>
      <c r="Q410" s="40">
        <f t="shared" si="57"/>
        <v>0</v>
      </c>
      <c r="R410" s="40">
        <f t="shared" si="58"/>
        <v>0</v>
      </c>
      <c r="S410" s="40">
        <f t="shared" si="59"/>
        <v>0</v>
      </c>
      <c r="T410" s="40">
        <f t="shared" si="60"/>
        <v>0</v>
      </c>
      <c r="U410" s="40">
        <f t="shared" si="61"/>
        <v>0</v>
      </c>
      <c r="V410" s="40">
        <f t="shared" si="62"/>
        <v>0</v>
      </c>
      <c r="W410" s="40">
        <f t="shared" si="63"/>
        <v>0</v>
      </c>
      <c r="X410" s="40">
        <f t="shared" si="64"/>
        <v>0</v>
      </c>
      <c r="Y410" s="40">
        <f t="shared" si="65"/>
        <v>0</v>
      </c>
      <c r="Z410" s="40">
        <f t="shared" si="66"/>
        <v>0</v>
      </c>
      <c r="AA410" s="40">
        <f t="shared" si="67"/>
        <v>0</v>
      </c>
      <c r="AB410" s="40">
        <f t="shared" si="68"/>
        <v>0</v>
      </c>
      <c r="AC410" s="40">
        <f t="shared" si="69"/>
        <v>0</v>
      </c>
      <c r="AD410" s="40">
        <f t="shared" si="71"/>
        <v>0</v>
      </c>
      <c r="AE410" s="509">
        <f t="shared" si="70"/>
        <v>0</v>
      </c>
    </row>
    <row r="411" spans="6:31" x14ac:dyDescent="0.35">
      <c r="F411" s="1597">
        <f t="shared" si="51"/>
        <v>0</v>
      </c>
      <c r="G411" s="40"/>
      <c r="H411" s="40"/>
      <c r="I411" s="40"/>
      <c r="J411" s="40">
        <f t="shared" si="52"/>
        <v>0</v>
      </c>
      <c r="K411" s="40"/>
      <c r="L411" s="40">
        <f t="shared" si="53"/>
        <v>0</v>
      </c>
      <c r="M411" s="40"/>
      <c r="N411" s="40">
        <f t="shared" si="54"/>
        <v>0</v>
      </c>
      <c r="O411" s="40">
        <f t="shared" si="55"/>
        <v>0</v>
      </c>
      <c r="P411" s="40">
        <f t="shared" si="56"/>
        <v>0</v>
      </c>
      <c r="Q411" s="40">
        <f t="shared" si="57"/>
        <v>0</v>
      </c>
      <c r="R411" s="40">
        <f t="shared" si="58"/>
        <v>0</v>
      </c>
      <c r="S411" s="40">
        <f t="shared" si="59"/>
        <v>0</v>
      </c>
      <c r="T411" s="40">
        <f t="shared" si="60"/>
        <v>0</v>
      </c>
      <c r="U411" s="40">
        <f t="shared" si="61"/>
        <v>0</v>
      </c>
      <c r="V411" s="40">
        <f t="shared" si="62"/>
        <v>0</v>
      </c>
      <c r="W411" s="40">
        <f t="shared" si="63"/>
        <v>0</v>
      </c>
      <c r="X411" s="40">
        <f t="shared" si="64"/>
        <v>0</v>
      </c>
      <c r="Y411" s="40">
        <f t="shared" si="65"/>
        <v>0</v>
      </c>
      <c r="Z411" s="40">
        <f t="shared" si="66"/>
        <v>0</v>
      </c>
      <c r="AA411" s="40">
        <f t="shared" si="67"/>
        <v>0</v>
      </c>
      <c r="AB411" s="40">
        <f t="shared" si="68"/>
        <v>0</v>
      </c>
      <c r="AC411" s="40">
        <f t="shared" si="69"/>
        <v>0</v>
      </c>
      <c r="AD411" s="40">
        <f t="shared" si="71"/>
        <v>0</v>
      </c>
      <c r="AE411" s="509">
        <f t="shared" si="70"/>
        <v>0</v>
      </c>
    </row>
    <row r="412" spans="6:31" x14ac:dyDescent="0.35">
      <c r="F412" s="1597">
        <f t="shared" si="51"/>
        <v>0</v>
      </c>
      <c r="G412" s="40"/>
      <c r="H412" s="40"/>
      <c r="I412" s="40"/>
      <c r="J412" s="40">
        <f t="shared" si="52"/>
        <v>0</v>
      </c>
      <c r="K412" s="40"/>
      <c r="L412" s="40">
        <f t="shared" si="53"/>
        <v>0</v>
      </c>
      <c r="M412" s="40"/>
      <c r="N412" s="40">
        <f t="shared" si="54"/>
        <v>0</v>
      </c>
      <c r="O412" s="40">
        <f t="shared" si="55"/>
        <v>0</v>
      </c>
      <c r="P412" s="40">
        <f t="shared" si="56"/>
        <v>0</v>
      </c>
      <c r="Q412" s="40">
        <f t="shared" si="57"/>
        <v>0</v>
      </c>
      <c r="R412" s="40">
        <f t="shared" si="58"/>
        <v>0</v>
      </c>
      <c r="S412" s="40">
        <f t="shared" si="59"/>
        <v>0</v>
      </c>
      <c r="T412" s="40">
        <f t="shared" si="60"/>
        <v>0</v>
      </c>
      <c r="U412" s="40">
        <f t="shared" si="61"/>
        <v>0</v>
      </c>
      <c r="V412" s="40">
        <f t="shared" si="62"/>
        <v>0</v>
      </c>
      <c r="W412" s="40">
        <f t="shared" si="63"/>
        <v>0</v>
      </c>
      <c r="X412" s="40">
        <f t="shared" si="64"/>
        <v>0</v>
      </c>
      <c r="Y412" s="40">
        <f t="shared" si="65"/>
        <v>0</v>
      </c>
      <c r="Z412" s="40">
        <f t="shared" si="66"/>
        <v>0</v>
      </c>
      <c r="AA412" s="40">
        <f t="shared" si="67"/>
        <v>0</v>
      </c>
      <c r="AB412" s="40">
        <f t="shared" si="68"/>
        <v>0</v>
      </c>
      <c r="AC412" s="40">
        <f t="shared" si="69"/>
        <v>0</v>
      </c>
      <c r="AD412" s="40">
        <f t="shared" si="71"/>
        <v>0</v>
      </c>
      <c r="AE412" s="509">
        <f t="shared" si="70"/>
        <v>0</v>
      </c>
    </row>
    <row r="413" spans="6:31" x14ac:dyDescent="0.35">
      <c r="F413" s="1597">
        <f t="shared" si="51"/>
        <v>0</v>
      </c>
      <c r="G413" s="40"/>
      <c r="H413" s="40"/>
      <c r="I413" s="40"/>
      <c r="J413" s="40">
        <f t="shared" si="52"/>
        <v>0</v>
      </c>
      <c r="K413" s="40"/>
      <c r="L413" s="40">
        <f t="shared" si="53"/>
        <v>0</v>
      </c>
      <c r="M413" s="40"/>
      <c r="N413" s="40">
        <f t="shared" si="54"/>
        <v>0</v>
      </c>
      <c r="O413" s="40">
        <f t="shared" si="55"/>
        <v>0</v>
      </c>
      <c r="P413" s="40">
        <f t="shared" si="56"/>
        <v>0</v>
      </c>
      <c r="Q413" s="40">
        <f t="shared" si="57"/>
        <v>0</v>
      </c>
      <c r="R413" s="40">
        <f t="shared" si="58"/>
        <v>0</v>
      </c>
      <c r="S413" s="40">
        <f t="shared" si="59"/>
        <v>0</v>
      </c>
      <c r="T413" s="40">
        <f t="shared" si="60"/>
        <v>0</v>
      </c>
      <c r="U413" s="40">
        <f t="shared" si="61"/>
        <v>0</v>
      </c>
      <c r="V413" s="40">
        <f t="shared" si="62"/>
        <v>0</v>
      </c>
      <c r="W413" s="40">
        <f t="shared" si="63"/>
        <v>0</v>
      </c>
      <c r="X413" s="40">
        <f t="shared" si="64"/>
        <v>0</v>
      </c>
      <c r="Y413" s="40">
        <f t="shared" si="65"/>
        <v>0</v>
      </c>
      <c r="Z413" s="40">
        <f t="shared" si="66"/>
        <v>0</v>
      </c>
      <c r="AA413" s="40">
        <f t="shared" si="67"/>
        <v>0</v>
      </c>
      <c r="AB413" s="40">
        <f t="shared" si="68"/>
        <v>0</v>
      </c>
      <c r="AC413" s="40">
        <f t="shared" si="69"/>
        <v>0</v>
      </c>
      <c r="AD413" s="40">
        <f t="shared" si="71"/>
        <v>0</v>
      </c>
      <c r="AE413" s="509">
        <f t="shared" si="70"/>
        <v>0</v>
      </c>
    </row>
    <row r="414" spans="6:31" x14ac:dyDescent="0.35">
      <c r="F414" s="1597">
        <f t="shared" si="51"/>
        <v>0</v>
      </c>
      <c r="G414" s="40"/>
      <c r="H414" s="40"/>
      <c r="I414" s="40"/>
      <c r="J414" s="40">
        <f t="shared" si="52"/>
        <v>0</v>
      </c>
      <c r="K414" s="40"/>
      <c r="L414" s="40">
        <f t="shared" si="53"/>
        <v>0</v>
      </c>
      <c r="M414" s="40"/>
      <c r="N414" s="40">
        <f t="shared" si="54"/>
        <v>0</v>
      </c>
      <c r="O414" s="40">
        <f t="shared" si="55"/>
        <v>0</v>
      </c>
      <c r="P414" s="40">
        <f t="shared" si="56"/>
        <v>0</v>
      </c>
      <c r="Q414" s="40">
        <f t="shared" si="57"/>
        <v>0</v>
      </c>
      <c r="R414" s="40">
        <f t="shared" si="58"/>
        <v>0</v>
      </c>
      <c r="S414" s="40">
        <f t="shared" si="59"/>
        <v>0</v>
      </c>
      <c r="T414" s="40">
        <f t="shared" si="60"/>
        <v>0</v>
      </c>
      <c r="U414" s="40">
        <f t="shared" si="61"/>
        <v>0</v>
      </c>
      <c r="V414" s="40">
        <f t="shared" si="62"/>
        <v>0</v>
      </c>
      <c r="W414" s="40">
        <f t="shared" si="63"/>
        <v>0</v>
      </c>
      <c r="X414" s="40">
        <f t="shared" si="64"/>
        <v>0</v>
      </c>
      <c r="Y414" s="40">
        <f t="shared" si="65"/>
        <v>0</v>
      </c>
      <c r="Z414" s="40">
        <f t="shared" si="66"/>
        <v>0</v>
      </c>
      <c r="AA414" s="40">
        <f t="shared" si="67"/>
        <v>0</v>
      </c>
      <c r="AB414" s="40">
        <f t="shared" si="68"/>
        <v>0</v>
      </c>
      <c r="AC414" s="40">
        <f t="shared" si="69"/>
        <v>0</v>
      </c>
      <c r="AD414" s="40">
        <f t="shared" si="71"/>
        <v>0</v>
      </c>
      <c r="AE414" s="509">
        <f t="shared" si="70"/>
        <v>0</v>
      </c>
    </row>
    <row r="415" spans="6:31" x14ac:dyDescent="0.35">
      <c r="F415" s="1597">
        <f t="shared" si="51"/>
        <v>0</v>
      </c>
      <c r="G415" s="40"/>
      <c r="H415" s="40"/>
      <c r="I415" s="40"/>
      <c r="J415" s="40">
        <f t="shared" si="52"/>
        <v>0</v>
      </c>
      <c r="K415" s="40"/>
      <c r="L415" s="40">
        <f t="shared" si="53"/>
        <v>0</v>
      </c>
      <c r="M415" s="40"/>
      <c r="N415" s="40">
        <f t="shared" si="54"/>
        <v>0</v>
      </c>
      <c r="O415" s="40">
        <f t="shared" si="55"/>
        <v>0</v>
      </c>
      <c r="P415" s="40">
        <f t="shared" si="56"/>
        <v>0</v>
      </c>
      <c r="Q415" s="40">
        <f t="shared" si="57"/>
        <v>0</v>
      </c>
      <c r="R415" s="40">
        <f t="shared" si="58"/>
        <v>0</v>
      </c>
      <c r="S415" s="40">
        <f t="shared" si="59"/>
        <v>0</v>
      </c>
      <c r="T415" s="40">
        <f t="shared" si="60"/>
        <v>0</v>
      </c>
      <c r="U415" s="40">
        <f t="shared" si="61"/>
        <v>0</v>
      </c>
      <c r="V415" s="40">
        <f t="shared" si="62"/>
        <v>0</v>
      </c>
      <c r="W415" s="40">
        <f t="shared" si="63"/>
        <v>0</v>
      </c>
      <c r="X415" s="40">
        <f t="shared" si="64"/>
        <v>0</v>
      </c>
      <c r="Y415" s="40">
        <f t="shared" si="65"/>
        <v>0</v>
      </c>
      <c r="Z415" s="40">
        <f t="shared" si="66"/>
        <v>0</v>
      </c>
      <c r="AA415" s="40">
        <f t="shared" si="67"/>
        <v>0</v>
      </c>
      <c r="AB415" s="40">
        <f t="shared" si="68"/>
        <v>0</v>
      </c>
      <c r="AC415" s="40">
        <f t="shared" si="69"/>
        <v>0</v>
      </c>
      <c r="AD415" s="40">
        <f t="shared" si="71"/>
        <v>0</v>
      </c>
      <c r="AE415" s="509">
        <f t="shared" si="70"/>
        <v>0</v>
      </c>
    </row>
    <row r="416" spans="6:31" x14ac:dyDescent="0.35">
      <c r="F416" s="1597">
        <f t="shared" si="51"/>
        <v>0</v>
      </c>
      <c r="G416" s="40"/>
      <c r="H416" s="40"/>
      <c r="I416" s="40"/>
      <c r="J416" s="40">
        <f t="shared" si="52"/>
        <v>0</v>
      </c>
      <c r="K416" s="40"/>
      <c r="L416" s="40">
        <f t="shared" si="53"/>
        <v>0</v>
      </c>
      <c r="M416" s="40"/>
      <c r="N416" s="40">
        <f t="shared" si="54"/>
        <v>0</v>
      </c>
      <c r="O416" s="40">
        <f t="shared" si="55"/>
        <v>0</v>
      </c>
      <c r="P416" s="40">
        <f t="shared" si="56"/>
        <v>0</v>
      </c>
      <c r="Q416" s="40">
        <f t="shared" si="57"/>
        <v>0</v>
      </c>
      <c r="R416" s="40">
        <f t="shared" si="58"/>
        <v>0</v>
      </c>
      <c r="S416" s="40">
        <f t="shared" si="59"/>
        <v>0</v>
      </c>
      <c r="T416" s="40">
        <f t="shared" si="60"/>
        <v>0</v>
      </c>
      <c r="U416" s="40">
        <f t="shared" si="61"/>
        <v>0</v>
      </c>
      <c r="V416" s="40">
        <f t="shared" si="62"/>
        <v>0</v>
      </c>
      <c r="W416" s="40">
        <f t="shared" si="63"/>
        <v>0</v>
      </c>
      <c r="X416" s="40">
        <f t="shared" si="64"/>
        <v>0</v>
      </c>
      <c r="Y416" s="40">
        <f t="shared" si="65"/>
        <v>0</v>
      </c>
      <c r="Z416" s="40">
        <f t="shared" si="66"/>
        <v>0</v>
      </c>
      <c r="AA416" s="40">
        <f t="shared" si="67"/>
        <v>0</v>
      </c>
      <c r="AB416" s="40">
        <f t="shared" si="68"/>
        <v>0</v>
      </c>
      <c r="AC416" s="40">
        <f t="shared" si="69"/>
        <v>0</v>
      </c>
      <c r="AD416" s="40">
        <f t="shared" si="71"/>
        <v>0</v>
      </c>
      <c r="AE416" s="509">
        <f t="shared" si="70"/>
        <v>0</v>
      </c>
    </row>
    <row r="417" spans="6:31" x14ac:dyDescent="0.35">
      <c r="F417" s="1597">
        <f t="shared" si="51"/>
        <v>0</v>
      </c>
      <c r="G417" s="40"/>
      <c r="H417" s="40"/>
      <c r="I417" s="40"/>
      <c r="J417" s="40">
        <f t="shared" si="52"/>
        <v>0</v>
      </c>
      <c r="K417" s="40"/>
      <c r="L417" s="40">
        <f t="shared" si="53"/>
        <v>0</v>
      </c>
      <c r="M417" s="40"/>
      <c r="N417" s="40">
        <f t="shared" si="54"/>
        <v>0</v>
      </c>
      <c r="O417" s="40">
        <f t="shared" si="55"/>
        <v>0</v>
      </c>
      <c r="P417" s="40">
        <f t="shared" si="56"/>
        <v>0</v>
      </c>
      <c r="Q417" s="40">
        <f t="shared" si="57"/>
        <v>0</v>
      </c>
      <c r="R417" s="40">
        <f t="shared" si="58"/>
        <v>0</v>
      </c>
      <c r="S417" s="40">
        <f t="shared" si="59"/>
        <v>0</v>
      </c>
      <c r="T417" s="40">
        <f t="shared" si="60"/>
        <v>0</v>
      </c>
      <c r="U417" s="40">
        <f t="shared" si="61"/>
        <v>0</v>
      </c>
      <c r="V417" s="40">
        <f t="shared" si="62"/>
        <v>0</v>
      </c>
      <c r="W417" s="40">
        <f t="shared" si="63"/>
        <v>0</v>
      </c>
      <c r="X417" s="40">
        <f t="shared" si="64"/>
        <v>0</v>
      </c>
      <c r="Y417" s="40">
        <f t="shared" si="65"/>
        <v>0</v>
      </c>
      <c r="Z417" s="40">
        <f t="shared" si="66"/>
        <v>0</v>
      </c>
      <c r="AA417" s="40">
        <f t="shared" si="67"/>
        <v>0</v>
      </c>
      <c r="AB417" s="40">
        <f t="shared" si="68"/>
        <v>0</v>
      </c>
      <c r="AC417" s="40">
        <f t="shared" si="69"/>
        <v>0</v>
      </c>
      <c r="AD417" s="40">
        <f t="shared" si="71"/>
        <v>0</v>
      </c>
      <c r="AE417" s="509">
        <f t="shared" si="70"/>
        <v>0</v>
      </c>
    </row>
    <row r="418" spans="6:31" x14ac:dyDescent="0.35">
      <c r="F418" s="1597">
        <f t="shared" si="51"/>
        <v>0</v>
      </c>
      <c r="G418" s="40"/>
      <c r="H418" s="40"/>
      <c r="I418" s="40"/>
      <c r="J418" s="40">
        <f t="shared" si="52"/>
        <v>0</v>
      </c>
      <c r="K418" s="40"/>
      <c r="L418" s="40">
        <f t="shared" si="53"/>
        <v>0</v>
      </c>
      <c r="M418" s="40"/>
      <c r="N418" s="40">
        <f t="shared" si="54"/>
        <v>0</v>
      </c>
      <c r="O418" s="40">
        <f t="shared" si="55"/>
        <v>0</v>
      </c>
      <c r="P418" s="40">
        <f t="shared" si="56"/>
        <v>0</v>
      </c>
      <c r="Q418" s="40">
        <f t="shared" si="57"/>
        <v>0</v>
      </c>
      <c r="R418" s="40">
        <f t="shared" si="58"/>
        <v>0</v>
      </c>
      <c r="S418" s="40">
        <f t="shared" si="59"/>
        <v>0</v>
      </c>
      <c r="T418" s="40">
        <f t="shared" si="60"/>
        <v>0</v>
      </c>
      <c r="U418" s="40">
        <f t="shared" si="61"/>
        <v>0</v>
      </c>
      <c r="V418" s="40">
        <f t="shared" si="62"/>
        <v>0</v>
      </c>
      <c r="W418" s="40">
        <f t="shared" si="63"/>
        <v>0</v>
      </c>
      <c r="X418" s="40">
        <f t="shared" si="64"/>
        <v>0</v>
      </c>
      <c r="Y418" s="40">
        <f t="shared" si="65"/>
        <v>0</v>
      </c>
      <c r="Z418" s="40">
        <f t="shared" si="66"/>
        <v>0</v>
      </c>
      <c r="AA418" s="40">
        <f t="shared" si="67"/>
        <v>0</v>
      </c>
      <c r="AB418" s="40">
        <f t="shared" si="68"/>
        <v>0</v>
      </c>
      <c r="AC418" s="40">
        <f t="shared" si="69"/>
        <v>0</v>
      </c>
      <c r="AD418" s="40">
        <f t="shared" si="71"/>
        <v>0</v>
      </c>
      <c r="AE418" s="509">
        <f t="shared" si="70"/>
        <v>0</v>
      </c>
    </row>
    <row r="419" spans="6:31" x14ac:dyDescent="0.35">
      <c r="F419" s="1597">
        <f t="shared" si="51"/>
        <v>0</v>
      </c>
      <c r="G419" s="40"/>
      <c r="H419" s="40"/>
      <c r="I419" s="40"/>
      <c r="J419" s="40">
        <f t="shared" si="52"/>
        <v>0</v>
      </c>
      <c r="K419" s="40"/>
      <c r="L419" s="40">
        <f t="shared" si="53"/>
        <v>0</v>
      </c>
      <c r="M419" s="40"/>
      <c r="N419" s="40">
        <f t="shared" si="54"/>
        <v>0</v>
      </c>
      <c r="O419" s="40">
        <f t="shared" si="55"/>
        <v>0</v>
      </c>
      <c r="P419" s="40">
        <f t="shared" si="56"/>
        <v>0</v>
      </c>
      <c r="Q419" s="40">
        <f t="shared" si="57"/>
        <v>0</v>
      </c>
      <c r="R419" s="40">
        <f t="shared" si="58"/>
        <v>0</v>
      </c>
      <c r="S419" s="40">
        <f t="shared" si="59"/>
        <v>0</v>
      </c>
      <c r="T419" s="40">
        <f t="shared" si="60"/>
        <v>0</v>
      </c>
      <c r="U419" s="40">
        <f t="shared" si="61"/>
        <v>0</v>
      </c>
      <c r="V419" s="40">
        <f t="shared" si="62"/>
        <v>0</v>
      </c>
      <c r="W419" s="40">
        <f t="shared" si="63"/>
        <v>0</v>
      </c>
      <c r="X419" s="40">
        <f t="shared" si="64"/>
        <v>0</v>
      </c>
      <c r="Y419" s="40">
        <f t="shared" si="65"/>
        <v>0</v>
      </c>
      <c r="Z419" s="40">
        <f t="shared" si="66"/>
        <v>0</v>
      </c>
      <c r="AA419" s="40">
        <f t="shared" si="67"/>
        <v>0</v>
      </c>
      <c r="AB419" s="40">
        <f t="shared" si="68"/>
        <v>0</v>
      </c>
      <c r="AC419" s="40">
        <f t="shared" si="69"/>
        <v>0</v>
      </c>
      <c r="AD419" s="40">
        <f t="shared" si="71"/>
        <v>0</v>
      </c>
      <c r="AE419" s="509">
        <f t="shared" si="70"/>
        <v>0</v>
      </c>
    </row>
    <row r="420" spans="6:31" x14ac:dyDescent="0.35">
      <c r="F420" s="1597">
        <f t="shared" si="51"/>
        <v>0</v>
      </c>
      <c r="G420" s="40"/>
      <c r="H420" s="40"/>
      <c r="I420" s="40"/>
      <c r="J420" s="40">
        <f t="shared" si="52"/>
        <v>0</v>
      </c>
      <c r="K420" s="40"/>
      <c r="L420" s="40">
        <f t="shared" si="53"/>
        <v>0</v>
      </c>
      <c r="M420" s="40"/>
      <c r="N420" s="40">
        <f t="shared" si="54"/>
        <v>0</v>
      </c>
      <c r="O420" s="40">
        <f t="shared" si="55"/>
        <v>0</v>
      </c>
      <c r="P420" s="40">
        <f t="shared" si="56"/>
        <v>0</v>
      </c>
      <c r="Q420" s="40">
        <f t="shared" si="57"/>
        <v>0</v>
      </c>
      <c r="R420" s="40">
        <f t="shared" si="58"/>
        <v>0</v>
      </c>
      <c r="S420" s="40">
        <f t="shared" si="59"/>
        <v>0</v>
      </c>
      <c r="T420" s="40">
        <f t="shared" si="60"/>
        <v>0</v>
      </c>
      <c r="U420" s="40">
        <f t="shared" si="61"/>
        <v>0</v>
      </c>
      <c r="V420" s="40">
        <f t="shared" si="62"/>
        <v>0</v>
      </c>
      <c r="W420" s="40">
        <f t="shared" si="63"/>
        <v>0</v>
      </c>
      <c r="X420" s="40">
        <f t="shared" si="64"/>
        <v>0</v>
      </c>
      <c r="Y420" s="40">
        <f t="shared" si="65"/>
        <v>0</v>
      </c>
      <c r="Z420" s="40">
        <f t="shared" si="66"/>
        <v>0</v>
      </c>
      <c r="AA420" s="40">
        <f t="shared" si="67"/>
        <v>0</v>
      </c>
      <c r="AB420" s="40">
        <f t="shared" si="68"/>
        <v>0</v>
      </c>
      <c r="AC420" s="40">
        <f t="shared" si="69"/>
        <v>0</v>
      </c>
      <c r="AD420" s="40">
        <f t="shared" si="71"/>
        <v>0</v>
      </c>
      <c r="AE420" s="509">
        <f t="shared" si="70"/>
        <v>0</v>
      </c>
    </row>
    <row r="421" spans="6:31" x14ac:dyDescent="0.35">
      <c r="F421" s="1597">
        <f t="shared" si="51"/>
        <v>0</v>
      </c>
      <c r="G421" s="40"/>
      <c r="H421" s="40"/>
      <c r="I421" s="40"/>
      <c r="J421" s="40">
        <f t="shared" si="52"/>
        <v>0</v>
      </c>
      <c r="K421" s="40"/>
      <c r="L421" s="40">
        <f t="shared" si="53"/>
        <v>0</v>
      </c>
      <c r="M421" s="40"/>
      <c r="N421" s="40">
        <f t="shared" si="54"/>
        <v>0</v>
      </c>
      <c r="O421" s="40">
        <f t="shared" si="55"/>
        <v>0</v>
      </c>
      <c r="P421" s="40">
        <f t="shared" si="56"/>
        <v>0</v>
      </c>
      <c r="Q421" s="40">
        <f t="shared" si="57"/>
        <v>0</v>
      </c>
      <c r="R421" s="40">
        <f t="shared" si="58"/>
        <v>0</v>
      </c>
      <c r="S421" s="40">
        <f t="shared" si="59"/>
        <v>0</v>
      </c>
      <c r="T421" s="40">
        <f t="shared" si="60"/>
        <v>0</v>
      </c>
      <c r="U421" s="40">
        <f t="shared" si="61"/>
        <v>0</v>
      </c>
      <c r="V421" s="40">
        <f t="shared" si="62"/>
        <v>0</v>
      </c>
      <c r="W421" s="40">
        <f t="shared" si="63"/>
        <v>0</v>
      </c>
      <c r="X421" s="40">
        <f t="shared" si="64"/>
        <v>0</v>
      </c>
      <c r="Y421" s="40">
        <f t="shared" si="65"/>
        <v>0</v>
      </c>
      <c r="Z421" s="40">
        <f t="shared" si="66"/>
        <v>0</v>
      </c>
      <c r="AA421" s="40">
        <f t="shared" si="67"/>
        <v>0</v>
      </c>
      <c r="AB421" s="40">
        <f t="shared" si="68"/>
        <v>0</v>
      </c>
      <c r="AC421" s="40">
        <f t="shared" si="69"/>
        <v>0</v>
      </c>
      <c r="AD421" s="40">
        <f t="shared" si="71"/>
        <v>0</v>
      </c>
      <c r="AE421" s="509">
        <f t="shared" si="70"/>
        <v>0</v>
      </c>
    </row>
    <row r="422" spans="6:31" x14ac:dyDescent="0.35">
      <c r="F422" s="1597">
        <f t="shared" ref="F422:F429" si="72">IF(OR(G213&lt;&gt;"",H213&lt;&gt;"",L213&lt;&gt;""),1,0)</f>
        <v>0</v>
      </c>
      <c r="G422" s="40"/>
      <c r="H422" s="40"/>
      <c r="I422" s="40"/>
      <c r="J422" s="40">
        <f t="shared" ref="J422:J429" si="73">IF(OR(O213&lt;&gt;"",U213&lt;&gt;"",AB213&lt;&gt;""),1,0)</f>
        <v>0</v>
      </c>
      <c r="K422" s="40"/>
      <c r="L422" s="40">
        <f t="shared" ref="L422:L429" si="74">IF(OR(P213&lt;&gt;"",V213&lt;&gt;"",AC213&lt;&gt;""),1,0)</f>
        <v>0</v>
      </c>
      <c r="M422" s="40"/>
      <c r="N422" s="40">
        <f t="shared" ref="N422:N429" si="75">IF(OR(Q213&lt;&gt;"",W213&lt;&gt;"",AD213&lt;&gt;""),1,0)</f>
        <v>0</v>
      </c>
      <c r="O422" s="40">
        <f t="shared" ref="O422:O429" si="76">IF(OR(L213&lt;&gt;"",AG213&lt;&gt;""),1,0)</f>
        <v>0</v>
      </c>
      <c r="P422" s="40">
        <f t="shared" ref="P422:P429" si="77">IF(OR(L213&lt;&gt;"",AH213&lt;&gt;""),1,0)</f>
        <v>0</v>
      </c>
      <c r="Q422" s="40">
        <f t="shared" ref="Q422:Q429" si="78">IF(OR(AL213&lt;&gt;"",BD213&lt;&gt;"",$BZ213&lt;&gt;""),1,0)</f>
        <v>0</v>
      </c>
      <c r="R422" s="40">
        <f t="shared" ref="R422:R429" si="79">IF(OR(AM213&lt;&gt;"",BE213&lt;&gt;"",$BZ213&lt;&gt;""),1,0)</f>
        <v>0</v>
      </c>
      <c r="S422" s="40">
        <f t="shared" ref="S422:S429" si="80">IF(OR(AN213&lt;&gt;"",BF213&lt;&gt;"",$BZ213&lt;&gt;""),1,0)</f>
        <v>0</v>
      </c>
      <c r="T422" s="40">
        <f t="shared" ref="T422:T429" si="81">IF(OR(AO213&lt;&gt;"",BG213&lt;&gt;"",$BZ213&lt;&gt;""),1,0)</f>
        <v>0</v>
      </c>
      <c r="U422" s="40">
        <f t="shared" ref="U422:U429" si="82">IF(OR(AP213&lt;&gt;"",BH213&lt;&gt;"",$BZ213&lt;&gt;""),1,0)</f>
        <v>0</v>
      </c>
      <c r="V422" s="40">
        <f t="shared" ref="V422:V429" si="83">IF(OR(AQ213&lt;&gt;"",BI213&lt;&gt;"",$BZ213&lt;&gt;""),1,0)</f>
        <v>0</v>
      </c>
      <c r="W422" s="40">
        <f t="shared" ref="W422:W429" si="84">IF(OR(AR213&lt;&gt;"",BJ213&lt;&gt;"",$BZ213&lt;&gt;""),1,0)</f>
        <v>0</v>
      </c>
      <c r="X422" s="40">
        <f t="shared" ref="X422:X429" si="85">IF(OR(AS213&lt;&gt;"",BK213&lt;&gt;"",$BZ213&lt;&gt;""),1,0)</f>
        <v>0</v>
      </c>
      <c r="Y422" s="40">
        <f t="shared" ref="Y422:Y429" si="86">IF(OR(AT213&lt;&gt;"",BL213&lt;&gt;"",$BZ213&lt;&gt;""),1,0)</f>
        <v>0</v>
      </c>
      <c r="Z422" s="40">
        <f t="shared" ref="Z422:Z429" si="87">IF(OR(AU213&lt;&gt;"",BM213&lt;&gt;"",$BZ213&lt;&gt;""),1,0)</f>
        <v>0</v>
      </c>
      <c r="AA422" s="40">
        <f t="shared" ref="AA422:AA429" si="88">IF(OR(AV213&lt;&gt;"",BN213&lt;&gt;"",$BZ213&lt;&gt;""),1,0)</f>
        <v>0</v>
      </c>
      <c r="AB422" s="40">
        <f t="shared" ref="AB422:AB429" si="89">IF(OR(AW213&lt;&gt;"",BO213&lt;&gt;"",$BZ213&lt;&gt;""),1,0)</f>
        <v>0</v>
      </c>
      <c r="AC422" s="40">
        <f t="shared" ref="AC422:AC429" si="90">IF(OR(AX213&lt;&gt;"",BP213&lt;&gt;"",$BZ213&lt;&gt;""),1,0)</f>
        <v>0</v>
      </c>
      <c r="AD422" s="40">
        <f t="shared" si="71"/>
        <v>0</v>
      </c>
      <c r="AE422" s="509">
        <f t="shared" si="70"/>
        <v>0</v>
      </c>
    </row>
    <row r="423" spans="6:31" x14ac:dyDescent="0.35">
      <c r="F423" s="1597">
        <f t="shared" si="72"/>
        <v>0</v>
      </c>
      <c r="G423" s="40"/>
      <c r="H423" s="40"/>
      <c r="I423" s="40"/>
      <c r="J423" s="40">
        <f t="shared" si="73"/>
        <v>0</v>
      </c>
      <c r="K423" s="40"/>
      <c r="L423" s="40">
        <f t="shared" si="74"/>
        <v>0</v>
      </c>
      <c r="M423" s="40"/>
      <c r="N423" s="40">
        <f t="shared" si="75"/>
        <v>0</v>
      </c>
      <c r="O423" s="40">
        <f t="shared" si="76"/>
        <v>0</v>
      </c>
      <c r="P423" s="40">
        <f t="shared" si="77"/>
        <v>0</v>
      </c>
      <c r="Q423" s="40">
        <f t="shared" si="78"/>
        <v>0</v>
      </c>
      <c r="R423" s="40">
        <f t="shared" si="79"/>
        <v>0</v>
      </c>
      <c r="S423" s="40">
        <f t="shared" si="80"/>
        <v>0</v>
      </c>
      <c r="T423" s="40">
        <f t="shared" si="81"/>
        <v>0</v>
      </c>
      <c r="U423" s="40">
        <f t="shared" si="82"/>
        <v>0</v>
      </c>
      <c r="V423" s="40">
        <f t="shared" si="83"/>
        <v>0</v>
      </c>
      <c r="W423" s="40">
        <f t="shared" si="84"/>
        <v>0</v>
      </c>
      <c r="X423" s="40">
        <f t="shared" si="85"/>
        <v>0</v>
      </c>
      <c r="Y423" s="40">
        <f t="shared" si="86"/>
        <v>0</v>
      </c>
      <c r="Z423" s="40">
        <f t="shared" si="87"/>
        <v>0</v>
      </c>
      <c r="AA423" s="40">
        <f t="shared" si="88"/>
        <v>0</v>
      </c>
      <c r="AB423" s="40">
        <f t="shared" si="89"/>
        <v>0</v>
      </c>
      <c r="AC423" s="40">
        <f t="shared" si="90"/>
        <v>0</v>
      </c>
      <c r="AD423" s="40">
        <f t="shared" si="71"/>
        <v>0</v>
      </c>
      <c r="AE423" s="509">
        <f t="shared" ref="AE423:AE429" si="91">IF(OR(AZ214&lt;&gt;"",BR214&lt;&gt;"",$BZ214&lt;&gt;""),1,0)</f>
        <v>0</v>
      </c>
    </row>
    <row r="424" spans="6:31" x14ac:dyDescent="0.35">
      <c r="F424" s="1597">
        <f t="shared" si="72"/>
        <v>0</v>
      </c>
      <c r="G424" s="40"/>
      <c r="H424" s="40"/>
      <c r="I424" s="40"/>
      <c r="J424" s="40">
        <f t="shared" si="73"/>
        <v>0</v>
      </c>
      <c r="K424" s="40"/>
      <c r="L424" s="40">
        <f t="shared" si="74"/>
        <v>0</v>
      </c>
      <c r="M424" s="40"/>
      <c r="N424" s="40">
        <f t="shared" si="75"/>
        <v>0</v>
      </c>
      <c r="O424" s="40">
        <f t="shared" si="76"/>
        <v>0</v>
      </c>
      <c r="P424" s="40">
        <f t="shared" si="77"/>
        <v>0</v>
      </c>
      <c r="Q424" s="40">
        <f t="shared" si="78"/>
        <v>0</v>
      </c>
      <c r="R424" s="40">
        <f t="shared" si="79"/>
        <v>0</v>
      </c>
      <c r="S424" s="40">
        <f t="shared" si="80"/>
        <v>0</v>
      </c>
      <c r="T424" s="40">
        <f t="shared" si="81"/>
        <v>0</v>
      </c>
      <c r="U424" s="40">
        <f t="shared" si="82"/>
        <v>0</v>
      </c>
      <c r="V424" s="40">
        <f t="shared" si="83"/>
        <v>0</v>
      </c>
      <c r="W424" s="40">
        <f t="shared" si="84"/>
        <v>0</v>
      </c>
      <c r="X424" s="40">
        <f t="shared" si="85"/>
        <v>0</v>
      </c>
      <c r="Y424" s="40">
        <f t="shared" si="86"/>
        <v>0</v>
      </c>
      <c r="Z424" s="40">
        <f t="shared" si="87"/>
        <v>0</v>
      </c>
      <c r="AA424" s="40">
        <f t="shared" si="88"/>
        <v>0</v>
      </c>
      <c r="AB424" s="40">
        <f t="shared" si="89"/>
        <v>0</v>
      </c>
      <c r="AC424" s="40">
        <f t="shared" si="90"/>
        <v>0</v>
      </c>
      <c r="AD424" s="40">
        <f t="shared" si="71"/>
        <v>0</v>
      </c>
      <c r="AE424" s="509">
        <f t="shared" si="91"/>
        <v>0</v>
      </c>
    </row>
    <row r="425" spans="6:31" x14ac:dyDescent="0.35">
      <c r="F425" s="1597">
        <f t="shared" si="72"/>
        <v>0</v>
      </c>
      <c r="G425" s="40"/>
      <c r="H425" s="40"/>
      <c r="I425" s="40"/>
      <c r="J425" s="40">
        <f t="shared" si="73"/>
        <v>0</v>
      </c>
      <c r="K425" s="40"/>
      <c r="L425" s="40">
        <f t="shared" si="74"/>
        <v>0</v>
      </c>
      <c r="M425" s="40"/>
      <c r="N425" s="40">
        <f t="shared" si="75"/>
        <v>0</v>
      </c>
      <c r="O425" s="40">
        <f t="shared" si="76"/>
        <v>0</v>
      </c>
      <c r="P425" s="40">
        <f t="shared" si="77"/>
        <v>0</v>
      </c>
      <c r="Q425" s="40">
        <f t="shared" si="78"/>
        <v>0</v>
      </c>
      <c r="R425" s="40">
        <f t="shared" si="79"/>
        <v>0</v>
      </c>
      <c r="S425" s="40">
        <f t="shared" si="80"/>
        <v>0</v>
      </c>
      <c r="T425" s="40">
        <f t="shared" si="81"/>
        <v>0</v>
      </c>
      <c r="U425" s="40">
        <f t="shared" si="82"/>
        <v>0</v>
      </c>
      <c r="V425" s="40">
        <f t="shared" si="83"/>
        <v>0</v>
      </c>
      <c r="W425" s="40">
        <f t="shared" si="84"/>
        <v>0</v>
      </c>
      <c r="X425" s="40">
        <f t="shared" si="85"/>
        <v>0</v>
      </c>
      <c r="Y425" s="40">
        <f t="shared" si="86"/>
        <v>0</v>
      </c>
      <c r="Z425" s="40">
        <f t="shared" si="87"/>
        <v>0</v>
      </c>
      <c r="AA425" s="40">
        <f t="shared" si="88"/>
        <v>0</v>
      </c>
      <c r="AB425" s="40">
        <f t="shared" si="89"/>
        <v>0</v>
      </c>
      <c r="AC425" s="40">
        <f t="shared" si="90"/>
        <v>0</v>
      </c>
      <c r="AD425" s="40">
        <f t="shared" si="71"/>
        <v>0</v>
      </c>
      <c r="AE425" s="509">
        <f t="shared" si="91"/>
        <v>0</v>
      </c>
    </row>
    <row r="426" spans="6:31" x14ac:dyDescent="0.35">
      <c r="F426" s="1597">
        <f t="shared" si="72"/>
        <v>0</v>
      </c>
      <c r="G426" s="40"/>
      <c r="H426" s="40"/>
      <c r="I426" s="40"/>
      <c r="J426" s="40">
        <f t="shared" si="73"/>
        <v>0</v>
      </c>
      <c r="K426" s="40"/>
      <c r="L426" s="40">
        <f t="shared" si="74"/>
        <v>0</v>
      </c>
      <c r="M426" s="40"/>
      <c r="N426" s="40">
        <f t="shared" si="75"/>
        <v>0</v>
      </c>
      <c r="O426" s="40">
        <f t="shared" si="76"/>
        <v>0</v>
      </c>
      <c r="P426" s="40">
        <f t="shared" si="77"/>
        <v>0</v>
      </c>
      <c r="Q426" s="40">
        <f t="shared" si="78"/>
        <v>0</v>
      </c>
      <c r="R426" s="40">
        <f t="shared" si="79"/>
        <v>0</v>
      </c>
      <c r="S426" s="40">
        <f t="shared" si="80"/>
        <v>0</v>
      </c>
      <c r="T426" s="40">
        <f t="shared" si="81"/>
        <v>0</v>
      </c>
      <c r="U426" s="40">
        <f t="shared" si="82"/>
        <v>0</v>
      </c>
      <c r="V426" s="40">
        <f t="shared" si="83"/>
        <v>0</v>
      </c>
      <c r="W426" s="40">
        <f t="shared" si="84"/>
        <v>0</v>
      </c>
      <c r="X426" s="40">
        <f t="shared" si="85"/>
        <v>0</v>
      </c>
      <c r="Y426" s="40">
        <f t="shared" si="86"/>
        <v>0</v>
      </c>
      <c r="Z426" s="40">
        <f t="shared" si="87"/>
        <v>0</v>
      </c>
      <c r="AA426" s="40">
        <f t="shared" si="88"/>
        <v>0</v>
      </c>
      <c r="AB426" s="40">
        <f t="shared" si="89"/>
        <v>0</v>
      </c>
      <c r="AC426" s="40">
        <f t="shared" si="90"/>
        <v>0</v>
      </c>
      <c r="AD426" s="40">
        <f t="shared" si="71"/>
        <v>0</v>
      </c>
      <c r="AE426" s="509">
        <f t="shared" si="91"/>
        <v>0</v>
      </c>
    </row>
    <row r="427" spans="6:31" x14ac:dyDescent="0.35">
      <c r="F427" s="1597">
        <f t="shared" si="72"/>
        <v>0</v>
      </c>
      <c r="G427" s="40"/>
      <c r="H427" s="40"/>
      <c r="I427" s="40"/>
      <c r="J427" s="40">
        <f t="shared" si="73"/>
        <v>0</v>
      </c>
      <c r="K427" s="40"/>
      <c r="L427" s="40">
        <f t="shared" si="74"/>
        <v>0</v>
      </c>
      <c r="M427" s="40"/>
      <c r="N427" s="40">
        <f t="shared" si="75"/>
        <v>0</v>
      </c>
      <c r="O427" s="40">
        <f t="shared" si="76"/>
        <v>0</v>
      </c>
      <c r="P427" s="40">
        <f t="shared" si="77"/>
        <v>0</v>
      </c>
      <c r="Q427" s="40">
        <f t="shared" si="78"/>
        <v>0</v>
      </c>
      <c r="R427" s="40">
        <f t="shared" si="79"/>
        <v>0</v>
      </c>
      <c r="S427" s="40">
        <f t="shared" si="80"/>
        <v>0</v>
      </c>
      <c r="T427" s="40">
        <f t="shared" si="81"/>
        <v>0</v>
      </c>
      <c r="U427" s="40">
        <f t="shared" si="82"/>
        <v>0</v>
      </c>
      <c r="V427" s="40">
        <f t="shared" si="83"/>
        <v>0</v>
      </c>
      <c r="W427" s="40">
        <f t="shared" si="84"/>
        <v>0</v>
      </c>
      <c r="X427" s="40">
        <f t="shared" si="85"/>
        <v>0</v>
      </c>
      <c r="Y427" s="40">
        <f t="shared" si="86"/>
        <v>0</v>
      </c>
      <c r="Z427" s="40">
        <f t="shared" si="87"/>
        <v>0</v>
      </c>
      <c r="AA427" s="40">
        <f t="shared" si="88"/>
        <v>0</v>
      </c>
      <c r="AB427" s="40">
        <f t="shared" si="89"/>
        <v>0</v>
      </c>
      <c r="AC427" s="40">
        <f t="shared" si="90"/>
        <v>0</v>
      </c>
      <c r="AD427" s="40">
        <f t="shared" si="71"/>
        <v>0</v>
      </c>
      <c r="AE427" s="509">
        <f t="shared" si="91"/>
        <v>0</v>
      </c>
    </row>
    <row r="428" spans="6:31" x14ac:dyDescent="0.35">
      <c r="F428" s="1597">
        <f t="shared" si="72"/>
        <v>0</v>
      </c>
      <c r="G428" s="40"/>
      <c r="H428" s="40"/>
      <c r="I428" s="40"/>
      <c r="J428" s="40">
        <f t="shared" si="73"/>
        <v>0</v>
      </c>
      <c r="K428" s="40"/>
      <c r="L428" s="40">
        <f t="shared" si="74"/>
        <v>0</v>
      </c>
      <c r="M428" s="40"/>
      <c r="N428" s="40">
        <f t="shared" si="75"/>
        <v>0</v>
      </c>
      <c r="O428" s="40">
        <f t="shared" si="76"/>
        <v>0</v>
      </c>
      <c r="P428" s="40">
        <f t="shared" si="77"/>
        <v>0</v>
      </c>
      <c r="Q428" s="40">
        <f t="shared" si="78"/>
        <v>0</v>
      </c>
      <c r="R428" s="40">
        <f t="shared" si="79"/>
        <v>0</v>
      </c>
      <c r="S428" s="40">
        <f t="shared" si="80"/>
        <v>0</v>
      </c>
      <c r="T428" s="40">
        <f t="shared" si="81"/>
        <v>0</v>
      </c>
      <c r="U428" s="40">
        <f t="shared" si="82"/>
        <v>0</v>
      </c>
      <c r="V428" s="40">
        <f t="shared" si="83"/>
        <v>0</v>
      </c>
      <c r="W428" s="40">
        <f t="shared" si="84"/>
        <v>0</v>
      </c>
      <c r="X428" s="40">
        <f t="shared" si="85"/>
        <v>0</v>
      </c>
      <c r="Y428" s="40">
        <f t="shared" si="86"/>
        <v>0</v>
      </c>
      <c r="Z428" s="40">
        <f t="shared" si="87"/>
        <v>0</v>
      </c>
      <c r="AA428" s="40">
        <f t="shared" si="88"/>
        <v>0</v>
      </c>
      <c r="AB428" s="40">
        <f t="shared" si="89"/>
        <v>0</v>
      </c>
      <c r="AC428" s="40">
        <f t="shared" si="90"/>
        <v>0</v>
      </c>
      <c r="AD428" s="40">
        <f t="shared" si="71"/>
        <v>0</v>
      </c>
      <c r="AE428" s="509">
        <f t="shared" si="91"/>
        <v>0</v>
      </c>
    </row>
    <row r="429" spans="6:31" x14ac:dyDescent="0.35">
      <c r="F429" s="510">
        <f t="shared" si="72"/>
        <v>0</v>
      </c>
      <c r="G429" s="511"/>
      <c r="H429" s="511"/>
      <c r="I429" s="511"/>
      <c r="J429" s="511">
        <f t="shared" si="73"/>
        <v>0</v>
      </c>
      <c r="K429" s="511"/>
      <c r="L429" s="511">
        <f t="shared" si="74"/>
        <v>0</v>
      </c>
      <c r="M429" s="511"/>
      <c r="N429" s="511">
        <f t="shared" si="75"/>
        <v>0</v>
      </c>
      <c r="O429" s="511">
        <f t="shared" si="76"/>
        <v>0</v>
      </c>
      <c r="P429" s="511">
        <f t="shared" si="77"/>
        <v>0</v>
      </c>
      <c r="Q429" s="511">
        <f t="shared" si="78"/>
        <v>0</v>
      </c>
      <c r="R429" s="511">
        <f t="shared" si="79"/>
        <v>0</v>
      </c>
      <c r="S429" s="511">
        <f t="shared" si="80"/>
        <v>0</v>
      </c>
      <c r="T429" s="511">
        <f t="shared" si="81"/>
        <v>0</v>
      </c>
      <c r="U429" s="511">
        <f t="shared" si="82"/>
        <v>0</v>
      </c>
      <c r="V429" s="511">
        <f t="shared" si="83"/>
        <v>0</v>
      </c>
      <c r="W429" s="511">
        <f t="shared" si="84"/>
        <v>0</v>
      </c>
      <c r="X429" s="511">
        <f t="shared" si="85"/>
        <v>0</v>
      </c>
      <c r="Y429" s="511">
        <f t="shared" si="86"/>
        <v>0</v>
      </c>
      <c r="Z429" s="511">
        <f t="shared" si="87"/>
        <v>0</v>
      </c>
      <c r="AA429" s="511">
        <f t="shared" si="88"/>
        <v>0</v>
      </c>
      <c r="AB429" s="511">
        <f t="shared" si="89"/>
        <v>0</v>
      </c>
      <c r="AC429" s="511">
        <f t="shared" si="90"/>
        <v>0</v>
      </c>
      <c r="AD429" s="511">
        <f t="shared" si="71"/>
        <v>0</v>
      </c>
      <c r="AE429" s="512">
        <f t="shared" si="91"/>
        <v>0</v>
      </c>
    </row>
  </sheetData>
  <sheetProtection algorithmName="SHA-512" hashValue="NeGUJ+ZzaxbuA1IKIrI5+bDaNxNKGLPX0mwQ9E9nYu2lHVfd0ITtecXL+IDp14OgUjoIWyCIqBtAGns2Qc0rkQ==" saltValue="/kxiA9vNZe1V36832ophhQ==" spinCount="100000" sheet="1" objects="1" scenarios="1"/>
  <mergeCells count="6">
    <mergeCell ref="CB14:CD15"/>
    <mergeCell ref="Y19:Z19"/>
    <mergeCell ref="AG14:AI15"/>
    <mergeCell ref="G14:H16"/>
    <mergeCell ref="BY14:CA15"/>
    <mergeCell ref="J14:M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H10315"/>
  <sheetViews>
    <sheetView workbookViewId="0"/>
  </sheetViews>
  <sheetFormatPr defaultColWidth="9" defaultRowHeight="12.75" x14ac:dyDescent="0.35"/>
  <cols>
    <col min="1" max="1" width="19.86328125" style="77" customWidth="1"/>
    <col min="2" max="2" width="16.1328125" style="75" customWidth="1"/>
    <col min="3" max="3" width="58.1328125" style="75" customWidth="1"/>
    <col min="4" max="6" width="9" style="75" customWidth="1"/>
    <col min="7" max="7" width="17.1328125" style="75" customWidth="1"/>
    <col min="8" max="16384" width="9" style="75"/>
  </cols>
  <sheetData>
    <row r="1" spans="1:8" ht="13.15" x14ac:dyDescent="0.4">
      <c r="A1" s="529" t="s">
        <v>391</v>
      </c>
      <c r="B1" s="530">
        <v>45211</v>
      </c>
      <c r="C1" s="75" t="s">
        <v>29377</v>
      </c>
    </row>
    <row r="2" spans="1:8" x14ac:dyDescent="0.35">
      <c r="A2" s="175"/>
    </row>
    <row r="3" spans="1:8" ht="49.5" customHeight="1" x14ac:dyDescent="0.35">
      <c r="A3" s="176" t="s">
        <v>392</v>
      </c>
      <c r="B3" s="76"/>
      <c r="C3" s="52" t="s">
        <v>304</v>
      </c>
      <c r="D3" s="82" t="s">
        <v>197</v>
      </c>
      <c r="E3" s="82" t="s">
        <v>198</v>
      </c>
      <c r="F3" s="82" t="s">
        <v>199</v>
      </c>
      <c r="G3" s="82" t="s">
        <v>57</v>
      </c>
    </row>
    <row r="4" spans="1:8" x14ac:dyDescent="0.35">
      <c r="A4" s="627" t="s">
        <v>393</v>
      </c>
      <c r="B4" s="627" t="s">
        <v>393</v>
      </c>
      <c r="C4" s="627" t="s">
        <v>394</v>
      </c>
      <c r="D4" s="627" t="s">
        <v>203</v>
      </c>
      <c r="E4" s="627"/>
      <c r="F4" s="627"/>
      <c r="G4" s="627" t="s">
        <v>395</v>
      </c>
      <c r="H4" s="53"/>
    </row>
    <row r="5" spans="1:8" x14ac:dyDescent="0.35">
      <c r="A5" s="627" t="s">
        <v>396</v>
      </c>
      <c r="B5" s="627" t="s">
        <v>396</v>
      </c>
      <c r="C5" s="627" t="s">
        <v>394</v>
      </c>
      <c r="D5" s="627" t="s">
        <v>225</v>
      </c>
      <c r="E5" s="627"/>
      <c r="F5" s="627"/>
      <c r="G5" s="627" t="s">
        <v>395</v>
      </c>
      <c r="H5" s="53"/>
    </row>
    <row r="6" spans="1:8" x14ac:dyDescent="0.35">
      <c r="A6" s="627" t="s">
        <v>397</v>
      </c>
      <c r="B6" s="627" t="s">
        <v>397</v>
      </c>
      <c r="C6" s="627" t="s">
        <v>394</v>
      </c>
      <c r="D6" s="627" t="s">
        <v>238</v>
      </c>
      <c r="E6" s="627"/>
      <c r="F6" s="627"/>
      <c r="G6" s="627" t="s">
        <v>395</v>
      </c>
    </row>
    <row r="7" spans="1:8" x14ac:dyDescent="0.35">
      <c r="A7" s="627" t="s">
        <v>398</v>
      </c>
      <c r="B7" s="627" t="s">
        <v>398</v>
      </c>
      <c r="C7" s="627" t="s">
        <v>394</v>
      </c>
      <c r="D7" s="627" t="s">
        <v>251</v>
      </c>
      <c r="E7" s="627"/>
      <c r="F7" s="627"/>
      <c r="G7" s="627" t="s">
        <v>395</v>
      </c>
    </row>
    <row r="8" spans="1:8" x14ac:dyDescent="0.35">
      <c r="A8" s="627" t="s">
        <v>399</v>
      </c>
      <c r="B8" s="627" t="s">
        <v>399</v>
      </c>
      <c r="C8" s="627" t="s">
        <v>394</v>
      </c>
      <c r="D8" s="627" t="s">
        <v>264</v>
      </c>
      <c r="E8" s="627"/>
      <c r="F8" s="627"/>
      <c r="G8" s="627" t="s">
        <v>395</v>
      </c>
    </row>
    <row r="9" spans="1:8" x14ac:dyDescent="0.35">
      <c r="A9" s="627" t="s">
        <v>400</v>
      </c>
      <c r="B9" s="627" t="s">
        <v>400</v>
      </c>
      <c r="C9" s="627" t="s">
        <v>394</v>
      </c>
      <c r="D9" s="627" t="s">
        <v>277</v>
      </c>
      <c r="E9" s="627"/>
      <c r="F9" s="627"/>
      <c r="G9" s="627" t="s">
        <v>395</v>
      </c>
    </row>
    <row r="10" spans="1:8" x14ac:dyDescent="0.35">
      <c r="A10" s="627" t="s">
        <v>401</v>
      </c>
      <c r="B10" s="627" t="s">
        <v>401</v>
      </c>
      <c r="C10" s="627" t="s">
        <v>394</v>
      </c>
      <c r="D10" s="627" t="s">
        <v>225</v>
      </c>
      <c r="E10" s="627" t="s">
        <v>238</v>
      </c>
      <c r="F10" s="627"/>
      <c r="G10" s="627" t="s">
        <v>395</v>
      </c>
    </row>
    <row r="11" spans="1:8" x14ac:dyDescent="0.35">
      <c r="A11" s="627" t="s">
        <v>402</v>
      </c>
      <c r="B11" s="627" t="s">
        <v>402</v>
      </c>
      <c r="C11" s="627" t="s">
        <v>394</v>
      </c>
      <c r="D11" s="627" t="s">
        <v>225</v>
      </c>
      <c r="E11" s="627" t="s">
        <v>251</v>
      </c>
      <c r="F11" s="627"/>
      <c r="G11" s="627" t="s">
        <v>395</v>
      </c>
    </row>
    <row r="12" spans="1:8" x14ac:dyDescent="0.35">
      <c r="A12" s="627" t="s">
        <v>403</v>
      </c>
      <c r="B12" s="627" t="s">
        <v>403</v>
      </c>
      <c r="C12" s="627" t="s">
        <v>394</v>
      </c>
      <c r="D12" s="627" t="s">
        <v>225</v>
      </c>
      <c r="E12" s="627" t="s">
        <v>264</v>
      </c>
      <c r="F12" s="627"/>
      <c r="G12" s="627" t="s">
        <v>395</v>
      </c>
    </row>
    <row r="13" spans="1:8" x14ac:dyDescent="0.35">
      <c r="A13" s="627" t="s">
        <v>404</v>
      </c>
      <c r="B13" s="627" t="s">
        <v>404</v>
      </c>
      <c r="C13" s="627" t="s">
        <v>394</v>
      </c>
      <c r="D13" s="627" t="s">
        <v>225</v>
      </c>
      <c r="E13" s="627" t="s">
        <v>277</v>
      </c>
      <c r="F13" s="627"/>
      <c r="G13" s="627" t="s">
        <v>395</v>
      </c>
    </row>
    <row r="14" spans="1:8" x14ac:dyDescent="0.35">
      <c r="A14" s="627" t="s">
        <v>405</v>
      </c>
      <c r="B14" s="627" t="s">
        <v>405</v>
      </c>
      <c r="C14" s="627" t="s">
        <v>394</v>
      </c>
      <c r="D14" s="627" t="s">
        <v>238</v>
      </c>
      <c r="E14" s="627" t="s">
        <v>251</v>
      </c>
      <c r="F14" s="627"/>
      <c r="G14" s="627" t="s">
        <v>395</v>
      </c>
      <c r="H14"/>
    </row>
    <row r="15" spans="1:8" x14ac:dyDescent="0.35">
      <c r="A15" s="627" t="s">
        <v>406</v>
      </c>
      <c r="B15" s="627" t="s">
        <v>406</v>
      </c>
      <c r="C15" s="627" t="s">
        <v>394</v>
      </c>
      <c r="D15" s="627" t="s">
        <v>238</v>
      </c>
      <c r="E15" s="627" t="s">
        <v>264</v>
      </c>
      <c r="F15" s="627"/>
      <c r="G15" s="627" t="s">
        <v>395</v>
      </c>
      <c r="H15"/>
    </row>
    <row r="16" spans="1:8" x14ac:dyDescent="0.35">
      <c r="A16" s="627" t="s">
        <v>407</v>
      </c>
      <c r="B16" s="627" t="s">
        <v>407</v>
      </c>
      <c r="C16" s="627" t="s">
        <v>394</v>
      </c>
      <c r="D16" s="627" t="s">
        <v>238</v>
      </c>
      <c r="E16" s="627" t="s">
        <v>277</v>
      </c>
      <c r="F16" s="627"/>
      <c r="G16" s="627" t="s">
        <v>395</v>
      </c>
      <c r="H16"/>
    </row>
    <row r="17" spans="1:8" x14ac:dyDescent="0.35">
      <c r="A17" s="627" t="s">
        <v>408</v>
      </c>
      <c r="B17" s="627" t="s">
        <v>408</v>
      </c>
      <c r="C17" s="627" t="s">
        <v>394</v>
      </c>
      <c r="D17" s="627" t="s">
        <v>251</v>
      </c>
      <c r="E17" s="627" t="s">
        <v>264</v>
      </c>
      <c r="F17" s="627"/>
      <c r="G17" s="627" t="s">
        <v>395</v>
      </c>
      <c r="H17"/>
    </row>
    <row r="18" spans="1:8" x14ac:dyDescent="0.35">
      <c r="A18" s="627" t="s">
        <v>409</v>
      </c>
      <c r="B18" s="627" t="s">
        <v>409</v>
      </c>
      <c r="C18" s="627" t="s">
        <v>394</v>
      </c>
      <c r="D18" s="627" t="s">
        <v>251</v>
      </c>
      <c r="E18" s="627" t="s">
        <v>277</v>
      </c>
      <c r="F18" s="627"/>
      <c r="G18" s="627" t="s">
        <v>395</v>
      </c>
      <c r="H18"/>
    </row>
    <row r="19" spans="1:8" x14ac:dyDescent="0.35">
      <c r="A19" s="627" t="s">
        <v>410</v>
      </c>
      <c r="B19" s="627" t="s">
        <v>410</v>
      </c>
      <c r="C19" s="627" t="s">
        <v>394</v>
      </c>
      <c r="D19" s="627" t="s">
        <v>264</v>
      </c>
      <c r="E19" s="627" t="s">
        <v>277</v>
      </c>
      <c r="F19" s="627"/>
      <c r="G19" s="627" t="s">
        <v>395</v>
      </c>
      <c r="H19"/>
    </row>
    <row r="20" spans="1:8" x14ac:dyDescent="0.35">
      <c r="A20" s="627" t="s">
        <v>411</v>
      </c>
      <c r="B20" s="627" t="s">
        <v>411</v>
      </c>
      <c r="C20" s="627" t="s">
        <v>394</v>
      </c>
      <c r="D20" s="627" t="s">
        <v>225</v>
      </c>
      <c r="E20" s="627" t="s">
        <v>238</v>
      </c>
      <c r="F20" s="627" t="s">
        <v>251</v>
      </c>
      <c r="G20" s="627" t="s">
        <v>395</v>
      </c>
      <c r="H20"/>
    </row>
    <row r="21" spans="1:8" x14ac:dyDescent="0.35">
      <c r="A21" s="627" t="s">
        <v>412</v>
      </c>
      <c r="B21" s="627" t="s">
        <v>412</v>
      </c>
      <c r="C21" s="627" t="s">
        <v>394</v>
      </c>
      <c r="D21" s="627" t="s">
        <v>225</v>
      </c>
      <c r="E21" s="627" t="s">
        <v>238</v>
      </c>
      <c r="F21" s="627" t="s">
        <v>264</v>
      </c>
      <c r="G21" s="627" t="s">
        <v>395</v>
      </c>
      <c r="H21"/>
    </row>
    <row r="22" spans="1:8" x14ac:dyDescent="0.35">
      <c r="A22" s="627" t="s">
        <v>413</v>
      </c>
      <c r="B22" s="627" t="s">
        <v>413</v>
      </c>
      <c r="C22" s="627" t="s">
        <v>394</v>
      </c>
      <c r="D22" s="627" t="s">
        <v>225</v>
      </c>
      <c r="E22" s="627" t="s">
        <v>238</v>
      </c>
      <c r="F22" s="627" t="s">
        <v>277</v>
      </c>
      <c r="G22" s="627" t="s">
        <v>395</v>
      </c>
      <c r="H22"/>
    </row>
    <row r="23" spans="1:8" x14ac:dyDescent="0.35">
      <c r="A23" s="627" t="s">
        <v>414</v>
      </c>
      <c r="B23" s="627" t="s">
        <v>414</v>
      </c>
      <c r="C23" s="627" t="s">
        <v>394</v>
      </c>
      <c r="D23" s="627" t="s">
        <v>225</v>
      </c>
      <c r="E23" s="627" t="s">
        <v>251</v>
      </c>
      <c r="F23" s="627" t="s">
        <v>264</v>
      </c>
      <c r="G23" s="627" t="s">
        <v>395</v>
      </c>
      <c r="H23"/>
    </row>
    <row r="24" spans="1:8" x14ac:dyDescent="0.35">
      <c r="A24" s="627" t="s">
        <v>415</v>
      </c>
      <c r="B24" s="627" t="s">
        <v>415</v>
      </c>
      <c r="C24" s="627" t="s">
        <v>394</v>
      </c>
      <c r="D24" s="627" t="s">
        <v>225</v>
      </c>
      <c r="E24" s="627" t="s">
        <v>251</v>
      </c>
      <c r="F24" s="627" t="s">
        <v>277</v>
      </c>
      <c r="G24" s="627" t="s">
        <v>395</v>
      </c>
      <c r="H24"/>
    </row>
    <row r="25" spans="1:8" x14ac:dyDescent="0.35">
      <c r="A25" s="627" t="s">
        <v>416</v>
      </c>
      <c r="B25" s="627" t="s">
        <v>416</v>
      </c>
      <c r="C25" s="627" t="s">
        <v>394</v>
      </c>
      <c r="D25" s="627" t="s">
        <v>225</v>
      </c>
      <c r="E25" s="627" t="s">
        <v>264</v>
      </c>
      <c r="F25" s="627" t="s">
        <v>277</v>
      </c>
      <c r="G25" s="627" t="s">
        <v>395</v>
      </c>
      <c r="H25"/>
    </row>
    <row r="26" spans="1:8" x14ac:dyDescent="0.35">
      <c r="A26" s="627" t="s">
        <v>417</v>
      </c>
      <c r="B26" s="627" t="s">
        <v>417</v>
      </c>
      <c r="C26" s="627" t="s">
        <v>394</v>
      </c>
      <c r="D26" s="627" t="s">
        <v>238</v>
      </c>
      <c r="E26" s="627" t="s">
        <v>251</v>
      </c>
      <c r="F26" s="627" t="s">
        <v>264</v>
      </c>
      <c r="G26" s="627" t="s">
        <v>395</v>
      </c>
      <c r="H26"/>
    </row>
    <row r="27" spans="1:8" x14ac:dyDescent="0.35">
      <c r="A27" s="627" t="s">
        <v>418</v>
      </c>
      <c r="B27" s="627" t="s">
        <v>418</v>
      </c>
      <c r="C27" s="627" t="s">
        <v>394</v>
      </c>
      <c r="D27" s="627" t="s">
        <v>238</v>
      </c>
      <c r="E27" s="627" t="s">
        <v>251</v>
      </c>
      <c r="F27" s="627" t="s">
        <v>277</v>
      </c>
      <c r="G27" s="627" t="s">
        <v>395</v>
      </c>
      <c r="H27"/>
    </row>
    <row r="28" spans="1:8" x14ac:dyDescent="0.35">
      <c r="A28" s="627" t="s">
        <v>419</v>
      </c>
      <c r="B28" s="627" t="s">
        <v>419</v>
      </c>
      <c r="C28" s="627" t="s">
        <v>394</v>
      </c>
      <c r="D28" s="627" t="s">
        <v>238</v>
      </c>
      <c r="E28" s="627" t="s">
        <v>264</v>
      </c>
      <c r="F28" s="627" t="s">
        <v>277</v>
      </c>
      <c r="G28" s="627" t="s">
        <v>395</v>
      </c>
      <c r="H28"/>
    </row>
    <row r="29" spans="1:8" x14ac:dyDescent="0.35">
      <c r="A29" s="627" t="s">
        <v>420</v>
      </c>
      <c r="B29" s="627" t="s">
        <v>420</v>
      </c>
      <c r="C29" s="627" t="s">
        <v>394</v>
      </c>
      <c r="D29" s="627" t="s">
        <v>251</v>
      </c>
      <c r="E29" s="627" t="s">
        <v>264</v>
      </c>
      <c r="F29" s="627" t="s">
        <v>277</v>
      </c>
      <c r="G29" s="627" t="s">
        <v>395</v>
      </c>
      <c r="H29"/>
    </row>
    <row r="30" spans="1:8" x14ac:dyDescent="0.35">
      <c r="A30" s="528" t="s">
        <v>421</v>
      </c>
      <c r="B30" s="528" t="s">
        <v>422</v>
      </c>
      <c r="C30" s="528" t="s">
        <v>423</v>
      </c>
      <c r="D30" s="528" t="s">
        <v>264</v>
      </c>
      <c r="E30" s="528"/>
      <c r="F30" s="528"/>
      <c r="G30" s="528" t="s">
        <v>205</v>
      </c>
      <c r="H30"/>
    </row>
    <row r="31" spans="1:8" x14ac:dyDescent="0.35">
      <c r="A31" s="528" t="s">
        <v>424</v>
      </c>
      <c r="B31" s="528" t="s">
        <v>425</v>
      </c>
      <c r="C31" s="528" t="s">
        <v>426</v>
      </c>
      <c r="D31" s="528" t="s">
        <v>225</v>
      </c>
      <c r="E31" s="528" t="s">
        <v>264</v>
      </c>
      <c r="F31" s="528"/>
      <c r="G31" s="528" t="s">
        <v>205</v>
      </c>
      <c r="H31"/>
    </row>
    <row r="32" spans="1:8" x14ac:dyDescent="0.35">
      <c r="A32" s="528" t="s">
        <v>427</v>
      </c>
      <c r="B32" s="528" t="s">
        <v>428</v>
      </c>
      <c r="C32" s="528" t="s">
        <v>429</v>
      </c>
      <c r="D32" s="528" t="s">
        <v>264</v>
      </c>
      <c r="E32" s="528"/>
      <c r="F32" s="528"/>
      <c r="G32" s="528" t="s">
        <v>205</v>
      </c>
      <c r="H32"/>
    </row>
    <row r="33" spans="1:8" x14ac:dyDescent="0.35">
      <c r="A33" s="528" t="s">
        <v>430</v>
      </c>
      <c r="B33" s="528" t="s">
        <v>431</v>
      </c>
      <c r="C33" s="528" t="s">
        <v>432</v>
      </c>
      <c r="D33" s="528" t="s">
        <v>277</v>
      </c>
      <c r="E33" s="528"/>
      <c r="F33" s="528"/>
      <c r="G33" s="528" t="s">
        <v>205</v>
      </c>
      <c r="H33"/>
    </row>
    <row r="34" spans="1:8" x14ac:dyDescent="0.35">
      <c r="A34" s="528" t="s">
        <v>433</v>
      </c>
      <c r="B34" s="528" t="s">
        <v>434</v>
      </c>
      <c r="C34" s="528" t="s">
        <v>435</v>
      </c>
      <c r="D34" s="528" t="s">
        <v>277</v>
      </c>
      <c r="E34" s="528"/>
      <c r="F34" s="528"/>
      <c r="G34" s="528" t="s">
        <v>205</v>
      </c>
      <c r="H34"/>
    </row>
    <row r="35" spans="1:8" x14ac:dyDescent="0.35">
      <c r="A35" s="528" t="s">
        <v>436</v>
      </c>
      <c r="B35" s="528" t="s">
        <v>437</v>
      </c>
      <c r="C35" s="528" t="s">
        <v>438</v>
      </c>
      <c r="D35" s="528" t="s">
        <v>225</v>
      </c>
      <c r="E35" s="528"/>
      <c r="F35" s="528"/>
      <c r="G35" s="528" t="s">
        <v>205</v>
      </c>
      <c r="H35"/>
    </row>
    <row r="36" spans="1:8" x14ac:dyDescent="0.35">
      <c r="A36" s="528" t="s">
        <v>439</v>
      </c>
      <c r="B36" s="528" t="s">
        <v>440</v>
      </c>
      <c r="C36" s="528" t="s">
        <v>441</v>
      </c>
      <c r="D36" s="528" t="s">
        <v>238</v>
      </c>
      <c r="E36" s="528"/>
      <c r="F36" s="528"/>
      <c r="G36" s="528" t="s">
        <v>205</v>
      </c>
      <c r="H36"/>
    </row>
    <row r="37" spans="1:8" x14ac:dyDescent="0.35">
      <c r="A37" s="528" t="s">
        <v>442</v>
      </c>
      <c r="B37" s="528" t="s">
        <v>443</v>
      </c>
      <c r="C37" s="528" t="s">
        <v>444</v>
      </c>
      <c r="D37" s="528" t="s">
        <v>238</v>
      </c>
      <c r="E37" s="528"/>
      <c r="F37" s="528"/>
      <c r="G37" s="528" t="s">
        <v>205</v>
      </c>
      <c r="H37"/>
    </row>
    <row r="38" spans="1:8" x14ac:dyDescent="0.35">
      <c r="A38" s="528" t="s">
        <v>445</v>
      </c>
      <c r="B38" s="528" t="s">
        <v>446</v>
      </c>
      <c r="C38" s="528" t="s">
        <v>447</v>
      </c>
      <c r="D38" s="528" t="s">
        <v>225</v>
      </c>
      <c r="E38" s="528"/>
      <c r="F38" s="528"/>
      <c r="G38" s="528" t="s">
        <v>205</v>
      </c>
      <c r="H38"/>
    </row>
    <row r="39" spans="1:8" x14ac:dyDescent="0.35">
      <c r="A39" s="528" t="s">
        <v>448</v>
      </c>
      <c r="B39" s="528" t="s">
        <v>449</v>
      </c>
      <c r="C39" s="528" t="s">
        <v>450</v>
      </c>
      <c r="D39" s="528" t="s">
        <v>225</v>
      </c>
      <c r="E39" s="528"/>
      <c r="F39" s="528"/>
      <c r="G39" s="528" t="s">
        <v>205</v>
      </c>
      <c r="H39"/>
    </row>
    <row r="40" spans="1:8" x14ac:dyDescent="0.35">
      <c r="A40" s="528" t="s">
        <v>451</v>
      </c>
      <c r="B40" s="528" t="s">
        <v>452</v>
      </c>
      <c r="C40" s="528" t="s">
        <v>453</v>
      </c>
      <c r="D40" s="528" t="s">
        <v>225</v>
      </c>
      <c r="E40" s="528"/>
      <c r="F40" s="528"/>
      <c r="G40" s="528" t="s">
        <v>205</v>
      </c>
      <c r="H40"/>
    </row>
    <row r="41" spans="1:8" x14ac:dyDescent="0.35">
      <c r="A41" s="528" t="s">
        <v>454</v>
      </c>
      <c r="B41" s="528" t="s">
        <v>455</v>
      </c>
      <c r="C41" s="528" t="s">
        <v>456</v>
      </c>
      <c r="D41" s="528" t="s">
        <v>225</v>
      </c>
      <c r="E41" s="528"/>
      <c r="F41" s="528"/>
      <c r="G41" s="528" t="s">
        <v>205</v>
      </c>
      <c r="H41"/>
    </row>
    <row r="42" spans="1:8" x14ac:dyDescent="0.35">
      <c r="A42" s="528" t="s">
        <v>457</v>
      </c>
      <c r="B42" s="528" t="s">
        <v>458</v>
      </c>
      <c r="C42" s="528" t="s">
        <v>459</v>
      </c>
      <c r="D42" s="528" t="s">
        <v>225</v>
      </c>
      <c r="E42" s="528"/>
      <c r="F42" s="528"/>
      <c r="G42" s="528" t="s">
        <v>205</v>
      </c>
      <c r="H42"/>
    </row>
    <row r="43" spans="1:8" x14ac:dyDescent="0.35">
      <c r="A43" s="528" t="s">
        <v>460</v>
      </c>
      <c r="B43" s="528" t="s">
        <v>461</v>
      </c>
      <c r="C43" s="528" t="s">
        <v>462</v>
      </c>
      <c r="D43" s="528" t="s">
        <v>225</v>
      </c>
      <c r="E43" s="528"/>
      <c r="F43" s="528"/>
      <c r="G43" s="528" t="s">
        <v>205</v>
      </c>
      <c r="H43"/>
    </row>
    <row r="44" spans="1:8" x14ac:dyDescent="0.35">
      <c r="A44" s="528" t="s">
        <v>463</v>
      </c>
      <c r="B44" s="528" t="s">
        <v>464</v>
      </c>
      <c r="C44" s="528" t="s">
        <v>465</v>
      </c>
      <c r="D44" s="528" t="s">
        <v>251</v>
      </c>
      <c r="E44" s="528"/>
      <c r="F44" s="528"/>
      <c r="G44" s="528" t="s">
        <v>205</v>
      </c>
      <c r="H44"/>
    </row>
    <row r="45" spans="1:8" x14ac:dyDescent="0.35">
      <c r="A45" s="528" t="s">
        <v>466</v>
      </c>
      <c r="B45" s="528" t="s">
        <v>467</v>
      </c>
      <c r="C45" s="528" t="s">
        <v>468</v>
      </c>
      <c r="D45" s="528" t="s">
        <v>277</v>
      </c>
      <c r="E45" s="528" t="s">
        <v>225</v>
      </c>
      <c r="F45" s="528"/>
      <c r="G45" s="528" t="s">
        <v>205</v>
      </c>
      <c r="H45"/>
    </row>
    <row r="46" spans="1:8" x14ac:dyDescent="0.35">
      <c r="A46" s="528" t="s">
        <v>469</v>
      </c>
      <c r="B46" s="528" t="s">
        <v>470</v>
      </c>
      <c r="C46" s="528" t="s">
        <v>471</v>
      </c>
      <c r="D46" s="528" t="s">
        <v>264</v>
      </c>
      <c r="E46" s="528"/>
      <c r="F46" s="528"/>
      <c r="G46" s="528" t="s">
        <v>205</v>
      </c>
      <c r="H46"/>
    </row>
    <row r="47" spans="1:8" x14ac:dyDescent="0.35">
      <c r="A47" s="528" t="s">
        <v>472</v>
      </c>
      <c r="B47" s="528" t="s">
        <v>473</v>
      </c>
      <c r="C47" s="528" t="s">
        <v>474</v>
      </c>
      <c r="D47" s="528" t="s">
        <v>277</v>
      </c>
      <c r="E47" s="528"/>
      <c r="F47" s="528"/>
      <c r="G47" s="528" t="s">
        <v>205</v>
      </c>
      <c r="H47"/>
    </row>
    <row r="48" spans="1:8" x14ac:dyDescent="0.35">
      <c r="A48" s="528" t="s">
        <v>475</v>
      </c>
      <c r="B48" s="528" t="s">
        <v>476</v>
      </c>
      <c r="C48" s="528" t="s">
        <v>477</v>
      </c>
      <c r="D48" s="528" t="s">
        <v>277</v>
      </c>
      <c r="E48" s="528"/>
      <c r="F48" s="528"/>
      <c r="G48" s="528" t="s">
        <v>205</v>
      </c>
      <c r="H48"/>
    </row>
    <row r="49" spans="1:8" x14ac:dyDescent="0.35">
      <c r="A49" s="528" t="s">
        <v>478</v>
      </c>
      <c r="B49" s="528" t="s">
        <v>479</v>
      </c>
      <c r="C49" s="528" t="s">
        <v>480</v>
      </c>
      <c r="D49" s="528" t="s">
        <v>238</v>
      </c>
      <c r="E49" s="528"/>
      <c r="F49" s="528"/>
      <c r="G49" s="528" t="s">
        <v>205</v>
      </c>
      <c r="H49"/>
    </row>
    <row r="50" spans="1:8" x14ac:dyDescent="0.35">
      <c r="A50" s="528" t="s">
        <v>481</v>
      </c>
      <c r="B50" s="528" t="s">
        <v>482</v>
      </c>
      <c r="C50" s="528" t="s">
        <v>483</v>
      </c>
      <c r="D50" s="528" t="s">
        <v>238</v>
      </c>
      <c r="E50" s="528"/>
      <c r="F50" s="528"/>
      <c r="G50" s="528" t="s">
        <v>205</v>
      </c>
      <c r="H50"/>
    </row>
    <row r="51" spans="1:8" x14ac:dyDescent="0.35">
      <c r="A51" s="528" t="s">
        <v>484</v>
      </c>
      <c r="B51" s="528" t="s">
        <v>485</v>
      </c>
      <c r="C51" s="528" t="s">
        <v>486</v>
      </c>
      <c r="D51" s="528" t="s">
        <v>238</v>
      </c>
      <c r="E51" s="528"/>
      <c r="F51" s="528"/>
      <c r="G51" s="528" t="s">
        <v>205</v>
      </c>
      <c r="H51"/>
    </row>
    <row r="52" spans="1:8" x14ac:dyDescent="0.35">
      <c r="A52" s="528" t="s">
        <v>487</v>
      </c>
      <c r="B52" s="528" t="s">
        <v>488</v>
      </c>
      <c r="C52" s="528" t="s">
        <v>489</v>
      </c>
      <c r="D52" s="528" t="s">
        <v>251</v>
      </c>
      <c r="E52" s="528"/>
      <c r="F52" s="528"/>
      <c r="G52" s="528" t="s">
        <v>205</v>
      </c>
      <c r="H52"/>
    </row>
    <row r="53" spans="1:8" x14ac:dyDescent="0.35">
      <c r="A53" s="528" t="s">
        <v>490</v>
      </c>
      <c r="B53" s="528" t="s">
        <v>491</v>
      </c>
      <c r="C53" s="528" t="s">
        <v>492</v>
      </c>
      <c r="D53" s="528" t="s">
        <v>251</v>
      </c>
      <c r="E53" s="528"/>
      <c r="F53" s="528"/>
      <c r="G53" s="528" t="s">
        <v>205</v>
      </c>
      <c r="H53"/>
    </row>
    <row r="54" spans="1:8" x14ac:dyDescent="0.35">
      <c r="A54" s="528" t="s">
        <v>493</v>
      </c>
      <c r="B54" s="528" t="s">
        <v>494</v>
      </c>
      <c r="C54" s="528" t="s">
        <v>495</v>
      </c>
      <c r="D54" s="528" t="s">
        <v>225</v>
      </c>
      <c r="E54" s="528"/>
      <c r="F54" s="528"/>
      <c r="G54" s="528" t="s">
        <v>205</v>
      </c>
      <c r="H54"/>
    </row>
    <row r="55" spans="1:8" x14ac:dyDescent="0.35">
      <c r="A55" s="528" t="s">
        <v>496</v>
      </c>
      <c r="B55" s="528" t="s">
        <v>497</v>
      </c>
      <c r="C55" s="528" t="s">
        <v>498</v>
      </c>
      <c r="D55" s="528" t="s">
        <v>225</v>
      </c>
      <c r="E55" s="528"/>
      <c r="F55" s="528"/>
      <c r="G55" s="528" t="s">
        <v>205</v>
      </c>
      <c r="H55"/>
    </row>
    <row r="56" spans="1:8" x14ac:dyDescent="0.35">
      <c r="A56" s="528" t="s">
        <v>499</v>
      </c>
      <c r="B56" s="528" t="s">
        <v>500</v>
      </c>
      <c r="C56" s="528" t="s">
        <v>501</v>
      </c>
      <c r="D56" s="528" t="s">
        <v>225</v>
      </c>
      <c r="E56" s="528"/>
      <c r="F56" s="528"/>
      <c r="G56" s="528" t="s">
        <v>205</v>
      </c>
      <c r="H56"/>
    </row>
    <row r="57" spans="1:8" x14ac:dyDescent="0.35">
      <c r="A57" s="528" t="s">
        <v>502</v>
      </c>
      <c r="B57" s="528" t="s">
        <v>503</v>
      </c>
      <c r="C57" s="528" t="s">
        <v>504</v>
      </c>
      <c r="D57" s="528" t="s">
        <v>225</v>
      </c>
      <c r="E57" s="528"/>
      <c r="F57" s="528"/>
      <c r="G57" s="528" t="s">
        <v>205</v>
      </c>
      <c r="H57"/>
    </row>
    <row r="58" spans="1:8" x14ac:dyDescent="0.35">
      <c r="A58" s="528" t="s">
        <v>505</v>
      </c>
      <c r="B58" s="528" t="s">
        <v>506</v>
      </c>
      <c r="C58" s="528" t="s">
        <v>507</v>
      </c>
      <c r="D58" s="528" t="s">
        <v>225</v>
      </c>
      <c r="E58" s="528"/>
      <c r="F58" s="528"/>
      <c r="G58" s="528" t="s">
        <v>205</v>
      </c>
      <c r="H58"/>
    </row>
    <row r="59" spans="1:8" x14ac:dyDescent="0.35">
      <c r="A59" s="528" t="s">
        <v>508</v>
      </c>
      <c r="B59" s="528" t="s">
        <v>509</v>
      </c>
      <c r="C59" s="528" t="s">
        <v>510</v>
      </c>
      <c r="D59" s="528" t="s">
        <v>225</v>
      </c>
      <c r="E59" s="528"/>
      <c r="F59" s="528"/>
      <c r="G59" s="528" t="s">
        <v>205</v>
      </c>
      <c r="H59"/>
    </row>
    <row r="60" spans="1:8" x14ac:dyDescent="0.35">
      <c r="A60" s="528" t="s">
        <v>511</v>
      </c>
      <c r="B60" s="528" t="s">
        <v>512</v>
      </c>
      <c r="C60" s="528" t="s">
        <v>513</v>
      </c>
      <c r="D60" s="528" t="s">
        <v>251</v>
      </c>
      <c r="E60" s="528"/>
      <c r="F60" s="528"/>
      <c r="G60" s="528" t="s">
        <v>205</v>
      </c>
      <c r="H60"/>
    </row>
    <row r="61" spans="1:8" x14ac:dyDescent="0.35">
      <c r="A61" s="528" t="s">
        <v>514</v>
      </c>
      <c r="B61" s="528" t="s">
        <v>515</v>
      </c>
      <c r="C61" s="528" t="s">
        <v>516</v>
      </c>
      <c r="D61" s="528" t="s">
        <v>251</v>
      </c>
      <c r="E61" s="528"/>
      <c r="F61" s="528"/>
      <c r="G61" s="528" t="s">
        <v>205</v>
      </c>
      <c r="H61"/>
    </row>
    <row r="62" spans="1:8" x14ac:dyDescent="0.35">
      <c r="A62" s="528" t="s">
        <v>517</v>
      </c>
      <c r="B62" s="528" t="s">
        <v>518</v>
      </c>
      <c r="C62" s="528" t="s">
        <v>519</v>
      </c>
      <c r="D62" s="528" t="s">
        <v>264</v>
      </c>
      <c r="E62" s="528"/>
      <c r="F62" s="528"/>
      <c r="G62" s="528" t="s">
        <v>205</v>
      </c>
      <c r="H62"/>
    </row>
    <row r="63" spans="1:8" x14ac:dyDescent="0.35">
      <c r="A63" s="528" t="s">
        <v>520</v>
      </c>
      <c r="B63" s="528" t="s">
        <v>521</v>
      </c>
      <c r="C63" s="528" t="s">
        <v>522</v>
      </c>
      <c r="D63" s="528" t="s">
        <v>251</v>
      </c>
      <c r="E63" s="528"/>
      <c r="F63" s="528"/>
      <c r="G63" s="528" t="s">
        <v>205</v>
      </c>
      <c r="H63"/>
    </row>
    <row r="64" spans="1:8" x14ac:dyDescent="0.35">
      <c r="A64" s="528" t="s">
        <v>523</v>
      </c>
      <c r="B64" s="528" t="s">
        <v>524</v>
      </c>
      <c r="C64" s="528" t="s">
        <v>525</v>
      </c>
      <c r="D64" s="528" t="s">
        <v>264</v>
      </c>
      <c r="E64" s="528"/>
      <c r="F64" s="528"/>
      <c r="G64" s="528" t="s">
        <v>205</v>
      </c>
      <c r="H64"/>
    </row>
    <row r="65" spans="1:8" x14ac:dyDescent="0.35">
      <c r="A65" s="528" t="s">
        <v>526</v>
      </c>
      <c r="B65" s="528" t="s">
        <v>527</v>
      </c>
      <c r="C65" s="528" t="s">
        <v>528</v>
      </c>
      <c r="D65" s="528" t="s">
        <v>277</v>
      </c>
      <c r="E65" s="528"/>
      <c r="F65" s="528"/>
      <c r="G65" s="528" t="s">
        <v>205</v>
      </c>
      <c r="H65"/>
    </row>
    <row r="66" spans="1:8" x14ac:dyDescent="0.35">
      <c r="A66" s="528" t="s">
        <v>529</v>
      </c>
      <c r="B66" s="528" t="s">
        <v>530</v>
      </c>
      <c r="C66" s="528" t="s">
        <v>531</v>
      </c>
      <c r="D66" s="528" t="s">
        <v>277</v>
      </c>
      <c r="E66" s="528"/>
      <c r="F66" s="528"/>
      <c r="G66" s="528" t="s">
        <v>205</v>
      </c>
      <c r="H66"/>
    </row>
    <row r="67" spans="1:8" x14ac:dyDescent="0.35">
      <c r="A67" s="528" t="s">
        <v>532</v>
      </c>
      <c r="B67" s="528" t="s">
        <v>533</v>
      </c>
      <c r="C67" s="528" t="s">
        <v>534</v>
      </c>
      <c r="D67" s="528" t="s">
        <v>277</v>
      </c>
      <c r="E67" s="528"/>
      <c r="F67" s="528"/>
      <c r="G67" s="528" t="s">
        <v>205</v>
      </c>
      <c r="H67"/>
    </row>
    <row r="68" spans="1:8" x14ac:dyDescent="0.35">
      <c r="A68" s="528" t="s">
        <v>535</v>
      </c>
      <c r="B68" s="528" t="s">
        <v>536</v>
      </c>
      <c r="C68" s="528" t="s">
        <v>537</v>
      </c>
      <c r="D68" s="528" t="s">
        <v>277</v>
      </c>
      <c r="E68" s="528"/>
      <c r="F68" s="528"/>
      <c r="G68" s="528" t="s">
        <v>205</v>
      </c>
      <c r="H68"/>
    </row>
    <row r="69" spans="1:8" x14ac:dyDescent="0.35">
      <c r="A69" s="528" t="s">
        <v>538</v>
      </c>
      <c r="B69" s="528" t="s">
        <v>539</v>
      </c>
      <c r="C69" s="528" t="s">
        <v>540</v>
      </c>
      <c r="D69" s="528" t="s">
        <v>277</v>
      </c>
      <c r="E69" s="528"/>
      <c r="F69" s="528"/>
      <c r="G69" s="528" t="s">
        <v>214</v>
      </c>
      <c r="H69"/>
    </row>
    <row r="70" spans="1:8" x14ac:dyDescent="0.35">
      <c r="A70" s="528" t="s">
        <v>541</v>
      </c>
      <c r="B70" s="528" t="s">
        <v>542</v>
      </c>
      <c r="C70" s="528" t="s">
        <v>543</v>
      </c>
      <c r="D70" s="528" t="s">
        <v>225</v>
      </c>
      <c r="E70" s="528"/>
      <c r="F70" s="528"/>
      <c r="G70" s="528" t="s">
        <v>208</v>
      </c>
      <c r="H70"/>
    </row>
    <row r="71" spans="1:8" x14ac:dyDescent="0.35">
      <c r="A71" s="528" t="s">
        <v>544</v>
      </c>
      <c r="B71" s="528" t="s">
        <v>545</v>
      </c>
      <c r="C71" s="528" t="s">
        <v>546</v>
      </c>
      <c r="D71" s="528" t="s">
        <v>277</v>
      </c>
      <c r="E71" s="528"/>
      <c r="F71" s="528"/>
      <c r="G71" s="528" t="s">
        <v>205</v>
      </c>
      <c r="H71"/>
    </row>
    <row r="72" spans="1:8" x14ac:dyDescent="0.35">
      <c r="A72" s="528" t="s">
        <v>547</v>
      </c>
      <c r="B72" s="528" t="s">
        <v>548</v>
      </c>
      <c r="C72" s="528" t="s">
        <v>549</v>
      </c>
      <c r="D72" s="528" t="s">
        <v>251</v>
      </c>
      <c r="E72" s="528"/>
      <c r="F72" s="528"/>
      <c r="G72" s="528" t="s">
        <v>205</v>
      </c>
      <c r="H72"/>
    </row>
    <row r="73" spans="1:8" x14ac:dyDescent="0.35">
      <c r="A73" s="528" t="s">
        <v>550</v>
      </c>
      <c r="B73" s="528" t="s">
        <v>551</v>
      </c>
      <c r="C73" s="528" t="s">
        <v>552</v>
      </c>
      <c r="D73" s="528" t="s">
        <v>225</v>
      </c>
      <c r="E73" s="528"/>
      <c r="F73" s="528"/>
      <c r="G73" s="528" t="s">
        <v>214</v>
      </c>
      <c r="H73"/>
    </row>
    <row r="74" spans="1:8" x14ac:dyDescent="0.35">
      <c r="A74" s="528" t="s">
        <v>553</v>
      </c>
      <c r="B74" s="528" t="s">
        <v>554</v>
      </c>
      <c r="C74" s="528" t="s">
        <v>555</v>
      </c>
      <c r="D74" s="528" t="s">
        <v>264</v>
      </c>
      <c r="E74" s="528"/>
      <c r="F74" s="528"/>
      <c r="G74" s="528" t="s">
        <v>208</v>
      </c>
      <c r="H74"/>
    </row>
    <row r="75" spans="1:8" x14ac:dyDescent="0.35">
      <c r="A75" s="528" t="s">
        <v>556</v>
      </c>
      <c r="B75" s="528" t="s">
        <v>557</v>
      </c>
      <c r="C75" s="528" t="s">
        <v>558</v>
      </c>
      <c r="D75" s="528" t="s">
        <v>264</v>
      </c>
      <c r="E75" s="528"/>
      <c r="F75" s="528"/>
      <c r="G75" s="528" t="s">
        <v>208</v>
      </c>
      <c r="H75"/>
    </row>
    <row r="76" spans="1:8" x14ac:dyDescent="0.35">
      <c r="A76" s="528" t="s">
        <v>559</v>
      </c>
      <c r="B76" s="528" t="s">
        <v>560</v>
      </c>
      <c r="C76" s="528" t="s">
        <v>561</v>
      </c>
      <c r="D76" s="528" t="s">
        <v>277</v>
      </c>
      <c r="E76" s="528"/>
      <c r="F76" s="528"/>
      <c r="G76" s="528" t="s">
        <v>205</v>
      </c>
      <c r="H76"/>
    </row>
    <row r="77" spans="1:8" x14ac:dyDescent="0.35">
      <c r="A77" s="528" t="s">
        <v>562</v>
      </c>
      <c r="B77" s="528" t="s">
        <v>563</v>
      </c>
      <c r="C77" s="528" t="s">
        <v>564</v>
      </c>
      <c r="D77" s="528" t="s">
        <v>264</v>
      </c>
      <c r="E77" s="528"/>
      <c r="F77" s="528"/>
      <c r="G77" s="528" t="s">
        <v>210</v>
      </c>
      <c r="H77"/>
    </row>
    <row r="78" spans="1:8" x14ac:dyDescent="0.35">
      <c r="A78" s="528" t="s">
        <v>565</v>
      </c>
      <c r="B78" s="528" t="s">
        <v>566</v>
      </c>
      <c r="C78" s="528" t="s">
        <v>567</v>
      </c>
      <c r="D78" s="528" t="s">
        <v>264</v>
      </c>
      <c r="E78" s="528"/>
      <c r="F78" s="528"/>
      <c r="G78" s="528" t="s">
        <v>205</v>
      </c>
      <c r="H78"/>
    </row>
    <row r="79" spans="1:8" x14ac:dyDescent="0.35">
      <c r="A79" s="528" t="s">
        <v>568</v>
      </c>
      <c r="B79" s="528" t="s">
        <v>569</v>
      </c>
      <c r="C79" s="528" t="s">
        <v>570</v>
      </c>
      <c r="D79" s="528" t="s">
        <v>264</v>
      </c>
      <c r="E79" s="528"/>
      <c r="F79" s="528"/>
      <c r="G79" s="528" t="s">
        <v>208</v>
      </c>
      <c r="H79"/>
    </row>
    <row r="80" spans="1:8" x14ac:dyDescent="0.35">
      <c r="A80" s="528" t="s">
        <v>571</v>
      </c>
      <c r="B80" s="528" t="s">
        <v>572</v>
      </c>
      <c r="C80" s="528" t="s">
        <v>573</v>
      </c>
      <c r="D80" s="528" t="s">
        <v>264</v>
      </c>
      <c r="E80" s="528"/>
      <c r="F80" s="528"/>
      <c r="G80" s="528" t="s">
        <v>208</v>
      </c>
      <c r="H80"/>
    </row>
    <row r="81" spans="1:8" x14ac:dyDescent="0.35">
      <c r="A81" s="528" t="s">
        <v>574</v>
      </c>
      <c r="B81" s="528" t="s">
        <v>575</v>
      </c>
      <c r="C81" s="528" t="s">
        <v>576</v>
      </c>
      <c r="D81" s="528" t="s">
        <v>225</v>
      </c>
      <c r="E81" s="528"/>
      <c r="F81" s="528"/>
      <c r="G81" s="528" t="s">
        <v>205</v>
      </c>
      <c r="H81"/>
    </row>
    <row r="82" spans="1:8" x14ac:dyDescent="0.35">
      <c r="A82" s="528" t="s">
        <v>577</v>
      </c>
      <c r="B82" s="528" t="s">
        <v>578</v>
      </c>
      <c r="C82" s="528" t="s">
        <v>579</v>
      </c>
      <c r="D82" s="528" t="s">
        <v>225</v>
      </c>
      <c r="E82" s="528"/>
      <c r="F82" s="528"/>
      <c r="G82" s="528" t="s">
        <v>205</v>
      </c>
      <c r="H82"/>
    </row>
    <row r="83" spans="1:8" x14ac:dyDescent="0.35">
      <c r="A83" s="528" t="s">
        <v>580</v>
      </c>
      <c r="B83" s="528" t="s">
        <v>581</v>
      </c>
      <c r="C83" s="528" t="s">
        <v>582</v>
      </c>
      <c r="D83" s="528" t="s">
        <v>225</v>
      </c>
      <c r="E83" s="528"/>
      <c r="F83" s="528"/>
      <c r="G83" s="528" t="s">
        <v>205</v>
      </c>
      <c r="H83"/>
    </row>
    <row r="84" spans="1:8" x14ac:dyDescent="0.35">
      <c r="A84" s="528" t="s">
        <v>583</v>
      </c>
      <c r="B84" s="528" t="s">
        <v>584</v>
      </c>
      <c r="C84" s="528" t="s">
        <v>585</v>
      </c>
      <c r="D84" s="528" t="s">
        <v>251</v>
      </c>
      <c r="E84" s="528"/>
      <c r="F84" s="528"/>
      <c r="G84" s="528" t="s">
        <v>205</v>
      </c>
      <c r="H84"/>
    </row>
    <row r="85" spans="1:8" x14ac:dyDescent="0.35">
      <c r="A85" s="528" t="s">
        <v>586</v>
      </c>
      <c r="B85" s="528" t="s">
        <v>587</v>
      </c>
      <c r="C85" s="528" t="s">
        <v>588</v>
      </c>
      <c r="D85" s="528" t="s">
        <v>251</v>
      </c>
      <c r="E85" s="528"/>
      <c r="F85" s="528"/>
      <c r="G85" s="528" t="s">
        <v>205</v>
      </c>
      <c r="H85"/>
    </row>
    <row r="86" spans="1:8" x14ac:dyDescent="0.35">
      <c r="A86" s="528" t="s">
        <v>589</v>
      </c>
      <c r="B86" s="528" t="s">
        <v>590</v>
      </c>
      <c r="C86" s="528" t="s">
        <v>591</v>
      </c>
      <c r="D86" s="528" t="s">
        <v>251</v>
      </c>
      <c r="E86" s="528"/>
      <c r="F86" s="528"/>
      <c r="G86" s="528" t="s">
        <v>205</v>
      </c>
      <c r="H86"/>
    </row>
    <row r="87" spans="1:8" x14ac:dyDescent="0.35">
      <c r="A87" s="528" t="s">
        <v>592</v>
      </c>
      <c r="B87" s="528" t="s">
        <v>593</v>
      </c>
      <c r="C87" s="528" t="s">
        <v>594</v>
      </c>
      <c r="D87" s="528" t="s">
        <v>277</v>
      </c>
      <c r="E87" s="528"/>
      <c r="F87" s="528"/>
      <c r="G87" s="528" t="s">
        <v>205</v>
      </c>
      <c r="H87"/>
    </row>
    <row r="88" spans="1:8" x14ac:dyDescent="0.35">
      <c r="A88" s="528" t="s">
        <v>595</v>
      </c>
      <c r="B88" s="528" t="s">
        <v>596</v>
      </c>
      <c r="C88" s="528" t="s">
        <v>597</v>
      </c>
      <c r="D88" s="528" t="s">
        <v>277</v>
      </c>
      <c r="E88" s="528"/>
      <c r="F88" s="528"/>
      <c r="G88" s="528" t="s">
        <v>208</v>
      </c>
      <c r="H88"/>
    </row>
    <row r="89" spans="1:8" x14ac:dyDescent="0.35">
      <c r="A89" s="528" t="s">
        <v>598</v>
      </c>
      <c r="B89" s="528" t="s">
        <v>599</v>
      </c>
      <c r="C89" s="528" t="s">
        <v>600</v>
      </c>
      <c r="D89" s="528" t="s">
        <v>225</v>
      </c>
      <c r="E89" s="528"/>
      <c r="F89" s="528"/>
      <c r="G89" s="528" t="s">
        <v>205</v>
      </c>
      <c r="H89"/>
    </row>
    <row r="90" spans="1:8" x14ac:dyDescent="0.35">
      <c r="A90" s="528" t="s">
        <v>601</v>
      </c>
      <c r="B90" s="528" t="s">
        <v>602</v>
      </c>
      <c r="C90" s="528" t="s">
        <v>603</v>
      </c>
      <c r="D90" s="528" t="s">
        <v>277</v>
      </c>
      <c r="E90" s="528"/>
      <c r="F90" s="528"/>
      <c r="G90" s="528" t="s">
        <v>208</v>
      </c>
      <c r="H90"/>
    </row>
    <row r="91" spans="1:8" x14ac:dyDescent="0.35">
      <c r="A91" s="528" t="s">
        <v>604</v>
      </c>
      <c r="B91" s="528" t="s">
        <v>605</v>
      </c>
      <c r="C91" s="528" t="s">
        <v>606</v>
      </c>
      <c r="D91" s="528" t="s">
        <v>251</v>
      </c>
      <c r="E91" s="528"/>
      <c r="F91" s="528"/>
      <c r="G91" s="528" t="s">
        <v>205</v>
      </c>
      <c r="H91"/>
    </row>
    <row r="92" spans="1:8" x14ac:dyDescent="0.35">
      <c r="A92" s="528" t="s">
        <v>607</v>
      </c>
      <c r="B92" s="528" t="s">
        <v>608</v>
      </c>
      <c r="C92" s="528" t="s">
        <v>609</v>
      </c>
      <c r="D92" s="528" t="s">
        <v>251</v>
      </c>
      <c r="E92" s="528"/>
      <c r="F92" s="528"/>
      <c r="G92" s="528" t="s">
        <v>205</v>
      </c>
      <c r="H92"/>
    </row>
    <row r="93" spans="1:8" x14ac:dyDescent="0.35">
      <c r="A93" s="528" t="s">
        <v>610</v>
      </c>
      <c r="B93" s="528" t="s">
        <v>611</v>
      </c>
      <c r="C93" s="528" t="s">
        <v>612</v>
      </c>
      <c r="D93" s="528" t="s">
        <v>251</v>
      </c>
      <c r="E93" s="528"/>
      <c r="F93" s="528"/>
      <c r="G93" s="528" t="s">
        <v>205</v>
      </c>
      <c r="H93"/>
    </row>
    <row r="94" spans="1:8" x14ac:dyDescent="0.35">
      <c r="A94" s="528" t="s">
        <v>613</v>
      </c>
      <c r="B94" s="528" t="s">
        <v>614</v>
      </c>
      <c r="C94" s="528" t="s">
        <v>615</v>
      </c>
      <c r="D94" s="528" t="s">
        <v>251</v>
      </c>
      <c r="E94" s="528"/>
      <c r="F94" s="528"/>
      <c r="G94" s="528" t="s">
        <v>205</v>
      </c>
      <c r="H94"/>
    </row>
    <row r="95" spans="1:8" x14ac:dyDescent="0.35">
      <c r="A95" s="528" t="s">
        <v>616</v>
      </c>
      <c r="B95" s="528" t="s">
        <v>617</v>
      </c>
      <c r="C95" s="528" t="s">
        <v>618</v>
      </c>
      <c r="D95" s="528" t="s">
        <v>251</v>
      </c>
      <c r="E95" s="528"/>
      <c r="F95" s="528"/>
      <c r="G95" s="528" t="s">
        <v>205</v>
      </c>
      <c r="H95"/>
    </row>
    <row r="96" spans="1:8" x14ac:dyDescent="0.35">
      <c r="A96" s="528" t="s">
        <v>619</v>
      </c>
      <c r="B96" s="528" t="s">
        <v>620</v>
      </c>
      <c r="C96" s="528" t="s">
        <v>621</v>
      </c>
      <c r="D96" s="528" t="s">
        <v>251</v>
      </c>
      <c r="E96" s="528"/>
      <c r="F96" s="528"/>
      <c r="G96" s="528" t="s">
        <v>205</v>
      </c>
      <c r="H96"/>
    </row>
    <row r="97" spans="1:8" x14ac:dyDescent="0.35">
      <c r="A97" s="528" t="s">
        <v>622</v>
      </c>
      <c r="B97" s="528" t="s">
        <v>623</v>
      </c>
      <c r="C97" s="528" t="s">
        <v>624</v>
      </c>
      <c r="D97" s="528" t="s">
        <v>277</v>
      </c>
      <c r="E97" s="528"/>
      <c r="F97" s="528"/>
      <c r="G97" s="528" t="s">
        <v>205</v>
      </c>
      <c r="H97"/>
    </row>
    <row r="98" spans="1:8" x14ac:dyDescent="0.35">
      <c r="A98" s="528" t="s">
        <v>625</v>
      </c>
      <c r="B98" s="528" t="s">
        <v>626</v>
      </c>
      <c r="C98" s="528" t="s">
        <v>627</v>
      </c>
      <c r="D98" s="528" t="s">
        <v>251</v>
      </c>
      <c r="E98" s="528"/>
      <c r="F98" s="528"/>
      <c r="G98" s="528" t="s">
        <v>205</v>
      </c>
      <c r="H98"/>
    </row>
    <row r="99" spans="1:8" x14ac:dyDescent="0.35">
      <c r="A99" s="528" t="s">
        <v>628</v>
      </c>
      <c r="B99" s="528" t="s">
        <v>629</v>
      </c>
      <c r="C99" s="528" t="s">
        <v>630</v>
      </c>
      <c r="D99" s="528" t="s">
        <v>264</v>
      </c>
      <c r="E99" s="528"/>
      <c r="F99" s="528"/>
      <c r="G99" s="528" t="s">
        <v>205</v>
      </c>
      <c r="H99"/>
    </row>
    <row r="100" spans="1:8" x14ac:dyDescent="0.35">
      <c r="A100" s="528" t="s">
        <v>631</v>
      </c>
      <c r="B100" s="528" t="s">
        <v>632</v>
      </c>
      <c r="C100" s="528" t="s">
        <v>633</v>
      </c>
      <c r="D100" s="528" t="s">
        <v>225</v>
      </c>
      <c r="E100" s="528"/>
      <c r="F100" s="528"/>
      <c r="G100" s="528" t="s">
        <v>205</v>
      </c>
      <c r="H100"/>
    </row>
    <row r="101" spans="1:8" x14ac:dyDescent="0.35">
      <c r="A101" s="528" t="s">
        <v>634</v>
      </c>
      <c r="B101" s="528" t="s">
        <v>635</v>
      </c>
      <c r="C101" s="528" t="s">
        <v>636</v>
      </c>
      <c r="D101" s="528" t="s">
        <v>264</v>
      </c>
      <c r="E101" s="528"/>
      <c r="F101" s="528"/>
      <c r="G101" s="528" t="s">
        <v>205</v>
      </c>
      <c r="H101"/>
    </row>
    <row r="102" spans="1:8" x14ac:dyDescent="0.35">
      <c r="A102" s="528" t="s">
        <v>637</v>
      </c>
      <c r="B102" s="528" t="s">
        <v>638</v>
      </c>
      <c r="C102" s="528" t="s">
        <v>639</v>
      </c>
      <c r="D102" s="528" t="s">
        <v>277</v>
      </c>
      <c r="E102" s="528"/>
      <c r="F102" s="528"/>
      <c r="G102" s="528" t="s">
        <v>208</v>
      </c>
      <c r="H102"/>
    </row>
    <row r="103" spans="1:8" x14ac:dyDescent="0.35">
      <c r="A103" s="528" t="s">
        <v>640</v>
      </c>
      <c r="B103" s="528" t="s">
        <v>641</v>
      </c>
      <c r="C103" s="528" t="s">
        <v>642</v>
      </c>
      <c r="D103" s="528" t="s">
        <v>277</v>
      </c>
      <c r="E103" s="528"/>
      <c r="F103" s="528"/>
      <c r="G103" s="528" t="s">
        <v>205</v>
      </c>
      <c r="H103"/>
    </row>
    <row r="104" spans="1:8" x14ac:dyDescent="0.35">
      <c r="A104" s="528" t="s">
        <v>643</v>
      </c>
      <c r="B104" s="528" t="s">
        <v>644</v>
      </c>
      <c r="C104" s="528" t="s">
        <v>645</v>
      </c>
      <c r="D104" s="528" t="s">
        <v>225</v>
      </c>
      <c r="E104" s="528"/>
      <c r="F104" s="528"/>
      <c r="G104" s="528" t="s">
        <v>205</v>
      </c>
      <c r="H104"/>
    </row>
    <row r="105" spans="1:8" x14ac:dyDescent="0.35">
      <c r="A105" s="528" t="s">
        <v>646</v>
      </c>
      <c r="B105" s="528" t="s">
        <v>647</v>
      </c>
      <c r="C105" s="528" t="s">
        <v>648</v>
      </c>
      <c r="D105" s="528" t="s">
        <v>225</v>
      </c>
      <c r="E105" s="528"/>
      <c r="F105" s="528"/>
      <c r="G105" s="528" t="s">
        <v>205</v>
      </c>
      <c r="H105"/>
    </row>
    <row r="106" spans="1:8" x14ac:dyDescent="0.35">
      <c r="A106" s="528" t="s">
        <v>649</v>
      </c>
      <c r="B106" s="528" t="s">
        <v>650</v>
      </c>
      <c r="C106" s="528" t="s">
        <v>651</v>
      </c>
      <c r="D106" s="528" t="s">
        <v>225</v>
      </c>
      <c r="E106" s="528"/>
      <c r="F106" s="528"/>
      <c r="G106" s="528" t="s">
        <v>205</v>
      </c>
      <c r="H106"/>
    </row>
    <row r="107" spans="1:8" x14ac:dyDescent="0.35">
      <c r="A107" s="528" t="s">
        <v>652</v>
      </c>
      <c r="B107" s="528" t="s">
        <v>653</v>
      </c>
      <c r="C107" s="528" t="s">
        <v>654</v>
      </c>
      <c r="D107" s="528" t="s">
        <v>251</v>
      </c>
      <c r="E107" s="528"/>
      <c r="F107" s="528"/>
      <c r="G107" s="528" t="s">
        <v>205</v>
      </c>
      <c r="H107"/>
    </row>
    <row r="108" spans="1:8" x14ac:dyDescent="0.35">
      <c r="A108" s="528" t="s">
        <v>655</v>
      </c>
      <c r="B108" s="528" t="s">
        <v>656</v>
      </c>
      <c r="C108" s="528" t="s">
        <v>657</v>
      </c>
      <c r="D108" s="528" t="s">
        <v>225</v>
      </c>
      <c r="E108" s="528"/>
      <c r="F108" s="528"/>
      <c r="G108" s="528" t="s">
        <v>205</v>
      </c>
      <c r="H108"/>
    </row>
    <row r="109" spans="1:8" x14ac:dyDescent="0.35">
      <c r="A109" s="528" t="s">
        <v>658</v>
      </c>
      <c r="B109" s="528" t="s">
        <v>659</v>
      </c>
      <c r="C109" s="528" t="s">
        <v>660</v>
      </c>
      <c r="D109" s="528" t="s">
        <v>251</v>
      </c>
      <c r="E109" s="528"/>
      <c r="F109" s="528"/>
      <c r="G109" s="528" t="s">
        <v>205</v>
      </c>
      <c r="H109"/>
    </row>
    <row r="110" spans="1:8" x14ac:dyDescent="0.35">
      <c r="A110" s="528" t="s">
        <v>661</v>
      </c>
      <c r="B110" s="528" t="s">
        <v>662</v>
      </c>
      <c r="C110" s="528" t="s">
        <v>663</v>
      </c>
      <c r="D110" s="528" t="s">
        <v>264</v>
      </c>
      <c r="E110" s="528"/>
      <c r="F110" s="528"/>
      <c r="G110" s="528" t="s">
        <v>205</v>
      </c>
      <c r="H110"/>
    </row>
    <row r="111" spans="1:8" x14ac:dyDescent="0.35">
      <c r="A111" s="528" t="s">
        <v>664</v>
      </c>
      <c r="B111" s="528" t="s">
        <v>665</v>
      </c>
      <c r="C111" s="528" t="s">
        <v>666</v>
      </c>
      <c r="D111" s="528" t="s">
        <v>225</v>
      </c>
      <c r="E111" s="528"/>
      <c r="F111" s="528"/>
      <c r="G111" s="528" t="s">
        <v>208</v>
      </c>
      <c r="H111"/>
    </row>
    <row r="112" spans="1:8" x14ac:dyDescent="0.35">
      <c r="A112" s="528" t="s">
        <v>667</v>
      </c>
      <c r="B112" s="528" t="s">
        <v>668</v>
      </c>
      <c r="C112" s="528" t="s">
        <v>669</v>
      </c>
      <c r="D112" s="528" t="s">
        <v>264</v>
      </c>
      <c r="E112" s="528"/>
      <c r="F112" s="528"/>
      <c r="G112" s="528" t="s">
        <v>205</v>
      </c>
      <c r="H112"/>
    </row>
    <row r="113" spans="1:8" x14ac:dyDescent="0.35">
      <c r="A113" s="528" t="s">
        <v>670</v>
      </c>
      <c r="B113" s="528" t="s">
        <v>671</v>
      </c>
      <c r="C113" s="528" t="s">
        <v>672</v>
      </c>
      <c r="D113" s="528" t="s">
        <v>225</v>
      </c>
      <c r="E113" s="528"/>
      <c r="F113" s="528"/>
      <c r="G113" s="528" t="s">
        <v>208</v>
      </c>
      <c r="H113"/>
    </row>
    <row r="114" spans="1:8" x14ac:dyDescent="0.35">
      <c r="A114" s="528" t="s">
        <v>673</v>
      </c>
      <c r="B114" s="528" t="s">
        <v>674</v>
      </c>
      <c r="C114" s="528" t="s">
        <v>675</v>
      </c>
      <c r="D114" s="528" t="s">
        <v>277</v>
      </c>
      <c r="E114" s="528"/>
      <c r="F114" s="528"/>
      <c r="G114" s="528" t="s">
        <v>208</v>
      </c>
      <c r="H114"/>
    </row>
    <row r="115" spans="1:8" x14ac:dyDescent="0.35">
      <c r="A115" s="528" t="s">
        <v>676</v>
      </c>
      <c r="B115" s="528" t="s">
        <v>677</v>
      </c>
      <c r="C115" s="528" t="s">
        <v>678</v>
      </c>
      <c r="D115" s="528" t="s">
        <v>264</v>
      </c>
      <c r="E115" s="528"/>
      <c r="F115" s="528"/>
      <c r="G115" s="528" t="s">
        <v>205</v>
      </c>
      <c r="H115"/>
    </row>
    <row r="116" spans="1:8" x14ac:dyDescent="0.35">
      <c r="A116" s="528" t="s">
        <v>679</v>
      </c>
      <c r="B116" s="528" t="s">
        <v>680</v>
      </c>
      <c r="C116" s="528" t="s">
        <v>681</v>
      </c>
      <c r="D116" s="528" t="s">
        <v>277</v>
      </c>
      <c r="E116" s="528"/>
      <c r="F116" s="528"/>
      <c r="G116" s="528" t="s">
        <v>205</v>
      </c>
      <c r="H116"/>
    </row>
    <row r="117" spans="1:8" x14ac:dyDescent="0.35">
      <c r="A117" s="528" t="s">
        <v>682</v>
      </c>
      <c r="B117" s="528" t="s">
        <v>683</v>
      </c>
      <c r="C117" s="528" t="s">
        <v>684</v>
      </c>
      <c r="D117" s="528" t="s">
        <v>225</v>
      </c>
      <c r="E117" s="528"/>
      <c r="F117" s="528"/>
      <c r="G117" s="528" t="s">
        <v>208</v>
      </c>
      <c r="H117"/>
    </row>
    <row r="118" spans="1:8" x14ac:dyDescent="0.35">
      <c r="A118" s="528" t="s">
        <v>685</v>
      </c>
      <c r="B118" s="528" t="s">
        <v>686</v>
      </c>
      <c r="C118" s="528" t="s">
        <v>687</v>
      </c>
      <c r="D118" s="528" t="s">
        <v>277</v>
      </c>
      <c r="E118" s="528"/>
      <c r="F118" s="528"/>
      <c r="G118" s="528" t="s">
        <v>214</v>
      </c>
      <c r="H118"/>
    </row>
    <row r="119" spans="1:8" x14ac:dyDescent="0.35">
      <c r="A119" s="528" t="s">
        <v>688</v>
      </c>
      <c r="B119" s="528" t="s">
        <v>689</v>
      </c>
      <c r="C119" s="528" t="s">
        <v>690</v>
      </c>
      <c r="D119" s="528" t="s">
        <v>264</v>
      </c>
      <c r="E119" s="528"/>
      <c r="F119" s="528"/>
      <c r="G119" s="528" t="s">
        <v>210</v>
      </c>
      <c r="H119"/>
    </row>
    <row r="120" spans="1:8" x14ac:dyDescent="0.35">
      <c r="A120" s="528" t="s">
        <v>691</v>
      </c>
      <c r="B120" s="528" t="s">
        <v>692</v>
      </c>
      <c r="C120" s="528" t="s">
        <v>693</v>
      </c>
      <c r="D120" s="528" t="s">
        <v>225</v>
      </c>
      <c r="E120" s="528"/>
      <c r="F120" s="528"/>
      <c r="G120" s="528" t="s">
        <v>208</v>
      </c>
      <c r="H120"/>
    </row>
    <row r="121" spans="1:8" x14ac:dyDescent="0.35">
      <c r="A121" s="528" t="s">
        <v>694</v>
      </c>
      <c r="B121" s="528" t="s">
        <v>695</v>
      </c>
      <c r="C121" s="528" t="s">
        <v>696</v>
      </c>
      <c r="D121" s="528" t="s">
        <v>277</v>
      </c>
      <c r="E121" s="528"/>
      <c r="F121" s="528"/>
      <c r="G121" s="528" t="s">
        <v>208</v>
      </c>
      <c r="H121"/>
    </row>
    <row r="122" spans="1:8" x14ac:dyDescent="0.35">
      <c r="A122" s="528" t="s">
        <v>697</v>
      </c>
      <c r="B122" s="528" t="s">
        <v>698</v>
      </c>
      <c r="C122" s="528" t="s">
        <v>699</v>
      </c>
      <c r="D122" s="528" t="s">
        <v>264</v>
      </c>
      <c r="E122" s="528"/>
      <c r="F122" s="528"/>
      <c r="G122" s="528" t="s">
        <v>205</v>
      </c>
      <c r="H122"/>
    </row>
    <row r="123" spans="1:8" x14ac:dyDescent="0.35">
      <c r="A123" s="528" t="s">
        <v>700</v>
      </c>
      <c r="B123" s="528" t="s">
        <v>701</v>
      </c>
      <c r="C123" s="528" t="s">
        <v>702</v>
      </c>
      <c r="D123" s="528" t="s">
        <v>264</v>
      </c>
      <c r="E123" s="528"/>
      <c r="F123" s="528"/>
      <c r="G123" s="528" t="s">
        <v>208</v>
      </c>
      <c r="H123"/>
    </row>
    <row r="124" spans="1:8" x14ac:dyDescent="0.35">
      <c r="A124" s="528" t="s">
        <v>703</v>
      </c>
      <c r="B124" s="528" t="s">
        <v>704</v>
      </c>
      <c r="C124" s="528" t="s">
        <v>705</v>
      </c>
      <c r="D124" s="528" t="s">
        <v>251</v>
      </c>
      <c r="E124" s="528"/>
      <c r="F124" s="528"/>
      <c r="G124" s="528" t="s">
        <v>208</v>
      </c>
      <c r="H124"/>
    </row>
    <row r="125" spans="1:8" x14ac:dyDescent="0.35">
      <c r="A125" s="528" t="s">
        <v>706</v>
      </c>
      <c r="B125" s="528" t="s">
        <v>707</v>
      </c>
      <c r="C125" s="528" t="s">
        <v>708</v>
      </c>
      <c r="D125" s="528" t="s">
        <v>225</v>
      </c>
      <c r="E125" s="528"/>
      <c r="F125" s="528"/>
      <c r="G125" s="528" t="s">
        <v>208</v>
      </c>
      <c r="H125"/>
    </row>
    <row r="126" spans="1:8" x14ac:dyDescent="0.35">
      <c r="A126" s="528" t="s">
        <v>709</v>
      </c>
      <c r="B126" s="528" t="s">
        <v>710</v>
      </c>
      <c r="C126" s="528" t="s">
        <v>711</v>
      </c>
      <c r="D126" s="528" t="s">
        <v>225</v>
      </c>
      <c r="E126" s="528"/>
      <c r="F126" s="528"/>
      <c r="G126" s="528" t="s">
        <v>208</v>
      </c>
      <c r="H126"/>
    </row>
    <row r="127" spans="1:8" x14ac:dyDescent="0.35">
      <c r="A127" s="528" t="s">
        <v>712</v>
      </c>
      <c r="B127" s="528" t="s">
        <v>713</v>
      </c>
      <c r="C127" s="528" t="s">
        <v>714</v>
      </c>
      <c r="D127" s="528" t="s">
        <v>225</v>
      </c>
      <c r="E127" s="528"/>
      <c r="F127" s="528"/>
      <c r="G127" s="528" t="s">
        <v>212</v>
      </c>
      <c r="H127"/>
    </row>
    <row r="128" spans="1:8" x14ac:dyDescent="0.35">
      <c r="A128" s="528" t="s">
        <v>715</v>
      </c>
      <c r="B128" s="528" t="s">
        <v>716</v>
      </c>
      <c r="C128" s="528" t="s">
        <v>717</v>
      </c>
      <c r="D128" s="528" t="s">
        <v>225</v>
      </c>
      <c r="E128" s="528"/>
      <c r="F128" s="528"/>
      <c r="G128" s="528" t="s">
        <v>208</v>
      </c>
      <c r="H128"/>
    </row>
    <row r="129" spans="1:8" x14ac:dyDescent="0.35">
      <c r="A129" s="528" t="s">
        <v>718</v>
      </c>
      <c r="B129" s="528" t="s">
        <v>719</v>
      </c>
      <c r="C129" s="528" t="s">
        <v>720</v>
      </c>
      <c r="D129" s="528" t="s">
        <v>251</v>
      </c>
      <c r="E129" s="528"/>
      <c r="F129" s="528"/>
      <c r="G129" s="528" t="s">
        <v>208</v>
      </c>
      <c r="H129"/>
    </row>
    <row r="130" spans="1:8" x14ac:dyDescent="0.35">
      <c r="A130" s="528" t="s">
        <v>721</v>
      </c>
      <c r="B130" s="528" t="s">
        <v>722</v>
      </c>
      <c r="C130" s="528" t="s">
        <v>699</v>
      </c>
      <c r="D130" s="528" t="s">
        <v>264</v>
      </c>
      <c r="E130" s="528"/>
      <c r="F130" s="528"/>
      <c r="G130" s="528" t="s">
        <v>205</v>
      </c>
      <c r="H130"/>
    </row>
    <row r="131" spans="1:8" x14ac:dyDescent="0.35">
      <c r="A131" s="528" t="s">
        <v>723</v>
      </c>
      <c r="B131" s="528" t="s">
        <v>724</v>
      </c>
      <c r="C131" s="528" t="s">
        <v>725</v>
      </c>
      <c r="D131" s="528" t="s">
        <v>277</v>
      </c>
      <c r="E131" s="528"/>
      <c r="F131" s="528"/>
      <c r="G131" s="528" t="s">
        <v>208</v>
      </c>
      <c r="H131"/>
    </row>
    <row r="132" spans="1:8" x14ac:dyDescent="0.35">
      <c r="A132" s="528" t="s">
        <v>726</v>
      </c>
      <c r="B132" s="528" t="s">
        <v>727</v>
      </c>
      <c r="C132" s="528" t="s">
        <v>699</v>
      </c>
      <c r="D132" s="528" t="s">
        <v>264</v>
      </c>
      <c r="E132" s="528"/>
      <c r="F132" s="528"/>
      <c r="G132" s="528" t="s">
        <v>205</v>
      </c>
      <c r="H132"/>
    </row>
    <row r="133" spans="1:8" x14ac:dyDescent="0.35">
      <c r="A133" s="528" t="s">
        <v>728</v>
      </c>
      <c r="B133" s="528" t="s">
        <v>729</v>
      </c>
      <c r="C133" s="528" t="s">
        <v>730</v>
      </c>
      <c r="D133" s="528" t="s">
        <v>251</v>
      </c>
      <c r="E133" s="528"/>
      <c r="F133" s="528"/>
      <c r="G133" s="528" t="s">
        <v>208</v>
      </c>
      <c r="H133"/>
    </row>
    <row r="134" spans="1:8" x14ac:dyDescent="0.35">
      <c r="A134" s="528" t="s">
        <v>731</v>
      </c>
      <c r="B134" s="528" t="s">
        <v>732</v>
      </c>
      <c r="C134" s="528" t="s">
        <v>733</v>
      </c>
      <c r="D134" s="528" t="s">
        <v>277</v>
      </c>
      <c r="E134" s="528"/>
      <c r="F134" s="528"/>
      <c r="G134" s="528" t="s">
        <v>208</v>
      </c>
      <c r="H134"/>
    </row>
    <row r="135" spans="1:8" x14ac:dyDescent="0.35">
      <c r="A135" s="528" t="s">
        <v>734</v>
      </c>
      <c r="B135" s="528" t="s">
        <v>735</v>
      </c>
      <c r="C135" s="528" t="s">
        <v>736</v>
      </c>
      <c r="D135" s="528" t="s">
        <v>277</v>
      </c>
      <c r="E135" s="528"/>
      <c r="F135" s="528"/>
      <c r="G135" s="528" t="s">
        <v>208</v>
      </c>
      <c r="H135"/>
    </row>
    <row r="136" spans="1:8" x14ac:dyDescent="0.35">
      <c r="A136" s="528" t="s">
        <v>737</v>
      </c>
      <c r="B136" s="528" t="s">
        <v>738</v>
      </c>
      <c r="C136" s="528" t="s">
        <v>739</v>
      </c>
      <c r="D136" s="528" t="s">
        <v>238</v>
      </c>
      <c r="E136" s="528"/>
      <c r="F136" s="528"/>
      <c r="G136" s="528" t="s">
        <v>208</v>
      </c>
      <c r="H136"/>
    </row>
    <row r="137" spans="1:8" x14ac:dyDescent="0.35">
      <c r="A137" s="528" t="s">
        <v>740</v>
      </c>
      <c r="B137" s="528" t="s">
        <v>741</v>
      </c>
      <c r="C137" s="528" t="s">
        <v>742</v>
      </c>
      <c r="D137" s="528" t="s">
        <v>264</v>
      </c>
      <c r="E137" s="528"/>
      <c r="F137" s="528"/>
      <c r="G137" s="528" t="s">
        <v>208</v>
      </c>
      <c r="H137"/>
    </row>
    <row r="138" spans="1:8" x14ac:dyDescent="0.35">
      <c r="A138" s="528" t="s">
        <v>743</v>
      </c>
      <c r="B138" s="528" t="s">
        <v>744</v>
      </c>
      <c r="C138" s="528" t="s">
        <v>745</v>
      </c>
      <c r="D138" s="528" t="s">
        <v>277</v>
      </c>
      <c r="E138" s="528"/>
      <c r="F138" s="528"/>
      <c r="G138" s="528" t="s">
        <v>208</v>
      </c>
      <c r="H138"/>
    </row>
    <row r="139" spans="1:8" x14ac:dyDescent="0.35">
      <c r="A139" s="528" t="s">
        <v>746</v>
      </c>
      <c r="B139" s="528" t="s">
        <v>747</v>
      </c>
      <c r="C139" s="528" t="s">
        <v>748</v>
      </c>
      <c r="D139" s="528" t="s">
        <v>277</v>
      </c>
      <c r="E139" s="528"/>
      <c r="F139" s="528"/>
      <c r="G139" s="528" t="s">
        <v>208</v>
      </c>
      <c r="H139"/>
    </row>
    <row r="140" spans="1:8" x14ac:dyDescent="0.35">
      <c r="A140" s="528" t="s">
        <v>749</v>
      </c>
      <c r="B140" s="528" t="s">
        <v>750</v>
      </c>
      <c r="C140" s="528" t="s">
        <v>751</v>
      </c>
      <c r="D140" s="528" t="s">
        <v>251</v>
      </c>
      <c r="E140" s="528"/>
      <c r="F140" s="528"/>
      <c r="G140" s="528" t="s">
        <v>208</v>
      </c>
      <c r="H140"/>
    </row>
    <row r="141" spans="1:8" x14ac:dyDescent="0.35">
      <c r="A141" s="528" t="s">
        <v>752</v>
      </c>
      <c r="B141" s="528" t="s">
        <v>753</v>
      </c>
      <c r="C141" s="528" t="s">
        <v>675</v>
      </c>
      <c r="D141" s="528" t="s">
        <v>277</v>
      </c>
      <c r="E141" s="528"/>
      <c r="F141" s="528"/>
      <c r="G141" s="528" t="s">
        <v>208</v>
      </c>
      <c r="H141"/>
    </row>
    <row r="142" spans="1:8" x14ac:dyDescent="0.35">
      <c r="A142" s="528" t="s">
        <v>754</v>
      </c>
      <c r="B142" s="528" t="s">
        <v>755</v>
      </c>
      <c r="C142" s="528" t="s">
        <v>756</v>
      </c>
      <c r="D142" s="528" t="s">
        <v>277</v>
      </c>
      <c r="E142" s="528"/>
      <c r="F142" s="528"/>
      <c r="G142" s="528" t="s">
        <v>212</v>
      </c>
      <c r="H142"/>
    </row>
    <row r="143" spans="1:8" x14ac:dyDescent="0.35">
      <c r="A143" s="528" t="s">
        <v>757</v>
      </c>
      <c r="B143" s="528" t="s">
        <v>758</v>
      </c>
      <c r="C143" s="528" t="s">
        <v>759</v>
      </c>
      <c r="D143" s="528" t="s">
        <v>277</v>
      </c>
      <c r="E143" s="528"/>
      <c r="F143" s="528"/>
      <c r="G143" s="528" t="s">
        <v>212</v>
      </c>
      <c r="H143"/>
    </row>
    <row r="144" spans="1:8" x14ac:dyDescent="0.35">
      <c r="A144" s="528" t="s">
        <v>760</v>
      </c>
      <c r="B144" s="528" t="s">
        <v>761</v>
      </c>
      <c r="C144" s="528" t="s">
        <v>762</v>
      </c>
      <c r="D144" s="528" t="s">
        <v>277</v>
      </c>
      <c r="E144" s="528"/>
      <c r="F144" s="528"/>
      <c r="G144" s="528" t="s">
        <v>212</v>
      </c>
      <c r="H144"/>
    </row>
    <row r="145" spans="1:8" x14ac:dyDescent="0.35">
      <c r="A145" s="528" t="s">
        <v>763</v>
      </c>
      <c r="B145" s="528" t="s">
        <v>764</v>
      </c>
      <c r="C145" s="528" t="s">
        <v>765</v>
      </c>
      <c r="D145" s="528" t="s">
        <v>238</v>
      </c>
      <c r="E145" s="528"/>
      <c r="F145" s="528"/>
      <c r="G145" s="528" t="s">
        <v>208</v>
      </c>
      <c r="H145"/>
    </row>
    <row r="146" spans="1:8" x14ac:dyDescent="0.35">
      <c r="A146" s="528" t="s">
        <v>766</v>
      </c>
      <c r="B146" s="528" t="s">
        <v>767</v>
      </c>
      <c r="C146" s="528" t="s">
        <v>768</v>
      </c>
      <c r="D146" s="528" t="s">
        <v>238</v>
      </c>
      <c r="E146" s="528"/>
      <c r="F146" s="528"/>
      <c r="G146" s="528" t="s">
        <v>208</v>
      </c>
      <c r="H146"/>
    </row>
    <row r="147" spans="1:8" x14ac:dyDescent="0.35">
      <c r="A147" s="528" t="s">
        <v>769</v>
      </c>
      <c r="B147" s="528" t="s">
        <v>770</v>
      </c>
      <c r="C147" s="528" t="s">
        <v>771</v>
      </c>
      <c r="D147" s="528" t="s">
        <v>277</v>
      </c>
      <c r="E147" s="528"/>
      <c r="F147" s="528"/>
      <c r="G147" s="528" t="s">
        <v>208</v>
      </c>
      <c r="H147"/>
    </row>
    <row r="148" spans="1:8" x14ac:dyDescent="0.35">
      <c r="A148" s="528" t="s">
        <v>772</v>
      </c>
      <c r="B148" s="528" t="s">
        <v>773</v>
      </c>
      <c r="C148" s="528" t="s">
        <v>774</v>
      </c>
      <c r="D148" s="528" t="s">
        <v>251</v>
      </c>
      <c r="E148" s="528"/>
      <c r="F148" s="528"/>
      <c r="G148" s="528" t="s">
        <v>208</v>
      </c>
      <c r="H148"/>
    </row>
    <row r="149" spans="1:8" x14ac:dyDescent="0.35">
      <c r="A149" s="528" t="s">
        <v>775</v>
      </c>
      <c r="B149" s="528" t="s">
        <v>776</v>
      </c>
      <c r="C149" s="528" t="s">
        <v>777</v>
      </c>
      <c r="D149" s="528" t="s">
        <v>251</v>
      </c>
      <c r="E149" s="528"/>
      <c r="F149" s="528"/>
      <c r="G149" s="528" t="s">
        <v>208</v>
      </c>
      <c r="H149"/>
    </row>
    <row r="150" spans="1:8" x14ac:dyDescent="0.35">
      <c r="A150" s="528" t="s">
        <v>778</v>
      </c>
      <c r="B150" s="528" t="s">
        <v>779</v>
      </c>
      <c r="C150" s="528" t="s">
        <v>780</v>
      </c>
      <c r="D150" s="528" t="s">
        <v>277</v>
      </c>
      <c r="E150" s="528"/>
      <c r="F150" s="528"/>
      <c r="G150" s="528" t="s">
        <v>208</v>
      </c>
      <c r="H150"/>
    </row>
    <row r="151" spans="1:8" x14ac:dyDescent="0.35">
      <c r="A151" s="528" t="s">
        <v>781</v>
      </c>
      <c r="B151" s="528" t="s">
        <v>782</v>
      </c>
      <c r="C151" s="528" t="s">
        <v>783</v>
      </c>
      <c r="D151" s="528" t="s">
        <v>251</v>
      </c>
      <c r="E151" s="528"/>
      <c r="F151" s="528"/>
      <c r="G151" s="528" t="s">
        <v>208</v>
      </c>
      <c r="H151"/>
    </row>
    <row r="152" spans="1:8" x14ac:dyDescent="0.35">
      <c r="A152" s="528" t="s">
        <v>784</v>
      </c>
      <c r="B152" s="528" t="s">
        <v>785</v>
      </c>
      <c r="C152" s="528" t="s">
        <v>786</v>
      </c>
      <c r="D152" s="528" t="s">
        <v>225</v>
      </c>
      <c r="E152" s="528" t="s">
        <v>277</v>
      </c>
      <c r="F152" s="528"/>
      <c r="G152" s="528" t="s">
        <v>208</v>
      </c>
      <c r="H152"/>
    </row>
    <row r="153" spans="1:8" x14ac:dyDescent="0.35">
      <c r="A153" s="528" t="s">
        <v>787</v>
      </c>
      <c r="B153" s="528" t="s">
        <v>788</v>
      </c>
      <c r="C153" s="528" t="s">
        <v>789</v>
      </c>
      <c r="D153" s="528" t="s">
        <v>277</v>
      </c>
      <c r="E153" s="528"/>
      <c r="F153" s="528"/>
      <c r="G153" s="528" t="s">
        <v>208</v>
      </c>
      <c r="H153"/>
    </row>
    <row r="154" spans="1:8" x14ac:dyDescent="0.35">
      <c r="A154" s="528" t="s">
        <v>790</v>
      </c>
      <c r="B154" s="528" t="s">
        <v>791</v>
      </c>
      <c r="C154" s="528" t="s">
        <v>792</v>
      </c>
      <c r="D154" s="528" t="s">
        <v>277</v>
      </c>
      <c r="E154" s="528"/>
      <c r="F154" s="528"/>
      <c r="G154" s="528" t="s">
        <v>205</v>
      </c>
      <c r="H154"/>
    </row>
    <row r="155" spans="1:8" x14ac:dyDescent="0.35">
      <c r="A155" s="528" t="s">
        <v>793</v>
      </c>
      <c r="B155" s="528" t="s">
        <v>794</v>
      </c>
      <c r="C155" s="528" t="s">
        <v>795</v>
      </c>
      <c r="D155" s="528" t="s">
        <v>277</v>
      </c>
      <c r="E155" s="528"/>
      <c r="F155" s="528"/>
      <c r="G155" s="528" t="s">
        <v>208</v>
      </c>
      <c r="H155"/>
    </row>
    <row r="156" spans="1:8" x14ac:dyDescent="0.35">
      <c r="A156" s="528" t="s">
        <v>796</v>
      </c>
      <c r="B156" s="528" t="s">
        <v>797</v>
      </c>
      <c r="C156" s="528" t="s">
        <v>798</v>
      </c>
      <c r="D156" s="528" t="s">
        <v>277</v>
      </c>
      <c r="E156" s="528"/>
      <c r="F156" s="528"/>
      <c r="G156" s="528" t="s">
        <v>205</v>
      </c>
      <c r="H156"/>
    </row>
    <row r="157" spans="1:8" x14ac:dyDescent="0.35">
      <c r="A157" s="528" t="s">
        <v>799</v>
      </c>
      <c r="B157" s="528" t="s">
        <v>800</v>
      </c>
      <c r="C157" s="528" t="s">
        <v>801</v>
      </c>
      <c r="D157" s="528" t="s">
        <v>238</v>
      </c>
      <c r="E157" s="528"/>
      <c r="F157" s="528"/>
      <c r="G157" s="528" t="s">
        <v>205</v>
      </c>
      <c r="H157"/>
    </row>
    <row r="158" spans="1:8" x14ac:dyDescent="0.35">
      <c r="A158" s="528" t="s">
        <v>802</v>
      </c>
      <c r="B158" s="528" t="s">
        <v>803</v>
      </c>
      <c r="C158" s="528" t="s">
        <v>804</v>
      </c>
      <c r="D158" s="528" t="s">
        <v>225</v>
      </c>
      <c r="E158" s="528"/>
      <c r="F158" s="528"/>
      <c r="G158" s="528" t="s">
        <v>205</v>
      </c>
      <c r="H158"/>
    </row>
    <row r="159" spans="1:8" x14ac:dyDescent="0.35">
      <c r="A159" s="528" t="s">
        <v>805</v>
      </c>
      <c r="B159" s="528" t="s">
        <v>806</v>
      </c>
      <c r="C159" s="528" t="s">
        <v>807</v>
      </c>
      <c r="D159" s="528" t="s">
        <v>264</v>
      </c>
      <c r="E159" s="528"/>
      <c r="F159" s="528"/>
      <c r="G159" s="528" t="s">
        <v>205</v>
      </c>
      <c r="H159"/>
    </row>
    <row r="160" spans="1:8" x14ac:dyDescent="0.35">
      <c r="A160" s="528" t="s">
        <v>808</v>
      </c>
      <c r="B160" s="528" t="s">
        <v>809</v>
      </c>
      <c r="C160" s="528" t="s">
        <v>810</v>
      </c>
      <c r="D160" s="528" t="s">
        <v>277</v>
      </c>
      <c r="E160" s="528"/>
      <c r="F160" s="528"/>
      <c r="G160" s="528" t="s">
        <v>205</v>
      </c>
      <c r="H160"/>
    </row>
    <row r="161" spans="1:8" x14ac:dyDescent="0.35">
      <c r="A161" s="528" t="s">
        <v>811</v>
      </c>
      <c r="B161" s="528" t="s">
        <v>812</v>
      </c>
      <c r="C161" s="528" t="s">
        <v>813</v>
      </c>
      <c r="D161" s="528" t="s">
        <v>225</v>
      </c>
      <c r="E161" s="528"/>
      <c r="F161" s="528"/>
      <c r="G161" s="528" t="s">
        <v>205</v>
      </c>
      <c r="H161"/>
    </row>
    <row r="162" spans="1:8" x14ac:dyDescent="0.35">
      <c r="A162" s="528" t="s">
        <v>814</v>
      </c>
      <c r="B162" s="528" t="s">
        <v>815</v>
      </c>
      <c r="C162" s="528" t="s">
        <v>816</v>
      </c>
      <c r="D162" s="528" t="s">
        <v>225</v>
      </c>
      <c r="E162" s="528"/>
      <c r="F162" s="528"/>
      <c r="G162" s="528" t="s">
        <v>205</v>
      </c>
      <c r="H162"/>
    </row>
    <row r="163" spans="1:8" x14ac:dyDescent="0.35">
      <c r="A163" s="528" t="s">
        <v>817</v>
      </c>
      <c r="B163" s="528" t="s">
        <v>818</v>
      </c>
      <c r="C163" s="528" t="s">
        <v>819</v>
      </c>
      <c r="D163" s="528" t="s">
        <v>264</v>
      </c>
      <c r="E163" s="528"/>
      <c r="F163" s="528"/>
      <c r="G163" s="528" t="s">
        <v>205</v>
      </c>
      <c r="H163"/>
    </row>
    <row r="164" spans="1:8" x14ac:dyDescent="0.35">
      <c r="A164" s="528" t="s">
        <v>820</v>
      </c>
      <c r="B164" s="528" t="s">
        <v>821</v>
      </c>
      <c r="C164" s="528" t="s">
        <v>822</v>
      </c>
      <c r="D164" s="528" t="s">
        <v>277</v>
      </c>
      <c r="E164" s="528" t="s">
        <v>264</v>
      </c>
      <c r="F164" s="528"/>
      <c r="G164" s="528" t="s">
        <v>205</v>
      </c>
      <c r="H164"/>
    </row>
    <row r="165" spans="1:8" x14ac:dyDescent="0.35">
      <c r="A165" s="528" t="s">
        <v>823</v>
      </c>
      <c r="B165" s="528" t="s">
        <v>824</v>
      </c>
      <c r="C165" s="528" t="s">
        <v>825</v>
      </c>
      <c r="D165" s="528" t="s">
        <v>225</v>
      </c>
      <c r="E165" s="528"/>
      <c r="F165" s="528"/>
      <c r="G165" s="528" t="s">
        <v>205</v>
      </c>
      <c r="H165"/>
    </row>
    <row r="166" spans="1:8" x14ac:dyDescent="0.35">
      <c r="A166" s="528" t="s">
        <v>826</v>
      </c>
      <c r="B166" s="528" t="s">
        <v>827</v>
      </c>
      <c r="C166" s="528" t="s">
        <v>828</v>
      </c>
      <c r="D166" s="528" t="s">
        <v>264</v>
      </c>
      <c r="E166" s="528"/>
      <c r="F166" s="528"/>
      <c r="G166" s="528" t="s">
        <v>205</v>
      </c>
      <c r="H166"/>
    </row>
    <row r="167" spans="1:8" x14ac:dyDescent="0.35">
      <c r="A167" s="528" t="s">
        <v>829</v>
      </c>
      <c r="B167" s="528" t="s">
        <v>830</v>
      </c>
      <c r="C167" s="528" t="s">
        <v>831</v>
      </c>
      <c r="D167" s="528" t="s">
        <v>264</v>
      </c>
      <c r="E167" s="528"/>
      <c r="F167" s="528"/>
      <c r="G167" s="528" t="s">
        <v>208</v>
      </c>
      <c r="H167"/>
    </row>
    <row r="168" spans="1:8" x14ac:dyDescent="0.35">
      <c r="A168" s="528" t="s">
        <v>832</v>
      </c>
      <c r="B168" s="528" t="s">
        <v>833</v>
      </c>
      <c r="C168" s="528" t="s">
        <v>834</v>
      </c>
      <c r="D168" s="528" t="s">
        <v>277</v>
      </c>
      <c r="E168" s="528"/>
      <c r="F168" s="528"/>
      <c r="G168" s="528" t="s">
        <v>212</v>
      </c>
      <c r="H168"/>
    </row>
    <row r="169" spans="1:8" x14ac:dyDescent="0.35">
      <c r="A169" s="528" t="s">
        <v>835</v>
      </c>
      <c r="B169" s="528" t="s">
        <v>836</v>
      </c>
      <c r="C169" s="528" t="s">
        <v>837</v>
      </c>
      <c r="D169" s="528" t="s">
        <v>264</v>
      </c>
      <c r="E169" s="528"/>
      <c r="F169" s="528"/>
      <c r="G169" s="528" t="s">
        <v>210</v>
      </c>
      <c r="H169"/>
    </row>
    <row r="170" spans="1:8" x14ac:dyDescent="0.35">
      <c r="A170" s="528" t="s">
        <v>838</v>
      </c>
      <c r="B170" s="528" t="s">
        <v>839</v>
      </c>
      <c r="C170" s="528" t="s">
        <v>840</v>
      </c>
      <c r="D170" s="528" t="s">
        <v>251</v>
      </c>
      <c r="E170" s="528"/>
      <c r="F170" s="528"/>
      <c r="G170" s="528" t="s">
        <v>208</v>
      </c>
      <c r="H170"/>
    </row>
    <row r="171" spans="1:8" x14ac:dyDescent="0.35">
      <c r="A171" s="528" t="s">
        <v>841</v>
      </c>
      <c r="B171" s="528" t="s">
        <v>842</v>
      </c>
      <c r="C171" s="528" t="s">
        <v>843</v>
      </c>
      <c r="D171" s="528" t="s">
        <v>251</v>
      </c>
      <c r="E171" s="528"/>
      <c r="F171" s="528"/>
      <c r="G171" s="528" t="s">
        <v>208</v>
      </c>
      <c r="H171"/>
    </row>
    <row r="172" spans="1:8" x14ac:dyDescent="0.35">
      <c r="A172" s="528" t="s">
        <v>844</v>
      </c>
      <c r="B172" s="528" t="s">
        <v>845</v>
      </c>
      <c r="C172" s="528" t="s">
        <v>846</v>
      </c>
      <c r="D172" s="528" t="s">
        <v>277</v>
      </c>
      <c r="E172" s="528"/>
      <c r="F172" s="528"/>
      <c r="G172" s="528" t="s">
        <v>208</v>
      </c>
      <c r="H172"/>
    </row>
    <row r="173" spans="1:8" x14ac:dyDescent="0.35">
      <c r="A173" s="528" t="s">
        <v>847</v>
      </c>
      <c r="B173" s="528" t="s">
        <v>848</v>
      </c>
      <c r="C173" s="528" t="s">
        <v>849</v>
      </c>
      <c r="D173" s="528" t="s">
        <v>225</v>
      </c>
      <c r="E173" s="528"/>
      <c r="F173" s="528"/>
      <c r="G173" s="528" t="s">
        <v>205</v>
      </c>
      <c r="H173"/>
    </row>
    <row r="174" spans="1:8" x14ac:dyDescent="0.35">
      <c r="A174" s="528" t="s">
        <v>850</v>
      </c>
      <c r="B174" s="528" t="s">
        <v>851</v>
      </c>
      <c r="C174" s="528" t="s">
        <v>852</v>
      </c>
      <c r="D174" s="528" t="s">
        <v>277</v>
      </c>
      <c r="E174" s="528"/>
      <c r="F174" s="528"/>
      <c r="G174" s="528" t="s">
        <v>208</v>
      </c>
      <c r="H174"/>
    </row>
    <row r="175" spans="1:8" x14ac:dyDescent="0.35">
      <c r="A175" s="528" t="s">
        <v>853</v>
      </c>
      <c r="B175" s="528" t="s">
        <v>854</v>
      </c>
      <c r="C175" s="528" t="s">
        <v>855</v>
      </c>
      <c r="D175" s="528" t="s">
        <v>264</v>
      </c>
      <c r="E175" s="528"/>
      <c r="F175" s="528"/>
      <c r="G175" s="528" t="s">
        <v>208</v>
      </c>
      <c r="H175"/>
    </row>
    <row r="176" spans="1:8" x14ac:dyDescent="0.35">
      <c r="A176" s="528" t="s">
        <v>856</v>
      </c>
      <c r="B176" s="528" t="s">
        <v>857</v>
      </c>
      <c r="C176" s="528" t="s">
        <v>858</v>
      </c>
      <c r="D176" s="528" t="s">
        <v>264</v>
      </c>
      <c r="E176" s="528"/>
      <c r="F176" s="528"/>
      <c r="G176" s="528" t="s">
        <v>208</v>
      </c>
      <c r="H176"/>
    </row>
    <row r="177" spans="1:8" x14ac:dyDescent="0.35">
      <c r="A177" s="528" t="s">
        <v>859</v>
      </c>
      <c r="B177" s="528" t="s">
        <v>860</v>
      </c>
      <c r="C177" s="528" t="s">
        <v>861</v>
      </c>
      <c r="D177" s="528" t="s">
        <v>264</v>
      </c>
      <c r="E177" s="528"/>
      <c r="F177" s="528"/>
      <c r="G177" s="528" t="s">
        <v>208</v>
      </c>
      <c r="H177"/>
    </row>
    <row r="178" spans="1:8" x14ac:dyDescent="0.35">
      <c r="A178" s="528" t="s">
        <v>862</v>
      </c>
      <c r="B178" s="528" t="s">
        <v>863</v>
      </c>
      <c r="C178" s="528" t="s">
        <v>864</v>
      </c>
      <c r="D178" s="528" t="s">
        <v>264</v>
      </c>
      <c r="E178" s="528"/>
      <c r="F178" s="528"/>
      <c r="G178" s="528" t="s">
        <v>208</v>
      </c>
      <c r="H178"/>
    </row>
    <row r="179" spans="1:8" x14ac:dyDescent="0.35">
      <c r="A179" s="528" t="s">
        <v>865</v>
      </c>
      <c r="B179" s="528" t="s">
        <v>866</v>
      </c>
      <c r="C179" s="528" t="s">
        <v>867</v>
      </c>
      <c r="D179" s="528" t="s">
        <v>264</v>
      </c>
      <c r="E179" s="528"/>
      <c r="F179" s="528"/>
      <c r="G179" s="528" t="s">
        <v>208</v>
      </c>
      <c r="H179"/>
    </row>
    <row r="180" spans="1:8" x14ac:dyDescent="0.35">
      <c r="A180" s="528" t="s">
        <v>868</v>
      </c>
      <c r="B180" s="528" t="s">
        <v>869</v>
      </c>
      <c r="C180" s="528" t="s">
        <v>870</v>
      </c>
      <c r="D180" s="528" t="s">
        <v>264</v>
      </c>
      <c r="E180" s="528"/>
      <c r="F180" s="528"/>
      <c r="G180" s="528" t="s">
        <v>208</v>
      </c>
      <c r="H180"/>
    </row>
    <row r="181" spans="1:8" x14ac:dyDescent="0.35">
      <c r="A181" s="528" t="s">
        <v>871</v>
      </c>
      <c r="B181" s="528" t="s">
        <v>872</v>
      </c>
      <c r="C181" s="528" t="s">
        <v>873</v>
      </c>
      <c r="D181" s="528" t="s">
        <v>264</v>
      </c>
      <c r="E181" s="528"/>
      <c r="F181" s="528"/>
      <c r="G181" s="528" t="s">
        <v>208</v>
      </c>
      <c r="H181"/>
    </row>
    <row r="182" spans="1:8" x14ac:dyDescent="0.35">
      <c r="A182" s="528" t="s">
        <v>874</v>
      </c>
      <c r="B182" s="528" t="s">
        <v>875</v>
      </c>
      <c r="C182" s="528" t="s">
        <v>751</v>
      </c>
      <c r="D182" s="528" t="s">
        <v>251</v>
      </c>
      <c r="E182" s="528"/>
      <c r="F182" s="528"/>
      <c r="G182" s="528" t="s">
        <v>208</v>
      </c>
      <c r="H182"/>
    </row>
    <row r="183" spans="1:8" x14ac:dyDescent="0.35">
      <c r="A183" s="528" t="s">
        <v>876</v>
      </c>
      <c r="B183" s="528" t="s">
        <v>877</v>
      </c>
      <c r="C183" s="528" t="s">
        <v>699</v>
      </c>
      <c r="D183" s="528" t="s">
        <v>264</v>
      </c>
      <c r="E183" s="528"/>
      <c r="F183" s="528"/>
      <c r="G183" s="528" t="s">
        <v>205</v>
      </c>
      <c r="H183"/>
    </row>
    <row r="184" spans="1:8" x14ac:dyDescent="0.35">
      <c r="A184" s="528" t="s">
        <v>878</v>
      </c>
      <c r="B184" s="528" t="s">
        <v>879</v>
      </c>
      <c r="C184" s="528" t="s">
        <v>880</v>
      </c>
      <c r="D184" s="528" t="s">
        <v>251</v>
      </c>
      <c r="E184" s="528"/>
      <c r="F184" s="528"/>
      <c r="G184" s="528" t="s">
        <v>208</v>
      </c>
      <c r="H184"/>
    </row>
    <row r="185" spans="1:8" x14ac:dyDescent="0.35">
      <c r="A185" s="528" t="s">
        <v>881</v>
      </c>
      <c r="B185" s="528" t="s">
        <v>882</v>
      </c>
      <c r="C185" s="528" t="s">
        <v>883</v>
      </c>
      <c r="D185" s="528" t="s">
        <v>225</v>
      </c>
      <c r="E185" s="528"/>
      <c r="F185" s="528"/>
      <c r="G185" s="528" t="s">
        <v>208</v>
      </c>
      <c r="H185"/>
    </row>
    <row r="186" spans="1:8" x14ac:dyDescent="0.35">
      <c r="A186" s="528" t="s">
        <v>884</v>
      </c>
      <c r="B186" s="528" t="s">
        <v>885</v>
      </c>
      <c r="C186" s="528" t="s">
        <v>886</v>
      </c>
      <c r="D186" s="528" t="s">
        <v>264</v>
      </c>
      <c r="E186" s="528"/>
      <c r="F186" s="528"/>
      <c r="G186" s="528" t="s">
        <v>208</v>
      </c>
      <c r="H186"/>
    </row>
    <row r="187" spans="1:8" x14ac:dyDescent="0.35">
      <c r="A187" s="528" t="s">
        <v>887</v>
      </c>
      <c r="B187" s="528" t="s">
        <v>888</v>
      </c>
      <c r="C187" s="528" t="s">
        <v>889</v>
      </c>
      <c r="D187" s="528" t="s">
        <v>277</v>
      </c>
      <c r="E187" s="528"/>
      <c r="F187" s="528"/>
      <c r="G187" s="528" t="s">
        <v>208</v>
      </c>
      <c r="H187"/>
    </row>
    <row r="188" spans="1:8" x14ac:dyDescent="0.35">
      <c r="A188" s="528" t="s">
        <v>890</v>
      </c>
      <c r="B188" s="528" t="s">
        <v>891</v>
      </c>
      <c r="C188" s="528" t="s">
        <v>892</v>
      </c>
      <c r="D188" s="528" t="s">
        <v>277</v>
      </c>
      <c r="E188" s="528"/>
      <c r="F188" s="528"/>
      <c r="G188" s="528" t="s">
        <v>205</v>
      </c>
      <c r="H188"/>
    </row>
    <row r="189" spans="1:8" x14ac:dyDescent="0.35">
      <c r="A189" s="528" t="s">
        <v>893</v>
      </c>
      <c r="B189" s="528" t="s">
        <v>894</v>
      </c>
      <c r="C189" s="528" t="s">
        <v>895</v>
      </c>
      <c r="D189" s="528" t="s">
        <v>264</v>
      </c>
      <c r="E189" s="528"/>
      <c r="F189" s="528"/>
      <c r="G189" s="528" t="s">
        <v>210</v>
      </c>
      <c r="H189"/>
    </row>
    <row r="190" spans="1:8" x14ac:dyDescent="0.35">
      <c r="A190" s="528" t="s">
        <v>896</v>
      </c>
      <c r="B190" s="528" t="s">
        <v>897</v>
      </c>
      <c r="C190" s="528" t="s">
        <v>898</v>
      </c>
      <c r="D190" s="528" t="s">
        <v>251</v>
      </c>
      <c r="E190" s="528"/>
      <c r="F190" s="528"/>
      <c r="G190" s="528" t="s">
        <v>208</v>
      </c>
      <c r="H190"/>
    </row>
    <row r="191" spans="1:8" x14ac:dyDescent="0.35">
      <c r="A191" s="528" t="s">
        <v>899</v>
      </c>
      <c r="B191" s="528" t="s">
        <v>900</v>
      </c>
      <c r="C191" s="528" t="s">
        <v>901</v>
      </c>
      <c r="D191" s="528" t="s">
        <v>277</v>
      </c>
      <c r="E191" s="528"/>
      <c r="F191" s="528"/>
      <c r="G191" s="528" t="s">
        <v>214</v>
      </c>
      <c r="H191"/>
    </row>
    <row r="192" spans="1:8" x14ac:dyDescent="0.35">
      <c r="A192" s="528" t="s">
        <v>902</v>
      </c>
      <c r="B192" s="528" t="s">
        <v>903</v>
      </c>
      <c r="C192" s="528" t="s">
        <v>904</v>
      </c>
      <c r="D192" s="528" t="s">
        <v>225</v>
      </c>
      <c r="E192" s="528"/>
      <c r="F192" s="528"/>
      <c r="G192" s="528" t="s">
        <v>208</v>
      </c>
      <c r="H192"/>
    </row>
    <row r="193" spans="1:8" x14ac:dyDescent="0.35">
      <c r="A193" s="528" t="s">
        <v>905</v>
      </c>
      <c r="B193" s="528" t="s">
        <v>906</v>
      </c>
      <c r="C193" s="528" t="s">
        <v>907</v>
      </c>
      <c r="D193" s="528" t="s">
        <v>251</v>
      </c>
      <c r="E193" s="528"/>
      <c r="F193" s="528"/>
      <c r="G193" s="528" t="s">
        <v>205</v>
      </c>
      <c r="H193"/>
    </row>
    <row r="194" spans="1:8" x14ac:dyDescent="0.35">
      <c r="A194" s="528" t="s">
        <v>908</v>
      </c>
      <c r="B194" s="528" t="s">
        <v>909</v>
      </c>
      <c r="C194" s="528" t="s">
        <v>910</v>
      </c>
      <c r="D194" s="528" t="s">
        <v>225</v>
      </c>
      <c r="E194" s="528"/>
      <c r="F194" s="528"/>
      <c r="G194" s="528" t="s">
        <v>205</v>
      </c>
      <c r="H194"/>
    </row>
    <row r="195" spans="1:8" x14ac:dyDescent="0.35">
      <c r="A195" s="528" t="s">
        <v>911</v>
      </c>
      <c r="B195" s="528" t="s">
        <v>912</v>
      </c>
      <c r="C195" s="528" t="s">
        <v>913</v>
      </c>
      <c r="D195" s="528" t="s">
        <v>225</v>
      </c>
      <c r="E195" s="528"/>
      <c r="F195" s="528"/>
      <c r="G195" s="528" t="s">
        <v>205</v>
      </c>
      <c r="H195"/>
    </row>
    <row r="196" spans="1:8" x14ac:dyDescent="0.35">
      <c r="A196" s="528" t="s">
        <v>914</v>
      </c>
      <c r="B196" s="528" t="s">
        <v>915</v>
      </c>
      <c r="C196" s="528" t="s">
        <v>916</v>
      </c>
      <c r="D196" s="528" t="s">
        <v>225</v>
      </c>
      <c r="E196" s="528"/>
      <c r="F196" s="528"/>
      <c r="G196" s="528" t="s">
        <v>205</v>
      </c>
      <c r="H196"/>
    </row>
    <row r="197" spans="1:8" x14ac:dyDescent="0.35">
      <c r="A197" s="528" t="s">
        <v>917</v>
      </c>
      <c r="B197" s="528" t="s">
        <v>918</v>
      </c>
      <c r="C197" s="528" t="s">
        <v>919</v>
      </c>
      <c r="D197" s="528" t="s">
        <v>251</v>
      </c>
      <c r="E197" s="528"/>
      <c r="F197" s="528"/>
      <c r="G197" s="528" t="s">
        <v>208</v>
      </c>
      <c r="H197"/>
    </row>
    <row r="198" spans="1:8" x14ac:dyDescent="0.35">
      <c r="A198" s="528" t="s">
        <v>920</v>
      </c>
      <c r="B198" s="528" t="s">
        <v>921</v>
      </c>
      <c r="C198" s="528" t="s">
        <v>922</v>
      </c>
      <c r="D198" s="528" t="s">
        <v>251</v>
      </c>
      <c r="E198" s="528"/>
      <c r="F198" s="528"/>
      <c r="G198" s="528" t="s">
        <v>208</v>
      </c>
      <c r="H198"/>
    </row>
    <row r="199" spans="1:8" x14ac:dyDescent="0.35">
      <c r="A199" s="528" t="s">
        <v>923</v>
      </c>
      <c r="B199" s="528" t="s">
        <v>924</v>
      </c>
      <c r="C199" s="528" t="s">
        <v>925</v>
      </c>
      <c r="D199" s="528" t="s">
        <v>251</v>
      </c>
      <c r="E199" s="528"/>
      <c r="F199" s="528"/>
      <c r="G199" s="528" t="s">
        <v>208</v>
      </c>
      <c r="H199"/>
    </row>
    <row r="200" spans="1:8" x14ac:dyDescent="0.35">
      <c r="A200" s="528" t="s">
        <v>926</v>
      </c>
      <c r="B200" s="528" t="s">
        <v>927</v>
      </c>
      <c r="C200" s="528" t="s">
        <v>928</v>
      </c>
      <c r="D200" s="528" t="s">
        <v>251</v>
      </c>
      <c r="E200" s="528"/>
      <c r="F200" s="528"/>
      <c r="G200" s="528" t="s">
        <v>208</v>
      </c>
      <c r="H200"/>
    </row>
    <row r="201" spans="1:8" x14ac:dyDescent="0.35">
      <c r="A201" s="528" t="s">
        <v>929</v>
      </c>
      <c r="B201" s="528" t="s">
        <v>930</v>
      </c>
      <c r="C201" s="528" t="s">
        <v>931</v>
      </c>
      <c r="D201" s="528" t="s">
        <v>251</v>
      </c>
      <c r="E201" s="528"/>
      <c r="F201" s="528"/>
      <c r="G201" s="528" t="s">
        <v>208</v>
      </c>
      <c r="H201"/>
    </row>
    <row r="202" spans="1:8" x14ac:dyDescent="0.35">
      <c r="A202" s="528" t="s">
        <v>932</v>
      </c>
      <c r="B202" s="528" t="s">
        <v>933</v>
      </c>
      <c r="C202" s="528" t="s">
        <v>934</v>
      </c>
      <c r="D202" s="528" t="s">
        <v>251</v>
      </c>
      <c r="E202" s="528"/>
      <c r="F202" s="528"/>
      <c r="G202" s="528" t="s">
        <v>205</v>
      </c>
      <c r="H202"/>
    </row>
    <row r="203" spans="1:8" x14ac:dyDescent="0.35">
      <c r="A203" s="528" t="s">
        <v>935</v>
      </c>
      <c r="B203" s="528" t="s">
        <v>936</v>
      </c>
      <c r="C203" s="528" t="s">
        <v>937</v>
      </c>
      <c r="D203" s="528" t="s">
        <v>277</v>
      </c>
      <c r="E203" s="528"/>
      <c r="F203" s="528"/>
      <c r="G203" s="528" t="s">
        <v>208</v>
      </c>
      <c r="H203"/>
    </row>
    <row r="204" spans="1:8" x14ac:dyDescent="0.35">
      <c r="A204" s="528" t="s">
        <v>938</v>
      </c>
      <c r="B204" s="528" t="s">
        <v>939</v>
      </c>
      <c r="C204" s="528" t="s">
        <v>940</v>
      </c>
      <c r="D204" s="528" t="s">
        <v>277</v>
      </c>
      <c r="E204" s="528"/>
      <c r="F204" s="528"/>
      <c r="G204" s="528" t="s">
        <v>208</v>
      </c>
      <c r="H204"/>
    </row>
    <row r="205" spans="1:8" x14ac:dyDescent="0.35">
      <c r="A205" s="528" t="s">
        <v>941</v>
      </c>
      <c r="B205" s="528" t="s">
        <v>942</v>
      </c>
      <c r="C205" s="528" t="s">
        <v>943</v>
      </c>
      <c r="D205" s="528" t="s">
        <v>277</v>
      </c>
      <c r="E205" s="528"/>
      <c r="F205" s="528"/>
      <c r="G205" s="528" t="s">
        <v>208</v>
      </c>
      <c r="H205"/>
    </row>
    <row r="206" spans="1:8" x14ac:dyDescent="0.35">
      <c r="A206" s="528" t="s">
        <v>944</v>
      </c>
      <c r="B206" s="528" t="s">
        <v>945</v>
      </c>
      <c r="C206" s="528" t="s">
        <v>946</v>
      </c>
      <c r="D206" s="528" t="s">
        <v>277</v>
      </c>
      <c r="E206" s="528"/>
      <c r="F206" s="528"/>
      <c r="G206" s="528" t="s">
        <v>205</v>
      </c>
      <c r="H206"/>
    </row>
    <row r="207" spans="1:8" x14ac:dyDescent="0.35">
      <c r="A207" s="528" t="s">
        <v>947</v>
      </c>
      <c r="B207" s="528" t="s">
        <v>948</v>
      </c>
      <c r="C207" s="528" t="s">
        <v>949</v>
      </c>
      <c r="D207" s="528" t="s">
        <v>277</v>
      </c>
      <c r="E207" s="528"/>
      <c r="F207" s="528"/>
      <c r="G207" s="528" t="s">
        <v>208</v>
      </c>
      <c r="H207"/>
    </row>
    <row r="208" spans="1:8" x14ac:dyDescent="0.35">
      <c r="A208" s="528" t="s">
        <v>950</v>
      </c>
      <c r="B208" s="528" t="s">
        <v>951</v>
      </c>
      <c r="C208" s="528" t="s">
        <v>952</v>
      </c>
      <c r="D208" s="528" t="s">
        <v>277</v>
      </c>
      <c r="E208" s="528"/>
      <c r="F208" s="528"/>
      <c r="G208" s="528" t="s">
        <v>208</v>
      </c>
      <c r="H208"/>
    </row>
    <row r="209" spans="1:8" x14ac:dyDescent="0.35">
      <c r="A209" s="528" t="s">
        <v>953</v>
      </c>
      <c r="B209" s="528" t="s">
        <v>954</v>
      </c>
      <c r="C209" s="528" t="s">
        <v>955</v>
      </c>
      <c r="D209" s="528" t="s">
        <v>277</v>
      </c>
      <c r="E209" s="528"/>
      <c r="F209" s="528"/>
      <c r="G209" s="528" t="s">
        <v>208</v>
      </c>
      <c r="H209"/>
    </row>
    <row r="210" spans="1:8" x14ac:dyDescent="0.35">
      <c r="A210" s="528" t="s">
        <v>956</v>
      </c>
      <c r="B210" s="528" t="s">
        <v>957</v>
      </c>
      <c r="C210" s="528" t="s">
        <v>958</v>
      </c>
      <c r="D210" s="528" t="s">
        <v>277</v>
      </c>
      <c r="E210" s="528"/>
      <c r="F210" s="528"/>
      <c r="G210" s="528" t="s">
        <v>208</v>
      </c>
      <c r="H210"/>
    </row>
    <row r="211" spans="1:8" x14ac:dyDescent="0.35">
      <c r="A211" s="528" t="s">
        <v>959</v>
      </c>
      <c r="B211" s="528" t="s">
        <v>960</v>
      </c>
      <c r="C211" s="528" t="s">
        <v>961</v>
      </c>
      <c r="D211" s="528" t="s">
        <v>277</v>
      </c>
      <c r="E211" s="528"/>
      <c r="F211" s="528"/>
      <c r="G211" s="528" t="s">
        <v>208</v>
      </c>
      <c r="H211"/>
    </row>
    <row r="212" spans="1:8" x14ac:dyDescent="0.35">
      <c r="A212" s="528" t="s">
        <v>962</v>
      </c>
      <c r="B212" s="528" t="s">
        <v>963</v>
      </c>
      <c r="C212" s="528" t="s">
        <v>964</v>
      </c>
      <c r="D212" s="528" t="s">
        <v>251</v>
      </c>
      <c r="E212" s="528"/>
      <c r="F212" s="528"/>
      <c r="G212" s="528" t="s">
        <v>208</v>
      </c>
      <c r="H212"/>
    </row>
    <row r="213" spans="1:8" x14ac:dyDescent="0.35">
      <c r="A213" s="528" t="s">
        <v>965</v>
      </c>
      <c r="B213" s="528" t="s">
        <v>966</v>
      </c>
      <c r="C213" s="528" t="s">
        <v>967</v>
      </c>
      <c r="D213" s="528" t="s">
        <v>277</v>
      </c>
      <c r="E213" s="528"/>
      <c r="F213" s="528"/>
      <c r="G213" s="528" t="s">
        <v>208</v>
      </c>
      <c r="H213"/>
    </row>
    <row r="214" spans="1:8" x14ac:dyDescent="0.35">
      <c r="A214" s="528" t="s">
        <v>968</v>
      </c>
      <c r="B214" s="528" t="s">
        <v>969</v>
      </c>
      <c r="C214" s="528" t="s">
        <v>970</v>
      </c>
      <c r="D214" s="528" t="s">
        <v>225</v>
      </c>
      <c r="E214" s="528" t="s">
        <v>277</v>
      </c>
      <c r="F214" s="528"/>
      <c r="G214" s="528" t="s">
        <v>208</v>
      </c>
      <c r="H214"/>
    </row>
    <row r="215" spans="1:8" x14ac:dyDescent="0.35">
      <c r="A215" s="528" t="s">
        <v>971</v>
      </c>
      <c r="B215" s="528" t="s">
        <v>972</v>
      </c>
      <c r="C215" s="528" t="s">
        <v>973</v>
      </c>
      <c r="D215" s="528" t="s">
        <v>225</v>
      </c>
      <c r="E215" s="528"/>
      <c r="F215" s="528"/>
      <c r="G215" s="528" t="s">
        <v>208</v>
      </c>
      <c r="H215"/>
    </row>
    <row r="216" spans="1:8" x14ac:dyDescent="0.35">
      <c r="A216" s="528" t="s">
        <v>974</v>
      </c>
      <c r="B216" s="528" t="s">
        <v>975</v>
      </c>
      <c r="C216" s="528" t="s">
        <v>976</v>
      </c>
      <c r="D216" s="528" t="s">
        <v>277</v>
      </c>
      <c r="E216" s="528"/>
      <c r="F216" s="528"/>
      <c r="G216" s="528" t="s">
        <v>205</v>
      </c>
      <c r="H216"/>
    </row>
    <row r="217" spans="1:8" x14ac:dyDescent="0.35">
      <c r="A217" s="528" t="s">
        <v>977</v>
      </c>
      <c r="B217" s="528" t="s">
        <v>978</v>
      </c>
      <c r="C217" s="528" t="s">
        <v>979</v>
      </c>
      <c r="D217" s="528" t="s">
        <v>238</v>
      </c>
      <c r="E217" s="528"/>
      <c r="F217" s="528"/>
      <c r="G217" s="528" t="s">
        <v>208</v>
      </c>
      <c r="H217"/>
    </row>
    <row r="218" spans="1:8" x14ac:dyDescent="0.35">
      <c r="A218" s="528" t="s">
        <v>980</v>
      </c>
      <c r="B218" s="528" t="s">
        <v>981</v>
      </c>
      <c r="C218" s="528" t="s">
        <v>982</v>
      </c>
      <c r="D218" s="528" t="s">
        <v>251</v>
      </c>
      <c r="E218" s="528"/>
      <c r="F218" s="528"/>
      <c r="G218" s="528" t="s">
        <v>208</v>
      </c>
      <c r="H218"/>
    </row>
    <row r="219" spans="1:8" x14ac:dyDescent="0.35">
      <c r="A219" s="528" t="s">
        <v>983</v>
      </c>
      <c r="B219" s="528" t="s">
        <v>984</v>
      </c>
      <c r="C219" s="528" t="s">
        <v>985</v>
      </c>
      <c r="D219" s="528" t="s">
        <v>264</v>
      </c>
      <c r="E219" s="528"/>
      <c r="F219" s="528"/>
      <c r="G219" s="528" t="s">
        <v>208</v>
      </c>
      <c r="H219"/>
    </row>
    <row r="220" spans="1:8" x14ac:dyDescent="0.35">
      <c r="A220" s="528" t="s">
        <v>986</v>
      </c>
      <c r="B220" s="528" t="s">
        <v>987</v>
      </c>
      <c r="C220" s="528" t="s">
        <v>988</v>
      </c>
      <c r="D220" s="528" t="s">
        <v>264</v>
      </c>
      <c r="E220" s="528"/>
      <c r="F220" s="528"/>
      <c r="G220" s="528" t="s">
        <v>208</v>
      </c>
      <c r="H220"/>
    </row>
    <row r="221" spans="1:8" x14ac:dyDescent="0.35">
      <c r="A221" s="528" t="s">
        <v>989</v>
      </c>
      <c r="B221" s="528" t="s">
        <v>990</v>
      </c>
      <c r="C221" s="528" t="s">
        <v>991</v>
      </c>
      <c r="D221" s="528" t="s">
        <v>264</v>
      </c>
      <c r="E221" s="528" t="s">
        <v>277</v>
      </c>
      <c r="F221" s="528"/>
      <c r="G221" s="528" t="s">
        <v>208</v>
      </c>
      <c r="H221"/>
    </row>
    <row r="222" spans="1:8" x14ac:dyDescent="0.35">
      <c r="A222" s="528" t="s">
        <v>992</v>
      </c>
      <c r="B222" s="528" t="s">
        <v>993</v>
      </c>
      <c r="C222" s="528" t="s">
        <v>994</v>
      </c>
      <c r="D222" s="528" t="s">
        <v>251</v>
      </c>
      <c r="E222" s="528"/>
      <c r="F222" s="528"/>
      <c r="G222" s="528" t="s">
        <v>208</v>
      </c>
      <c r="H222"/>
    </row>
    <row r="223" spans="1:8" x14ac:dyDescent="0.35">
      <c r="A223" s="528" t="s">
        <v>995</v>
      </c>
      <c r="B223" s="528" t="s">
        <v>996</v>
      </c>
      <c r="C223" s="528" t="s">
        <v>725</v>
      </c>
      <c r="D223" s="528" t="s">
        <v>277</v>
      </c>
      <c r="E223" s="528"/>
      <c r="F223" s="528"/>
      <c r="G223" s="528" t="s">
        <v>208</v>
      </c>
      <c r="H223"/>
    </row>
    <row r="224" spans="1:8" x14ac:dyDescent="0.35">
      <c r="A224" s="528" t="s">
        <v>997</v>
      </c>
      <c r="B224" s="528" t="s">
        <v>998</v>
      </c>
      <c r="C224" s="528" t="s">
        <v>999</v>
      </c>
      <c r="D224" s="528" t="s">
        <v>264</v>
      </c>
      <c r="E224" s="528"/>
      <c r="F224" s="528"/>
      <c r="G224" s="528" t="s">
        <v>210</v>
      </c>
      <c r="H224"/>
    </row>
    <row r="225" spans="1:8" x14ac:dyDescent="0.35">
      <c r="A225" s="528" t="s">
        <v>1000</v>
      </c>
      <c r="B225" s="528" t="s">
        <v>1001</v>
      </c>
      <c r="C225" s="528" t="s">
        <v>1002</v>
      </c>
      <c r="D225" s="528" t="s">
        <v>225</v>
      </c>
      <c r="E225" s="528"/>
      <c r="F225" s="528"/>
      <c r="G225" s="528" t="s">
        <v>208</v>
      </c>
      <c r="H225"/>
    </row>
    <row r="226" spans="1:8" x14ac:dyDescent="0.35">
      <c r="A226" s="528" t="s">
        <v>1003</v>
      </c>
      <c r="B226" s="528" t="s">
        <v>1004</v>
      </c>
      <c r="C226" s="528" t="s">
        <v>1005</v>
      </c>
      <c r="D226" s="528" t="s">
        <v>225</v>
      </c>
      <c r="E226" s="528"/>
      <c r="F226" s="528"/>
      <c r="G226" s="528" t="s">
        <v>208</v>
      </c>
      <c r="H226"/>
    </row>
    <row r="227" spans="1:8" x14ac:dyDescent="0.35">
      <c r="A227" s="528" t="s">
        <v>1006</v>
      </c>
      <c r="B227" s="528" t="s">
        <v>1007</v>
      </c>
      <c r="C227" s="528" t="s">
        <v>1008</v>
      </c>
      <c r="D227" s="528" t="s">
        <v>277</v>
      </c>
      <c r="E227" s="528"/>
      <c r="F227" s="528"/>
      <c r="G227" s="528" t="s">
        <v>208</v>
      </c>
      <c r="H227"/>
    </row>
    <row r="228" spans="1:8" x14ac:dyDescent="0.35">
      <c r="A228" s="528" t="s">
        <v>1009</v>
      </c>
      <c r="B228" s="528" t="s">
        <v>1010</v>
      </c>
      <c r="C228" s="528" t="s">
        <v>1011</v>
      </c>
      <c r="D228" s="528" t="s">
        <v>264</v>
      </c>
      <c r="E228" s="528"/>
      <c r="F228" s="528"/>
      <c r="G228" s="528" t="s">
        <v>205</v>
      </c>
      <c r="H228"/>
    </row>
    <row r="229" spans="1:8" x14ac:dyDescent="0.35">
      <c r="A229" s="528" t="s">
        <v>1012</v>
      </c>
      <c r="B229" s="528" t="s">
        <v>1013</v>
      </c>
      <c r="C229" s="528" t="s">
        <v>1014</v>
      </c>
      <c r="D229" s="528" t="s">
        <v>277</v>
      </c>
      <c r="E229" s="528"/>
      <c r="F229" s="528"/>
      <c r="G229" s="528" t="s">
        <v>208</v>
      </c>
      <c r="H229"/>
    </row>
    <row r="230" spans="1:8" x14ac:dyDescent="0.35">
      <c r="A230" s="528" t="s">
        <v>1015</v>
      </c>
      <c r="B230" s="528" t="s">
        <v>1016</v>
      </c>
      <c r="C230" s="528" t="s">
        <v>1017</v>
      </c>
      <c r="D230" s="528" t="s">
        <v>251</v>
      </c>
      <c r="E230" s="528"/>
      <c r="F230" s="528"/>
      <c r="G230" s="528" t="s">
        <v>208</v>
      </c>
      <c r="H230"/>
    </row>
    <row r="231" spans="1:8" x14ac:dyDescent="0.35">
      <c r="A231" s="528" t="s">
        <v>1018</v>
      </c>
      <c r="B231" s="528" t="s">
        <v>1019</v>
      </c>
      <c r="C231" s="528" t="s">
        <v>1020</v>
      </c>
      <c r="D231" s="528" t="s">
        <v>251</v>
      </c>
      <c r="E231" s="528"/>
      <c r="F231" s="528"/>
      <c r="G231" s="528" t="s">
        <v>208</v>
      </c>
      <c r="H231"/>
    </row>
    <row r="232" spans="1:8" x14ac:dyDescent="0.35">
      <c r="A232" s="528" t="s">
        <v>1021</v>
      </c>
      <c r="B232" s="528" t="s">
        <v>1022</v>
      </c>
      <c r="C232" s="528" t="s">
        <v>1023</v>
      </c>
      <c r="D232" s="528" t="s">
        <v>251</v>
      </c>
      <c r="E232" s="528"/>
      <c r="F232" s="528"/>
      <c r="G232" s="528" t="s">
        <v>205</v>
      </c>
      <c r="H232"/>
    </row>
    <row r="233" spans="1:8" x14ac:dyDescent="0.35">
      <c r="A233" s="528" t="s">
        <v>1024</v>
      </c>
      <c r="B233" s="528" t="s">
        <v>1025</v>
      </c>
      <c r="C233" s="528" t="s">
        <v>1026</v>
      </c>
      <c r="D233" s="528" t="s">
        <v>251</v>
      </c>
      <c r="E233" s="528"/>
      <c r="F233" s="528"/>
      <c r="G233" s="528" t="s">
        <v>205</v>
      </c>
      <c r="H233"/>
    </row>
    <row r="234" spans="1:8" x14ac:dyDescent="0.35">
      <c r="A234" s="528" t="s">
        <v>1027</v>
      </c>
      <c r="B234" s="528" t="s">
        <v>1028</v>
      </c>
      <c r="C234" s="528" t="s">
        <v>1029</v>
      </c>
      <c r="D234" s="528" t="s">
        <v>264</v>
      </c>
      <c r="E234" s="528"/>
      <c r="F234" s="528"/>
      <c r="G234" s="528" t="s">
        <v>208</v>
      </c>
      <c r="H234"/>
    </row>
    <row r="235" spans="1:8" x14ac:dyDescent="0.35">
      <c r="A235" s="528" t="s">
        <v>1030</v>
      </c>
      <c r="B235" s="528" t="s">
        <v>1031</v>
      </c>
      <c r="C235" s="528" t="s">
        <v>1032</v>
      </c>
      <c r="D235" s="528" t="s">
        <v>251</v>
      </c>
      <c r="E235" s="528"/>
      <c r="F235" s="528"/>
      <c r="G235" s="528" t="s">
        <v>208</v>
      </c>
      <c r="H235"/>
    </row>
    <row r="236" spans="1:8" x14ac:dyDescent="0.35">
      <c r="A236" s="528" t="s">
        <v>1033</v>
      </c>
      <c r="B236" s="528" t="s">
        <v>1034</v>
      </c>
      <c r="C236" s="528" t="s">
        <v>1035</v>
      </c>
      <c r="D236" s="528" t="s">
        <v>264</v>
      </c>
      <c r="E236" s="528"/>
      <c r="F236" s="528"/>
      <c r="G236" s="528" t="s">
        <v>205</v>
      </c>
      <c r="H236"/>
    </row>
    <row r="237" spans="1:8" x14ac:dyDescent="0.35">
      <c r="A237" s="528" t="s">
        <v>1036</v>
      </c>
      <c r="B237" s="528" t="s">
        <v>1037</v>
      </c>
      <c r="C237" s="528" t="s">
        <v>1038</v>
      </c>
      <c r="D237" s="528" t="s">
        <v>264</v>
      </c>
      <c r="E237" s="528"/>
      <c r="F237" s="528"/>
      <c r="G237" s="528" t="s">
        <v>205</v>
      </c>
      <c r="H237"/>
    </row>
    <row r="238" spans="1:8" x14ac:dyDescent="0.35">
      <c r="A238" s="528" t="s">
        <v>1039</v>
      </c>
      <c r="B238" s="528" t="s">
        <v>1040</v>
      </c>
      <c r="C238" s="528" t="s">
        <v>1041</v>
      </c>
      <c r="D238" s="528" t="s">
        <v>264</v>
      </c>
      <c r="E238" s="528"/>
      <c r="F238" s="528"/>
      <c r="G238" s="528" t="s">
        <v>205</v>
      </c>
      <c r="H238"/>
    </row>
    <row r="239" spans="1:8" x14ac:dyDescent="0.35">
      <c r="A239" s="528" t="s">
        <v>1042</v>
      </c>
      <c r="B239" s="528" t="s">
        <v>1043</v>
      </c>
      <c r="C239" s="528" t="s">
        <v>1044</v>
      </c>
      <c r="D239" s="528" t="s">
        <v>277</v>
      </c>
      <c r="E239" s="528"/>
      <c r="F239" s="528"/>
      <c r="G239" s="528" t="s">
        <v>208</v>
      </c>
      <c r="H239"/>
    </row>
    <row r="240" spans="1:8" x14ac:dyDescent="0.35">
      <c r="A240" s="528" t="s">
        <v>1045</v>
      </c>
      <c r="B240" s="528" t="s">
        <v>1046</v>
      </c>
      <c r="C240" s="528" t="s">
        <v>675</v>
      </c>
      <c r="D240" s="528" t="s">
        <v>277</v>
      </c>
      <c r="E240" s="528"/>
      <c r="F240" s="528"/>
      <c r="G240" s="528" t="s">
        <v>208</v>
      </c>
      <c r="H240"/>
    </row>
    <row r="241" spans="1:8" x14ac:dyDescent="0.35">
      <c r="A241" s="528" t="s">
        <v>1047</v>
      </c>
      <c r="B241" s="528" t="s">
        <v>1048</v>
      </c>
      <c r="C241" s="528" t="s">
        <v>1049</v>
      </c>
      <c r="D241" s="528" t="s">
        <v>277</v>
      </c>
      <c r="E241" s="528"/>
      <c r="F241" s="528"/>
      <c r="G241" s="528" t="s">
        <v>208</v>
      </c>
      <c r="H241"/>
    </row>
    <row r="242" spans="1:8" x14ac:dyDescent="0.35">
      <c r="A242" s="528" t="s">
        <v>1050</v>
      </c>
      <c r="B242" s="528" t="s">
        <v>1051</v>
      </c>
      <c r="C242" s="528" t="s">
        <v>1052</v>
      </c>
      <c r="D242" s="528" t="s">
        <v>251</v>
      </c>
      <c r="E242" s="528"/>
      <c r="F242" s="528"/>
      <c r="G242" s="528" t="s">
        <v>208</v>
      </c>
      <c r="H242"/>
    </row>
    <row r="243" spans="1:8" x14ac:dyDescent="0.35">
      <c r="A243" s="528" t="s">
        <v>1053</v>
      </c>
      <c r="B243" s="528" t="s">
        <v>1054</v>
      </c>
      <c r="C243" s="528" t="s">
        <v>1055</v>
      </c>
      <c r="D243" s="528" t="s">
        <v>277</v>
      </c>
      <c r="E243" s="528"/>
      <c r="F243" s="528"/>
      <c r="G243" s="528" t="s">
        <v>212</v>
      </c>
      <c r="H243"/>
    </row>
    <row r="244" spans="1:8" x14ac:dyDescent="0.35">
      <c r="A244" s="528" t="s">
        <v>1056</v>
      </c>
      <c r="B244" s="528" t="s">
        <v>1057</v>
      </c>
      <c r="C244" s="528" t="s">
        <v>1058</v>
      </c>
      <c r="D244" s="528" t="s">
        <v>277</v>
      </c>
      <c r="E244" s="528"/>
      <c r="F244" s="528"/>
      <c r="G244" s="528" t="s">
        <v>205</v>
      </c>
      <c r="H244"/>
    </row>
    <row r="245" spans="1:8" x14ac:dyDescent="0.35">
      <c r="A245" s="528" t="s">
        <v>1059</v>
      </c>
      <c r="B245" s="528" t="s">
        <v>1060</v>
      </c>
      <c r="C245" s="528" t="s">
        <v>675</v>
      </c>
      <c r="D245" s="528" t="s">
        <v>277</v>
      </c>
      <c r="E245" s="528"/>
      <c r="F245" s="528"/>
      <c r="G245" s="528" t="s">
        <v>208</v>
      </c>
      <c r="H245"/>
    </row>
    <row r="246" spans="1:8" x14ac:dyDescent="0.35">
      <c r="A246" s="528" t="s">
        <v>1061</v>
      </c>
      <c r="B246" s="528" t="s">
        <v>1062</v>
      </c>
      <c r="C246" s="528" t="s">
        <v>1063</v>
      </c>
      <c r="D246" s="528" t="s">
        <v>277</v>
      </c>
      <c r="E246" s="528"/>
      <c r="F246" s="528"/>
      <c r="G246" s="528" t="s">
        <v>208</v>
      </c>
      <c r="H246"/>
    </row>
    <row r="247" spans="1:8" x14ac:dyDescent="0.35">
      <c r="A247" s="528" t="s">
        <v>1064</v>
      </c>
      <c r="B247" s="528" t="s">
        <v>1065</v>
      </c>
      <c r="C247" s="528" t="s">
        <v>1066</v>
      </c>
      <c r="D247" s="528" t="s">
        <v>251</v>
      </c>
      <c r="E247" s="528"/>
      <c r="F247" s="528"/>
      <c r="G247" s="528" t="s">
        <v>205</v>
      </c>
      <c r="H247"/>
    </row>
    <row r="248" spans="1:8" x14ac:dyDescent="0.35">
      <c r="A248" s="528" t="s">
        <v>1067</v>
      </c>
      <c r="B248" s="528" t="s">
        <v>1068</v>
      </c>
      <c r="C248" s="528" t="s">
        <v>1069</v>
      </c>
      <c r="D248" s="528" t="s">
        <v>251</v>
      </c>
      <c r="E248" s="528"/>
      <c r="F248" s="528"/>
      <c r="G248" s="528" t="s">
        <v>205</v>
      </c>
      <c r="H248"/>
    </row>
    <row r="249" spans="1:8" x14ac:dyDescent="0.35">
      <c r="A249" s="528" t="s">
        <v>1070</v>
      </c>
      <c r="B249" s="528" t="s">
        <v>1071</v>
      </c>
      <c r="C249" s="528" t="s">
        <v>751</v>
      </c>
      <c r="D249" s="528" t="s">
        <v>251</v>
      </c>
      <c r="E249" s="528"/>
      <c r="F249" s="528"/>
      <c r="G249" s="528" t="s">
        <v>208</v>
      </c>
      <c r="H249"/>
    </row>
    <row r="250" spans="1:8" x14ac:dyDescent="0.35">
      <c r="A250" s="528" t="s">
        <v>1072</v>
      </c>
      <c r="B250" s="528" t="s">
        <v>1073</v>
      </c>
      <c r="C250" s="528" t="s">
        <v>1074</v>
      </c>
      <c r="D250" s="528" t="s">
        <v>251</v>
      </c>
      <c r="E250" s="528"/>
      <c r="F250" s="528"/>
      <c r="G250" s="528" t="s">
        <v>208</v>
      </c>
      <c r="H250"/>
    </row>
    <row r="251" spans="1:8" x14ac:dyDescent="0.35">
      <c r="A251" s="528" t="s">
        <v>1075</v>
      </c>
      <c r="B251" s="528" t="s">
        <v>1076</v>
      </c>
      <c r="C251" s="528" t="s">
        <v>1077</v>
      </c>
      <c r="D251" s="528" t="s">
        <v>251</v>
      </c>
      <c r="E251" s="528"/>
      <c r="F251" s="528"/>
      <c r="G251" s="528" t="s">
        <v>208</v>
      </c>
      <c r="H251"/>
    </row>
    <row r="252" spans="1:8" x14ac:dyDescent="0.35">
      <c r="A252" s="528" t="s">
        <v>1078</v>
      </c>
      <c r="B252" s="528" t="s">
        <v>1079</v>
      </c>
      <c r="C252" s="528" t="s">
        <v>1080</v>
      </c>
      <c r="D252" s="528" t="s">
        <v>251</v>
      </c>
      <c r="E252" s="528"/>
      <c r="F252" s="528"/>
      <c r="G252" s="528" t="s">
        <v>208</v>
      </c>
      <c r="H252"/>
    </row>
    <row r="253" spans="1:8" x14ac:dyDescent="0.35">
      <c r="A253" s="528" t="s">
        <v>1081</v>
      </c>
      <c r="B253" s="528" t="s">
        <v>1082</v>
      </c>
      <c r="C253" s="528" t="s">
        <v>1083</v>
      </c>
      <c r="D253" s="528" t="s">
        <v>251</v>
      </c>
      <c r="E253" s="528"/>
      <c r="F253" s="528"/>
      <c r="G253" s="528" t="s">
        <v>205</v>
      </c>
      <c r="H253"/>
    </row>
    <row r="254" spans="1:8" x14ac:dyDescent="0.35">
      <c r="A254" s="528" t="s">
        <v>1084</v>
      </c>
      <c r="B254" s="528" t="s">
        <v>1085</v>
      </c>
      <c r="C254" s="528" t="s">
        <v>1086</v>
      </c>
      <c r="D254" s="528" t="s">
        <v>277</v>
      </c>
      <c r="E254" s="528"/>
      <c r="F254" s="528"/>
      <c r="G254" s="528" t="s">
        <v>208</v>
      </c>
      <c r="H254"/>
    </row>
    <row r="255" spans="1:8" x14ac:dyDescent="0.35">
      <c r="A255" s="528" t="s">
        <v>1087</v>
      </c>
      <c r="B255" s="528" t="s">
        <v>1088</v>
      </c>
      <c r="C255" s="528" t="s">
        <v>1089</v>
      </c>
      <c r="D255" s="528" t="s">
        <v>264</v>
      </c>
      <c r="E255" s="528" t="s">
        <v>277</v>
      </c>
      <c r="F255" s="528"/>
      <c r="G255" s="528" t="s">
        <v>208</v>
      </c>
      <c r="H255"/>
    </row>
    <row r="256" spans="1:8" x14ac:dyDescent="0.35">
      <c r="A256" s="528" t="s">
        <v>1090</v>
      </c>
      <c r="B256" s="528" t="s">
        <v>1091</v>
      </c>
      <c r="C256" s="528" t="s">
        <v>1092</v>
      </c>
      <c r="D256" s="528" t="s">
        <v>277</v>
      </c>
      <c r="E256" s="528"/>
      <c r="F256" s="528"/>
      <c r="G256" s="528" t="s">
        <v>208</v>
      </c>
      <c r="H256"/>
    </row>
    <row r="257" spans="1:8" x14ac:dyDescent="0.35">
      <c r="A257" s="528" t="s">
        <v>1093</v>
      </c>
      <c r="B257" s="528" t="s">
        <v>1094</v>
      </c>
      <c r="C257" s="528" t="s">
        <v>1095</v>
      </c>
      <c r="D257" s="528" t="s">
        <v>225</v>
      </c>
      <c r="E257" s="528" t="s">
        <v>277</v>
      </c>
      <c r="F257" s="528"/>
      <c r="G257" s="528" t="s">
        <v>205</v>
      </c>
      <c r="H257"/>
    </row>
    <row r="258" spans="1:8" x14ac:dyDescent="0.35">
      <c r="A258" s="528" t="s">
        <v>1096</v>
      </c>
      <c r="B258" s="528" t="s">
        <v>1097</v>
      </c>
      <c r="C258" s="528" t="s">
        <v>1098</v>
      </c>
      <c r="D258" s="528" t="s">
        <v>264</v>
      </c>
      <c r="E258" s="528"/>
      <c r="F258" s="528"/>
      <c r="G258" s="528" t="s">
        <v>210</v>
      </c>
      <c r="H258"/>
    </row>
    <row r="259" spans="1:8" x14ac:dyDescent="0.35">
      <c r="A259" s="528" t="s">
        <v>1099</v>
      </c>
      <c r="B259" s="528" t="s">
        <v>1100</v>
      </c>
      <c r="C259" s="528" t="s">
        <v>1101</v>
      </c>
      <c r="D259" s="528" t="s">
        <v>277</v>
      </c>
      <c r="E259" s="528"/>
      <c r="F259" s="528"/>
      <c r="G259" s="528" t="s">
        <v>208</v>
      </c>
      <c r="H259"/>
    </row>
    <row r="260" spans="1:8" x14ac:dyDescent="0.35">
      <c r="A260" s="528" t="s">
        <v>1102</v>
      </c>
      <c r="B260" s="528" t="s">
        <v>1103</v>
      </c>
      <c r="C260" s="528" t="s">
        <v>1104</v>
      </c>
      <c r="D260" s="528" t="s">
        <v>264</v>
      </c>
      <c r="E260" s="528" t="s">
        <v>277</v>
      </c>
      <c r="F260" s="528"/>
      <c r="G260" s="528" t="s">
        <v>208</v>
      </c>
      <c r="H260"/>
    </row>
    <row r="261" spans="1:8" x14ac:dyDescent="0.35">
      <c r="A261" s="528" t="s">
        <v>1105</v>
      </c>
      <c r="B261" s="528" t="s">
        <v>1106</v>
      </c>
      <c r="C261" s="528" t="s">
        <v>1107</v>
      </c>
      <c r="D261" s="528" t="s">
        <v>251</v>
      </c>
      <c r="E261" s="528"/>
      <c r="F261" s="528"/>
      <c r="G261" s="528" t="s">
        <v>208</v>
      </c>
      <c r="H261"/>
    </row>
    <row r="262" spans="1:8" x14ac:dyDescent="0.35">
      <c r="A262" s="528" t="s">
        <v>1108</v>
      </c>
      <c r="B262" s="528" t="s">
        <v>1109</v>
      </c>
      <c r="C262" s="528" t="s">
        <v>1110</v>
      </c>
      <c r="D262" s="528" t="s">
        <v>251</v>
      </c>
      <c r="E262" s="528"/>
      <c r="F262" s="528"/>
      <c r="G262" s="528" t="s">
        <v>208</v>
      </c>
      <c r="H262"/>
    </row>
    <row r="263" spans="1:8" x14ac:dyDescent="0.35">
      <c r="A263" s="528" t="s">
        <v>1111</v>
      </c>
      <c r="B263" s="528" t="s">
        <v>1112</v>
      </c>
      <c r="C263" s="528" t="s">
        <v>1113</v>
      </c>
      <c r="D263" s="528" t="s">
        <v>277</v>
      </c>
      <c r="E263" s="528"/>
      <c r="F263" s="528"/>
      <c r="G263" s="528" t="s">
        <v>212</v>
      </c>
      <c r="H263"/>
    </row>
    <row r="264" spans="1:8" x14ac:dyDescent="0.35">
      <c r="A264" s="528" t="s">
        <v>1114</v>
      </c>
      <c r="B264" s="528" t="s">
        <v>1115</v>
      </c>
      <c r="C264" s="528" t="s">
        <v>1116</v>
      </c>
      <c r="D264" s="528" t="s">
        <v>277</v>
      </c>
      <c r="E264" s="528"/>
      <c r="F264" s="528"/>
      <c r="G264" s="528" t="s">
        <v>208</v>
      </c>
      <c r="H264"/>
    </row>
    <row r="265" spans="1:8" x14ac:dyDescent="0.35">
      <c r="A265" s="528" t="s">
        <v>1117</v>
      </c>
      <c r="B265" s="528" t="s">
        <v>1118</v>
      </c>
      <c r="C265" s="528" t="s">
        <v>1119</v>
      </c>
      <c r="D265" s="528" t="s">
        <v>264</v>
      </c>
      <c r="E265" s="528"/>
      <c r="F265" s="528"/>
      <c r="G265" s="528" t="s">
        <v>205</v>
      </c>
      <c r="H265"/>
    </row>
    <row r="266" spans="1:8" x14ac:dyDescent="0.35">
      <c r="A266" s="528" t="s">
        <v>1120</v>
      </c>
      <c r="B266" s="528" t="s">
        <v>1121</v>
      </c>
      <c r="C266" s="528" t="s">
        <v>1122</v>
      </c>
      <c r="D266" s="528" t="s">
        <v>277</v>
      </c>
      <c r="E266" s="528"/>
      <c r="F266" s="528"/>
      <c r="G266" s="528" t="s">
        <v>205</v>
      </c>
      <c r="H266"/>
    </row>
    <row r="267" spans="1:8" x14ac:dyDescent="0.35">
      <c r="A267" s="528" t="s">
        <v>1123</v>
      </c>
      <c r="B267" s="528" t="s">
        <v>1124</v>
      </c>
      <c r="C267" s="528" t="s">
        <v>1125</v>
      </c>
      <c r="D267" s="528" t="s">
        <v>225</v>
      </c>
      <c r="E267" s="528" t="s">
        <v>264</v>
      </c>
      <c r="F267" s="528"/>
      <c r="G267" s="528" t="s">
        <v>205</v>
      </c>
      <c r="H267"/>
    </row>
    <row r="268" spans="1:8" x14ac:dyDescent="0.35">
      <c r="A268" s="528" t="s">
        <v>1126</v>
      </c>
      <c r="B268" s="528" t="s">
        <v>1127</v>
      </c>
      <c r="C268" s="528" t="s">
        <v>1128</v>
      </c>
      <c r="D268" s="528" t="s">
        <v>251</v>
      </c>
      <c r="E268" s="528"/>
      <c r="F268" s="528"/>
      <c r="G268" s="528" t="s">
        <v>205</v>
      </c>
      <c r="H268"/>
    </row>
    <row r="269" spans="1:8" x14ac:dyDescent="0.35">
      <c r="A269" s="528" t="s">
        <v>1129</v>
      </c>
      <c r="B269" s="528" t="s">
        <v>1130</v>
      </c>
      <c r="C269" s="528" t="s">
        <v>1131</v>
      </c>
      <c r="D269" s="528" t="s">
        <v>277</v>
      </c>
      <c r="E269" s="528"/>
      <c r="F269" s="528"/>
      <c r="G269" s="528" t="s">
        <v>205</v>
      </c>
      <c r="H269"/>
    </row>
    <row r="270" spans="1:8" x14ac:dyDescent="0.35">
      <c r="A270" s="528" t="s">
        <v>1132</v>
      </c>
      <c r="B270" s="528" t="s">
        <v>1133</v>
      </c>
      <c r="C270" s="528" t="s">
        <v>1134</v>
      </c>
      <c r="D270" s="528" t="s">
        <v>251</v>
      </c>
      <c r="E270" s="528"/>
      <c r="F270" s="528"/>
      <c r="G270" s="528" t="s">
        <v>205</v>
      </c>
      <c r="H270"/>
    </row>
    <row r="271" spans="1:8" x14ac:dyDescent="0.35">
      <c r="A271" s="528" t="s">
        <v>1135</v>
      </c>
      <c r="B271" s="528" t="s">
        <v>1136</v>
      </c>
      <c r="C271" s="528" t="s">
        <v>1137</v>
      </c>
      <c r="D271" s="528" t="s">
        <v>225</v>
      </c>
      <c r="E271" s="528"/>
      <c r="F271" s="528"/>
      <c r="G271" s="528" t="s">
        <v>214</v>
      </c>
      <c r="H271"/>
    </row>
    <row r="272" spans="1:8" x14ac:dyDescent="0.35">
      <c r="A272" s="528" t="s">
        <v>1138</v>
      </c>
      <c r="B272" s="528" t="s">
        <v>1139</v>
      </c>
      <c r="C272" s="528" t="s">
        <v>1140</v>
      </c>
      <c r="D272" s="528" t="s">
        <v>225</v>
      </c>
      <c r="E272" s="528"/>
      <c r="F272" s="528"/>
      <c r="G272" s="528" t="s">
        <v>212</v>
      </c>
      <c r="H272"/>
    </row>
    <row r="273" spans="1:8" x14ac:dyDescent="0.35">
      <c r="A273" s="528" t="s">
        <v>1141</v>
      </c>
      <c r="B273" s="528" t="s">
        <v>1142</v>
      </c>
      <c r="C273" s="528" t="s">
        <v>1143</v>
      </c>
      <c r="D273" s="528" t="s">
        <v>277</v>
      </c>
      <c r="E273" s="528"/>
      <c r="F273" s="528"/>
      <c r="G273" s="528" t="s">
        <v>208</v>
      </c>
      <c r="H273"/>
    </row>
    <row r="274" spans="1:8" x14ac:dyDescent="0.35">
      <c r="A274" s="528" t="s">
        <v>1144</v>
      </c>
      <c r="B274" s="528" t="s">
        <v>1145</v>
      </c>
      <c r="C274" s="528" t="s">
        <v>1146</v>
      </c>
      <c r="D274" s="528" t="s">
        <v>225</v>
      </c>
      <c r="E274" s="528"/>
      <c r="F274" s="528"/>
      <c r="G274" s="528" t="s">
        <v>208</v>
      </c>
      <c r="H274"/>
    </row>
    <row r="275" spans="1:8" x14ac:dyDescent="0.35">
      <c r="A275" s="528" t="s">
        <v>1147</v>
      </c>
      <c r="B275" s="528" t="s">
        <v>1148</v>
      </c>
      <c r="C275" s="528" t="s">
        <v>1149</v>
      </c>
      <c r="D275" s="528" t="s">
        <v>264</v>
      </c>
      <c r="E275" s="528"/>
      <c r="F275" s="528"/>
      <c r="G275" s="528" t="s">
        <v>208</v>
      </c>
      <c r="H275"/>
    </row>
    <row r="276" spans="1:8" x14ac:dyDescent="0.35">
      <c r="A276" s="528" t="s">
        <v>1150</v>
      </c>
      <c r="B276" s="528" t="s">
        <v>1151</v>
      </c>
      <c r="C276" s="528" t="s">
        <v>1152</v>
      </c>
      <c r="D276" s="528" t="s">
        <v>264</v>
      </c>
      <c r="E276" s="528"/>
      <c r="F276" s="528"/>
      <c r="G276" s="528" t="s">
        <v>208</v>
      </c>
      <c r="H276"/>
    </row>
    <row r="277" spans="1:8" x14ac:dyDescent="0.35">
      <c r="A277" s="528" t="s">
        <v>1153</v>
      </c>
      <c r="B277" s="528" t="s">
        <v>1154</v>
      </c>
      <c r="C277" s="528" t="s">
        <v>1155</v>
      </c>
      <c r="D277" s="528" t="s">
        <v>251</v>
      </c>
      <c r="E277" s="528"/>
      <c r="F277" s="528"/>
      <c r="G277" s="528" t="s">
        <v>205</v>
      </c>
      <c r="H277"/>
    </row>
    <row r="278" spans="1:8" x14ac:dyDescent="0.35">
      <c r="A278" s="528" t="s">
        <v>1156</v>
      </c>
      <c r="B278" s="528" t="s">
        <v>1157</v>
      </c>
      <c r="C278" s="528" t="s">
        <v>1158</v>
      </c>
      <c r="D278" s="528" t="s">
        <v>225</v>
      </c>
      <c r="E278" s="528"/>
      <c r="F278" s="528"/>
      <c r="G278" s="528" t="s">
        <v>205</v>
      </c>
      <c r="H278"/>
    </row>
    <row r="279" spans="1:8" x14ac:dyDescent="0.35">
      <c r="A279" s="528" t="s">
        <v>1159</v>
      </c>
      <c r="B279" s="528" t="s">
        <v>1160</v>
      </c>
      <c r="C279" s="528" t="s">
        <v>1161</v>
      </c>
      <c r="D279" s="528" t="s">
        <v>277</v>
      </c>
      <c r="E279" s="528"/>
      <c r="F279" s="528"/>
      <c r="G279" s="528" t="s">
        <v>205</v>
      </c>
      <c r="H279"/>
    </row>
    <row r="280" spans="1:8" x14ac:dyDescent="0.35">
      <c r="A280" s="528" t="s">
        <v>1162</v>
      </c>
      <c r="B280" s="528" t="s">
        <v>1163</v>
      </c>
      <c r="C280" s="528" t="s">
        <v>1164</v>
      </c>
      <c r="D280" s="528" t="s">
        <v>251</v>
      </c>
      <c r="E280" s="528"/>
      <c r="F280" s="528"/>
      <c r="G280" s="528" t="s">
        <v>205</v>
      </c>
      <c r="H280"/>
    </row>
    <row r="281" spans="1:8" x14ac:dyDescent="0.35">
      <c r="A281" s="528" t="s">
        <v>1165</v>
      </c>
      <c r="B281" s="528" t="s">
        <v>1166</v>
      </c>
      <c r="C281" s="528" t="s">
        <v>1167</v>
      </c>
      <c r="D281" s="528" t="s">
        <v>251</v>
      </c>
      <c r="E281" s="528"/>
      <c r="F281" s="528"/>
      <c r="G281" s="528" t="s">
        <v>205</v>
      </c>
      <c r="H281"/>
    </row>
    <row r="282" spans="1:8" x14ac:dyDescent="0.35">
      <c r="A282" s="528" t="s">
        <v>1168</v>
      </c>
      <c r="B282" s="528" t="s">
        <v>1169</v>
      </c>
      <c r="C282" s="528" t="s">
        <v>1170</v>
      </c>
      <c r="D282" s="528" t="s">
        <v>238</v>
      </c>
      <c r="E282" s="528"/>
      <c r="F282" s="528"/>
      <c r="G282" s="528" t="s">
        <v>205</v>
      </c>
      <c r="H282"/>
    </row>
    <row r="283" spans="1:8" x14ac:dyDescent="0.35">
      <c r="A283" s="528" t="s">
        <v>1171</v>
      </c>
      <c r="B283" s="528" t="s">
        <v>1172</v>
      </c>
      <c r="C283" s="528" t="s">
        <v>1173</v>
      </c>
      <c r="D283" s="528" t="s">
        <v>251</v>
      </c>
      <c r="E283" s="528"/>
      <c r="F283" s="528"/>
      <c r="G283" s="528" t="s">
        <v>208</v>
      </c>
      <c r="H283"/>
    </row>
    <row r="284" spans="1:8" x14ac:dyDescent="0.35">
      <c r="A284" s="528" t="s">
        <v>1174</v>
      </c>
      <c r="B284" s="528" t="s">
        <v>1175</v>
      </c>
      <c r="C284" s="528" t="s">
        <v>1176</v>
      </c>
      <c r="D284" s="528" t="s">
        <v>277</v>
      </c>
      <c r="E284" s="528"/>
      <c r="F284" s="528"/>
      <c r="G284" s="528" t="s">
        <v>212</v>
      </c>
      <c r="H284"/>
    </row>
    <row r="285" spans="1:8" x14ac:dyDescent="0.35">
      <c r="A285" s="528" t="s">
        <v>1177</v>
      </c>
      <c r="B285" s="528" t="s">
        <v>1178</v>
      </c>
      <c r="C285" s="528" t="s">
        <v>1179</v>
      </c>
      <c r="D285" s="528" t="s">
        <v>225</v>
      </c>
      <c r="E285" s="528"/>
      <c r="F285" s="528"/>
      <c r="G285" s="528" t="s">
        <v>205</v>
      </c>
      <c r="H285"/>
    </row>
    <row r="286" spans="1:8" x14ac:dyDescent="0.35">
      <c r="A286" s="528" t="s">
        <v>1180</v>
      </c>
      <c r="B286" s="528" t="s">
        <v>1181</v>
      </c>
      <c r="C286" s="528" t="s">
        <v>1182</v>
      </c>
      <c r="D286" s="528" t="s">
        <v>225</v>
      </c>
      <c r="E286" s="528"/>
      <c r="F286" s="528"/>
      <c r="G286" s="528" t="s">
        <v>205</v>
      </c>
      <c r="H286"/>
    </row>
    <row r="287" spans="1:8" x14ac:dyDescent="0.35">
      <c r="A287" s="528" t="s">
        <v>1183</v>
      </c>
      <c r="B287" s="528" t="s">
        <v>1184</v>
      </c>
      <c r="C287" s="528" t="s">
        <v>1185</v>
      </c>
      <c r="D287" s="528" t="s">
        <v>225</v>
      </c>
      <c r="E287" s="528"/>
      <c r="F287" s="528"/>
      <c r="G287" s="528" t="s">
        <v>205</v>
      </c>
      <c r="H287"/>
    </row>
    <row r="288" spans="1:8" x14ac:dyDescent="0.35">
      <c r="A288" s="528" t="s">
        <v>1186</v>
      </c>
      <c r="B288" s="528" t="s">
        <v>1187</v>
      </c>
      <c r="C288" s="528" t="s">
        <v>1188</v>
      </c>
      <c r="D288" s="528" t="s">
        <v>264</v>
      </c>
      <c r="E288" s="528"/>
      <c r="F288" s="528"/>
      <c r="G288" s="528" t="s">
        <v>205</v>
      </c>
      <c r="H288"/>
    </row>
    <row r="289" spans="1:8" x14ac:dyDescent="0.35">
      <c r="A289" s="528" t="s">
        <v>1189</v>
      </c>
      <c r="B289" s="528" t="s">
        <v>1190</v>
      </c>
      <c r="C289" s="528" t="s">
        <v>1191</v>
      </c>
      <c r="D289" s="528" t="s">
        <v>264</v>
      </c>
      <c r="E289" s="528"/>
      <c r="F289" s="528"/>
      <c r="G289" s="528" t="s">
        <v>205</v>
      </c>
      <c r="H289"/>
    </row>
    <row r="290" spans="1:8" x14ac:dyDescent="0.35">
      <c r="A290" s="528" t="s">
        <v>1192</v>
      </c>
      <c r="B290" s="528" t="s">
        <v>1193</v>
      </c>
      <c r="C290" s="528" t="s">
        <v>1194</v>
      </c>
      <c r="D290" s="528" t="s">
        <v>277</v>
      </c>
      <c r="E290" s="528"/>
      <c r="F290" s="528"/>
      <c r="G290" s="528" t="s">
        <v>205</v>
      </c>
      <c r="H290"/>
    </row>
    <row r="291" spans="1:8" x14ac:dyDescent="0.35">
      <c r="A291" s="528" t="s">
        <v>1195</v>
      </c>
      <c r="B291" s="528" t="s">
        <v>1196</v>
      </c>
      <c r="C291" s="528" t="s">
        <v>1197</v>
      </c>
      <c r="D291" s="528" t="s">
        <v>238</v>
      </c>
      <c r="E291" s="528"/>
      <c r="F291" s="528"/>
      <c r="G291" s="528" t="s">
        <v>205</v>
      </c>
      <c r="H291"/>
    </row>
    <row r="292" spans="1:8" x14ac:dyDescent="0.35">
      <c r="A292" s="528" t="s">
        <v>1198</v>
      </c>
      <c r="B292" s="528" t="s">
        <v>1199</v>
      </c>
      <c r="C292" s="528" t="s">
        <v>1200</v>
      </c>
      <c r="D292" s="528" t="s">
        <v>225</v>
      </c>
      <c r="E292" s="528"/>
      <c r="F292" s="528"/>
      <c r="G292" s="528" t="s">
        <v>205</v>
      </c>
      <c r="H292"/>
    </row>
    <row r="293" spans="1:8" x14ac:dyDescent="0.35">
      <c r="A293" s="528" t="s">
        <v>1201</v>
      </c>
      <c r="B293" s="528" t="s">
        <v>1202</v>
      </c>
      <c r="C293" s="528" t="s">
        <v>1203</v>
      </c>
      <c r="D293" s="528" t="s">
        <v>251</v>
      </c>
      <c r="E293" s="528"/>
      <c r="F293" s="528"/>
      <c r="G293" s="528" t="s">
        <v>205</v>
      </c>
      <c r="H293"/>
    </row>
    <row r="294" spans="1:8" x14ac:dyDescent="0.35">
      <c r="A294" s="528" t="s">
        <v>1204</v>
      </c>
      <c r="B294" s="528" t="s">
        <v>1205</v>
      </c>
      <c r="C294" s="528" t="s">
        <v>1173</v>
      </c>
      <c r="D294" s="528" t="s">
        <v>251</v>
      </c>
      <c r="E294" s="528"/>
      <c r="F294" s="528"/>
      <c r="G294" s="528" t="s">
        <v>208</v>
      </c>
      <c r="H294"/>
    </row>
    <row r="295" spans="1:8" x14ac:dyDescent="0.35">
      <c r="A295" s="528" t="s">
        <v>1206</v>
      </c>
      <c r="B295" s="528" t="s">
        <v>1207</v>
      </c>
      <c r="C295" s="528" t="s">
        <v>1208</v>
      </c>
      <c r="D295" s="528" t="s">
        <v>264</v>
      </c>
      <c r="E295" s="528"/>
      <c r="F295" s="528"/>
      <c r="G295" s="528" t="s">
        <v>205</v>
      </c>
      <c r="H295"/>
    </row>
    <row r="296" spans="1:8" x14ac:dyDescent="0.35">
      <c r="A296" s="528" t="s">
        <v>1209</v>
      </c>
      <c r="B296" s="528" t="s">
        <v>1210</v>
      </c>
      <c r="C296" s="528" t="s">
        <v>1211</v>
      </c>
      <c r="D296" s="528" t="s">
        <v>264</v>
      </c>
      <c r="E296" s="528"/>
      <c r="F296" s="528"/>
      <c r="G296" s="528" t="s">
        <v>205</v>
      </c>
      <c r="H296"/>
    </row>
    <row r="297" spans="1:8" x14ac:dyDescent="0.35">
      <c r="A297" s="528" t="s">
        <v>1212</v>
      </c>
      <c r="B297" s="528" t="s">
        <v>1213</v>
      </c>
      <c r="C297" s="528" t="s">
        <v>1214</v>
      </c>
      <c r="D297" s="528" t="s">
        <v>225</v>
      </c>
      <c r="E297" s="528"/>
      <c r="F297" s="528"/>
      <c r="G297" s="528" t="s">
        <v>208</v>
      </c>
      <c r="H297"/>
    </row>
    <row r="298" spans="1:8" x14ac:dyDescent="0.35">
      <c r="A298" s="528" t="s">
        <v>1215</v>
      </c>
      <c r="B298" s="528" t="s">
        <v>1216</v>
      </c>
      <c r="C298" s="528" t="s">
        <v>1217</v>
      </c>
      <c r="D298" s="528" t="s">
        <v>264</v>
      </c>
      <c r="E298" s="528"/>
      <c r="F298" s="528"/>
      <c r="G298" s="528" t="s">
        <v>208</v>
      </c>
      <c r="H298"/>
    </row>
    <row r="299" spans="1:8" x14ac:dyDescent="0.35">
      <c r="A299" s="528" t="s">
        <v>1218</v>
      </c>
      <c r="B299" s="528" t="s">
        <v>1219</v>
      </c>
      <c r="C299" s="528" t="s">
        <v>1220</v>
      </c>
      <c r="D299" s="528" t="s">
        <v>264</v>
      </c>
      <c r="E299" s="528"/>
      <c r="F299" s="528"/>
      <c r="G299" s="528" t="s">
        <v>205</v>
      </c>
      <c r="H299"/>
    </row>
    <row r="300" spans="1:8" x14ac:dyDescent="0.35">
      <c r="A300" s="528" t="s">
        <v>1221</v>
      </c>
      <c r="B300" s="528" t="s">
        <v>1222</v>
      </c>
      <c r="C300" s="528" t="s">
        <v>1223</v>
      </c>
      <c r="D300" s="528" t="s">
        <v>277</v>
      </c>
      <c r="E300" s="528"/>
      <c r="F300" s="528"/>
      <c r="G300" s="528" t="s">
        <v>208</v>
      </c>
      <c r="H300"/>
    </row>
    <row r="301" spans="1:8" x14ac:dyDescent="0.35">
      <c r="A301" s="528" t="s">
        <v>1224</v>
      </c>
      <c r="B301" s="528" t="s">
        <v>1225</v>
      </c>
      <c r="C301" s="528" t="s">
        <v>1226</v>
      </c>
      <c r="D301" s="528" t="s">
        <v>264</v>
      </c>
      <c r="E301" s="528"/>
      <c r="F301" s="528"/>
      <c r="G301" s="528" t="s">
        <v>205</v>
      </c>
      <c r="H301"/>
    </row>
    <row r="302" spans="1:8" x14ac:dyDescent="0.35">
      <c r="A302" s="528" t="s">
        <v>1227</v>
      </c>
      <c r="B302" s="528" t="s">
        <v>1228</v>
      </c>
      <c r="C302" s="528" t="s">
        <v>1229</v>
      </c>
      <c r="D302" s="528" t="s">
        <v>225</v>
      </c>
      <c r="E302" s="528"/>
      <c r="F302" s="528"/>
      <c r="G302" s="528" t="s">
        <v>208</v>
      </c>
      <c r="H302"/>
    </row>
    <row r="303" spans="1:8" x14ac:dyDescent="0.35">
      <c r="A303" s="528" t="s">
        <v>1230</v>
      </c>
      <c r="B303" s="528" t="s">
        <v>1231</v>
      </c>
      <c r="C303" s="528" t="s">
        <v>1232</v>
      </c>
      <c r="D303" s="528" t="s">
        <v>225</v>
      </c>
      <c r="E303" s="528"/>
      <c r="F303" s="528"/>
      <c r="G303" s="528" t="s">
        <v>205</v>
      </c>
      <c r="H303"/>
    </row>
    <row r="304" spans="1:8" x14ac:dyDescent="0.35">
      <c r="A304" s="528" t="s">
        <v>1233</v>
      </c>
      <c r="B304" s="528" t="s">
        <v>1234</v>
      </c>
      <c r="C304" s="528" t="s">
        <v>1235</v>
      </c>
      <c r="D304" s="528" t="s">
        <v>251</v>
      </c>
      <c r="E304" s="528"/>
      <c r="F304" s="528"/>
      <c r="G304" s="528" t="s">
        <v>208</v>
      </c>
      <c r="H304"/>
    </row>
    <row r="305" spans="1:8" x14ac:dyDescent="0.35">
      <c r="A305" s="528" t="s">
        <v>1236</v>
      </c>
      <c r="B305" s="528" t="s">
        <v>1237</v>
      </c>
      <c r="C305" s="528" t="s">
        <v>1238</v>
      </c>
      <c r="D305" s="528" t="s">
        <v>251</v>
      </c>
      <c r="E305" s="528"/>
      <c r="F305" s="528"/>
      <c r="G305" s="528" t="s">
        <v>205</v>
      </c>
      <c r="H305"/>
    </row>
    <row r="306" spans="1:8" x14ac:dyDescent="0.35">
      <c r="A306" s="528" t="s">
        <v>1239</v>
      </c>
      <c r="B306" s="528" t="s">
        <v>1240</v>
      </c>
      <c r="C306" s="528" t="s">
        <v>1241</v>
      </c>
      <c r="D306" s="528" t="s">
        <v>225</v>
      </c>
      <c r="E306" s="528"/>
      <c r="F306" s="528"/>
      <c r="G306" s="528" t="s">
        <v>205</v>
      </c>
      <c r="H306"/>
    </row>
    <row r="307" spans="1:8" x14ac:dyDescent="0.35">
      <c r="A307" s="528" t="s">
        <v>1242</v>
      </c>
      <c r="B307" s="528" t="s">
        <v>1243</v>
      </c>
      <c r="C307" s="528" t="s">
        <v>1244</v>
      </c>
      <c r="D307" s="528" t="s">
        <v>277</v>
      </c>
      <c r="E307" s="528" t="s">
        <v>264</v>
      </c>
      <c r="F307" s="528"/>
      <c r="G307" s="528" t="s">
        <v>205</v>
      </c>
      <c r="H307"/>
    </row>
    <row r="308" spans="1:8" x14ac:dyDescent="0.35">
      <c r="A308" s="528" t="s">
        <v>1245</v>
      </c>
      <c r="B308" s="528" t="s">
        <v>1246</v>
      </c>
      <c r="C308" s="528" t="s">
        <v>1014</v>
      </c>
      <c r="D308" s="528" t="s">
        <v>277</v>
      </c>
      <c r="E308" s="528"/>
      <c r="F308" s="528"/>
      <c r="G308" s="528" t="s">
        <v>208</v>
      </c>
      <c r="H308"/>
    </row>
    <row r="309" spans="1:8" x14ac:dyDescent="0.35">
      <c r="A309" s="528" t="s">
        <v>1247</v>
      </c>
      <c r="B309" s="528" t="s">
        <v>1248</v>
      </c>
      <c r="C309" s="528" t="s">
        <v>1249</v>
      </c>
      <c r="D309" s="528" t="s">
        <v>264</v>
      </c>
      <c r="E309" s="528"/>
      <c r="F309" s="528"/>
      <c r="G309" s="528" t="s">
        <v>205</v>
      </c>
      <c r="H309"/>
    </row>
    <row r="310" spans="1:8" x14ac:dyDescent="0.35">
      <c r="A310" s="528" t="s">
        <v>1250</v>
      </c>
      <c r="B310" s="528" t="s">
        <v>1251</v>
      </c>
      <c r="C310" s="528" t="s">
        <v>1252</v>
      </c>
      <c r="D310" s="528" t="s">
        <v>277</v>
      </c>
      <c r="E310" s="528"/>
      <c r="F310" s="528"/>
      <c r="G310" s="528" t="s">
        <v>205</v>
      </c>
      <c r="H310"/>
    </row>
    <row r="311" spans="1:8" x14ac:dyDescent="0.35">
      <c r="A311" s="528" t="s">
        <v>1253</v>
      </c>
      <c r="B311" s="528" t="s">
        <v>1254</v>
      </c>
      <c r="C311" s="528" t="s">
        <v>1255</v>
      </c>
      <c r="D311" s="528" t="s">
        <v>277</v>
      </c>
      <c r="E311" s="528"/>
      <c r="F311" s="528"/>
      <c r="G311" s="528" t="s">
        <v>205</v>
      </c>
      <c r="H311"/>
    </row>
    <row r="312" spans="1:8" x14ac:dyDescent="0.35">
      <c r="A312" s="528" t="s">
        <v>1256</v>
      </c>
      <c r="B312" s="528" t="s">
        <v>1257</v>
      </c>
      <c r="C312" s="528" t="s">
        <v>1258</v>
      </c>
      <c r="D312" s="528" t="s">
        <v>264</v>
      </c>
      <c r="E312" s="528"/>
      <c r="F312" s="528"/>
      <c r="G312" s="528" t="s">
        <v>205</v>
      </c>
      <c r="H312"/>
    </row>
    <row r="313" spans="1:8" x14ac:dyDescent="0.35">
      <c r="A313" s="528" t="s">
        <v>1259</v>
      </c>
      <c r="B313" s="528" t="s">
        <v>1260</v>
      </c>
      <c r="C313" s="528" t="s">
        <v>1261</v>
      </c>
      <c r="D313" s="528" t="s">
        <v>251</v>
      </c>
      <c r="E313" s="528"/>
      <c r="F313" s="528"/>
      <c r="G313" s="528" t="s">
        <v>208</v>
      </c>
      <c r="H313"/>
    </row>
    <row r="314" spans="1:8" x14ac:dyDescent="0.35">
      <c r="A314" s="528" t="s">
        <v>1262</v>
      </c>
      <c r="B314" s="528" t="s">
        <v>1263</v>
      </c>
      <c r="C314" s="528" t="s">
        <v>1264</v>
      </c>
      <c r="D314" s="528" t="s">
        <v>277</v>
      </c>
      <c r="E314" s="528"/>
      <c r="F314" s="528"/>
      <c r="G314" s="528" t="s">
        <v>205</v>
      </c>
      <c r="H314"/>
    </row>
    <row r="315" spans="1:8" x14ac:dyDescent="0.35">
      <c r="A315" s="528" t="s">
        <v>1265</v>
      </c>
      <c r="B315" s="528" t="s">
        <v>1266</v>
      </c>
      <c r="C315" s="528" t="s">
        <v>1267</v>
      </c>
      <c r="D315" s="528" t="s">
        <v>264</v>
      </c>
      <c r="E315" s="528" t="s">
        <v>277</v>
      </c>
      <c r="F315" s="528"/>
      <c r="G315" s="528" t="s">
        <v>205</v>
      </c>
      <c r="H315"/>
    </row>
    <row r="316" spans="1:8" x14ac:dyDescent="0.35">
      <c r="A316" s="528" t="s">
        <v>1268</v>
      </c>
      <c r="B316" s="528" t="s">
        <v>1269</v>
      </c>
      <c r="C316" s="528" t="s">
        <v>1270</v>
      </c>
      <c r="D316" s="528" t="s">
        <v>251</v>
      </c>
      <c r="E316" s="528"/>
      <c r="F316" s="528"/>
      <c r="G316" s="528" t="s">
        <v>205</v>
      </c>
      <c r="H316"/>
    </row>
    <row r="317" spans="1:8" x14ac:dyDescent="0.35">
      <c r="A317" s="528" t="s">
        <v>1271</v>
      </c>
      <c r="B317" s="528" t="s">
        <v>1272</v>
      </c>
      <c r="C317" s="528" t="s">
        <v>1273</v>
      </c>
      <c r="D317" s="528" t="s">
        <v>225</v>
      </c>
      <c r="E317" s="528"/>
      <c r="F317" s="528"/>
      <c r="G317" s="528" t="s">
        <v>208</v>
      </c>
      <c r="H317"/>
    </row>
    <row r="318" spans="1:8" x14ac:dyDescent="0.35">
      <c r="A318" s="528" t="s">
        <v>1274</v>
      </c>
      <c r="B318" s="528" t="s">
        <v>1275</v>
      </c>
      <c r="C318" s="528" t="s">
        <v>1276</v>
      </c>
      <c r="D318" s="528" t="s">
        <v>264</v>
      </c>
      <c r="E318" s="528"/>
      <c r="F318" s="528"/>
      <c r="G318" s="528" t="s">
        <v>205</v>
      </c>
      <c r="H318"/>
    </row>
    <row r="319" spans="1:8" x14ac:dyDescent="0.35">
      <c r="A319" s="528" t="s">
        <v>1277</v>
      </c>
      <c r="B319" s="528" t="s">
        <v>1278</v>
      </c>
      <c r="C319" s="528" t="s">
        <v>1279</v>
      </c>
      <c r="D319" s="528" t="s">
        <v>264</v>
      </c>
      <c r="E319" s="528"/>
      <c r="F319" s="528"/>
      <c r="G319" s="528" t="s">
        <v>208</v>
      </c>
      <c r="H319"/>
    </row>
    <row r="320" spans="1:8" x14ac:dyDescent="0.35">
      <c r="A320" s="528" t="s">
        <v>1280</v>
      </c>
      <c r="B320" s="528" t="s">
        <v>1281</v>
      </c>
      <c r="C320" s="528" t="s">
        <v>1282</v>
      </c>
      <c r="D320" s="528" t="s">
        <v>277</v>
      </c>
      <c r="E320" s="528" t="s">
        <v>264</v>
      </c>
      <c r="F320" s="528"/>
      <c r="G320" s="528" t="s">
        <v>205</v>
      </c>
      <c r="H320"/>
    </row>
    <row r="321" spans="1:8" x14ac:dyDescent="0.35">
      <c r="A321" s="528" t="s">
        <v>1283</v>
      </c>
      <c r="B321" s="528" t="s">
        <v>1284</v>
      </c>
      <c r="C321" s="528" t="s">
        <v>1285</v>
      </c>
      <c r="D321" s="528" t="s">
        <v>264</v>
      </c>
      <c r="E321" s="528"/>
      <c r="F321" s="528"/>
      <c r="G321" s="528" t="s">
        <v>205</v>
      </c>
      <c r="H321"/>
    </row>
    <row r="322" spans="1:8" x14ac:dyDescent="0.35">
      <c r="A322" s="528" t="s">
        <v>1286</v>
      </c>
      <c r="B322" s="528" t="s">
        <v>1287</v>
      </c>
      <c r="C322" s="528" t="s">
        <v>1288</v>
      </c>
      <c r="D322" s="528" t="s">
        <v>277</v>
      </c>
      <c r="E322" s="528"/>
      <c r="F322" s="528"/>
      <c r="G322" s="528" t="s">
        <v>205</v>
      </c>
      <c r="H322"/>
    </row>
    <row r="323" spans="1:8" x14ac:dyDescent="0.35">
      <c r="A323" s="528" t="s">
        <v>1289</v>
      </c>
      <c r="B323" s="528" t="s">
        <v>1290</v>
      </c>
      <c r="C323" s="528" t="s">
        <v>1291</v>
      </c>
      <c r="D323" s="528" t="s">
        <v>264</v>
      </c>
      <c r="E323" s="528"/>
      <c r="F323" s="528"/>
      <c r="G323" s="528" t="s">
        <v>205</v>
      </c>
      <c r="H323"/>
    </row>
    <row r="324" spans="1:8" x14ac:dyDescent="0.35">
      <c r="A324" s="528" t="s">
        <v>1292</v>
      </c>
      <c r="B324" s="528" t="s">
        <v>1293</v>
      </c>
      <c r="C324" s="528" t="s">
        <v>1294</v>
      </c>
      <c r="D324" s="528" t="s">
        <v>251</v>
      </c>
      <c r="E324" s="528"/>
      <c r="F324" s="528"/>
      <c r="G324" s="528" t="s">
        <v>205</v>
      </c>
      <c r="H324"/>
    </row>
    <row r="325" spans="1:8" x14ac:dyDescent="0.35">
      <c r="A325" s="528" t="s">
        <v>1295</v>
      </c>
      <c r="B325" s="528" t="s">
        <v>1296</v>
      </c>
      <c r="C325" s="528" t="s">
        <v>1297</v>
      </c>
      <c r="D325" s="528" t="s">
        <v>251</v>
      </c>
      <c r="E325" s="528"/>
      <c r="F325" s="528"/>
      <c r="G325" s="528" t="s">
        <v>205</v>
      </c>
      <c r="H325"/>
    </row>
    <row r="326" spans="1:8" x14ac:dyDescent="0.35">
      <c r="A326" s="528" t="s">
        <v>1298</v>
      </c>
      <c r="B326" s="528" t="s">
        <v>1299</v>
      </c>
      <c r="C326" s="528" t="s">
        <v>1300</v>
      </c>
      <c r="D326" s="528" t="s">
        <v>251</v>
      </c>
      <c r="E326" s="528"/>
      <c r="F326" s="528"/>
      <c r="G326" s="528" t="s">
        <v>205</v>
      </c>
      <c r="H326"/>
    </row>
    <row r="327" spans="1:8" x14ac:dyDescent="0.35">
      <c r="A327" s="528" t="s">
        <v>1301</v>
      </c>
      <c r="B327" s="528" t="s">
        <v>1302</v>
      </c>
      <c r="C327" s="528" t="s">
        <v>1252</v>
      </c>
      <c r="D327" s="528" t="s">
        <v>277</v>
      </c>
      <c r="E327" s="528"/>
      <c r="F327" s="528"/>
      <c r="G327" s="528" t="s">
        <v>205</v>
      </c>
      <c r="H327"/>
    </row>
    <row r="328" spans="1:8" x14ac:dyDescent="0.35">
      <c r="A328" s="528" t="s">
        <v>1303</v>
      </c>
      <c r="B328" s="528" t="s">
        <v>1304</v>
      </c>
      <c r="C328" s="528" t="s">
        <v>1305</v>
      </c>
      <c r="D328" s="528" t="s">
        <v>277</v>
      </c>
      <c r="E328" s="528"/>
      <c r="F328" s="528"/>
      <c r="G328" s="528" t="s">
        <v>205</v>
      </c>
      <c r="H328"/>
    </row>
    <row r="329" spans="1:8" x14ac:dyDescent="0.35">
      <c r="A329" s="528" t="s">
        <v>1306</v>
      </c>
      <c r="B329" s="528" t="s">
        <v>1307</v>
      </c>
      <c r="C329" s="528" t="s">
        <v>1308</v>
      </c>
      <c r="D329" s="528" t="s">
        <v>251</v>
      </c>
      <c r="E329" s="528"/>
      <c r="F329" s="528"/>
      <c r="G329" s="528" t="s">
        <v>208</v>
      </c>
      <c r="H329"/>
    </row>
    <row r="330" spans="1:8" x14ac:dyDescent="0.35">
      <c r="A330" s="528" t="s">
        <v>1309</v>
      </c>
      <c r="B330" s="528" t="s">
        <v>1310</v>
      </c>
      <c r="C330" s="528" t="s">
        <v>1311</v>
      </c>
      <c r="D330" s="528" t="s">
        <v>238</v>
      </c>
      <c r="E330" s="528"/>
      <c r="F330" s="528"/>
      <c r="G330" s="528" t="s">
        <v>208</v>
      </c>
      <c r="H330"/>
    </row>
    <row r="331" spans="1:8" x14ac:dyDescent="0.35">
      <c r="A331" s="528" t="s">
        <v>1312</v>
      </c>
      <c r="B331" s="528" t="s">
        <v>1313</v>
      </c>
      <c r="C331" s="528" t="s">
        <v>1314</v>
      </c>
      <c r="D331" s="528" t="s">
        <v>238</v>
      </c>
      <c r="E331" s="528"/>
      <c r="F331" s="528"/>
      <c r="G331" s="528" t="s">
        <v>205</v>
      </c>
      <c r="H331"/>
    </row>
    <row r="332" spans="1:8" x14ac:dyDescent="0.35">
      <c r="A332" s="528" t="s">
        <v>1315</v>
      </c>
      <c r="B332" s="528" t="s">
        <v>1316</v>
      </c>
      <c r="C332" s="528" t="s">
        <v>1317</v>
      </c>
      <c r="D332" s="528" t="s">
        <v>277</v>
      </c>
      <c r="E332" s="528"/>
      <c r="F332" s="528"/>
      <c r="G332" s="528" t="s">
        <v>205</v>
      </c>
      <c r="H332"/>
    </row>
    <row r="333" spans="1:8" x14ac:dyDescent="0.35">
      <c r="A333" s="528" t="s">
        <v>1318</v>
      </c>
      <c r="B333" s="528" t="s">
        <v>1319</v>
      </c>
      <c r="C333" s="528" t="s">
        <v>1320</v>
      </c>
      <c r="D333" s="528" t="s">
        <v>277</v>
      </c>
      <c r="E333" s="528"/>
      <c r="F333" s="528"/>
      <c r="G333" s="528" t="s">
        <v>205</v>
      </c>
      <c r="H333"/>
    </row>
    <row r="334" spans="1:8" x14ac:dyDescent="0.35">
      <c r="A334" s="528" t="s">
        <v>1321</v>
      </c>
      <c r="B334" s="528" t="s">
        <v>1322</v>
      </c>
      <c r="C334" s="528" t="s">
        <v>1323</v>
      </c>
      <c r="D334" s="528" t="s">
        <v>225</v>
      </c>
      <c r="E334" s="528"/>
      <c r="F334" s="528"/>
      <c r="G334" s="528" t="s">
        <v>205</v>
      </c>
      <c r="H334"/>
    </row>
    <row r="335" spans="1:8" x14ac:dyDescent="0.35">
      <c r="A335" s="528" t="s">
        <v>1324</v>
      </c>
      <c r="B335" s="528" t="s">
        <v>1325</v>
      </c>
      <c r="C335" s="528" t="s">
        <v>1326</v>
      </c>
      <c r="D335" s="528" t="s">
        <v>264</v>
      </c>
      <c r="E335" s="528"/>
      <c r="F335" s="528"/>
      <c r="G335" s="528" t="s">
        <v>205</v>
      </c>
      <c r="H335"/>
    </row>
    <row r="336" spans="1:8" x14ac:dyDescent="0.35">
      <c r="A336" s="528" t="s">
        <v>1327</v>
      </c>
      <c r="B336" s="528" t="s">
        <v>1328</v>
      </c>
      <c r="C336" s="528" t="s">
        <v>1329</v>
      </c>
      <c r="D336" s="528" t="s">
        <v>251</v>
      </c>
      <c r="E336" s="528"/>
      <c r="F336" s="528"/>
      <c r="G336" s="528" t="s">
        <v>205</v>
      </c>
      <c r="H336"/>
    </row>
    <row r="337" spans="1:8" x14ac:dyDescent="0.35">
      <c r="A337" s="528" t="s">
        <v>1330</v>
      </c>
      <c r="B337" s="528" t="s">
        <v>1331</v>
      </c>
      <c r="C337" s="528" t="s">
        <v>1332</v>
      </c>
      <c r="D337" s="528" t="s">
        <v>277</v>
      </c>
      <c r="E337" s="528"/>
      <c r="F337" s="528"/>
      <c r="G337" s="528" t="s">
        <v>208</v>
      </c>
      <c r="H337"/>
    </row>
    <row r="338" spans="1:8" x14ac:dyDescent="0.35">
      <c r="A338" s="528" t="s">
        <v>1333</v>
      </c>
      <c r="B338" s="528" t="s">
        <v>1334</v>
      </c>
      <c r="C338" s="528" t="s">
        <v>1335</v>
      </c>
      <c r="D338" s="528" t="s">
        <v>251</v>
      </c>
      <c r="E338" s="528"/>
      <c r="F338" s="528"/>
      <c r="G338" s="528" t="s">
        <v>208</v>
      </c>
      <c r="H338"/>
    </row>
    <row r="339" spans="1:8" x14ac:dyDescent="0.35">
      <c r="A339" s="528" t="s">
        <v>1336</v>
      </c>
      <c r="B339" s="528" t="s">
        <v>1337</v>
      </c>
      <c r="C339" s="528" t="s">
        <v>1338</v>
      </c>
      <c r="D339" s="528" t="s">
        <v>277</v>
      </c>
      <c r="E339" s="528"/>
      <c r="F339" s="528"/>
      <c r="G339" s="528" t="s">
        <v>208</v>
      </c>
      <c r="H339"/>
    </row>
    <row r="340" spans="1:8" x14ac:dyDescent="0.35">
      <c r="A340" s="528" t="s">
        <v>1339</v>
      </c>
      <c r="B340" s="528" t="s">
        <v>1340</v>
      </c>
      <c r="C340" s="528" t="s">
        <v>1341</v>
      </c>
      <c r="D340" s="528" t="s">
        <v>277</v>
      </c>
      <c r="E340" s="528"/>
      <c r="F340" s="528"/>
      <c r="G340" s="528" t="s">
        <v>205</v>
      </c>
      <c r="H340"/>
    </row>
    <row r="341" spans="1:8" x14ac:dyDescent="0.35">
      <c r="A341" s="528" t="s">
        <v>1342</v>
      </c>
      <c r="B341" s="528" t="s">
        <v>1343</v>
      </c>
      <c r="C341" s="528" t="s">
        <v>1344</v>
      </c>
      <c r="D341" s="528" t="s">
        <v>277</v>
      </c>
      <c r="E341" s="528"/>
      <c r="F341" s="528"/>
      <c r="G341" s="528" t="s">
        <v>205</v>
      </c>
      <c r="H341"/>
    </row>
    <row r="342" spans="1:8" x14ac:dyDescent="0.35">
      <c r="A342" s="528" t="s">
        <v>1345</v>
      </c>
      <c r="B342" s="528" t="s">
        <v>1346</v>
      </c>
      <c r="C342" s="528" t="s">
        <v>1347</v>
      </c>
      <c r="D342" s="528" t="s">
        <v>277</v>
      </c>
      <c r="E342" s="528"/>
      <c r="F342" s="528"/>
      <c r="G342" s="528" t="s">
        <v>205</v>
      </c>
      <c r="H342"/>
    </row>
    <row r="343" spans="1:8" x14ac:dyDescent="0.35">
      <c r="A343" s="528" t="s">
        <v>1348</v>
      </c>
      <c r="B343" s="528" t="s">
        <v>1349</v>
      </c>
      <c r="C343" s="528" t="s">
        <v>1350</v>
      </c>
      <c r="D343" s="528" t="s">
        <v>277</v>
      </c>
      <c r="E343" s="528"/>
      <c r="F343" s="528"/>
      <c r="G343" s="528" t="s">
        <v>205</v>
      </c>
      <c r="H343"/>
    </row>
    <row r="344" spans="1:8" x14ac:dyDescent="0.35">
      <c r="A344" s="528" t="s">
        <v>1351</v>
      </c>
      <c r="B344" s="528" t="s">
        <v>1352</v>
      </c>
      <c r="C344" s="528" t="s">
        <v>1353</v>
      </c>
      <c r="D344" s="528" t="s">
        <v>264</v>
      </c>
      <c r="E344" s="528"/>
      <c r="F344" s="528"/>
      <c r="G344" s="528" t="s">
        <v>210</v>
      </c>
      <c r="H344"/>
    </row>
    <row r="345" spans="1:8" x14ac:dyDescent="0.35">
      <c r="A345" s="528" t="s">
        <v>1354</v>
      </c>
      <c r="B345" s="528" t="s">
        <v>1355</v>
      </c>
      <c r="C345" s="528" t="s">
        <v>1356</v>
      </c>
      <c r="D345" s="528" t="s">
        <v>251</v>
      </c>
      <c r="E345" s="528"/>
      <c r="F345" s="528"/>
      <c r="G345" s="528" t="s">
        <v>205</v>
      </c>
      <c r="H345"/>
    </row>
    <row r="346" spans="1:8" x14ac:dyDescent="0.35">
      <c r="A346" s="528" t="s">
        <v>1357</v>
      </c>
      <c r="B346" s="528" t="s">
        <v>1358</v>
      </c>
      <c r="C346" s="528" t="s">
        <v>1359</v>
      </c>
      <c r="D346" s="528" t="s">
        <v>251</v>
      </c>
      <c r="E346" s="528"/>
      <c r="F346" s="528"/>
      <c r="G346" s="528" t="s">
        <v>205</v>
      </c>
      <c r="H346"/>
    </row>
    <row r="347" spans="1:8" x14ac:dyDescent="0.35">
      <c r="A347" s="528" t="s">
        <v>1360</v>
      </c>
      <c r="B347" s="528" t="s">
        <v>1361</v>
      </c>
      <c r="C347" s="528" t="s">
        <v>1362</v>
      </c>
      <c r="D347" s="528" t="s">
        <v>251</v>
      </c>
      <c r="E347" s="528"/>
      <c r="F347" s="528"/>
      <c r="G347" s="528" t="s">
        <v>205</v>
      </c>
      <c r="H347"/>
    </row>
    <row r="348" spans="1:8" x14ac:dyDescent="0.35">
      <c r="A348" s="528" t="s">
        <v>1363</v>
      </c>
      <c r="B348" s="528" t="s">
        <v>1364</v>
      </c>
      <c r="C348" s="528" t="s">
        <v>1365</v>
      </c>
      <c r="D348" s="528" t="s">
        <v>225</v>
      </c>
      <c r="E348" s="528"/>
      <c r="F348" s="528"/>
      <c r="G348" s="528" t="s">
        <v>205</v>
      </c>
      <c r="H348"/>
    </row>
    <row r="349" spans="1:8" x14ac:dyDescent="0.35">
      <c r="A349" s="528" t="s">
        <v>1366</v>
      </c>
      <c r="B349" s="528" t="s">
        <v>1367</v>
      </c>
      <c r="C349" s="528" t="s">
        <v>1368</v>
      </c>
      <c r="D349" s="528" t="s">
        <v>225</v>
      </c>
      <c r="E349" s="528"/>
      <c r="F349" s="528"/>
      <c r="G349" s="528" t="s">
        <v>205</v>
      </c>
      <c r="H349"/>
    </row>
    <row r="350" spans="1:8" x14ac:dyDescent="0.35">
      <c r="A350" s="528" t="s">
        <v>1369</v>
      </c>
      <c r="B350" s="528" t="s">
        <v>1370</v>
      </c>
      <c r="C350" s="528" t="s">
        <v>1371</v>
      </c>
      <c r="D350" s="528" t="s">
        <v>238</v>
      </c>
      <c r="E350" s="528"/>
      <c r="F350" s="528"/>
      <c r="G350" s="528" t="s">
        <v>205</v>
      </c>
      <c r="H350"/>
    </row>
    <row r="351" spans="1:8" x14ac:dyDescent="0.35">
      <c r="A351" s="528" t="s">
        <v>1372</v>
      </c>
      <c r="B351" s="528" t="s">
        <v>1373</v>
      </c>
      <c r="C351" s="528" t="s">
        <v>1374</v>
      </c>
      <c r="D351" s="528" t="s">
        <v>238</v>
      </c>
      <c r="E351" s="528"/>
      <c r="F351" s="528"/>
      <c r="G351" s="528" t="s">
        <v>205</v>
      </c>
      <c r="H351"/>
    </row>
    <row r="352" spans="1:8" x14ac:dyDescent="0.35">
      <c r="A352" s="528" t="s">
        <v>1375</v>
      </c>
      <c r="B352" s="528" t="s">
        <v>1376</v>
      </c>
      <c r="C352" s="528" t="s">
        <v>1377</v>
      </c>
      <c r="D352" s="528" t="s">
        <v>251</v>
      </c>
      <c r="E352" s="528"/>
      <c r="F352" s="528"/>
      <c r="G352" s="528" t="s">
        <v>208</v>
      </c>
      <c r="H352"/>
    </row>
    <row r="353" spans="1:8" x14ac:dyDescent="0.35">
      <c r="A353" s="528" t="s">
        <v>1378</v>
      </c>
      <c r="B353" s="528" t="s">
        <v>1379</v>
      </c>
      <c r="C353" s="528" t="s">
        <v>1380</v>
      </c>
      <c r="D353" s="528" t="s">
        <v>277</v>
      </c>
      <c r="E353" s="528"/>
      <c r="F353" s="528"/>
      <c r="G353" s="528" t="s">
        <v>205</v>
      </c>
      <c r="H353"/>
    </row>
    <row r="354" spans="1:8" x14ac:dyDescent="0.35">
      <c r="A354" s="528" t="s">
        <v>1381</v>
      </c>
      <c r="B354" s="528" t="s">
        <v>1382</v>
      </c>
      <c r="C354" s="528" t="s">
        <v>1383</v>
      </c>
      <c r="D354" s="528" t="s">
        <v>264</v>
      </c>
      <c r="E354" s="528" t="s">
        <v>225</v>
      </c>
      <c r="F354" s="528"/>
      <c r="G354" s="528" t="s">
        <v>205</v>
      </c>
      <c r="H354"/>
    </row>
    <row r="355" spans="1:8" x14ac:dyDescent="0.35">
      <c r="A355" s="528" t="s">
        <v>1384</v>
      </c>
      <c r="B355" s="528" t="s">
        <v>1385</v>
      </c>
      <c r="C355" s="528" t="s">
        <v>1386</v>
      </c>
      <c r="D355" s="528" t="s">
        <v>277</v>
      </c>
      <c r="E355" s="528"/>
      <c r="F355" s="528"/>
      <c r="G355" s="528" t="s">
        <v>205</v>
      </c>
      <c r="H355"/>
    </row>
    <row r="356" spans="1:8" x14ac:dyDescent="0.35">
      <c r="A356" s="528" t="s">
        <v>1387</v>
      </c>
      <c r="B356" s="528" t="s">
        <v>1388</v>
      </c>
      <c r="C356" s="528" t="s">
        <v>1389</v>
      </c>
      <c r="D356" s="528" t="s">
        <v>251</v>
      </c>
      <c r="E356" s="528"/>
      <c r="F356" s="528"/>
      <c r="G356" s="528" t="s">
        <v>205</v>
      </c>
      <c r="H356"/>
    </row>
    <row r="357" spans="1:8" x14ac:dyDescent="0.35">
      <c r="A357" s="528" t="s">
        <v>1390</v>
      </c>
      <c r="B357" s="528" t="s">
        <v>1391</v>
      </c>
      <c r="C357" s="528" t="s">
        <v>1392</v>
      </c>
      <c r="D357" s="528" t="s">
        <v>225</v>
      </c>
      <c r="E357" s="528"/>
      <c r="F357" s="528"/>
      <c r="G357" s="528" t="s">
        <v>205</v>
      </c>
      <c r="H357"/>
    </row>
    <row r="358" spans="1:8" x14ac:dyDescent="0.35">
      <c r="A358" s="528" t="s">
        <v>1393</v>
      </c>
      <c r="B358" s="528" t="s">
        <v>1394</v>
      </c>
      <c r="C358" s="528" t="s">
        <v>1395</v>
      </c>
      <c r="D358" s="528" t="s">
        <v>225</v>
      </c>
      <c r="E358" s="528"/>
      <c r="F358" s="528"/>
      <c r="G358" s="528" t="s">
        <v>205</v>
      </c>
      <c r="H358"/>
    </row>
    <row r="359" spans="1:8" x14ac:dyDescent="0.35">
      <c r="A359" s="528" t="s">
        <v>1396</v>
      </c>
      <c r="B359" s="528" t="s">
        <v>1397</v>
      </c>
      <c r="C359" s="528" t="s">
        <v>1398</v>
      </c>
      <c r="D359" s="528" t="s">
        <v>264</v>
      </c>
      <c r="E359" s="528"/>
      <c r="F359" s="528"/>
      <c r="G359" s="528" t="s">
        <v>205</v>
      </c>
      <c r="H359"/>
    </row>
    <row r="360" spans="1:8" x14ac:dyDescent="0.35">
      <c r="A360" s="528" t="s">
        <v>1399</v>
      </c>
      <c r="B360" s="528" t="s">
        <v>1400</v>
      </c>
      <c r="C360" s="528" t="s">
        <v>1401</v>
      </c>
      <c r="D360" s="528" t="s">
        <v>225</v>
      </c>
      <c r="E360" s="528"/>
      <c r="F360" s="528"/>
      <c r="G360" s="528" t="s">
        <v>205</v>
      </c>
      <c r="H360"/>
    </row>
    <row r="361" spans="1:8" x14ac:dyDescent="0.35">
      <c r="A361" s="528" t="s">
        <v>1402</v>
      </c>
      <c r="B361" s="528" t="s">
        <v>1403</v>
      </c>
      <c r="C361" s="528" t="s">
        <v>1404</v>
      </c>
      <c r="D361" s="528" t="s">
        <v>264</v>
      </c>
      <c r="E361" s="528"/>
      <c r="F361" s="528"/>
      <c r="G361" s="528" t="s">
        <v>205</v>
      </c>
      <c r="H361"/>
    </row>
    <row r="362" spans="1:8" x14ac:dyDescent="0.35">
      <c r="A362" s="528" t="s">
        <v>1405</v>
      </c>
      <c r="B362" s="528" t="s">
        <v>1406</v>
      </c>
      <c r="C362" s="528" t="s">
        <v>1407</v>
      </c>
      <c r="D362" s="528" t="s">
        <v>225</v>
      </c>
      <c r="E362" s="528"/>
      <c r="F362" s="528"/>
      <c r="G362" s="528" t="s">
        <v>205</v>
      </c>
      <c r="H362"/>
    </row>
    <row r="363" spans="1:8" x14ac:dyDescent="0.35">
      <c r="A363" s="528" t="s">
        <v>1408</v>
      </c>
      <c r="B363" s="528" t="s">
        <v>1409</v>
      </c>
      <c r="C363" s="528" t="s">
        <v>1410</v>
      </c>
      <c r="D363" s="528" t="s">
        <v>264</v>
      </c>
      <c r="E363" s="528"/>
      <c r="F363" s="528"/>
      <c r="G363" s="528" t="s">
        <v>208</v>
      </c>
      <c r="H363"/>
    </row>
    <row r="364" spans="1:8" x14ac:dyDescent="0.35">
      <c r="A364" s="528" t="s">
        <v>1411</v>
      </c>
      <c r="B364" s="528" t="s">
        <v>1412</v>
      </c>
      <c r="C364" s="528" t="s">
        <v>1413</v>
      </c>
      <c r="D364" s="528" t="s">
        <v>225</v>
      </c>
      <c r="E364" s="528" t="s">
        <v>277</v>
      </c>
      <c r="F364" s="528"/>
      <c r="G364" s="528" t="s">
        <v>208</v>
      </c>
      <c r="H364"/>
    </row>
    <row r="365" spans="1:8" x14ac:dyDescent="0.35">
      <c r="A365" s="528" t="s">
        <v>1414</v>
      </c>
      <c r="B365" s="528" t="s">
        <v>1415</v>
      </c>
      <c r="C365" s="528" t="s">
        <v>1416</v>
      </c>
      <c r="D365" s="528" t="s">
        <v>225</v>
      </c>
      <c r="E365" s="528"/>
      <c r="F365" s="528"/>
      <c r="G365" s="528" t="s">
        <v>208</v>
      </c>
      <c r="H365"/>
    </row>
    <row r="366" spans="1:8" x14ac:dyDescent="0.35">
      <c r="A366" s="528" t="s">
        <v>1417</v>
      </c>
      <c r="B366" s="528" t="s">
        <v>1418</v>
      </c>
      <c r="C366" s="528" t="s">
        <v>1419</v>
      </c>
      <c r="D366" s="528" t="s">
        <v>225</v>
      </c>
      <c r="E366" s="528"/>
      <c r="F366" s="528"/>
      <c r="G366" s="528" t="s">
        <v>208</v>
      </c>
      <c r="H366"/>
    </row>
    <row r="367" spans="1:8" x14ac:dyDescent="0.35">
      <c r="A367" s="528" t="s">
        <v>1420</v>
      </c>
      <c r="B367" s="528" t="s">
        <v>1421</v>
      </c>
      <c r="C367" s="528" t="s">
        <v>1422</v>
      </c>
      <c r="D367" s="528" t="s">
        <v>277</v>
      </c>
      <c r="E367" s="528"/>
      <c r="F367" s="528"/>
      <c r="G367" s="528" t="s">
        <v>208</v>
      </c>
      <c r="H367"/>
    </row>
    <row r="368" spans="1:8" x14ac:dyDescent="0.35">
      <c r="A368" s="528" t="s">
        <v>1423</v>
      </c>
      <c r="B368" s="528" t="s">
        <v>1424</v>
      </c>
      <c r="C368" s="528" t="s">
        <v>1425</v>
      </c>
      <c r="D368" s="528" t="s">
        <v>277</v>
      </c>
      <c r="E368" s="528"/>
      <c r="F368" s="528"/>
      <c r="G368" s="528" t="s">
        <v>205</v>
      </c>
      <c r="H368"/>
    </row>
    <row r="369" spans="1:8" x14ac:dyDescent="0.35">
      <c r="A369" s="528" t="s">
        <v>1426</v>
      </c>
      <c r="B369" s="528" t="s">
        <v>1427</v>
      </c>
      <c r="C369" s="528" t="s">
        <v>1428</v>
      </c>
      <c r="D369" s="528" t="s">
        <v>264</v>
      </c>
      <c r="E369" s="528"/>
      <c r="F369" s="528"/>
      <c r="G369" s="528" t="s">
        <v>205</v>
      </c>
      <c r="H369"/>
    </row>
    <row r="370" spans="1:8" x14ac:dyDescent="0.35">
      <c r="A370" s="528" t="s">
        <v>1429</v>
      </c>
      <c r="B370" s="528" t="s">
        <v>1430</v>
      </c>
      <c r="C370" s="528" t="s">
        <v>1431</v>
      </c>
      <c r="D370" s="528" t="s">
        <v>225</v>
      </c>
      <c r="E370" s="528"/>
      <c r="F370" s="528"/>
      <c r="G370" s="528" t="s">
        <v>205</v>
      </c>
      <c r="H370"/>
    </row>
    <row r="371" spans="1:8" x14ac:dyDescent="0.35">
      <c r="A371" s="528" t="s">
        <v>1432</v>
      </c>
      <c r="B371" s="528" t="s">
        <v>1433</v>
      </c>
      <c r="C371" s="528" t="s">
        <v>1434</v>
      </c>
      <c r="D371" s="528" t="s">
        <v>277</v>
      </c>
      <c r="E371" s="528"/>
      <c r="F371" s="528"/>
      <c r="G371" s="528" t="s">
        <v>208</v>
      </c>
      <c r="H371"/>
    </row>
    <row r="372" spans="1:8" x14ac:dyDescent="0.35">
      <c r="A372" s="528" t="s">
        <v>1435</v>
      </c>
      <c r="B372" s="528" t="s">
        <v>1436</v>
      </c>
      <c r="C372" s="528" t="s">
        <v>1437</v>
      </c>
      <c r="D372" s="528" t="s">
        <v>251</v>
      </c>
      <c r="E372" s="528"/>
      <c r="F372" s="528"/>
      <c r="G372" s="528" t="s">
        <v>208</v>
      </c>
      <c r="H372"/>
    </row>
    <row r="373" spans="1:8" x14ac:dyDescent="0.35">
      <c r="A373" s="528" t="s">
        <v>1438</v>
      </c>
      <c r="B373" s="528" t="s">
        <v>1439</v>
      </c>
      <c r="C373" s="528" t="s">
        <v>1440</v>
      </c>
      <c r="D373" s="528" t="s">
        <v>251</v>
      </c>
      <c r="E373" s="528"/>
      <c r="F373" s="528"/>
      <c r="G373" s="528" t="s">
        <v>205</v>
      </c>
      <c r="H373"/>
    </row>
    <row r="374" spans="1:8" x14ac:dyDescent="0.35">
      <c r="A374" s="528" t="s">
        <v>1441</v>
      </c>
      <c r="B374" s="528" t="s">
        <v>1442</v>
      </c>
      <c r="C374" s="528" t="s">
        <v>730</v>
      </c>
      <c r="D374" s="528" t="s">
        <v>251</v>
      </c>
      <c r="E374" s="528"/>
      <c r="F374" s="528"/>
      <c r="G374" s="528" t="s">
        <v>208</v>
      </c>
      <c r="H374"/>
    </row>
    <row r="375" spans="1:8" x14ac:dyDescent="0.35">
      <c r="A375" s="528" t="s">
        <v>1443</v>
      </c>
      <c r="B375" s="528" t="s">
        <v>1444</v>
      </c>
      <c r="C375" s="528" t="s">
        <v>1445</v>
      </c>
      <c r="D375" s="528" t="s">
        <v>251</v>
      </c>
      <c r="E375" s="528"/>
      <c r="F375" s="528"/>
      <c r="G375" s="528" t="s">
        <v>205</v>
      </c>
      <c r="H375"/>
    </row>
    <row r="376" spans="1:8" x14ac:dyDescent="0.35">
      <c r="A376" s="528" t="s">
        <v>1446</v>
      </c>
      <c r="B376" s="528" t="s">
        <v>1447</v>
      </c>
      <c r="C376" s="528" t="s">
        <v>1448</v>
      </c>
      <c r="D376" s="528" t="s">
        <v>225</v>
      </c>
      <c r="E376" s="528"/>
      <c r="F376" s="528"/>
      <c r="G376" s="528" t="s">
        <v>208</v>
      </c>
      <c r="H376"/>
    </row>
    <row r="377" spans="1:8" x14ac:dyDescent="0.35">
      <c r="A377" s="528" t="s">
        <v>1449</v>
      </c>
      <c r="B377" s="528" t="s">
        <v>1450</v>
      </c>
      <c r="C377" s="528" t="s">
        <v>1451</v>
      </c>
      <c r="D377" s="528" t="s">
        <v>264</v>
      </c>
      <c r="E377" s="528"/>
      <c r="F377" s="528"/>
      <c r="G377" s="528" t="s">
        <v>205</v>
      </c>
      <c r="H377"/>
    </row>
    <row r="378" spans="1:8" x14ac:dyDescent="0.35">
      <c r="A378" s="528" t="s">
        <v>1452</v>
      </c>
      <c r="B378" s="528" t="s">
        <v>1453</v>
      </c>
      <c r="C378" s="528" t="s">
        <v>1454</v>
      </c>
      <c r="D378" s="528" t="s">
        <v>225</v>
      </c>
      <c r="E378" s="528"/>
      <c r="F378" s="528"/>
      <c r="G378" s="528" t="s">
        <v>208</v>
      </c>
      <c r="H378"/>
    </row>
    <row r="379" spans="1:8" x14ac:dyDescent="0.35">
      <c r="A379" s="528" t="s">
        <v>1455</v>
      </c>
      <c r="B379" s="528" t="s">
        <v>1456</v>
      </c>
      <c r="C379" s="528" t="s">
        <v>1457</v>
      </c>
      <c r="D379" s="528" t="s">
        <v>225</v>
      </c>
      <c r="E379" s="528"/>
      <c r="F379" s="528"/>
      <c r="G379" s="528" t="s">
        <v>208</v>
      </c>
      <c r="H379"/>
    </row>
    <row r="380" spans="1:8" x14ac:dyDescent="0.35">
      <c r="A380" s="528" t="s">
        <v>1458</v>
      </c>
      <c r="B380" s="528" t="s">
        <v>1459</v>
      </c>
      <c r="C380" s="528" t="s">
        <v>1460</v>
      </c>
      <c r="D380" s="528" t="s">
        <v>238</v>
      </c>
      <c r="E380" s="528"/>
      <c r="F380" s="528"/>
      <c r="G380" s="528" t="s">
        <v>208</v>
      </c>
      <c r="H380"/>
    </row>
    <row r="381" spans="1:8" x14ac:dyDescent="0.35">
      <c r="A381" s="528" t="s">
        <v>1461</v>
      </c>
      <c r="B381" s="528" t="s">
        <v>1462</v>
      </c>
      <c r="C381" s="528" t="s">
        <v>1463</v>
      </c>
      <c r="D381" s="528" t="s">
        <v>225</v>
      </c>
      <c r="E381" s="528"/>
      <c r="F381" s="528"/>
      <c r="G381" s="528" t="s">
        <v>208</v>
      </c>
      <c r="H381"/>
    </row>
    <row r="382" spans="1:8" x14ac:dyDescent="0.35">
      <c r="A382" s="528" t="s">
        <v>1464</v>
      </c>
      <c r="B382" s="528" t="s">
        <v>1465</v>
      </c>
      <c r="C382" s="528" t="s">
        <v>486</v>
      </c>
      <c r="D382" s="528" t="s">
        <v>238</v>
      </c>
      <c r="E382" s="528"/>
      <c r="F382" s="528"/>
      <c r="G382" s="528" t="s">
        <v>205</v>
      </c>
      <c r="H382"/>
    </row>
    <row r="383" spans="1:8" x14ac:dyDescent="0.35">
      <c r="A383" s="528" t="s">
        <v>1466</v>
      </c>
      <c r="B383" s="528" t="s">
        <v>1467</v>
      </c>
      <c r="C383" s="528" t="s">
        <v>474</v>
      </c>
      <c r="D383" s="528" t="s">
        <v>277</v>
      </c>
      <c r="E383" s="528"/>
      <c r="F383" s="528"/>
      <c r="G383" s="528" t="s">
        <v>205</v>
      </c>
      <c r="H383"/>
    </row>
    <row r="384" spans="1:8" x14ac:dyDescent="0.35">
      <c r="A384" s="528" t="s">
        <v>1468</v>
      </c>
      <c r="B384" s="528" t="s">
        <v>1469</v>
      </c>
      <c r="C384" s="528" t="s">
        <v>444</v>
      </c>
      <c r="D384" s="528" t="s">
        <v>238</v>
      </c>
      <c r="E384" s="528"/>
      <c r="F384" s="528"/>
      <c r="G384" s="528" t="s">
        <v>205</v>
      </c>
      <c r="H384"/>
    </row>
    <row r="385" spans="1:8" x14ac:dyDescent="0.35">
      <c r="A385" s="528" t="s">
        <v>1470</v>
      </c>
      <c r="B385" s="528" t="s">
        <v>1471</v>
      </c>
      <c r="C385" s="528" t="s">
        <v>1472</v>
      </c>
      <c r="D385" s="528" t="s">
        <v>225</v>
      </c>
      <c r="E385" s="528"/>
      <c r="F385" s="528"/>
      <c r="G385" s="528" t="s">
        <v>205</v>
      </c>
      <c r="H385"/>
    </row>
    <row r="386" spans="1:8" x14ac:dyDescent="0.35">
      <c r="A386" s="528" t="s">
        <v>1473</v>
      </c>
      <c r="B386" s="528" t="s">
        <v>1474</v>
      </c>
      <c r="C386" s="528" t="s">
        <v>432</v>
      </c>
      <c r="D386" s="528" t="s">
        <v>277</v>
      </c>
      <c r="E386" s="528"/>
      <c r="F386" s="528"/>
      <c r="G386" s="528" t="s">
        <v>205</v>
      </c>
      <c r="H386"/>
    </row>
    <row r="387" spans="1:8" x14ac:dyDescent="0.35">
      <c r="A387" s="528" t="s">
        <v>1475</v>
      </c>
      <c r="B387" s="528" t="s">
        <v>1476</v>
      </c>
      <c r="C387" s="528" t="s">
        <v>1477</v>
      </c>
      <c r="D387" s="528" t="s">
        <v>264</v>
      </c>
      <c r="E387" s="528"/>
      <c r="F387" s="528"/>
      <c r="G387" s="528" t="s">
        <v>205</v>
      </c>
      <c r="H387"/>
    </row>
    <row r="388" spans="1:8" x14ac:dyDescent="0.35">
      <c r="A388" s="528" t="s">
        <v>1478</v>
      </c>
      <c r="B388" s="528" t="s">
        <v>1479</v>
      </c>
      <c r="C388" s="528" t="s">
        <v>1480</v>
      </c>
      <c r="D388" s="528" t="s">
        <v>251</v>
      </c>
      <c r="E388" s="528"/>
      <c r="F388" s="528"/>
      <c r="G388" s="528" t="s">
        <v>205</v>
      </c>
      <c r="H388"/>
    </row>
    <row r="389" spans="1:8" x14ac:dyDescent="0.35">
      <c r="A389" s="528" t="s">
        <v>1481</v>
      </c>
      <c r="B389" s="528" t="s">
        <v>1482</v>
      </c>
      <c r="C389" s="528" t="s">
        <v>1483</v>
      </c>
      <c r="D389" s="528" t="s">
        <v>251</v>
      </c>
      <c r="E389" s="528"/>
      <c r="F389" s="528"/>
      <c r="G389" s="528" t="s">
        <v>205</v>
      </c>
      <c r="H389"/>
    </row>
    <row r="390" spans="1:8" x14ac:dyDescent="0.35">
      <c r="A390" s="528" t="s">
        <v>1484</v>
      </c>
      <c r="B390" s="528" t="s">
        <v>1485</v>
      </c>
      <c r="C390" s="528" t="s">
        <v>1486</v>
      </c>
      <c r="D390" s="528" t="s">
        <v>225</v>
      </c>
      <c r="E390" s="528"/>
      <c r="F390" s="528"/>
      <c r="G390" s="528" t="s">
        <v>208</v>
      </c>
      <c r="H390"/>
    </row>
    <row r="391" spans="1:8" x14ac:dyDescent="0.35">
      <c r="A391" s="528" t="s">
        <v>1487</v>
      </c>
      <c r="B391" s="528" t="s">
        <v>1488</v>
      </c>
      <c r="C391" s="528" t="s">
        <v>1489</v>
      </c>
      <c r="D391" s="528" t="s">
        <v>238</v>
      </c>
      <c r="E391" s="528"/>
      <c r="F391" s="528"/>
      <c r="G391" s="528" t="s">
        <v>212</v>
      </c>
      <c r="H391"/>
    </row>
    <row r="392" spans="1:8" x14ac:dyDescent="0.35">
      <c r="A392" s="528" t="s">
        <v>1490</v>
      </c>
      <c r="B392" s="528" t="s">
        <v>1491</v>
      </c>
      <c r="C392" s="528" t="s">
        <v>751</v>
      </c>
      <c r="D392" s="528" t="s">
        <v>251</v>
      </c>
      <c r="E392" s="528"/>
      <c r="F392" s="528"/>
      <c r="G392" s="528" t="s">
        <v>208</v>
      </c>
      <c r="H392"/>
    </row>
    <row r="393" spans="1:8" x14ac:dyDescent="0.35">
      <c r="A393" s="528" t="s">
        <v>1492</v>
      </c>
      <c r="B393" s="528" t="s">
        <v>1493</v>
      </c>
      <c r="C393" s="528" t="s">
        <v>1494</v>
      </c>
      <c r="D393" s="528" t="s">
        <v>251</v>
      </c>
      <c r="E393" s="528"/>
      <c r="F393" s="528"/>
      <c r="G393" s="528" t="s">
        <v>208</v>
      </c>
      <c r="H393"/>
    </row>
    <row r="394" spans="1:8" x14ac:dyDescent="0.35">
      <c r="A394" s="528" t="s">
        <v>1495</v>
      </c>
      <c r="B394" s="528" t="s">
        <v>1496</v>
      </c>
      <c r="C394" s="528" t="s">
        <v>1497</v>
      </c>
      <c r="D394" s="528" t="s">
        <v>251</v>
      </c>
      <c r="E394" s="528"/>
      <c r="F394" s="528"/>
      <c r="G394" s="528" t="s">
        <v>208</v>
      </c>
      <c r="H394"/>
    </row>
    <row r="395" spans="1:8" x14ac:dyDescent="0.35">
      <c r="A395" s="528" t="s">
        <v>1498</v>
      </c>
      <c r="B395" s="528" t="s">
        <v>1499</v>
      </c>
      <c r="C395" s="528" t="s">
        <v>1017</v>
      </c>
      <c r="D395" s="528" t="s">
        <v>251</v>
      </c>
      <c r="E395" s="528"/>
      <c r="F395" s="528"/>
      <c r="G395" s="528" t="s">
        <v>208</v>
      </c>
      <c r="H395"/>
    </row>
    <row r="396" spans="1:8" x14ac:dyDescent="0.35">
      <c r="A396" s="528" t="s">
        <v>1500</v>
      </c>
      <c r="B396" s="528" t="s">
        <v>1501</v>
      </c>
      <c r="C396" s="528" t="s">
        <v>1377</v>
      </c>
      <c r="D396" s="528" t="s">
        <v>251</v>
      </c>
      <c r="E396" s="528"/>
      <c r="F396" s="528"/>
      <c r="G396" s="528" t="s">
        <v>208</v>
      </c>
      <c r="H396"/>
    </row>
    <row r="397" spans="1:8" x14ac:dyDescent="0.35">
      <c r="A397" s="528" t="s">
        <v>1502</v>
      </c>
      <c r="B397" s="528" t="s">
        <v>1503</v>
      </c>
      <c r="C397" s="528" t="s">
        <v>1504</v>
      </c>
      <c r="D397" s="528" t="s">
        <v>264</v>
      </c>
      <c r="E397" s="528" t="s">
        <v>277</v>
      </c>
      <c r="F397" s="528"/>
      <c r="G397" s="528" t="s">
        <v>205</v>
      </c>
      <c r="H397"/>
    </row>
    <row r="398" spans="1:8" x14ac:dyDescent="0.35">
      <c r="A398" s="528" t="s">
        <v>1505</v>
      </c>
      <c r="B398" s="528" t="s">
        <v>1506</v>
      </c>
      <c r="C398" s="528" t="s">
        <v>1507</v>
      </c>
      <c r="D398" s="528" t="s">
        <v>225</v>
      </c>
      <c r="E398" s="528"/>
      <c r="F398" s="528"/>
      <c r="G398" s="528" t="s">
        <v>205</v>
      </c>
      <c r="H398"/>
    </row>
    <row r="399" spans="1:8" x14ac:dyDescent="0.35">
      <c r="A399" s="528" t="s">
        <v>1508</v>
      </c>
      <c r="B399" s="528" t="s">
        <v>1509</v>
      </c>
      <c r="C399" s="528" t="s">
        <v>1510</v>
      </c>
      <c r="D399" s="528" t="s">
        <v>264</v>
      </c>
      <c r="E399" s="528" t="s">
        <v>277</v>
      </c>
      <c r="F399" s="528"/>
      <c r="G399" s="528" t="s">
        <v>205</v>
      </c>
      <c r="H399"/>
    </row>
    <row r="400" spans="1:8" x14ac:dyDescent="0.35">
      <c r="A400" s="528" t="s">
        <v>1511</v>
      </c>
      <c r="B400" s="528" t="s">
        <v>1512</v>
      </c>
      <c r="C400" s="528" t="s">
        <v>1513</v>
      </c>
      <c r="D400" s="528" t="s">
        <v>264</v>
      </c>
      <c r="E400" s="528" t="s">
        <v>225</v>
      </c>
      <c r="F400" s="528"/>
      <c r="G400" s="528" t="s">
        <v>205</v>
      </c>
      <c r="H400"/>
    </row>
    <row r="401" spans="1:8" x14ac:dyDescent="0.35">
      <c r="A401" s="528" t="s">
        <v>1514</v>
      </c>
      <c r="B401" s="528" t="s">
        <v>1515</v>
      </c>
      <c r="C401" s="528" t="s">
        <v>1305</v>
      </c>
      <c r="D401" s="528" t="s">
        <v>277</v>
      </c>
      <c r="E401" s="528"/>
      <c r="F401" s="528"/>
      <c r="G401" s="528" t="s">
        <v>205</v>
      </c>
      <c r="H401"/>
    </row>
    <row r="402" spans="1:8" x14ac:dyDescent="0.35">
      <c r="A402" s="528" t="s">
        <v>1516</v>
      </c>
      <c r="B402" s="528" t="s">
        <v>1517</v>
      </c>
      <c r="C402" s="528" t="s">
        <v>1518</v>
      </c>
      <c r="D402" s="528" t="s">
        <v>277</v>
      </c>
      <c r="E402" s="528"/>
      <c r="F402" s="528"/>
      <c r="G402" s="528" t="s">
        <v>205</v>
      </c>
      <c r="H402"/>
    </row>
    <row r="403" spans="1:8" x14ac:dyDescent="0.35">
      <c r="A403" s="528" t="s">
        <v>1519</v>
      </c>
      <c r="B403" s="528" t="s">
        <v>1520</v>
      </c>
      <c r="C403" s="528" t="s">
        <v>1317</v>
      </c>
      <c r="D403" s="528" t="s">
        <v>277</v>
      </c>
      <c r="E403" s="528"/>
      <c r="F403" s="528"/>
      <c r="G403" s="528" t="s">
        <v>205</v>
      </c>
      <c r="H403"/>
    </row>
    <row r="404" spans="1:8" x14ac:dyDescent="0.35">
      <c r="A404" s="528" t="s">
        <v>1521</v>
      </c>
      <c r="B404" s="528" t="s">
        <v>1522</v>
      </c>
      <c r="C404" s="528" t="s">
        <v>1504</v>
      </c>
      <c r="D404" s="528" t="s">
        <v>264</v>
      </c>
      <c r="E404" s="528" t="s">
        <v>277</v>
      </c>
      <c r="F404" s="528"/>
      <c r="G404" s="528" t="s">
        <v>205</v>
      </c>
      <c r="H404"/>
    </row>
    <row r="405" spans="1:8" x14ac:dyDescent="0.35">
      <c r="A405" s="528" t="s">
        <v>1523</v>
      </c>
      <c r="B405" s="528" t="s">
        <v>1524</v>
      </c>
      <c r="C405" s="528" t="s">
        <v>1525</v>
      </c>
      <c r="D405" s="528" t="s">
        <v>277</v>
      </c>
      <c r="E405" s="528"/>
      <c r="F405" s="528"/>
      <c r="G405" s="528" t="s">
        <v>208</v>
      </c>
      <c r="H405"/>
    </row>
    <row r="406" spans="1:8" x14ac:dyDescent="0.35">
      <c r="A406" s="528" t="s">
        <v>1526</v>
      </c>
      <c r="B406" s="528" t="s">
        <v>1527</v>
      </c>
      <c r="C406" s="528" t="s">
        <v>1528</v>
      </c>
      <c r="D406" s="528" t="s">
        <v>225</v>
      </c>
      <c r="E406" s="528"/>
      <c r="F406" s="528"/>
      <c r="G406" s="528" t="s">
        <v>205</v>
      </c>
      <c r="H406"/>
    </row>
    <row r="407" spans="1:8" x14ac:dyDescent="0.35">
      <c r="A407" s="528" t="s">
        <v>1529</v>
      </c>
      <c r="B407" s="528" t="s">
        <v>1530</v>
      </c>
      <c r="C407" s="528" t="s">
        <v>1374</v>
      </c>
      <c r="D407" s="528" t="s">
        <v>238</v>
      </c>
      <c r="E407" s="528"/>
      <c r="F407" s="528"/>
      <c r="G407" s="528" t="s">
        <v>205</v>
      </c>
      <c r="H407"/>
    </row>
    <row r="408" spans="1:8" x14ac:dyDescent="0.35">
      <c r="A408" s="528" t="s">
        <v>1531</v>
      </c>
      <c r="B408" s="528" t="s">
        <v>1532</v>
      </c>
      <c r="C408" s="528" t="s">
        <v>1533</v>
      </c>
      <c r="D408" s="528" t="s">
        <v>277</v>
      </c>
      <c r="E408" s="528"/>
      <c r="F408" s="528"/>
      <c r="G408" s="528" t="s">
        <v>205</v>
      </c>
      <c r="H408"/>
    </row>
    <row r="409" spans="1:8" x14ac:dyDescent="0.35">
      <c r="A409" s="528" t="s">
        <v>1534</v>
      </c>
      <c r="B409" s="528" t="s">
        <v>1535</v>
      </c>
      <c r="C409" s="528" t="s">
        <v>1536</v>
      </c>
      <c r="D409" s="528" t="s">
        <v>277</v>
      </c>
      <c r="E409" s="528"/>
      <c r="F409" s="528"/>
      <c r="G409" s="528" t="s">
        <v>208</v>
      </c>
      <c r="H409"/>
    </row>
    <row r="410" spans="1:8" x14ac:dyDescent="0.35">
      <c r="A410" s="528" t="s">
        <v>1537</v>
      </c>
      <c r="B410" s="528" t="s">
        <v>1538</v>
      </c>
      <c r="C410" s="528" t="s">
        <v>1539</v>
      </c>
      <c r="D410" s="528" t="s">
        <v>238</v>
      </c>
      <c r="E410" s="528"/>
      <c r="F410" s="528"/>
      <c r="G410" s="528" t="s">
        <v>205</v>
      </c>
      <c r="H410"/>
    </row>
    <row r="411" spans="1:8" x14ac:dyDescent="0.35">
      <c r="A411" s="528" t="s">
        <v>1540</v>
      </c>
      <c r="B411" s="528" t="s">
        <v>1541</v>
      </c>
      <c r="C411" s="528" t="s">
        <v>1542</v>
      </c>
      <c r="D411" s="528" t="s">
        <v>238</v>
      </c>
      <c r="E411" s="528"/>
      <c r="F411" s="528"/>
      <c r="G411" s="528" t="s">
        <v>205</v>
      </c>
      <c r="H411"/>
    </row>
    <row r="412" spans="1:8" x14ac:dyDescent="0.35">
      <c r="A412" s="528" t="s">
        <v>1543</v>
      </c>
      <c r="B412" s="528" t="s">
        <v>1544</v>
      </c>
      <c r="C412" s="528" t="s">
        <v>1545</v>
      </c>
      <c r="D412" s="528" t="s">
        <v>277</v>
      </c>
      <c r="E412" s="528"/>
      <c r="F412" s="528"/>
      <c r="G412" s="528" t="s">
        <v>208</v>
      </c>
      <c r="H412"/>
    </row>
    <row r="413" spans="1:8" x14ac:dyDescent="0.35">
      <c r="A413" s="528" t="s">
        <v>1546</v>
      </c>
      <c r="B413" s="528" t="s">
        <v>1547</v>
      </c>
      <c r="C413" s="528" t="s">
        <v>1548</v>
      </c>
      <c r="D413" s="528" t="s">
        <v>238</v>
      </c>
      <c r="E413" s="528"/>
      <c r="F413" s="528"/>
      <c r="G413" s="528" t="s">
        <v>205</v>
      </c>
      <c r="H413"/>
    </row>
    <row r="414" spans="1:8" x14ac:dyDescent="0.35">
      <c r="A414" s="528" t="s">
        <v>1549</v>
      </c>
      <c r="B414" s="528" t="s">
        <v>1550</v>
      </c>
      <c r="C414" s="528" t="s">
        <v>907</v>
      </c>
      <c r="D414" s="528" t="s">
        <v>251</v>
      </c>
      <c r="E414" s="528"/>
      <c r="F414" s="528"/>
      <c r="G414" s="528" t="s">
        <v>205</v>
      </c>
      <c r="H414"/>
    </row>
    <row r="415" spans="1:8" x14ac:dyDescent="0.35">
      <c r="A415" s="528" t="s">
        <v>1551</v>
      </c>
      <c r="B415" s="528" t="s">
        <v>1552</v>
      </c>
      <c r="C415" s="528" t="s">
        <v>1553</v>
      </c>
      <c r="D415" s="528" t="s">
        <v>251</v>
      </c>
      <c r="E415" s="528"/>
      <c r="F415" s="528"/>
      <c r="G415" s="528" t="s">
        <v>205</v>
      </c>
      <c r="H415"/>
    </row>
    <row r="416" spans="1:8" x14ac:dyDescent="0.35">
      <c r="A416" s="528" t="s">
        <v>1554</v>
      </c>
      <c r="B416" s="528" t="s">
        <v>1555</v>
      </c>
      <c r="C416" s="528" t="s">
        <v>1504</v>
      </c>
      <c r="D416" s="528" t="s">
        <v>277</v>
      </c>
      <c r="E416" s="528" t="s">
        <v>264</v>
      </c>
      <c r="F416" s="528"/>
      <c r="G416" s="528" t="s">
        <v>205</v>
      </c>
      <c r="H416"/>
    </row>
    <row r="417" spans="1:8" x14ac:dyDescent="0.35">
      <c r="A417" s="528" t="s">
        <v>1556</v>
      </c>
      <c r="B417" s="528" t="s">
        <v>1557</v>
      </c>
      <c r="C417" s="528" t="s">
        <v>1558</v>
      </c>
      <c r="D417" s="528" t="s">
        <v>251</v>
      </c>
      <c r="E417" s="528"/>
      <c r="F417" s="528"/>
      <c r="G417" s="528" t="s">
        <v>208</v>
      </c>
      <c r="H417"/>
    </row>
    <row r="418" spans="1:8" x14ac:dyDescent="0.35">
      <c r="A418" s="528" t="s">
        <v>1559</v>
      </c>
      <c r="B418" s="528" t="s">
        <v>1560</v>
      </c>
      <c r="C418" s="528" t="s">
        <v>1561</v>
      </c>
      <c r="D418" s="528" t="s">
        <v>251</v>
      </c>
      <c r="E418" s="528"/>
      <c r="F418" s="528"/>
      <c r="G418" s="528" t="s">
        <v>208</v>
      </c>
      <c r="H418"/>
    </row>
    <row r="419" spans="1:8" x14ac:dyDescent="0.35">
      <c r="A419" s="528" t="s">
        <v>1562</v>
      </c>
      <c r="B419" s="528" t="s">
        <v>1563</v>
      </c>
      <c r="C419" s="528" t="s">
        <v>1564</v>
      </c>
      <c r="D419" s="528" t="s">
        <v>277</v>
      </c>
      <c r="E419" s="528"/>
      <c r="F419" s="528"/>
      <c r="G419" s="528" t="s">
        <v>208</v>
      </c>
      <c r="H419"/>
    </row>
    <row r="420" spans="1:8" x14ac:dyDescent="0.35">
      <c r="A420" s="528" t="s">
        <v>1565</v>
      </c>
      <c r="B420" s="528" t="s">
        <v>1566</v>
      </c>
      <c r="C420" s="528" t="s">
        <v>1567</v>
      </c>
      <c r="D420" s="528" t="s">
        <v>225</v>
      </c>
      <c r="E420" s="528"/>
      <c r="F420" s="528"/>
      <c r="G420" s="528" t="s">
        <v>205</v>
      </c>
      <c r="H420"/>
    </row>
    <row r="421" spans="1:8" x14ac:dyDescent="0.35">
      <c r="A421" s="528" t="s">
        <v>1568</v>
      </c>
      <c r="B421" s="528" t="s">
        <v>1569</v>
      </c>
      <c r="C421" s="528" t="s">
        <v>1570</v>
      </c>
      <c r="D421" s="528" t="s">
        <v>264</v>
      </c>
      <c r="E421" s="528"/>
      <c r="F421" s="528"/>
      <c r="G421" s="528" t="s">
        <v>205</v>
      </c>
      <c r="H421"/>
    </row>
    <row r="422" spans="1:8" x14ac:dyDescent="0.35">
      <c r="A422" s="528" t="s">
        <v>1571</v>
      </c>
      <c r="B422" s="528" t="s">
        <v>1572</v>
      </c>
      <c r="C422" s="528" t="s">
        <v>1573</v>
      </c>
      <c r="D422" s="528" t="s">
        <v>264</v>
      </c>
      <c r="E422" s="528"/>
      <c r="F422" s="528"/>
      <c r="G422" s="528" t="s">
        <v>205</v>
      </c>
      <c r="H422"/>
    </row>
    <row r="423" spans="1:8" x14ac:dyDescent="0.35">
      <c r="A423" s="528" t="s">
        <v>1574</v>
      </c>
      <c r="B423" s="528" t="s">
        <v>1575</v>
      </c>
      <c r="C423" s="528" t="s">
        <v>1576</v>
      </c>
      <c r="D423" s="528" t="s">
        <v>264</v>
      </c>
      <c r="E423" s="528"/>
      <c r="F423" s="528"/>
      <c r="G423" s="528" t="s">
        <v>205</v>
      </c>
      <c r="H423"/>
    </row>
    <row r="424" spans="1:8" x14ac:dyDescent="0.35">
      <c r="A424" s="528" t="s">
        <v>1577</v>
      </c>
      <c r="B424" s="528" t="s">
        <v>1578</v>
      </c>
      <c r="C424" s="528" t="s">
        <v>1579</v>
      </c>
      <c r="D424" s="528" t="s">
        <v>264</v>
      </c>
      <c r="E424" s="528"/>
      <c r="F424" s="528"/>
      <c r="G424" s="528" t="s">
        <v>208</v>
      </c>
      <c r="H424"/>
    </row>
    <row r="425" spans="1:8" x14ac:dyDescent="0.35">
      <c r="A425" s="528" t="s">
        <v>1580</v>
      </c>
      <c r="B425" s="528" t="s">
        <v>1581</v>
      </c>
      <c r="C425" s="528" t="s">
        <v>1582</v>
      </c>
      <c r="D425" s="528" t="s">
        <v>238</v>
      </c>
      <c r="E425" s="528"/>
      <c r="F425" s="528"/>
      <c r="G425" s="528" t="s">
        <v>205</v>
      </c>
      <c r="H425"/>
    </row>
    <row r="426" spans="1:8" x14ac:dyDescent="0.35">
      <c r="A426" s="528" t="s">
        <v>1583</v>
      </c>
      <c r="B426" s="528" t="s">
        <v>1584</v>
      </c>
      <c r="C426" s="528" t="s">
        <v>1585</v>
      </c>
      <c r="D426" s="528" t="s">
        <v>277</v>
      </c>
      <c r="E426" s="528"/>
      <c r="F426" s="528"/>
      <c r="G426" s="528" t="s">
        <v>205</v>
      </c>
      <c r="H426"/>
    </row>
    <row r="427" spans="1:8" x14ac:dyDescent="0.35">
      <c r="A427" s="528" t="s">
        <v>1586</v>
      </c>
      <c r="B427" s="528" t="s">
        <v>1587</v>
      </c>
      <c r="C427" s="528" t="s">
        <v>1377</v>
      </c>
      <c r="D427" s="528" t="s">
        <v>251</v>
      </c>
      <c r="E427" s="528"/>
      <c r="F427" s="528"/>
      <c r="G427" s="528" t="s">
        <v>208</v>
      </c>
      <c r="H427"/>
    </row>
    <row r="428" spans="1:8" x14ac:dyDescent="0.35">
      <c r="A428" s="528" t="s">
        <v>1588</v>
      </c>
      <c r="B428" s="528" t="s">
        <v>1589</v>
      </c>
      <c r="C428" s="528" t="s">
        <v>1590</v>
      </c>
      <c r="D428" s="528" t="s">
        <v>277</v>
      </c>
      <c r="E428" s="528"/>
      <c r="F428" s="528"/>
      <c r="G428" s="528" t="s">
        <v>208</v>
      </c>
      <c r="H428"/>
    </row>
    <row r="429" spans="1:8" x14ac:dyDescent="0.35">
      <c r="A429" s="528" t="s">
        <v>1591</v>
      </c>
      <c r="B429" s="528" t="s">
        <v>1592</v>
      </c>
      <c r="C429" s="528" t="s">
        <v>1593</v>
      </c>
      <c r="D429" s="528" t="s">
        <v>277</v>
      </c>
      <c r="E429" s="528"/>
      <c r="F429" s="528"/>
      <c r="G429" s="528" t="s">
        <v>205</v>
      </c>
      <c r="H429"/>
    </row>
    <row r="430" spans="1:8" x14ac:dyDescent="0.35">
      <c r="A430" s="528" t="s">
        <v>1594</v>
      </c>
      <c r="B430" s="528" t="s">
        <v>1595</v>
      </c>
      <c r="C430" s="528" t="s">
        <v>751</v>
      </c>
      <c r="D430" s="528" t="s">
        <v>251</v>
      </c>
      <c r="E430" s="528"/>
      <c r="F430" s="528"/>
      <c r="G430" s="528" t="s">
        <v>208</v>
      </c>
      <c r="H430"/>
    </row>
    <row r="431" spans="1:8" x14ac:dyDescent="0.35">
      <c r="A431" s="528" t="s">
        <v>1596</v>
      </c>
      <c r="B431" s="528" t="s">
        <v>1597</v>
      </c>
      <c r="C431" s="528" t="s">
        <v>1598</v>
      </c>
      <c r="D431" s="528" t="s">
        <v>264</v>
      </c>
      <c r="E431" s="528"/>
      <c r="F431" s="528"/>
      <c r="G431" s="528" t="s">
        <v>208</v>
      </c>
      <c r="H431"/>
    </row>
    <row r="432" spans="1:8" x14ac:dyDescent="0.35">
      <c r="A432" s="528" t="s">
        <v>1599</v>
      </c>
      <c r="B432" s="528" t="s">
        <v>1600</v>
      </c>
      <c r="C432" s="528" t="s">
        <v>1601</v>
      </c>
      <c r="D432" s="528" t="s">
        <v>277</v>
      </c>
      <c r="E432" s="528"/>
      <c r="F432" s="528"/>
      <c r="G432" s="528" t="s">
        <v>205</v>
      </c>
      <c r="H432"/>
    </row>
    <row r="433" spans="1:8" x14ac:dyDescent="0.35">
      <c r="A433" s="528" t="s">
        <v>1602</v>
      </c>
      <c r="B433" s="528" t="s">
        <v>1603</v>
      </c>
      <c r="C433" s="528" t="s">
        <v>1604</v>
      </c>
      <c r="D433" s="528" t="s">
        <v>277</v>
      </c>
      <c r="E433" s="528" t="s">
        <v>264</v>
      </c>
      <c r="F433" s="528"/>
      <c r="G433" s="528" t="s">
        <v>205</v>
      </c>
      <c r="H433"/>
    </row>
    <row r="434" spans="1:8" x14ac:dyDescent="0.35">
      <c r="A434" s="528" t="s">
        <v>1605</v>
      </c>
      <c r="B434" s="528" t="s">
        <v>1606</v>
      </c>
      <c r="C434" s="528" t="s">
        <v>1264</v>
      </c>
      <c r="D434" s="528" t="s">
        <v>264</v>
      </c>
      <c r="E434" s="528"/>
      <c r="F434" s="528"/>
      <c r="G434" s="528" t="s">
        <v>205</v>
      </c>
      <c r="H434"/>
    </row>
    <row r="435" spans="1:8" x14ac:dyDescent="0.35">
      <c r="A435" s="528" t="s">
        <v>1607</v>
      </c>
      <c r="B435" s="528" t="s">
        <v>1608</v>
      </c>
      <c r="C435" s="528" t="s">
        <v>1609</v>
      </c>
      <c r="D435" s="528" t="s">
        <v>264</v>
      </c>
      <c r="E435" s="528"/>
      <c r="F435" s="528"/>
      <c r="G435" s="528" t="s">
        <v>205</v>
      </c>
      <c r="H435"/>
    </row>
    <row r="436" spans="1:8" x14ac:dyDescent="0.35">
      <c r="A436" s="528" t="s">
        <v>1610</v>
      </c>
      <c r="B436" s="528" t="s">
        <v>1611</v>
      </c>
      <c r="C436" s="528" t="s">
        <v>1612</v>
      </c>
      <c r="D436" s="528" t="s">
        <v>277</v>
      </c>
      <c r="E436" s="528"/>
      <c r="F436" s="528"/>
      <c r="G436" s="528" t="s">
        <v>208</v>
      </c>
      <c r="H436"/>
    </row>
    <row r="437" spans="1:8" x14ac:dyDescent="0.35">
      <c r="A437" s="528" t="s">
        <v>1613</v>
      </c>
      <c r="B437" s="528" t="s">
        <v>1614</v>
      </c>
      <c r="C437" s="528" t="s">
        <v>1291</v>
      </c>
      <c r="D437" s="528" t="s">
        <v>264</v>
      </c>
      <c r="E437" s="528"/>
      <c r="F437" s="528"/>
      <c r="G437" s="528" t="s">
        <v>205</v>
      </c>
      <c r="H437"/>
    </row>
    <row r="438" spans="1:8" x14ac:dyDescent="0.35">
      <c r="A438" s="528" t="s">
        <v>1615</v>
      </c>
      <c r="B438" s="528" t="s">
        <v>1616</v>
      </c>
      <c r="C438" s="528" t="s">
        <v>1617</v>
      </c>
      <c r="D438" s="528" t="s">
        <v>277</v>
      </c>
      <c r="E438" s="528"/>
      <c r="F438" s="528"/>
      <c r="G438" s="528" t="s">
        <v>208</v>
      </c>
      <c r="H438"/>
    </row>
    <row r="439" spans="1:8" x14ac:dyDescent="0.35">
      <c r="A439" s="528" t="s">
        <v>1618</v>
      </c>
      <c r="B439" s="528" t="s">
        <v>1619</v>
      </c>
      <c r="C439" s="528" t="s">
        <v>1620</v>
      </c>
      <c r="D439" s="528" t="s">
        <v>251</v>
      </c>
      <c r="E439" s="528"/>
      <c r="F439" s="528"/>
      <c r="G439" s="528" t="s">
        <v>208</v>
      </c>
      <c r="H439"/>
    </row>
    <row r="440" spans="1:8" x14ac:dyDescent="0.35">
      <c r="A440" s="528" t="s">
        <v>1621</v>
      </c>
      <c r="B440" s="528" t="s">
        <v>1622</v>
      </c>
      <c r="C440" s="528" t="s">
        <v>1623</v>
      </c>
      <c r="D440" s="528" t="s">
        <v>264</v>
      </c>
      <c r="E440" s="528"/>
      <c r="F440" s="528"/>
      <c r="G440" s="528" t="s">
        <v>205</v>
      </c>
      <c r="H440"/>
    </row>
    <row r="441" spans="1:8" x14ac:dyDescent="0.35">
      <c r="A441" s="528" t="s">
        <v>1624</v>
      </c>
      <c r="B441" s="528" t="s">
        <v>1625</v>
      </c>
      <c r="C441" s="528" t="s">
        <v>432</v>
      </c>
      <c r="D441" s="528" t="s">
        <v>277</v>
      </c>
      <c r="E441" s="528"/>
      <c r="F441" s="528"/>
      <c r="G441" s="528" t="s">
        <v>205</v>
      </c>
      <c r="H441"/>
    </row>
    <row r="442" spans="1:8" x14ac:dyDescent="0.35">
      <c r="A442" s="528" t="s">
        <v>1626</v>
      </c>
      <c r="B442" s="528" t="s">
        <v>1627</v>
      </c>
      <c r="C442" s="528" t="s">
        <v>678</v>
      </c>
      <c r="D442" s="528" t="s">
        <v>264</v>
      </c>
      <c r="E442" s="528"/>
      <c r="F442" s="528"/>
      <c r="G442" s="528" t="s">
        <v>205</v>
      </c>
      <c r="H442"/>
    </row>
    <row r="443" spans="1:8" x14ac:dyDescent="0.35">
      <c r="A443" s="528" t="s">
        <v>1628</v>
      </c>
      <c r="B443" s="528" t="s">
        <v>1629</v>
      </c>
      <c r="C443" s="528" t="s">
        <v>1630</v>
      </c>
      <c r="D443" s="528" t="s">
        <v>277</v>
      </c>
      <c r="E443" s="528"/>
      <c r="F443" s="528"/>
      <c r="G443" s="528" t="s">
        <v>208</v>
      </c>
      <c r="H443"/>
    </row>
    <row r="444" spans="1:8" x14ac:dyDescent="0.35">
      <c r="A444" s="528" t="s">
        <v>1631</v>
      </c>
      <c r="B444" s="528" t="s">
        <v>1632</v>
      </c>
      <c r="C444" s="528" t="s">
        <v>1633</v>
      </c>
      <c r="D444" s="528" t="s">
        <v>277</v>
      </c>
      <c r="E444" s="528"/>
      <c r="F444" s="528"/>
      <c r="G444" s="528" t="s">
        <v>208</v>
      </c>
      <c r="H444"/>
    </row>
    <row r="445" spans="1:8" x14ac:dyDescent="0.35">
      <c r="A445" s="528" t="s">
        <v>1634</v>
      </c>
      <c r="B445" s="528" t="s">
        <v>1635</v>
      </c>
      <c r="C445" s="528" t="s">
        <v>1636</v>
      </c>
      <c r="D445" s="528" t="s">
        <v>277</v>
      </c>
      <c r="E445" s="528" t="s">
        <v>264</v>
      </c>
      <c r="F445" s="528"/>
      <c r="G445" s="528" t="s">
        <v>205</v>
      </c>
      <c r="H445"/>
    </row>
    <row r="446" spans="1:8" x14ac:dyDescent="0.35">
      <c r="A446" s="528" t="s">
        <v>1637</v>
      </c>
      <c r="B446" s="528" t="s">
        <v>1638</v>
      </c>
      <c r="C446" s="528" t="s">
        <v>1639</v>
      </c>
      <c r="D446" s="528" t="s">
        <v>264</v>
      </c>
      <c r="E446" s="528" t="s">
        <v>225</v>
      </c>
      <c r="F446" s="528"/>
      <c r="G446" s="528" t="s">
        <v>205</v>
      </c>
      <c r="H446"/>
    </row>
    <row r="447" spans="1:8" x14ac:dyDescent="0.35">
      <c r="A447" s="528" t="s">
        <v>1640</v>
      </c>
      <c r="B447" s="528" t="s">
        <v>1641</v>
      </c>
      <c r="C447" s="528" t="s">
        <v>1642</v>
      </c>
      <c r="D447" s="528" t="s">
        <v>264</v>
      </c>
      <c r="E447" s="528" t="s">
        <v>225</v>
      </c>
      <c r="F447" s="528"/>
      <c r="G447" s="528" t="s">
        <v>205</v>
      </c>
      <c r="H447"/>
    </row>
    <row r="448" spans="1:8" x14ac:dyDescent="0.35">
      <c r="A448" s="528" t="s">
        <v>1643</v>
      </c>
      <c r="B448" s="528" t="s">
        <v>1644</v>
      </c>
      <c r="C448" s="528" t="s">
        <v>1645</v>
      </c>
      <c r="D448" s="528" t="s">
        <v>277</v>
      </c>
      <c r="E448" s="528" t="s">
        <v>264</v>
      </c>
      <c r="F448" s="528"/>
      <c r="G448" s="528" t="s">
        <v>205</v>
      </c>
      <c r="H448"/>
    </row>
    <row r="449" spans="1:8" x14ac:dyDescent="0.35">
      <c r="A449" s="528" t="s">
        <v>1646</v>
      </c>
      <c r="B449" s="528" t="s">
        <v>1647</v>
      </c>
      <c r="C449" s="528" t="s">
        <v>1648</v>
      </c>
      <c r="D449" s="528" t="s">
        <v>238</v>
      </c>
      <c r="E449" s="528"/>
      <c r="F449" s="528"/>
      <c r="G449" s="528" t="s">
        <v>208</v>
      </c>
      <c r="H449"/>
    </row>
    <row r="450" spans="1:8" x14ac:dyDescent="0.35">
      <c r="A450" s="528" t="s">
        <v>1649</v>
      </c>
      <c r="B450" s="528" t="s">
        <v>1650</v>
      </c>
      <c r="C450" s="528" t="s">
        <v>1651</v>
      </c>
      <c r="D450" s="528" t="s">
        <v>277</v>
      </c>
      <c r="E450" s="528"/>
      <c r="F450" s="528"/>
      <c r="G450" s="528" t="s">
        <v>208</v>
      </c>
      <c r="H450"/>
    </row>
    <row r="451" spans="1:8" x14ac:dyDescent="0.35">
      <c r="A451" s="528" t="s">
        <v>1652</v>
      </c>
      <c r="B451" s="528" t="s">
        <v>1653</v>
      </c>
      <c r="C451" s="528" t="s">
        <v>1654</v>
      </c>
      <c r="D451" s="528" t="s">
        <v>277</v>
      </c>
      <c r="E451" s="528"/>
      <c r="F451" s="528"/>
      <c r="G451" s="528" t="s">
        <v>208</v>
      </c>
      <c r="H451"/>
    </row>
    <row r="452" spans="1:8" x14ac:dyDescent="0.35">
      <c r="A452" s="528" t="s">
        <v>1655</v>
      </c>
      <c r="B452" s="528" t="s">
        <v>1656</v>
      </c>
      <c r="C452" s="528" t="s">
        <v>1657</v>
      </c>
      <c r="D452" s="528" t="s">
        <v>238</v>
      </c>
      <c r="E452" s="528"/>
      <c r="F452" s="528"/>
      <c r="G452" s="528" t="s">
        <v>208</v>
      </c>
      <c r="H452"/>
    </row>
    <row r="453" spans="1:8" x14ac:dyDescent="0.35">
      <c r="A453" s="528" t="s">
        <v>1658</v>
      </c>
      <c r="B453" s="528" t="s">
        <v>1659</v>
      </c>
      <c r="C453" s="528" t="s">
        <v>1660</v>
      </c>
      <c r="D453" s="528" t="s">
        <v>277</v>
      </c>
      <c r="E453" s="528"/>
      <c r="F453" s="528"/>
      <c r="G453" s="528" t="s">
        <v>205</v>
      </c>
      <c r="H453"/>
    </row>
    <row r="454" spans="1:8" x14ac:dyDescent="0.35">
      <c r="A454" s="528" t="s">
        <v>1661</v>
      </c>
      <c r="B454" s="528" t="s">
        <v>1662</v>
      </c>
      <c r="C454" s="528" t="s">
        <v>730</v>
      </c>
      <c r="D454" s="528" t="s">
        <v>251</v>
      </c>
      <c r="E454" s="528"/>
      <c r="F454" s="528"/>
      <c r="G454" s="528" t="s">
        <v>208</v>
      </c>
      <c r="H454"/>
    </row>
    <row r="455" spans="1:8" x14ac:dyDescent="0.35">
      <c r="A455" s="528" t="s">
        <v>1663</v>
      </c>
      <c r="B455" s="528" t="s">
        <v>1664</v>
      </c>
      <c r="C455" s="528" t="s">
        <v>1545</v>
      </c>
      <c r="D455" s="528" t="s">
        <v>277</v>
      </c>
      <c r="E455" s="528"/>
      <c r="F455" s="528"/>
      <c r="G455" s="528" t="s">
        <v>208</v>
      </c>
      <c r="H455"/>
    </row>
    <row r="456" spans="1:8" x14ac:dyDescent="0.35">
      <c r="A456" s="528" t="s">
        <v>1665</v>
      </c>
      <c r="B456" s="528" t="s">
        <v>1666</v>
      </c>
      <c r="C456" s="528" t="s">
        <v>1014</v>
      </c>
      <c r="D456" s="528" t="s">
        <v>277</v>
      </c>
      <c r="E456" s="528"/>
      <c r="F456" s="528"/>
      <c r="G456" s="528" t="s">
        <v>208</v>
      </c>
      <c r="H456"/>
    </row>
    <row r="457" spans="1:8" x14ac:dyDescent="0.35">
      <c r="A457" s="528" t="s">
        <v>1667</v>
      </c>
      <c r="B457" s="528" t="s">
        <v>1668</v>
      </c>
      <c r="C457" s="528" t="s">
        <v>1669</v>
      </c>
      <c r="D457" s="528" t="s">
        <v>277</v>
      </c>
      <c r="E457" s="528"/>
      <c r="F457" s="528"/>
      <c r="G457" s="528" t="s">
        <v>208</v>
      </c>
      <c r="H457"/>
    </row>
    <row r="458" spans="1:8" x14ac:dyDescent="0.35">
      <c r="A458" s="528" t="s">
        <v>1670</v>
      </c>
      <c r="B458" s="528" t="s">
        <v>1671</v>
      </c>
      <c r="C458" s="528" t="s">
        <v>1672</v>
      </c>
      <c r="D458" s="528" t="s">
        <v>277</v>
      </c>
      <c r="E458" s="528"/>
      <c r="F458" s="528"/>
      <c r="G458" s="528" t="s">
        <v>208</v>
      </c>
      <c r="H458"/>
    </row>
    <row r="459" spans="1:8" x14ac:dyDescent="0.35">
      <c r="A459" s="528" t="s">
        <v>1673</v>
      </c>
      <c r="B459" s="528" t="s">
        <v>1674</v>
      </c>
      <c r="C459" s="528" t="s">
        <v>1675</v>
      </c>
      <c r="D459" s="528" t="s">
        <v>264</v>
      </c>
      <c r="E459" s="528"/>
      <c r="F459" s="528"/>
      <c r="G459" s="528" t="s">
        <v>205</v>
      </c>
      <c r="H459"/>
    </row>
    <row r="460" spans="1:8" x14ac:dyDescent="0.35">
      <c r="A460" s="528" t="s">
        <v>1676</v>
      </c>
      <c r="B460" s="528" t="s">
        <v>1677</v>
      </c>
      <c r="C460" s="528" t="s">
        <v>1678</v>
      </c>
      <c r="D460" s="528" t="s">
        <v>277</v>
      </c>
      <c r="E460" s="528"/>
      <c r="F460" s="528"/>
      <c r="G460" s="528" t="s">
        <v>205</v>
      </c>
      <c r="H460"/>
    </row>
    <row r="461" spans="1:8" x14ac:dyDescent="0.35">
      <c r="A461" s="528" t="s">
        <v>1679</v>
      </c>
      <c r="B461" s="528" t="s">
        <v>1680</v>
      </c>
      <c r="C461" s="528" t="s">
        <v>1681</v>
      </c>
      <c r="D461" s="528" t="s">
        <v>277</v>
      </c>
      <c r="E461" s="528"/>
      <c r="F461" s="528"/>
      <c r="G461" s="528" t="s">
        <v>205</v>
      </c>
      <c r="H461"/>
    </row>
    <row r="462" spans="1:8" x14ac:dyDescent="0.35">
      <c r="A462" s="528" t="s">
        <v>1682</v>
      </c>
      <c r="B462" s="528" t="s">
        <v>1683</v>
      </c>
      <c r="C462" s="528" t="s">
        <v>1684</v>
      </c>
      <c r="D462" s="528" t="s">
        <v>264</v>
      </c>
      <c r="E462" s="528"/>
      <c r="F462" s="528"/>
      <c r="G462" s="528" t="s">
        <v>205</v>
      </c>
      <c r="H462"/>
    </row>
    <row r="463" spans="1:8" x14ac:dyDescent="0.35">
      <c r="A463" s="528" t="s">
        <v>1685</v>
      </c>
      <c r="B463" s="528" t="s">
        <v>1686</v>
      </c>
      <c r="C463" s="528" t="s">
        <v>1687</v>
      </c>
      <c r="D463" s="528" t="s">
        <v>251</v>
      </c>
      <c r="E463" s="528"/>
      <c r="F463" s="528"/>
      <c r="G463" s="528" t="s">
        <v>212</v>
      </c>
      <c r="H463"/>
    </row>
    <row r="464" spans="1:8" x14ac:dyDescent="0.35">
      <c r="A464" s="528" t="s">
        <v>1688</v>
      </c>
      <c r="B464" s="528" t="s">
        <v>1689</v>
      </c>
      <c r="C464" s="528" t="s">
        <v>1504</v>
      </c>
      <c r="D464" s="528" t="s">
        <v>277</v>
      </c>
      <c r="E464" s="528" t="s">
        <v>264</v>
      </c>
      <c r="F464" s="528"/>
      <c r="G464" s="528" t="s">
        <v>205</v>
      </c>
      <c r="H464"/>
    </row>
    <row r="465" spans="1:8" x14ac:dyDescent="0.35">
      <c r="A465" s="528" t="s">
        <v>1690</v>
      </c>
      <c r="B465" s="528" t="s">
        <v>1691</v>
      </c>
      <c r="C465" s="528" t="s">
        <v>1692</v>
      </c>
      <c r="D465" s="528" t="s">
        <v>264</v>
      </c>
      <c r="E465" s="528"/>
      <c r="F465" s="528"/>
      <c r="G465" s="528" t="s">
        <v>214</v>
      </c>
      <c r="H465"/>
    </row>
    <row r="466" spans="1:8" x14ac:dyDescent="0.35">
      <c r="A466" s="528" t="s">
        <v>1693</v>
      </c>
      <c r="B466" s="528" t="s">
        <v>1694</v>
      </c>
      <c r="C466" s="528" t="s">
        <v>1695</v>
      </c>
      <c r="D466" s="528" t="s">
        <v>264</v>
      </c>
      <c r="E466" s="528"/>
      <c r="F466" s="528"/>
      <c r="G466" s="528" t="s">
        <v>205</v>
      </c>
      <c r="H466"/>
    </row>
    <row r="467" spans="1:8" x14ac:dyDescent="0.35">
      <c r="A467" s="528" t="s">
        <v>1696</v>
      </c>
      <c r="B467" s="528" t="s">
        <v>1697</v>
      </c>
      <c r="C467" s="528" t="s">
        <v>1698</v>
      </c>
      <c r="D467" s="528" t="s">
        <v>264</v>
      </c>
      <c r="E467" s="528" t="s">
        <v>277</v>
      </c>
      <c r="F467" s="528"/>
      <c r="G467" s="528" t="s">
        <v>205</v>
      </c>
      <c r="H467"/>
    </row>
    <row r="468" spans="1:8" x14ac:dyDescent="0.35">
      <c r="A468" s="528" t="s">
        <v>1699</v>
      </c>
      <c r="B468" s="528" t="s">
        <v>1700</v>
      </c>
      <c r="C468" s="528" t="s">
        <v>1701</v>
      </c>
      <c r="D468" s="528" t="s">
        <v>238</v>
      </c>
      <c r="E468" s="528"/>
      <c r="F468" s="528"/>
      <c r="G468" s="528" t="s">
        <v>205</v>
      </c>
      <c r="H468"/>
    </row>
    <row r="469" spans="1:8" x14ac:dyDescent="0.35">
      <c r="A469" s="528" t="s">
        <v>1702</v>
      </c>
      <c r="B469" s="528" t="s">
        <v>1703</v>
      </c>
      <c r="C469" s="528" t="s">
        <v>768</v>
      </c>
      <c r="D469" s="528" t="s">
        <v>238</v>
      </c>
      <c r="E469" s="528"/>
      <c r="F469" s="528"/>
      <c r="G469" s="528" t="s">
        <v>208</v>
      </c>
      <c r="H469"/>
    </row>
    <row r="470" spans="1:8" x14ac:dyDescent="0.35">
      <c r="A470" s="528" t="s">
        <v>1704</v>
      </c>
      <c r="B470" s="528" t="s">
        <v>1705</v>
      </c>
      <c r="C470" s="528" t="s">
        <v>1706</v>
      </c>
      <c r="D470" s="528" t="s">
        <v>238</v>
      </c>
      <c r="E470" s="528"/>
      <c r="F470" s="528"/>
      <c r="G470" s="528" t="s">
        <v>205</v>
      </c>
      <c r="H470"/>
    </row>
    <row r="471" spans="1:8" x14ac:dyDescent="0.35">
      <c r="A471" s="528" t="s">
        <v>1707</v>
      </c>
      <c r="B471" s="528" t="s">
        <v>1708</v>
      </c>
      <c r="C471" s="528" t="s">
        <v>1371</v>
      </c>
      <c r="D471" s="528" t="s">
        <v>238</v>
      </c>
      <c r="E471" s="528"/>
      <c r="F471" s="528"/>
      <c r="G471" s="528" t="s">
        <v>205</v>
      </c>
      <c r="H471"/>
    </row>
    <row r="472" spans="1:8" x14ac:dyDescent="0.35">
      <c r="A472" s="528" t="s">
        <v>1709</v>
      </c>
      <c r="B472" s="528" t="s">
        <v>1710</v>
      </c>
      <c r="C472" s="528" t="s">
        <v>1711</v>
      </c>
      <c r="D472" s="528" t="s">
        <v>238</v>
      </c>
      <c r="E472" s="528"/>
      <c r="F472" s="528"/>
      <c r="G472" s="528" t="s">
        <v>205</v>
      </c>
      <c r="H472"/>
    </row>
    <row r="473" spans="1:8" x14ac:dyDescent="0.35">
      <c r="A473" s="528" t="s">
        <v>1712</v>
      </c>
      <c r="B473" s="528" t="s">
        <v>1713</v>
      </c>
      <c r="C473" s="528" t="s">
        <v>1714</v>
      </c>
      <c r="D473" s="528" t="s">
        <v>264</v>
      </c>
      <c r="E473" s="528"/>
      <c r="F473" s="528"/>
      <c r="G473" s="528" t="s">
        <v>205</v>
      </c>
      <c r="H473"/>
    </row>
    <row r="474" spans="1:8" x14ac:dyDescent="0.35">
      <c r="A474" s="528" t="s">
        <v>1715</v>
      </c>
      <c r="B474" s="528" t="s">
        <v>1716</v>
      </c>
      <c r="C474" s="528" t="s">
        <v>1717</v>
      </c>
      <c r="D474" s="528" t="s">
        <v>277</v>
      </c>
      <c r="E474" s="528"/>
      <c r="F474" s="528"/>
      <c r="G474" s="528" t="s">
        <v>208</v>
      </c>
      <c r="H474"/>
    </row>
    <row r="475" spans="1:8" x14ac:dyDescent="0.35">
      <c r="A475" s="528" t="s">
        <v>1718</v>
      </c>
      <c r="B475" s="528" t="s">
        <v>1719</v>
      </c>
      <c r="C475" s="528" t="s">
        <v>1720</v>
      </c>
      <c r="D475" s="528" t="s">
        <v>264</v>
      </c>
      <c r="E475" s="528" t="s">
        <v>277</v>
      </c>
      <c r="F475" s="528"/>
      <c r="G475" s="528" t="s">
        <v>208</v>
      </c>
      <c r="H475"/>
    </row>
    <row r="476" spans="1:8" x14ac:dyDescent="0.35">
      <c r="A476" s="528" t="s">
        <v>1721</v>
      </c>
      <c r="B476" s="528" t="s">
        <v>1722</v>
      </c>
      <c r="C476" s="528" t="s">
        <v>1723</v>
      </c>
      <c r="D476" s="528" t="s">
        <v>238</v>
      </c>
      <c r="E476" s="528"/>
      <c r="F476" s="528"/>
      <c r="G476" s="528" t="s">
        <v>205</v>
      </c>
      <c r="H476"/>
    </row>
    <row r="477" spans="1:8" x14ac:dyDescent="0.35">
      <c r="A477" s="528" t="s">
        <v>1724</v>
      </c>
      <c r="B477" s="528" t="s">
        <v>1725</v>
      </c>
      <c r="C477" s="528" t="s">
        <v>1264</v>
      </c>
      <c r="D477" s="528" t="s">
        <v>264</v>
      </c>
      <c r="E477" s="528"/>
      <c r="F477" s="528"/>
      <c r="G477" s="528" t="s">
        <v>205</v>
      </c>
      <c r="H477"/>
    </row>
    <row r="478" spans="1:8" x14ac:dyDescent="0.35">
      <c r="A478" s="528" t="s">
        <v>1726</v>
      </c>
      <c r="B478" s="528" t="s">
        <v>1727</v>
      </c>
      <c r="C478" s="528" t="s">
        <v>1728</v>
      </c>
      <c r="D478" s="528" t="s">
        <v>277</v>
      </c>
      <c r="E478" s="528"/>
      <c r="F478" s="528"/>
      <c r="G478" s="528" t="s">
        <v>205</v>
      </c>
      <c r="H478"/>
    </row>
    <row r="479" spans="1:8" x14ac:dyDescent="0.35">
      <c r="A479" s="528" t="s">
        <v>1729</v>
      </c>
      <c r="B479" s="528" t="s">
        <v>1730</v>
      </c>
      <c r="C479" s="528" t="s">
        <v>1731</v>
      </c>
      <c r="D479" s="528" t="s">
        <v>238</v>
      </c>
      <c r="E479" s="528"/>
      <c r="F479" s="528"/>
      <c r="G479" s="528" t="s">
        <v>208</v>
      </c>
      <c r="H479"/>
    </row>
    <row r="480" spans="1:8" x14ac:dyDescent="0.35">
      <c r="A480" s="528" t="s">
        <v>1732</v>
      </c>
      <c r="B480" s="528" t="s">
        <v>1733</v>
      </c>
      <c r="C480" s="528" t="s">
        <v>1734</v>
      </c>
      <c r="D480" s="528" t="s">
        <v>238</v>
      </c>
      <c r="E480" s="528"/>
      <c r="F480" s="528"/>
      <c r="G480" s="528" t="s">
        <v>208</v>
      </c>
      <c r="H480"/>
    </row>
    <row r="481" spans="1:8" x14ac:dyDescent="0.35">
      <c r="A481" s="528" t="s">
        <v>1735</v>
      </c>
      <c r="B481" s="528" t="s">
        <v>1736</v>
      </c>
      <c r="C481" s="528" t="s">
        <v>1737</v>
      </c>
      <c r="D481" s="528" t="s">
        <v>238</v>
      </c>
      <c r="E481" s="528"/>
      <c r="F481" s="528"/>
      <c r="G481" s="528" t="s">
        <v>208</v>
      </c>
      <c r="H481"/>
    </row>
    <row r="482" spans="1:8" x14ac:dyDescent="0.35">
      <c r="A482" s="528" t="s">
        <v>1738</v>
      </c>
      <c r="B482" s="528" t="s">
        <v>1739</v>
      </c>
      <c r="C482" s="528" t="s">
        <v>1740</v>
      </c>
      <c r="D482" s="528" t="s">
        <v>251</v>
      </c>
      <c r="E482" s="528"/>
      <c r="F482" s="528"/>
      <c r="G482" s="528" t="s">
        <v>205</v>
      </c>
      <c r="H482"/>
    </row>
    <row r="483" spans="1:8" x14ac:dyDescent="0.35">
      <c r="A483" s="528" t="s">
        <v>1741</v>
      </c>
      <c r="B483" s="528" t="s">
        <v>1742</v>
      </c>
      <c r="C483" s="528" t="s">
        <v>751</v>
      </c>
      <c r="D483" s="528" t="s">
        <v>251</v>
      </c>
      <c r="E483" s="528"/>
      <c r="F483" s="528"/>
      <c r="G483" s="528" t="s">
        <v>208</v>
      </c>
      <c r="H483"/>
    </row>
    <row r="484" spans="1:8" x14ac:dyDescent="0.35">
      <c r="A484" s="528" t="s">
        <v>1743</v>
      </c>
      <c r="B484" s="528" t="s">
        <v>1744</v>
      </c>
      <c r="C484" s="528" t="s">
        <v>1745</v>
      </c>
      <c r="D484" s="528" t="s">
        <v>225</v>
      </c>
      <c r="E484" s="528"/>
      <c r="F484" s="528"/>
      <c r="G484" s="528" t="s">
        <v>205</v>
      </c>
      <c r="H484"/>
    </row>
    <row r="485" spans="1:8" x14ac:dyDescent="0.35">
      <c r="A485" s="528" t="s">
        <v>1746</v>
      </c>
      <c r="B485" s="528" t="s">
        <v>1747</v>
      </c>
      <c r="C485" s="528" t="s">
        <v>1264</v>
      </c>
      <c r="D485" s="528" t="s">
        <v>264</v>
      </c>
      <c r="E485" s="528"/>
      <c r="F485" s="528"/>
      <c r="G485" s="528" t="s">
        <v>205</v>
      </c>
      <c r="H485"/>
    </row>
    <row r="486" spans="1:8" x14ac:dyDescent="0.35">
      <c r="A486" s="528" t="s">
        <v>1748</v>
      </c>
      <c r="B486" s="528" t="s">
        <v>1749</v>
      </c>
      <c r="C486" s="528" t="s">
        <v>1504</v>
      </c>
      <c r="D486" s="528" t="s">
        <v>277</v>
      </c>
      <c r="E486" s="528" t="s">
        <v>264</v>
      </c>
      <c r="F486" s="528"/>
      <c r="G486" s="528" t="s">
        <v>205</v>
      </c>
      <c r="H486"/>
    </row>
    <row r="487" spans="1:8" x14ac:dyDescent="0.35">
      <c r="A487" s="528" t="s">
        <v>1750</v>
      </c>
      <c r="B487" s="528" t="s">
        <v>1751</v>
      </c>
      <c r="C487" s="528" t="s">
        <v>1536</v>
      </c>
      <c r="D487" s="528" t="s">
        <v>277</v>
      </c>
      <c r="E487" s="528"/>
      <c r="F487" s="528"/>
      <c r="G487" s="528" t="s">
        <v>208</v>
      </c>
      <c r="H487"/>
    </row>
    <row r="488" spans="1:8" x14ac:dyDescent="0.35">
      <c r="A488" s="528" t="s">
        <v>1752</v>
      </c>
      <c r="B488" s="528" t="s">
        <v>1753</v>
      </c>
      <c r="C488" s="528" t="s">
        <v>1341</v>
      </c>
      <c r="D488" s="528" t="s">
        <v>277</v>
      </c>
      <c r="E488" s="528"/>
      <c r="F488" s="528"/>
      <c r="G488" s="528" t="s">
        <v>205</v>
      </c>
      <c r="H488"/>
    </row>
    <row r="489" spans="1:8" x14ac:dyDescent="0.35">
      <c r="A489" s="528" t="s">
        <v>1754</v>
      </c>
      <c r="B489" s="528" t="s">
        <v>1755</v>
      </c>
      <c r="C489" s="528" t="s">
        <v>1211</v>
      </c>
      <c r="D489" s="528" t="s">
        <v>264</v>
      </c>
      <c r="E489" s="528"/>
      <c r="F489" s="528"/>
      <c r="G489" s="528" t="s">
        <v>205</v>
      </c>
      <c r="H489"/>
    </row>
    <row r="490" spans="1:8" x14ac:dyDescent="0.35">
      <c r="A490" s="528" t="s">
        <v>1756</v>
      </c>
      <c r="B490" s="528" t="s">
        <v>1757</v>
      </c>
      <c r="C490" s="528" t="s">
        <v>1758</v>
      </c>
      <c r="D490" s="528" t="s">
        <v>251</v>
      </c>
      <c r="E490" s="528"/>
      <c r="F490" s="528"/>
      <c r="G490" s="528" t="s">
        <v>208</v>
      </c>
      <c r="H490"/>
    </row>
    <row r="491" spans="1:8" x14ac:dyDescent="0.35">
      <c r="A491" s="528" t="s">
        <v>1759</v>
      </c>
      <c r="B491" s="528" t="s">
        <v>1760</v>
      </c>
      <c r="C491" s="528" t="s">
        <v>1761</v>
      </c>
      <c r="D491" s="528" t="s">
        <v>251</v>
      </c>
      <c r="E491" s="528"/>
      <c r="F491" s="528"/>
      <c r="G491" s="528" t="s">
        <v>208</v>
      </c>
      <c r="H491"/>
    </row>
    <row r="492" spans="1:8" x14ac:dyDescent="0.35">
      <c r="A492" s="528" t="s">
        <v>1762</v>
      </c>
      <c r="B492" s="528" t="s">
        <v>1763</v>
      </c>
      <c r="C492" s="528" t="s">
        <v>751</v>
      </c>
      <c r="D492" s="528" t="s">
        <v>251</v>
      </c>
      <c r="E492" s="528"/>
      <c r="F492" s="528"/>
      <c r="G492" s="528" t="s">
        <v>208</v>
      </c>
      <c r="H492"/>
    </row>
    <row r="493" spans="1:8" x14ac:dyDescent="0.35">
      <c r="A493" s="528" t="s">
        <v>1764</v>
      </c>
      <c r="B493" s="528" t="s">
        <v>1765</v>
      </c>
      <c r="C493" s="528" t="s">
        <v>1766</v>
      </c>
      <c r="D493" s="528" t="s">
        <v>251</v>
      </c>
      <c r="E493" s="528"/>
      <c r="F493" s="528"/>
      <c r="G493" s="528" t="s">
        <v>208</v>
      </c>
      <c r="H493"/>
    </row>
    <row r="494" spans="1:8" x14ac:dyDescent="0.35">
      <c r="A494" s="528" t="s">
        <v>1767</v>
      </c>
      <c r="B494" s="528" t="s">
        <v>1768</v>
      </c>
      <c r="C494" s="528" t="s">
        <v>1769</v>
      </c>
      <c r="D494" s="528" t="s">
        <v>251</v>
      </c>
      <c r="E494" s="528"/>
      <c r="F494" s="528"/>
      <c r="G494" s="528" t="s">
        <v>208</v>
      </c>
      <c r="H494"/>
    </row>
    <row r="495" spans="1:8" x14ac:dyDescent="0.35">
      <c r="A495" s="528" t="s">
        <v>1770</v>
      </c>
      <c r="B495" s="528" t="s">
        <v>1771</v>
      </c>
      <c r="C495" s="528" t="s">
        <v>1772</v>
      </c>
      <c r="D495" s="528" t="s">
        <v>251</v>
      </c>
      <c r="E495" s="528"/>
      <c r="F495" s="528"/>
      <c r="G495" s="528" t="s">
        <v>205</v>
      </c>
      <c r="H495"/>
    </row>
    <row r="496" spans="1:8" x14ac:dyDescent="0.35">
      <c r="A496" s="528" t="s">
        <v>1773</v>
      </c>
      <c r="B496" s="528" t="s">
        <v>1774</v>
      </c>
      <c r="C496" s="528" t="s">
        <v>1775</v>
      </c>
      <c r="D496" s="528" t="s">
        <v>251</v>
      </c>
      <c r="E496" s="528"/>
      <c r="F496" s="528"/>
      <c r="G496" s="528" t="s">
        <v>205</v>
      </c>
      <c r="H496"/>
    </row>
    <row r="497" spans="1:8" x14ac:dyDescent="0.35">
      <c r="A497" s="528" t="s">
        <v>1776</v>
      </c>
      <c r="B497" s="528" t="s">
        <v>1777</v>
      </c>
      <c r="C497" s="528" t="s">
        <v>1483</v>
      </c>
      <c r="D497" s="528" t="s">
        <v>251</v>
      </c>
      <c r="E497" s="528"/>
      <c r="F497" s="528"/>
      <c r="G497" s="528" t="s">
        <v>205</v>
      </c>
      <c r="H497"/>
    </row>
    <row r="498" spans="1:8" x14ac:dyDescent="0.35">
      <c r="A498" s="528" t="s">
        <v>1778</v>
      </c>
      <c r="B498" s="528" t="s">
        <v>1779</v>
      </c>
      <c r="C498" s="528" t="s">
        <v>1780</v>
      </c>
      <c r="D498" s="528" t="s">
        <v>251</v>
      </c>
      <c r="E498" s="528"/>
      <c r="F498" s="528"/>
      <c r="G498" s="528" t="s">
        <v>205</v>
      </c>
      <c r="H498"/>
    </row>
    <row r="499" spans="1:8" x14ac:dyDescent="0.35">
      <c r="A499" s="528" t="s">
        <v>1781</v>
      </c>
      <c r="B499" s="528" t="s">
        <v>1782</v>
      </c>
      <c r="C499" s="528" t="s">
        <v>1783</v>
      </c>
      <c r="D499" s="528" t="s">
        <v>277</v>
      </c>
      <c r="E499" s="528"/>
      <c r="F499" s="528"/>
      <c r="G499" s="528" t="s">
        <v>214</v>
      </c>
      <c r="H499"/>
    </row>
    <row r="500" spans="1:8" x14ac:dyDescent="0.35">
      <c r="A500" s="528" t="s">
        <v>1784</v>
      </c>
      <c r="B500" s="528" t="s">
        <v>1785</v>
      </c>
      <c r="C500" s="528" t="s">
        <v>1786</v>
      </c>
      <c r="D500" s="528" t="s">
        <v>264</v>
      </c>
      <c r="E500" s="528"/>
      <c r="F500" s="528"/>
      <c r="G500" s="528" t="s">
        <v>205</v>
      </c>
      <c r="H500"/>
    </row>
    <row r="501" spans="1:8" x14ac:dyDescent="0.35">
      <c r="A501" s="528" t="s">
        <v>1787</v>
      </c>
      <c r="B501" s="528" t="s">
        <v>1788</v>
      </c>
      <c r="C501" s="528" t="s">
        <v>1789</v>
      </c>
      <c r="D501" s="528" t="s">
        <v>277</v>
      </c>
      <c r="E501" s="528"/>
      <c r="F501" s="528"/>
      <c r="G501" s="528" t="s">
        <v>208</v>
      </c>
      <c r="H501"/>
    </row>
    <row r="502" spans="1:8" x14ac:dyDescent="0.35">
      <c r="A502" s="528" t="s">
        <v>1790</v>
      </c>
      <c r="B502" s="528" t="s">
        <v>1791</v>
      </c>
      <c r="C502" s="528" t="s">
        <v>1792</v>
      </c>
      <c r="D502" s="528" t="s">
        <v>277</v>
      </c>
      <c r="E502" s="528"/>
      <c r="F502" s="528"/>
      <c r="G502" s="528" t="s">
        <v>208</v>
      </c>
      <c r="H502"/>
    </row>
    <row r="503" spans="1:8" x14ac:dyDescent="0.35">
      <c r="A503" s="528" t="s">
        <v>1793</v>
      </c>
      <c r="B503" s="528" t="s">
        <v>1794</v>
      </c>
      <c r="C503" s="528" t="s">
        <v>432</v>
      </c>
      <c r="D503" s="528" t="s">
        <v>277</v>
      </c>
      <c r="E503" s="528"/>
      <c r="F503" s="528"/>
      <c r="G503" s="528" t="s">
        <v>205</v>
      </c>
      <c r="H503"/>
    </row>
    <row r="504" spans="1:8" x14ac:dyDescent="0.35">
      <c r="A504" s="528" t="s">
        <v>1795</v>
      </c>
      <c r="B504" s="528" t="s">
        <v>1796</v>
      </c>
      <c r="C504" s="528" t="s">
        <v>474</v>
      </c>
      <c r="D504" s="528" t="s">
        <v>277</v>
      </c>
      <c r="E504" s="528"/>
      <c r="F504" s="528"/>
      <c r="G504" s="528" t="s">
        <v>205</v>
      </c>
      <c r="H504"/>
    </row>
    <row r="505" spans="1:8" x14ac:dyDescent="0.35">
      <c r="A505" s="528" t="s">
        <v>1797</v>
      </c>
      <c r="B505" s="528" t="s">
        <v>1798</v>
      </c>
      <c r="C505" s="528" t="s">
        <v>1305</v>
      </c>
      <c r="D505" s="528" t="s">
        <v>277</v>
      </c>
      <c r="E505" s="528"/>
      <c r="F505" s="528"/>
      <c r="G505" s="528" t="s">
        <v>205</v>
      </c>
      <c r="H505"/>
    </row>
    <row r="506" spans="1:8" x14ac:dyDescent="0.35">
      <c r="A506" s="528" t="s">
        <v>1799</v>
      </c>
      <c r="B506" s="528" t="s">
        <v>1800</v>
      </c>
      <c r="C506" s="528" t="s">
        <v>1504</v>
      </c>
      <c r="D506" s="528" t="s">
        <v>277</v>
      </c>
      <c r="E506" s="528" t="s">
        <v>264</v>
      </c>
      <c r="F506" s="528"/>
      <c r="G506" s="528" t="s">
        <v>205</v>
      </c>
      <c r="H506"/>
    </row>
    <row r="507" spans="1:8" x14ac:dyDescent="0.35">
      <c r="A507" s="528" t="s">
        <v>1801</v>
      </c>
      <c r="B507" s="528" t="s">
        <v>1802</v>
      </c>
      <c r="C507" s="528" t="s">
        <v>1371</v>
      </c>
      <c r="D507" s="528" t="s">
        <v>238</v>
      </c>
      <c r="E507" s="528"/>
      <c r="F507" s="528"/>
      <c r="G507" s="528" t="s">
        <v>205</v>
      </c>
      <c r="H507"/>
    </row>
    <row r="508" spans="1:8" x14ac:dyDescent="0.35">
      <c r="A508" s="528" t="s">
        <v>1803</v>
      </c>
      <c r="B508" s="528" t="s">
        <v>1804</v>
      </c>
      <c r="C508" s="528" t="s">
        <v>1711</v>
      </c>
      <c r="D508" s="528" t="s">
        <v>238</v>
      </c>
      <c r="E508" s="528"/>
      <c r="F508" s="528"/>
      <c r="G508" s="528" t="s">
        <v>205</v>
      </c>
      <c r="H508"/>
    </row>
    <row r="509" spans="1:8" x14ac:dyDescent="0.35">
      <c r="A509" s="528" t="s">
        <v>1805</v>
      </c>
      <c r="B509" s="528" t="s">
        <v>1806</v>
      </c>
      <c r="C509" s="528" t="s">
        <v>1807</v>
      </c>
      <c r="D509" s="528" t="s">
        <v>225</v>
      </c>
      <c r="E509" s="528"/>
      <c r="F509" s="528"/>
      <c r="G509" s="528" t="s">
        <v>205</v>
      </c>
      <c r="H509"/>
    </row>
    <row r="510" spans="1:8" x14ac:dyDescent="0.35">
      <c r="A510" s="528" t="s">
        <v>1808</v>
      </c>
      <c r="B510" s="528" t="s">
        <v>1809</v>
      </c>
      <c r="C510" s="528" t="s">
        <v>1810</v>
      </c>
      <c r="D510" s="528" t="s">
        <v>264</v>
      </c>
      <c r="E510" s="528"/>
      <c r="F510" s="528"/>
      <c r="G510" s="528" t="s">
        <v>205</v>
      </c>
      <c r="H510"/>
    </row>
    <row r="511" spans="1:8" x14ac:dyDescent="0.35">
      <c r="A511" s="528" t="s">
        <v>1811</v>
      </c>
      <c r="B511" s="528" t="s">
        <v>1812</v>
      </c>
      <c r="C511" s="528" t="s">
        <v>1813</v>
      </c>
      <c r="D511" s="528" t="s">
        <v>264</v>
      </c>
      <c r="E511" s="528"/>
      <c r="F511" s="528"/>
      <c r="G511" s="528" t="s">
        <v>205</v>
      </c>
      <c r="H511"/>
    </row>
    <row r="512" spans="1:8" x14ac:dyDescent="0.35">
      <c r="A512" s="528" t="s">
        <v>1814</v>
      </c>
      <c r="B512" s="528" t="s">
        <v>1815</v>
      </c>
      <c r="C512" s="528" t="s">
        <v>1816</v>
      </c>
      <c r="D512" s="528" t="s">
        <v>264</v>
      </c>
      <c r="E512" s="528"/>
      <c r="F512" s="528"/>
      <c r="G512" s="528" t="s">
        <v>205</v>
      </c>
      <c r="H512"/>
    </row>
    <row r="513" spans="1:8" x14ac:dyDescent="0.35">
      <c r="A513" s="528" t="s">
        <v>1817</v>
      </c>
      <c r="B513" s="528" t="s">
        <v>1818</v>
      </c>
      <c r="C513" s="528" t="s">
        <v>1819</v>
      </c>
      <c r="D513" s="528" t="s">
        <v>264</v>
      </c>
      <c r="E513" s="528"/>
      <c r="F513" s="528"/>
      <c r="G513" s="528" t="s">
        <v>210</v>
      </c>
      <c r="H513"/>
    </row>
    <row r="514" spans="1:8" x14ac:dyDescent="0.35">
      <c r="A514" s="528" t="s">
        <v>1820</v>
      </c>
      <c r="B514" s="528" t="s">
        <v>1821</v>
      </c>
      <c r="C514" s="528" t="s">
        <v>1822</v>
      </c>
      <c r="D514" s="528" t="s">
        <v>277</v>
      </c>
      <c r="E514" s="528" t="s">
        <v>264</v>
      </c>
      <c r="F514" s="528"/>
      <c r="G514" s="528" t="s">
        <v>205</v>
      </c>
      <c r="H514"/>
    </row>
    <row r="515" spans="1:8" x14ac:dyDescent="0.35">
      <c r="A515" s="528" t="s">
        <v>1823</v>
      </c>
      <c r="B515" s="528" t="s">
        <v>1824</v>
      </c>
      <c r="C515" s="528" t="s">
        <v>1825</v>
      </c>
      <c r="D515" s="528" t="s">
        <v>277</v>
      </c>
      <c r="E515" s="528" t="s">
        <v>264</v>
      </c>
      <c r="F515" s="528"/>
      <c r="G515" s="528" t="s">
        <v>205</v>
      </c>
      <c r="H515"/>
    </row>
    <row r="516" spans="1:8" x14ac:dyDescent="0.35">
      <c r="A516" s="528" t="s">
        <v>1826</v>
      </c>
      <c r="B516" s="528" t="s">
        <v>1827</v>
      </c>
      <c r="C516" s="528" t="s">
        <v>1828</v>
      </c>
      <c r="D516" s="528" t="s">
        <v>277</v>
      </c>
      <c r="E516" s="528"/>
      <c r="F516" s="528"/>
      <c r="G516" s="528" t="s">
        <v>205</v>
      </c>
      <c r="H516"/>
    </row>
    <row r="517" spans="1:8" x14ac:dyDescent="0.35">
      <c r="A517" s="528" t="s">
        <v>1829</v>
      </c>
      <c r="B517" s="528" t="s">
        <v>1830</v>
      </c>
      <c r="C517" s="528" t="s">
        <v>1831</v>
      </c>
      <c r="D517" s="528" t="s">
        <v>264</v>
      </c>
      <c r="E517" s="528"/>
      <c r="F517" s="528"/>
      <c r="G517" s="528" t="s">
        <v>210</v>
      </c>
      <c r="H517"/>
    </row>
    <row r="518" spans="1:8" x14ac:dyDescent="0.35">
      <c r="A518" s="528" t="s">
        <v>1832</v>
      </c>
      <c r="B518" s="528" t="s">
        <v>1833</v>
      </c>
      <c r="C518" s="528" t="s">
        <v>1834</v>
      </c>
      <c r="D518" s="528" t="s">
        <v>238</v>
      </c>
      <c r="E518" s="528"/>
      <c r="F518" s="528"/>
      <c r="G518" s="528" t="s">
        <v>205</v>
      </c>
      <c r="H518"/>
    </row>
    <row r="519" spans="1:8" x14ac:dyDescent="0.35">
      <c r="A519" s="528" t="s">
        <v>1835</v>
      </c>
      <c r="B519" s="528" t="s">
        <v>1836</v>
      </c>
      <c r="C519" s="528" t="s">
        <v>1533</v>
      </c>
      <c r="D519" s="528" t="s">
        <v>277</v>
      </c>
      <c r="E519" s="528"/>
      <c r="F519" s="528"/>
      <c r="G519" s="528" t="s">
        <v>205</v>
      </c>
      <c r="H519"/>
    </row>
    <row r="520" spans="1:8" x14ac:dyDescent="0.35">
      <c r="A520" s="528" t="s">
        <v>1837</v>
      </c>
      <c r="B520" s="528" t="s">
        <v>1838</v>
      </c>
      <c r="C520" s="528" t="s">
        <v>1839</v>
      </c>
      <c r="D520" s="528" t="s">
        <v>251</v>
      </c>
      <c r="E520" s="528"/>
      <c r="F520" s="528"/>
      <c r="G520" s="528" t="s">
        <v>205</v>
      </c>
      <c r="H520"/>
    </row>
    <row r="521" spans="1:8" x14ac:dyDescent="0.35">
      <c r="A521" s="528" t="s">
        <v>1840</v>
      </c>
      <c r="B521" s="528" t="s">
        <v>1841</v>
      </c>
      <c r="C521" s="528" t="s">
        <v>1842</v>
      </c>
      <c r="D521" s="528" t="s">
        <v>251</v>
      </c>
      <c r="E521" s="528"/>
      <c r="F521" s="528"/>
      <c r="G521" s="528" t="s">
        <v>205</v>
      </c>
      <c r="H521"/>
    </row>
    <row r="522" spans="1:8" x14ac:dyDescent="0.35">
      <c r="A522" s="528" t="s">
        <v>1843</v>
      </c>
      <c r="B522" s="528" t="s">
        <v>1844</v>
      </c>
      <c r="C522" s="528" t="s">
        <v>1845</v>
      </c>
      <c r="D522" s="528" t="s">
        <v>251</v>
      </c>
      <c r="E522" s="528"/>
      <c r="F522" s="528"/>
      <c r="G522" s="528" t="s">
        <v>205</v>
      </c>
      <c r="H522"/>
    </row>
    <row r="523" spans="1:8" x14ac:dyDescent="0.35">
      <c r="A523" s="528" t="s">
        <v>1846</v>
      </c>
      <c r="B523" s="528" t="s">
        <v>1847</v>
      </c>
      <c r="C523" s="528" t="s">
        <v>1848</v>
      </c>
      <c r="D523" s="528" t="s">
        <v>251</v>
      </c>
      <c r="E523" s="528"/>
      <c r="F523" s="528"/>
      <c r="G523" s="528" t="s">
        <v>205</v>
      </c>
      <c r="H523"/>
    </row>
    <row r="524" spans="1:8" x14ac:dyDescent="0.35">
      <c r="A524" s="528" t="s">
        <v>1849</v>
      </c>
      <c r="B524" s="528" t="s">
        <v>1850</v>
      </c>
      <c r="C524" s="528" t="s">
        <v>1851</v>
      </c>
      <c r="D524" s="528" t="s">
        <v>238</v>
      </c>
      <c r="E524" s="528"/>
      <c r="F524" s="528"/>
      <c r="G524" s="528" t="s">
        <v>205</v>
      </c>
      <c r="H524"/>
    </row>
    <row r="525" spans="1:8" x14ac:dyDescent="0.35">
      <c r="A525" s="528" t="s">
        <v>1852</v>
      </c>
      <c r="B525" s="528" t="s">
        <v>1853</v>
      </c>
      <c r="C525" s="528" t="s">
        <v>1854</v>
      </c>
      <c r="D525" s="528" t="s">
        <v>277</v>
      </c>
      <c r="E525" s="528"/>
      <c r="F525" s="528"/>
      <c r="G525" s="528" t="s">
        <v>205</v>
      </c>
      <c r="H525"/>
    </row>
    <row r="526" spans="1:8" x14ac:dyDescent="0.35">
      <c r="A526" s="528" t="s">
        <v>1855</v>
      </c>
      <c r="B526" s="528" t="s">
        <v>1856</v>
      </c>
      <c r="C526" s="528" t="s">
        <v>1576</v>
      </c>
      <c r="D526" s="528" t="s">
        <v>277</v>
      </c>
      <c r="E526" s="528"/>
      <c r="F526" s="528"/>
      <c r="G526" s="528" t="s">
        <v>205</v>
      </c>
      <c r="H526"/>
    </row>
    <row r="527" spans="1:8" x14ac:dyDescent="0.35">
      <c r="A527" s="528" t="s">
        <v>1857</v>
      </c>
      <c r="B527" s="528" t="s">
        <v>1858</v>
      </c>
      <c r="C527" s="528" t="s">
        <v>1859</v>
      </c>
      <c r="D527" s="528" t="s">
        <v>251</v>
      </c>
      <c r="E527" s="528"/>
      <c r="F527" s="528"/>
      <c r="G527" s="528" t="s">
        <v>208</v>
      </c>
      <c r="H527"/>
    </row>
    <row r="528" spans="1:8" x14ac:dyDescent="0.35">
      <c r="A528" s="528" t="s">
        <v>1860</v>
      </c>
      <c r="B528" s="528" t="s">
        <v>1861</v>
      </c>
      <c r="C528" s="528" t="s">
        <v>1862</v>
      </c>
      <c r="D528" s="528" t="s">
        <v>264</v>
      </c>
      <c r="E528" s="528" t="s">
        <v>251</v>
      </c>
      <c r="F528" s="528"/>
      <c r="G528" s="528" t="s">
        <v>205</v>
      </c>
      <c r="H528"/>
    </row>
    <row r="529" spans="1:8" x14ac:dyDescent="0.35">
      <c r="A529" s="528" t="s">
        <v>1863</v>
      </c>
      <c r="B529" s="528" t="s">
        <v>1864</v>
      </c>
      <c r="C529" s="528" t="s">
        <v>1786</v>
      </c>
      <c r="D529" s="528" t="s">
        <v>264</v>
      </c>
      <c r="E529" s="528"/>
      <c r="F529" s="528"/>
      <c r="G529" s="528" t="s">
        <v>205</v>
      </c>
      <c r="H529"/>
    </row>
    <row r="530" spans="1:8" x14ac:dyDescent="0.35">
      <c r="A530" s="528" t="s">
        <v>1865</v>
      </c>
      <c r="B530" s="528" t="s">
        <v>1866</v>
      </c>
      <c r="C530" s="528" t="s">
        <v>1867</v>
      </c>
      <c r="D530" s="528" t="s">
        <v>251</v>
      </c>
      <c r="E530" s="528"/>
      <c r="F530" s="528"/>
      <c r="G530" s="528" t="s">
        <v>205</v>
      </c>
      <c r="H530"/>
    </row>
    <row r="531" spans="1:8" x14ac:dyDescent="0.35">
      <c r="A531" s="528" t="s">
        <v>1868</v>
      </c>
      <c r="B531" s="528" t="s">
        <v>1869</v>
      </c>
      <c r="C531" s="528" t="s">
        <v>1870</v>
      </c>
      <c r="D531" s="528" t="s">
        <v>264</v>
      </c>
      <c r="E531" s="528"/>
      <c r="F531" s="528"/>
      <c r="G531" s="528" t="s">
        <v>205</v>
      </c>
      <c r="H531"/>
    </row>
    <row r="532" spans="1:8" x14ac:dyDescent="0.35">
      <c r="A532" s="528" t="s">
        <v>1871</v>
      </c>
      <c r="B532" s="528" t="s">
        <v>1872</v>
      </c>
      <c r="C532" s="528" t="s">
        <v>1873</v>
      </c>
      <c r="D532" s="528" t="s">
        <v>264</v>
      </c>
      <c r="E532" s="528"/>
      <c r="F532" s="528"/>
      <c r="G532" s="528" t="s">
        <v>205</v>
      </c>
      <c r="H532"/>
    </row>
    <row r="533" spans="1:8" x14ac:dyDescent="0.35">
      <c r="A533" s="528" t="s">
        <v>1874</v>
      </c>
      <c r="B533" s="528" t="s">
        <v>1875</v>
      </c>
      <c r="C533" s="528" t="s">
        <v>1876</v>
      </c>
      <c r="D533" s="528" t="s">
        <v>277</v>
      </c>
      <c r="E533" s="528" t="s">
        <v>264</v>
      </c>
      <c r="F533" s="528"/>
      <c r="G533" s="528" t="s">
        <v>205</v>
      </c>
      <c r="H533"/>
    </row>
    <row r="534" spans="1:8" x14ac:dyDescent="0.35">
      <c r="A534" s="528" t="s">
        <v>1877</v>
      </c>
      <c r="B534" s="528" t="s">
        <v>1878</v>
      </c>
      <c r="C534" s="528" t="s">
        <v>1819</v>
      </c>
      <c r="D534" s="528" t="s">
        <v>264</v>
      </c>
      <c r="E534" s="528"/>
      <c r="F534" s="528"/>
      <c r="G534" s="528" t="s">
        <v>210</v>
      </c>
      <c r="H534"/>
    </row>
    <row r="535" spans="1:8" x14ac:dyDescent="0.35">
      <c r="A535" s="528" t="s">
        <v>1879</v>
      </c>
      <c r="B535" s="528" t="s">
        <v>1880</v>
      </c>
      <c r="C535" s="528" t="s">
        <v>1881</v>
      </c>
      <c r="D535" s="528" t="s">
        <v>251</v>
      </c>
      <c r="E535" s="528"/>
      <c r="F535" s="528"/>
      <c r="G535" s="528" t="s">
        <v>205</v>
      </c>
      <c r="H535"/>
    </row>
    <row r="536" spans="1:8" x14ac:dyDescent="0.35">
      <c r="A536" s="528" t="s">
        <v>1882</v>
      </c>
      <c r="B536" s="528" t="s">
        <v>1883</v>
      </c>
      <c r="C536" s="528" t="s">
        <v>1884</v>
      </c>
      <c r="D536" s="528" t="s">
        <v>277</v>
      </c>
      <c r="E536" s="528"/>
      <c r="F536" s="528"/>
      <c r="G536" s="528" t="s">
        <v>205</v>
      </c>
      <c r="H536"/>
    </row>
    <row r="537" spans="1:8" x14ac:dyDescent="0.35">
      <c r="A537" s="528" t="s">
        <v>1885</v>
      </c>
      <c r="B537" s="528" t="s">
        <v>1886</v>
      </c>
      <c r="C537" s="528" t="s">
        <v>1504</v>
      </c>
      <c r="D537" s="528" t="s">
        <v>264</v>
      </c>
      <c r="E537" s="528" t="s">
        <v>277</v>
      </c>
      <c r="F537" s="528"/>
      <c r="G537" s="528" t="s">
        <v>205</v>
      </c>
      <c r="H537"/>
    </row>
    <row r="538" spans="1:8" x14ac:dyDescent="0.35">
      <c r="A538" s="528" t="s">
        <v>1887</v>
      </c>
      <c r="B538" s="528" t="s">
        <v>1888</v>
      </c>
      <c r="C538" s="528" t="s">
        <v>1889</v>
      </c>
      <c r="D538" s="528" t="s">
        <v>277</v>
      </c>
      <c r="E538" s="528"/>
      <c r="F538" s="528"/>
      <c r="G538" s="528" t="s">
        <v>208</v>
      </c>
      <c r="H538"/>
    </row>
    <row r="539" spans="1:8" x14ac:dyDescent="0.35">
      <c r="A539" s="528" t="s">
        <v>1890</v>
      </c>
      <c r="B539" s="528" t="s">
        <v>1891</v>
      </c>
      <c r="C539" s="528" t="s">
        <v>1892</v>
      </c>
      <c r="D539" s="528" t="s">
        <v>238</v>
      </c>
      <c r="E539" s="528"/>
      <c r="F539" s="528"/>
      <c r="G539" s="528" t="s">
        <v>208</v>
      </c>
      <c r="H539"/>
    </row>
    <row r="540" spans="1:8" x14ac:dyDescent="0.35">
      <c r="A540" s="528" t="s">
        <v>1893</v>
      </c>
      <c r="B540" s="528" t="s">
        <v>1894</v>
      </c>
      <c r="C540" s="528" t="s">
        <v>1504</v>
      </c>
      <c r="D540" s="528" t="s">
        <v>264</v>
      </c>
      <c r="E540" s="528" t="s">
        <v>277</v>
      </c>
      <c r="F540" s="528"/>
      <c r="G540" s="528" t="s">
        <v>205</v>
      </c>
      <c r="H540"/>
    </row>
    <row r="541" spans="1:8" x14ac:dyDescent="0.35">
      <c r="A541" s="528" t="s">
        <v>1895</v>
      </c>
      <c r="B541" s="528" t="s">
        <v>1896</v>
      </c>
      <c r="C541" s="528" t="s">
        <v>1897</v>
      </c>
      <c r="D541" s="528" t="s">
        <v>251</v>
      </c>
      <c r="E541" s="528"/>
      <c r="F541" s="528"/>
      <c r="G541" s="528" t="s">
        <v>205</v>
      </c>
      <c r="H541"/>
    </row>
    <row r="542" spans="1:8" x14ac:dyDescent="0.35">
      <c r="A542" s="528" t="s">
        <v>1898</v>
      </c>
      <c r="B542" s="528" t="s">
        <v>1899</v>
      </c>
      <c r="C542" s="528" t="s">
        <v>1900</v>
      </c>
      <c r="D542" s="528" t="s">
        <v>277</v>
      </c>
      <c r="E542" s="528"/>
      <c r="F542" s="528"/>
      <c r="G542" s="528" t="s">
        <v>205</v>
      </c>
      <c r="H542"/>
    </row>
    <row r="543" spans="1:8" x14ac:dyDescent="0.35">
      <c r="A543" s="528" t="s">
        <v>1901</v>
      </c>
      <c r="B543" s="528" t="s">
        <v>1902</v>
      </c>
      <c r="C543" s="528" t="s">
        <v>1903</v>
      </c>
      <c r="D543" s="528" t="s">
        <v>277</v>
      </c>
      <c r="E543" s="528"/>
      <c r="F543" s="528"/>
      <c r="G543" s="528" t="s">
        <v>205</v>
      </c>
      <c r="H543"/>
    </row>
    <row r="544" spans="1:8" x14ac:dyDescent="0.35">
      <c r="A544" s="528" t="s">
        <v>1904</v>
      </c>
      <c r="B544" s="528" t="s">
        <v>1905</v>
      </c>
      <c r="C544" s="528" t="s">
        <v>1288</v>
      </c>
      <c r="D544" s="528" t="s">
        <v>277</v>
      </c>
      <c r="E544" s="528"/>
      <c r="F544" s="528"/>
      <c r="G544" s="528" t="s">
        <v>205</v>
      </c>
      <c r="H544"/>
    </row>
    <row r="545" spans="1:8" x14ac:dyDescent="0.35">
      <c r="A545" s="528" t="s">
        <v>1906</v>
      </c>
      <c r="B545" s="528" t="s">
        <v>1907</v>
      </c>
      <c r="C545" s="528" t="s">
        <v>1908</v>
      </c>
      <c r="D545" s="528" t="s">
        <v>264</v>
      </c>
      <c r="E545" s="528"/>
      <c r="F545" s="528"/>
      <c r="G545" s="528" t="s">
        <v>205</v>
      </c>
      <c r="H545"/>
    </row>
    <row r="546" spans="1:8" x14ac:dyDescent="0.35">
      <c r="A546" s="528" t="s">
        <v>1909</v>
      </c>
      <c r="B546" s="528" t="s">
        <v>1910</v>
      </c>
      <c r="C546" s="528" t="s">
        <v>1341</v>
      </c>
      <c r="D546" s="528" t="s">
        <v>277</v>
      </c>
      <c r="E546" s="528"/>
      <c r="F546" s="528"/>
      <c r="G546" s="528" t="s">
        <v>205</v>
      </c>
      <c r="H546"/>
    </row>
    <row r="547" spans="1:8" x14ac:dyDescent="0.35">
      <c r="A547" s="528" t="s">
        <v>1911</v>
      </c>
      <c r="B547" s="528" t="s">
        <v>1912</v>
      </c>
      <c r="C547" s="528" t="s">
        <v>1913</v>
      </c>
      <c r="D547" s="528" t="s">
        <v>277</v>
      </c>
      <c r="E547" s="528"/>
      <c r="F547" s="528"/>
      <c r="G547" s="528" t="s">
        <v>205</v>
      </c>
      <c r="H547"/>
    </row>
    <row r="548" spans="1:8" x14ac:dyDescent="0.35">
      <c r="A548" s="528" t="s">
        <v>1914</v>
      </c>
      <c r="B548" s="528" t="s">
        <v>1915</v>
      </c>
      <c r="C548" s="528" t="s">
        <v>1916</v>
      </c>
      <c r="D548" s="528" t="s">
        <v>251</v>
      </c>
      <c r="E548" s="528"/>
      <c r="F548" s="528"/>
      <c r="G548" s="528" t="s">
        <v>208</v>
      </c>
      <c r="H548"/>
    </row>
    <row r="549" spans="1:8" x14ac:dyDescent="0.35">
      <c r="A549" s="528" t="s">
        <v>1917</v>
      </c>
      <c r="B549" s="528" t="s">
        <v>1918</v>
      </c>
      <c r="C549" s="528" t="s">
        <v>1919</v>
      </c>
      <c r="D549" s="528" t="s">
        <v>251</v>
      </c>
      <c r="E549" s="528"/>
      <c r="F549" s="528"/>
      <c r="G549" s="528" t="s">
        <v>208</v>
      </c>
      <c r="H549"/>
    </row>
    <row r="550" spans="1:8" x14ac:dyDescent="0.35">
      <c r="A550" s="528" t="s">
        <v>1920</v>
      </c>
      <c r="B550" s="528" t="s">
        <v>1921</v>
      </c>
      <c r="C550" s="528" t="s">
        <v>1020</v>
      </c>
      <c r="D550" s="528" t="s">
        <v>251</v>
      </c>
      <c r="E550" s="528"/>
      <c r="F550" s="528"/>
      <c r="G550" s="528" t="s">
        <v>208</v>
      </c>
      <c r="H550"/>
    </row>
    <row r="551" spans="1:8" x14ac:dyDescent="0.35">
      <c r="A551" s="528" t="s">
        <v>1922</v>
      </c>
      <c r="B551" s="528" t="s">
        <v>1923</v>
      </c>
      <c r="C551" s="528" t="s">
        <v>1924</v>
      </c>
      <c r="D551" s="528" t="s">
        <v>251</v>
      </c>
      <c r="E551" s="528"/>
      <c r="F551" s="528"/>
      <c r="G551" s="528" t="s">
        <v>205</v>
      </c>
      <c r="H551"/>
    </row>
    <row r="552" spans="1:8" x14ac:dyDescent="0.35">
      <c r="A552" s="528" t="s">
        <v>1925</v>
      </c>
      <c r="B552" s="528" t="s">
        <v>1926</v>
      </c>
      <c r="C552" s="528" t="s">
        <v>1927</v>
      </c>
      <c r="D552" s="528" t="s">
        <v>251</v>
      </c>
      <c r="E552" s="528"/>
      <c r="F552" s="528"/>
      <c r="G552" s="528" t="s">
        <v>205</v>
      </c>
      <c r="H552"/>
    </row>
    <row r="553" spans="1:8" x14ac:dyDescent="0.35">
      <c r="A553" s="528" t="s">
        <v>1928</v>
      </c>
      <c r="B553" s="528" t="s">
        <v>1929</v>
      </c>
      <c r="C553" s="528" t="s">
        <v>1483</v>
      </c>
      <c r="D553" s="528" t="s">
        <v>251</v>
      </c>
      <c r="E553" s="528"/>
      <c r="F553" s="528"/>
      <c r="G553" s="528" t="s">
        <v>205</v>
      </c>
      <c r="H553"/>
    </row>
    <row r="554" spans="1:8" x14ac:dyDescent="0.35">
      <c r="A554" s="528" t="s">
        <v>1930</v>
      </c>
      <c r="B554" s="528" t="s">
        <v>1931</v>
      </c>
      <c r="C554" s="528" t="s">
        <v>1297</v>
      </c>
      <c r="D554" s="528" t="s">
        <v>251</v>
      </c>
      <c r="E554" s="528"/>
      <c r="F554" s="528"/>
      <c r="G554" s="528" t="s">
        <v>205</v>
      </c>
      <c r="H554"/>
    </row>
    <row r="555" spans="1:8" x14ac:dyDescent="0.35">
      <c r="A555" s="528" t="s">
        <v>1932</v>
      </c>
      <c r="B555" s="528" t="s">
        <v>1933</v>
      </c>
      <c r="C555" s="528" t="s">
        <v>1934</v>
      </c>
      <c r="D555" s="528" t="s">
        <v>251</v>
      </c>
      <c r="E555" s="528"/>
      <c r="F555" s="528"/>
      <c r="G555" s="528" t="s">
        <v>205</v>
      </c>
      <c r="H555"/>
    </row>
    <row r="556" spans="1:8" x14ac:dyDescent="0.35">
      <c r="A556" s="528" t="s">
        <v>1935</v>
      </c>
      <c r="B556" s="528" t="s">
        <v>1936</v>
      </c>
      <c r="C556" s="528" t="s">
        <v>1116</v>
      </c>
      <c r="D556" s="528" t="s">
        <v>264</v>
      </c>
      <c r="E556" s="528"/>
      <c r="F556" s="528"/>
      <c r="G556" s="528" t="s">
        <v>208</v>
      </c>
      <c r="H556"/>
    </row>
    <row r="557" spans="1:8" x14ac:dyDescent="0.35">
      <c r="A557" s="528" t="s">
        <v>1937</v>
      </c>
      <c r="B557" s="528" t="s">
        <v>1938</v>
      </c>
      <c r="C557" s="528" t="s">
        <v>1939</v>
      </c>
      <c r="D557" s="528" t="s">
        <v>238</v>
      </c>
      <c r="E557" s="528"/>
      <c r="F557" s="528"/>
      <c r="G557" s="528" t="s">
        <v>208</v>
      </c>
      <c r="H557"/>
    </row>
    <row r="558" spans="1:8" x14ac:dyDescent="0.35">
      <c r="A558" s="528" t="s">
        <v>1940</v>
      </c>
      <c r="B558" s="528" t="s">
        <v>1941</v>
      </c>
      <c r="C558" s="528" t="s">
        <v>1942</v>
      </c>
      <c r="D558" s="528" t="s">
        <v>264</v>
      </c>
      <c r="E558" s="528"/>
      <c r="F558" s="528"/>
      <c r="G558" s="528" t="s">
        <v>205</v>
      </c>
      <c r="H558"/>
    </row>
    <row r="559" spans="1:8" x14ac:dyDescent="0.35">
      <c r="A559" s="528" t="s">
        <v>1943</v>
      </c>
      <c r="B559" s="528" t="s">
        <v>1944</v>
      </c>
      <c r="C559" s="528" t="s">
        <v>1945</v>
      </c>
      <c r="D559" s="528" t="s">
        <v>225</v>
      </c>
      <c r="E559" s="528"/>
      <c r="F559" s="528"/>
      <c r="G559" s="528" t="s">
        <v>208</v>
      </c>
      <c r="H559"/>
    </row>
    <row r="560" spans="1:8" x14ac:dyDescent="0.35">
      <c r="A560" s="528" t="s">
        <v>1946</v>
      </c>
      <c r="B560" s="528" t="s">
        <v>1947</v>
      </c>
      <c r="C560" s="528" t="s">
        <v>1948</v>
      </c>
      <c r="D560" s="528" t="s">
        <v>238</v>
      </c>
      <c r="E560" s="528"/>
      <c r="F560" s="528"/>
      <c r="G560" s="528" t="s">
        <v>205</v>
      </c>
      <c r="H560"/>
    </row>
    <row r="561" spans="1:8" x14ac:dyDescent="0.35">
      <c r="A561" s="528" t="s">
        <v>1949</v>
      </c>
      <c r="B561" s="528" t="s">
        <v>1950</v>
      </c>
      <c r="C561" s="528" t="s">
        <v>1951</v>
      </c>
      <c r="D561" s="528" t="s">
        <v>277</v>
      </c>
      <c r="E561" s="528"/>
      <c r="F561" s="528"/>
      <c r="G561" s="528" t="s">
        <v>208</v>
      </c>
      <c r="H561"/>
    </row>
    <row r="562" spans="1:8" x14ac:dyDescent="0.35">
      <c r="A562" s="528" t="s">
        <v>1952</v>
      </c>
      <c r="B562" s="528" t="s">
        <v>1953</v>
      </c>
      <c r="C562" s="528" t="s">
        <v>1954</v>
      </c>
      <c r="D562" s="528" t="s">
        <v>277</v>
      </c>
      <c r="E562" s="528"/>
      <c r="F562" s="528"/>
      <c r="G562" s="528" t="s">
        <v>208</v>
      </c>
      <c r="H562"/>
    </row>
    <row r="563" spans="1:8" x14ac:dyDescent="0.35">
      <c r="A563" s="528" t="s">
        <v>1955</v>
      </c>
      <c r="B563" s="528" t="s">
        <v>1956</v>
      </c>
      <c r="C563" s="528" t="s">
        <v>1957</v>
      </c>
      <c r="D563" s="528" t="s">
        <v>277</v>
      </c>
      <c r="E563" s="528"/>
      <c r="F563" s="528"/>
      <c r="G563" s="528" t="s">
        <v>205</v>
      </c>
      <c r="H563"/>
    </row>
    <row r="564" spans="1:8" x14ac:dyDescent="0.35">
      <c r="A564" s="528" t="s">
        <v>1958</v>
      </c>
      <c r="B564" s="528" t="s">
        <v>1959</v>
      </c>
      <c r="C564" s="528" t="s">
        <v>486</v>
      </c>
      <c r="D564" s="528" t="s">
        <v>238</v>
      </c>
      <c r="E564" s="528"/>
      <c r="F564" s="528"/>
      <c r="G564" s="528" t="s">
        <v>205</v>
      </c>
      <c r="H564"/>
    </row>
    <row r="565" spans="1:8" x14ac:dyDescent="0.35">
      <c r="A565" s="528" t="s">
        <v>1960</v>
      </c>
      <c r="B565" s="528" t="s">
        <v>1961</v>
      </c>
      <c r="C565" s="528" t="s">
        <v>1962</v>
      </c>
      <c r="D565" s="528" t="s">
        <v>264</v>
      </c>
      <c r="E565" s="528"/>
      <c r="F565" s="528"/>
      <c r="G565" s="528" t="s">
        <v>205</v>
      </c>
      <c r="H565"/>
    </row>
    <row r="566" spans="1:8" x14ac:dyDescent="0.35">
      <c r="A566" s="528" t="s">
        <v>1963</v>
      </c>
      <c r="B566" s="528" t="s">
        <v>1964</v>
      </c>
      <c r="C566" s="528" t="s">
        <v>1965</v>
      </c>
      <c r="D566" s="528" t="s">
        <v>277</v>
      </c>
      <c r="E566" s="528"/>
      <c r="F566" s="528"/>
      <c r="G566" s="528" t="s">
        <v>205</v>
      </c>
      <c r="H566"/>
    </row>
    <row r="567" spans="1:8" x14ac:dyDescent="0.35">
      <c r="A567" s="528" t="s">
        <v>1966</v>
      </c>
      <c r="B567" s="528" t="s">
        <v>1967</v>
      </c>
      <c r="C567" s="528" t="s">
        <v>1968</v>
      </c>
      <c r="D567" s="528" t="s">
        <v>225</v>
      </c>
      <c r="E567" s="528"/>
      <c r="F567" s="528"/>
      <c r="G567" s="528" t="s">
        <v>205</v>
      </c>
      <c r="H567"/>
    </row>
    <row r="568" spans="1:8" x14ac:dyDescent="0.35">
      <c r="A568" s="528" t="s">
        <v>1969</v>
      </c>
      <c r="B568" s="528" t="s">
        <v>1970</v>
      </c>
      <c r="C568" s="528" t="s">
        <v>1971</v>
      </c>
      <c r="D568" s="528" t="s">
        <v>225</v>
      </c>
      <c r="E568" s="528"/>
      <c r="F568" s="528"/>
      <c r="G568" s="528" t="s">
        <v>208</v>
      </c>
      <c r="H568"/>
    </row>
    <row r="569" spans="1:8" x14ac:dyDescent="0.35">
      <c r="A569" s="528" t="s">
        <v>1972</v>
      </c>
      <c r="B569" s="528" t="s">
        <v>1973</v>
      </c>
      <c r="C569" s="528" t="s">
        <v>1974</v>
      </c>
      <c r="D569" s="528" t="s">
        <v>225</v>
      </c>
      <c r="E569" s="528"/>
      <c r="F569" s="528"/>
      <c r="G569" s="528" t="s">
        <v>208</v>
      </c>
      <c r="H569"/>
    </row>
    <row r="570" spans="1:8" x14ac:dyDescent="0.35">
      <c r="A570" s="528" t="s">
        <v>1975</v>
      </c>
      <c r="B570" s="528" t="s">
        <v>1976</v>
      </c>
      <c r="C570" s="528" t="s">
        <v>1977</v>
      </c>
      <c r="D570" s="528" t="s">
        <v>277</v>
      </c>
      <c r="E570" s="528"/>
      <c r="F570" s="528"/>
      <c r="G570" s="528" t="s">
        <v>208</v>
      </c>
      <c r="H570"/>
    </row>
    <row r="571" spans="1:8" x14ac:dyDescent="0.35">
      <c r="A571" s="528" t="s">
        <v>1978</v>
      </c>
      <c r="B571" s="528" t="s">
        <v>1979</v>
      </c>
      <c r="C571" s="528" t="s">
        <v>1980</v>
      </c>
      <c r="D571" s="528" t="s">
        <v>264</v>
      </c>
      <c r="E571" s="528"/>
      <c r="F571" s="528"/>
      <c r="G571" s="528" t="s">
        <v>208</v>
      </c>
      <c r="H571"/>
    </row>
    <row r="572" spans="1:8" x14ac:dyDescent="0.35">
      <c r="A572" s="528" t="s">
        <v>1981</v>
      </c>
      <c r="B572" s="528" t="s">
        <v>1982</v>
      </c>
      <c r="C572" s="528" t="s">
        <v>1983</v>
      </c>
      <c r="D572" s="528" t="s">
        <v>225</v>
      </c>
      <c r="E572" s="528"/>
      <c r="F572" s="528"/>
      <c r="G572" s="528" t="s">
        <v>208</v>
      </c>
      <c r="H572"/>
    </row>
    <row r="573" spans="1:8" x14ac:dyDescent="0.35">
      <c r="A573" s="528" t="s">
        <v>1984</v>
      </c>
      <c r="B573" s="528" t="s">
        <v>1985</v>
      </c>
      <c r="C573" s="528" t="s">
        <v>1986</v>
      </c>
      <c r="D573" s="528" t="s">
        <v>225</v>
      </c>
      <c r="E573" s="528"/>
      <c r="F573" s="528"/>
      <c r="G573" s="528" t="s">
        <v>208</v>
      </c>
      <c r="H573"/>
    </row>
    <row r="574" spans="1:8" x14ac:dyDescent="0.35">
      <c r="A574" s="528" t="s">
        <v>1987</v>
      </c>
      <c r="B574" s="528" t="s">
        <v>1988</v>
      </c>
      <c r="C574" s="528" t="s">
        <v>1989</v>
      </c>
      <c r="D574" s="528" t="s">
        <v>225</v>
      </c>
      <c r="E574" s="528"/>
      <c r="F574" s="528"/>
      <c r="G574" s="528" t="s">
        <v>205</v>
      </c>
      <c r="H574"/>
    </row>
    <row r="575" spans="1:8" x14ac:dyDescent="0.35">
      <c r="A575" s="528" t="s">
        <v>1990</v>
      </c>
      <c r="B575" s="528" t="s">
        <v>1991</v>
      </c>
      <c r="C575" s="528" t="s">
        <v>1992</v>
      </c>
      <c r="D575" s="528" t="s">
        <v>225</v>
      </c>
      <c r="E575" s="528"/>
      <c r="F575" s="528"/>
      <c r="G575" s="528" t="s">
        <v>205</v>
      </c>
      <c r="H575"/>
    </row>
    <row r="576" spans="1:8" x14ac:dyDescent="0.35">
      <c r="A576" s="528" t="s">
        <v>1993</v>
      </c>
      <c r="B576" s="528" t="s">
        <v>1994</v>
      </c>
      <c r="C576" s="528" t="s">
        <v>1995</v>
      </c>
      <c r="D576" s="528" t="s">
        <v>264</v>
      </c>
      <c r="E576" s="528"/>
      <c r="F576" s="528"/>
      <c r="G576" s="528" t="s">
        <v>205</v>
      </c>
      <c r="H576"/>
    </row>
    <row r="577" spans="1:8" x14ac:dyDescent="0.35">
      <c r="A577" s="528" t="s">
        <v>1996</v>
      </c>
      <c r="B577" s="528" t="s">
        <v>1997</v>
      </c>
      <c r="C577" s="528" t="s">
        <v>1998</v>
      </c>
      <c r="D577" s="528" t="s">
        <v>225</v>
      </c>
      <c r="E577" s="528"/>
      <c r="F577" s="528"/>
      <c r="G577" s="528" t="s">
        <v>205</v>
      </c>
      <c r="H577"/>
    </row>
    <row r="578" spans="1:8" x14ac:dyDescent="0.35">
      <c r="A578" s="528" t="s">
        <v>1999</v>
      </c>
      <c r="B578" s="528" t="s">
        <v>2000</v>
      </c>
      <c r="C578" s="528" t="s">
        <v>2001</v>
      </c>
      <c r="D578" s="528" t="s">
        <v>264</v>
      </c>
      <c r="E578" s="528"/>
      <c r="F578" s="528"/>
      <c r="G578" s="528" t="s">
        <v>205</v>
      </c>
      <c r="H578"/>
    </row>
    <row r="579" spans="1:8" x14ac:dyDescent="0.35">
      <c r="A579" s="528" t="s">
        <v>2002</v>
      </c>
      <c r="B579" s="528" t="s">
        <v>2003</v>
      </c>
      <c r="C579" s="528" t="s">
        <v>2004</v>
      </c>
      <c r="D579" s="528" t="s">
        <v>238</v>
      </c>
      <c r="E579" s="528"/>
      <c r="F579" s="528"/>
      <c r="G579" s="528" t="s">
        <v>205</v>
      </c>
      <c r="H579"/>
    </row>
    <row r="580" spans="1:8" x14ac:dyDescent="0.35">
      <c r="A580" s="528" t="s">
        <v>2005</v>
      </c>
      <c r="B580" s="528" t="s">
        <v>2006</v>
      </c>
      <c r="C580" s="528" t="s">
        <v>1371</v>
      </c>
      <c r="D580" s="528" t="s">
        <v>238</v>
      </c>
      <c r="E580" s="528"/>
      <c r="F580" s="528"/>
      <c r="G580" s="528" t="s">
        <v>205</v>
      </c>
      <c r="H580"/>
    </row>
    <row r="581" spans="1:8" x14ac:dyDescent="0.35">
      <c r="A581" s="528" t="s">
        <v>2007</v>
      </c>
      <c r="B581" s="528" t="s">
        <v>2008</v>
      </c>
      <c r="C581" s="528" t="s">
        <v>2009</v>
      </c>
      <c r="D581" s="528" t="s">
        <v>264</v>
      </c>
      <c r="E581" s="528"/>
      <c r="F581" s="528"/>
      <c r="G581" s="528" t="s">
        <v>210</v>
      </c>
      <c r="H581"/>
    </row>
    <row r="582" spans="1:8" x14ac:dyDescent="0.35">
      <c r="A582" s="528" t="s">
        <v>2010</v>
      </c>
      <c r="B582" s="528" t="s">
        <v>2011</v>
      </c>
      <c r="C582" s="528" t="s">
        <v>2012</v>
      </c>
      <c r="D582" s="528" t="s">
        <v>277</v>
      </c>
      <c r="E582" s="528"/>
      <c r="F582" s="528"/>
      <c r="G582" s="528" t="s">
        <v>208</v>
      </c>
      <c r="H582"/>
    </row>
    <row r="583" spans="1:8" x14ac:dyDescent="0.35">
      <c r="A583" s="528" t="s">
        <v>2013</v>
      </c>
      <c r="B583" s="528" t="s">
        <v>2014</v>
      </c>
      <c r="C583" s="528" t="s">
        <v>2015</v>
      </c>
      <c r="D583" s="528" t="s">
        <v>277</v>
      </c>
      <c r="E583" s="528"/>
      <c r="F583" s="528"/>
      <c r="G583" s="528" t="s">
        <v>205</v>
      </c>
      <c r="H583"/>
    </row>
    <row r="584" spans="1:8" x14ac:dyDescent="0.35">
      <c r="A584" s="528" t="s">
        <v>2016</v>
      </c>
      <c r="B584" s="528" t="s">
        <v>2017</v>
      </c>
      <c r="C584" s="528" t="s">
        <v>2018</v>
      </c>
      <c r="D584" s="528" t="s">
        <v>264</v>
      </c>
      <c r="E584" s="528"/>
      <c r="F584" s="528"/>
      <c r="G584" s="528" t="s">
        <v>205</v>
      </c>
      <c r="H584"/>
    </row>
    <row r="585" spans="1:8" x14ac:dyDescent="0.35">
      <c r="A585" s="528" t="s">
        <v>2019</v>
      </c>
      <c r="B585" s="528" t="s">
        <v>2020</v>
      </c>
      <c r="C585" s="528" t="s">
        <v>2021</v>
      </c>
      <c r="D585" s="528" t="s">
        <v>277</v>
      </c>
      <c r="E585" s="528"/>
      <c r="F585" s="528"/>
      <c r="G585" s="528" t="s">
        <v>205</v>
      </c>
      <c r="H585"/>
    </row>
    <row r="586" spans="1:8" x14ac:dyDescent="0.35">
      <c r="A586" s="528" t="s">
        <v>2022</v>
      </c>
      <c r="B586" s="528" t="s">
        <v>2023</v>
      </c>
      <c r="C586" s="528" t="s">
        <v>2024</v>
      </c>
      <c r="D586" s="528" t="s">
        <v>251</v>
      </c>
      <c r="E586" s="528"/>
      <c r="F586" s="528"/>
      <c r="G586" s="528" t="s">
        <v>205</v>
      </c>
      <c r="H586"/>
    </row>
    <row r="587" spans="1:8" x14ac:dyDescent="0.35">
      <c r="A587" s="528" t="s">
        <v>2025</v>
      </c>
      <c r="B587" s="528" t="s">
        <v>2026</v>
      </c>
      <c r="C587" s="528" t="s">
        <v>2027</v>
      </c>
      <c r="D587" s="528" t="s">
        <v>251</v>
      </c>
      <c r="E587" s="528"/>
      <c r="F587" s="528"/>
      <c r="G587" s="528" t="s">
        <v>205</v>
      </c>
      <c r="H587"/>
    </row>
    <row r="588" spans="1:8" x14ac:dyDescent="0.35">
      <c r="A588" s="528" t="s">
        <v>2028</v>
      </c>
      <c r="B588" s="528" t="s">
        <v>2029</v>
      </c>
      <c r="C588" s="528" t="s">
        <v>2030</v>
      </c>
      <c r="D588" s="528" t="s">
        <v>251</v>
      </c>
      <c r="E588" s="528"/>
      <c r="F588" s="528"/>
      <c r="G588" s="528" t="s">
        <v>205</v>
      </c>
      <c r="H588"/>
    </row>
    <row r="589" spans="1:8" x14ac:dyDescent="0.35">
      <c r="A589" s="528" t="s">
        <v>2031</v>
      </c>
      <c r="B589" s="528" t="s">
        <v>2032</v>
      </c>
      <c r="C589" s="528" t="s">
        <v>2033</v>
      </c>
      <c r="D589" s="528" t="s">
        <v>251</v>
      </c>
      <c r="E589" s="528"/>
      <c r="F589" s="528"/>
      <c r="G589" s="528" t="s">
        <v>205</v>
      </c>
      <c r="H589"/>
    </row>
    <row r="590" spans="1:8" x14ac:dyDescent="0.35">
      <c r="A590" s="528" t="s">
        <v>2034</v>
      </c>
      <c r="B590" s="528" t="s">
        <v>2035</v>
      </c>
      <c r="C590" s="528" t="s">
        <v>2036</v>
      </c>
      <c r="D590" s="528" t="s">
        <v>277</v>
      </c>
      <c r="E590" s="528"/>
      <c r="F590" s="528"/>
      <c r="G590" s="528" t="s">
        <v>208</v>
      </c>
      <c r="H590"/>
    </row>
    <row r="591" spans="1:8" x14ac:dyDescent="0.35">
      <c r="A591" s="528" t="s">
        <v>2037</v>
      </c>
      <c r="B591" s="528" t="s">
        <v>2038</v>
      </c>
      <c r="C591" s="528" t="s">
        <v>2039</v>
      </c>
      <c r="D591" s="528" t="s">
        <v>251</v>
      </c>
      <c r="E591" s="528"/>
      <c r="F591" s="528"/>
      <c r="G591" s="528" t="s">
        <v>208</v>
      </c>
      <c r="H591"/>
    </row>
    <row r="592" spans="1:8" x14ac:dyDescent="0.35">
      <c r="A592" s="528" t="s">
        <v>2040</v>
      </c>
      <c r="B592" s="528" t="s">
        <v>2041</v>
      </c>
      <c r="C592" s="528" t="s">
        <v>2042</v>
      </c>
      <c r="D592" s="528" t="s">
        <v>264</v>
      </c>
      <c r="E592" s="528"/>
      <c r="F592" s="528"/>
      <c r="G592" s="528" t="s">
        <v>205</v>
      </c>
      <c r="H592"/>
    </row>
    <row r="593" spans="1:8" x14ac:dyDescent="0.35">
      <c r="A593" s="528" t="s">
        <v>2043</v>
      </c>
      <c r="B593" s="528" t="s">
        <v>2044</v>
      </c>
      <c r="C593" s="528" t="s">
        <v>1483</v>
      </c>
      <c r="D593" s="528" t="s">
        <v>251</v>
      </c>
      <c r="E593" s="528"/>
      <c r="F593" s="528"/>
      <c r="G593" s="528" t="s">
        <v>205</v>
      </c>
      <c r="H593"/>
    </row>
    <row r="594" spans="1:8" x14ac:dyDescent="0.35">
      <c r="A594" s="528" t="s">
        <v>2045</v>
      </c>
      <c r="B594" s="528" t="s">
        <v>2046</v>
      </c>
      <c r="C594" s="528" t="s">
        <v>2047</v>
      </c>
      <c r="D594" s="528" t="s">
        <v>264</v>
      </c>
      <c r="E594" s="528" t="s">
        <v>277</v>
      </c>
      <c r="F594" s="528"/>
      <c r="G594" s="528" t="s">
        <v>205</v>
      </c>
      <c r="H594"/>
    </row>
    <row r="595" spans="1:8" x14ac:dyDescent="0.35">
      <c r="A595" s="528" t="s">
        <v>2048</v>
      </c>
      <c r="B595" s="528" t="s">
        <v>2049</v>
      </c>
      <c r="C595" s="528" t="s">
        <v>2050</v>
      </c>
      <c r="D595" s="528" t="s">
        <v>264</v>
      </c>
      <c r="E595" s="528" t="s">
        <v>277</v>
      </c>
      <c r="F595" s="528"/>
      <c r="G595" s="528" t="s">
        <v>205</v>
      </c>
      <c r="H595"/>
    </row>
    <row r="596" spans="1:8" x14ac:dyDescent="0.35">
      <c r="A596" s="528" t="s">
        <v>2051</v>
      </c>
      <c r="B596" s="528" t="s">
        <v>2052</v>
      </c>
      <c r="C596" s="528" t="s">
        <v>2053</v>
      </c>
      <c r="D596" s="528" t="s">
        <v>264</v>
      </c>
      <c r="E596" s="528"/>
      <c r="F596" s="528"/>
      <c r="G596" s="528" t="s">
        <v>208</v>
      </c>
      <c r="H596"/>
    </row>
    <row r="597" spans="1:8" x14ac:dyDescent="0.35">
      <c r="A597" s="528" t="s">
        <v>2054</v>
      </c>
      <c r="B597" s="528" t="s">
        <v>2055</v>
      </c>
      <c r="C597" s="528" t="s">
        <v>2056</v>
      </c>
      <c r="D597" s="528" t="s">
        <v>277</v>
      </c>
      <c r="E597" s="528"/>
      <c r="F597" s="528"/>
      <c r="G597" s="528" t="s">
        <v>205</v>
      </c>
      <c r="H597"/>
    </row>
    <row r="598" spans="1:8" x14ac:dyDescent="0.35">
      <c r="A598" s="528" t="s">
        <v>2057</v>
      </c>
      <c r="B598" s="528" t="s">
        <v>2058</v>
      </c>
      <c r="C598" s="528" t="s">
        <v>1995</v>
      </c>
      <c r="D598" s="528" t="s">
        <v>264</v>
      </c>
      <c r="E598" s="528"/>
      <c r="F598" s="528"/>
      <c r="G598" s="528" t="s">
        <v>205</v>
      </c>
      <c r="H598"/>
    </row>
    <row r="599" spans="1:8" x14ac:dyDescent="0.35">
      <c r="A599" s="528" t="s">
        <v>2059</v>
      </c>
      <c r="B599" s="528" t="s">
        <v>2060</v>
      </c>
      <c r="C599" s="528" t="s">
        <v>2061</v>
      </c>
      <c r="D599" s="528" t="s">
        <v>277</v>
      </c>
      <c r="E599" s="528"/>
      <c r="F599" s="528"/>
      <c r="G599" s="528" t="s">
        <v>208</v>
      </c>
      <c r="H599"/>
    </row>
    <row r="600" spans="1:8" x14ac:dyDescent="0.35">
      <c r="A600" s="528" t="s">
        <v>2062</v>
      </c>
      <c r="B600" s="528" t="s">
        <v>2063</v>
      </c>
      <c r="C600" s="528" t="s">
        <v>2064</v>
      </c>
      <c r="D600" s="528" t="s">
        <v>225</v>
      </c>
      <c r="E600" s="528"/>
      <c r="F600" s="528"/>
      <c r="G600" s="528" t="s">
        <v>208</v>
      </c>
      <c r="H600"/>
    </row>
    <row r="601" spans="1:8" x14ac:dyDescent="0.35">
      <c r="A601" s="528" t="s">
        <v>2065</v>
      </c>
      <c r="B601" s="528" t="s">
        <v>2066</v>
      </c>
      <c r="C601" s="528" t="s">
        <v>2067</v>
      </c>
      <c r="D601" s="528" t="s">
        <v>225</v>
      </c>
      <c r="E601" s="528"/>
      <c r="F601" s="528"/>
      <c r="G601" s="528" t="s">
        <v>205</v>
      </c>
      <c r="H601"/>
    </row>
    <row r="602" spans="1:8" x14ac:dyDescent="0.35">
      <c r="A602" s="528" t="s">
        <v>2068</v>
      </c>
      <c r="B602" s="528" t="s">
        <v>2069</v>
      </c>
      <c r="C602" s="528" t="s">
        <v>2070</v>
      </c>
      <c r="D602" s="528" t="s">
        <v>251</v>
      </c>
      <c r="E602" s="528"/>
      <c r="F602" s="528"/>
      <c r="G602" s="528" t="s">
        <v>208</v>
      </c>
      <c r="H602"/>
    </row>
    <row r="603" spans="1:8" x14ac:dyDescent="0.35">
      <c r="A603" s="528" t="s">
        <v>2071</v>
      </c>
      <c r="B603" s="528" t="s">
        <v>2072</v>
      </c>
      <c r="C603" s="528" t="s">
        <v>1395</v>
      </c>
      <c r="D603" s="528" t="s">
        <v>225</v>
      </c>
      <c r="E603" s="528"/>
      <c r="F603" s="528"/>
      <c r="G603" s="528" t="s">
        <v>205</v>
      </c>
      <c r="H603"/>
    </row>
    <row r="604" spans="1:8" x14ac:dyDescent="0.35">
      <c r="A604" s="528" t="s">
        <v>2073</v>
      </c>
      <c r="B604" s="528" t="s">
        <v>2074</v>
      </c>
      <c r="C604" s="528" t="s">
        <v>1407</v>
      </c>
      <c r="D604" s="528" t="s">
        <v>225</v>
      </c>
      <c r="E604" s="528"/>
      <c r="F604" s="528"/>
      <c r="G604" s="528" t="s">
        <v>205</v>
      </c>
      <c r="H604"/>
    </row>
    <row r="605" spans="1:8" x14ac:dyDescent="0.35">
      <c r="A605" s="528" t="s">
        <v>2075</v>
      </c>
      <c r="B605" s="528" t="s">
        <v>2076</v>
      </c>
      <c r="C605" s="528" t="s">
        <v>2077</v>
      </c>
      <c r="D605" s="528" t="s">
        <v>264</v>
      </c>
      <c r="E605" s="528"/>
      <c r="F605" s="528"/>
      <c r="G605" s="528" t="s">
        <v>205</v>
      </c>
      <c r="H605"/>
    </row>
    <row r="606" spans="1:8" x14ac:dyDescent="0.35">
      <c r="A606" s="528" t="s">
        <v>2078</v>
      </c>
      <c r="B606" s="528" t="s">
        <v>2079</v>
      </c>
      <c r="C606" s="528" t="s">
        <v>2080</v>
      </c>
      <c r="D606" s="528" t="s">
        <v>238</v>
      </c>
      <c r="E606" s="528"/>
      <c r="F606" s="528"/>
      <c r="G606" s="528" t="s">
        <v>208</v>
      </c>
      <c r="H606"/>
    </row>
    <row r="607" spans="1:8" x14ac:dyDescent="0.35">
      <c r="A607" s="528" t="s">
        <v>2081</v>
      </c>
      <c r="B607" s="528" t="s">
        <v>2082</v>
      </c>
      <c r="C607" s="528" t="s">
        <v>1510</v>
      </c>
      <c r="D607" s="528" t="s">
        <v>277</v>
      </c>
      <c r="E607" s="528"/>
      <c r="F607" s="528"/>
      <c r="G607" s="528" t="s">
        <v>205</v>
      </c>
      <c r="H607"/>
    </row>
    <row r="608" spans="1:8" x14ac:dyDescent="0.35">
      <c r="A608" s="528" t="s">
        <v>2083</v>
      </c>
      <c r="B608" s="528" t="s">
        <v>2084</v>
      </c>
      <c r="C608" s="528" t="s">
        <v>2085</v>
      </c>
      <c r="D608" s="528" t="s">
        <v>264</v>
      </c>
      <c r="E608" s="528"/>
      <c r="F608" s="528"/>
      <c r="G608" s="528" t="s">
        <v>210</v>
      </c>
      <c r="H608"/>
    </row>
    <row r="609" spans="1:8" x14ac:dyDescent="0.35">
      <c r="A609" s="528" t="s">
        <v>2086</v>
      </c>
      <c r="B609" s="528" t="s">
        <v>2087</v>
      </c>
      <c r="C609" s="528" t="s">
        <v>2088</v>
      </c>
      <c r="D609" s="528" t="s">
        <v>251</v>
      </c>
      <c r="E609" s="528"/>
      <c r="F609" s="528"/>
      <c r="G609" s="528" t="s">
        <v>208</v>
      </c>
      <c r="H609"/>
    </row>
    <row r="610" spans="1:8" x14ac:dyDescent="0.35">
      <c r="A610" s="528" t="s">
        <v>2089</v>
      </c>
      <c r="B610" s="528" t="s">
        <v>2090</v>
      </c>
      <c r="C610" s="528" t="s">
        <v>2091</v>
      </c>
      <c r="D610" s="528" t="s">
        <v>251</v>
      </c>
      <c r="E610" s="528"/>
      <c r="F610" s="528"/>
      <c r="G610" s="528" t="s">
        <v>208</v>
      </c>
      <c r="H610"/>
    </row>
    <row r="611" spans="1:8" x14ac:dyDescent="0.35">
      <c r="A611" s="528" t="s">
        <v>2092</v>
      </c>
      <c r="B611" s="528" t="s">
        <v>2093</v>
      </c>
      <c r="C611" s="528" t="s">
        <v>2094</v>
      </c>
      <c r="D611" s="528" t="s">
        <v>277</v>
      </c>
      <c r="E611" s="528"/>
      <c r="F611" s="528"/>
      <c r="G611" s="528" t="s">
        <v>208</v>
      </c>
      <c r="H611"/>
    </row>
    <row r="612" spans="1:8" x14ac:dyDescent="0.35">
      <c r="A612" s="528" t="s">
        <v>2095</v>
      </c>
      <c r="B612" s="528" t="s">
        <v>2096</v>
      </c>
      <c r="C612" s="528" t="s">
        <v>2097</v>
      </c>
      <c r="D612" s="528" t="s">
        <v>225</v>
      </c>
      <c r="E612" s="528"/>
      <c r="F612" s="528"/>
      <c r="G612" s="528" t="s">
        <v>205</v>
      </c>
      <c r="H612"/>
    </row>
    <row r="613" spans="1:8" x14ac:dyDescent="0.35">
      <c r="A613" s="528" t="s">
        <v>2098</v>
      </c>
      <c r="B613" s="528" t="s">
        <v>2099</v>
      </c>
      <c r="C613" s="528" t="s">
        <v>2100</v>
      </c>
      <c r="D613" s="528" t="s">
        <v>225</v>
      </c>
      <c r="E613" s="528"/>
      <c r="F613" s="528"/>
      <c r="G613" s="528" t="s">
        <v>205</v>
      </c>
      <c r="H613"/>
    </row>
    <row r="614" spans="1:8" x14ac:dyDescent="0.35">
      <c r="A614" s="528" t="s">
        <v>2101</v>
      </c>
      <c r="B614" s="528" t="s">
        <v>2102</v>
      </c>
      <c r="C614" s="528" t="s">
        <v>2103</v>
      </c>
      <c r="D614" s="528" t="s">
        <v>225</v>
      </c>
      <c r="E614" s="528"/>
      <c r="F614" s="528"/>
      <c r="G614" s="528" t="s">
        <v>205</v>
      </c>
      <c r="H614"/>
    </row>
    <row r="615" spans="1:8" x14ac:dyDescent="0.35">
      <c r="A615" s="528" t="s">
        <v>2104</v>
      </c>
      <c r="B615" s="528" t="s">
        <v>2105</v>
      </c>
      <c r="C615" s="528" t="s">
        <v>2106</v>
      </c>
      <c r="D615" s="528" t="s">
        <v>264</v>
      </c>
      <c r="E615" s="528"/>
      <c r="F615" s="528"/>
      <c r="G615" s="528" t="s">
        <v>205</v>
      </c>
      <c r="H615"/>
    </row>
    <row r="616" spans="1:8" x14ac:dyDescent="0.35">
      <c r="A616" s="528" t="s">
        <v>2107</v>
      </c>
      <c r="B616" s="528" t="s">
        <v>2108</v>
      </c>
      <c r="C616" s="528" t="s">
        <v>2109</v>
      </c>
      <c r="D616" s="528" t="s">
        <v>251</v>
      </c>
      <c r="E616" s="528"/>
      <c r="F616" s="528"/>
      <c r="G616" s="528" t="s">
        <v>208</v>
      </c>
      <c r="H616"/>
    </row>
    <row r="617" spans="1:8" x14ac:dyDescent="0.35">
      <c r="A617" s="528" t="s">
        <v>2110</v>
      </c>
      <c r="B617" s="528" t="s">
        <v>2111</v>
      </c>
      <c r="C617" s="528" t="s">
        <v>2112</v>
      </c>
      <c r="D617" s="528" t="s">
        <v>264</v>
      </c>
      <c r="E617" s="528"/>
      <c r="F617" s="528"/>
      <c r="G617" s="528" t="s">
        <v>205</v>
      </c>
      <c r="H617"/>
    </row>
    <row r="618" spans="1:8" x14ac:dyDescent="0.35">
      <c r="A618" s="528" t="s">
        <v>2113</v>
      </c>
      <c r="B618" s="528" t="s">
        <v>2114</v>
      </c>
      <c r="C618" s="528" t="s">
        <v>2115</v>
      </c>
      <c r="D618" s="528" t="s">
        <v>277</v>
      </c>
      <c r="E618" s="528"/>
      <c r="F618" s="528"/>
      <c r="G618" s="528" t="s">
        <v>205</v>
      </c>
      <c r="H618"/>
    </row>
    <row r="619" spans="1:8" x14ac:dyDescent="0.35">
      <c r="A619" s="528" t="s">
        <v>2116</v>
      </c>
      <c r="B619" s="528" t="s">
        <v>2117</v>
      </c>
      <c r="C619" s="528" t="s">
        <v>2118</v>
      </c>
      <c r="D619" s="528" t="s">
        <v>225</v>
      </c>
      <c r="E619" s="528"/>
      <c r="F619" s="528"/>
      <c r="G619" s="528" t="s">
        <v>205</v>
      </c>
      <c r="H619"/>
    </row>
    <row r="620" spans="1:8" x14ac:dyDescent="0.35">
      <c r="A620" s="528" t="s">
        <v>2119</v>
      </c>
      <c r="B620" s="528" t="s">
        <v>2120</v>
      </c>
      <c r="C620" s="528" t="s">
        <v>1533</v>
      </c>
      <c r="D620" s="528" t="s">
        <v>277</v>
      </c>
      <c r="E620" s="528"/>
      <c r="F620" s="528"/>
      <c r="G620" s="528" t="s">
        <v>205</v>
      </c>
      <c r="H620"/>
    </row>
    <row r="621" spans="1:8" x14ac:dyDescent="0.35">
      <c r="A621" s="528" t="s">
        <v>2121</v>
      </c>
      <c r="B621" s="528" t="s">
        <v>2122</v>
      </c>
      <c r="C621" s="528" t="s">
        <v>2123</v>
      </c>
      <c r="D621" s="528" t="s">
        <v>277</v>
      </c>
      <c r="E621" s="528"/>
      <c r="F621" s="528"/>
      <c r="G621" s="528" t="s">
        <v>205</v>
      </c>
      <c r="H621"/>
    </row>
    <row r="622" spans="1:8" x14ac:dyDescent="0.35">
      <c r="A622" s="528" t="s">
        <v>2124</v>
      </c>
      <c r="B622" s="528" t="s">
        <v>2125</v>
      </c>
      <c r="C622" s="528" t="s">
        <v>1264</v>
      </c>
      <c r="D622" s="528" t="s">
        <v>264</v>
      </c>
      <c r="E622" s="528"/>
      <c r="F622" s="528"/>
      <c r="G622" s="528" t="s">
        <v>205</v>
      </c>
      <c r="H622"/>
    </row>
    <row r="623" spans="1:8" x14ac:dyDescent="0.35">
      <c r="A623" s="528" t="s">
        <v>2126</v>
      </c>
      <c r="B623" s="528" t="s">
        <v>2127</v>
      </c>
      <c r="C623" s="528" t="s">
        <v>2128</v>
      </c>
      <c r="D623" s="528" t="s">
        <v>264</v>
      </c>
      <c r="E623" s="528"/>
      <c r="F623" s="528"/>
      <c r="G623" s="528" t="s">
        <v>205</v>
      </c>
      <c r="H623"/>
    </row>
    <row r="624" spans="1:8" x14ac:dyDescent="0.35">
      <c r="A624" s="528" t="s">
        <v>2129</v>
      </c>
      <c r="B624" s="528" t="s">
        <v>2130</v>
      </c>
      <c r="C624" s="528" t="s">
        <v>2131</v>
      </c>
      <c r="D624" s="528" t="s">
        <v>264</v>
      </c>
      <c r="E624" s="528"/>
      <c r="F624" s="528"/>
      <c r="G624" s="528" t="s">
        <v>205</v>
      </c>
      <c r="H624"/>
    </row>
    <row r="625" spans="1:8" x14ac:dyDescent="0.35">
      <c r="A625" s="528" t="s">
        <v>2132</v>
      </c>
      <c r="B625" s="528" t="s">
        <v>2133</v>
      </c>
      <c r="C625" s="528" t="s">
        <v>2134</v>
      </c>
      <c r="D625" s="528" t="s">
        <v>238</v>
      </c>
      <c r="E625" s="528"/>
      <c r="F625" s="528"/>
      <c r="G625" s="528" t="s">
        <v>205</v>
      </c>
      <c r="H625"/>
    </row>
    <row r="626" spans="1:8" x14ac:dyDescent="0.35">
      <c r="A626" s="528" t="s">
        <v>2135</v>
      </c>
      <c r="B626" s="528" t="s">
        <v>2136</v>
      </c>
      <c r="C626" s="528" t="s">
        <v>1934</v>
      </c>
      <c r="D626" s="528" t="s">
        <v>251</v>
      </c>
      <c r="E626" s="528"/>
      <c r="F626" s="528"/>
      <c r="G626" s="528" t="s">
        <v>205</v>
      </c>
      <c r="H626"/>
    </row>
    <row r="627" spans="1:8" x14ac:dyDescent="0.35">
      <c r="A627" s="528" t="s">
        <v>2137</v>
      </c>
      <c r="B627" s="528" t="s">
        <v>2138</v>
      </c>
      <c r="C627" s="528" t="s">
        <v>756</v>
      </c>
      <c r="D627" s="528" t="s">
        <v>277</v>
      </c>
      <c r="E627" s="528"/>
      <c r="F627" s="528"/>
      <c r="G627" s="528" t="s">
        <v>212</v>
      </c>
      <c r="H627"/>
    </row>
    <row r="628" spans="1:8" x14ac:dyDescent="0.35">
      <c r="A628" s="528" t="s">
        <v>2139</v>
      </c>
      <c r="B628" s="528" t="s">
        <v>2140</v>
      </c>
      <c r="C628" s="528" t="s">
        <v>2141</v>
      </c>
      <c r="D628" s="528" t="s">
        <v>277</v>
      </c>
      <c r="E628" s="528"/>
      <c r="F628" s="528"/>
      <c r="G628" s="528" t="s">
        <v>205</v>
      </c>
      <c r="H628"/>
    </row>
    <row r="629" spans="1:8" x14ac:dyDescent="0.35">
      <c r="A629" s="528" t="s">
        <v>2142</v>
      </c>
      <c r="B629" s="528" t="s">
        <v>2143</v>
      </c>
      <c r="C629" s="528" t="s">
        <v>2144</v>
      </c>
      <c r="D629" s="528" t="s">
        <v>251</v>
      </c>
      <c r="E629" s="528"/>
      <c r="F629" s="528"/>
      <c r="G629" s="528" t="s">
        <v>205</v>
      </c>
      <c r="H629"/>
    </row>
    <row r="630" spans="1:8" x14ac:dyDescent="0.35">
      <c r="A630" s="528" t="s">
        <v>2145</v>
      </c>
      <c r="B630" s="528" t="s">
        <v>2146</v>
      </c>
      <c r="C630" s="528" t="s">
        <v>1828</v>
      </c>
      <c r="D630" s="528" t="s">
        <v>277</v>
      </c>
      <c r="E630" s="528"/>
      <c r="F630" s="528"/>
      <c r="G630" s="528" t="s">
        <v>205</v>
      </c>
      <c r="H630"/>
    </row>
    <row r="631" spans="1:8" x14ac:dyDescent="0.35">
      <c r="A631" s="528" t="s">
        <v>2147</v>
      </c>
      <c r="B631" s="528" t="s">
        <v>2148</v>
      </c>
      <c r="C631" s="528" t="s">
        <v>2149</v>
      </c>
      <c r="D631" s="528" t="s">
        <v>277</v>
      </c>
      <c r="E631" s="528"/>
      <c r="F631" s="528"/>
      <c r="G631" s="528" t="s">
        <v>208</v>
      </c>
      <c r="H631"/>
    </row>
    <row r="632" spans="1:8" x14ac:dyDescent="0.35">
      <c r="A632" s="528" t="s">
        <v>2150</v>
      </c>
      <c r="B632" s="528" t="s">
        <v>2151</v>
      </c>
      <c r="C632" s="528" t="s">
        <v>2152</v>
      </c>
      <c r="D632" s="528" t="s">
        <v>225</v>
      </c>
      <c r="E632" s="528"/>
      <c r="F632" s="528"/>
      <c r="G632" s="528" t="s">
        <v>208</v>
      </c>
      <c r="H632"/>
    </row>
    <row r="633" spans="1:8" x14ac:dyDescent="0.35">
      <c r="A633" s="528" t="s">
        <v>2153</v>
      </c>
      <c r="B633" s="528" t="s">
        <v>2154</v>
      </c>
      <c r="C633" s="528" t="s">
        <v>2155</v>
      </c>
      <c r="D633" s="528" t="s">
        <v>264</v>
      </c>
      <c r="E633" s="528"/>
      <c r="F633" s="528"/>
      <c r="G633" s="528" t="s">
        <v>208</v>
      </c>
      <c r="H633"/>
    </row>
    <row r="634" spans="1:8" x14ac:dyDescent="0.35">
      <c r="A634" s="528" t="s">
        <v>2156</v>
      </c>
      <c r="B634" s="528" t="s">
        <v>2157</v>
      </c>
      <c r="C634" s="528" t="s">
        <v>2158</v>
      </c>
      <c r="D634" s="528" t="s">
        <v>225</v>
      </c>
      <c r="E634" s="528"/>
      <c r="F634" s="528"/>
      <c r="G634" s="528" t="s">
        <v>208</v>
      </c>
      <c r="H634"/>
    </row>
    <row r="635" spans="1:8" x14ac:dyDescent="0.35">
      <c r="A635" s="528" t="s">
        <v>2159</v>
      </c>
      <c r="B635" s="528" t="s">
        <v>2160</v>
      </c>
      <c r="C635" s="528" t="s">
        <v>2161</v>
      </c>
      <c r="D635" s="528" t="s">
        <v>225</v>
      </c>
      <c r="E635" s="528"/>
      <c r="F635" s="528"/>
      <c r="G635" s="528" t="s">
        <v>208</v>
      </c>
      <c r="H635"/>
    </row>
    <row r="636" spans="1:8" x14ac:dyDescent="0.35">
      <c r="A636" s="528" t="s">
        <v>2162</v>
      </c>
      <c r="B636" s="528" t="s">
        <v>2163</v>
      </c>
      <c r="C636" s="528" t="s">
        <v>2164</v>
      </c>
      <c r="D636" s="528" t="s">
        <v>277</v>
      </c>
      <c r="E636" s="528"/>
      <c r="F636" s="528"/>
      <c r="G636" s="528" t="s">
        <v>205</v>
      </c>
      <c r="H636"/>
    </row>
    <row r="637" spans="1:8" x14ac:dyDescent="0.35">
      <c r="A637" s="528" t="s">
        <v>2165</v>
      </c>
      <c r="B637" s="528" t="s">
        <v>2166</v>
      </c>
      <c r="C637" s="528" t="s">
        <v>1504</v>
      </c>
      <c r="D637" s="528" t="s">
        <v>277</v>
      </c>
      <c r="E637" s="528"/>
      <c r="F637" s="528"/>
      <c r="G637" s="528" t="s">
        <v>205</v>
      </c>
      <c r="H637"/>
    </row>
    <row r="638" spans="1:8" x14ac:dyDescent="0.35">
      <c r="A638" s="528" t="s">
        <v>2167</v>
      </c>
      <c r="B638" s="528" t="s">
        <v>2168</v>
      </c>
      <c r="C638" s="528" t="s">
        <v>2169</v>
      </c>
      <c r="D638" s="528" t="s">
        <v>225</v>
      </c>
      <c r="E638" s="528"/>
      <c r="F638" s="528"/>
      <c r="G638" s="528" t="s">
        <v>205</v>
      </c>
      <c r="H638"/>
    </row>
    <row r="639" spans="1:8" x14ac:dyDescent="0.35">
      <c r="A639" s="528" t="s">
        <v>2170</v>
      </c>
      <c r="B639" s="528" t="s">
        <v>2171</v>
      </c>
      <c r="C639" s="528" t="s">
        <v>2172</v>
      </c>
      <c r="D639" s="528" t="s">
        <v>277</v>
      </c>
      <c r="E639" s="528"/>
      <c r="F639" s="528"/>
      <c r="G639" s="528" t="s">
        <v>205</v>
      </c>
      <c r="H639"/>
    </row>
    <row r="640" spans="1:8" x14ac:dyDescent="0.35">
      <c r="A640" s="528" t="s">
        <v>2173</v>
      </c>
      <c r="B640" s="528" t="s">
        <v>2174</v>
      </c>
      <c r="C640" s="528" t="s">
        <v>1347</v>
      </c>
      <c r="D640" s="528" t="s">
        <v>277</v>
      </c>
      <c r="E640" s="528"/>
      <c r="F640" s="528"/>
      <c r="G640" s="528" t="s">
        <v>205</v>
      </c>
      <c r="H640"/>
    </row>
    <row r="641" spans="1:8" x14ac:dyDescent="0.35">
      <c r="A641" s="528" t="s">
        <v>2175</v>
      </c>
      <c r="B641" s="528" t="s">
        <v>2176</v>
      </c>
      <c r="C641" s="528" t="s">
        <v>2177</v>
      </c>
      <c r="D641" s="528" t="s">
        <v>277</v>
      </c>
      <c r="E641" s="528"/>
      <c r="F641" s="528"/>
      <c r="G641" s="528" t="s">
        <v>205</v>
      </c>
      <c r="H641"/>
    </row>
    <row r="642" spans="1:8" x14ac:dyDescent="0.35">
      <c r="A642" s="528" t="s">
        <v>2178</v>
      </c>
      <c r="B642" s="528" t="s">
        <v>2179</v>
      </c>
      <c r="C642" s="528" t="s">
        <v>1317</v>
      </c>
      <c r="D642" s="528" t="s">
        <v>277</v>
      </c>
      <c r="E642" s="528"/>
      <c r="F642" s="528"/>
      <c r="G642" s="528" t="s">
        <v>205</v>
      </c>
      <c r="H642"/>
    </row>
    <row r="643" spans="1:8" x14ac:dyDescent="0.35">
      <c r="A643" s="528" t="s">
        <v>2180</v>
      </c>
      <c r="B643" s="528" t="s">
        <v>2181</v>
      </c>
      <c r="C643" s="528" t="s">
        <v>1483</v>
      </c>
      <c r="D643" s="528" t="s">
        <v>251</v>
      </c>
      <c r="E643" s="528"/>
      <c r="F643" s="528"/>
      <c r="G643" s="528" t="s">
        <v>205</v>
      </c>
      <c r="H643"/>
    </row>
    <row r="644" spans="1:8" x14ac:dyDescent="0.35">
      <c r="A644" s="528" t="s">
        <v>2182</v>
      </c>
      <c r="B644" s="528" t="s">
        <v>2183</v>
      </c>
      <c r="C644" s="528" t="s">
        <v>1297</v>
      </c>
      <c r="D644" s="528" t="s">
        <v>251</v>
      </c>
      <c r="E644" s="528"/>
      <c r="F644" s="528"/>
      <c r="G644" s="528" t="s">
        <v>205</v>
      </c>
      <c r="H644"/>
    </row>
    <row r="645" spans="1:8" x14ac:dyDescent="0.35">
      <c r="A645" s="528" t="s">
        <v>2184</v>
      </c>
      <c r="B645" s="528" t="s">
        <v>2185</v>
      </c>
      <c r="C645" s="528" t="s">
        <v>675</v>
      </c>
      <c r="D645" s="528" t="s">
        <v>277</v>
      </c>
      <c r="E645" s="528"/>
      <c r="F645" s="528"/>
      <c r="G645" s="528" t="s">
        <v>208</v>
      </c>
      <c r="H645"/>
    </row>
    <row r="646" spans="1:8" x14ac:dyDescent="0.35">
      <c r="A646" s="528" t="s">
        <v>2186</v>
      </c>
      <c r="B646" s="528" t="s">
        <v>2187</v>
      </c>
      <c r="C646" s="528" t="s">
        <v>2188</v>
      </c>
      <c r="D646" s="528" t="s">
        <v>251</v>
      </c>
      <c r="E646" s="528"/>
      <c r="F646" s="528"/>
      <c r="G646" s="528" t="s">
        <v>208</v>
      </c>
      <c r="H646"/>
    </row>
    <row r="647" spans="1:8" x14ac:dyDescent="0.35">
      <c r="A647" s="528" t="s">
        <v>2189</v>
      </c>
      <c r="B647" s="528" t="s">
        <v>2190</v>
      </c>
      <c r="C647" s="528" t="s">
        <v>2191</v>
      </c>
      <c r="D647" s="528" t="s">
        <v>264</v>
      </c>
      <c r="E647" s="528"/>
      <c r="F647" s="528"/>
      <c r="G647" s="528" t="s">
        <v>205</v>
      </c>
      <c r="H647"/>
    </row>
    <row r="648" spans="1:8" x14ac:dyDescent="0.35">
      <c r="A648" s="528" t="s">
        <v>2192</v>
      </c>
      <c r="B648" s="528" t="s">
        <v>2193</v>
      </c>
      <c r="C648" s="528" t="s">
        <v>1203</v>
      </c>
      <c r="D648" s="528" t="s">
        <v>251</v>
      </c>
      <c r="E648" s="528"/>
      <c r="F648" s="528"/>
      <c r="G648" s="528" t="s">
        <v>205</v>
      </c>
      <c r="H648"/>
    </row>
    <row r="649" spans="1:8" x14ac:dyDescent="0.35">
      <c r="A649" s="528" t="s">
        <v>2194</v>
      </c>
      <c r="B649" s="528" t="s">
        <v>2195</v>
      </c>
      <c r="C649" s="528" t="s">
        <v>2196</v>
      </c>
      <c r="D649" s="528" t="s">
        <v>264</v>
      </c>
      <c r="E649" s="528"/>
      <c r="F649" s="528"/>
      <c r="G649" s="528" t="s">
        <v>214</v>
      </c>
      <c r="H649"/>
    </row>
    <row r="650" spans="1:8" x14ac:dyDescent="0.35">
      <c r="A650" s="528" t="s">
        <v>2197</v>
      </c>
      <c r="B650" s="528" t="s">
        <v>2198</v>
      </c>
      <c r="C650" s="528" t="s">
        <v>2199</v>
      </c>
      <c r="D650" s="528" t="s">
        <v>238</v>
      </c>
      <c r="E650" s="528"/>
      <c r="F650" s="528"/>
      <c r="G650" s="528" t="s">
        <v>205</v>
      </c>
      <c r="H650"/>
    </row>
    <row r="651" spans="1:8" x14ac:dyDescent="0.35">
      <c r="A651" s="528" t="s">
        <v>2200</v>
      </c>
      <c r="B651" s="528" t="s">
        <v>2201</v>
      </c>
      <c r="C651" s="528" t="s">
        <v>2202</v>
      </c>
      <c r="D651" s="528" t="s">
        <v>264</v>
      </c>
      <c r="E651" s="528"/>
      <c r="F651" s="528"/>
      <c r="G651" s="528" t="s">
        <v>208</v>
      </c>
      <c r="H651"/>
    </row>
    <row r="652" spans="1:8" x14ac:dyDescent="0.35">
      <c r="A652" s="528" t="s">
        <v>2203</v>
      </c>
      <c r="B652" s="528" t="s">
        <v>2204</v>
      </c>
      <c r="C652" s="528" t="s">
        <v>2205</v>
      </c>
      <c r="D652" s="528" t="s">
        <v>225</v>
      </c>
      <c r="E652" s="528"/>
      <c r="F652" s="528"/>
      <c r="G652" s="528" t="s">
        <v>212</v>
      </c>
      <c r="H652"/>
    </row>
    <row r="653" spans="1:8" x14ac:dyDescent="0.35">
      <c r="A653" s="528" t="s">
        <v>2206</v>
      </c>
      <c r="B653" s="528" t="s">
        <v>2207</v>
      </c>
      <c r="C653" s="528" t="s">
        <v>2208</v>
      </c>
      <c r="D653" s="528" t="s">
        <v>225</v>
      </c>
      <c r="E653" s="528"/>
      <c r="F653" s="528"/>
      <c r="G653" s="528" t="s">
        <v>205</v>
      </c>
      <c r="H653"/>
    </row>
    <row r="654" spans="1:8" x14ac:dyDescent="0.35">
      <c r="A654" s="528" t="s">
        <v>2209</v>
      </c>
      <c r="B654" s="528" t="s">
        <v>2210</v>
      </c>
      <c r="C654" s="528" t="s">
        <v>2211</v>
      </c>
      <c r="D654" s="528" t="s">
        <v>264</v>
      </c>
      <c r="E654" s="528"/>
      <c r="F654" s="528"/>
      <c r="G654" s="528" t="s">
        <v>205</v>
      </c>
      <c r="H654"/>
    </row>
    <row r="655" spans="1:8" x14ac:dyDescent="0.35">
      <c r="A655" s="528" t="s">
        <v>2212</v>
      </c>
      <c r="B655" s="528" t="s">
        <v>2213</v>
      </c>
      <c r="C655" s="528" t="s">
        <v>2214</v>
      </c>
      <c r="D655" s="528" t="s">
        <v>264</v>
      </c>
      <c r="E655" s="528"/>
      <c r="F655" s="528"/>
      <c r="G655" s="528" t="s">
        <v>205</v>
      </c>
      <c r="H655"/>
    </row>
    <row r="656" spans="1:8" x14ac:dyDescent="0.35">
      <c r="A656" s="528" t="s">
        <v>2215</v>
      </c>
      <c r="B656" s="528" t="s">
        <v>2216</v>
      </c>
      <c r="C656" s="528" t="s">
        <v>2217</v>
      </c>
      <c r="D656" s="528" t="s">
        <v>264</v>
      </c>
      <c r="E656" s="528"/>
      <c r="F656" s="528"/>
      <c r="G656" s="528" t="s">
        <v>205</v>
      </c>
      <c r="H656"/>
    </row>
    <row r="657" spans="1:8" x14ac:dyDescent="0.35">
      <c r="A657" s="528" t="s">
        <v>2218</v>
      </c>
      <c r="B657" s="528" t="s">
        <v>2219</v>
      </c>
      <c r="C657" s="528" t="s">
        <v>678</v>
      </c>
      <c r="D657" s="528" t="s">
        <v>264</v>
      </c>
      <c r="E657" s="528"/>
      <c r="F657" s="528"/>
      <c r="G657" s="528" t="s">
        <v>205</v>
      </c>
      <c r="H657"/>
    </row>
    <row r="658" spans="1:8" x14ac:dyDescent="0.35">
      <c r="A658" s="528" t="s">
        <v>2220</v>
      </c>
      <c r="B658" s="528" t="s">
        <v>2221</v>
      </c>
      <c r="C658" s="528" t="s">
        <v>2222</v>
      </c>
      <c r="D658" s="528" t="s">
        <v>277</v>
      </c>
      <c r="E658" s="528"/>
      <c r="F658" s="528"/>
      <c r="G658" s="528" t="s">
        <v>208</v>
      </c>
      <c r="H658"/>
    </row>
    <row r="659" spans="1:8" x14ac:dyDescent="0.35">
      <c r="A659" s="528" t="s">
        <v>2223</v>
      </c>
      <c r="B659" s="528" t="s">
        <v>2224</v>
      </c>
      <c r="C659" s="528" t="s">
        <v>2225</v>
      </c>
      <c r="D659" s="528" t="s">
        <v>225</v>
      </c>
      <c r="E659" s="528"/>
      <c r="F659" s="528"/>
      <c r="G659" s="528" t="s">
        <v>205</v>
      </c>
      <c r="H659"/>
    </row>
    <row r="660" spans="1:8" x14ac:dyDescent="0.35">
      <c r="A660" s="528" t="s">
        <v>2226</v>
      </c>
      <c r="B660" s="528" t="s">
        <v>2227</v>
      </c>
      <c r="C660" s="528" t="s">
        <v>2228</v>
      </c>
      <c r="D660" s="528" t="s">
        <v>225</v>
      </c>
      <c r="E660" s="528"/>
      <c r="F660" s="528"/>
      <c r="G660" s="528" t="s">
        <v>205</v>
      </c>
      <c r="H660"/>
    </row>
    <row r="661" spans="1:8" x14ac:dyDescent="0.35">
      <c r="A661" s="528" t="s">
        <v>2229</v>
      </c>
      <c r="B661" s="528" t="s">
        <v>2230</v>
      </c>
      <c r="C661" s="528" t="s">
        <v>2231</v>
      </c>
      <c r="D661" s="528" t="s">
        <v>225</v>
      </c>
      <c r="E661" s="528"/>
      <c r="F661" s="528"/>
      <c r="G661" s="528" t="s">
        <v>205</v>
      </c>
      <c r="H661"/>
    </row>
    <row r="662" spans="1:8" x14ac:dyDescent="0.35">
      <c r="A662" s="528" t="s">
        <v>2232</v>
      </c>
      <c r="B662" s="528" t="s">
        <v>2233</v>
      </c>
      <c r="C662" s="528" t="s">
        <v>2234</v>
      </c>
      <c r="D662" s="528" t="s">
        <v>277</v>
      </c>
      <c r="E662" s="528"/>
      <c r="F662" s="528"/>
      <c r="G662" s="528" t="s">
        <v>205</v>
      </c>
      <c r="H662"/>
    </row>
    <row r="663" spans="1:8" x14ac:dyDescent="0.35">
      <c r="A663" s="528" t="s">
        <v>2235</v>
      </c>
      <c r="B663" s="528" t="s">
        <v>2236</v>
      </c>
      <c r="C663" s="528" t="s">
        <v>1264</v>
      </c>
      <c r="D663" s="528" t="s">
        <v>264</v>
      </c>
      <c r="E663" s="528"/>
      <c r="F663" s="528"/>
      <c r="G663" s="528" t="s">
        <v>205</v>
      </c>
      <c r="H663"/>
    </row>
    <row r="664" spans="1:8" x14ac:dyDescent="0.35">
      <c r="A664" s="528" t="s">
        <v>2237</v>
      </c>
      <c r="B664" s="528" t="s">
        <v>2238</v>
      </c>
      <c r="C664" s="528" t="s">
        <v>2239</v>
      </c>
      <c r="D664" s="528" t="s">
        <v>251</v>
      </c>
      <c r="E664" s="528"/>
      <c r="F664" s="528"/>
      <c r="G664" s="528" t="s">
        <v>205</v>
      </c>
      <c r="H664"/>
    </row>
    <row r="665" spans="1:8" x14ac:dyDescent="0.35">
      <c r="A665" s="528" t="s">
        <v>2240</v>
      </c>
      <c r="B665" s="528" t="s">
        <v>2241</v>
      </c>
      <c r="C665" s="528" t="s">
        <v>756</v>
      </c>
      <c r="D665" s="528" t="s">
        <v>277</v>
      </c>
      <c r="E665" s="528"/>
      <c r="F665" s="528"/>
      <c r="G665" s="528" t="s">
        <v>212</v>
      </c>
      <c r="H665"/>
    </row>
    <row r="666" spans="1:8" x14ac:dyDescent="0.35">
      <c r="A666" s="528" t="s">
        <v>2242</v>
      </c>
      <c r="B666" s="528" t="s">
        <v>2243</v>
      </c>
      <c r="C666" s="528" t="s">
        <v>2244</v>
      </c>
      <c r="D666" s="528" t="s">
        <v>225</v>
      </c>
      <c r="E666" s="528"/>
      <c r="F666" s="528"/>
      <c r="G666" s="528" t="s">
        <v>205</v>
      </c>
      <c r="H666"/>
    </row>
    <row r="667" spans="1:8" x14ac:dyDescent="0.35">
      <c r="A667" s="528" t="s">
        <v>2245</v>
      </c>
      <c r="B667" s="528" t="s">
        <v>2246</v>
      </c>
      <c r="C667" s="528" t="s">
        <v>2247</v>
      </c>
      <c r="D667" s="528" t="s">
        <v>225</v>
      </c>
      <c r="E667" s="528"/>
      <c r="F667" s="528"/>
      <c r="G667" s="528" t="s">
        <v>208</v>
      </c>
      <c r="H667"/>
    </row>
    <row r="668" spans="1:8" x14ac:dyDescent="0.35">
      <c r="A668" s="528" t="s">
        <v>2248</v>
      </c>
      <c r="B668" s="528" t="s">
        <v>2249</v>
      </c>
      <c r="C668" s="528" t="s">
        <v>2250</v>
      </c>
      <c r="D668" s="528" t="s">
        <v>277</v>
      </c>
      <c r="E668" s="528"/>
      <c r="F668" s="528"/>
      <c r="G668" s="528" t="s">
        <v>205</v>
      </c>
      <c r="H668"/>
    </row>
    <row r="669" spans="1:8" x14ac:dyDescent="0.35">
      <c r="A669" s="528" t="s">
        <v>2251</v>
      </c>
      <c r="B669" s="528" t="s">
        <v>2252</v>
      </c>
      <c r="C669" s="528" t="s">
        <v>2253</v>
      </c>
      <c r="D669" s="528" t="s">
        <v>264</v>
      </c>
      <c r="E669" s="528"/>
      <c r="F669" s="528"/>
      <c r="G669" s="528" t="s">
        <v>205</v>
      </c>
      <c r="H669"/>
    </row>
    <row r="670" spans="1:8" x14ac:dyDescent="0.35">
      <c r="A670" s="528" t="s">
        <v>2254</v>
      </c>
      <c r="B670" s="528" t="s">
        <v>2255</v>
      </c>
      <c r="C670" s="528" t="s">
        <v>2256</v>
      </c>
      <c r="D670" s="528" t="s">
        <v>225</v>
      </c>
      <c r="E670" s="528"/>
      <c r="F670" s="528"/>
      <c r="G670" s="528" t="s">
        <v>205</v>
      </c>
      <c r="H670"/>
    </row>
    <row r="671" spans="1:8" x14ac:dyDescent="0.35">
      <c r="A671" s="528" t="s">
        <v>2257</v>
      </c>
      <c r="B671" s="528" t="s">
        <v>2258</v>
      </c>
      <c r="C671" s="528" t="s">
        <v>2259</v>
      </c>
      <c r="D671" s="528" t="s">
        <v>264</v>
      </c>
      <c r="E671" s="528"/>
      <c r="F671" s="528"/>
      <c r="G671" s="528" t="s">
        <v>205</v>
      </c>
      <c r="H671"/>
    </row>
    <row r="672" spans="1:8" x14ac:dyDescent="0.35">
      <c r="A672" s="528" t="s">
        <v>2260</v>
      </c>
      <c r="B672" s="528" t="s">
        <v>2261</v>
      </c>
      <c r="C672" s="528" t="s">
        <v>2262</v>
      </c>
      <c r="D672" s="528" t="s">
        <v>225</v>
      </c>
      <c r="E672" s="528"/>
      <c r="F672" s="528"/>
      <c r="G672" s="528" t="s">
        <v>205</v>
      </c>
      <c r="H672"/>
    </row>
    <row r="673" spans="1:8" x14ac:dyDescent="0.35">
      <c r="A673" s="528" t="s">
        <v>2263</v>
      </c>
      <c r="B673" s="528" t="s">
        <v>2264</v>
      </c>
      <c r="C673" s="528" t="s">
        <v>2265</v>
      </c>
      <c r="D673" s="528" t="s">
        <v>251</v>
      </c>
      <c r="E673" s="528"/>
      <c r="F673" s="528"/>
      <c r="G673" s="528" t="s">
        <v>205</v>
      </c>
      <c r="H673"/>
    </row>
    <row r="674" spans="1:8" x14ac:dyDescent="0.35">
      <c r="A674" s="528" t="s">
        <v>2266</v>
      </c>
      <c r="B674" s="528" t="s">
        <v>2267</v>
      </c>
      <c r="C674" s="528" t="s">
        <v>2268</v>
      </c>
      <c r="D674" s="528" t="s">
        <v>251</v>
      </c>
      <c r="E674" s="528"/>
      <c r="F674" s="528"/>
      <c r="G674" s="528" t="s">
        <v>205</v>
      </c>
      <c r="H674"/>
    </row>
    <row r="675" spans="1:8" x14ac:dyDescent="0.35">
      <c r="A675" s="528" t="s">
        <v>2269</v>
      </c>
      <c r="B675" s="528" t="s">
        <v>2270</v>
      </c>
      <c r="C675" s="528" t="s">
        <v>2271</v>
      </c>
      <c r="D675" s="528" t="s">
        <v>238</v>
      </c>
      <c r="E675" s="528"/>
      <c r="F675" s="528"/>
      <c r="G675" s="528" t="s">
        <v>205</v>
      </c>
      <c r="H675"/>
    </row>
    <row r="676" spans="1:8" x14ac:dyDescent="0.35">
      <c r="A676" s="528" t="s">
        <v>2272</v>
      </c>
      <c r="B676" s="528" t="s">
        <v>2273</v>
      </c>
      <c r="C676" s="528" t="s">
        <v>2274</v>
      </c>
      <c r="D676" s="528" t="s">
        <v>264</v>
      </c>
      <c r="E676" s="528"/>
      <c r="F676" s="528"/>
      <c r="G676" s="528" t="s">
        <v>205</v>
      </c>
      <c r="H676"/>
    </row>
    <row r="677" spans="1:8" x14ac:dyDescent="0.35">
      <c r="A677" s="528" t="s">
        <v>2275</v>
      </c>
      <c r="B677" s="528" t="s">
        <v>2276</v>
      </c>
      <c r="C677" s="528" t="s">
        <v>2277</v>
      </c>
      <c r="D677" s="528" t="s">
        <v>225</v>
      </c>
      <c r="E677" s="528"/>
      <c r="F677" s="528"/>
      <c r="G677" s="528" t="s">
        <v>205</v>
      </c>
      <c r="H677"/>
    </row>
    <row r="678" spans="1:8" x14ac:dyDescent="0.35">
      <c r="A678" s="528" t="s">
        <v>2278</v>
      </c>
      <c r="B678" s="528" t="s">
        <v>2279</v>
      </c>
      <c r="C678" s="528" t="s">
        <v>2280</v>
      </c>
      <c r="D678" s="528" t="s">
        <v>264</v>
      </c>
      <c r="E678" s="528"/>
      <c r="F678" s="528"/>
      <c r="G678" s="528" t="s">
        <v>205</v>
      </c>
      <c r="H678"/>
    </row>
    <row r="679" spans="1:8" x14ac:dyDescent="0.35">
      <c r="A679" s="528" t="s">
        <v>2281</v>
      </c>
      <c r="B679" s="528" t="s">
        <v>2282</v>
      </c>
      <c r="C679" s="528" t="s">
        <v>2283</v>
      </c>
      <c r="D679" s="528" t="s">
        <v>277</v>
      </c>
      <c r="E679" s="528"/>
      <c r="F679" s="528"/>
      <c r="G679" s="528" t="s">
        <v>208</v>
      </c>
      <c r="H679"/>
    </row>
    <row r="680" spans="1:8" x14ac:dyDescent="0.35">
      <c r="A680" s="528" t="s">
        <v>2284</v>
      </c>
      <c r="B680" s="528" t="s">
        <v>2285</v>
      </c>
      <c r="C680" s="528" t="s">
        <v>2286</v>
      </c>
      <c r="D680" s="528" t="s">
        <v>277</v>
      </c>
      <c r="E680" s="528"/>
      <c r="F680" s="528"/>
      <c r="G680" s="528" t="s">
        <v>208</v>
      </c>
      <c r="H680"/>
    </row>
    <row r="681" spans="1:8" x14ac:dyDescent="0.35">
      <c r="A681" s="528" t="s">
        <v>2287</v>
      </c>
      <c r="B681" s="528" t="s">
        <v>2288</v>
      </c>
      <c r="C681" s="528" t="s">
        <v>2289</v>
      </c>
      <c r="D681" s="528" t="s">
        <v>251</v>
      </c>
      <c r="E681" s="528"/>
      <c r="F681" s="528"/>
      <c r="G681" s="528" t="s">
        <v>205</v>
      </c>
      <c r="H681"/>
    </row>
    <row r="682" spans="1:8" x14ac:dyDescent="0.35">
      <c r="A682" s="528" t="s">
        <v>2290</v>
      </c>
      <c r="B682" s="528" t="s">
        <v>2291</v>
      </c>
      <c r="C682" s="528" t="s">
        <v>2292</v>
      </c>
      <c r="D682" s="528" t="s">
        <v>251</v>
      </c>
      <c r="E682" s="528"/>
      <c r="F682" s="528"/>
      <c r="G682" s="528" t="s">
        <v>205</v>
      </c>
      <c r="H682"/>
    </row>
    <row r="683" spans="1:8" x14ac:dyDescent="0.35">
      <c r="A683" s="528" t="s">
        <v>2293</v>
      </c>
      <c r="B683" s="528" t="s">
        <v>2294</v>
      </c>
      <c r="C683" s="528" t="s">
        <v>2295</v>
      </c>
      <c r="D683" s="528" t="s">
        <v>264</v>
      </c>
      <c r="E683" s="528" t="s">
        <v>251</v>
      </c>
      <c r="F683" s="528"/>
      <c r="G683" s="528" t="s">
        <v>205</v>
      </c>
      <c r="H683"/>
    </row>
    <row r="684" spans="1:8" x14ac:dyDescent="0.35">
      <c r="A684" s="528" t="s">
        <v>2296</v>
      </c>
      <c r="B684" s="528" t="s">
        <v>2297</v>
      </c>
      <c r="C684" s="528" t="s">
        <v>2298</v>
      </c>
      <c r="D684" s="528" t="s">
        <v>251</v>
      </c>
      <c r="E684" s="528" t="s">
        <v>225</v>
      </c>
      <c r="F684" s="528"/>
      <c r="G684" s="528" t="s">
        <v>205</v>
      </c>
      <c r="H684"/>
    </row>
    <row r="685" spans="1:8" x14ac:dyDescent="0.35">
      <c r="A685" s="528" t="s">
        <v>2299</v>
      </c>
      <c r="B685" s="528" t="s">
        <v>2300</v>
      </c>
      <c r="C685" s="528" t="s">
        <v>2301</v>
      </c>
      <c r="D685" s="528" t="s">
        <v>251</v>
      </c>
      <c r="E685" s="528"/>
      <c r="F685" s="528"/>
      <c r="G685" s="528" t="s">
        <v>208</v>
      </c>
      <c r="H685"/>
    </row>
    <row r="686" spans="1:8" x14ac:dyDescent="0.35">
      <c r="A686" s="528" t="s">
        <v>2302</v>
      </c>
      <c r="B686" s="528" t="s">
        <v>2303</v>
      </c>
      <c r="C686" s="528" t="s">
        <v>2304</v>
      </c>
      <c r="D686" s="528" t="s">
        <v>251</v>
      </c>
      <c r="E686" s="528" t="s">
        <v>225</v>
      </c>
      <c r="F686" s="528"/>
      <c r="G686" s="528" t="s">
        <v>208</v>
      </c>
      <c r="H686"/>
    </row>
    <row r="687" spans="1:8" x14ac:dyDescent="0.35">
      <c r="A687" s="528" t="s">
        <v>2305</v>
      </c>
      <c r="B687" s="528" t="s">
        <v>2306</v>
      </c>
      <c r="C687" s="528" t="s">
        <v>2307</v>
      </c>
      <c r="D687" s="528" t="s">
        <v>251</v>
      </c>
      <c r="E687" s="528"/>
      <c r="F687" s="528"/>
      <c r="G687" s="528" t="s">
        <v>205</v>
      </c>
      <c r="H687"/>
    </row>
    <row r="688" spans="1:8" x14ac:dyDescent="0.35">
      <c r="A688" s="528" t="s">
        <v>2308</v>
      </c>
      <c r="B688" s="528" t="s">
        <v>2309</v>
      </c>
      <c r="C688" s="528" t="s">
        <v>1362</v>
      </c>
      <c r="D688" s="528" t="s">
        <v>251</v>
      </c>
      <c r="E688" s="528"/>
      <c r="F688" s="528"/>
      <c r="G688" s="528" t="s">
        <v>205</v>
      </c>
      <c r="H688"/>
    </row>
    <row r="689" spans="1:8" x14ac:dyDescent="0.35">
      <c r="A689" s="528" t="s">
        <v>2310</v>
      </c>
      <c r="B689" s="528" t="s">
        <v>2311</v>
      </c>
      <c r="C689" s="528" t="s">
        <v>2312</v>
      </c>
      <c r="D689" s="528" t="s">
        <v>277</v>
      </c>
      <c r="E689" s="528"/>
      <c r="F689" s="528"/>
      <c r="G689" s="528" t="s">
        <v>205</v>
      </c>
      <c r="H689"/>
    </row>
    <row r="690" spans="1:8" x14ac:dyDescent="0.35">
      <c r="A690" s="528" t="s">
        <v>2313</v>
      </c>
      <c r="B690" s="528" t="s">
        <v>2314</v>
      </c>
      <c r="C690" s="528" t="s">
        <v>2315</v>
      </c>
      <c r="D690" s="528" t="s">
        <v>238</v>
      </c>
      <c r="E690" s="528"/>
      <c r="F690" s="528"/>
      <c r="G690" s="528" t="s">
        <v>205</v>
      </c>
      <c r="H690"/>
    </row>
    <row r="691" spans="1:8" x14ac:dyDescent="0.35">
      <c r="A691" s="528" t="s">
        <v>2316</v>
      </c>
      <c r="B691" s="528" t="s">
        <v>2317</v>
      </c>
      <c r="C691" s="528" t="s">
        <v>2318</v>
      </c>
      <c r="D691" s="528" t="s">
        <v>277</v>
      </c>
      <c r="E691" s="528"/>
      <c r="F691" s="528"/>
      <c r="G691" s="528" t="s">
        <v>208</v>
      </c>
      <c r="H691"/>
    </row>
    <row r="692" spans="1:8" x14ac:dyDescent="0.35">
      <c r="A692" s="528" t="s">
        <v>2319</v>
      </c>
      <c r="B692" s="528" t="s">
        <v>2320</v>
      </c>
      <c r="C692" s="528" t="s">
        <v>2321</v>
      </c>
      <c r="D692" s="528" t="s">
        <v>238</v>
      </c>
      <c r="E692" s="528"/>
      <c r="F692" s="528"/>
      <c r="G692" s="528" t="s">
        <v>205</v>
      </c>
      <c r="H692"/>
    </row>
    <row r="693" spans="1:8" x14ac:dyDescent="0.35">
      <c r="A693" s="528" t="s">
        <v>2322</v>
      </c>
      <c r="B693" s="528" t="s">
        <v>2323</v>
      </c>
      <c r="C693" s="528" t="s">
        <v>2324</v>
      </c>
      <c r="D693" s="528" t="s">
        <v>225</v>
      </c>
      <c r="E693" s="528"/>
      <c r="F693" s="528"/>
      <c r="G693" s="528" t="s">
        <v>205</v>
      </c>
      <c r="H693"/>
    </row>
    <row r="694" spans="1:8" x14ac:dyDescent="0.35">
      <c r="A694" s="528" t="s">
        <v>2325</v>
      </c>
      <c r="B694" s="528" t="s">
        <v>2326</v>
      </c>
      <c r="C694" s="528" t="s">
        <v>2327</v>
      </c>
      <c r="D694" s="528" t="s">
        <v>251</v>
      </c>
      <c r="E694" s="528"/>
      <c r="F694" s="528"/>
      <c r="G694" s="528" t="s">
        <v>205</v>
      </c>
      <c r="H694"/>
    </row>
    <row r="695" spans="1:8" x14ac:dyDescent="0.35">
      <c r="A695" s="528" t="s">
        <v>2328</v>
      </c>
      <c r="B695" s="528" t="s">
        <v>2329</v>
      </c>
      <c r="C695" s="528" t="s">
        <v>2330</v>
      </c>
      <c r="D695" s="528" t="s">
        <v>277</v>
      </c>
      <c r="E695" s="528"/>
      <c r="F695" s="528"/>
      <c r="G695" s="528" t="s">
        <v>205</v>
      </c>
      <c r="H695"/>
    </row>
    <row r="696" spans="1:8" x14ac:dyDescent="0.35">
      <c r="A696" s="528" t="s">
        <v>2331</v>
      </c>
      <c r="B696" s="528" t="s">
        <v>2332</v>
      </c>
      <c r="C696" s="528" t="s">
        <v>2333</v>
      </c>
      <c r="D696" s="528" t="s">
        <v>264</v>
      </c>
      <c r="E696" s="528"/>
      <c r="F696" s="528"/>
      <c r="G696" s="528" t="s">
        <v>205</v>
      </c>
      <c r="H696"/>
    </row>
    <row r="697" spans="1:8" x14ac:dyDescent="0.35">
      <c r="A697" s="528" t="s">
        <v>2334</v>
      </c>
      <c r="B697" s="528" t="s">
        <v>2335</v>
      </c>
      <c r="C697" s="528" t="s">
        <v>2336</v>
      </c>
      <c r="D697" s="528" t="s">
        <v>277</v>
      </c>
      <c r="E697" s="528"/>
      <c r="F697" s="528"/>
      <c r="G697" s="528" t="s">
        <v>205</v>
      </c>
      <c r="H697"/>
    </row>
    <row r="698" spans="1:8" x14ac:dyDescent="0.35">
      <c r="A698" s="528" t="s">
        <v>2337</v>
      </c>
      <c r="B698" s="528" t="s">
        <v>2338</v>
      </c>
      <c r="C698" s="528" t="s">
        <v>2339</v>
      </c>
      <c r="D698" s="528" t="s">
        <v>264</v>
      </c>
      <c r="E698" s="528"/>
      <c r="F698" s="528"/>
      <c r="G698" s="528" t="s">
        <v>205</v>
      </c>
      <c r="H698"/>
    </row>
    <row r="699" spans="1:8" x14ac:dyDescent="0.35">
      <c r="A699" s="528" t="s">
        <v>2340</v>
      </c>
      <c r="B699" s="528" t="s">
        <v>2341</v>
      </c>
      <c r="C699" s="528" t="s">
        <v>2342</v>
      </c>
      <c r="D699" s="528" t="s">
        <v>238</v>
      </c>
      <c r="E699" s="528"/>
      <c r="F699" s="528"/>
      <c r="G699" s="528" t="s">
        <v>205</v>
      </c>
      <c r="H699"/>
    </row>
    <row r="700" spans="1:8" x14ac:dyDescent="0.35">
      <c r="A700" s="528" t="s">
        <v>2343</v>
      </c>
      <c r="B700" s="528" t="s">
        <v>2344</v>
      </c>
      <c r="C700" s="528" t="s">
        <v>2345</v>
      </c>
      <c r="D700" s="528" t="s">
        <v>277</v>
      </c>
      <c r="E700" s="528"/>
      <c r="F700" s="528"/>
      <c r="G700" s="528" t="s">
        <v>205</v>
      </c>
      <c r="H700"/>
    </row>
    <row r="701" spans="1:8" x14ac:dyDescent="0.35">
      <c r="A701" s="528" t="s">
        <v>2346</v>
      </c>
      <c r="B701" s="528" t="s">
        <v>2347</v>
      </c>
      <c r="C701" s="528" t="s">
        <v>2348</v>
      </c>
      <c r="D701" s="528" t="s">
        <v>277</v>
      </c>
      <c r="E701" s="528"/>
      <c r="F701" s="528"/>
      <c r="G701" s="528" t="s">
        <v>208</v>
      </c>
      <c r="H701"/>
    </row>
    <row r="702" spans="1:8" x14ac:dyDescent="0.35">
      <c r="A702" s="528" t="s">
        <v>2349</v>
      </c>
      <c r="B702" s="528" t="s">
        <v>2350</v>
      </c>
      <c r="C702" s="528" t="s">
        <v>2351</v>
      </c>
      <c r="D702" s="528" t="s">
        <v>264</v>
      </c>
      <c r="E702" s="528"/>
      <c r="F702" s="528"/>
      <c r="G702" s="528" t="s">
        <v>205</v>
      </c>
      <c r="H702"/>
    </row>
    <row r="703" spans="1:8" x14ac:dyDescent="0.35">
      <c r="A703" s="528" t="s">
        <v>2352</v>
      </c>
      <c r="B703" s="528" t="s">
        <v>2353</v>
      </c>
      <c r="C703" s="528" t="s">
        <v>2354</v>
      </c>
      <c r="D703" s="528" t="s">
        <v>264</v>
      </c>
      <c r="E703" s="528"/>
      <c r="F703" s="528"/>
      <c r="G703" s="528" t="s">
        <v>210</v>
      </c>
      <c r="H703"/>
    </row>
    <row r="704" spans="1:8" x14ac:dyDescent="0.35">
      <c r="A704" s="528" t="s">
        <v>2355</v>
      </c>
      <c r="B704" s="528" t="s">
        <v>2356</v>
      </c>
      <c r="C704" s="528" t="s">
        <v>2357</v>
      </c>
      <c r="D704" s="528" t="s">
        <v>264</v>
      </c>
      <c r="E704" s="528"/>
      <c r="F704" s="528"/>
      <c r="G704" s="528" t="s">
        <v>208</v>
      </c>
      <c r="H704"/>
    </row>
    <row r="705" spans="1:8" x14ac:dyDescent="0.35">
      <c r="A705" s="528" t="s">
        <v>2358</v>
      </c>
      <c r="B705" s="528" t="s">
        <v>2359</v>
      </c>
      <c r="C705" s="528" t="s">
        <v>2202</v>
      </c>
      <c r="D705" s="528" t="s">
        <v>264</v>
      </c>
      <c r="E705" s="528"/>
      <c r="F705" s="528"/>
      <c r="G705" s="528" t="s">
        <v>208</v>
      </c>
      <c r="H705"/>
    </row>
    <row r="706" spans="1:8" x14ac:dyDescent="0.35">
      <c r="A706" s="528" t="s">
        <v>2360</v>
      </c>
      <c r="B706" s="528" t="s">
        <v>2361</v>
      </c>
      <c r="C706" s="528" t="s">
        <v>2362</v>
      </c>
      <c r="D706" s="528" t="s">
        <v>264</v>
      </c>
      <c r="E706" s="528"/>
      <c r="F706" s="528"/>
      <c r="G706" s="528" t="s">
        <v>208</v>
      </c>
      <c r="H706"/>
    </row>
    <row r="707" spans="1:8" x14ac:dyDescent="0.35">
      <c r="A707" s="528" t="s">
        <v>2363</v>
      </c>
      <c r="B707" s="528" t="s">
        <v>2364</v>
      </c>
      <c r="C707" s="528" t="s">
        <v>2365</v>
      </c>
      <c r="D707" s="528" t="s">
        <v>264</v>
      </c>
      <c r="E707" s="528"/>
      <c r="F707" s="528"/>
      <c r="G707" s="528" t="s">
        <v>210</v>
      </c>
      <c r="H707"/>
    </row>
    <row r="708" spans="1:8" x14ac:dyDescent="0.35">
      <c r="A708" s="528" t="s">
        <v>2366</v>
      </c>
      <c r="B708" s="528" t="s">
        <v>2367</v>
      </c>
      <c r="C708" s="528" t="s">
        <v>2368</v>
      </c>
      <c r="D708" s="528" t="s">
        <v>238</v>
      </c>
      <c r="E708" s="528"/>
      <c r="F708" s="528"/>
      <c r="G708" s="528" t="s">
        <v>205</v>
      </c>
      <c r="H708"/>
    </row>
    <row r="709" spans="1:8" x14ac:dyDescent="0.35">
      <c r="A709" s="528" t="s">
        <v>2369</v>
      </c>
      <c r="B709" s="528" t="s">
        <v>2370</v>
      </c>
      <c r="C709" s="528" t="s">
        <v>2371</v>
      </c>
      <c r="D709" s="528" t="s">
        <v>277</v>
      </c>
      <c r="E709" s="528"/>
      <c r="F709" s="528"/>
      <c r="G709" s="528" t="s">
        <v>205</v>
      </c>
      <c r="H709"/>
    </row>
    <row r="710" spans="1:8" x14ac:dyDescent="0.35">
      <c r="A710" s="528" t="s">
        <v>2372</v>
      </c>
      <c r="B710" s="528" t="s">
        <v>2373</v>
      </c>
      <c r="C710" s="528" t="s">
        <v>1371</v>
      </c>
      <c r="D710" s="528" t="s">
        <v>238</v>
      </c>
      <c r="E710" s="528"/>
      <c r="F710" s="528"/>
      <c r="G710" s="528" t="s">
        <v>205</v>
      </c>
      <c r="H710"/>
    </row>
    <row r="711" spans="1:8" x14ac:dyDescent="0.35">
      <c r="A711" s="528" t="s">
        <v>2374</v>
      </c>
      <c r="B711" s="528" t="s">
        <v>2375</v>
      </c>
      <c r="C711" s="528" t="s">
        <v>2376</v>
      </c>
      <c r="D711" s="528" t="s">
        <v>277</v>
      </c>
      <c r="E711" s="528"/>
      <c r="F711" s="528"/>
      <c r="G711" s="528" t="s">
        <v>205</v>
      </c>
      <c r="H711"/>
    </row>
    <row r="712" spans="1:8" x14ac:dyDescent="0.35">
      <c r="A712" s="528" t="s">
        <v>2377</v>
      </c>
      <c r="B712" s="528" t="s">
        <v>2378</v>
      </c>
      <c r="C712" s="528" t="s">
        <v>2379</v>
      </c>
      <c r="D712" s="528" t="s">
        <v>277</v>
      </c>
      <c r="E712" s="528"/>
      <c r="F712" s="528"/>
      <c r="G712" s="528" t="s">
        <v>205</v>
      </c>
      <c r="H712"/>
    </row>
    <row r="713" spans="1:8" x14ac:dyDescent="0.35">
      <c r="A713" s="528" t="s">
        <v>2380</v>
      </c>
      <c r="B713" s="528" t="s">
        <v>2381</v>
      </c>
      <c r="C713" s="528" t="s">
        <v>2382</v>
      </c>
      <c r="D713" s="528" t="s">
        <v>264</v>
      </c>
      <c r="E713" s="528"/>
      <c r="F713" s="528"/>
      <c r="G713" s="528" t="s">
        <v>210</v>
      </c>
      <c r="H713"/>
    </row>
    <row r="714" spans="1:8" x14ac:dyDescent="0.35">
      <c r="A714" s="528" t="s">
        <v>2383</v>
      </c>
      <c r="B714" s="528" t="s">
        <v>2384</v>
      </c>
      <c r="C714" s="528" t="s">
        <v>2385</v>
      </c>
      <c r="D714" s="528" t="s">
        <v>264</v>
      </c>
      <c r="E714" s="528"/>
      <c r="F714" s="528"/>
      <c r="G714" s="528" t="s">
        <v>210</v>
      </c>
      <c r="H714"/>
    </row>
    <row r="715" spans="1:8" x14ac:dyDescent="0.35">
      <c r="A715" s="528" t="s">
        <v>2386</v>
      </c>
      <c r="B715" s="528" t="s">
        <v>2387</v>
      </c>
      <c r="C715" s="528" t="s">
        <v>1536</v>
      </c>
      <c r="D715" s="528" t="s">
        <v>277</v>
      </c>
      <c r="E715" s="528"/>
      <c r="F715" s="528"/>
      <c r="G715" s="528" t="s">
        <v>208</v>
      </c>
      <c r="H715"/>
    </row>
    <row r="716" spans="1:8" x14ac:dyDescent="0.35">
      <c r="A716" s="528" t="s">
        <v>2388</v>
      </c>
      <c r="B716" s="528" t="s">
        <v>2389</v>
      </c>
      <c r="C716" s="528" t="s">
        <v>2390</v>
      </c>
      <c r="D716" s="528" t="s">
        <v>238</v>
      </c>
      <c r="E716" s="528"/>
      <c r="F716" s="528"/>
      <c r="G716" s="528" t="s">
        <v>208</v>
      </c>
      <c r="H716"/>
    </row>
    <row r="717" spans="1:8" x14ac:dyDescent="0.35">
      <c r="A717" s="528" t="s">
        <v>2391</v>
      </c>
      <c r="B717" s="528" t="s">
        <v>2392</v>
      </c>
      <c r="C717" s="528" t="s">
        <v>2393</v>
      </c>
      <c r="D717" s="528" t="s">
        <v>225</v>
      </c>
      <c r="E717" s="528"/>
      <c r="F717" s="528"/>
      <c r="G717" s="528" t="s">
        <v>205</v>
      </c>
      <c r="H717"/>
    </row>
    <row r="718" spans="1:8" x14ac:dyDescent="0.35">
      <c r="A718" s="528" t="s">
        <v>2394</v>
      </c>
      <c r="B718" s="528" t="s">
        <v>2395</v>
      </c>
      <c r="C718" s="528" t="s">
        <v>2396</v>
      </c>
      <c r="D718" s="528" t="s">
        <v>277</v>
      </c>
      <c r="E718" s="528"/>
      <c r="F718" s="528"/>
      <c r="G718" s="528" t="s">
        <v>212</v>
      </c>
      <c r="H718"/>
    </row>
    <row r="719" spans="1:8" x14ac:dyDescent="0.35">
      <c r="A719" s="528" t="s">
        <v>2397</v>
      </c>
      <c r="B719" s="528" t="s">
        <v>2398</v>
      </c>
      <c r="C719" s="528" t="s">
        <v>2399</v>
      </c>
      <c r="D719" s="528" t="s">
        <v>277</v>
      </c>
      <c r="E719" s="528"/>
      <c r="F719" s="528"/>
      <c r="G719" s="528" t="s">
        <v>208</v>
      </c>
      <c r="H719"/>
    </row>
    <row r="720" spans="1:8" x14ac:dyDescent="0.35">
      <c r="A720" s="528" t="s">
        <v>2400</v>
      </c>
      <c r="B720" s="528" t="s">
        <v>2401</v>
      </c>
      <c r="C720" s="528" t="s">
        <v>2402</v>
      </c>
      <c r="D720" s="528" t="s">
        <v>264</v>
      </c>
      <c r="E720" s="528"/>
      <c r="F720" s="528"/>
      <c r="G720" s="528" t="s">
        <v>208</v>
      </c>
      <c r="H720"/>
    </row>
    <row r="721" spans="1:8" x14ac:dyDescent="0.35">
      <c r="A721" s="528" t="s">
        <v>2403</v>
      </c>
      <c r="B721" s="528" t="s">
        <v>2404</v>
      </c>
      <c r="C721" s="528" t="s">
        <v>786</v>
      </c>
      <c r="D721" s="528" t="s">
        <v>225</v>
      </c>
      <c r="E721" s="528"/>
      <c r="F721" s="528"/>
      <c r="G721" s="528" t="s">
        <v>208</v>
      </c>
      <c r="H721"/>
    </row>
    <row r="722" spans="1:8" x14ac:dyDescent="0.35">
      <c r="A722" s="528" t="s">
        <v>2405</v>
      </c>
      <c r="B722" s="528" t="s">
        <v>2406</v>
      </c>
      <c r="C722" s="528" t="s">
        <v>2407</v>
      </c>
      <c r="D722" s="528" t="s">
        <v>277</v>
      </c>
      <c r="E722" s="528"/>
      <c r="F722" s="528"/>
      <c r="G722" s="528" t="s">
        <v>205</v>
      </c>
      <c r="H722"/>
    </row>
    <row r="723" spans="1:8" x14ac:dyDescent="0.35">
      <c r="A723" s="528" t="s">
        <v>2408</v>
      </c>
      <c r="B723" s="528" t="s">
        <v>2409</v>
      </c>
      <c r="C723" s="528" t="s">
        <v>2410</v>
      </c>
      <c r="D723" s="528" t="s">
        <v>264</v>
      </c>
      <c r="E723" s="528"/>
      <c r="F723" s="528"/>
      <c r="G723" s="528" t="s">
        <v>205</v>
      </c>
      <c r="H723"/>
    </row>
    <row r="724" spans="1:8" x14ac:dyDescent="0.35">
      <c r="A724" s="528" t="s">
        <v>2411</v>
      </c>
      <c r="B724" s="528" t="s">
        <v>2412</v>
      </c>
      <c r="C724" s="528" t="s">
        <v>792</v>
      </c>
      <c r="D724" s="528" t="s">
        <v>277</v>
      </c>
      <c r="E724" s="528"/>
      <c r="F724" s="528"/>
      <c r="G724" s="528" t="s">
        <v>205</v>
      </c>
      <c r="H724"/>
    </row>
    <row r="725" spans="1:8" x14ac:dyDescent="0.35">
      <c r="A725" s="528" t="s">
        <v>2413</v>
      </c>
      <c r="B725" s="528" t="s">
        <v>2414</v>
      </c>
      <c r="C725" s="528" t="s">
        <v>1504</v>
      </c>
      <c r="D725" s="528" t="s">
        <v>277</v>
      </c>
      <c r="E725" s="528"/>
      <c r="F725" s="528"/>
      <c r="G725" s="528" t="s">
        <v>205</v>
      </c>
      <c r="H725"/>
    </row>
    <row r="726" spans="1:8" x14ac:dyDescent="0.35">
      <c r="A726" s="528" t="s">
        <v>2415</v>
      </c>
      <c r="B726" s="528" t="s">
        <v>2416</v>
      </c>
      <c r="C726" s="528" t="s">
        <v>2417</v>
      </c>
      <c r="D726" s="528" t="s">
        <v>264</v>
      </c>
      <c r="E726" s="528"/>
      <c r="F726" s="528"/>
      <c r="G726" s="528" t="s">
        <v>205</v>
      </c>
      <c r="H726"/>
    </row>
    <row r="727" spans="1:8" x14ac:dyDescent="0.35">
      <c r="A727" s="528" t="s">
        <v>2418</v>
      </c>
      <c r="B727" s="528" t="s">
        <v>2419</v>
      </c>
      <c r="C727" s="528" t="s">
        <v>2420</v>
      </c>
      <c r="D727" s="528" t="s">
        <v>277</v>
      </c>
      <c r="E727" s="528"/>
      <c r="F727" s="528"/>
      <c r="G727" s="528" t="s">
        <v>205</v>
      </c>
      <c r="H727"/>
    </row>
    <row r="728" spans="1:8" x14ac:dyDescent="0.35">
      <c r="A728" s="528" t="s">
        <v>2421</v>
      </c>
      <c r="B728" s="528" t="s">
        <v>2422</v>
      </c>
      <c r="C728" s="528" t="s">
        <v>2423</v>
      </c>
      <c r="D728" s="528" t="s">
        <v>277</v>
      </c>
      <c r="E728" s="528"/>
      <c r="F728" s="528"/>
      <c r="G728" s="528" t="s">
        <v>208</v>
      </c>
      <c r="H728"/>
    </row>
    <row r="729" spans="1:8" x14ac:dyDescent="0.35">
      <c r="A729" s="528" t="s">
        <v>2424</v>
      </c>
      <c r="B729" s="528" t="s">
        <v>2425</v>
      </c>
      <c r="C729" s="528" t="s">
        <v>2426</v>
      </c>
      <c r="D729" s="528" t="s">
        <v>277</v>
      </c>
      <c r="E729" s="528"/>
      <c r="F729" s="528"/>
      <c r="G729" s="528" t="s">
        <v>208</v>
      </c>
      <c r="H729"/>
    </row>
    <row r="730" spans="1:8" x14ac:dyDescent="0.35">
      <c r="A730" s="528" t="s">
        <v>2427</v>
      </c>
      <c r="B730" s="528" t="s">
        <v>2428</v>
      </c>
      <c r="C730" s="528" t="s">
        <v>2429</v>
      </c>
      <c r="D730" s="528" t="s">
        <v>277</v>
      </c>
      <c r="E730" s="528"/>
      <c r="F730" s="528"/>
      <c r="G730" s="528" t="s">
        <v>208</v>
      </c>
      <c r="H730"/>
    </row>
    <row r="731" spans="1:8" x14ac:dyDescent="0.35">
      <c r="A731" s="528" t="s">
        <v>2430</v>
      </c>
      <c r="B731" s="528" t="s">
        <v>2431</v>
      </c>
      <c r="C731" s="528" t="s">
        <v>2432</v>
      </c>
      <c r="D731" s="528" t="s">
        <v>277</v>
      </c>
      <c r="E731" s="528"/>
      <c r="F731" s="528"/>
      <c r="G731" s="528" t="s">
        <v>208</v>
      </c>
      <c r="H731"/>
    </row>
    <row r="732" spans="1:8" x14ac:dyDescent="0.35">
      <c r="A732" s="528" t="s">
        <v>2433</v>
      </c>
      <c r="B732" s="528" t="s">
        <v>2434</v>
      </c>
      <c r="C732" s="528" t="s">
        <v>2435</v>
      </c>
      <c r="D732" s="528" t="s">
        <v>277</v>
      </c>
      <c r="E732" s="528"/>
      <c r="F732" s="528"/>
      <c r="G732" s="528" t="s">
        <v>208</v>
      </c>
      <c r="H732"/>
    </row>
    <row r="733" spans="1:8" x14ac:dyDescent="0.35">
      <c r="A733" s="528" t="s">
        <v>2436</v>
      </c>
      <c r="B733" s="528" t="s">
        <v>2437</v>
      </c>
      <c r="C733" s="528" t="s">
        <v>1020</v>
      </c>
      <c r="D733" s="528" t="s">
        <v>251</v>
      </c>
      <c r="E733" s="528"/>
      <c r="F733" s="528"/>
      <c r="G733" s="528" t="s">
        <v>208</v>
      </c>
      <c r="H733"/>
    </row>
    <row r="734" spans="1:8" x14ac:dyDescent="0.35">
      <c r="A734" s="528" t="s">
        <v>2438</v>
      </c>
      <c r="B734" s="528" t="s">
        <v>2439</v>
      </c>
      <c r="C734" s="528" t="s">
        <v>2440</v>
      </c>
      <c r="D734" s="528" t="s">
        <v>277</v>
      </c>
      <c r="E734" s="528"/>
      <c r="F734" s="528"/>
      <c r="G734" s="528" t="s">
        <v>208</v>
      </c>
      <c r="H734"/>
    </row>
    <row r="735" spans="1:8" x14ac:dyDescent="0.35">
      <c r="A735" s="528" t="s">
        <v>2441</v>
      </c>
      <c r="B735" s="528" t="s">
        <v>2442</v>
      </c>
      <c r="C735" s="528" t="s">
        <v>2443</v>
      </c>
      <c r="D735" s="528" t="s">
        <v>277</v>
      </c>
      <c r="E735" s="528"/>
      <c r="F735" s="528"/>
      <c r="G735" s="528" t="s">
        <v>208</v>
      </c>
      <c r="H735"/>
    </row>
    <row r="736" spans="1:8" x14ac:dyDescent="0.35">
      <c r="A736" s="528" t="s">
        <v>2444</v>
      </c>
      <c r="B736" s="528" t="s">
        <v>2445</v>
      </c>
      <c r="C736" s="528" t="s">
        <v>2446</v>
      </c>
      <c r="D736" s="528" t="s">
        <v>277</v>
      </c>
      <c r="E736" s="528"/>
      <c r="F736" s="528"/>
      <c r="G736" s="528" t="s">
        <v>208</v>
      </c>
      <c r="H736"/>
    </row>
    <row r="737" spans="1:8" x14ac:dyDescent="0.35">
      <c r="A737" s="528" t="s">
        <v>2447</v>
      </c>
      <c r="B737" s="528" t="s">
        <v>2448</v>
      </c>
      <c r="C737" s="528" t="s">
        <v>2449</v>
      </c>
      <c r="D737" s="528" t="s">
        <v>251</v>
      </c>
      <c r="E737" s="528"/>
      <c r="F737" s="528"/>
      <c r="G737" s="528" t="s">
        <v>208</v>
      </c>
      <c r="H737"/>
    </row>
    <row r="738" spans="1:8" x14ac:dyDescent="0.35">
      <c r="A738" s="528" t="s">
        <v>2450</v>
      </c>
      <c r="B738" s="528" t="s">
        <v>2451</v>
      </c>
      <c r="C738" s="528" t="s">
        <v>2452</v>
      </c>
      <c r="D738" s="528" t="s">
        <v>277</v>
      </c>
      <c r="E738" s="528"/>
      <c r="F738" s="528"/>
      <c r="G738" s="528" t="s">
        <v>208</v>
      </c>
      <c r="H738"/>
    </row>
    <row r="739" spans="1:8" x14ac:dyDescent="0.35">
      <c r="A739" s="528" t="s">
        <v>2453</v>
      </c>
      <c r="B739" s="528" t="s">
        <v>2454</v>
      </c>
      <c r="C739" s="528" t="s">
        <v>2455</v>
      </c>
      <c r="D739" s="528" t="s">
        <v>277</v>
      </c>
      <c r="E739" s="528"/>
      <c r="F739" s="528"/>
      <c r="G739" s="528" t="s">
        <v>208</v>
      </c>
      <c r="H739"/>
    </row>
    <row r="740" spans="1:8" x14ac:dyDescent="0.35">
      <c r="A740" s="528" t="s">
        <v>2456</v>
      </c>
      <c r="B740" s="528" t="s">
        <v>2457</v>
      </c>
      <c r="C740" s="528" t="s">
        <v>2458</v>
      </c>
      <c r="D740" s="528" t="s">
        <v>277</v>
      </c>
      <c r="E740" s="528"/>
      <c r="F740" s="528"/>
      <c r="G740" s="528" t="s">
        <v>208</v>
      </c>
      <c r="H740"/>
    </row>
    <row r="741" spans="1:8" x14ac:dyDescent="0.35">
      <c r="A741" s="528" t="s">
        <v>2459</v>
      </c>
      <c r="B741" s="528" t="s">
        <v>2460</v>
      </c>
      <c r="C741" s="528" t="s">
        <v>2461</v>
      </c>
      <c r="D741" s="528" t="s">
        <v>277</v>
      </c>
      <c r="E741" s="528"/>
      <c r="F741" s="528"/>
      <c r="G741" s="528" t="s">
        <v>208</v>
      </c>
      <c r="H741"/>
    </row>
    <row r="742" spans="1:8" x14ac:dyDescent="0.35">
      <c r="A742" s="528" t="s">
        <v>2462</v>
      </c>
      <c r="B742" s="528" t="s">
        <v>2463</v>
      </c>
      <c r="C742" s="528" t="s">
        <v>2464</v>
      </c>
      <c r="D742" s="528" t="s">
        <v>277</v>
      </c>
      <c r="E742" s="528"/>
      <c r="F742" s="528"/>
      <c r="G742" s="528" t="s">
        <v>208</v>
      </c>
      <c r="H742"/>
    </row>
    <row r="743" spans="1:8" x14ac:dyDescent="0.35">
      <c r="A743" s="528" t="s">
        <v>2465</v>
      </c>
      <c r="B743" s="528" t="s">
        <v>2466</v>
      </c>
      <c r="C743" s="528" t="s">
        <v>2467</v>
      </c>
      <c r="D743" s="528" t="s">
        <v>251</v>
      </c>
      <c r="E743" s="528"/>
      <c r="F743" s="528"/>
      <c r="G743" s="528" t="s">
        <v>208</v>
      </c>
      <c r="H743"/>
    </row>
    <row r="744" spans="1:8" x14ac:dyDescent="0.35">
      <c r="A744" s="528" t="s">
        <v>2468</v>
      </c>
      <c r="B744" s="528" t="s">
        <v>2469</v>
      </c>
      <c r="C744" s="528" t="s">
        <v>2470</v>
      </c>
      <c r="D744" s="528" t="s">
        <v>277</v>
      </c>
      <c r="E744" s="528"/>
      <c r="F744" s="528"/>
      <c r="G744" s="528" t="s">
        <v>208</v>
      </c>
      <c r="H744"/>
    </row>
    <row r="745" spans="1:8" x14ac:dyDescent="0.35">
      <c r="A745" s="528" t="s">
        <v>2471</v>
      </c>
      <c r="B745" s="528" t="s">
        <v>2472</v>
      </c>
      <c r="C745" s="528" t="s">
        <v>675</v>
      </c>
      <c r="D745" s="528" t="s">
        <v>277</v>
      </c>
      <c r="E745" s="528"/>
      <c r="F745" s="528"/>
      <c r="G745" s="528" t="s">
        <v>208</v>
      </c>
      <c r="H745"/>
    </row>
    <row r="746" spans="1:8" x14ac:dyDescent="0.35">
      <c r="A746" s="528" t="s">
        <v>2473</v>
      </c>
      <c r="B746" s="528" t="s">
        <v>2474</v>
      </c>
      <c r="C746" s="528" t="s">
        <v>2475</v>
      </c>
      <c r="D746" s="528" t="s">
        <v>277</v>
      </c>
      <c r="E746" s="528"/>
      <c r="F746" s="528"/>
      <c r="G746" s="528" t="s">
        <v>208</v>
      </c>
      <c r="H746"/>
    </row>
    <row r="747" spans="1:8" x14ac:dyDescent="0.35">
      <c r="A747" s="528" t="s">
        <v>2476</v>
      </c>
      <c r="B747" s="528" t="s">
        <v>2477</v>
      </c>
      <c r="C747" s="528" t="s">
        <v>2478</v>
      </c>
      <c r="D747" s="528" t="s">
        <v>264</v>
      </c>
      <c r="E747" s="528"/>
      <c r="F747" s="528"/>
      <c r="G747" s="528" t="s">
        <v>208</v>
      </c>
      <c r="H747"/>
    </row>
    <row r="748" spans="1:8" x14ac:dyDescent="0.35">
      <c r="A748" s="528" t="s">
        <v>2479</v>
      </c>
      <c r="B748" s="528" t="s">
        <v>2480</v>
      </c>
      <c r="C748" s="528" t="s">
        <v>1116</v>
      </c>
      <c r="D748" s="528" t="s">
        <v>277</v>
      </c>
      <c r="E748" s="528"/>
      <c r="F748" s="528"/>
      <c r="G748" s="528" t="s">
        <v>208</v>
      </c>
      <c r="H748"/>
    </row>
    <row r="749" spans="1:8" x14ac:dyDescent="0.35">
      <c r="A749" s="528" t="s">
        <v>2481</v>
      </c>
      <c r="B749" s="528" t="s">
        <v>2482</v>
      </c>
      <c r="C749" s="528" t="s">
        <v>2283</v>
      </c>
      <c r="D749" s="528" t="s">
        <v>277</v>
      </c>
      <c r="E749" s="528"/>
      <c r="F749" s="528"/>
      <c r="G749" s="528" t="s">
        <v>208</v>
      </c>
      <c r="H749"/>
    </row>
    <row r="750" spans="1:8" x14ac:dyDescent="0.35">
      <c r="A750" s="528" t="s">
        <v>2483</v>
      </c>
      <c r="B750" s="528" t="s">
        <v>2484</v>
      </c>
      <c r="C750" s="528" t="s">
        <v>1107</v>
      </c>
      <c r="D750" s="528" t="s">
        <v>251</v>
      </c>
      <c r="E750" s="528"/>
      <c r="F750" s="528"/>
      <c r="G750" s="528" t="s">
        <v>208</v>
      </c>
      <c r="H750"/>
    </row>
    <row r="751" spans="1:8" x14ac:dyDescent="0.35">
      <c r="A751" s="528" t="s">
        <v>2485</v>
      </c>
      <c r="B751" s="528" t="s">
        <v>2486</v>
      </c>
      <c r="C751" s="528" t="s">
        <v>2487</v>
      </c>
      <c r="D751" s="528" t="s">
        <v>277</v>
      </c>
      <c r="E751" s="528"/>
      <c r="F751" s="528"/>
      <c r="G751" s="528" t="s">
        <v>208</v>
      </c>
      <c r="H751"/>
    </row>
    <row r="752" spans="1:8" x14ac:dyDescent="0.35">
      <c r="A752" s="528" t="s">
        <v>2488</v>
      </c>
      <c r="B752" s="528" t="s">
        <v>2489</v>
      </c>
      <c r="C752" s="528" t="s">
        <v>1377</v>
      </c>
      <c r="D752" s="528" t="s">
        <v>251</v>
      </c>
      <c r="E752" s="528"/>
      <c r="F752" s="528"/>
      <c r="G752" s="528" t="s">
        <v>208</v>
      </c>
      <c r="H752"/>
    </row>
    <row r="753" spans="1:8" x14ac:dyDescent="0.35">
      <c r="A753" s="528" t="s">
        <v>2490</v>
      </c>
      <c r="B753" s="528" t="s">
        <v>2491</v>
      </c>
      <c r="C753" s="528" t="s">
        <v>2492</v>
      </c>
      <c r="D753" s="528" t="s">
        <v>251</v>
      </c>
      <c r="E753" s="528"/>
      <c r="F753" s="528"/>
      <c r="G753" s="528" t="s">
        <v>208</v>
      </c>
      <c r="H753"/>
    </row>
    <row r="754" spans="1:8" x14ac:dyDescent="0.35">
      <c r="A754" s="528" t="s">
        <v>2493</v>
      </c>
      <c r="B754" s="528" t="s">
        <v>2494</v>
      </c>
      <c r="C754" s="528" t="s">
        <v>2495</v>
      </c>
      <c r="D754" s="528" t="s">
        <v>264</v>
      </c>
      <c r="E754" s="528"/>
      <c r="F754" s="528"/>
      <c r="G754" s="528" t="s">
        <v>208</v>
      </c>
      <c r="H754"/>
    </row>
    <row r="755" spans="1:8" x14ac:dyDescent="0.35">
      <c r="A755" s="528" t="s">
        <v>2496</v>
      </c>
      <c r="B755" s="528" t="s">
        <v>2497</v>
      </c>
      <c r="C755" s="528" t="s">
        <v>2498</v>
      </c>
      <c r="D755" s="528" t="s">
        <v>277</v>
      </c>
      <c r="E755" s="528"/>
      <c r="F755" s="528"/>
      <c r="G755" s="528" t="s">
        <v>208</v>
      </c>
      <c r="H755"/>
    </row>
    <row r="756" spans="1:8" x14ac:dyDescent="0.35">
      <c r="A756" s="528" t="s">
        <v>2499</v>
      </c>
      <c r="B756" s="528" t="s">
        <v>2500</v>
      </c>
      <c r="C756" s="528" t="s">
        <v>2501</v>
      </c>
      <c r="D756" s="528" t="s">
        <v>277</v>
      </c>
      <c r="E756" s="528"/>
      <c r="F756" s="528"/>
      <c r="G756" s="528" t="s">
        <v>212</v>
      </c>
      <c r="H756"/>
    </row>
    <row r="757" spans="1:8" x14ac:dyDescent="0.35">
      <c r="A757" s="528" t="s">
        <v>2502</v>
      </c>
      <c r="B757" s="528" t="s">
        <v>2503</v>
      </c>
      <c r="C757" s="528" t="s">
        <v>2504</v>
      </c>
      <c r="D757" s="528" t="s">
        <v>251</v>
      </c>
      <c r="E757" s="528"/>
      <c r="F757" s="528"/>
      <c r="G757" s="528" t="s">
        <v>212</v>
      </c>
      <c r="H757"/>
    </row>
    <row r="758" spans="1:8" x14ac:dyDescent="0.35">
      <c r="A758" s="528" t="s">
        <v>2505</v>
      </c>
      <c r="B758" s="528" t="s">
        <v>2506</v>
      </c>
      <c r="C758" s="528" t="s">
        <v>2507</v>
      </c>
      <c r="D758" s="528" t="s">
        <v>277</v>
      </c>
      <c r="E758" s="528"/>
      <c r="F758" s="528"/>
      <c r="G758" s="528" t="s">
        <v>212</v>
      </c>
      <c r="H758"/>
    </row>
    <row r="759" spans="1:8" x14ac:dyDescent="0.35">
      <c r="A759" s="528" t="s">
        <v>2508</v>
      </c>
      <c r="B759" s="528" t="s">
        <v>2509</v>
      </c>
      <c r="C759" s="528" t="s">
        <v>2510</v>
      </c>
      <c r="D759" s="528" t="s">
        <v>277</v>
      </c>
      <c r="E759" s="528"/>
      <c r="F759" s="528"/>
      <c r="G759" s="528" t="s">
        <v>212</v>
      </c>
      <c r="H759"/>
    </row>
    <row r="760" spans="1:8" x14ac:dyDescent="0.35">
      <c r="A760" s="528" t="s">
        <v>2511</v>
      </c>
      <c r="B760" s="528" t="s">
        <v>2512</v>
      </c>
      <c r="C760" s="528" t="s">
        <v>2513</v>
      </c>
      <c r="D760" s="528" t="s">
        <v>277</v>
      </c>
      <c r="E760" s="528"/>
      <c r="F760" s="528"/>
      <c r="G760" s="528" t="s">
        <v>214</v>
      </c>
      <c r="H760"/>
    </row>
    <row r="761" spans="1:8" x14ac:dyDescent="0.35">
      <c r="A761" s="528" t="s">
        <v>2514</v>
      </c>
      <c r="B761" s="528" t="s">
        <v>2515</v>
      </c>
      <c r="C761" s="528" t="s">
        <v>690</v>
      </c>
      <c r="D761" s="528" t="s">
        <v>264</v>
      </c>
      <c r="E761" s="528"/>
      <c r="F761" s="528"/>
      <c r="G761" s="528" t="s">
        <v>210</v>
      </c>
      <c r="H761"/>
    </row>
    <row r="762" spans="1:8" x14ac:dyDescent="0.35">
      <c r="A762" s="528" t="s">
        <v>2516</v>
      </c>
      <c r="B762" s="528" t="s">
        <v>2517</v>
      </c>
      <c r="C762" s="528" t="s">
        <v>2518</v>
      </c>
      <c r="D762" s="528" t="s">
        <v>277</v>
      </c>
      <c r="E762" s="528"/>
      <c r="F762" s="528"/>
      <c r="G762" s="528" t="s">
        <v>214</v>
      </c>
      <c r="H762"/>
    </row>
    <row r="763" spans="1:8" x14ac:dyDescent="0.35">
      <c r="A763" s="528" t="s">
        <v>2519</v>
      </c>
      <c r="B763" s="528" t="s">
        <v>2520</v>
      </c>
      <c r="C763" s="528" t="s">
        <v>2521</v>
      </c>
      <c r="D763" s="528" t="s">
        <v>277</v>
      </c>
      <c r="E763" s="528"/>
      <c r="F763" s="528"/>
      <c r="G763" s="528" t="s">
        <v>212</v>
      </c>
      <c r="H763"/>
    </row>
    <row r="764" spans="1:8" x14ac:dyDescent="0.35">
      <c r="A764" s="528" t="s">
        <v>2522</v>
      </c>
      <c r="B764" s="528" t="s">
        <v>2523</v>
      </c>
      <c r="C764" s="528" t="s">
        <v>2524</v>
      </c>
      <c r="D764" s="528" t="s">
        <v>277</v>
      </c>
      <c r="E764" s="528"/>
      <c r="F764" s="528"/>
      <c r="G764" s="528" t="s">
        <v>212</v>
      </c>
      <c r="H764"/>
    </row>
    <row r="765" spans="1:8" x14ac:dyDescent="0.35">
      <c r="A765" s="528" t="s">
        <v>2525</v>
      </c>
      <c r="B765" s="528" t="s">
        <v>2526</v>
      </c>
      <c r="C765" s="528" t="s">
        <v>2527</v>
      </c>
      <c r="D765" s="528" t="s">
        <v>251</v>
      </c>
      <c r="E765" s="528"/>
      <c r="F765" s="528"/>
      <c r="G765" s="528" t="s">
        <v>214</v>
      </c>
      <c r="H765"/>
    </row>
    <row r="766" spans="1:8" x14ac:dyDescent="0.35">
      <c r="A766" s="528" t="s">
        <v>2528</v>
      </c>
      <c r="B766" s="528" t="s">
        <v>2529</v>
      </c>
      <c r="C766" s="528" t="s">
        <v>1377</v>
      </c>
      <c r="D766" s="528" t="s">
        <v>251</v>
      </c>
      <c r="E766" s="528"/>
      <c r="F766" s="528"/>
      <c r="G766" s="528" t="s">
        <v>208</v>
      </c>
      <c r="H766"/>
    </row>
    <row r="767" spans="1:8" x14ac:dyDescent="0.35">
      <c r="A767" s="528" t="s">
        <v>2530</v>
      </c>
      <c r="B767" s="528" t="s">
        <v>2531</v>
      </c>
      <c r="C767" s="528" t="s">
        <v>2532</v>
      </c>
      <c r="D767" s="528" t="s">
        <v>251</v>
      </c>
      <c r="E767" s="528"/>
      <c r="F767" s="528"/>
      <c r="G767" s="528" t="s">
        <v>208</v>
      </c>
      <c r="H767"/>
    </row>
    <row r="768" spans="1:8" x14ac:dyDescent="0.35">
      <c r="A768" s="528" t="s">
        <v>2533</v>
      </c>
      <c r="B768" s="528" t="s">
        <v>2534</v>
      </c>
      <c r="C768" s="528" t="s">
        <v>2535</v>
      </c>
      <c r="D768" s="528" t="s">
        <v>251</v>
      </c>
      <c r="E768" s="528"/>
      <c r="F768" s="528"/>
      <c r="G768" s="528" t="s">
        <v>208</v>
      </c>
      <c r="H768"/>
    </row>
    <row r="769" spans="1:8" x14ac:dyDescent="0.35">
      <c r="A769" s="528" t="s">
        <v>2536</v>
      </c>
      <c r="B769" s="528" t="s">
        <v>2537</v>
      </c>
      <c r="C769" s="528" t="s">
        <v>1107</v>
      </c>
      <c r="D769" s="528" t="s">
        <v>251</v>
      </c>
      <c r="E769" s="528"/>
      <c r="F769" s="528"/>
      <c r="G769" s="528" t="s">
        <v>208</v>
      </c>
      <c r="H769"/>
    </row>
    <row r="770" spans="1:8" x14ac:dyDescent="0.35">
      <c r="A770" s="528" t="s">
        <v>2538</v>
      </c>
      <c r="B770" s="528" t="s">
        <v>2539</v>
      </c>
      <c r="C770" s="528" t="s">
        <v>2540</v>
      </c>
      <c r="D770" s="528" t="s">
        <v>251</v>
      </c>
      <c r="E770" s="528"/>
      <c r="F770" s="528"/>
      <c r="G770" s="528" t="s">
        <v>208</v>
      </c>
      <c r="H770"/>
    </row>
    <row r="771" spans="1:8" x14ac:dyDescent="0.35">
      <c r="A771" s="528" t="s">
        <v>2541</v>
      </c>
      <c r="B771" s="528" t="s">
        <v>2542</v>
      </c>
      <c r="C771" s="528" t="s">
        <v>1445</v>
      </c>
      <c r="D771" s="528" t="s">
        <v>251</v>
      </c>
      <c r="E771" s="528"/>
      <c r="F771" s="528"/>
      <c r="G771" s="528" t="s">
        <v>205</v>
      </c>
      <c r="H771"/>
    </row>
    <row r="772" spans="1:8" x14ac:dyDescent="0.35">
      <c r="A772" s="528" t="s">
        <v>2543</v>
      </c>
      <c r="B772" s="528" t="s">
        <v>2544</v>
      </c>
      <c r="C772" s="528" t="s">
        <v>2545</v>
      </c>
      <c r="D772" s="528" t="s">
        <v>251</v>
      </c>
      <c r="E772" s="528"/>
      <c r="F772" s="528"/>
      <c r="G772" s="528" t="s">
        <v>208</v>
      </c>
      <c r="H772"/>
    </row>
    <row r="773" spans="1:8" x14ac:dyDescent="0.35">
      <c r="A773" s="528" t="s">
        <v>2546</v>
      </c>
      <c r="B773" s="528" t="s">
        <v>2547</v>
      </c>
      <c r="C773" s="528" t="s">
        <v>2548</v>
      </c>
      <c r="D773" s="528" t="s">
        <v>251</v>
      </c>
      <c r="E773" s="528"/>
      <c r="F773" s="528"/>
      <c r="G773" s="528" t="s">
        <v>208</v>
      </c>
      <c r="H773"/>
    </row>
    <row r="774" spans="1:8" x14ac:dyDescent="0.35">
      <c r="A774" s="528" t="s">
        <v>2549</v>
      </c>
      <c r="B774" s="528" t="s">
        <v>2550</v>
      </c>
      <c r="C774" s="528" t="s">
        <v>2551</v>
      </c>
      <c r="D774" s="528" t="s">
        <v>251</v>
      </c>
      <c r="E774" s="528"/>
      <c r="F774" s="528"/>
      <c r="G774" s="528" t="s">
        <v>205</v>
      </c>
      <c r="H774"/>
    </row>
    <row r="775" spans="1:8" x14ac:dyDescent="0.35">
      <c r="A775" s="528" t="s">
        <v>2552</v>
      </c>
      <c r="B775" s="528" t="s">
        <v>2553</v>
      </c>
      <c r="C775" s="528" t="s">
        <v>2554</v>
      </c>
      <c r="D775" s="528" t="s">
        <v>264</v>
      </c>
      <c r="E775" s="528"/>
      <c r="F775" s="528"/>
      <c r="G775" s="528" t="s">
        <v>205</v>
      </c>
      <c r="H775"/>
    </row>
    <row r="776" spans="1:8" x14ac:dyDescent="0.35">
      <c r="A776" s="528" t="s">
        <v>2555</v>
      </c>
      <c r="B776" s="528" t="s">
        <v>2556</v>
      </c>
      <c r="C776" s="528" t="s">
        <v>2557</v>
      </c>
      <c r="D776" s="528" t="s">
        <v>264</v>
      </c>
      <c r="E776" s="528"/>
      <c r="F776" s="528"/>
      <c r="G776" s="528" t="s">
        <v>205</v>
      </c>
      <c r="H776"/>
    </row>
    <row r="777" spans="1:8" x14ac:dyDescent="0.35">
      <c r="A777" s="528" t="s">
        <v>2558</v>
      </c>
      <c r="B777" s="528" t="s">
        <v>2559</v>
      </c>
      <c r="C777" s="528" t="s">
        <v>2560</v>
      </c>
      <c r="D777" s="528" t="s">
        <v>264</v>
      </c>
      <c r="E777" s="528"/>
      <c r="F777" s="528"/>
      <c r="G777" s="528" t="s">
        <v>205</v>
      </c>
      <c r="H777"/>
    </row>
    <row r="778" spans="1:8" x14ac:dyDescent="0.35">
      <c r="A778" s="528" t="s">
        <v>2561</v>
      </c>
      <c r="B778" s="528" t="s">
        <v>2562</v>
      </c>
      <c r="C778" s="528" t="s">
        <v>2563</v>
      </c>
      <c r="D778" s="528" t="s">
        <v>238</v>
      </c>
      <c r="E778" s="528"/>
      <c r="F778" s="528"/>
      <c r="G778" s="528" t="s">
        <v>205</v>
      </c>
      <c r="H778"/>
    </row>
    <row r="779" spans="1:8" x14ac:dyDescent="0.35">
      <c r="A779" s="528" t="s">
        <v>2564</v>
      </c>
      <c r="B779" s="528" t="s">
        <v>2565</v>
      </c>
      <c r="C779" s="528" t="s">
        <v>2566</v>
      </c>
      <c r="D779" s="528" t="s">
        <v>225</v>
      </c>
      <c r="E779" s="528"/>
      <c r="F779" s="528"/>
      <c r="G779" s="528" t="s">
        <v>205</v>
      </c>
      <c r="H779"/>
    </row>
    <row r="780" spans="1:8" x14ac:dyDescent="0.35">
      <c r="A780" s="528" t="s">
        <v>2567</v>
      </c>
      <c r="B780" s="528" t="s">
        <v>2568</v>
      </c>
      <c r="C780" s="528" t="s">
        <v>2569</v>
      </c>
      <c r="D780" s="528" t="s">
        <v>225</v>
      </c>
      <c r="E780" s="528"/>
      <c r="F780" s="528"/>
      <c r="G780" s="528" t="s">
        <v>205</v>
      </c>
      <c r="H780"/>
    </row>
    <row r="781" spans="1:8" x14ac:dyDescent="0.35">
      <c r="A781" s="528" t="s">
        <v>2570</v>
      </c>
      <c r="B781" s="528" t="s">
        <v>2571</v>
      </c>
      <c r="C781" s="528" t="s">
        <v>2572</v>
      </c>
      <c r="D781" s="528" t="s">
        <v>225</v>
      </c>
      <c r="E781" s="528"/>
      <c r="F781" s="528"/>
      <c r="G781" s="528" t="s">
        <v>205</v>
      </c>
      <c r="H781"/>
    </row>
    <row r="782" spans="1:8" x14ac:dyDescent="0.35">
      <c r="A782" s="528" t="s">
        <v>2573</v>
      </c>
      <c r="B782" s="528" t="s">
        <v>2574</v>
      </c>
      <c r="C782" s="528" t="s">
        <v>2575</v>
      </c>
      <c r="D782" s="528" t="s">
        <v>251</v>
      </c>
      <c r="E782" s="528"/>
      <c r="F782" s="528"/>
      <c r="G782" s="528" t="s">
        <v>205</v>
      </c>
      <c r="H782"/>
    </row>
    <row r="783" spans="1:8" x14ac:dyDescent="0.35">
      <c r="A783" s="528" t="s">
        <v>2576</v>
      </c>
      <c r="B783" s="528" t="s">
        <v>2577</v>
      </c>
      <c r="C783" s="528" t="s">
        <v>2578</v>
      </c>
      <c r="D783" s="528" t="s">
        <v>251</v>
      </c>
      <c r="E783" s="528"/>
      <c r="F783" s="528"/>
      <c r="G783" s="528" t="s">
        <v>205</v>
      </c>
      <c r="H783"/>
    </row>
    <row r="784" spans="1:8" x14ac:dyDescent="0.35">
      <c r="A784" s="528" t="s">
        <v>2579</v>
      </c>
      <c r="B784" s="528" t="s">
        <v>2580</v>
      </c>
      <c r="C784" s="528" t="s">
        <v>2581</v>
      </c>
      <c r="D784" s="528" t="s">
        <v>277</v>
      </c>
      <c r="E784" s="528"/>
      <c r="F784" s="528"/>
      <c r="G784" s="528" t="s">
        <v>214</v>
      </c>
      <c r="H784"/>
    </row>
    <row r="785" spans="1:8" x14ac:dyDescent="0.35">
      <c r="A785" s="528" t="s">
        <v>2582</v>
      </c>
      <c r="B785" s="528" t="s">
        <v>2583</v>
      </c>
      <c r="C785" s="528" t="s">
        <v>2584</v>
      </c>
      <c r="D785" s="528" t="s">
        <v>277</v>
      </c>
      <c r="E785" s="528"/>
      <c r="F785" s="528"/>
      <c r="G785" s="528" t="s">
        <v>205</v>
      </c>
      <c r="H785"/>
    </row>
    <row r="786" spans="1:8" x14ac:dyDescent="0.35">
      <c r="A786" s="528" t="s">
        <v>2585</v>
      </c>
      <c r="B786" s="528" t="s">
        <v>2586</v>
      </c>
      <c r="C786" s="528" t="s">
        <v>2587</v>
      </c>
      <c r="D786" s="528" t="s">
        <v>277</v>
      </c>
      <c r="E786" s="528"/>
      <c r="F786" s="528"/>
      <c r="G786" s="528" t="s">
        <v>205</v>
      </c>
      <c r="H786"/>
    </row>
    <row r="787" spans="1:8" x14ac:dyDescent="0.35">
      <c r="A787" s="528" t="s">
        <v>2588</v>
      </c>
      <c r="B787" s="528" t="s">
        <v>2589</v>
      </c>
      <c r="C787" s="528" t="s">
        <v>1510</v>
      </c>
      <c r="D787" s="528" t="s">
        <v>277</v>
      </c>
      <c r="E787" s="528"/>
      <c r="F787" s="528"/>
      <c r="G787" s="528" t="s">
        <v>205</v>
      </c>
      <c r="H787"/>
    </row>
    <row r="788" spans="1:8" x14ac:dyDescent="0.35">
      <c r="A788" s="528" t="s">
        <v>2590</v>
      </c>
      <c r="B788" s="528" t="s">
        <v>2591</v>
      </c>
      <c r="C788" s="528" t="s">
        <v>2592</v>
      </c>
      <c r="D788" s="528" t="s">
        <v>264</v>
      </c>
      <c r="E788" s="528"/>
      <c r="F788" s="528"/>
      <c r="G788" s="528" t="s">
        <v>205</v>
      </c>
      <c r="H788"/>
    </row>
    <row r="789" spans="1:8" x14ac:dyDescent="0.35">
      <c r="A789" s="528" t="s">
        <v>2593</v>
      </c>
      <c r="B789" s="528" t="s">
        <v>2594</v>
      </c>
      <c r="C789" s="528" t="s">
        <v>2595</v>
      </c>
      <c r="D789" s="528" t="s">
        <v>277</v>
      </c>
      <c r="E789" s="528"/>
      <c r="F789" s="528"/>
      <c r="G789" s="528" t="s">
        <v>205</v>
      </c>
      <c r="H789"/>
    </row>
    <row r="790" spans="1:8" x14ac:dyDescent="0.35">
      <c r="A790" s="528" t="s">
        <v>2596</v>
      </c>
      <c r="B790" s="528" t="s">
        <v>2597</v>
      </c>
      <c r="C790" s="528" t="s">
        <v>2598</v>
      </c>
      <c r="D790" s="528" t="s">
        <v>277</v>
      </c>
      <c r="E790" s="528"/>
      <c r="F790" s="528"/>
      <c r="G790" s="528" t="s">
        <v>205</v>
      </c>
      <c r="H790"/>
    </row>
    <row r="791" spans="1:8" x14ac:dyDescent="0.35">
      <c r="A791" s="528" t="s">
        <v>2599</v>
      </c>
      <c r="B791" s="528" t="s">
        <v>2600</v>
      </c>
      <c r="C791" s="528" t="s">
        <v>2601</v>
      </c>
      <c r="D791" s="528" t="s">
        <v>238</v>
      </c>
      <c r="E791" s="528"/>
      <c r="F791" s="528"/>
      <c r="G791" s="528" t="s">
        <v>205</v>
      </c>
      <c r="H791"/>
    </row>
    <row r="792" spans="1:8" x14ac:dyDescent="0.35">
      <c r="A792" s="528" t="s">
        <v>2602</v>
      </c>
      <c r="B792" s="528" t="s">
        <v>2603</v>
      </c>
      <c r="C792" s="528" t="s">
        <v>2604</v>
      </c>
      <c r="D792" s="528" t="s">
        <v>251</v>
      </c>
      <c r="E792" s="528"/>
      <c r="F792" s="528"/>
      <c r="G792" s="528" t="s">
        <v>205</v>
      </c>
      <c r="H792"/>
    </row>
    <row r="793" spans="1:8" x14ac:dyDescent="0.35">
      <c r="A793" s="528" t="s">
        <v>2605</v>
      </c>
      <c r="B793" s="528" t="s">
        <v>2606</v>
      </c>
      <c r="C793" s="528" t="s">
        <v>2607</v>
      </c>
      <c r="D793" s="528" t="s">
        <v>225</v>
      </c>
      <c r="E793" s="528"/>
      <c r="F793" s="528"/>
      <c r="G793" s="528" t="s">
        <v>205</v>
      </c>
      <c r="H793"/>
    </row>
    <row r="794" spans="1:8" x14ac:dyDescent="0.35">
      <c r="A794" s="528" t="s">
        <v>2608</v>
      </c>
      <c r="B794" s="528" t="s">
        <v>2609</v>
      </c>
      <c r="C794" s="528" t="s">
        <v>2610</v>
      </c>
      <c r="D794" s="528" t="s">
        <v>264</v>
      </c>
      <c r="E794" s="528"/>
      <c r="F794" s="528"/>
      <c r="G794" s="528" t="s">
        <v>205</v>
      </c>
      <c r="H794"/>
    </row>
    <row r="795" spans="1:8" x14ac:dyDescent="0.35">
      <c r="A795" s="528" t="s">
        <v>2611</v>
      </c>
      <c r="B795" s="528" t="s">
        <v>2612</v>
      </c>
      <c r="C795" s="528" t="s">
        <v>2613</v>
      </c>
      <c r="D795" s="528" t="s">
        <v>238</v>
      </c>
      <c r="E795" s="528"/>
      <c r="F795" s="528"/>
      <c r="G795" s="528" t="s">
        <v>205</v>
      </c>
      <c r="H795"/>
    </row>
    <row r="796" spans="1:8" x14ac:dyDescent="0.35">
      <c r="A796" s="528" t="s">
        <v>2614</v>
      </c>
      <c r="B796" s="528" t="s">
        <v>2615</v>
      </c>
      <c r="C796" s="528" t="s">
        <v>2115</v>
      </c>
      <c r="D796" s="528" t="s">
        <v>277</v>
      </c>
      <c r="E796" s="528"/>
      <c r="F796" s="528"/>
      <c r="G796" s="528" t="s">
        <v>205</v>
      </c>
      <c r="H796"/>
    </row>
    <row r="797" spans="1:8" x14ac:dyDescent="0.35">
      <c r="A797" s="528" t="s">
        <v>2616</v>
      </c>
      <c r="B797" s="528" t="s">
        <v>2617</v>
      </c>
      <c r="C797" s="528" t="s">
        <v>2618</v>
      </c>
      <c r="D797" s="528" t="s">
        <v>251</v>
      </c>
      <c r="E797" s="528"/>
      <c r="F797" s="528"/>
      <c r="G797" s="528" t="s">
        <v>205</v>
      </c>
      <c r="H797"/>
    </row>
    <row r="798" spans="1:8" x14ac:dyDescent="0.35">
      <c r="A798" s="528" t="s">
        <v>2619</v>
      </c>
      <c r="B798" s="528" t="s">
        <v>2620</v>
      </c>
      <c r="C798" s="528" t="s">
        <v>2621</v>
      </c>
      <c r="D798" s="528" t="s">
        <v>251</v>
      </c>
      <c r="E798" s="528"/>
      <c r="F798" s="528"/>
      <c r="G798" s="528" t="s">
        <v>205</v>
      </c>
      <c r="H798"/>
    </row>
    <row r="799" spans="1:8" x14ac:dyDescent="0.35">
      <c r="A799" s="528" t="s">
        <v>2622</v>
      </c>
      <c r="B799" s="528" t="s">
        <v>2623</v>
      </c>
      <c r="C799" s="528" t="s">
        <v>2624</v>
      </c>
      <c r="D799" s="528" t="s">
        <v>277</v>
      </c>
      <c r="E799" s="528"/>
      <c r="F799" s="528"/>
      <c r="G799" s="528" t="s">
        <v>205</v>
      </c>
      <c r="H799"/>
    </row>
    <row r="800" spans="1:8" x14ac:dyDescent="0.35">
      <c r="A800" s="528" t="s">
        <v>2625</v>
      </c>
      <c r="B800" s="528" t="s">
        <v>2626</v>
      </c>
      <c r="C800" s="528" t="s">
        <v>1533</v>
      </c>
      <c r="D800" s="528" t="s">
        <v>277</v>
      </c>
      <c r="E800" s="528"/>
      <c r="F800" s="528"/>
      <c r="G800" s="528" t="s">
        <v>205</v>
      </c>
      <c r="H800"/>
    </row>
    <row r="801" spans="1:8" x14ac:dyDescent="0.35">
      <c r="A801" s="528" t="s">
        <v>2627</v>
      </c>
      <c r="B801" s="528" t="s">
        <v>2628</v>
      </c>
      <c r="C801" s="528" t="s">
        <v>2629</v>
      </c>
      <c r="D801" s="528" t="s">
        <v>264</v>
      </c>
      <c r="E801" s="528"/>
      <c r="F801" s="528"/>
      <c r="G801" s="528" t="s">
        <v>205</v>
      </c>
      <c r="H801"/>
    </row>
    <row r="802" spans="1:8" x14ac:dyDescent="0.35">
      <c r="A802" s="528" t="s">
        <v>2630</v>
      </c>
      <c r="B802" s="528" t="s">
        <v>2631</v>
      </c>
      <c r="C802" s="528" t="s">
        <v>2632</v>
      </c>
      <c r="D802" s="528" t="s">
        <v>264</v>
      </c>
      <c r="E802" s="528"/>
      <c r="F802" s="528"/>
      <c r="G802" s="528" t="s">
        <v>208</v>
      </c>
      <c r="H802"/>
    </row>
    <row r="803" spans="1:8" x14ac:dyDescent="0.35">
      <c r="A803" s="528" t="s">
        <v>2633</v>
      </c>
      <c r="B803" s="528" t="s">
        <v>2634</v>
      </c>
      <c r="C803" s="528" t="s">
        <v>2635</v>
      </c>
      <c r="D803" s="528" t="s">
        <v>277</v>
      </c>
      <c r="E803" s="528"/>
      <c r="F803" s="528"/>
      <c r="G803" s="528" t="s">
        <v>205</v>
      </c>
      <c r="H803"/>
    </row>
    <row r="804" spans="1:8" x14ac:dyDescent="0.35">
      <c r="A804" s="528" t="s">
        <v>2636</v>
      </c>
      <c r="B804" s="528" t="s">
        <v>2637</v>
      </c>
      <c r="C804" s="528" t="s">
        <v>1107</v>
      </c>
      <c r="D804" s="528" t="s">
        <v>251</v>
      </c>
      <c r="E804" s="528"/>
      <c r="F804" s="528"/>
      <c r="G804" s="528" t="s">
        <v>208</v>
      </c>
      <c r="H804"/>
    </row>
    <row r="805" spans="1:8" x14ac:dyDescent="0.35">
      <c r="A805" s="528" t="s">
        <v>2638</v>
      </c>
      <c r="B805" s="528" t="s">
        <v>2639</v>
      </c>
      <c r="C805" s="528" t="s">
        <v>2640</v>
      </c>
      <c r="D805" s="528" t="s">
        <v>225</v>
      </c>
      <c r="E805" s="528"/>
      <c r="F805" s="528"/>
      <c r="G805" s="528" t="s">
        <v>205</v>
      </c>
      <c r="H805"/>
    </row>
    <row r="806" spans="1:8" x14ac:dyDescent="0.35">
      <c r="A806" s="528" t="s">
        <v>2641</v>
      </c>
      <c r="B806" s="528" t="s">
        <v>2642</v>
      </c>
      <c r="C806" s="528" t="s">
        <v>2643</v>
      </c>
      <c r="D806" s="528" t="s">
        <v>264</v>
      </c>
      <c r="E806" s="528"/>
      <c r="F806" s="528"/>
      <c r="G806" s="528" t="s">
        <v>205</v>
      </c>
      <c r="H806"/>
    </row>
    <row r="807" spans="1:8" x14ac:dyDescent="0.35">
      <c r="A807" s="528" t="s">
        <v>2644</v>
      </c>
      <c r="B807" s="528" t="s">
        <v>2645</v>
      </c>
      <c r="C807" s="528" t="s">
        <v>2646</v>
      </c>
      <c r="D807" s="528" t="s">
        <v>277</v>
      </c>
      <c r="E807" s="528"/>
      <c r="F807" s="528"/>
      <c r="G807" s="528" t="s">
        <v>205</v>
      </c>
      <c r="H807"/>
    </row>
    <row r="808" spans="1:8" x14ac:dyDescent="0.35">
      <c r="A808" s="528" t="s">
        <v>2647</v>
      </c>
      <c r="B808" s="528" t="s">
        <v>2648</v>
      </c>
      <c r="C808" s="528" t="s">
        <v>2649</v>
      </c>
      <c r="D808" s="528" t="s">
        <v>264</v>
      </c>
      <c r="E808" s="528"/>
      <c r="F808" s="528"/>
      <c r="G808" s="528" t="s">
        <v>205</v>
      </c>
      <c r="H808"/>
    </row>
    <row r="809" spans="1:8" x14ac:dyDescent="0.35">
      <c r="A809" s="528" t="s">
        <v>2650</v>
      </c>
      <c r="B809" s="528" t="s">
        <v>2651</v>
      </c>
      <c r="C809" s="528" t="s">
        <v>2652</v>
      </c>
      <c r="D809" s="528" t="s">
        <v>251</v>
      </c>
      <c r="E809" s="528"/>
      <c r="F809" s="528"/>
      <c r="G809" s="528" t="s">
        <v>205</v>
      </c>
      <c r="H809"/>
    </row>
    <row r="810" spans="1:8" x14ac:dyDescent="0.35">
      <c r="A810" s="528" t="s">
        <v>2653</v>
      </c>
      <c r="B810" s="528" t="s">
        <v>2654</v>
      </c>
      <c r="C810" s="528" t="s">
        <v>2655</v>
      </c>
      <c r="D810" s="528" t="s">
        <v>277</v>
      </c>
      <c r="E810" s="528"/>
      <c r="F810" s="528"/>
      <c r="G810" s="528" t="s">
        <v>205</v>
      </c>
      <c r="H810"/>
    </row>
    <row r="811" spans="1:8" x14ac:dyDescent="0.35">
      <c r="A811" s="528" t="s">
        <v>2656</v>
      </c>
      <c r="B811" s="528" t="s">
        <v>2657</v>
      </c>
      <c r="C811" s="528" t="s">
        <v>2658</v>
      </c>
      <c r="D811" s="528" t="s">
        <v>277</v>
      </c>
      <c r="E811" s="528"/>
      <c r="F811" s="528"/>
      <c r="G811" s="528" t="s">
        <v>205</v>
      </c>
      <c r="H811"/>
    </row>
    <row r="812" spans="1:8" x14ac:dyDescent="0.35">
      <c r="A812" s="528" t="s">
        <v>2659</v>
      </c>
      <c r="B812" s="528" t="s">
        <v>2660</v>
      </c>
      <c r="C812" s="528" t="s">
        <v>2661</v>
      </c>
      <c r="D812" s="528" t="s">
        <v>238</v>
      </c>
      <c r="E812" s="528"/>
      <c r="F812" s="528"/>
      <c r="G812" s="528" t="s">
        <v>208</v>
      </c>
      <c r="H812"/>
    </row>
    <row r="813" spans="1:8" x14ac:dyDescent="0.35">
      <c r="A813" s="528" t="s">
        <v>2662</v>
      </c>
      <c r="B813" s="528" t="s">
        <v>2663</v>
      </c>
      <c r="C813" s="528" t="s">
        <v>751</v>
      </c>
      <c r="D813" s="528" t="s">
        <v>251</v>
      </c>
      <c r="E813" s="528"/>
      <c r="F813" s="528"/>
      <c r="G813" s="528" t="s">
        <v>208</v>
      </c>
      <c r="H813"/>
    </row>
    <row r="814" spans="1:8" x14ac:dyDescent="0.35">
      <c r="A814" s="528" t="s">
        <v>2664</v>
      </c>
      <c r="B814" s="528" t="s">
        <v>2665</v>
      </c>
      <c r="C814" s="528" t="s">
        <v>1017</v>
      </c>
      <c r="D814" s="528" t="s">
        <v>251</v>
      </c>
      <c r="E814" s="528"/>
      <c r="F814" s="528"/>
      <c r="G814" s="528" t="s">
        <v>208</v>
      </c>
      <c r="H814"/>
    </row>
    <row r="815" spans="1:8" x14ac:dyDescent="0.35">
      <c r="A815" s="528" t="s">
        <v>2666</v>
      </c>
      <c r="B815" s="528" t="s">
        <v>2667</v>
      </c>
      <c r="C815" s="528" t="s">
        <v>2668</v>
      </c>
      <c r="D815" s="528" t="s">
        <v>251</v>
      </c>
      <c r="E815" s="528"/>
      <c r="F815" s="528"/>
      <c r="G815" s="528" t="s">
        <v>208</v>
      </c>
      <c r="H815"/>
    </row>
    <row r="816" spans="1:8" x14ac:dyDescent="0.35">
      <c r="A816" s="528" t="s">
        <v>2669</v>
      </c>
      <c r="B816" s="528" t="s">
        <v>2670</v>
      </c>
      <c r="C816" s="528" t="s">
        <v>2671</v>
      </c>
      <c r="D816" s="528" t="s">
        <v>251</v>
      </c>
      <c r="E816" s="528"/>
      <c r="F816" s="528"/>
      <c r="G816" s="528" t="s">
        <v>208</v>
      </c>
      <c r="H816"/>
    </row>
    <row r="817" spans="1:8" x14ac:dyDescent="0.35">
      <c r="A817" s="528" t="s">
        <v>2672</v>
      </c>
      <c r="B817" s="528" t="s">
        <v>2673</v>
      </c>
      <c r="C817" s="528" t="s">
        <v>2674</v>
      </c>
      <c r="D817" s="528" t="s">
        <v>238</v>
      </c>
      <c r="E817" s="528"/>
      <c r="F817" s="528"/>
      <c r="G817" s="528" t="s">
        <v>208</v>
      </c>
      <c r="H817"/>
    </row>
    <row r="818" spans="1:8" x14ac:dyDescent="0.35">
      <c r="A818" s="528" t="s">
        <v>2675</v>
      </c>
      <c r="B818" s="528" t="s">
        <v>2676</v>
      </c>
      <c r="C818" s="528" t="s">
        <v>2677</v>
      </c>
      <c r="D818" s="528" t="s">
        <v>264</v>
      </c>
      <c r="E818" s="528"/>
      <c r="F818" s="528"/>
      <c r="G818" s="528" t="s">
        <v>205</v>
      </c>
      <c r="H818"/>
    </row>
    <row r="819" spans="1:8" x14ac:dyDescent="0.35">
      <c r="A819" s="528" t="s">
        <v>2678</v>
      </c>
      <c r="B819" s="528" t="s">
        <v>2679</v>
      </c>
      <c r="C819" s="528" t="s">
        <v>1377</v>
      </c>
      <c r="D819" s="528" t="s">
        <v>251</v>
      </c>
      <c r="E819" s="528"/>
      <c r="F819" s="528"/>
      <c r="G819" s="528" t="s">
        <v>208</v>
      </c>
      <c r="H819"/>
    </row>
    <row r="820" spans="1:8" x14ac:dyDescent="0.35">
      <c r="A820" s="528" t="s">
        <v>2680</v>
      </c>
      <c r="B820" s="528" t="s">
        <v>2681</v>
      </c>
      <c r="C820" s="528" t="s">
        <v>751</v>
      </c>
      <c r="D820" s="528" t="s">
        <v>251</v>
      </c>
      <c r="E820" s="528"/>
      <c r="F820" s="528"/>
      <c r="G820" s="528" t="s">
        <v>208</v>
      </c>
      <c r="H820"/>
    </row>
    <row r="821" spans="1:8" x14ac:dyDescent="0.35">
      <c r="A821" s="528" t="s">
        <v>2682</v>
      </c>
      <c r="B821" s="528" t="s">
        <v>2683</v>
      </c>
      <c r="C821" s="528" t="s">
        <v>2684</v>
      </c>
      <c r="D821" s="528" t="s">
        <v>251</v>
      </c>
      <c r="E821" s="528"/>
      <c r="F821" s="528"/>
      <c r="G821" s="528" t="s">
        <v>205</v>
      </c>
      <c r="H821"/>
    </row>
    <row r="822" spans="1:8" x14ac:dyDescent="0.35">
      <c r="A822" s="528" t="s">
        <v>2685</v>
      </c>
      <c r="B822" s="528" t="s">
        <v>2686</v>
      </c>
      <c r="C822" s="528" t="s">
        <v>1934</v>
      </c>
      <c r="D822" s="528" t="s">
        <v>251</v>
      </c>
      <c r="E822" s="528"/>
      <c r="F822" s="528"/>
      <c r="G822" s="528" t="s">
        <v>205</v>
      </c>
      <c r="H822"/>
    </row>
    <row r="823" spans="1:8" x14ac:dyDescent="0.35">
      <c r="A823" s="528" t="s">
        <v>2687</v>
      </c>
      <c r="B823" s="528" t="s">
        <v>2688</v>
      </c>
      <c r="C823" s="528" t="s">
        <v>2689</v>
      </c>
      <c r="D823" s="528" t="s">
        <v>264</v>
      </c>
      <c r="E823" s="528"/>
      <c r="F823" s="528"/>
      <c r="G823" s="528" t="s">
        <v>205</v>
      </c>
      <c r="H823"/>
    </row>
    <row r="824" spans="1:8" x14ac:dyDescent="0.35">
      <c r="A824" s="528" t="s">
        <v>2690</v>
      </c>
      <c r="B824" s="528" t="s">
        <v>2691</v>
      </c>
      <c r="C824" s="528" t="s">
        <v>2692</v>
      </c>
      <c r="D824" s="528" t="s">
        <v>225</v>
      </c>
      <c r="E824" s="528"/>
      <c r="F824" s="528"/>
      <c r="G824" s="528" t="s">
        <v>208</v>
      </c>
      <c r="H824"/>
    </row>
    <row r="825" spans="1:8" x14ac:dyDescent="0.35">
      <c r="A825" s="528" t="s">
        <v>2693</v>
      </c>
      <c r="B825" s="528" t="s">
        <v>2694</v>
      </c>
      <c r="C825" s="528" t="s">
        <v>2695</v>
      </c>
      <c r="D825" s="528" t="s">
        <v>251</v>
      </c>
      <c r="E825" s="528" t="s">
        <v>225</v>
      </c>
      <c r="F825" s="528"/>
      <c r="G825" s="528" t="s">
        <v>208</v>
      </c>
      <c r="H825"/>
    </row>
    <row r="826" spans="1:8" x14ac:dyDescent="0.35">
      <c r="A826" s="528" t="s">
        <v>2696</v>
      </c>
      <c r="B826" s="528" t="s">
        <v>2697</v>
      </c>
      <c r="C826" s="528" t="s">
        <v>2698</v>
      </c>
      <c r="D826" s="528" t="s">
        <v>264</v>
      </c>
      <c r="E826" s="528"/>
      <c r="F826" s="528"/>
      <c r="G826" s="528" t="s">
        <v>205</v>
      </c>
      <c r="H826"/>
    </row>
    <row r="827" spans="1:8" x14ac:dyDescent="0.35">
      <c r="A827" s="528" t="s">
        <v>2699</v>
      </c>
      <c r="B827" s="528" t="s">
        <v>2700</v>
      </c>
      <c r="C827" s="528" t="s">
        <v>2701</v>
      </c>
      <c r="D827" s="528" t="s">
        <v>264</v>
      </c>
      <c r="E827" s="528"/>
      <c r="F827" s="528"/>
      <c r="G827" s="528" t="s">
        <v>205</v>
      </c>
      <c r="H827"/>
    </row>
    <row r="828" spans="1:8" x14ac:dyDescent="0.35">
      <c r="A828" s="528" t="s">
        <v>2702</v>
      </c>
      <c r="B828" s="528" t="s">
        <v>2703</v>
      </c>
      <c r="C828" s="528" t="s">
        <v>2704</v>
      </c>
      <c r="D828" s="528" t="s">
        <v>264</v>
      </c>
      <c r="E828" s="528"/>
      <c r="F828" s="528"/>
      <c r="G828" s="528" t="s">
        <v>205</v>
      </c>
      <c r="H828"/>
    </row>
    <row r="829" spans="1:8" x14ac:dyDescent="0.35">
      <c r="A829" s="528" t="s">
        <v>2705</v>
      </c>
      <c r="B829" s="528" t="s">
        <v>2706</v>
      </c>
      <c r="C829" s="528" t="s">
        <v>2707</v>
      </c>
      <c r="D829" s="528" t="s">
        <v>264</v>
      </c>
      <c r="E829" s="528"/>
      <c r="F829" s="528"/>
      <c r="G829" s="528" t="s">
        <v>205</v>
      </c>
      <c r="H829"/>
    </row>
    <row r="830" spans="1:8" x14ac:dyDescent="0.35">
      <c r="A830" s="528" t="s">
        <v>2708</v>
      </c>
      <c r="B830" s="528" t="s">
        <v>2709</v>
      </c>
      <c r="C830" s="528" t="s">
        <v>2339</v>
      </c>
      <c r="D830" s="528" t="s">
        <v>264</v>
      </c>
      <c r="E830" s="528"/>
      <c r="F830" s="528"/>
      <c r="G830" s="528" t="s">
        <v>205</v>
      </c>
      <c r="H830"/>
    </row>
    <row r="831" spans="1:8" x14ac:dyDescent="0.35">
      <c r="A831" s="528" t="s">
        <v>2710</v>
      </c>
      <c r="B831" s="528" t="s">
        <v>2711</v>
      </c>
      <c r="C831" s="528" t="s">
        <v>2712</v>
      </c>
      <c r="D831" s="528" t="s">
        <v>277</v>
      </c>
      <c r="E831" s="528"/>
      <c r="F831" s="528"/>
      <c r="G831" s="528" t="s">
        <v>205</v>
      </c>
      <c r="H831"/>
    </row>
    <row r="832" spans="1:8" x14ac:dyDescent="0.35">
      <c r="A832" s="528" t="s">
        <v>2713</v>
      </c>
      <c r="B832" s="528" t="s">
        <v>2714</v>
      </c>
      <c r="C832" s="528" t="s">
        <v>2715</v>
      </c>
      <c r="D832" s="528" t="s">
        <v>251</v>
      </c>
      <c r="E832" s="528"/>
      <c r="F832" s="528"/>
      <c r="G832" s="528" t="s">
        <v>205</v>
      </c>
      <c r="H832"/>
    </row>
    <row r="833" spans="1:8" x14ac:dyDescent="0.35">
      <c r="A833" s="528" t="s">
        <v>2716</v>
      </c>
      <c r="B833" s="528" t="s">
        <v>2717</v>
      </c>
      <c r="C833" s="528" t="s">
        <v>2718</v>
      </c>
      <c r="D833" s="528" t="s">
        <v>277</v>
      </c>
      <c r="E833" s="528"/>
      <c r="F833" s="528"/>
      <c r="G833" s="528" t="s">
        <v>205</v>
      </c>
      <c r="H833"/>
    </row>
    <row r="834" spans="1:8" x14ac:dyDescent="0.35">
      <c r="A834" s="528" t="s">
        <v>2719</v>
      </c>
      <c r="B834" s="528" t="s">
        <v>2720</v>
      </c>
      <c r="C834" s="528" t="s">
        <v>2721</v>
      </c>
      <c r="D834" s="528" t="s">
        <v>264</v>
      </c>
      <c r="E834" s="528"/>
      <c r="F834" s="528"/>
      <c r="G834" s="528" t="s">
        <v>205</v>
      </c>
      <c r="H834"/>
    </row>
    <row r="835" spans="1:8" x14ac:dyDescent="0.35">
      <c r="A835" s="528" t="s">
        <v>2722</v>
      </c>
      <c r="B835" s="528" t="s">
        <v>2723</v>
      </c>
      <c r="C835" s="528" t="s">
        <v>2724</v>
      </c>
      <c r="D835" s="528" t="s">
        <v>251</v>
      </c>
      <c r="E835" s="528"/>
      <c r="F835" s="528"/>
      <c r="G835" s="528" t="s">
        <v>208</v>
      </c>
      <c r="H835"/>
    </row>
    <row r="836" spans="1:8" x14ac:dyDescent="0.35">
      <c r="A836" s="528" t="s">
        <v>2725</v>
      </c>
      <c r="B836" s="528" t="s">
        <v>2726</v>
      </c>
      <c r="C836" s="528" t="s">
        <v>2727</v>
      </c>
      <c r="D836" s="528" t="s">
        <v>251</v>
      </c>
      <c r="E836" s="528"/>
      <c r="F836" s="528"/>
      <c r="G836" s="528" t="s">
        <v>208</v>
      </c>
      <c r="H836"/>
    </row>
    <row r="837" spans="1:8" x14ac:dyDescent="0.35">
      <c r="A837" s="528" t="s">
        <v>2728</v>
      </c>
      <c r="B837" s="528" t="s">
        <v>2729</v>
      </c>
      <c r="C837" s="528" t="s">
        <v>1437</v>
      </c>
      <c r="D837" s="528" t="s">
        <v>251</v>
      </c>
      <c r="E837" s="528"/>
      <c r="F837" s="528"/>
      <c r="G837" s="528" t="s">
        <v>208</v>
      </c>
      <c r="H837"/>
    </row>
    <row r="838" spans="1:8" x14ac:dyDescent="0.35">
      <c r="A838" s="528" t="s">
        <v>2730</v>
      </c>
      <c r="B838" s="528" t="s">
        <v>2731</v>
      </c>
      <c r="C838" s="528" t="s">
        <v>730</v>
      </c>
      <c r="D838" s="528" t="s">
        <v>251</v>
      </c>
      <c r="E838" s="528"/>
      <c r="F838" s="528"/>
      <c r="G838" s="528" t="s">
        <v>208</v>
      </c>
      <c r="H838"/>
    </row>
    <row r="839" spans="1:8" x14ac:dyDescent="0.35">
      <c r="A839" s="528" t="s">
        <v>2732</v>
      </c>
      <c r="B839" s="528" t="s">
        <v>2733</v>
      </c>
      <c r="C839" s="528" t="s">
        <v>1291</v>
      </c>
      <c r="D839" s="528" t="s">
        <v>264</v>
      </c>
      <c r="E839" s="528"/>
      <c r="F839" s="528"/>
      <c r="G839" s="528" t="s">
        <v>205</v>
      </c>
      <c r="H839"/>
    </row>
    <row r="840" spans="1:8" x14ac:dyDescent="0.35">
      <c r="A840" s="528" t="s">
        <v>2734</v>
      </c>
      <c r="B840" s="528" t="s">
        <v>2735</v>
      </c>
      <c r="C840" s="528" t="s">
        <v>2736</v>
      </c>
      <c r="D840" s="528" t="s">
        <v>277</v>
      </c>
      <c r="E840" s="528"/>
      <c r="F840" s="528"/>
      <c r="G840" s="528" t="s">
        <v>205</v>
      </c>
      <c r="H840"/>
    </row>
    <row r="841" spans="1:8" x14ac:dyDescent="0.35">
      <c r="A841" s="528" t="s">
        <v>2737</v>
      </c>
      <c r="B841" s="528" t="s">
        <v>2738</v>
      </c>
      <c r="C841" s="528" t="s">
        <v>2739</v>
      </c>
      <c r="D841" s="528" t="s">
        <v>277</v>
      </c>
      <c r="E841" s="528"/>
      <c r="F841" s="528"/>
      <c r="G841" s="528" t="s">
        <v>205</v>
      </c>
      <c r="H841"/>
    </row>
    <row r="842" spans="1:8" x14ac:dyDescent="0.35">
      <c r="A842" s="528" t="s">
        <v>2740</v>
      </c>
      <c r="B842" s="528" t="s">
        <v>2741</v>
      </c>
      <c r="C842" s="528" t="s">
        <v>2742</v>
      </c>
      <c r="D842" s="528" t="s">
        <v>264</v>
      </c>
      <c r="E842" s="528"/>
      <c r="F842" s="528"/>
      <c r="G842" s="528" t="s">
        <v>205</v>
      </c>
      <c r="H842"/>
    </row>
    <row r="843" spans="1:8" x14ac:dyDescent="0.35">
      <c r="A843" s="528" t="s">
        <v>2743</v>
      </c>
      <c r="B843" s="528" t="s">
        <v>2744</v>
      </c>
      <c r="C843" s="528" t="s">
        <v>2745</v>
      </c>
      <c r="D843" s="528" t="s">
        <v>277</v>
      </c>
      <c r="E843" s="528"/>
      <c r="F843" s="528"/>
      <c r="G843" s="528" t="s">
        <v>208</v>
      </c>
      <c r="H843"/>
    </row>
    <row r="844" spans="1:8" x14ac:dyDescent="0.35">
      <c r="A844" s="528" t="s">
        <v>2746</v>
      </c>
      <c r="B844" s="528" t="s">
        <v>2747</v>
      </c>
      <c r="C844" s="528" t="s">
        <v>1819</v>
      </c>
      <c r="D844" s="528" t="s">
        <v>264</v>
      </c>
      <c r="E844" s="528"/>
      <c r="F844" s="528"/>
      <c r="G844" s="528" t="s">
        <v>210</v>
      </c>
      <c r="H844"/>
    </row>
    <row r="845" spans="1:8" x14ac:dyDescent="0.35">
      <c r="A845" s="528" t="s">
        <v>2748</v>
      </c>
      <c r="B845" s="528" t="s">
        <v>2749</v>
      </c>
      <c r="C845" s="528" t="s">
        <v>2750</v>
      </c>
      <c r="D845" s="528" t="s">
        <v>277</v>
      </c>
      <c r="E845" s="528"/>
      <c r="F845" s="528"/>
      <c r="G845" s="528" t="s">
        <v>208</v>
      </c>
      <c r="H845"/>
    </row>
    <row r="846" spans="1:8" x14ac:dyDescent="0.35">
      <c r="A846" s="528" t="s">
        <v>2751</v>
      </c>
      <c r="B846" s="528" t="s">
        <v>2752</v>
      </c>
      <c r="C846" s="528" t="s">
        <v>2753</v>
      </c>
      <c r="D846" s="528" t="s">
        <v>251</v>
      </c>
      <c r="E846" s="528"/>
      <c r="F846" s="528"/>
      <c r="G846" s="528" t="s">
        <v>208</v>
      </c>
      <c r="H846"/>
    </row>
    <row r="847" spans="1:8" x14ac:dyDescent="0.35">
      <c r="A847" s="528" t="s">
        <v>2754</v>
      </c>
      <c r="B847" s="528" t="s">
        <v>2755</v>
      </c>
      <c r="C847" s="528" t="s">
        <v>2756</v>
      </c>
      <c r="D847" s="528" t="s">
        <v>264</v>
      </c>
      <c r="E847" s="528"/>
      <c r="F847" s="528"/>
      <c r="G847" s="528" t="s">
        <v>205</v>
      </c>
      <c r="H847"/>
    </row>
    <row r="848" spans="1:8" x14ac:dyDescent="0.35">
      <c r="A848" s="528" t="s">
        <v>2757</v>
      </c>
      <c r="B848" s="528" t="s">
        <v>2758</v>
      </c>
      <c r="C848" s="528" t="s">
        <v>2759</v>
      </c>
      <c r="D848" s="528" t="s">
        <v>264</v>
      </c>
      <c r="E848" s="528"/>
      <c r="F848" s="528"/>
      <c r="G848" s="528" t="s">
        <v>208</v>
      </c>
      <c r="H848"/>
    </row>
    <row r="849" spans="1:8" x14ac:dyDescent="0.35">
      <c r="A849" s="528" t="s">
        <v>2760</v>
      </c>
      <c r="B849" s="528" t="s">
        <v>2761</v>
      </c>
      <c r="C849" s="528" t="s">
        <v>1536</v>
      </c>
      <c r="D849" s="528" t="s">
        <v>277</v>
      </c>
      <c r="E849" s="528"/>
      <c r="F849" s="528"/>
      <c r="G849" s="528" t="s">
        <v>208</v>
      </c>
      <c r="H849"/>
    </row>
    <row r="850" spans="1:8" x14ac:dyDescent="0.35">
      <c r="A850" s="528" t="s">
        <v>2762</v>
      </c>
      <c r="B850" s="528" t="s">
        <v>2763</v>
      </c>
      <c r="C850" s="528" t="s">
        <v>2764</v>
      </c>
      <c r="D850" s="528" t="s">
        <v>277</v>
      </c>
      <c r="E850" s="528"/>
      <c r="F850" s="528"/>
      <c r="G850" s="528" t="s">
        <v>205</v>
      </c>
      <c r="H850"/>
    </row>
    <row r="851" spans="1:8" x14ac:dyDescent="0.35">
      <c r="A851" s="528" t="s">
        <v>2765</v>
      </c>
      <c r="B851" s="528" t="s">
        <v>2766</v>
      </c>
      <c r="C851" s="528" t="s">
        <v>2767</v>
      </c>
      <c r="D851" s="528" t="s">
        <v>225</v>
      </c>
      <c r="E851" s="528"/>
      <c r="F851" s="528"/>
      <c r="G851" s="528" t="s">
        <v>205</v>
      </c>
      <c r="H851"/>
    </row>
    <row r="852" spans="1:8" x14ac:dyDescent="0.35">
      <c r="A852" s="528" t="s">
        <v>2768</v>
      </c>
      <c r="B852" s="528" t="s">
        <v>2769</v>
      </c>
      <c r="C852" s="528" t="s">
        <v>2770</v>
      </c>
      <c r="D852" s="528" t="s">
        <v>277</v>
      </c>
      <c r="E852" s="528"/>
      <c r="F852" s="528"/>
      <c r="G852" s="528" t="s">
        <v>205</v>
      </c>
      <c r="H852"/>
    </row>
    <row r="853" spans="1:8" x14ac:dyDescent="0.35">
      <c r="A853" s="528" t="s">
        <v>2771</v>
      </c>
      <c r="B853" s="528" t="s">
        <v>2772</v>
      </c>
      <c r="C853" s="528" t="s">
        <v>2773</v>
      </c>
      <c r="D853" s="528" t="s">
        <v>277</v>
      </c>
      <c r="E853" s="528"/>
      <c r="F853" s="528"/>
      <c r="G853" s="528" t="s">
        <v>205</v>
      </c>
      <c r="H853"/>
    </row>
    <row r="854" spans="1:8" x14ac:dyDescent="0.35">
      <c r="A854" s="528" t="s">
        <v>2774</v>
      </c>
      <c r="B854" s="528" t="s">
        <v>2775</v>
      </c>
      <c r="C854" s="528" t="s">
        <v>1934</v>
      </c>
      <c r="D854" s="528" t="s">
        <v>251</v>
      </c>
      <c r="E854" s="528"/>
      <c r="F854" s="528"/>
      <c r="G854" s="528" t="s">
        <v>205</v>
      </c>
      <c r="H854"/>
    </row>
    <row r="855" spans="1:8" x14ac:dyDescent="0.35">
      <c r="A855" s="528" t="s">
        <v>2776</v>
      </c>
      <c r="B855" s="528" t="s">
        <v>2777</v>
      </c>
      <c r="C855" s="528" t="s">
        <v>2778</v>
      </c>
      <c r="D855" s="528" t="s">
        <v>251</v>
      </c>
      <c r="E855" s="528"/>
      <c r="F855" s="528"/>
      <c r="G855" s="528" t="s">
        <v>205</v>
      </c>
      <c r="H855"/>
    </row>
    <row r="856" spans="1:8" x14ac:dyDescent="0.35">
      <c r="A856" s="528" t="s">
        <v>2779</v>
      </c>
      <c r="B856" s="528" t="s">
        <v>2780</v>
      </c>
      <c r="C856" s="528" t="s">
        <v>2781</v>
      </c>
      <c r="D856" s="528" t="s">
        <v>277</v>
      </c>
      <c r="E856" s="528"/>
      <c r="F856" s="528"/>
      <c r="G856" s="528" t="s">
        <v>205</v>
      </c>
      <c r="H856"/>
    </row>
    <row r="857" spans="1:8" x14ac:dyDescent="0.35">
      <c r="A857" s="528" t="s">
        <v>2782</v>
      </c>
      <c r="B857" s="528" t="s">
        <v>2783</v>
      </c>
      <c r="C857" s="528" t="s">
        <v>2784</v>
      </c>
      <c r="D857" s="528" t="s">
        <v>225</v>
      </c>
      <c r="E857" s="528"/>
      <c r="F857" s="528"/>
      <c r="G857" s="528" t="s">
        <v>205</v>
      </c>
      <c r="H857"/>
    </row>
    <row r="858" spans="1:8" x14ac:dyDescent="0.35">
      <c r="A858" s="528" t="s">
        <v>2785</v>
      </c>
      <c r="B858" s="528" t="s">
        <v>2786</v>
      </c>
      <c r="C858" s="528" t="s">
        <v>1695</v>
      </c>
      <c r="D858" s="528" t="s">
        <v>264</v>
      </c>
      <c r="E858" s="528"/>
      <c r="F858" s="528"/>
      <c r="G858" s="528" t="s">
        <v>205</v>
      </c>
      <c r="H858"/>
    </row>
    <row r="859" spans="1:8" x14ac:dyDescent="0.35">
      <c r="A859" s="528" t="s">
        <v>2787</v>
      </c>
      <c r="B859" s="528" t="s">
        <v>2788</v>
      </c>
      <c r="C859" s="528" t="s">
        <v>2789</v>
      </c>
      <c r="D859" s="528" t="s">
        <v>264</v>
      </c>
      <c r="E859" s="528"/>
      <c r="F859" s="528"/>
      <c r="G859" s="528" t="s">
        <v>205</v>
      </c>
      <c r="H859"/>
    </row>
    <row r="860" spans="1:8" x14ac:dyDescent="0.35">
      <c r="A860" s="528" t="s">
        <v>2790</v>
      </c>
      <c r="B860" s="528" t="s">
        <v>2791</v>
      </c>
      <c r="C860" s="528" t="s">
        <v>2792</v>
      </c>
      <c r="D860" s="528" t="s">
        <v>277</v>
      </c>
      <c r="E860" s="528"/>
      <c r="F860" s="528"/>
      <c r="G860" s="528" t="s">
        <v>205</v>
      </c>
      <c r="H860"/>
    </row>
    <row r="861" spans="1:8" x14ac:dyDescent="0.35">
      <c r="A861" s="528" t="s">
        <v>2793</v>
      </c>
      <c r="B861" s="528" t="s">
        <v>2794</v>
      </c>
      <c r="C861" s="528" t="s">
        <v>2795</v>
      </c>
      <c r="D861" s="528" t="s">
        <v>251</v>
      </c>
      <c r="E861" s="528"/>
      <c r="F861" s="528"/>
      <c r="G861" s="528" t="s">
        <v>205</v>
      </c>
      <c r="H861"/>
    </row>
    <row r="862" spans="1:8" x14ac:dyDescent="0.35">
      <c r="A862" s="528" t="s">
        <v>2796</v>
      </c>
      <c r="B862" s="528" t="s">
        <v>2797</v>
      </c>
      <c r="C862" s="528" t="s">
        <v>1329</v>
      </c>
      <c r="D862" s="528" t="s">
        <v>251</v>
      </c>
      <c r="E862" s="528"/>
      <c r="F862" s="528"/>
      <c r="G862" s="528" t="s">
        <v>205</v>
      </c>
      <c r="H862"/>
    </row>
    <row r="863" spans="1:8" x14ac:dyDescent="0.35">
      <c r="A863" s="528" t="s">
        <v>2798</v>
      </c>
      <c r="B863" s="528" t="s">
        <v>2799</v>
      </c>
      <c r="C863" s="528" t="s">
        <v>2115</v>
      </c>
      <c r="D863" s="528" t="s">
        <v>277</v>
      </c>
      <c r="E863" s="528"/>
      <c r="F863" s="528"/>
      <c r="G863" s="528" t="s">
        <v>205</v>
      </c>
      <c r="H863"/>
    </row>
    <row r="864" spans="1:8" x14ac:dyDescent="0.35">
      <c r="A864" s="528" t="s">
        <v>2800</v>
      </c>
      <c r="B864" s="528" t="s">
        <v>2801</v>
      </c>
      <c r="C864" s="528" t="s">
        <v>2802</v>
      </c>
      <c r="D864" s="528" t="s">
        <v>238</v>
      </c>
      <c r="E864" s="528"/>
      <c r="F864" s="528"/>
      <c r="G864" s="528" t="s">
        <v>205</v>
      </c>
      <c r="H864"/>
    </row>
    <row r="865" spans="1:8" x14ac:dyDescent="0.35">
      <c r="A865" s="528" t="s">
        <v>2803</v>
      </c>
      <c r="B865" s="528" t="s">
        <v>2804</v>
      </c>
      <c r="C865" s="528" t="s">
        <v>2805</v>
      </c>
      <c r="D865" s="528" t="s">
        <v>238</v>
      </c>
      <c r="E865" s="528"/>
      <c r="F865" s="528"/>
      <c r="G865" s="528" t="s">
        <v>205</v>
      </c>
      <c r="H865"/>
    </row>
    <row r="866" spans="1:8" x14ac:dyDescent="0.35">
      <c r="A866" s="528" t="s">
        <v>2806</v>
      </c>
      <c r="B866" s="528" t="s">
        <v>2807</v>
      </c>
      <c r="C866" s="528" t="s">
        <v>2808</v>
      </c>
      <c r="D866" s="528" t="s">
        <v>277</v>
      </c>
      <c r="E866" s="528"/>
      <c r="F866" s="528"/>
      <c r="G866" s="528" t="s">
        <v>212</v>
      </c>
      <c r="H866"/>
    </row>
    <row r="867" spans="1:8" x14ac:dyDescent="0.35">
      <c r="A867" s="528" t="s">
        <v>2809</v>
      </c>
      <c r="B867" s="528" t="s">
        <v>2810</v>
      </c>
      <c r="C867" s="528" t="s">
        <v>1270</v>
      </c>
      <c r="D867" s="528" t="s">
        <v>251</v>
      </c>
      <c r="E867" s="528"/>
      <c r="F867" s="528"/>
      <c r="G867" s="528" t="s">
        <v>205</v>
      </c>
      <c r="H867"/>
    </row>
    <row r="868" spans="1:8" x14ac:dyDescent="0.35">
      <c r="A868" s="528" t="s">
        <v>2811</v>
      </c>
      <c r="B868" s="528" t="s">
        <v>2812</v>
      </c>
      <c r="C868" s="528" t="s">
        <v>1146</v>
      </c>
      <c r="D868" s="528" t="s">
        <v>225</v>
      </c>
      <c r="E868" s="528"/>
      <c r="F868" s="528"/>
      <c r="G868" s="528" t="s">
        <v>208</v>
      </c>
      <c r="H868"/>
    </row>
    <row r="869" spans="1:8" x14ac:dyDescent="0.35">
      <c r="A869" s="528" t="s">
        <v>2813</v>
      </c>
      <c r="B869" s="528" t="s">
        <v>2814</v>
      </c>
      <c r="C869" s="528" t="s">
        <v>2815</v>
      </c>
      <c r="D869" s="528" t="s">
        <v>225</v>
      </c>
      <c r="E869" s="528"/>
      <c r="F869" s="528"/>
      <c r="G869" s="528" t="s">
        <v>208</v>
      </c>
      <c r="H869"/>
    </row>
    <row r="870" spans="1:8" x14ac:dyDescent="0.35">
      <c r="A870" s="528" t="s">
        <v>2816</v>
      </c>
      <c r="B870" s="528" t="s">
        <v>2817</v>
      </c>
      <c r="C870" s="528" t="s">
        <v>2818</v>
      </c>
      <c r="D870" s="528" t="s">
        <v>264</v>
      </c>
      <c r="E870" s="528"/>
      <c r="F870" s="528"/>
      <c r="G870" s="528" t="s">
        <v>208</v>
      </c>
      <c r="H870"/>
    </row>
    <row r="871" spans="1:8" x14ac:dyDescent="0.35">
      <c r="A871" s="528" t="s">
        <v>2819</v>
      </c>
      <c r="B871" s="528" t="s">
        <v>2820</v>
      </c>
      <c r="C871" s="528" t="s">
        <v>2821</v>
      </c>
      <c r="D871" s="528" t="s">
        <v>264</v>
      </c>
      <c r="E871" s="528"/>
      <c r="F871" s="528"/>
      <c r="G871" s="528" t="s">
        <v>208</v>
      </c>
      <c r="H871"/>
    </row>
    <row r="872" spans="1:8" x14ac:dyDescent="0.35">
      <c r="A872" s="528" t="s">
        <v>2822</v>
      </c>
      <c r="B872" s="528" t="s">
        <v>2823</v>
      </c>
      <c r="C872" s="528" t="s">
        <v>2030</v>
      </c>
      <c r="D872" s="528" t="s">
        <v>251</v>
      </c>
      <c r="E872" s="528"/>
      <c r="F872" s="528"/>
      <c r="G872" s="528" t="s">
        <v>205</v>
      </c>
      <c r="H872"/>
    </row>
    <row r="873" spans="1:8" x14ac:dyDescent="0.35">
      <c r="A873" s="528" t="s">
        <v>2824</v>
      </c>
      <c r="B873" s="528" t="s">
        <v>2825</v>
      </c>
      <c r="C873" s="528" t="s">
        <v>2826</v>
      </c>
      <c r="D873" s="528" t="s">
        <v>264</v>
      </c>
      <c r="E873" s="528"/>
      <c r="F873" s="528"/>
      <c r="G873" s="528" t="s">
        <v>205</v>
      </c>
      <c r="H873"/>
    </row>
    <row r="874" spans="1:8" x14ac:dyDescent="0.35">
      <c r="A874" s="528" t="s">
        <v>2827</v>
      </c>
      <c r="B874" s="528" t="s">
        <v>2828</v>
      </c>
      <c r="C874" s="528" t="s">
        <v>2829</v>
      </c>
      <c r="D874" s="528" t="s">
        <v>264</v>
      </c>
      <c r="E874" s="528"/>
      <c r="F874" s="528"/>
      <c r="G874" s="528" t="s">
        <v>205</v>
      </c>
      <c r="H874"/>
    </row>
    <row r="875" spans="1:8" x14ac:dyDescent="0.35">
      <c r="A875" s="528" t="s">
        <v>2830</v>
      </c>
      <c r="B875" s="528" t="s">
        <v>2831</v>
      </c>
      <c r="C875" s="528" t="s">
        <v>2832</v>
      </c>
      <c r="D875" s="528" t="s">
        <v>277</v>
      </c>
      <c r="E875" s="528"/>
      <c r="F875" s="528"/>
      <c r="G875" s="528" t="s">
        <v>205</v>
      </c>
      <c r="H875"/>
    </row>
    <row r="876" spans="1:8" x14ac:dyDescent="0.35">
      <c r="A876" s="528" t="s">
        <v>2833</v>
      </c>
      <c r="B876" s="528" t="s">
        <v>2834</v>
      </c>
      <c r="C876" s="528" t="s">
        <v>2835</v>
      </c>
      <c r="D876" s="528" t="s">
        <v>225</v>
      </c>
      <c r="E876" s="528"/>
      <c r="F876" s="528"/>
      <c r="G876" s="528" t="s">
        <v>205</v>
      </c>
      <c r="H876"/>
    </row>
    <row r="877" spans="1:8" x14ac:dyDescent="0.35">
      <c r="A877" s="528" t="s">
        <v>2836</v>
      </c>
      <c r="B877" s="528" t="s">
        <v>2837</v>
      </c>
      <c r="C877" s="528" t="s">
        <v>2838</v>
      </c>
      <c r="D877" s="528" t="s">
        <v>264</v>
      </c>
      <c r="E877" s="528"/>
      <c r="F877" s="528"/>
      <c r="G877" s="528" t="s">
        <v>205</v>
      </c>
      <c r="H877"/>
    </row>
    <row r="878" spans="1:8" x14ac:dyDescent="0.35">
      <c r="A878" s="528" t="s">
        <v>2839</v>
      </c>
      <c r="B878" s="528" t="s">
        <v>2840</v>
      </c>
      <c r="C878" s="528" t="s">
        <v>2841</v>
      </c>
      <c r="D878" s="528" t="s">
        <v>277</v>
      </c>
      <c r="E878" s="528"/>
      <c r="F878" s="528"/>
      <c r="G878" s="528" t="s">
        <v>205</v>
      </c>
      <c r="H878"/>
    </row>
    <row r="879" spans="1:8" x14ac:dyDescent="0.35">
      <c r="A879" s="528" t="s">
        <v>2842</v>
      </c>
      <c r="B879" s="528" t="s">
        <v>2843</v>
      </c>
      <c r="C879" s="528" t="s">
        <v>1152</v>
      </c>
      <c r="D879" s="528" t="s">
        <v>264</v>
      </c>
      <c r="E879" s="528"/>
      <c r="F879" s="528"/>
      <c r="G879" s="528" t="s">
        <v>208</v>
      </c>
      <c r="H879"/>
    </row>
    <row r="880" spans="1:8" x14ac:dyDescent="0.35">
      <c r="A880" s="528" t="s">
        <v>2844</v>
      </c>
      <c r="B880" s="528" t="s">
        <v>2845</v>
      </c>
      <c r="C880" s="528" t="s">
        <v>2846</v>
      </c>
      <c r="D880" s="528" t="s">
        <v>251</v>
      </c>
      <c r="E880" s="528"/>
      <c r="F880" s="528"/>
      <c r="G880" s="528" t="s">
        <v>208</v>
      </c>
      <c r="H880"/>
    </row>
    <row r="881" spans="1:8" x14ac:dyDescent="0.35">
      <c r="A881" s="528" t="s">
        <v>2847</v>
      </c>
      <c r="B881" s="528" t="s">
        <v>2848</v>
      </c>
      <c r="C881" s="528" t="s">
        <v>2849</v>
      </c>
      <c r="D881" s="528" t="s">
        <v>251</v>
      </c>
      <c r="E881" s="528"/>
      <c r="F881" s="528"/>
      <c r="G881" s="528" t="s">
        <v>208</v>
      </c>
      <c r="H881"/>
    </row>
    <row r="882" spans="1:8" x14ac:dyDescent="0.35">
      <c r="A882" s="528" t="s">
        <v>2850</v>
      </c>
      <c r="B882" s="528" t="s">
        <v>2851</v>
      </c>
      <c r="C882" s="528" t="s">
        <v>2852</v>
      </c>
      <c r="D882" s="528" t="s">
        <v>251</v>
      </c>
      <c r="E882" s="528"/>
      <c r="F882" s="528"/>
      <c r="G882" s="528" t="s">
        <v>208</v>
      </c>
      <c r="H882"/>
    </row>
    <row r="883" spans="1:8" x14ac:dyDescent="0.35">
      <c r="A883" s="528" t="s">
        <v>2853</v>
      </c>
      <c r="B883" s="528" t="s">
        <v>2854</v>
      </c>
      <c r="C883" s="528" t="s">
        <v>2855</v>
      </c>
      <c r="D883" s="528" t="s">
        <v>251</v>
      </c>
      <c r="E883" s="528"/>
      <c r="F883" s="528"/>
      <c r="G883" s="528" t="s">
        <v>208</v>
      </c>
      <c r="H883"/>
    </row>
    <row r="884" spans="1:8" x14ac:dyDescent="0.35">
      <c r="A884" s="528" t="s">
        <v>2856</v>
      </c>
      <c r="B884" s="528" t="s">
        <v>2857</v>
      </c>
      <c r="C884" s="528" t="s">
        <v>1934</v>
      </c>
      <c r="D884" s="528" t="s">
        <v>251</v>
      </c>
      <c r="E884" s="528"/>
      <c r="F884" s="528"/>
      <c r="G884" s="528" t="s">
        <v>205</v>
      </c>
      <c r="H884"/>
    </row>
    <row r="885" spans="1:8" x14ac:dyDescent="0.35">
      <c r="A885" s="528" t="s">
        <v>2858</v>
      </c>
      <c r="B885" s="528" t="s">
        <v>2859</v>
      </c>
      <c r="C885" s="528" t="s">
        <v>2545</v>
      </c>
      <c r="D885" s="528" t="s">
        <v>251</v>
      </c>
      <c r="E885" s="528"/>
      <c r="F885" s="528"/>
      <c r="G885" s="528" t="s">
        <v>208</v>
      </c>
      <c r="H885"/>
    </row>
    <row r="886" spans="1:8" x14ac:dyDescent="0.35">
      <c r="A886" s="528" t="s">
        <v>2860</v>
      </c>
      <c r="B886" s="528" t="s">
        <v>2861</v>
      </c>
      <c r="C886" s="528" t="s">
        <v>2862</v>
      </c>
      <c r="D886" s="528" t="s">
        <v>251</v>
      </c>
      <c r="E886" s="528"/>
      <c r="F886" s="528"/>
      <c r="G886" s="528" t="s">
        <v>208</v>
      </c>
      <c r="H886"/>
    </row>
    <row r="887" spans="1:8" x14ac:dyDescent="0.35">
      <c r="A887" s="528" t="s">
        <v>2863</v>
      </c>
      <c r="B887" s="528" t="s">
        <v>2864</v>
      </c>
      <c r="C887" s="528" t="s">
        <v>2865</v>
      </c>
      <c r="D887" s="528" t="s">
        <v>277</v>
      </c>
      <c r="E887" s="528"/>
      <c r="F887" s="528"/>
      <c r="G887" s="528" t="s">
        <v>205</v>
      </c>
      <c r="H887"/>
    </row>
    <row r="888" spans="1:8" x14ac:dyDescent="0.35">
      <c r="A888" s="528" t="s">
        <v>2866</v>
      </c>
      <c r="B888" s="528" t="s">
        <v>2867</v>
      </c>
      <c r="C888" s="528" t="s">
        <v>2868</v>
      </c>
      <c r="D888" s="528" t="s">
        <v>251</v>
      </c>
      <c r="E888" s="528"/>
      <c r="F888" s="528"/>
      <c r="G888" s="528" t="s">
        <v>205</v>
      </c>
      <c r="H888"/>
    </row>
    <row r="889" spans="1:8" x14ac:dyDescent="0.35">
      <c r="A889" s="528" t="s">
        <v>2869</v>
      </c>
      <c r="B889" s="528" t="s">
        <v>2870</v>
      </c>
      <c r="C889" s="528" t="s">
        <v>2871</v>
      </c>
      <c r="D889" s="528" t="s">
        <v>251</v>
      </c>
      <c r="E889" s="528"/>
      <c r="F889" s="528"/>
      <c r="G889" s="528" t="s">
        <v>205</v>
      </c>
      <c r="H889"/>
    </row>
    <row r="890" spans="1:8" x14ac:dyDescent="0.35">
      <c r="A890" s="528" t="s">
        <v>2872</v>
      </c>
      <c r="B890" s="528" t="s">
        <v>2873</v>
      </c>
      <c r="C890" s="528" t="s">
        <v>2874</v>
      </c>
      <c r="D890" s="528" t="s">
        <v>277</v>
      </c>
      <c r="E890" s="528"/>
      <c r="F890" s="528"/>
      <c r="G890" s="528" t="s">
        <v>205</v>
      </c>
      <c r="H890"/>
    </row>
    <row r="891" spans="1:8" x14ac:dyDescent="0.35">
      <c r="A891" s="528" t="s">
        <v>2875</v>
      </c>
      <c r="B891" s="528" t="s">
        <v>2876</v>
      </c>
      <c r="C891" s="528" t="s">
        <v>2877</v>
      </c>
      <c r="D891" s="528" t="s">
        <v>277</v>
      </c>
      <c r="E891" s="528"/>
      <c r="F891" s="528"/>
      <c r="G891" s="528" t="s">
        <v>205</v>
      </c>
      <c r="H891"/>
    </row>
    <row r="892" spans="1:8" x14ac:dyDescent="0.35">
      <c r="A892" s="528" t="s">
        <v>2878</v>
      </c>
      <c r="B892" s="528" t="s">
        <v>2879</v>
      </c>
      <c r="C892" s="528" t="s">
        <v>1440</v>
      </c>
      <c r="D892" s="528" t="s">
        <v>251</v>
      </c>
      <c r="E892" s="528"/>
      <c r="F892" s="528"/>
      <c r="G892" s="528" t="s">
        <v>205</v>
      </c>
      <c r="H892"/>
    </row>
    <row r="893" spans="1:8" x14ac:dyDescent="0.35">
      <c r="A893" s="528" t="s">
        <v>2880</v>
      </c>
      <c r="B893" s="528" t="s">
        <v>2881</v>
      </c>
      <c r="C893" s="528" t="s">
        <v>2882</v>
      </c>
      <c r="D893" s="528" t="s">
        <v>251</v>
      </c>
      <c r="E893" s="528"/>
      <c r="F893" s="528"/>
      <c r="G893" s="528" t="s">
        <v>205</v>
      </c>
      <c r="H893"/>
    </row>
    <row r="894" spans="1:8" x14ac:dyDescent="0.35">
      <c r="A894" s="528" t="s">
        <v>2883</v>
      </c>
      <c r="B894" s="528" t="s">
        <v>2884</v>
      </c>
      <c r="C894" s="528" t="s">
        <v>907</v>
      </c>
      <c r="D894" s="528" t="s">
        <v>251</v>
      </c>
      <c r="E894" s="528"/>
      <c r="F894" s="528"/>
      <c r="G894" s="528" t="s">
        <v>205</v>
      </c>
      <c r="H894"/>
    </row>
    <row r="895" spans="1:8" x14ac:dyDescent="0.35">
      <c r="A895" s="528" t="s">
        <v>2885</v>
      </c>
      <c r="B895" s="528" t="s">
        <v>2886</v>
      </c>
      <c r="C895" s="528" t="s">
        <v>2887</v>
      </c>
      <c r="D895" s="528" t="s">
        <v>277</v>
      </c>
      <c r="E895" s="528"/>
      <c r="F895" s="528"/>
      <c r="G895" s="528" t="s">
        <v>205</v>
      </c>
      <c r="H895"/>
    </row>
    <row r="896" spans="1:8" x14ac:dyDescent="0.35">
      <c r="A896" s="528" t="s">
        <v>2888</v>
      </c>
      <c r="B896" s="528" t="s">
        <v>2889</v>
      </c>
      <c r="C896" s="528" t="s">
        <v>2890</v>
      </c>
      <c r="D896" s="528" t="s">
        <v>264</v>
      </c>
      <c r="E896" s="528"/>
      <c r="F896" s="528"/>
      <c r="G896" s="528" t="s">
        <v>205</v>
      </c>
      <c r="H896"/>
    </row>
    <row r="897" spans="1:8" x14ac:dyDescent="0.35">
      <c r="A897" s="528" t="s">
        <v>2891</v>
      </c>
      <c r="B897" s="528" t="s">
        <v>2892</v>
      </c>
      <c r="C897" s="528" t="s">
        <v>2893</v>
      </c>
      <c r="D897" s="528" t="s">
        <v>225</v>
      </c>
      <c r="E897" s="528"/>
      <c r="F897" s="528"/>
      <c r="G897" s="528" t="s">
        <v>205</v>
      </c>
      <c r="H897"/>
    </row>
    <row r="898" spans="1:8" x14ac:dyDescent="0.35">
      <c r="A898" s="528" t="s">
        <v>2894</v>
      </c>
      <c r="B898" s="528" t="s">
        <v>2895</v>
      </c>
      <c r="C898" s="528" t="s">
        <v>1968</v>
      </c>
      <c r="D898" s="528" t="s">
        <v>225</v>
      </c>
      <c r="E898" s="528"/>
      <c r="F898" s="528"/>
      <c r="G898" s="528" t="s">
        <v>205</v>
      </c>
      <c r="H898"/>
    </row>
    <row r="899" spans="1:8" x14ac:dyDescent="0.35">
      <c r="A899" s="528" t="s">
        <v>2896</v>
      </c>
      <c r="B899" s="528" t="s">
        <v>2897</v>
      </c>
      <c r="C899" s="528" t="s">
        <v>2898</v>
      </c>
      <c r="D899" s="528" t="s">
        <v>225</v>
      </c>
      <c r="E899" s="528"/>
      <c r="F899" s="528"/>
      <c r="G899" s="528" t="s">
        <v>205</v>
      </c>
      <c r="H899"/>
    </row>
    <row r="900" spans="1:8" x14ac:dyDescent="0.35">
      <c r="A900" s="528" t="s">
        <v>2899</v>
      </c>
      <c r="B900" s="528" t="s">
        <v>2900</v>
      </c>
      <c r="C900" s="528" t="s">
        <v>2901</v>
      </c>
      <c r="D900" s="528" t="s">
        <v>225</v>
      </c>
      <c r="E900" s="528"/>
      <c r="F900" s="528"/>
      <c r="G900" s="528" t="s">
        <v>208</v>
      </c>
      <c r="H900"/>
    </row>
    <row r="901" spans="1:8" x14ac:dyDescent="0.35">
      <c r="A901" s="528" t="s">
        <v>2902</v>
      </c>
      <c r="B901" s="528" t="s">
        <v>2903</v>
      </c>
      <c r="C901" s="528" t="s">
        <v>2904</v>
      </c>
      <c r="D901" s="528" t="s">
        <v>225</v>
      </c>
      <c r="E901" s="528"/>
      <c r="F901" s="528"/>
      <c r="G901" s="528" t="s">
        <v>208</v>
      </c>
      <c r="H901"/>
    </row>
    <row r="902" spans="1:8" x14ac:dyDescent="0.35">
      <c r="A902" s="528" t="s">
        <v>2905</v>
      </c>
      <c r="B902" s="528" t="s">
        <v>2906</v>
      </c>
      <c r="C902" s="528" t="s">
        <v>1200</v>
      </c>
      <c r="D902" s="528" t="s">
        <v>225</v>
      </c>
      <c r="E902" s="528"/>
      <c r="F902" s="528"/>
      <c r="G902" s="528" t="s">
        <v>205</v>
      </c>
      <c r="H902"/>
    </row>
    <row r="903" spans="1:8" x14ac:dyDescent="0.35">
      <c r="A903" s="528" t="s">
        <v>2907</v>
      </c>
      <c r="B903" s="528" t="s">
        <v>2908</v>
      </c>
      <c r="C903" s="528" t="s">
        <v>2909</v>
      </c>
      <c r="D903" s="528" t="s">
        <v>225</v>
      </c>
      <c r="E903" s="528"/>
      <c r="F903" s="528"/>
      <c r="G903" s="528" t="s">
        <v>205</v>
      </c>
      <c r="H903"/>
    </row>
    <row r="904" spans="1:8" x14ac:dyDescent="0.35">
      <c r="A904" s="528" t="s">
        <v>2910</v>
      </c>
      <c r="B904" s="528" t="s">
        <v>2911</v>
      </c>
      <c r="C904" s="528" t="s">
        <v>2912</v>
      </c>
      <c r="D904" s="528" t="s">
        <v>225</v>
      </c>
      <c r="E904" s="528"/>
      <c r="F904" s="528"/>
      <c r="G904" s="528" t="s">
        <v>205</v>
      </c>
      <c r="H904"/>
    </row>
    <row r="905" spans="1:8" x14ac:dyDescent="0.35">
      <c r="A905" s="528" t="s">
        <v>2913</v>
      </c>
      <c r="B905" s="528" t="s">
        <v>2914</v>
      </c>
      <c r="C905" s="528" t="s">
        <v>1974</v>
      </c>
      <c r="D905" s="528" t="s">
        <v>225</v>
      </c>
      <c r="E905" s="528"/>
      <c r="F905" s="528"/>
      <c r="G905" s="528" t="s">
        <v>208</v>
      </c>
      <c r="H905"/>
    </row>
    <row r="906" spans="1:8" x14ac:dyDescent="0.35">
      <c r="A906" s="528" t="s">
        <v>2915</v>
      </c>
      <c r="B906" s="528" t="s">
        <v>2916</v>
      </c>
      <c r="C906" s="528" t="s">
        <v>2917</v>
      </c>
      <c r="D906" s="528" t="s">
        <v>225</v>
      </c>
      <c r="E906" s="528"/>
      <c r="F906" s="528"/>
      <c r="G906" s="528" t="s">
        <v>208</v>
      </c>
      <c r="H906"/>
    </row>
    <row r="907" spans="1:8" x14ac:dyDescent="0.35">
      <c r="A907" s="528" t="s">
        <v>2918</v>
      </c>
      <c r="B907" s="528" t="s">
        <v>2919</v>
      </c>
      <c r="C907" s="528" t="s">
        <v>1983</v>
      </c>
      <c r="D907" s="528" t="s">
        <v>225</v>
      </c>
      <c r="E907" s="528"/>
      <c r="F907" s="528"/>
      <c r="G907" s="528" t="s">
        <v>208</v>
      </c>
      <c r="H907"/>
    </row>
    <row r="908" spans="1:8" x14ac:dyDescent="0.35">
      <c r="A908" s="528" t="s">
        <v>2920</v>
      </c>
      <c r="B908" s="528" t="s">
        <v>2921</v>
      </c>
      <c r="C908" s="528" t="s">
        <v>2100</v>
      </c>
      <c r="D908" s="528" t="s">
        <v>225</v>
      </c>
      <c r="E908" s="528"/>
      <c r="F908" s="528"/>
      <c r="G908" s="528" t="s">
        <v>205</v>
      </c>
      <c r="H908"/>
    </row>
    <row r="909" spans="1:8" x14ac:dyDescent="0.35">
      <c r="A909" s="528" t="s">
        <v>2922</v>
      </c>
      <c r="B909" s="528" t="s">
        <v>2923</v>
      </c>
      <c r="C909" s="528" t="s">
        <v>2924</v>
      </c>
      <c r="D909" s="528" t="s">
        <v>251</v>
      </c>
      <c r="E909" s="528"/>
      <c r="F909" s="528"/>
      <c r="G909" s="528" t="s">
        <v>205</v>
      </c>
      <c r="H909"/>
    </row>
    <row r="910" spans="1:8" x14ac:dyDescent="0.35">
      <c r="A910" s="528" t="s">
        <v>2925</v>
      </c>
      <c r="B910" s="528" t="s">
        <v>2926</v>
      </c>
      <c r="C910" s="528" t="s">
        <v>2927</v>
      </c>
      <c r="D910" s="528" t="s">
        <v>264</v>
      </c>
      <c r="E910" s="528"/>
      <c r="F910" s="528"/>
      <c r="G910" s="528" t="s">
        <v>205</v>
      </c>
      <c r="H910"/>
    </row>
    <row r="911" spans="1:8" x14ac:dyDescent="0.35">
      <c r="A911" s="528" t="s">
        <v>2928</v>
      </c>
      <c r="B911" s="528" t="s">
        <v>2929</v>
      </c>
      <c r="C911" s="528" t="s">
        <v>2930</v>
      </c>
      <c r="D911" s="528" t="s">
        <v>251</v>
      </c>
      <c r="E911" s="528"/>
      <c r="F911" s="528"/>
      <c r="G911" s="528" t="s">
        <v>205</v>
      </c>
      <c r="H911"/>
    </row>
    <row r="912" spans="1:8" x14ac:dyDescent="0.35">
      <c r="A912" s="528" t="s">
        <v>2931</v>
      </c>
      <c r="B912" s="528" t="s">
        <v>2932</v>
      </c>
      <c r="C912" s="528" t="s">
        <v>2933</v>
      </c>
      <c r="D912" s="528" t="s">
        <v>277</v>
      </c>
      <c r="E912" s="528"/>
      <c r="F912" s="528"/>
      <c r="G912" s="528" t="s">
        <v>205</v>
      </c>
      <c r="H912"/>
    </row>
    <row r="913" spans="1:8" x14ac:dyDescent="0.35">
      <c r="A913" s="528" t="s">
        <v>2934</v>
      </c>
      <c r="B913" s="528" t="s">
        <v>2935</v>
      </c>
      <c r="C913" s="528" t="s">
        <v>2936</v>
      </c>
      <c r="D913" s="528" t="s">
        <v>264</v>
      </c>
      <c r="E913" s="528"/>
      <c r="F913" s="528"/>
      <c r="G913" s="528" t="s">
        <v>205</v>
      </c>
      <c r="H913"/>
    </row>
    <row r="914" spans="1:8" x14ac:dyDescent="0.35">
      <c r="A914" s="528" t="s">
        <v>2937</v>
      </c>
      <c r="B914" s="528" t="s">
        <v>2938</v>
      </c>
      <c r="C914" s="528" t="s">
        <v>2939</v>
      </c>
      <c r="D914" s="528" t="s">
        <v>264</v>
      </c>
      <c r="E914" s="528"/>
      <c r="F914" s="528"/>
      <c r="G914" s="528" t="s">
        <v>205</v>
      </c>
      <c r="H914"/>
    </row>
    <row r="915" spans="1:8" x14ac:dyDescent="0.35">
      <c r="A915" s="528" t="s">
        <v>2940</v>
      </c>
      <c r="B915" s="528" t="s">
        <v>2941</v>
      </c>
      <c r="C915" s="528" t="s">
        <v>2942</v>
      </c>
      <c r="D915" s="528" t="s">
        <v>264</v>
      </c>
      <c r="E915" s="528"/>
      <c r="F915" s="528"/>
      <c r="G915" s="528" t="s">
        <v>205</v>
      </c>
      <c r="H915"/>
    </row>
    <row r="916" spans="1:8" x14ac:dyDescent="0.35">
      <c r="A916" s="528" t="s">
        <v>2943</v>
      </c>
      <c r="B916" s="528" t="s">
        <v>2944</v>
      </c>
      <c r="C916" s="528" t="s">
        <v>846</v>
      </c>
      <c r="D916" s="528" t="s">
        <v>277</v>
      </c>
      <c r="E916" s="528"/>
      <c r="F916" s="528"/>
      <c r="G916" s="528" t="s">
        <v>208</v>
      </c>
      <c r="H916"/>
    </row>
    <row r="917" spans="1:8" x14ac:dyDescent="0.35">
      <c r="A917" s="528" t="s">
        <v>2945</v>
      </c>
      <c r="B917" s="528" t="s">
        <v>2946</v>
      </c>
      <c r="C917" s="528" t="s">
        <v>2947</v>
      </c>
      <c r="D917" s="528" t="s">
        <v>264</v>
      </c>
      <c r="E917" s="528"/>
      <c r="F917" s="528"/>
      <c r="G917" s="528" t="s">
        <v>208</v>
      </c>
      <c r="H917"/>
    </row>
    <row r="918" spans="1:8" x14ac:dyDescent="0.35">
      <c r="A918" s="528" t="s">
        <v>2948</v>
      </c>
      <c r="B918" s="528" t="s">
        <v>2949</v>
      </c>
      <c r="C918" s="528" t="s">
        <v>2950</v>
      </c>
      <c r="D918" s="528" t="s">
        <v>251</v>
      </c>
      <c r="E918" s="528"/>
      <c r="F918" s="528"/>
      <c r="G918" s="528" t="s">
        <v>208</v>
      </c>
      <c r="H918"/>
    </row>
    <row r="919" spans="1:8" x14ac:dyDescent="0.35">
      <c r="A919" s="528" t="s">
        <v>2951</v>
      </c>
      <c r="B919" s="528" t="s">
        <v>2952</v>
      </c>
      <c r="C919" s="528" t="s">
        <v>2953</v>
      </c>
      <c r="D919" s="528" t="s">
        <v>251</v>
      </c>
      <c r="E919" s="528"/>
      <c r="F919" s="528"/>
      <c r="G919" s="528" t="s">
        <v>208</v>
      </c>
      <c r="H919"/>
    </row>
    <row r="920" spans="1:8" x14ac:dyDescent="0.35">
      <c r="A920" s="528" t="s">
        <v>2954</v>
      </c>
      <c r="B920" s="528" t="s">
        <v>2955</v>
      </c>
      <c r="C920" s="528" t="s">
        <v>2956</v>
      </c>
      <c r="D920" s="528" t="s">
        <v>251</v>
      </c>
      <c r="E920" s="528"/>
      <c r="F920" s="528"/>
      <c r="G920" s="528" t="s">
        <v>208</v>
      </c>
      <c r="H920"/>
    </row>
    <row r="921" spans="1:8" x14ac:dyDescent="0.35">
      <c r="A921" s="528" t="s">
        <v>2957</v>
      </c>
      <c r="B921" s="528" t="s">
        <v>2958</v>
      </c>
      <c r="C921" s="528" t="s">
        <v>2959</v>
      </c>
      <c r="D921" s="528" t="s">
        <v>264</v>
      </c>
      <c r="E921" s="528"/>
      <c r="F921" s="528"/>
      <c r="G921" s="528" t="s">
        <v>208</v>
      </c>
      <c r="H921"/>
    </row>
    <row r="922" spans="1:8" x14ac:dyDescent="0.35">
      <c r="A922" s="528" t="s">
        <v>2960</v>
      </c>
      <c r="B922" s="528" t="s">
        <v>2961</v>
      </c>
      <c r="C922" s="528" t="s">
        <v>2962</v>
      </c>
      <c r="D922" s="528" t="s">
        <v>264</v>
      </c>
      <c r="E922" s="528"/>
      <c r="F922" s="528"/>
      <c r="G922" s="528" t="s">
        <v>205</v>
      </c>
      <c r="H922"/>
    </row>
    <row r="923" spans="1:8" x14ac:dyDescent="0.35">
      <c r="A923" s="528" t="s">
        <v>2963</v>
      </c>
      <c r="B923" s="528" t="s">
        <v>2964</v>
      </c>
      <c r="C923" s="528" t="s">
        <v>2965</v>
      </c>
      <c r="D923" s="528" t="s">
        <v>251</v>
      </c>
      <c r="E923" s="528"/>
      <c r="F923" s="528"/>
      <c r="G923" s="528" t="s">
        <v>205</v>
      </c>
      <c r="H923"/>
    </row>
    <row r="924" spans="1:8" x14ac:dyDescent="0.35">
      <c r="A924" s="528" t="s">
        <v>2966</v>
      </c>
      <c r="B924" s="528" t="s">
        <v>2967</v>
      </c>
      <c r="C924" s="528" t="s">
        <v>2968</v>
      </c>
      <c r="D924" s="528" t="s">
        <v>251</v>
      </c>
      <c r="E924" s="528"/>
      <c r="F924" s="528"/>
      <c r="G924" s="528" t="s">
        <v>205</v>
      </c>
      <c r="H924"/>
    </row>
    <row r="925" spans="1:8" x14ac:dyDescent="0.35">
      <c r="A925" s="528" t="s">
        <v>2969</v>
      </c>
      <c r="B925" s="528" t="s">
        <v>2970</v>
      </c>
      <c r="C925" s="528" t="s">
        <v>2971</v>
      </c>
      <c r="D925" s="528" t="s">
        <v>264</v>
      </c>
      <c r="E925" s="528"/>
      <c r="F925" s="528"/>
      <c r="G925" s="528" t="s">
        <v>205</v>
      </c>
      <c r="H925"/>
    </row>
    <row r="926" spans="1:8" x14ac:dyDescent="0.35">
      <c r="A926" s="528" t="s">
        <v>2972</v>
      </c>
      <c r="B926" s="528" t="s">
        <v>2973</v>
      </c>
      <c r="C926" s="528" t="s">
        <v>2974</v>
      </c>
      <c r="D926" s="528" t="s">
        <v>264</v>
      </c>
      <c r="E926" s="528"/>
      <c r="F926" s="528"/>
      <c r="G926" s="528" t="s">
        <v>205</v>
      </c>
      <c r="H926"/>
    </row>
    <row r="927" spans="1:8" x14ac:dyDescent="0.35">
      <c r="A927" s="528" t="s">
        <v>2975</v>
      </c>
      <c r="B927" s="528" t="s">
        <v>2976</v>
      </c>
      <c r="C927" s="528" t="s">
        <v>2977</v>
      </c>
      <c r="D927" s="528" t="s">
        <v>264</v>
      </c>
      <c r="E927" s="528"/>
      <c r="F927" s="528"/>
      <c r="G927" s="528" t="s">
        <v>205</v>
      </c>
      <c r="H927"/>
    </row>
    <row r="928" spans="1:8" x14ac:dyDescent="0.35">
      <c r="A928" s="528" t="s">
        <v>2978</v>
      </c>
      <c r="B928" s="528" t="s">
        <v>2979</v>
      </c>
      <c r="C928" s="528" t="s">
        <v>2980</v>
      </c>
      <c r="D928" s="528" t="s">
        <v>251</v>
      </c>
      <c r="E928" s="528"/>
      <c r="F928" s="528"/>
      <c r="G928" s="528" t="s">
        <v>205</v>
      </c>
      <c r="H928"/>
    </row>
    <row r="929" spans="1:8" x14ac:dyDescent="0.35">
      <c r="A929" s="528" t="s">
        <v>2981</v>
      </c>
      <c r="B929" s="528" t="s">
        <v>2982</v>
      </c>
      <c r="C929" s="528" t="s">
        <v>2983</v>
      </c>
      <c r="D929" s="528" t="s">
        <v>277</v>
      </c>
      <c r="E929" s="528"/>
      <c r="F929" s="528"/>
      <c r="G929" s="528" t="s">
        <v>205</v>
      </c>
      <c r="H929"/>
    </row>
    <row r="930" spans="1:8" x14ac:dyDescent="0.35">
      <c r="A930" s="528" t="s">
        <v>2984</v>
      </c>
      <c r="B930" s="528" t="s">
        <v>2985</v>
      </c>
      <c r="C930" s="528" t="s">
        <v>2339</v>
      </c>
      <c r="D930" s="528" t="s">
        <v>264</v>
      </c>
      <c r="E930" s="528"/>
      <c r="F930" s="528"/>
      <c r="G930" s="528" t="s">
        <v>205</v>
      </c>
      <c r="H930"/>
    </row>
    <row r="931" spans="1:8" x14ac:dyDescent="0.35">
      <c r="A931" s="528" t="s">
        <v>2986</v>
      </c>
      <c r="B931" s="528" t="s">
        <v>2987</v>
      </c>
      <c r="C931" s="528" t="s">
        <v>2988</v>
      </c>
      <c r="D931" s="528" t="s">
        <v>251</v>
      </c>
      <c r="E931" s="528"/>
      <c r="F931" s="528"/>
      <c r="G931" s="528" t="s">
        <v>205</v>
      </c>
      <c r="H931"/>
    </row>
    <row r="932" spans="1:8" x14ac:dyDescent="0.35">
      <c r="A932" s="528" t="s">
        <v>2989</v>
      </c>
      <c r="B932" s="528" t="s">
        <v>2990</v>
      </c>
      <c r="C932" s="528" t="s">
        <v>2991</v>
      </c>
      <c r="D932" s="528" t="s">
        <v>251</v>
      </c>
      <c r="E932" s="528"/>
      <c r="F932" s="528"/>
      <c r="G932" s="528" t="s">
        <v>205</v>
      </c>
      <c r="H932"/>
    </row>
    <row r="933" spans="1:8" x14ac:dyDescent="0.35">
      <c r="A933" s="528" t="s">
        <v>2992</v>
      </c>
      <c r="B933" s="528" t="s">
        <v>2993</v>
      </c>
      <c r="C933" s="528" t="s">
        <v>2994</v>
      </c>
      <c r="D933" s="528" t="s">
        <v>277</v>
      </c>
      <c r="E933" s="528"/>
      <c r="F933" s="528"/>
      <c r="G933" s="528" t="s">
        <v>205</v>
      </c>
      <c r="H933"/>
    </row>
    <row r="934" spans="1:8" x14ac:dyDescent="0.35">
      <c r="A934" s="528" t="s">
        <v>2995</v>
      </c>
      <c r="B934" s="528" t="s">
        <v>2996</v>
      </c>
      <c r="C934" s="528" t="s">
        <v>2997</v>
      </c>
      <c r="D934" s="528" t="s">
        <v>251</v>
      </c>
      <c r="E934" s="528"/>
      <c r="F934" s="528"/>
      <c r="G934" s="528" t="s">
        <v>205</v>
      </c>
      <c r="H934"/>
    </row>
    <row r="935" spans="1:8" x14ac:dyDescent="0.35">
      <c r="A935" s="528" t="s">
        <v>2998</v>
      </c>
      <c r="B935" s="528" t="s">
        <v>2999</v>
      </c>
      <c r="C935" s="528" t="s">
        <v>2868</v>
      </c>
      <c r="D935" s="528" t="s">
        <v>251</v>
      </c>
      <c r="E935" s="528"/>
      <c r="F935" s="528"/>
      <c r="G935" s="528" t="s">
        <v>205</v>
      </c>
      <c r="H935"/>
    </row>
    <row r="936" spans="1:8" x14ac:dyDescent="0.35">
      <c r="A936" s="528" t="s">
        <v>3000</v>
      </c>
      <c r="B936" s="528" t="s">
        <v>3001</v>
      </c>
      <c r="C936" s="528" t="s">
        <v>1845</v>
      </c>
      <c r="D936" s="528" t="s">
        <v>251</v>
      </c>
      <c r="E936" s="528"/>
      <c r="F936" s="528"/>
      <c r="G936" s="528" t="s">
        <v>205</v>
      </c>
      <c r="H936"/>
    </row>
    <row r="937" spans="1:8" x14ac:dyDescent="0.35">
      <c r="A937" s="528" t="s">
        <v>3002</v>
      </c>
      <c r="B937" s="528" t="s">
        <v>3003</v>
      </c>
      <c r="C937" s="528" t="s">
        <v>1483</v>
      </c>
      <c r="D937" s="528" t="s">
        <v>251</v>
      </c>
      <c r="E937" s="528"/>
      <c r="F937" s="528"/>
      <c r="G937" s="528" t="s">
        <v>205</v>
      </c>
      <c r="H937"/>
    </row>
    <row r="938" spans="1:8" x14ac:dyDescent="0.35">
      <c r="A938" s="528" t="s">
        <v>3004</v>
      </c>
      <c r="B938" s="528" t="s">
        <v>3005</v>
      </c>
      <c r="C938" s="528" t="s">
        <v>1291</v>
      </c>
      <c r="D938" s="528" t="s">
        <v>264</v>
      </c>
      <c r="E938" s="528"/>
      <c r="F938" s="528"/>
      <c r="G938" s="528" t="s">
        <v>205</v>
      </c>
      <c r="H938"/>
    </row>
    <row r="939" spans="1:8" x14ac:dyDescent="0.35">
      <c r="A939" s="528" t="s">
        <v>3006</v>
      </c>
      <c r="B939" s="528" t="s">
        <v>3007</v>
      </c>
      <c r="C939" s="528" t="s">
        <v>3008</v>
      </c>
      <c r="D939" s="528" t="s">
        <v>238</v>
      </c>
      <c r="E939" s="528"/>
      <c r="F939" s="528"/>
      <c r="G939" s="528" t="s">
        <v>205</v>
      </c>
      <c r="H939"/>
    </row>
    <row r="940" spans="1:8" x14ac:dyDescent="0.35">
      <c r="A940" s="528" t="s">
        <v>3009</v>
      </c>
      <c r="B940" s="528" t="s">
        <v>3010</v>
      </c>
      <c r="C940" s="528" t="s">
        <v>3011</v>
      </c>
      <c r="D940" s="528" t="s">
        <v>251</v>
      </c>
      <c r="E940" s="528"/>
      <c r="F940" s="528"/>
      <c r="G940" s="528" t="s">
        <v>205</v>
      </c>
      <c r="H940"/>
    </row>
    <row r="941" spans="1:8" x14ac:dyDescent="0.35">
      <c r="A941" s="528" t="s">
        <v>3012</v>
      </c>
      <c r="B941" s="528" t="s">
        <v>3013</v>
      </c>
      <c r="C941" s="528" t="s">
        <v>3014</v>
      </c>
      <c r="D941" s="528" t="s">
        <v>264</v>
      </c>
      <c r="E941" s="528"/>
      <c r="F941" s="528"/>
      <c r="G941" s="528" t="s">
        <v>205</v>
      </c>
      <c r="H941"/>
    </row>
    <row r="942" spans="1:8" x14ac:dyDescent="0.35">
      <c r="A942" s="528" t="s">
        <v>3015</v>
      </c>
      <c r="B942" s="528" t="s">
        <v>3016</v>
      </c>
      <c r="C942" s="528" t="s">
        <v>1839</v>
      </c>
      <c r="D942" s="528" t="s">
        <v>251</v>
      </c>
      <c r="E942" s="528"/>
      <c r="F942" s="528"/>
      <c r="G942" s="528" t="s">
        <v>205</v>
      </c>
      <c r="H942"/>
    </row>
    <row r="943" spans="1:8" x14ac:dyDescent="0.35">
      <c r="A943" s="528" t="s">
        <v>3017</v>
      </c>
      <c r="B943" s="528" t="s">
        <v>3018</v>
      </c>
      <c r="C943" s="528" t="s">
        <v>3019</v>
      </c>
      <c r="D943" s="528" t="s">
        <v>264</v>
      </c>
      <c r="E943" s="528"/>
      <c r="F943" s="528"/>
      <c r="G943" s="528" t="s">
        <v>205</v>
      </c>
      <c r="H943"/>
    </row>
    <row r="944" spans="1:8" x14ac:dyDescent="0.35">
      <c r="A944" s="528" t="s">
        <v>3020</v>
      </c>
      <c r="B944" s="528" t="s">
        <v>3021</v>
      </c>
      <c r="C944" s="528" t="s">
        <v>3022</v>
      </c>
      <c r="D944" s="528" t="s">
        <v>251</v>
      </c>
      <c r="E944" s="528"/>
      <c r="F944" s="528"/>
      <c r="G944" s="528" t="s">
        <v>205</v>
      </c>
      <c r="H944"/>
    </row>
    <row r="945" spans="1:8" x14ac:dyDescent="0.35">
      <c r="A945" s="528" t="s">
        <v>3023</v>
      </c>
      <c r="B945" s="528" t="s">
        <v>3024</v>
      </c>
      <c r="C945" s="528" t="s">
        <v>3025</v>
      </c>
      <c r="D945" s="528" t="s">
        <v>251</v>
      </c>
      <c r="E945" s="528"/>
      <c r="F945" s="528"/>
      <c r="G945" s="528" t="s">
        <v>205</v>
      </c>
      <c r="H945"/>
    </row>
    <row r="946" spans="1:8" x14ac:dyDescent="0.35">
      <c r="A946" s="528" t="s">
        <v>3026</v>
      </c>
      <c r="B946" s="528" t="s">
        <v>3027</v>
      </c>
      <c r="C946" s="528" t="s">
        <v>3028</v>
      </c>
      <c r="D946" s="528" t="s">
        <v>251</v>
      </c>
      <c r="E946" s="528"/>
      <c r="F946" s="528"/>
      <c r="G946" s="528" t="s">
        <v>205</v>
      </c>
      <c r="H946"/>
    </row>
    <row r="947" spans="1:8" x14ac:dyDescent="0.35">
      <c r="A947" s="528" t="s">
        <v>3029</v>
      </c>
      <c r="B947" s="528" t="s">
        <v>3030</v>
      </c>
      <c r="C947" s="528" t="s">
        <v>1533</v>
      </c>
      <c r="D947" s="528" t="s">
        <v>277</v>
      </c>
      <c r="E947" s="528"/>
      <c r="F947" s="528"/>
      <c r="G947" s="528" t="s">
        <v>205</v>
      </c>
      <c r="H947"/>
    </row>
    <row r="948" spans="1:8" x14ac:dyDescent="0.35">
      <c r="A948" s="528" t="s">
        <v>3031</v>
      </c>
      <c r="B948" s="528" t="s">
        <v>3032</v>
      </c>
      <c r="C948" s="528" t="s">
        <v>3033</v>
      </c>
      <c r="D948" s="528" t="s">
        <v>238</v>
      </c>
      <c r="E948" s="528"/>
      <c r="F948" s="528"/>
      <c r="G948" s="528" t="s">
        <v>205</v>
      </c>
      <c r="H948"/>
    </row>
    <row r="949" spans="1:8" x14ac:dyDescent="0.35">
      <c r="A949" s="528" t="s">
        <v>3034</v>
      </c>
      <c r="B949" s="528" t="s">
        <v>3035</v>
      </c>
      <c r="C949" s="528" t="s">
        <v>3036</v>
      </c>
      <c r="D949" s="528" t="s">
        <v>264</v>
      </c>
      <c r="E949" s="528"/>
      <c r="F949" s="528"/>
      <c r="G949" s="528" t="s">
        <v>208</v>
      </c>
      <c r="H949"/>
    </row>
    <row r="950" spans="1:8" x14ac:dyDescent="0.35">
      <c r="A950" s="528" t="s">
        <v>3037</v>
      </c>
      <c r="B950" s="528" t="s">
        <v>3038</v>
      </c>
      <c r="C950" s="528" t="s">
        <v>3039</v>
      </c>
      <c r="D950" s="528" t="s">
        <v>251</v>
      </c>
      <c r="E950" s="528"/>
      <c r="F950" s="528"/>
      <c r="G950" s="528" t="s">
        <v>205</v>
      </c>
      <c r="H950"/>
    </row>
    <row r="951" spans="1:8" x14ac:dyDescent="0.35">
      <c r="A951" s="528" t="s">
        <v>3040</v>
      </c>
      <c r="B951" s="528" t="s">
        <v>3041</v>
      </c>
      <c r="C951" s="528" t="s">
        <v>3042</v>
      </c>
      <c r="D951" s="528" t="s">
        <v>225</v>
      </c>
      <c r="E951" s="528"/>
      <c r="F951" s="528"/>
      <c r="G951" s="528" t="s">
        <v>205</v>
      </c>
      <c r="H951"/>
    </row>
    <row r="952" spans="1:8" x14ac:dyDescent="0.35">
      <c r="A952" s="528" t="s">
        <v>3043</v>
      </c>
      <c r="B952" s="528" t="s">
        <v>3044</v>
      </c>
      <c r="C952" s="528" t="s">
        <v>3045</v>
      </c>
      <c r="D952" s="528" t="s">
        <v>225</v>
      </c>
      <c r="E952" s="528"/>
      <c r="F952" s="528"/>
      <c r="G952" s="528" t="s">
        <v>205</v>
      </c>
      <c r="H952"/>
    </row>
    <row r="953" spans="1:8" x14ac:dyDescent="0.35">
      <c r="A953" s="528" t="s">
        <v>3046</v>
      </c>
      <c r="B953" s="528" t="s">
        <v>3047</v>
      </c>
      <c r="C953" s="528" t="s">
        <v>3048</v>
      </c>
      <c r="D953" s="528" t="s">
        <v>264</v>
      </c>
      <c r="E953" s="528"/>
      <c r="F953" s="528"/>
      <c r="G953" s="528" t="s">
        <v>205</v>
      </c>
      <c r="H953"/>
    </row>
    <row r="954" spans="1:8" x14ac:dyDescent="0.35">
      <c r="A954" s="528" t="s">
        <v>3049</v>
      </c>
      <c r="B954" s="528" t="s">
        <v>3050</v>
      </c>
      <c r="C954" s="528" t="s">
        <v>3051</v>
      </c>
      <c r="D954" s="528" t="s">
        <v>238</v>
      </c>
      <c r="E954" s="528"/>
      <c r="F954" s="528"/>
      <c r="G954" s="528" t="s">
        <v>205</v>
      </c>
      <c r="H954"/>
    </row>
    <row r="955" spans="1:8" x14ac:dyDescent="0.35">
      <c r="A955" s="528" t="s">
        <v>3052</v>
      </c>
      <c r="B955" s="528" t="s">
        <v>3053</v>
      </c>
      <c r="C955" s="528" t="s">
        <v>3054</v>
      </c>
      <c r="D955" s="528" t="s">
        <v>277</v>
      </c>
      <c r="E955" s="528"/>
      <c r="F955" s="528"/>
      <c r="G955" s="528" t="s">
        <v>205</v>
      </c>
      <c r="H955"/>
    </row>
    <row r="956" spans="1:8" x14ac:dyDescent="0.35">
      <c r="A956" s="528" t="s">
        <v>3055</v>
      </c>
      <c r="B956" s="528" t="s">
        <v>3056</v>
      </c>
      <c r="C956" s="528" t="s">
        <v>3057</v>
      </c>
      <c r="D956" s="528" t="s">
        <v>277</v>
      </c>
      <c r="E956" s="528"/>
      <c r="F956" s="528"/>
      <c r="G956" s="528" t="s">
        <v>205</v>
      </c>
      <c r="H956"/>
    </row>
    <row r="957" spans="1:8" x14ac:dyDescent="0.35">
      <c r="A957" s="528" t="s">
        <v>3058</v>
      </c>
      <c r="B957" s="528" t="s">
        <v>3059</v>
      </c>
      <c r="C957" s="528" t="s">
        <v>3060</v>
      </c>
      <c r="D957" s="528" t="s">
        <v>251</v>
      </c>
      <c r="E957" s="528"/>
      <c r="F957" s="528"/>
      <c r="G957" s="528" t="s">
        <v>208</v>
      </c>
      <c r="H957"/>
    </row>
    <row r="958" spans="1:8" x14ac:dyDescent="0.35">
      <c r="A958" s="528" t="s">
        <v>3061</v>
      </c>
      <c r="B958" s="528" t="s">
        <v>3062</v>
      </c>
      <c r="C958" s="528" t="s">
        <v>3063</v>
      </c>
      <c r="D958" s="528" t="s">
        <v>251</v>
      </c>
      <c r="E958" s="528"/>
      <c r="F958" s="528"/>
      <c r="G958" s="528" t="s">
        <v>205</v>
      </c>
      <c r="H958"/>
    </row>
    <row r="959" spans="1:8" x14ac:dyDescent="0.35">
      <c r="A959" s="528" t="s">
        <v>3064</v>
      </c>
      <c r="B959" s="528" t="s">
        <v>3065</v>
      </c>
      <c r="C959" s="528" t="s">
        <v>3066</v>
      </c>
      <c r="D959" s="528" t="s">
        <v>264</v>
      </c>
      <c r="E959" s="528"/>
      <c r="F959" s="528"/>
      <c r="G959" s="528" t="s">
        <v>208</v>
      </c>
      <c r="H959"/>
    </row>
    <row r="960" spans="1:8" x14ac:dyDescent="0.35">
      <c r="A960" s="528" t="s">
        <v>3067</v>
      </c>
      <c r="B960" s="528" t="s">
        <v>3068</v>
      </c>
      <c r="C960" s="528" t="s">
        <v>3069</v>
      </c>
      <c r="D960" s="528" t="s">
        <v>264</v>
      </c>
      <c r="E960" s="528"/>
      <c r="F960" s="528"/>
      <c r="G960" s="528" t="s">
        <v>208</v>
      </c>
      <c r="H960"/>
    </row>
    <row r="961" spans="1:8" x14ac:dyDescent="0.35">
      <c r="A961" s="528" t="s">
        <v>3070</v>
      </c>
      <c r="B961" s="528" t="s">
        <v>3071</v>
      </c>
      <c r="C961" s="528" t="s">
        <v>3072</v>
      </c>
      <c r="D961" s="528" t="s">
        <v>251</v>
      </c>
      <c r="E961" s="528"/>
      <c r="F961" s="528"/>
      <c r="G961" s="528" t="s">
        <v>208</v>
      </c>
      <c r="H961"/>
    </row>
    <row r="962" spans="1:8" x14ac:dyDescent="0.35">
      <c r="A962" s="528" t="s">
        <v>3073</v>
      </c>
      <c r="B962" s="528" t="s">
        <v>3074</v>
      </c>
      <c r="C962" s="528" t="s">
        <v>3075</v>
      </c>
      <c r="D962" s="528" t="s">
        <v>277</v>
      </c>
      <c r="E962" s="528"/>
      <c r="F962" s="528"/>
      <c r="G962" s="528" t="s">
        <v>205</v>
      </c>
      <c r="H962"/>
    </row>
    <row r="963" spans="1:8" x14ac:dyDescent="0.35">
      <c r="A963" s="528" t="s">
        <v>3076</v>
      </c>
      <c r="B963" s="528" t="s">
        <v>3077</v>
      </c>
      <c r="C963" s="528" t="s">
        <v>994</v>
      </c>
      <c r="D963" s="528" t="s">
        <v>251</v>
      </c>
      <c r="E963" s="528"/>
      <c r="F963" s="528"/>
      <c r="G963" s="528" t="s">
        <v>208</v>
      </c>
      <c r="H963"/>
    </row>
    <row r="964" spans="1:8" x14ac:dyDescent="0.35">
      <c r="A964" s="528" t="s">
        <v>3078</v>
      </c>
      <c r="B964" s="528" t="s">
        <v>3079</v>
      </c>
      <c r="C964" s="528" t="s">
        <v>1116</v>
      </c>
      <c r="D964" s="528" t="s">
        <v>277</v>
      </c>
      <c r="E964" s="528"/>
      <c r="F964" s="528"/>
      <c r="G964" s="528" t="s">
        <v>208</v>
      </c>
      <c r="H964"/>
    </row>
    <row r="965" spans="1:8" x14ac:dyDescent="0.35">
      <c r="A965" s="528" t="s">
        <v>3080</v>
      </c>
      <c r="B965" s="528" t="s">
        <v>3081</v>
      </c>
      <c r="C965" s="528" t="s">
        <v>3082</v>
      </c>
      <c r="D965" s="528" t="s">
        <v>264</v>
      </c>
      <c r="E965" s="528"/>
      <c r="F965" s="528"/>
      <c r="G965" s="528" t="s">
        <v>205</v>
      </c>
      <c r="H965"/>
    </row>
    <row r="966" spans="1:8" x14ac:dyDescent="0.35">
      <c r="A966" s="528" t="s">
        <v>3083</v>
      </c>
      <c r="B966" s="528" t="s">
        <v>3084</v>
      </c>
      <c r="C966" s="528" t="s">
        <v>3085</v>
      </c>
      <c r="D966" s="528" t="s">
        <v>264</v>
      </c>
      <c r="E966" s="528"/>
      <c r="F966" s="528"/>
      <c r="G966" s="528" t="s">
        <v>208</v>
      </c>
      <c r="H966"/>
    </row>
    <row r="967" spans="1:8" x14ac:dyDescent="0.35">
      <c r="A967" s="528" t="s">
        <v>3086</v>
      </c>
      <c r="B967" s="528" t="s">
        <v>3087</v>
      </c>
      <c r="C967" s="528" t="s">
        <v>3088</v>
      </c>
      <c r="D967" s="528" t="s">
        <v>225</v>
      </c>
      <c r="E967" s="528"/>
      <c r="F967" s="528"/>
      <c r="G967" s="528" t="s">
        <v>208</v>
      </c>
      <c r="H967"/>
    </row>
    <row r="968" spans="1:8" x14ac:dyDescent="0.35">
      <c r="A968" s="528" t="s">
        <v>3089</v>
      </c>
      <c r="B968" s="528" t="s">
        <v>3090</v>
      </c>
      <c r="C968" s="528" t="s">
        <v>3091</v>
      </c>
      <c r="D968" s="528" t="s">
        <v>264</v>
      </c>
      <c r="E968" s="528"/>
      <c r="F968" s="528"/>
      <c r="G968" s="528" t="s">
        <v>208</v>
      </c>
      <c r="H968"/>
    </row>
    <row r="969" spans="1:8" x14ac:dyDescent="0.35">
      <c r="A969" s="528" t="s">
        <v>3092</v>
      </c>
      <c r="B969" s="528" t="s">
        <v>3093</v>
      </c>
      <c r="C969" s="528" t="s">
        <v>3094</v>
      </c>
      <c r="D969" s="528" t="s">
        <v>264</v>
      </c>
      <c r="E969" s="528"/>
      <c r="F969" s="528"/>
      <c r="G969" s="528" t="s">
        <v>208</v>
      </c>
      <c r="H969"/>
    </row>
    <row r="970" spans="1:8" x14ac:dyDescent="0.35">
      <c r="A970" s="528" t="s">
        <v>3095</v>
      </c>
      <c r="B970" s="528" t="s">
        <v>3096</v>
      </c>
      <c r="C970" s="528" t="s">
        <v>3097</v>
      </c>
      <c r="D970" s="528" t="s">
        <v>251</v>
      </c>
      <c r="E970" s="528"/>
      <c r="F970" s="528"/>
      <c r="G970" s="528" t="s">
        <v>208</v>
      </c>
      <c r="H970"/>
    </row>
    <row r="971" spans="1:8" x14ac:dyDescent="0.35">
      <c r="A971" s="528" t="s">
        <v>3098</v>
      </c>
      <c r="B971" s="528" t="s">
        <v>3099</v>
      </c>
      <c r="C971" s="528" t="s">
        <v>3100</v>
      </c>
      <c r="D971" s="528" t="s">
        <v>251</v>
      </c>
      <c r="E971" s="528"/>
      <c r="F971" s="528"/>
      <c r="G971" s="528" t="s">
        <v>208</v>
      </c>
      <c r="H971"/>
    </row>
    <row r="972" spans="1:8" x14ac:dyDescent="0.35">
      <c r="A972" s="528" t="s">
        <v>3101</v>
      </c>
      <c r="B972" s="528" t="s">
        <v>3102</v>
      </c>
      <c r="C972" s="528" t="s">
        <v>1020</v>
      </c>
      <c r="D972" s="528" t="s">
        <v>251</v>
      </c>
      <c r="E972" s="528"/>
      <c r="F972" s="528"/>
      <c r="G972" s="528" t="s">
        <v>208</v>
      </c>
      <c r="H972"/>
    </row>
    <row r="973" spans="1:8" x14ac:dyDescent="0.35">
      <c r="A973" s="528" t="s">
        <v>3103</v>
      </c>
      <c r="B973" s="528" t="s">
        <v>3104</v>
      </c>
      <c r="C973" s="528" t="s">
        <v>3105</v>
      </c>
      <c r="D973" s="528" t="s">
        <v>251</v>
      </c>
      <c r="E973" s="528"/>
      <c r="F973" s="528"/>
      <c r="G973" s="528" t="s">
        <v>208</v>
      </c>
      <c r="H973"/>
    </row>
    <row r="974" spans="1:8" x14ac:dyDescent="0.35">
      <c r="A974" s="528" t="s">
        <v>3106</v>
      </c>
      <c r="B974" s="528" t="s">
        <v>3107</v>
      </c>
      <c r="C974" s="528" t="s">
        <v>3108</v>
      </c>
      <c r="D974" s="528" t="s">
        <v>251</v>
      </c>
      <c r="E974" s="528"/>
      <c r="F974" s="528"/>
      <c r="G974" s="528" t="s">
        <v>205</v>
      </c>
      <c r="H974"/>
    </row>
    <row r="975" spans="1:8" x14ac:dyDescent="0.35">
      <c r="A975" s="528" t="s">
        <v>3109</v>
      </c>
      <c r="B975" s="528" t="s">
        <v>3110</v>
      </c>
      <c r="C975" s="528" t="s">
        <v>3111</v>
      </c>
      <c r="D975" s="528" t="s">
        <v>225</v>
      </c>
      <c r="E975" s="528"/>
      <c r="F975" s="528"/>
      <c r="G975" s="528" t="s">
        <v>208</v>
      </c>
      <c r="H975"/>
    </row>
    <row r="976" spans="1:8" x14ac:dyDescent="0.35">
      <c r="A976" s="528" t="s">
        <v>3112</v>
      </c>
      <c r="B976" s="528" t="s">
        <v>3113</v>
      </c>
      <c r="C976" s="528" t="s">
        <v>2849</v>
      </c>
      <c r="D976" s="528" t="s">
        <v>251</v>
      </c>
      <c r="E976" s="528"/>
      <c r="F976" s="528"/>
      <c r="G976" s="528" t="s">
        <v>208</v>
      </c>
      <c r="H976"/>
    </row>
    <row r="977" spans="1:8" x14ac:dyDescent="0.35">
      <c r="A977" s="528" t="s">
        <v>3114</v>
      </c>
      <c r="B977" s="528" t="s">
        <v>3115</v>
      </c>
      <c r="C977" s="528" t="s">
        <v>3116</v>
      </c>
      <c r="D977" s="528" t="s">
        <v>277</v>
      </c>
      <c r="E977" s="528"/>
      <c r="F977" s="528"/>
      <c r="G977" s="528" t="s">
        <v>205</v>
      </c>
      <c r="H977"/>
    </row>
    <row r="978" spans="1:8" x14ac:dyDescent="0.35">
      <c r="A978" s="528" t="s">
        <v>3117</v>
      </c>
      <c r="B978" s="528" t="s">
        <v>3118</v>
      </c>
      <c r="C978" s="528" t="s">
        <v>3119</v>
      </c>
      <c r="D978" s="528" t="s">
        <v>277</v>
      </c>
      <c r="E978" s="528"/>
      <c r="F978" s="528"/>
      <c r="G978" s="528" t="s">
        <v>205</v>
      </c>
      <c r="H978"/>
    </row>
    <row r="979" spans="1:8" x14ac:dyDescent="0.35">
      <c r="A979" s="528" t="s">
        <v>3120</v>
      </c>
      <c r="B979" s="528" t="s">
        <v>3121</v>
      </c>
      <c r="C979" s="528" t="s">
        <v>3122</v>
      </c>
      <c r="D979" s="528" t="s">
        <v>225</v>
      </c>
      <c r="E979" s="528"/>
      <c r="F979" s="528"/>
      <c r="G979" s="528" t="s">
        <v>205</v>
      </c>
      <c r="H979"/>
    </row>
    <row r="980" spans="1:8" x14ac:dyDescent="0.35">
      <c r="A980" s="528" t="s">
        <v>3123</v>
      </c>
      <c r="B980" s="528" t="s">
        <v>3124</v>
      </c>
      <c r="C980" s="528" t="s">
        <v>3125</v>
      </c>
      <c r="D980" s="528" t="s">
        <v>238</v>
      </c>
      <c r="E980" s="528"/>
      <c r="F980" s="528"/>
      <c r="G980" s="528" t="s">
        <v>205</v>
      </c>
      <c r="H980"/>
    </row>
    <row r="981" spans="1:8" x14ac:dyDescent="0.35">
      <c r="A981" s="528" t="s">
        <v>3126</v>
      </c>
      <c r="B981" s="528" t="s">
        <v>3127</v>
      </c>
      <c r="C981" s="528" t="s">
        <v>3128</v>
      </c>
      <c r="D981" s="528" t="s">
        <v>225</v>
      </c>
      <c r="E981" s="528"/>
      <c r="F981" s="528"/>
      <c r="G981" s="528" t="s">
        <v>205</v>
      </c>
      <c r="H981"/>
    </row>
    <row r="982" spans="1:8" x14ac:dyDescent="0.35">
      <c r="A982" s="528" t="s">
        <v>3129</v>
      </c>
      <c r="B982" s="528" t="s">
        <v>3130</v>
      </c>
      <c r="C982" s="528" t="s">
        <v>3131</v>
      </c>
      <c r="D982" s="528" t="s">
        <v>225</v>
      </c>
      <c r="E982" s="528"/>
      <c r="F982" s="528"/>
      <c r="G982" s="528" t="s">
        <v>208</v>
      </c>
      <c r="H982"/>
    </row>
    <row r="983" spans="1:8" x14ac:dyDescent="0.35">
      <c r="A983" s="528" t="s">
        <v>3132</v>
      </c>
      <c r="B983" s="528" t="s">
        <v>3133</v>
      </c>
      <c r="C983" s="528" t="s">
        <v>3134</v>
      </c>
      <c r="D983" s="528" t="s">
        <v>238</v>
      </c>
      <c r="E983" s="528"/>
      <c r="F983" s="528"/>
      <c r="G983" s="528" t="s">
        <v>208</v>
      </c>
      <c r="H983"/>
    </row>
    <row r="984" spans="1:8" x14ac:dyDescent="0.35">
      <c r="A984" s="528" t="s">
        <v>3135</v>
      </c>
      <c r="B984" s="528" t="s">
        <v>3136</v>
      </c>
      <c r="C984" s="528" t="s">
        <v>3137</v>
      </c>
      <c r="D984" s="528" t="s">
        <v>238</v>
      </c>
      <c r="E984" s="528"/>
      <c r="F984" s="528"/>
      <c r="G984" s="528" t="s">
        <v>205</v>
      </c>
      <c r="H984"/>
    </row>
    <row r="985" spans="1:8" x14ac:dyDescent="0.35">
      <c r="A985" s="528" t="s">
        <v>3138</v>
      </c>
      <c r="B985" s="528" t="s">
        <v>3139</v>
      </c>
      <c r="C985" s="528" t="s">
        <v>3140</v>
      </c>
      <c r="D985" s="528" t="s">
        <v>264</v>
      </c>
      <c r="E985" s="528"/>
      <c r="F985" s="528"/>
      <c r="G985" s="528" t="s">
        <v>205</v>
      </c>
      <c r="H985"/>
    </row>
    <row r="986" spans="1:8" x14ac:dyDescent="0.35">
      <c r="A986" s="528" t="s">
        <v>3141</v>
      </c>
      <c r="B986" s="528" t="s">
        <v>3142</v>
      </c>
      <c r="C986" s="528" t="s">
        <v>3143</v>
      </c>
      <c r="D986" s="528" t="s">
        <v>277</v>
      </c>
      <c r="E986" s="528"/>
      <c r="F986" s="528"/>
      <c r="G986" s="528" t="s">
        <v>205</v>
      </c>
      <c r="H986"/>
    </row>
    <row r="987" spans="1:8" x14ac:dyDescent="0.35">
      <c r="A987" s="528" t="s">
        <v>3144</v>
      </c>
      <c r="B987" s="528" t="s">
        <v>3145</v>
      </c>
      <c r="C987" s="528" t="s">
        <v>1288</v>
      </c>
      <c r="D987" s="528" t="s">
        <v>277</v>
      </c>
      <c r="E987" s="528"/>
      <c r="F987" s="528"/>
      <c r="G987" s="528" t="s">
        <v>205</v>
      </c>
      <c r="H987"/>
    </row>
    <row r="988" spans="1:8" x14ac:dyDescent="0.35">
      <c r="A988" s="528" t="s">
        <v>3146</v>
      </c>
      <c r="B988" s="528" t="s">
        <v>3147</v>
      </c>
      <c r="C988" s="528" t="s">
        <v>3148</v>
      </c>
      <c r="D988" s="528" t="s">
        <v>225</v>
      </c>
      <c r="E988" s="528"/>
      <c r="F988" s="528"/>
      <c r="G988" s="528" t="s">
        <v>205</v>
      </c>
      <c r="H988"/>
    </row>
    <row r="989" spans="1:8" x14ac:dyDescent="0.35">
      <c r="A989" s="528" t="s">
        <v>3149</v>
      </c>
      <c r="B989" s="528" t="s">
        <v>3150</v>
      </c>
      <c r="C989" s="528" t="s">
        <v>1329</v>
      </c>
      <c r="D989" s="528" t="s">
        <v>251</v>
      </c>
      <c r="E989" s="528"/>
      <c r="F989" s="528"/>
      <c r="G989" s="528" t="s">
        <v>205</v>
      </c>
      <c r="H989"/>
    </row>
    <row r="990" spans="1:8" x14ac:dyDescent="0.35">
      <c r="A990" s="528" t="s">
        <v>3151</v>
      </c>
      <c r="B990" s="528" t="s">
        <v>3152</v>
      </c>
      <c r="C990" s="528" t="s">
        <v>2280</v>
      </c>
      <c r="D990" s="528" t="s">
        <v>264</v>
      </c>
      <c r="E990" s="528"/>
      <c r="F990" s="528"/>
      <c r="G990" s="528" t="s">
        <v>205</v>
      </c>
      <c r="H990"/>
    </row>
    <row r="991" spans="1:8" x14ac:dyDescent="0.35">
      <c r="A991" s="528" t="s">
        <v>3153</v>
      </c>
      <c r="B991" s="528" t="s">
        <v>3154</v>
      </c>
      <c r="C991" s="528" t="s">
        <v>3155</v>
      </c>
      <c r="D991" s="528" t="s">
        <v>238</v>
      </c>
      <c r="E991" s="528"/>
      <c r="F991" s="528"/>
      <c r="G991" s="528" t="s">
        <v>205</v>
      </c>
      <c r="H991"/>
    </row>
    <row r="992" spans="1:8" x14ac:dyDescent="0.35">
      <c r="A992" s="528" t="s">
        <v>3156</v>
      </c>
      <c r="B992" s="528" t="s">
        <v>3157</v>
      </c>
      <c r="C992" s="528" t="s">
        <v>3158</v>
      </c>
      <c r="D992" s="528" t="s">
        <v>277</v>
      </c>
      <c r="E992" s="528"/>
      <c r="F992" s="528"/>
      <c r="G992" s="528" t="s">
        <v>205</v>
      </c>
      <c r="H992"/>
    </row>
    <row r="993" spans="1:8" x14ac:dyDescent="0.35">
      <c r="A993" s="528" t="s">
        <v>3159</v>
      </c>
      <c r="B993" s="528" t="s">
        <v>3160</v>
      </c>
      <c r="C993" s="528" t="s">
        <v>3161</v>
      </c>
      <c r="D993" s="528" t="s">
        <v>277</v>
      </c>
      <c r="E993" s="528"/>
      <c r="F993" s="528"/>
      <c r="G993" s="528" t="s">
        <v>205</v>
      </c>
      <c r="H993"/>
    </row>
    <row r="994" spans="1:8" x14ac:dyDescent="0.35">
      <c r="A994" s="528" t="s">
        <v>3162</v>
      </c>
      <c r="B994" s="528" t="s">
        <v>3163</v>
      </c>
      <c r="C994" s="528" t="s">
        <v>795</v>
      </c>
      <c r="D994" s="528" t="s">
        <v>277</v>
      </c>
      <c r="E994" s="528"/>
      <c r="F994" s="528"/>
      <c r="G994" s="528" t="s">
        <v>208</v>
      </c>
      <c r="H994"/>
    </row>
    <row r="995" spans="1:8" x14ac:dyDescent="0.35">
      <c r="A995" s="528" t="s">
        <v>3164</v>
      </c>
      <c r="B995" s="528" t="s">
        <v>3165</v>
      </c>
      <c r="C995" s="528" t="s">
        <v>3166</v>
      </c>
      <c r="D995" s="528" t="s">
        <v>251</v>
      </c>
      <c r="E995" s="528"/>
      <c r="F995" s="528"/>
      <c r="G995" s="528" t="s">
        <v>205</v>
      </c>
      <c r="H995"/>
    </row>
    <row r="996" spans="1:8" x14ac:dyDescent="0.35">
      <c r="A996" s="528" t="s">
        <v>3167</v>
      </c>
      <c r="B996" s="528" t="s">
        <v>3168</v>
      </c>
      <c r="C996" s="528" t="s">
        <v>1477</v>
      </c>
      <c r="D996" s="528" t="s">
        <v>264</v>
      </c>
      <c r="E996" s="528"/>
      <c r="F996" s="528"/>
      <c r="G996" s="528" t="s">
        <v>205</v>
      </c>
      <c r="H996"/>
    </row>
    <row r="997" spans="1:8" x14ac:dyDescent="0.35">
      <c r="A997" s="528" t="s">
        <v>3169</v>
      </c>
      <c r="B997" s="528" t="s">
        <v>3170</v>
      </c>
      <c r="C997" s="528" t="s">
        <v>3171</v>
      </c>
      <c r="D997" s="528" t="s">
        <v>264</v>
      </c>
      <c r="E997" s="528"/>
      <c r="F997" s="528"/>
      <c r="G997" s="528" t="s">
        <v>205</v>
      </c>
      <c r="H997"/>
    </row>
    <row r="998" spans="1:8" x14ac:dyDescent="0.35">
      <c r="A998" s="528" t="s">
        <v>3172</v>
      </c>
      <c r="B998" s="528" t="s">
        <v>3173</v>
      </c>
      <c r="C998" s="528" t="s">
        <v>3174</v>
      </c>
      <c r="D998" s="528" t="s">
        <v>225</v>
      </c>
      <c r="E998" s="528"/>
      <c r="F998" s="528"/>
      <c r="G998" s="528" t="s">
        <v>214</v>
      </c>
      <c r="H998"/>
    </row>
    <row r="999" spans="1:8" x14ac:dyDescent="0.35">
      <c r="A999" s="528" t="s">
        <v>3175</v>
      </c>
      <c r="B999" s="528" t="s">
        <v>3176</v>
      </c>
      <c r="C999" s="528" t="s">
        <v>3177</v>
      </c>
      <c r="D999" s="528" t="s">
        <v>225</v>
      </c>
      <c r="E999" s="528"/>
      <c r="F999" s="528"/>
      <c r="G999" s="528" t="s">
        <v>212</v>
      </c>
      <c r="H999"/>
    </row>
    <row r="1000" spans="1:8" x14ac:dyDescent="0.35">
      <c r="A1000" s="528" t="s">
        <v>3178</v>
      </c>
      <c r="B1000" s="528" t="s">
        <v>3179</v>
      </c>
      <c r="C1000" s="528" t="s">
        <v>3180</v>
      </c>
      <c r="D1000" s="528" t="s">
        <v>251</v>
      </c>
      <c r="E1000" s="528"/>
      <c r="F1000" s="528"/>
      <c r="G1000" s="528" t="s">
        <v>205</v>
      </c>
      <c r="H1000"/>
    </row>
    <row r="1001" spans="1:8" x14ac:dyDescent="0.35">
      <c r="A1001" s="528" t="s">
        <v>3181</v>
      </c>
      <c r="B1001" s="528" t="s">
        <v>3182</v>
      </c>
      <c r="C1001" s="528" t="s">
        <v>2289</v>
      </c>
      <c r="D1001" s="528" t="s">
        <v>251</v>
      </c>
      <c r="E1001" s="528"/>
      <c r="F1001" s="528"/>
      <c r="G1001" s="528" t="s">
        <v>205</v>
      </c>
      <c r="H1001"/>
    </row>
    <row r="1002" spans="1:8" x14ac:dyDescent="0.35">
      <c r="A1002" s="528" t="s">
        <v>3183</v>
      </c>
      <c r="B1002" s="528" t="s">
        <v>3184</v>
      </c>
      <c r="C1002" s="528" t="s">
        <v>3185</v>
      </c>
      <c r="D1002" s="528" t="s">
        <v>251</v>
      </c>
      <c r="E1002" s="528"/>
      <c r="F1002" s="528"/>
      <c r="G1002" s="528" t="s">
        <v>205</v>
      </c>
      <c r="H1002"/>
    </row>
    <row r="1003" spans="1:8" x14ac:dyDescent="0.35">
      <c r="A1003" s="528" t="s">
        <v>3186</v>
      </c>
      <c r="B1003" s="528" t="s">
        <v>3187</v>
      </c>
      <c r="C1003" s="528" t="s">
        <v>675</v>
      </c>
      <c r="D1003" s="528" t="s">
        <v>277</v>
      </c>
      <c r="E1003" s="528"/>
      <c r="F1003" s="528"/>
      <c r="G1003" s="528" t="s">
        <v>208</v>
      </c>
      <c r="H1003"/>
    </row>
    <row r="1004" spans="1:8" x14ac:dyDescent="0.35">
      <c r="A1004" s="528" t="s">
        <v>3188</v>
      </c>
      <c r="B1004" s="528" t="s">
        <v>3189</v>
      </c>
      <c r="C1004" s="528" t="s">
        <v>3190</v>
      </c>
      <c r="D1004" s="528" t="s">
        <v>251</v>
      </c>
      <c r="E1004" s="528"/>
      <c r="F1004" s="528"/>
      <c r="G1004" s="528" t="s">
        <v>205</v>
      </c>
      <c r="H1004"/>
    </row>
    <row r="1005" spans="1:8" x14ac:dyDescent="0.35">
      <c r="A1005" s="528" t="s">
        <v>3191</v>
      </c>
      <c r="B1005" s="528" t="s">
        <v>3192</v>
      </c>
      <c r="C1005" s="528" t="s">
        <v>3193</v>
      </c>
      <c r="D1005" s="528" t="s">
        <v>225</v>
      </c>
      <c r="E1005" s="528"/>
      <c r="F1005" s="528"/>
      <c r="G1005" s="528" t="s">
        <v>205</v>
      </c>
      <c r="H1005"/>
    </row>
    <row r="1006" spans="1:8" x14ac:dyDescent="0.35">
      <c r="A1006" s="528" t="s">
        <v>3194</v>
      </c>
      <c r="B1006" s="528" t="s">
        <v>3195</v>
      </c>
      <c r="C1006" s="528" t="s">
        <v>3148</v>
      </c>
      <c r="D1006" s="528" t="s">
        <v>225</v>
      </c>
      <c r="E1006" s="528"/>
      <c r="F1006" s="528"/>
      <c r="G1006" s="528" t="s">
        <v>205</v>
      </c>
      <c r="H1006"/>
    </row>
    <row r="1007" spans="1:8" x14ac:dyDescent="0.35">
      <c r="A1007" s="528" t="s">
        <v>3196</v>
      </c>
      <c r="B1007" s="528" t="s">
        <v>3197</v>
      </c>
      <c r="C1007" s="528" t="s">
        <v>2470</v>
      </c>
      <c r="D1007" s="528" t="s">
        <v>277</v>
      </c>
      <c r="E1007" s="528"/>
      <c r="F1007" s="528"/>
      <c r="G1007" s="528" t="s">
        <v>208</v>
      </c>
      <c r="H1007"/>
    </row>
    <row r="1008" spans="1:8" x14ac:dyDescent="0.35">
      <c r="A1008" s="528" t="s">
        <v>3198</v>
      </c>
      <c r="B1008" s="528" t="s">
        <v>3199</v>
      </c>
      <c r="C1008" s="528" t="s">
        <v>3200</v>
      </c>
      <c r="D1008" s="528" t="s">
        <v>251</v>
      </c>
      <c r="E1008" s="528"/>
      <c r="F1008" s="528"/>
      <c r="G1008" s="528" t="s">
        <v>208</v>
      </c>
      <c r="H1008"/>
    </row>
    <row r="1009" spans="1:8" x14ac:dyDescent="0.35">
      <c r="A1009" s="528" t="s">
        <v>3201</v>
      </c>
      <c r="B1009" s="528" t="s">
        <v>3202</v>
      </c>
      <c r="C1009" s="528" t="s">
        <v>3203</v>
      </c>
      <c r="D1009" s="528" t="s">
        <v>238</v>
      </c>
      <c r="E1009" s="528"/>
      <c r="F1009" s="528"/>
      <c r="G1009" s="528" t="s">
        <v>208</v>
      </c>
      <c r="H1009"/>
    </row>
    <row r="1010" spans="1:8" x14ac:dyDescent="0.35">
      <c r="A1010" s="528" t="s">
        <v>3204</v>
      </c>
      <c r="B1010" s="528" t="s">
        <v>3205</v>
      </c>
      <c r="C1010" s="528" t="s">
        <v>1107</v>
      </c>
      <c r="D1010" s="528" t="s">
        <v>251</v>
      </c>
      <c r="E1010" s="528"/>
      <c r="F1010" s="528"/>
      <c r="G1010" s="528" t="s">
        <v>208</v>
      </c>
      <c r="H1010"/>
    </row>
    <row r="1011" spans="1:8" x14ac:dyDescent="0.35">
      <c r="A1011" s="528" t="s">
        <v>3206</v>
      </c>
      <c r="B1011" s="528" t="s">
        <v>3207</v>
      </c>
      <c r="C1011" s="528" t="s">
        <v>3208</v>
      </c>
      <c r="D1011" s="528" t="s">
        <v>251</v>
      </c>
      <c r="E1011" s="528"/>
      <c r="F1011" s="528"/>
      <c r="G1011" s="528" t="s">
        <v>208</v>
      </c>
      <c r="H1011"/>
    </row>
    <row r="1012" spans="1:8" x14ac:dyDescent="0.35">
      <c r="A1012" s="528" t="s">
        <v>3209</v>
      </c>
      <c r="B1012" s="528" t="s">
        <v>3210</v>
      </c>
      <c r="C1012" s="528" t="s">
        <v>3211</v>
      </c>
      <c r="D1012" s="528" t="s">
        <v>251</v>
      </c>
      <c r="E1012" s="528"/>
      <c r="F1012" s="528"/>
      <c r="G1012" s="528" t="s">
        <v>208</v>
      </c>
      <c r="H1012"/>
    </row>
    <row r="1013" spans="1:8" x14ac:dyDescent="0.35">
      <c r="A1013" s="528" t="s">
        <v>3212</v>
      </c>
      <c r="B1013" s="528" t="s">
        <v>3213</v>
      </c>
      <c r="C1013" s="528" t="s">
        <v>3214</v>
      </c>
      <c r="D1013" s="528" t="s">
        <v>251</v>
      </c>
      <c r="E1013" s="528"/>
      <c r="F1013" s="528"/>
      <c r="G1013" s="528" t="s">
        <v>208</v>
      </c>
      <c r="H1013"/>
    </row>
    <row r="1014" spans="1:8" x14ac:dyDescent="0.35">
      <c r="A1014" s="528" t="s">
        <v>3215</v>
      </c>
      <c r="B1014" s="528" t="s">
        <v>3216</v>
      </c>
      <c r="C1014" s="528" t="s">
        <v>3217</v>
      </c>
      <c r="D1014" s="528" t="s">
        <v>251</v>
      </c>
      <c r="E1014" s="528"/>
      <c r="F1014" s="528"/>
      <c r="G1014" s="528" t="s">
        <v>208</v>
      </c>
      <c r="H1014"/>
    </row>
    <row r="1015" spans="1:8" x14ac:dyDescent="0.35">
      <c r="A1015" s="528" t="s">
        <v>3218</v>
      </c>
      <c r="B1015" s="528" t="s">
        <v>3219</v>
      </c>
      <c r="C1015" s="528" t="s">
        <v>3220</v>
      </c>
      <c r="D1015" s="528" t="s">
        <v>251</v>
      </c>
      <c r="E1015" s="528"/>
      <c r="F1015" s="528"/>
      <c r="G1015" s="528" t="s">
        <v>208</v>
      </c>
      <c r="H1015"/>
    </row>
    <row r="1016" spans="1:8" x14ac:dyDescent="0.35">
      <c r="A1016" s="528" t="s">
        <v>3221</v>
      </c>
      <c r="B1016" s="528" t="s">
        <v>3222</v>
      </c>
      <c r="C1016" s="528" t="s">
        <v>3223</v>
      </c>
      <c r="D1016" s="528" t="s">
        <v>251</v>
      </c>
      <c r="E1016" s="528"/>
      <c r="F1016" s="528"/>
      <c r="G1016" s="528" t="s">
        <v>208</v>
      </c>
      <c r="H1016"/>
    </row>
    <row r="1017" spans="1:8" x14ac:dyDescent="0.35">
      <c r="A1017" s="528" t="s">
        <v>3224</v>
      </c>
      <c r="B1017" s="528" t="s">
        <v>3225</v>
      </c>
      <c r="C1017" s="528" t="s">
        <v>2862</v>
      </c>
      <c r="D1017" s="528" t="s">
        <v>251</v>
      </c>
      <c r="E1017" s="528"/>
      <c r="F1017" s="528"/>
      <c r="G1017" s="528" t="s">
        <v>208</v>
      </c>
      <c r="H1017"/>
    </row>
    <row r="1018" spans="1:8" x14ac:dyDescent="0.35">
      <c r="A1018" s="528" t="s">
        <v>3226</v>
      </c>
      <c r="B1018" s="528" t="s">
        <v>3227</v>
      </c>
      <c r="C1018" s="528" t="s">
        <v>1362</v>
      </c>
      <c r="D1018" s="528" t="s">
        <v>251</v>
      </c>
      <c r="E1018" s="528"/>
      <c r="F1018" s="528"/>
      <c r="G1018" s="528" t="s">
        <v>205</v>
      </c>
      <c r="H1018"/>
    </row>
    <row r="1019" spans="1:8" x14ac:dyDescent="0.35">
      <c r="A1019" s="528" t="s">
        <v>3228</v>
      </c>
      <c r="B1019" s="528" t="s">
        <v>3229</v>
      </c>
      <c r="C1019" s="528" t="s">
        <v>1440</v>
      </c>
      <c r="D1019" s="528" t="s">
        <v>251</v>
      </c>
      <c r="E1019" s="528"/>
      <c r="F1019" s="528"/>
      <c r="G1019" s="528" t="s">
        <v>205</v>
      </c>
      <c r="H1019"/>
    </row>
    <row r="1020" spans="1:8" x14ac:dyDescent="0.35">
      <c r="A1020" s="528" t="s">
        <v>3230</v>
      </c>
      <c r="B1020" s="528" t="s">
        <v>3231</v>
      </c>
      <c r="C1020" s="528" t="s">
        <v>3232</v>
      </c>
      <c r="D1020" s="528" t="s">
        <v>225</v>
      </c>
      <c r="E1020" s="528"/>
      <c r="F1020" s="528"/>
      <c r="G1020" s="528" t="s">
        <v>208</v>
      </c>
      <c r="H1020"/>
    </row>
    <row r="1021" spans="1:8" x14ac:dyDescent="0.35">
      <c r="A1021" s="528" t="s">
        <v>3233</v>
      </c>
      <c r="B1021" s="528" t="s">
        <v>3234</v>
      </c>
      <c r="C1021" s="528" t="s">
        <v>3235</v>
      </c>
      <c r="D1021" s="528" t="s">
        <v>251</v>
      </c>
      <c r="E1021" s="528"/>
      <c r="F1021" s="528"/>
      <c r="G1021" s="528" t="s">
        <v>205</v>
      </c>
      <c r="H1021"/>
    </row>
    <row r="1022" spans="1:8" x14ac:dyDescent="0.35">
      <c r="A1022" s="528" t="s">
        <v>3236</v>
      </c>
      <c r="B1022" s="528" t="s">
        <v>3237</v>
      </c>
      <c r="C1022" s="528" t="s">
        <v>1362</v>
      </c>
      <c r="D1022" s="528" t="s">
        <v>251</v>
      </c>
      <c r="E1022" s="528"/>
      <c r="F1022" s="528"/>
      <c r="G1022" s="528" t="s">
        <v>205</v>
      </c>
      <c r="H1022"/>
    </row>
    <row r="1023" spans="1:8" x14ac:dyDescent="0.35">
      <c r="A1023" s="528" t="s">
        <v>3238</v>
      </c>
      <c r="B1023" s="528" t="s">
        <v>3239</v>
      </c>
      <c r="C1023" s="528" t="s">
        <v>3240</v>
      </c>
      <c r="D1023" s="528" t="s">
        <v>251</v>
      </c>
      <c r="E1023" s="528"/>
      <c r="F1023" s="528"/>
      <c r="G1023" s="528" t="s">
        <v>205</v>
      </c>
      <c r="H1023"/>
    </row>
    <row r="1024" spans="1:8" x14ac:dyDescent="0.35">
      <c r="A1024" s="528" t="s">
        <v>3241</v>
      </c>
      <c r="B1024" s="528" t="s">
        <v>3242</v>
      </c>
      <c r="C1024" s="528" t="s">
        <v>3243</v>
      </c>
      <c r="D1024" s="528" t="s">
        <v>225</v>
      </c>
      <c r="E1024" s="528"/>
      <c r="F1024" s="528"/>
      <c r="G1024" s="528" t="s">
        <v>205</v>
      </c>
      <c r="H1024"/>
    </row>
    <row r="1025" spans="1:8" x14ac:dyDescent="0.35">
      <c r="A1025" s="528" t="s">
        <v>3244</v>
      </c>
      <c r="B1025" s="528" t="s">
        <v>3245</v>
      </c>
      <c r="C1025" s="528" t="s">
        <v>3246</v>
      </c>
      <c r="D1025" s="528" t="s">
        <v>225</v>
      </c>
      <c r="E1025" s="528"/>
      <c r="F1025" s="528"/>
      <c r="G1025" s="528" t="s">
        <v>205</v>
      </c>
      <c r="H1025"/>
    </row>
    <row r="1026" spans="1:8" x14ac:dyDescent="0.35">
      <c r="A1026" s="528" t="s">
        <v>3247</v>
      </c>
      <c r="B1026" s="528" t="s">
        <v>3248</v>
      </c>
      <c r="C1026" s="528" t="s">
        <v>1371</v>
      </c>
      <c r="D1026" s="528" t="s">
        <v>238</v>
      </c>
      <c r="E1026" s="528"/>
      <c r="F1026" s="528"/>
      <c r="G1026" s="528" t="s">
        <v>205</v>
      </c>
      <c r="H1026"/>
    </row>
    <row r="1027" spans="1:8" x14ac:dyDescent="0.35">
      <c r="A1027" s="528" t="s">
        <v>3249</v>
      </c>
      <c r="B1027" s="528" t="s">
        <v>3250</v>
      </c>
      <c r="C1027" s="528" t="s">
        <v>3251</v>
      </c>
      <c r="D1027" s="528" t="s">
        <v>238</v>
      </c>
      <c r="E1027" s="528"/>
      <c r="F1027" s="528"/>
      <c r="G1027" s="528" t="s">
        <v>205</v>
      </c>
      <c r="H1027"/>
    </row>
    <row r="1028" spans="1:8" x14ac:dyDescent="0.35">
      <c r="A1028" s="528" t="s">
        <v>3252</v>
      </c>
      <c r="B1028" s="528" t="s">
        <v>3253</v>
      </c>
      <c r="C1028" s="528" t="s">
        <v>3254</v>
      </c>
      <c r="D1028" s="528" t="s">
        <v>264</v>
      </c>
      <c r="E1028" s="528"/>
      <c r="F1028" s="528"/>
      <c r="G1028" s="528" t="s">
        <v>205</v>
      </c>
      <c r="H1028"/>
    </row>
    <row r="1029" spans="1:8" x14ac:dyDescent="0.35">
      <c r="A1029" s="528" t="s">
        <v>3255</v>
      </c>
      <c r="B1029" s="528" t="s">
        <v>3256</v>
      </c>
      <c r="C1029" s="528" t="s">
        <v>3257</v>
      </c>
      <c r="D1029" s="528" t="s">
        <v>277</v>
      </c>
      <c r="E1029" s="528"/>
      <c r="F1029" s="528"/>
      <c r="G1029" s="528" t="s">
        <v>205</v>
      </c>
      <c r="H1029"/>
    </row>
    <row r="1030" spans="1:8" x14ac:dyDescent="0.35">
      <c r="A1030" s="528" t="s">
        <v>3258</v>
      </c>
      <c r="B1030" s="528" t="s">
        <v>3259</v>
      </c>
      <c r="C1030" s="528" t="s">
        <v>1711</v>
      </c>
      <c r="D1030" s="528" t="s">
        <v>238</v>
      </c>
      <c r="E1030" s="528"/>
      <c r="F1030" s="528"/>
      <c r="G1030" s="528" t="s">
        <v>205</v>
      </c>
      <c r="H1030"/>
    </row>
    <row r="1031" spans="1:8" x14ac:dyDescent="0.35">
      <c r="A1031" s="528" t="s">
        <v>3260</v>
      </c>
      <c r="B1031" s="528" t="s">
        <v>3261</v>
      </c>
      <c r="C1031" s="528" t="s">
        <v>3262</v>
      </c>
      <c r="D1031" s="528" t="s">
        <v>251</v>
      </c>
      <c r="E1031" s="528"/>
      <c r="F1031" s="528"/>
      <c r="G1031" s="528" t="s">
        <v>205</v>
      </c>
      <c r="H1031"/>
    </row>
    <row r="1032" spans="1:8" x14ac:dyDescent="0.35">
      <c r="A1032" s="528" t="s">
        <v>3263</v>
      </c>
      <c r="B1032" s="528" t="s">
        <v>3264</v>
      </c>
      <c r="C1032" s="528" t="s">
        <v>3265</v>
      </c>
      <c r="D1032" s="528" t="s">
        <v>251</v>
      </c>
      <c r="E1032" s="528"/>
      <c r="F1032" s="528"/>
      <c r="G1032" s="528" t="s">
        <v>205</v>
      </c>
      <c r="H1032"/>
    </row>
    <row r="1033" spans="1:8" x14ac:dyDescent="0.35">
      <c r="A1033" s="528" t="s">
        <v>3266</v>
      </c>
      <c r="B1033" s="528" t="s">
        <v>3267</v>
      </c>
      <c r="C1033" s="528" t="s">
        <v>3268</v>
      </c>
      <c r="D1033" s="528" t="s">
        <v>251</v>
      </c>
      <c r="E1033" s="528"/>
      <c r="F1033" s="528"/>
      <c r="G1033" s="528" t="s">
        <v>205</v>
      </c>
      <c r="H1033"/>
    </row>
    <row r="1034" spans="1:8" x14ac:dyDescent="0.35">
      <c r="A1034" s="528" t="s">
        <v>3269</v>
      </c>
      <c r="B1034" s="528" t="s">
        <v>3270</v>
      </c>
      <c r="C1034" s="528" t="s">
        <v>3271</v>
      </c>
      <c r="D1034" s="528" t="s">
        <v>251</v>
      </c>
      <c r="E1034" s="528"/>
      <c r="F1034" s="528"/>
      <c r="G1034" s="528" t="s">
        <v>205</v>
      </c>
      <c r="H1034"/>
    </row>
    <row r="1035" spans="1:8" x14ac:dyDescent="0.35">
      <c r="A1035" s="528" t="s">
        <v>3272</v>
      </c>
      <c r="B1035" s="528" t="s">
        <v>3273</v>
      </c>
      <c r="C1035" s="528" t="s">
        <v>3274</v>
      </c>
      <c r="D1035" s="528" t="s">
        <v>251</v>
      </c>
      <c r="E1035" s="528"/>
      <c r="F1035" s="528"/>
      <c r="G1035" s="528" t="s">
        <v>205</v>
      </c>
      <c r="H1035"/>
    </row>
    <row r="1036" spans="1:8" x14ac:dyDescent="0.35">
      <c r="A1036" s="528" t="s">
        <v>3275</v>
      </c>
      <c r="B1036" s="528" t="s">
        <v>3276</v>
      </c>
      <c r="C1036" s="528" t="s">
        <v>3277</v>
      </c>
      <c r="D1036" s="528" t="s">
        <v>251</v>
      </c>
      <c r="E1036" s="528"/>
      <c r="F1036" s="528"/>
      <c r="G1036" s="528" t="s">
        <v>208</v>
      </c>
      <c r="H1036"/>
    </row>
    <row r="1037" spans="1:8" x14ac:dyDescent="0.35">
      <c r="A1037" s="528" t="s">
        <v>3278</v>
      </c>
      <c r="B1037" s="528" t="s">
        <v>3279</v>
      </c>
      <c r="C1037" s="528" t="s">
        <v>3280</v>
      </c>
      <c r="D1037" s="528" t="s">
        <v>251</v>
      </c>
      <c r="E1037" s="528"/>
      <c r="F1037" s="528"/>
      <c r="G1037" s="528" t="s">
        <v>208</v>
      </c>
      <c r="H1037"/>
    </row>
    <row r="1038" spans="1:8" x14ac:dyDescent="0.35">
      <c r="A1038" s="528" t="s">
        <v>3281</v>
      </c>
      <c r="B1038" s="528" t="s">
        <v>3282</v>
      </c>
      <c r="C1038" s="528" t="s">
        <v>3283</v>
      </c>
      <c r="D1038" s="528" t="s">
        <v>264</v>
      </c>
      <c r="E1038" s="528"/>
      <c r="F1038" s="528"/>
      <c r="G1038" s="528" t="s">
        <v>205</v>
      </c>
      <c r="H1038"/>
    </row>
    <row r="1039" spans="1:8" x14ac:dyDescent="0.35">
      <c r="A1039" s="528" t="s">
        <v>3284</v>
      </c>
      <c r="B1039" s="528" t="s">
        <v>3285</v>
      </c>
      <c r="C1039" s="528" t="s">
        <v>3286</v>
      </c>
      <c r="D1039" s="528" t="s">
        <v>225</v>
      </c>
      <c r="E1039" s="528"/>
      <c r="F1039" s="528"/>
      <c r="G1039" s="528" t="s">
        <v>205</v>
      </c>
      <c r="H1039"/>
    </row>
    <row r="1040" spans="1:8" x14ac:dyDescent="0.35">
      <c r="A1040" s="528" t="s">
        <v>3287</v>
      </c>
      <c r="B1040" s="528" t="s">
        <v>3288</v>
      </c>
      <c r="C1040" s="528" t="s">
        <v>3289</v>
      </c>
      <c r="D1040" s="528" t="s">
        <v>251</v>
      </c>
      <c r="E1040" s="528"/>
      <c r="F1040" s="528"/>
      <c r="G1040" s="528" t="s">
        <v>205</v>
      </c>
      <c r="H1040"/>
    </row>
    <row r="1041" spans="1:8" x14ac:dyDescent="0.35">
      <c r="A1041" s="528" t="s">
        <v>3290</v>
      </c>
      <c r="B1041" s="528" t="s">
        <v>3291</v>
      </c>
      <c r="C1041" s="528" t="s">
        <v>3292</v>
      </c>
      <c r="D1041" s="528" t="s">
        <v>251</v>
      </c>
      <c r="E1041" s="528"/>
      <c r="F1041" s="528"/>
      <c r="G1041" s="528" t="s">
        <v>205</v>
      </c>
      <c r="H1041"/>
    </row>
    <row r="1042" spans="1:8" x14ac:dyDescent="0.35">
      <c r="A1042" s="528" t="s">
        <v>3293</v>
      </c>
      <c r="B1042" s="528" t="s">
        <v>3294</v>
      </c>
      <c r="C1042" s="528" t="s">
        <v>1362</v>
      </c>
      <c r="D1042" s="528" t="s">
        <v>251</v>
      </c>
      <c r="E1042" s="528"/>
      <c r="F1042" s="528"/>
      <c r="G1042" s="528" t="s">
        <v>205</v>
      </c>
      <c r="H1042"/>
    </row>
    <row r="1043" spans="1:8" x14ac:dyDescent="0.35">
      <c r="A1043" s="528" t="s">
        <v>3295</v>
      </c>
      <c r="B1043" s="528" t="s">
        <v>3296</v>
      </c>
      <c r="C1043" s="528" t="s">
        <v>1317</v>
      </c>
      <c r="D1043" s="528" t="s">
        <v>277</v>
      </c>
      <c r="E1043" s="528"/>
      <c r="F1043" s="528"/>
      <c r="G1043" s="528" t="s">
        <v>205</v>
      </c>
      <c r="H1043"/>
    </row>
    <row r="1044" spans="1:8" x14ac:dyDescent="0.35">
      <c r="A1044" s="528" t="s">
        <v>3297</v>
      </c>
      <c r="B1044" s="528" t="s">
        <v>3298</v>
      </c>
      <c r="C1044" s="528" t="s">
        <v>739</v>
      </c>
      <c r="D1044" s="528" t="s">
        <v>238</v>
      </c>
      <c r="E1044" s="528"/>
      <c r="F1044" s="528"/>
      <c r="G1044" s="528" t="s">
        <v>208</v>
      </c>
      <c r="H1044"/>
    </row>
    <row r="1045" spans="1:8" x14ac:dyDescent="0.35">
      <c r="A1045" s="528" t="s">
        <v>3299</v>
      </c>
      <c r="B1045" s="528" t="s">
        <v>3300</v>
      </c>
      <c r="C1045" s="528" t="s">
        <v>3301</v>
      </c>
      <c r="D1045" s="528" t="s">
        <v>251</v>
      </c>
      <c r="E1045" s="528"/>
      <c r="F1045" s="528"/>
      <c r="G1045" s="528" t="s">
        <v>208</v>
      </c>
      <c r="H1045"/>
    </row>
    <row r="1046" spans="1:8" x14ac:dyDescent="0.35">
      <c r="A1046" s="528" t="s">
        <v>3302</v>
      </c>
      <c r="B1046" s="528" t="s">
        <v>3303</v>
      </c>
      <c r="C1046" s="528" t="s">
        <v>3304</v>
      </c>
      <c r="D1046" s="528" t="s">
        <v>251</v>
      </c>
      <c r="E1046" s="528"/>
      <c r="F1046" s="528"/>
      <c r="G1046" s="528" t="s">
        <v>208</v>
      </c>
      <c r="H1046"/>
    </row>
    <row r="1047" spans="1:8" x14ac:dyDescent="0.35">
      <c r="A1047" s="528" t="s">
        <v>3305</v>
      </c>
      <c r="B1047" s="528" t="s">
        <v>3306</v>
      </c>
      <c r="C1047" s="528" t="s">
        <v>2088</v>
      </c>
      <c r="D1047" s="528" t="s">
        <v>251</v>
      </c>
      <c r="E1047" s="528"/>
      <c r="F1047" s="528"/>
      <c r="G1047" s="528" t="s">
        <v>208</v>
      </c>
      <c r="H1047"/>
    </row>
    <row r="1048" spans="1:8" x14ac:dyDescent="0.35">
      <c r="A1048" s="528" t="s">
        <v>3307</v>
      </c>
      <c r="B1048" s="528" t="s">
        <v>3308</v>
      </c>
      <c r="C1048" s="528" t="s">
        <v>1173</v>
      </c>
      <c r="D1048" s="528" t="s">
        <v>251</v>
      </c>
      <c r="E1048" s="528"/>
      <c r="F1048" s="528"/>
      <c r="G1048" s="528" t="s">
        <v>208</v>
      </c>
      <c r="H1048"/>
    </row>
    <row r="1049" spans="1:8" x14ac:dyDescent="0.35">
      <c r="A1049" s="528" t="s">
        <v>3309</v>
      </c>
      <c r="B1049" s="528" t="s">
        <v>3310</v>
      </c>
      <c r="C1049" s="528" t="s">
        <v>3311</v>
      </c>
      <c r="D1049" s="528" t="s">
        <v>238</v>
      </c>
      <c r="E1049" s="528"/>
      <c r="F1049" s="528"/>
      <c r="G1049" s="528" t="s">
        <v>205</v>
      </c>
      <c r="H1049"/>
    </row>
    <row r="1050" spans="1:8" x14ac:dyDescent="0.35">
      <c r="A1050" s="528" t="s">
        <v>3312</v>
      </c>
      <c r="B1050" s="528" t="s">
        <v>3313</v>
      </c>
      <c r="C1050" s="528" t="s">
        <v>3082</v>
      </c>
      <c r="D1050" s="528" t="s">
        <v>264</v>
      </c>
      <c r="E1050" s="528"/>
      <c r="F1050" s="528"/>
      <c r="G1050" s="528" t="s">
        <v>205</v>
      </c>
      <c r="H1050"/>
    </row>
    <row r="1051" spans="1:8" x14ac:dyDescent="0.35">
      <c r="A1051" s="528" t="s">
        <v>3314</v>
      </c>
      <c r="B1051" s="528" t="s">
        <v>3315</v>
      </c>
      <c r="C1051" s="528" t="s">
        <v>1188</v>
      </c>
      <c r="D1051" s="528" t="s">
        <v>264</v>
      </c>
      <c r="E1051" s="528"/>
      <c r="F1051" s="528"/>
      <c r="G1051" s="528" t="s">
        <v>205</v>
      </c>
      <c r="H1051"/>
    </row>
    <row r="1052" spans="1:8" x14ac:dyDescent="0.35">
      <c r="A1052" s="528" t="s">
        <v>3316</v>
      </c>
      <c r="B1052" s="528" t="s">
        <v>3317</v>
      </c>
      <c r="C1052" s="528" t="s">
        <v>3318</v>
      </c>
      <c r="D1052" s="528" t="s">
        <v>225</v>
      </c>
      <c r="E1052" s="528"/>
      <c r="F1052" s="528"/>
      <c r="G1052" s="528" t="s">
        <v>205</v>
      </c>
      <c r="H1052"/>
    </row>
    <row r="1053" spans="1:8" x14ac:dyDescent="0.35">
      <c r="A1053" s="528" t="s">
        <v>3319</v>
      </c>
      <c r="B1053" s="528" t="s">
        <v>3320</v>
      </c>
      <c r="C1053" s="528" t="s">
        <v>3321</v>
      </c>
      <c r="D1053" s="528" t="s">
        <v>225</v>
      </c>
      <c r="E1053" s="528"/>
      <c r="F1053" s="528"/>
      <c r="G1053" s="528" t="s">
        <v>205</v>
      </c>
      <c r="H1053"/>
    </row>
    <row r="1054" spans="1:8" x14ac:dyDescent="0.35">
      <c r="A1054" s="528" t="s">
        <v>3322</v>
      </c>
      <c r="B1054" s="528" t="s">
        <v>3323</v>
      </c>
      <c r="C1054" s="528" t="s">
        <v>3324</v>
      </c>
      <c r="D1054" s="528" t="s">
        <v>277</v>
      </c>
      <c r="E1054" s="528"/>
      <c r="F1054" s="528"/>
      <c r="G1054" s="528" t="s">
        <v>205</v>
      </c>
      <c r="H1054"/>
    </row>
    <row r="1055" spans="1:8" x14ac:dyDescent="0.35">
      <c r="A1055" s="528" t="s">
        <v>3325</v>
      </c>
      <c r="B1055" s="528" t="s">
        <v>3326</v>
      </c>
      <c r="C1055" s="528" t="s">
        <v>3327</v>
      </c>
      <c r="D1055" s="528" t="s">
        <v>238</v>
      </c>
      <c r="E1055" s="528"/>
      <c r="F1055" s="528"/>
      <c r="G1055" s="528" t="s">
        <v>208</v>
      </c>
      <c r="H1055"/>
    </row>
    <row r="1056" spans="1:8" x14ac:dyDescent="0.35">
      <c r="A1056" s="528" t="s">
        <v>3328</v>
      </c>
      <c r="B1056" s="528" t="s">
        <v>3329</v>
      </c>
      <c r="C1056" s="528" t="s">
        <v>3330</v>
      </c>
      <c r="D1056" s="528" t="s">
        <v>264</v>
      </c>
      <c r="E1056" s="528"/>
      <c r="F1056" s="528"/>
      <c r="G1056" s="528" t="s">
        <v>208</v>
      </c>
      <c r="H1056"/>
    </row>
    <row r="1057" spans="1:8" x14ac:dyDescent="0.35">
      <c r="A1057" s="528" t="s">
        <v>3331</v>
      </c>
      <c r="B1057" s="528" t="s">
        <v>3332</v>
      </c>
      <c r="C1057" s="528" t="s">
        <v>3333</v>
      </c>
      <c r="D1057" s="528" t="s">
        <v>264</v>
      </c>
      <c r="E1057" s="528"/>
      <c r="F1057" s="528"/>
      <c r="G1057" s="528" t="s">
        <v>208</v>
      </c>
      <c r="H1057"/>
    </row>
    <row r="1058" spans="1:8" x14ac:dyDescent="0.35">
      <c r="A1058" s="528" t="s">
        <v>3334</v>
      </c>
      <c r="B1058" s="528" t="s">
        <v>3335</v>
      </c>
      <c r="C1058" s="528" t="s">
        <v>3336</v>
      </c>
      <c r="D1058" s="528" t="s">
        <v>277</v>
      </c>
      <c r="E1058" s="528"/>
      <c r="F1058" s="528"/>
      <c r="G1058" s="528" t="s">
        <v>208</v>
      </c>
      <c r="H1058"/>
    </row>
    <row r="1059" spans="1:8" x14ac:dyDescent="0.35">
      <c r="A1059" s="528" t="s">
        <v>3337</v>
      </c>
      <c r="B1059" s="528" t="s">
        <v>3338</v>
      </c>
      <c r="C1059" s="528" t="s">
        <v>3339</v>
      </c>
      <c r="D1059" s="528" t="s">
        <v>277</v>
      </c>
      <c r="E1059" s="528"/>
      <c r="F1059" s="528"/>
      <c r="G1059" s="528" t="s">
        <v>205</v>
      </c>
      <c r="H1059"/>
    </row>
    <row r="1060" spans="1:8" x14ac:dyDescent="0.35">
      <c r="A1060" s="528" t="s">
        <v>3340</v>
      </c>
      <c r="B1060" s="528" t="s">
        <v>3341</v>
      </c>
      <c r="C1060" s="528" t="s">
        <v>3342</v>
      </c>
      <c r="D1060" s="528" t="s">
        <v>225</v>
      </c>
      <c r="E1060" s="528"/>
      <c r="F1060" s="528"/>
      <c r="G1060" s="528" t="s">
        <v>205</v>
      </c>
      <c r="H1060"/>
    </row>
    <row r="1061" spans="1:8" x14ac:dyDescent="0.35">
      <c r="A1061" s="528" t="s">
        <v>3343</v>
      </c>
      <c r="B1061" s="528" t="s">
        <v>3344</v>
      </c>
      <c r="C1061" s="528" t="s">
        <v>1362</v>
      </c>
      <c r="D1061" s="528" t="s">
        <v>251</v>
      </c>
      <c r="E1061" s="528"/>
      <c r="F1061" s="528"/>
      <c r="G1061" s="528" t="s">
        <v>205</v>
      </c>
      <c r="H1061"/>
    </row>
    <row r="1062" spans="1:8" x14ac:dyDescent="0.35">
      <c r="A1062" s="528" t="s">
        <v>3345</v>
      </c>
      <c r="B1062" s="528" t="s">
        <v>3346</v>
      </c>
      <c r="C1062" s="528" t="s">
        <v>3347</v>
      </c>
      <c r="D1062" s="528" t="s">
        <v>277</v>
      </c>
      <c r="E1062" s="528"/>
      <c r="F1062" s="528"/>
      <c r="G1062" s="528" t="s">
        <v>205</v>
      </c>
      <c r="H1062"/>
    </row>
    <row r="1063" spans="1:8" x14ac:dyDescent="0.35">
      <c r="A1063" s="528" t="s">
        <v>3348</v>
      </c>
      <c r="B1063" s="528" t="s">
        <v>3349</v>
      </c>
      <c r="C1063" s="528" t="s">
        <v>3350</v>
      </c>
      <c r="D1063" s="528" t="s">
        <v>277</v>
      </c>
      <c r="E1063" s="528"/>
      <c r="F1063" s="528"/>
      <c r="G1063" s="528" t="s">
        <v>205</v>
      </c>
      <c r="H1063"/>
    </row>
    <row r="1064" spans="1:8" x14ac:dyDescent="0.35">
      <c r="A1064" s="528" t="s">
        <v>3351</v>
      </c>
      <c r="B1064" s="528" t="s">
        <v>3352</v>
      </c>
      <c r="C1064" s="528" t="s">
        <v>1116</v>
      </c>
      <c r="D1064" s="528" t="s">
        <v>277</v>
      </c>
      <c r="E1064" s="528"/>
      <c r="F1064" s="528"/>
      <c r="G1064" s="528" t="s">
        <v>208</v>
      </c>
      <c r="H1064"/>
    </row>
    <row r="1065" spans="1:8" x14ac:dyDescent="0.35">
      <c r="A1065" s="528" t="s">
        <v>3353</v>
      </c>
      <c r="B1065" s="528" t="s">
        <v>3354</v>
      </c>
      <c r="C1065" s="528" t="s">
        <v>3355</v>
      </c>
      <c r="D1065" s="528" t="s">
        <v>264</v>
      </c>
      <c r="E1065" s="528"/>
      <c r="F1065" s="528"/>
      <c r="G1065" s="528" t="s">
        <v>205</v>
      </c>
      <c r="H1065"/>
    </row>
    <row r="1066" spans="1:8" x14ac:dyDescent="0.35">
      <c r="A1066" s="528" t="s">
        <v>3356</v>
      </c>
      <c r="B1066" s="528" t="s">
        <v>3357</v>
      </c>
      <c r="C1066" s="528" t="s">
        <v>1146</v>
      </c>
      <c r="D1066" s="528" t="s">
        <v>225</v>
      </c>
      <c r="E1066" s="528"/>
      <c r="F1066" s="528"/>
      <c r="G1066" s="528" t="s">
        <v>208</v>
      </c>
      <c r="H1066"/>
    </row>
    <row r="1067" spans="1:8" x14ac:dyDescent="0.35">
      <c r="A1067" s="528" t="s">
        <v>3358</v>
      </c>
      <c r="B1067" s="528" t="s">
        <v>3359</v>
      </c>
      <c r="C1067" s="528" t="s">
        <v>3360</v>
      </c>
      <c r="D1067" s="528" t="s">
        <v>264</v>
      </c>
      <c r="E1067" s="528"/>
      <c r="F1067" s="528"/>
      <c r="G1067" s="528" t="s">
        <v>205</v>
      </c>
      <c r="H1067"/>
    </row>
    <row r="1068" spans="1:8" x14ac:dyDescent="0.35">
      <c r="A1068" s="528" t="s">
        <v>3361</v>
      </c>
      <c r="B1068" s="528" t="s">
        <v>3362</v>
      </c>
      <c r="C1068" s="528" t="s">
        <v>3363</v>
      </c>
      <c r="D1068" s="528" t="s">
        <v>251</v>
      </c>
      <c r="E1068" s="528"/>
      <c r="F1068" s="528"/>
      <c r="G1068" s="528" t="s">
        <v>208</v>
      </c>
      <c r="H1068"/>
    </row>
    <row r="1069" spans="1:8" x14ac:dyDescent="0.35">
      <c r="A1069" s="528" t="s">
        <v>3364</v>
      </c>
      <c r="B1069" s="528" t="s">
        <v>3365</v>
      </c>
      <c r="C1069" s="528" t="s">
        <v>922</v>
      </c>
      <c r="D1069" s="528" t="s">
        <v>251</v>
      </c>
      <c r="E1069" s="528"/>
      <c r="F1069" s="528"/>
      <c r="G1069" s="528" t="s">
        <v>208</v>
      </c>
      <c r="H1069"/>
    </row>
    <row r="1070" spans="1:8" x14ac:dyDescent="0.35">
      <c r="A1070" s="528" t="s">
        <v>3366</v>
      </c>
      <c r="B1070" s="528" t="s">
        <v>3367</v>
      </c>
      <c r="C1070" s="528" t="s">
        <v>3368</v>
      </c>
      <c r="D1070" s="528" t="s">
        <v>251</v>
      </c>
      <c r="E1070" s="528"/>
      <c r="F1070" s="528"/>
      <c r="G1070" s="528" t="s">
        <v>208</v>
      </c>
      <c r="H1070"/>
    </row>
    <row r="1071" spans="1:8" x14ac:dyDescent="0.35">
      <c r="A1071" s="528" t="s">
        <v>3369</v>
      </c>
      <c r="B1071" s="528" t="s">
        <v>3370</v>
      </c>
      <c r="C1071" s="528" t="s">
        <v>3371</v>
      </c>
      <c r="D1071" s="528" t="s">
        <v>251</v>
      </c>
      <c r="E1071" s="528"/>
      <c r="F1071" s="528"/>
      <c r="G1071" s="528" t="s">
        <v>208</v>
      </c>
      <c r="H1071"/>
    </row>
    <row r="1072" spans="1:8" x14ac:dyDescent="0.35">
      <c r="A1072" s="528" t="s">
        <v>3372</v>
      </c>
      <c r="B1072" s="528" t="s">
        <v>3373</v>
      </c>
      <c r="C1072" s="528" t="s">
        <v>2109</v>
      </c>
      <c r="D1072" s="528" t="s">
        <v>251</v>
      </c>
      <c r="E1072" s="528"/>
      <c r="F1072" s="528"/>
      <c r="G1072" s="528" t="s">
        <v>208</v>
      </c>
      <c r="H1072"/>
    </row>
    <row r="1073" spans="1:8" x14ac:dyDescent="0.35">
      <c r="A1073" s="528" t="s">
        <v>3374</v>
      </c>
      <c r="B1073" s="528" t="s">
        <v>3375</v>
      </c>
      <c r="C1073" s="528" t="s">
        <v>2070</v>
      </c>
      <c r="D1073" s="528" t="s">
        <v>251</v>
      </c>
      <c r="E1073" s="528"/>
      <c r="F1073" s="528"/>
      <c r="G1073" s="528" t="s">
        <v>208</v>
      </c>
      <c r="H1073"/>
    </row>
    <row r="1074" spans="1:8" x14ac:dyDescent="0.35">
      <c r="A1074" s="528" t="s">
        <v>3376</v>
      </c>
      <c r="B1074" s="528" t="s">
        <v>3377</v>
      </c>
      <c r="C1074" s="528" t="s">
        <v>3378</v>
      </c>
      <c r="D1074" s="528" t="s">
        <v>277</v>
      </c>
      <c r="E1074" s="528" t="s">
        <v>251</v>
      </c>
      <c r="F1074" s="528"/>
      <c r="G1074" s="528" t="s">
        <v>208</v>
      </c>
      <c r="H1074"/>
    </row>
    <row r="1075" spans="1:8" x14ac:dyDescent="0.35">
      <c r="A1075" s="528" t="s">
        <v>3379</v>
      </c>
      <c r="B1075" s="528" t="s">
        <v>3380</v>
      </c>
      <c r="C1075" s="528" t="s">
        <v>3381</v>
      </c>
      <c r="D1075" s="528" t="s">
        <v>277</v>
      </c>
      <c r="E1075" s="528" t="s">
        <v>251</v>
      </c>
      <c r="F1075" s="528"/>
      <c r="G1075" s="528" t="s">
        <v>205</v>
      </c>
      <c r="H1075"/>
    </row>
    <row r="1076" spans="1:8" x14ac:dyDescent="0.35">
      <c r="A1076" s="528" t="s">
        <v>3382</v>
      </c>
      <c r="B1076" s="528" t="s">
        <v>3383</v>
      </c>
      <c r="C1076" s="528" t="s">
        <v>2144</v>
      </c>
      <c r="D1076" s="528" t="s">
        <v>251</v>
      </c>
      <c r="E1076" s="528"/>
      <c r="F1076" s="528"/>
      <c r="G1076" s="528" t="s">
        <v>205</v>
      </c>
      <c r="H1076"/>
    </row>
    <row r="1077" spans="1:8" x14ac:dyDescent="0.35">
      <c r="A1077" s="528" t="s">
        <v>3384</v>
      </c>
      <c r="B1077" s="528" t="s">
        <v>3385</v>
      </c>
      <c r="C1077" s="528" t="s">
        <v>3386</v>
      </c>
      <c r="D1077" s="528" t="s">
        <v>264</v>
      </c>
      <c r="E1077" s="528"/>
      <c r="F1077" s="528"/>
      <c r="G1077" s="528" t="s">
        <v>205</v>
      </c>
      <c r="H1077"/>
    </row>
    <row r="1078" spans="1:8" x14ac:dyDescent="0.35">
      <c r="A1078" s="528" t="s">
        <v>3387</v>
      </c>
      <c r="B1078" s="528" t="s">
        <v>3388</v>
      </c>
      <c r="C1078" s="528" t="s">
        <v>3389</v>
      </c>
      <c r="D1078" s="528" t="s">
        <v>264</v>
      </c>
      <c r="E1078" s="528"/>
      <c r="F1078" s="528"/>
      <c r="G1078" s="528" t="s">
        <v>205</v>
      </c>
      <c r="H1078"/>
    </row>
    <row r="1079" spans="1:8" x14ac:dyDescent="0.35">
      <c r="A1079" s="528" t="s">
        <v>3390</v>
      </c>
      <c r="B1079" s="528" t="s">
        <v>3391</v>
      </c>
      <c r="C1079" s="528" t="s">
        <v>3392</v>
      </c>
      <c r="D1079" s="528" t="s">
        <v>251</v>
      </c>
      <c r="E1079" s="528"/>
      <c r="F1079" s="528"/>
      <c r="G1079" s="528" t="s">
        <v>208</v>
      </c>
      <c r="H1079"/>
    </row>
    <row r="1080" spans="1:8" x14ac:dyDescent="0.35">
      <c r="A1080" s="528" t="s">
        <v>3393</v>
      </c>
      <c r="B1080" s="528" t="s">
        <v>3394</v>
      </c>
      <c r="C1080" s="528" t="s">
        <v>3395</v>
      </c>
      <c r="D1080" s="528" t="s">
        <v>277</v>
      </c>
      <c r="E1080" s="528"/>
      <c r="F1080" s="528"/>
      <c r="G1080" s="528" t="s">
        <v>208</v>
      </c>
      <c r="H1080"/>
    </row>
    <row r="1081" spans="1:8" x14ac:dyDescent="0.35">
      <c r="A1081" s="528" t="s">
        <v>3396</v>
      </c>
      <c r="B1081" s="528" t="s">
        <v>3397</v>
      </c>
      <c r="C1081" s="528" t="s">
        <v>3398</v>
      </c>
      <c r="D1081" s="528" t="s">
        <v>277</v>
      </c>
      <c r="E1081" s="528"/>
      <c r="F1081" s="528"/>
      <c r="G1081" s="528" t="s">
        <v>208</v>
      </c>
      <c r="H1081"/>
    </row>
    <row r="1082" spans="1:8" x14ac:dyDescent="0.35">
      <c r="A1082" s="528" t="s">
        <v>3399</v>
      </c>
      <c r="B1082" s="528" t="s">
        <v>3400</v>
      </c>
      <c r="C1082" s="528" t="s">
        <v>3401</v>
      </c>
      <c r="D1082" s="528" t="s">
        <v>277</v>
      </c>
      <c r="E1082" s="528"/>
      <c r="F1082" s="528"/>
      <c r="G1082" s="528" t="s">
        <v>208</v>
      </c>
      <c r="H1082"/>
    </row>
    <row r="1083" spans="1:8" x14ac:dyDescent="0.35">
      <c r="A1083" s="528" t="s">
        <v>3402</v>
      </c>
      <c r="B1083" s="528" t="s">
        <v>3403</v>
      </c>
      <c r="C1083" s="528" t="s">
        <v>3404</v>
      </c>
      <c r="D1083" s="528" t="s">
        <v>277</v>
      </c>
      <c r="E1083" s="528"/>
      <c r="F1083" s="528"/>
      <c r="G1083" s="528" t="s">
        <v>208</v>
      </c>
      <c r="H1083"/>
    </row>
    <row r="1084" spans="1:8" x14ac:dyDescent="0.35">
      <c r="A1084" s="528" t="s">
        <v>3405</v>
      </c>
      <c r="B1084" s="528" t="s">
        <v>3406</v>
      </c>
      <c r="C1084" s="528" t="s">
        <v>3407</v>
      </c>
      <c r="D1084" s="528" t="s">
        <v>277</v>
      </c>
      <c r="E1084" s="528"/>
      <c r="F1084" s="528"/>
      <c r="G1084" s="528" t="s">
        <v>208</v>
      </c>
      <c r="H1084"/>
    </row>
    <row r="1085" spans="1:8" x14ac:dyDescent="0.35">
      <c r="A1085" s="528" t="s">
        <v>3408</v>
      </c>
      <c r="B1085" s="528" t="s">
        <v>3409</v>
      </c>
      <c r="C1085" s="528" t="s">
        <v>3410</v>
      </c>
      <c r="D1085" s="528" t="s">
        <v>264</v>
      </c>
      <c r="E1085" s="528"/>
      <c r="F1085" s="528"/>
      <c r="G1085" s="528" t="s">
        <v>208</v>
      </c>
      <c r="H1085"/>
    </row>
    <row r="1086" spans="1:8" x14ac:dyDescent="0.35">
      <c r="A1086" s="528" t="s">
        <v>3411</v>
      </c>
      <c r="B1086" s="528" t="s">
        <v>3412</v>
      </c>
      <c r="C1086" s="528" t="s">
        <v>3413</v>
      </c>
      <c r="D1086" s="528" t="s">
        <v>277</v>
      </c>
      <c r="E1086" s="528"/>
      <c r="F1086" s="528"/>
      <c r="G1086" s="528" t="s">
        <v>208</v>
      </c>
      <c r="H1086"/>
    </row>
    <row r="1087" spans="1:8" x14ac:dyDescent="0.35">
      <c r="A1087" s="528" t="s">
        <v>3414</v>
      </c>
      <c r="B1087" s="528" t="s">
        <v>3415</v>
      </c>
      <c r="C1087" s="528" t="s">
        <v>3416</v>
      </c>
      <c r="D1087" s="528" t="s">
        <v>277</v>
      </c>
      <c r="E1087" s="528"/>
      <c r="F1087" s="528"/>
      <c r="G1087" s="528" t="s">
        <v>208</v>
      </c>
      <c r="H1087"/>
    </row>
    <row r="1088" spans="1:8" x14ac:dyDescent="0.35">
      <c r="A1088" s="528" t="s">
        <v>3417</v>
      </c>
      <c r="B1088" s="528" t="s">
        <v>3418</v>
      </c>
      <c r="C1088" s="528" t="s">
        <v>3419</v>
      </c>
      <c r="D1088" s="528" t="s">
        <v>277</v>
      </c>
      <c r="E1088" s="528"/>
      <c r="F1088" s="528"/>
      <c r="G1088" s="528" t="s">
        <v>208</v>
      </c>
      <c r="H1088"/>
    </row>
    <row r="1089" spans="1:8" x14ac:dyDescent="0.35">
      <c r="A1089" s="528" t="s">
        <v>3420</v>
      </c>
      <c r="B1089" s="528" t="s">
        <v>3421</v>
      </c>
      <c r="C1089" s="528" t="s">
        <v>3422</v>
      </c>
      <c r="D1089" s="528" t="s">
        <v>277</v>
      </c>
      <c r="E1089" s="528"/>
      <c r="F1089" s="528"/>
      <c r="G1089" s="528" t="s">
        <v>208</v>
      </c>
      <c r="H1089"/>
    </row>
    <row r="1090" spans="1:8" x14ac:dyDescent="0.35">
      <c r="A1090" s="528" t="s">
        <v>3423</v>
      </c>
      <c r="B1090" s="528" t="s">
        <v>3424</v>
      </c>
      <c r="C1090" s="528" t="s">
        <v>3425</v>
      </c>
      <c r="D1090" s="528" t="s">
        <v>251</v>
      </c>
      <c r="E1090" s="528"/>
      <c r="F1090" s="528"/>
      <c r="G1090" s="528" t="s">
        <v>208</v>
      </c>
      <c r="H1090"/>
    </row>
    <row r="1091" spans="1:8" x14ac:dyDescent="0.35">
      <c r="A1091" s="528" t="s">
        <v>3426</v>
      </c>
      <c r="B1091" s="528" t="s">
        <v>3427</v>
      </c>
      <c r="C1091" s="528" t="s">
        <v>3428</v>
      </c>
      <c r="D1091" s="528" t="s">
        <v>277</v>
      </c>
      <c r="E1091" s="528"/>
      <c r="F1091" s="528"/>
      <c r="G1091" s="528" t="s">
        <v>205</v>
      </c>
      <c r="H1091"/>
    </row>
    <row r="1092" spans="1:8" x14ac:dyDescent="0.35">
      <c r="A1092" s="528" t="s">
        <v>3429</v>
      </c>
      <c r="B1092" s="528" t="s">
        <v>3430</v>
      </c>
      <c r="C1092" s="528" t="s">
        <v>3431</v>
      </c>
      <c r="D1092" s="528" t="s">
        <v>264</v>
      </c>
      <c r="E1092" s="528"/>
      <c r="F1092" s="528"/>
      <c r="G1092" s="528" t="s">
        <v>205</v>
      </c>
      <c r="H1092"/>
    </row>
    <row r="1093" spans="1:8" x14ac:dyDescent="0.35">
      <c r="A1093" s="528" t="s">
        <v>3432</v>
      </c>
      <c r="B1093" s="528" t="s">
        <v>3433</v>
      </c>
      <c r="C1093" s="528" t="s">
        <v>3434</v>
      </c>
      <c r="D1093" s="528" t="s">
        <v>251</v>
      </c>
      <c r="E1093" s="528"/>
      <c r="F1093" s="528"/>
      <c r="G1093" s="528" t="s">
        <v>208</v>
      </c>
      <c r="H1093"/>
    </row>
    <row r="1094" spans="1:8" x14ac:dyDescent="0.35">
      <c r="A1094" s="528" t="s">
        <v>3435</v>
      </c>
      <c r="B1094" s="528" t="s">
        <v>3436</v>
      </c>
      <c r="C1094" s="528" t="s">
        <v>3437</v>
      </c>
      <c r="D1094" s="528" t="s">
        <v>251</v>
      </c>
      <c r="E1094" s="528"/>
      <c r="F1094" s="528"/>
      <c r="G1094" s="528" t="s">
        <v>208</v>
      </c>
      <c r="H1094"/>
    </row>
    <row r="1095" spans="1:8" x14ac:dyDescent="0.35">
      <c r="A1095" s="528" t="s">
        <v>3438</v>
      </c>
      <c r="B1095" s="528" t="s">
        <v>3439</v>
      </c>
      <c r="C1095" s="528" t="s">
        <v>3440</v>
      </c>
      <c r="D1095" s="528" t="s">
        <v>277</v>
      </c>
      <c r="E1095" s="528"/>
      <c r="F1095" s="528"/>
      <c r="G1095" s="528" t="s">
        <v>205</v>
      </c>
      <c r="H1095"/>
    </row>
    <row r="1096" spans="1:8" x14ac:dyDescent="0.35">
      <c r="A1096" s="528" t="s">
        <v>3441</v>
      </c>
      <c r="B1096" s="528" t="s">
        <v>3442</v>
      </c>
      <c r="C1096" s="528" t="s">
        <v>3443</v>
      </c>
      <c r="D1096" s="528" t="s">
        <v>225</v>
      </c>
      <c r="E1096" s="528"/>
      <c r="F1096" s="528"/>
      <c r="G1096" s="528" t="s">
        <v>205</v>
      </c>
      <c r="H1096"/>
    </row>
    <row r="1097" spans="1:8" x14ac:dyDescent="0.35">
      <c r="A1097" s="528" t="s">
        <v>3444</v>
      </c>
      <c r="B1097" s="528" t="s">
        <v>3445</v>
      </c>
      <c r="C1097" s="528" t="s">
        <v>3446</v>
      </c>
      <c r="D1097" s="528" t="s">
        <v>225</v>
      </c>
      <c r="E1097" s="528"/>
      <c r="F1097" s="528"/>
      <c r="G1097" s="528" t="s">
        <v>205</v>
      </c>
      <c r="H1097"/>
    </row>
    <row r="1098" spans="1:8" x14ac:dyDescent="0.35">
      <c r="A1098" s="528" t="s">
        <v>3447</v>
      </c>
      <c r="B1098" s="528" t="s">
        <v>3448</v>
      </c>
      <c r="C1098" s="528" t="s">
        <v>3283</v>
      </c>
      <c r="D1098" s="528" t="s">
        <v>264</v>
      </c>
      <c r="E1098" s="528" t="s">
        <v>225</v>
      </c>
      <c r="F1098" s="528"/>
      <c r="G1098" s="528" t="s">
        <v>205</v>
      </c>
      <c r="H1098"/>
    </row>
    <row r="1099" spans="1:8" x14ac:dyDescent="0.35">
      <c r="A1099" s="528" t="s">
        <v>3449</v>
      </c>
      <c r="B1099" s="528" t="s">
        <v>3450</v>
      </c>
      <c r="C1099" s="528" t="s">
        <v>1395</v>
      </c>
      <c r="D1099" s="528" t="s">
        <v>225</v>
      </c>
      <c r="E1099" s="528"/>
      <c r="F1099" s="528"/>
      <c r="G1099" s="528" t="s">
        <v>205</v>
      </c>
      <c r="H1099"/>
    </row>
    <row r="1100" spans="1:8" x14ac:dyDescent="0.35">
      <c r="A1100" s="528" t="s">
        <v>3451</v>
      </c>
      <c r="B1100" s="528" t="s">
        <v>3452</v>
      </c>
      <c r="C1100" s="528" t="s">
        <v>3453</v>
      </c>
      <c r="D1100" s="528" t="s">
        <v>225</v>
      </c>
      <c r="E1100" s="528"/>
      <c r="F1100" s="528"/>
      <c r="G1100" s="528" t="s">
        <v>205</v>
      </c>
      <c r="H1100"/>
    </row>
    <row r="1101" spans="1:8" x14ac:dyDescent="0.35">
      <c r="A1101" s="528" t="s">
        <v>3454</v>
      </c>
      <c r="B1101" s="528" t="s">
        <v>3455</v>
      </c>
      <c r="C1101" s="528" t="s">
        <v>3456</v>
      </c>
      <c r="D1101" s="528" t="s">
        <v>264</v>
      </c>
      <c r="E1101" s="528"/>
      <c r="F1101" s="528"/>
      <c r="G1101" s="528" t="s">
        <v>205</v>
      </c>
      <c r="H1101"/>
    </row>
    <row r="1102" spans="1:8" x14ac:dyDescent="0.35">
      <c r="A1102" s="528" t="s">
        <v>3457</v>
      </c>
      <c r="B1102" s="528" t="s">
        <v>3458</v>
      </c>
      <c r="C1102" s="528" t="s">
        <v>3459</v>
      </c>
      <c r="D1102" s="528" t="s">
        <v>225</v>
      </c>
      <c r="E1102" s="528"/>
      <c r="F1102" s="528"/>
      <c r="G1102" s="528" t="s">
        <v>205</v>
      </c>
      <c r="H1102"/>
    </row>
    <row r="1103" spans="1:8" x14ac:dyDescent="0.35">
      <c r="A1103" s="528" t="s">
        <v>3460</v>
      </c>
      <c r="B1103" s="528" t="s">
        <v>3461</v>
      </c>
      <c r="C1103" s="528" t="s">
        <v>3462</v>
      </c>
      <c r="D1103" s="528" t="s">
        <v>264</v>
      </c>
      <c r="E1103" s="528"/>
      <c r="F1103" s="528"/>
      <c r="G1103" s="528" t="s">
        <v>208</v>
      </c>
      <c r="H1103"/>
    </row>
    <row r="1104" spans="1:8" x14ac:dyDescent="0.35">
      <c r="A1104" s="528" t="s">
        <v>3463</v>
      </c>
      <c r="B1104" s="528" t="s">
        <v>3464</v>
      </c>
      <c r="C1104" s="528" t="s">
        <v>3465</v>
      </c>
      <c r="D1104" s="528" t="s">
        <v>225</v>
      </c>
      <c r="E1104" s="528"/>
      <c r="F1104" s="528"/>
      <c r="G1104" s="528" t="s">
        <v>208</v>
      </c>
      <c r="H1104"/>
    </row>
    <row r="1105" spans="1:8" x14ac:dyDescent="0.35">
      <c r="A1105" s="528" t="s">
        <v>3466</v>
      </c>
      <c r="B1105" s="528" t="s">
        <v>3467</v>
      </c>
      <c r="C1105" s="528" t="s">
        <v>1152</v>
      </c>
      <c r="D1105" s="528" t="s">
        <v>264</v>
      </c>
      <c r="E1105" s="528" t="s">
        <v>225</v>
      </c>
      <c r="F1105" s="528"/>
      <c r="G1105" s="528" t="s">
        <v>208</v>
      </c>
      <c r="H1105"/>
    </row>
    <row r="1106" spans="1:8" x14ac:dyDescent="0.35">
      <c r="A1106" s="528" t="s">
        <v>3468</v>
      </c>
      <c r="B1106" s="528" t="s">
        <v>3469</v>
      </c>
      <c r="C1106" s="528" t="s">
        <v>2652</v>
      </c>
      <c r="D1106" s="528" t="s">
        <v>251</v>
      </c>
      <c r="E1106" s="528"/>
      <c r="F1106" s="528"/>
      <c r="G1106" s="528" t="s">
        <v>205</v>
      </c>
      <c r="H1106"/>
    </row>
    <row r="1107" spans="1:8" x14ac:dyDescent="0.35">
      <c r="A1107" s="528" t="s">
        <v>3470</v>
      </c>
      <c r="B1107" s="528" t="s">
        <v>3471</v>
      </c>
      <c r="C1107" s="528" t="s">
        <v>3472</v>
      </c>
      <c r="D1107" s="528" t="s">
        <v>264</v>
      </c>
      <c r="E1107" s="528"/>
      <c r="F1107" s="528"/>
      <c r="G1107" s="528" t="s">
        <v>205</v>
      </c>
      <c r="H1107"/>
    </row>
    <row r="1108" spans="1:8" x14ac:dyDescent="0.35">
      <c r="A1108" s="528" t="s">
        <v>3473</v>
      </c>
      <c r="B1108" s="528" t="s">
        <v>3474</v>
      </c>
      <c r="C1108" s="528" t="s">
        <v>3475</v>
      </c>
      <c r="D1108" s="528" t="s">
        <v>225</v>
      </c>
      <c r="E1108" s="528"/>
      <c r="F1108" s="528"/>
      <c r="G1108" s="528" t="s">
        <v>205</v>
      </c>
      <c r="H1108"/>
    </row>
    <row r="1109" spans="1:8" x14ac:dyDescent="0.35">
      <c r="A1109" s="528" t="s">
        <v>3476</v>
      </c>
      <c r="B1109" s="528" t="s">
        <v>3477</v>
      </c>
      <c r="C1109" s="528" t="s">
        <v>3478</v>
      </c>
      <c r="D1109" s="528" t="s">
        <v>225</v>
      </c>
      <c r="E1109" s="528"/>
      <c r="F1109" s="528"/>
      <c r="G1109" s="528" t="s">
        <v>205</v>
      </c>
      <c r="H1109"/>
    </row>
    <row r="1110" spans="1:8" x14ac:dyDescent="0.35">
      <c r="A1110" s="528" t="s">
        <v>3479</v>
      </c>
      <c r="B1110" s="528" t="s">
        <v>3480</v>
      </c>
      <c r="C1110" s="528" t="s">
        <v>1510</v>
      </c>
      <c r="D1110" s="528" t="s">
        <v>277</v>
      </c>
      <c r="E1110" s="528"/>
      <c r="F1110" s="528"/>
      <c r="G1110" s="528" t="s">
        <v>205</v>
      </c>
      <c r="H1110"/>
    </row>
    <row r="1111" spans="1:8" x14ac:dyDescent="0.35">
      <c r="A1111" s="528" t="s">
        <v>3481</v>
      </c>
      <c r="B1111" s="528" t="s">
        <v>3482</v>
      </c>
      <c r="C1111" s="528" t="s">
        <v>3483</v>
      </c>
      <c r="D1111" s="528" t="s">
        <v>251</v>
      </c>
      <c r="E1111" s="528"/>
      <c r="F1111" s="528"/>
      <c r="G1111" s="528" t="s">
        <v>205</v>
      </c>
      <c r="H1111"/>
    </row>
    <row r="1112" spans="1:8" x14ac:dyDescent="0.35">
      <c r="A1112" s="528" t="s">
        <v>3484</v>
      </c>
      <c r="B1112" s="528" t="s">
        <v>3485</v>
      </c>
      <c r="C1112" s="528" t="s">
        <v>3486</v>
      </c>
      <c r="D1112" s="528" t="s">
        <v>251</v>
      </c>
      <c r="E1112" s="528"/>
      <c r="F1112" s="528"/>
      <c r="G1112" s="528" t="s">
        <v>205</v>
      </c>
      <c r="H1112"/>
    </row>
    <row r="1113" spans="1:8" x14ac:dyDescent="0.35">
      <c r="A1113" s="528" t="s">
        <v>3487</v>
      </c>
      <c r="B1113" s="528" t="s">
        <v>3488</v>
      </c>
      <c r="C1113" s="528" t="s">
        <v>3489</v>
      </c>
      <c r="D1113" s="528" t="s">
        <v>251</v>
      </c>
      <c r="E1113" s="528"/>
      <c r="F1113" s="528"/>
      <c r="G1113" s="528" t="s">
        <v>205</v>
      </c>
      <c r="H1113"/>
    </row>
    <row r="1114" spans="1:8" x14ac:dyDescent="0.35">
      <c r="A1114" s="528" t="s">
        <v>3490</v>
      </c>
      <c r="B1114" s="528" t="s">
        <v>3491</v>
      </c>
      <c r="C1114" s="528" t="s">
        <v>3492</v>
      </c>
      <c r="D1114" s="528" t="s">
        <v>225</v>
      </c>
      <c r="E1114" s="528"/>
      <c r="F1114" s="528"/>
      <c r="G1114" s="528" t="s">
        <v>205</v>
      </c>
      <c r="H1114"/>
    </row>
    <row r="1115" spans="1:8" x14ac:dyDescent="0.35">
      <c r="A1115" s="528" t="s">
        <v>3493</v>
      </c>
      <c r="B1115" s="528" t="s">
        <v>3494</v>
      </c>
      <c r="C1115" s="528" t="s">
        <v>1020</v>
      </c>
      <c r="D1115" s="528" t="s">
        <v>251</v>
      </c>
      <c r="E1115" s="528"/>
      <c r="F1115" s="528"/>
      <c r="G1115" s="528" t="s">
        <v>208</v>
      </c>
      <c r="H1115"/>
    </row>
    <row r="1116" spans="1:8" x14ac:dyDescent="0.35">
      <c r="A1116" s="528" t="s">
        <v>3495</v>
      </c>
      <c r="B1116" s="528" t="s">
        <v>3496</v>
      </c>
      <c r="C1116" s="528" t="s">
        <v>3497</v>
      </c>
      <c r="D1116" s="528" t="s">
        <v>251</v>
      </c>
      <c r="E1116" s="528"/>
      <c r="F1116" s="528"/>
      <c r="G1116" s="528" t="s">
        <v>208</v>
      </c>
      <c r="H1116"/>
    </row>
    <row r="1117" spans="1:8" x14ac:dyDescent="0.35">
      <c r="A1117" s="528" t="s">
        <v>3498</v>
      </c>
      <c r="B1117" s="528" t="s">
        <v>3499</v>
      </c>
      <c r="C1117" s="528" t="s">
        <v>3500</v>
      </c>
      <c r="D1117" s="528" t="s">
        <v>251</v>
      </c>
      <c r="E1117" s="528"/>
      <c r="F1117" s="528"/>
      <c r="G1117" s="528" t="s">
        <v>208</v>
      </c>
      <c r="H1117"/>
    </row>
    <row r="1118" spans="1:8" x14ac:dyDescent="0.35">
      <c r="A1118" s="528" t="s">
        <v>3501</v>
      </c>
      <c r="B1118" s="528" t="s">
        <v>3502</v>
      </c>
      <c r="C1118" s="528" t="s">
        <v>3503</v>
      </c>
      <c r="D1118" s="528" t="s">
        <v>238</v>
      </c>
      <c r="E1118" s="528"/>
      <c r="F1118" s="528"/>
      <c r="G1118" s="528" t="s">
        <v>208</v>
      </c>
      <c r="H1118"/>
    </row>
    <row r="1119" spans="1:8" x14ac:dyDescent="0.35">
      <c r="A1119" s="528" t="s">
        <v>3504</v>
      </c>
      <c r="B1119" s="528" t="s">
        <v>3505</v>
      </c>
      <c r="C1119" s="528" t="s">
        <v>3506</v>
      </c>
      <c r="D1119" s="528" t="s">
        <v>251</v>
      </c>
      <c r="E1119" s="528"/>
      <c r="F1119" s="528"/>
      <c r="G1119" s="528" t="s">
        <v>205</v>
      </c>
      <c r="H1119"/>
    </row>
    <row r="1120" spans="1:8" x14ac:dyDescent="0.35">
      <c r="A1120" s="528" t="s">
        <v>3507</v>
      </c>
      <c r="B1120" s="528" t="s">
        <v>3508</v>
      </c>
      <c r="C1120" s="528" t="s">
        <v>3509</v>
      </c>
      <c r="D1120" s="528" t="s">
        <v>251</v>
      </c>
      <c r="E1120" s="528"/>
      <c r="F1120" s="528"/>
      <c r="G1120" s="528" t="s">
        <v>205</v>
      </c>
      <c r="H1120"/>
    </row>
    <row r="1121" spans="1:8" x14ac:dyDescent="0.35">
      <c r="A1121" s="528" t="s">
        <v>3510</v>
      </c>
      <c r="B1121" s="528" t="s">
        <v>3511</v>
      </c>
      <c r="C1121" s="528" t="s">
        <v>3512</v>
      </c>
      <c r="D1121" s="528" t="s">
        <v>238</v>
      </c>
      <c r="E1121" s="528"/>
      <c r="F1121" s="528"/>
      <c r="G1121" s="528" t="s">
        <v>205</v>
      </c>
      <c r="H1121"/>
    </row>
    <row r="1122" spans="1:8" x14ac:dyDescent="0.35">
      <c r="A1122" s="528" t="s">
        <v>3513</v>
      </c>
      <c r="B1122" s="528" t="s">
        <v>3514</v>
      </c>
      <c r="C1122" s="528" t="s">
        <v>2868</v>
      </c>
      <c r="D1122" s="528" t="s">
        <v>251</v>
      </c>
      <c r="E1122" s="528"/>
      <c r="F1122" s="528"/>
      <c r="G1122" s="528" t="s">
        <v>205</v>
      </c>
      <c r="H1122"/>
    </row>
    <row r="1123" spans="1:8" x14ac:dyDescent="0.35">
      <c r="A1123" s="528" t="s">
        <v>3515</v>
      </c>
      <c r="B1123" s="528" t="s">
        <v>3516</v>
      </c>
      <c r="C1123" s="528" t="s">
        <v>3517</v>
      </c>
      <c r="D1123" s="528" t="s">
        <v>251</v>
      </c>
      <c r="E1123" s="528"/>
      <c r="F1123" s="528"/>
      <c r="G1123" s="528" t="s">
        <v>205</v>
      </c>
      <c r="H1123"/>
    </row>
    <row r="1124" spans="1:8" x14ac:dyDescent="0.35">
      <c r="A1124" s="528" t="s">
        <v>3518</v>
      </c>
      <c r="B1124" s="528" t="s">
        <v>3519</v>
      </c>
      <c r="C1124" s="528" t="s">
        <v>3520</v>
      </c>
      <c r="D1124" s="528" t="s">
        <v>251</v>
      </c>
      <c r="E1124" s="528"/>
      <c r="F1124" s="528"/>
      <c r="G1124" s="528" t="s">
        <v>205</v>
      </c>
      <c r="H1124"/>
    </row>
    <row r="1125" spans="1:8" x14ac:dyDescent="0.35">
      <c r="A1125" s="528" t="s">
        <v>3521</v>
      </c>
      <c r="B1125" s="528" t="s">
        <v>3522</v>
      </c>
      <c r="C1125" s="528" t="s">
        <v>1897</v>
      </c>
      <c r="D1125" s="528" t="s">
        <v>251</v>
      </c>
      <c r="E1125" s="528"/>
      <c r="F1125" s="528"/>
      <c r="G1125" s="528" t="s">
        <v>205</v>
      </c>
      <c r="H1125"/>
    </row>
    <row r="1126" spans="1:8" x14ac:dyDescent="0.35">
      <c r="A1126" s="528" t="s">
        <v>3523</v>
      </c>
      <c r="B1126" s="528" t="s">
        <v>3524</v>
      </c>
      <c r="C1126" s="528" t="s">
        <v>3525</v>
      </c>
      <c r="D1126" s="528" t="s">
        <v>251</v>
      </c>
      <c r="E1126" s="528"/>
      <c r="F1126" s="528"/>
      <c r="G1126" s="528" t="s">
        <v>205</v>
      </c>
      <c r="H1126"/>
    </row>
    <row r="1127" spans="1:8" x14ac:dyDescent="0.35">
      <c r="A1127" s="528" t="s">
        <v>3526</v>
      </c>
      <c r="B1127" s="528" t="s">
        <v>3527</v>
      </c>
      <c r="C1127" s="528" t="s">
        <v>3528</v>
      </c>
      <c r="D1127" s="528" t="s">
        <v>251</v>
      </c>
      <c r="E1127" s="528"/>
      <c r="F1127" s="528"/>
      <c r="G1127" s="528" t="s">
        <v>205</v>
      </c>
      <c r="H1127"/>
    </row>
    <row r="1128" spans="1:8" x14ac:dyDescent="0.35">
      <c r="A1128" s="528" t="s">
        <v>3529</v>
      </c>
      <c r="B1128" s="528" t="s">
        <v>3530</v>
      </c>
      <c r="C1128" s="528" t="s">
        <v>3531</v>
      </c>
      <c r="D1128" s="528" t="s">
        <v>225</v>
      </c>
      <c r="E1128" s="528"/>
      <c r="F1128" s="528"/>
      <c r="G1128" s="528" t="s">
        <v>205</v>
      </c>
      <c r="H1128"/>
    </row>
    <row r="1129" spans="1:8" x14ac:dyDescent="0.35">
      <c r="A1129" s="528" t="s">
        <v>3532</v>
      </c>
      <c r="B1129" s="528" t="s">
        <v>3533</v>
      </c>
      <c r="C1129" s="528" t="s">
        <v>3534</v>
      </c>
      <c r="D1129" s="528" t="s">
        <v>225</v>
      </c>
      <c r="E1129" s="528"/>
      <c r="F1129" s="528"/>
      <c r="G1129" s="528" t="s">
        <v>205</v>
      </c>
      <c r="H1129"/>
    </row>
    <row r="1130" spans="1:8" x14ac:dyDescent="0.35">
      <c r="A1130" s="528" t="s">
        <v>3535</v>
      </c>
      <c r="B1130" s="528" t="s">
        <v>3536</v>
      </c>
      <c r="C1130" s="528" t="s">
        <v>3537</v>
      </c>
      <c r="D1130" s="528" t="s">
        <v>264</v>
      </c>
      <c r="E1130" s="528"/>
      <c r="F1130" s="528"/>
      <c r="G1130" s="528" t="s">
        <v>205</v>
      </c>
      <c r="H1130"/>
    </row>
    <row r="1131" spans="1:8" x14ac:dyDescent="0.35">
      <c r="A1131" s="528" t="s">
        <v>3538</v>
      </c>
      <c r="B1131" s="528" t="s">
        <v>3539</v>
      </c>
      <c r="C1131" s="528" t="s">
        <v>3540</v>
      </c>
      <c r="D1131" s="528" t="s">
        <v>264</v>
      </c>
      <c r="E1131" s="528"/>
      <c r="F1131" s="528"/>
      <c r="G1131" s="528" t="s">
        <v>208</v>
      </c>
      <c r="H1131"/>
    </row>
    <row r="1132" spans="1:8" x14ac:dyDescent="0.35">
      <c r="A1132" s="528" t="s">
        <v>3541</v>
      </c>
      <c r="B1132" s="528" t="s">
        <v>3542</v>
      </c>
      <c r="C1132" s="528" t="s">
        <v>3543</v>
      </c>
      <c r="D1132" s="528" t="s">
        <v>277</v>
      </c>
      <c r="E1132" s="528"/>
      <c r="F1132" s="528"/>
      <c r="G1132" s="528" t="s">
        <v>205</v>
      </c>
      <c r="H1132"/>
    </row>
    <row r="1133" spans="1:8" x14ac:dyDescent="0.35">
      <c r="A1133" s="528" t="s">
        <v>3544</v>
      </c>
      <c r="B1133" s="528" t="s">
        <v>3545</v>
      </c>
      <c r="C1133" s="528" t="s">
        <v>3546</v>
      </c>
      <c r="D1133" s="528" t="s">
        <v>277</v>
      </c>
      <c r="E1133" s="528"/>
      <c r="F1133" s="528"/>
      <c r="G1133" s="528" t="s">
        <v>205</v>
      </c>
      <c r="H1133"/>
    </row>
    <row r="1134" spans="1:8" x14ac:dyDescent="0.35">
      <c r="A1134" s="528" t="s">
        <v>3547</v>
      </c>
      <c r="B1134" s="528" t="s">
        <v>3548</v>
      </c>
      <c r="C1134" s="528" t="s">
        <v>3549</v>
      </c>
      <c r="D1134" s="528" t="s">
        <v>264</v>
      </c>
      <c r="E1134" s="528"/>
      <c r="F1134" s="528"/>
      <c r="G1134" s="528" t="s">
        <v>205</v>
      </c>
      <c r="H1134"/>
    </row>
    <row r="1135" spans="1:8" x14ac:dyDescent="0.35">
      <c r="A1135" s="528" t="s">
        <v>3550</v>
      </c>
      <c r="B1135" s="528" t="s">
        <v>3551</v>
      </c>
      <c r="C1135" s="528" t="s">
        <v>3552</v>
      </c>
      <c r="D1135" s="528" t="s">
        <v>277</v>
      </c>
      <c r="E1135" s="528"/>
      <c r="F1135" s="528"/>
      <c r="G1135" s="528" t="s">
        <v>205</v>
      </c>
      <c r="H1135"/>
    </row>
    <row r="1136" spans="1:8" x14ac:dyDescent="0.35">
      <c r="A1136" s="528" t="s">
        <v>3553</v>
      </c>
      <c r="B1136" s="528" t="s">
        <v>3554</v>
      </c>
      <c r="C1136" s="528" t="s">
        <v>3555</v>
      </c>
      <c r="D1136" s="528" t="s">
        <v>251</v>
      </c>
      <c r="E1136" s="528"/>
      <c r="F1136" s="528"/>
      <c r="G1136" s="528" t="s">
        <v>205</v>
      </c>
      <c r="H1136"/>
    </row>
    <row r="1137" spans="1:8" x14ac:dyDescent="0.35">
      <c r="A1137" s="528" t="s">
        <v>3556</v>
      </c>
      <c r="B1137" s="528" t="s">
        <v>3557</v>
      </c>
      <c r="C1137" s="528" t="s">
        <v>432</v>
      </c>
      <c r="D1137" s="528" t="s">
        <v>277</v>
      </c>
      <c r="E1137" s="528"/>
      <c r="F1137" s="528"/>
      <c r="G1137" s="528" t="s">
        <v>205</v>
      </c>
      <c r="H1137"/>
    </row>
    <row r="1138" spans="1:8" x14ac:dyDescent="0.35">
      <c r="A1138" s="528" t="s">
        <v>3558</v>
      </c>
      <c r="B1138" s="528" t="s">
        <v>3559</v>
      </c>
      <c r="C1138" s="528" t="s">
        <v>474</v>
      </c>
      <c r="D1138" s="528" t="s">
        <v>277</v>
      </c>
      <c r="E1138" s="528"/>
      <c r="F1138" s="528"/>
      <c r="G1138" s="528" t="s">
        <v>205</v>
      </c>
      <c r="H1138"/>
    </row>
    <row r="1139" spans="1:8" x14ac:dyDescent="0.35">
      <c r="A1139" s="528" t="s">
        <v>3560</v>
      </c>
      <c r="B1139" s="528" t="s">
        <v>3561</v>
      </c>
      <c r="C1139" s="528" t="s">
        <v>3562</v>
      </c>
      <c r="D1139" s="528" t="s">
        <v>277</v>
      </c>
      <c r="E1139" s="528"/>
      <c r="F1139" s="528"/>
      <c r="G1139" s="528" t="s">
        <v>205</v>
      </c>
      <c r="H1139"/>
    </row>
    <row r="1140" spans="1:8" x14ac:dyDescent="0.35">
      <c r="A1140" s="528" t="s">
        <v>3563</v>
      </c>
      <c r="B1140" s="528" t="s">
        <v>3564</v>
      </c>
      <c r="C1140" s="528" t="s">
        <v>444</v>
      </c>
      <c r="D1140" s="528" t="s">
        <v>238</v>
      </c>
      <c r="E1140" s="528"/>
      <c r="F1140" s="528"/>
      <c r="G1140" s="528" t="s">
        <v>205</v>
      </c>
      <c r="H1140"/>
    </row>
    <row r="1141" spans="1:8" x14ac:dyDescent="0.35">
      <c r="A1141" s="528" t="s">
        <v>3565</v>
      </c>
      <c r="B1141" s="528" t="s">
        <v>3566</v>
      </c>
      <c r="C1141" s="528" t="s">
        <v>486</v>
      </c>
      <c r="D1141" s="528" t="s">
        <v>238</v>
      </c>
      <c r="E1141" s="528"/>
      <c r="F1141" s="528"/>
      <c r="G1141" s="528" t="s">
        <v>205</v>
      </c>
      <c r="H1141"/>
    </row>
    <row r="1142" spans="1:8" x14ac:dyDescent="0.35">
      <c r="A1142" s="528" t="s">
        <v>3567</v>
      </c>
      <c r="B1142" s="528" t="s">
        <v>3568</v>
      </c>
      <c r="C1142" s="528" t="s">
        <v>1191</v>
      </c>
      <c r="D1142" s="528" t="s">
        <v>264</v>
      </c>
      <c r="E1142" s="528"/>
      <c r="F1142" s="528"/>
      <c r="G1142" s="528" t="s">
        <v>205</v>
      </c>
      <c r="H1142"/>
    </row>
    <row r="1143" spans="1:8" x14ac:dyDescent="0.35">
      <c r="A1143" s="528" t="s">
        <v>3569</v>
      </c>
      <c r="B1143" s="528" t="s">
        <v>3570</v>
      </c>
      <c r="C1143" s="528" t="s">
        <v>675</v>
      </c>
      <c r="D1143" s="528" t="s">
        <v>277</v>
      </c>
      <c r="E1143" s="528"/>
      <c r="F1143" s="528"/>
      <c r="G1143" s="528" t="s">
        <v>208</v>
      </c>
      <c r="H1143"/>
    </row>
    <row r="1144" spans="1:8" x14ac:dyDescent="0.35">
      <c r="A1144" s="528" t="s">
        <v>3571</v>
      </c>
      <c r="B1144" s="528" t="s">
        <v>3572</v>
      </c>
      <c r="C1144" s="528" t="s">
        <v>3573</v>
      </c>
      <c r="D1144" s="528" t="s">
        <v>264</v>
      </c>
      <c r="E1144" s="528"/>
      <c r="F1144" s="528"/>
      <c r="G1144" s="528" t="s">
        <v>208</v>
      </c>
      <c r="H1144"/>
    </row>
    <row r="1145" spans="1:8" x14ac:dyDescent="0.35">
      <c r="A1145" s="528" t="s">
        <v>3574</v>
      </c>
      <c r="B1145" s="528" t="s">
        <v>3575</v>
      </c>
      <c r="C1145" s="528" t="s">
        <v>3576</v>
      </c>
      <c r="D1145" s="528" t="s">
        <v>251</v>
      </c>
      <c r="E1145" s="528"/>
      <c r="F1145" s="528"/>
      <c r="G1145" s="528" t="s">
        <v>208</v>
      </c>
      <c r="H1145"/>
    </row>
    <row r="1146" spans="1:8" x14ac:dyDescent="0.35">
      <c r="A1146" s="528" t="s">
        <v>3577</v>
      </c>
      <c r="B1146" s="528" t="s">
        <v>3578</v>
      </c>
      <c r="C1146" s="528" t="s">
        <v>3579</v>
      </c>
      <c r="D1146" s="528" t="s">
        <v>251</v>
      </c>
      <c r="E1146" s="528"/>
      <c r="F1146" s="528"/>
      <c r="G1146" s="528" t="s">
        <v>208</v>
      </c>
      <c r="H1146"/>
    </row>
    <row r="1147" spans="1:8" x14ac:dyDescent="0.35">
      <c r="A1147" s="528" t="s">
        <v>3580</v>
      </c>
      <c r="B1147" s="528" t="s">
        <v>3581</v>
      </c>
      <c r="C1147" s="528" t="s">
        <v>3582</v>
      </c>
      <c r="D1147" s="528" t="s">
        <v>251</v>
      </c>
      <c r="E1147" s="528"/>
      <c r="F1147" s="528"/>
      <c r="G1147" s="528" t="s">
        <v>208</v>
      </c>
      <c r="H1147"/>
    </row>
    <row r="1148" spans="1:8" x14ac:dyDescent="0.35">
      <c r="A1148" s="528" t="s">
        <v>3583</v>
      </c>
      <c r="B1148" s="528" t="s">
        <v>3584</v>
      </c>
      <c r="C1148" s="528" t="s">
        <v>3585</v>
      </c>
      <c r="D1148" s="528" t="s">
        <v>264</v>
      </c>
      <c r="E1148" s="528"/>
      <c r="F1148" s="528"/>
      <c r="G1148" s="528" t="s">
        <v>205</v>
      </c>
      <c r="H1148"/>
    </row>
    <row r="1149" spans="1:8" x14ac:dyDescent="0.35">
      <c r="A1149" s="528" t="s">
        <v>3586</v>
      </c>
      <c r="B1149" s="528" t="s">
        <v>3587</v>
      </c>
      <c r="C1149" s="528" t="s">
        <v>3588</v>
      </c>
      <c r="D1149" s="528" t="s">
        <v>264</v>
      </c>
      <c r="E1149" s="528"/>
      <c r="F1149" s="528"/>
      <c r="G1149" s="528" t="s">
        <v>205</v>
      </c>
      <c r="H1149"/>
    </row>
    <row r="1150" spans="1:8" x14ac:dyDescent="0.35">
      <c r="A1150" s="528" t="s">
        <v>3589</v>
      </c>
      <c r="B1150" s="528" t="s">
        <v>3590</v>
      </c>
      <c r="C1150" s="528" t="s">
        <v>3591</v>
      </c>
      <c r="D1150" s="528" t="s">
        <v>264</v>
      </c>
      <c r="E1150" s="528"/>
      <c r="F1150" s="528"/>
      <c r="G1150" s="528" t="s">
        <v>205</v>
      </c>
      <c r="H1150"/>
    </row>
    <row r="1151" spans="1:8" x14ac:dyDescent="0.35">
      <c r="A1151" s="528" t="s">
        <v>3592</v>
      </c>
      <c r="B1151" s="528" t="s">
        <v>3593</v>
      </c>
      <c r="C1151" s="528" t="s">
        <v>3594</v>
      </c>
      <c r="D1151" s="528" t="s">
        <v>277</v>
      </c>
      <c r="E1151" s="528"/>
      <c r="F1151" s="528"/>
      <c r="G1151" s="528" t="s">
        <v>208</v>
      </c>
      <c r="H1151"/>
    </row>
    <row r="1152" spans="1:8" x14ac:dyDescent="0.35">
      <c r="A1152" s="528" t="s">
        <v>3595</v>
      </c>
      <c r="B1152" s="528" t="s">
        <v>3596</v>
      </c>
      <c r="C1152" s="528" t="s">
        <v>3597</v>
      </c>
      <c r="D1152" s="528" t="s">
        <v>264</v>
      </c>
      <c r="E1152" s="528"/>
      <c r="F1152" s="528"/>
      <c r="G1152" s="528" t="s">
        <v>205</v>
      </c>
      <c r="H1152"/>
    </row>
    <row r="1153" spans="1:8" x14ac:dyDescent="0.35">
      <c r="A1153" s="528" t="s">
        <v>3598</v>
      </c>
      <c r="B1153" s="528" t="s">
        <v>3599</v>
      </c>
      <c r="C1153" s="528" t="s">
        <v>2838</v>
      </c>
      <c r="D1153" s="528" t="s">
        <v>264</v>
      </c>
      <c r="E1153" s="528"/>
      <c r="F1153" s="528"/>
      <c r="G1153" s="528" t="s">
        <v>205</v>
      </c>
      <c r="H1153"/>
    </row>
    <row r="1154" spans="1:8" x14ac:dyDescent="0.35">
      <c r="A1154" s="528" t="s">
        <v>3600</v>
      </c>
      <c r="B1154" s="528" t="s">
        <v>3601</v>
      </c>
      <c r="C1154" s="528" t="s">
        <v>883</v>
      </c>
      <c r="D1154" s="528" t="s">
        <v>225</v>
      </c>
      <c r="E1154" s="528"/>
      <c r="F1154" s="528"/>
      <c r="G1154" s="528" t="s">
        <v>208</v>
      </c>
      <c r="H1154"/>
    </row>
    <row r="1155" spans="1:8" x14ac:dyDescent="0.35">
      <c r="A1155" s="528" t="s">
        <v>3602</v>
      </c>
      <c r="B1155" s="528" t="s">
        <v>3603</v>
      </c>
      <c r="C1155" s="528" t="s">
        <v>3604</v>
      </c>
      <c r="D1155" s="528" t="s">
        <v>264</v>
      </c>
      <c r="E1155" s="528"/>
      <c r="F1155" s="528"/>
      <c r="G1155" s="528" t="s">
        <v>205</v>
      </c>
      <c r="H1155"/>
    </row>
    <row r="1156" spans="1:8" x14ac:dyDescent="0.35">
      <c r="A1156" s="528" t="s">
        <v>3605</v>
      </c>
      <c r="B1156" s="528" t="s">
        <v>3606</v>
      </c>
      <c r="C1156" s="528" t="s">
        <v>3607</v>
      </c>
      <c r="D1156" s="528" t="s">
        <v>264</v>
      </c>
      <c r="E1156" s="528"/>
      <c r="F1156" s="528"/>
      <c r="G1156" s="528" t="s">
        <v>205</v>
      </c>
      <c r="H1156"/>
    </row>
    <row r="1157" spans="1:8" x14ac:dyDescent="0.35">
      <c r="A1157" s="528" t="s">
        <v>3608</v>
      </c>
      <c r="B1157" s="528" t="s">
        <v>3609</v>
      </c>
      <c r="C1157" s="528" t="s">
        <v>3610</v>
      </c>
      <c r="D1157" s="528" t="s">
        <v>264</v>
      </c>
      <c r="E1157" s="528"/>
      <c r="F1157" s="528"/>
      <c r="G1157" s="528" t="s">
        <v>210</v>
      </c>
      <c r="H1157"/>
    </row>
    <row r="1158" spans="1:8" x14ac:dyDescent="0.35">
      <c r="A1158" s="528" t="s">
        <v>3611</v>
      </c>
      <c r="B1158" s="528" t="s">
        <v>3612</v>
      </c>
      <c r="C1158" s="528" t="s">
        <v>3613</v>
      </c>
      <c r="D1158" s="528" t="s">
        <v>277</v>
      </c>
      <c r="E1158" s="528"/>
      <c r="F1158" s="528"/>
      <c r="G1158" s="528" t="s">
        <v>205</v>
      </c>
      <c r="H1158"/>
    </row>
    <row r="1159" spans="1:8" x14ac:dyDescent="0.35">
      <c r="A1159" s="528" t="s">
        <v>3614</v>
      </c>
      <c r="B1159" s="528" t="s">
        <v>3615</v>
      </c>
      <c r="C1159" s="528" t="s">
        <v>3616</v>
      </c>
      <c r="D1159" s="528" t="s">
        <v>238</v>
      </c>
      <c r="E1159" s="528"/>
      <c r="F1159" s="528"/>
      <c r="G1159" s="528" t="s">
        <v>205</v>
      </c>
      <c r="H1159"/>
    </row>
    <row r="1160" spans="1:8" x14ac:dyDescent="0.35">
      <c r="A1160" s="528" t="s">
        <v>3617</v>
      </c>
      <c r="B1160" s="528" t="s">
        <v>3618</v>
      </c>
      <c r="C1160" s="528" t="s">
        <v>3619</v>
      </c>
      <c r="D1160" s="528" t="s">
        <v>264</v>
      </c>
      <c r="E1160" s="528"/>
      <c r="F1160" s="528"/>
      <c r="G1160" s="528" t="s">
        <v>205</v>
      </c>
      <c r="H1160"/>
    </row>
    <row r="1161" spans="1:8" x14ac:dyDescent="0.35">
      <c r="A1161" s="528" t="s">
        <v>3620</v>
      </c>
      <c r="B1161" s="528" t="s">
        <v>3621</v>
      </c>
      <c r="C1161" s="528" t="s">
        <v>3622</v>
      </c>
      <c r="D1161" s="528" t="s">
        <v>264</v>
      </c>
      <c r="E1161" s="528"/>
      <c r="F1161" s="528"/>
      <c r="G1161" s="528" t="s">
        <v>205</v>
      </c>
      <c r="H1161"/>
    </row>
    <row r="1162" spans="1:8" x14ac:dyDescent="0.35">
      <c r="A1162" s="528" t="s">
        <v>3623</v>
      </c>
      <c r="B1162" s="528" t="s">
        <v>3624</v>
      </c>
      <c r="C1162" s="528" t="s">
        <v>3625</v>
      </c>
      <c r="D1162" s="528" t="s">
        <v>264</v>
      </c>
      <c r="E1162" s="528"/>
      <c r="F1162" s="528"/>
      <c r="G1162" s="528" t="s">
        <v>205</v>
      </c>
      <c r="H1162"/>
    </row>
    <row r="1163" spans="1:8" x14ac:dyDescent="0.35">
      <c r="A1163" s="528" t="s">
        <v>3626</v>
      </c>
      <c r="B1163" s="528" t="s">
        <v>3627</v>
      </c>
      <c r="C1163" s="528" t="s">
        <v>3628</v>
      </c>
      <c r="D1163" s="528" t="s">
        <v>251</v>
      </c>
      <c r="E1163" s="528"/>
      <c r="F1163" s="528"/>
      <c r="G1163" s="528" t="s">
        <v>205</v>
      </c>
      <c r="H1163"/>
    </row>
    <row r="1164" spans="1:8" x14ac:dyDescent="0.35">
      <c r="A1164" s="528" t="s">
        <v>3629</v>
      </c>
      <c r="B1164" s="528" t="s">
        <v>3630</v>
      </c>
      <c r="C1164" s="528" t="s">
        <v>1317</v>
      </c>
      <c r="D1164" s="528" t="s">
        <v>277</v>
      </c>
      <c r="E1164" s="528"/>
      <c r="F1164" s="528"/>
      <c r="G1164" s="528" t="s">
        <v>205</v>
      </c>
      <c r="H1164"/>
    </row>
    <row r="1165" spans="1:8" x14ac:dyDescent="0.35">
      <c r="A1165" s="528" t="s">
        <v>3631</v>
      </c>
      <c r="B1165" s="528" t="s">
        <v>3632</v>
      </c>
      <c r="C1165" s="528" t="s">
        <v>3257</v>
      </c>
      <c r="D1165" s="528" t="s">
        <v>277</v>
      </c>
      <c r="E1165" s="528"/>
      <c r="F1165" s="528"/>
      <c r="G1165" s="528" t="s">
        <v>205</v>
      </c>
      <c r="H1165"/>
    </row>
    <row r="1166" spans="1:8" x14ac:dyDescent="0.35">
      <c r="A1166" s="528" t="s">
        <v>3633</v>
      </c>
      <c r="B1166" s="528" t="s">
        <v>3634</v>
      </c>
      <c r="C1166" s="528" t="s">
        <v>3635</v>
      </c>
      <c r="D1166" s="528" t="s">
        <v>277</v>
      </c>
      <c r="E1166" s="528"/>
      <c r="F1166" s="528"/>
      <c r="G1166" s="528" t="s">
        <v>205</v>
      </c>
      <c r="H1166"/>
    </row>
    <row r="1167" spans="1:8" x14ac:dyDescent="0.35">
      <c r="A1167" s="528" t="s">
        <v>3636</v>
      </c>
      <c r="B1167" s="528" t="s">
        <v>3637</v>
      </c>
      <c r="C1167" s="528" t="s">
        <v>3638</v>
      </c>
      <c r="D1167" s="528" t="s">
        <v>225</v>
      </c>
      <c r="E1167" s="528"/>
      <c r="F1167" s="528"/>
      <c r="G1167" s="528" t="s">
        <v>205</v>
      </c>
      <c r="H1167"/>
    </row>
    <row r="1168" spans="1:8" x14ac:dyDescent="0.35">
      <c r="A1168" s="528" t="s">
        <v>3639</v>
      </c>
      <c r="B1168" s="528" t="s">
        <v>3640</v>
      </c>
      <c r="C1168" s="528" t="s">
        <v>3641</v>
      </c>
      <c r="D1168" s="528" t="s">
        <v>277</v>
      </c>
      <c r="E1168" s="528"/>
      <c r="F1168" s="528"/>
      <c r="G1168" s="528" t="s">
        <v>205</v>
      </c>
      <c r="H1168"/>
    </row>
    <row r="1169" spans="1:8" x14ac:dyDescent="0.35">
      <c r="A1169" s="528" t="s">
        <v>3642</v>
      </c>
      <c r="B1169" s="528" t="s">
        <v>3643</v>
      </c>
      <c r="C1169" s="528" t="s">
        <v>1962</v>
      </c>
      <c r="D1169" s="528" t="s">
        <v>264</v>
      </c>
      <c r="E1169" s="528"/>
      <c r="F1169" s="528"/>
      <c r="G1169" s="528" t="s">
        <v>205</v>
      </c>
      <c r="H1169"/>
    </row>
    <row r="1170" spans="1:8" x14ac:dyDescent="0.35">
      <c r="A1170" s="528" t="s">
        <v>3644</v>
      </c>
      <c r="B1170" s="528" t="s">
        <v>3645</v>
      </c>
      <c r="C1170" s="528" t="s">
        <v>3646</v>
      </c>
      <c r="D1170" s="528" t="s">
        <v>277</v>
      </c>
      <c r="E1170" s="528"/>
      <c r="F1170" s="528"/>
      <c r="G1170" s="528" t="s">
        <v>205</v>
      </c>
      <c r="H1170"/>
    </row>
    <row r="1171" spans="1:8" x14ac:dyDescent="0.35">
      <c r="A1171" s="528" t="s">
        <v>3647</v>
      </c>
      <c r="B1171" s="528" t="s">
        <v>3648</v>
      </c>
      <c r="C1171" s="528" t="s">
        <v>3649</v>
      </c>
      <c r="D1171" s="528" t="s">
        <v>251</v>
      </c>
      <c r="E1171" s="528"/>
      <c r="F1171" s="528"/>
      <c r="G1171" s="528" t="s">
        <v>205</v>
      </c>
      <c r="H1171"/>
    </row>
    <row r="1172" spans="1:8" x14ac:dyDescent="0.35">
      <c r="A1172" s="528" t="s">
        <v>3650</v>
      </c>
      <c r="B1172" s="528" t="s">
        <v>3651</v>
      </c>
      <c r="C1172" s="528" t="s">
        <v>3652</v>
      </c>
      <c r="D1172" s="528" t="s">
        <v>251</v>
      </c>
      <c r="E1172" s="528"/>
      <c r="F1172" s="528"/>
      <c r="G1172" s="528" t="s">
        <v>205</v>
      </c>
      <c r="H1172"/>
    </row>
    <row r="1173" spans="1:8" x14ac:dyDescent="0.35">
      <c r="A1173" s="528" t="s">
        <v>3653</v>
      </c>
      <c r="B1173" s="528" t="s">
        <v>3654</v>
      </c>
      <c r="C1173" s="528" t="s">
        <v>3655</v>
      </c>
      <c r="D1173" s="528" t="s">
        <v>251</v>
      </c>
      <c r="E1173" s="528"/>
      <c r="F1173" s="528"/>
      <c r="G1173" s="528" t="s">
        <v>205</v>
      </c>
      <c r="H1173"/>
    </row>
    <row r="1174" spans="1:8" x14ac:dyDescent="0.35">
      <c r="A1174" s="528" t="s">
        <v>3656</v>
      </c>
      <c r="B1174" s="528" t="s">
        <v>3657</v>
      </c>
      <c r="C1174" s="528" t="s">
        <v>3658</v>
      </c>
      <c r="D1174" s="528" t="s">
        <v>264</v>
      </c>
      <c r="E1174" s="528"/>
      <c r="F1174" s="528"/>
      <c r="G1174" s="528" t="s">
        <v>205</v>
      </c>
      <c r="H1174"/>
    </row>
    <row r="1175" spans="1:8" x14ac:dyDescent="0.35">
      <c r="A1175" s="528" t="s">
        <v>3659</v>
      </c>
      <c r="B1175" s="528" t="s">
        <v>3660</v>
      </c>
      <c r="C1175" s="528" t="s">
        <v>3661</v>
      </c>
      <c r="D1175" s="528" t="s">
        <v>225</v>
      </c>
      <c r="E1175" s="528"/>
      <c r="F1175" s="528"/>
      <c r="G1175" s="528" t="s">
        <v>208</v>
      </c>
      <c r="H1175"/>
    </row>
    <row r="1176" spans="1:8" x14ac:dyDescent="0.35">
      <c r="A1176" s="528" t="s">
        <v>3662</v>
      </c>
      <c r="B1176" s="528" t="s">
        <v>3663</v>
      </c>
      <c r="C1176" s="528" t="s">
        <v>2470</v>
      </c>
      <c r="D1176" s="528" t="s">
        <v>277</v>
      </c>
      <c r="E1176" s="528"/>
      <c r="F1176" s="528"/>
      <c r="G1176" s="528" t="s">
        <v>208</v>
      </c>
      <c r="H1176"/>
    </row>
    <row r="1177" spans="1:8" x14ac:dyDescent="0.35">
      <c r="A1177" s="528" t="s">
        <v>3664</v>
      </c>
      <c r="B1177" s="528" t="s">
        <v>3665</v>
      </c>
      <c r="C1177" s="528" t="s">
        <v>3666</v>
      </c>
      <c r="D1177" s="528" t="s">
        <v>264</v>
      </c>
      <c r="E1177" s="528"/>
      <c r="F1177" s="528"/>
      <c r="G1177" s="528" t="s">
        <v>205</v>
      </c>
      <c r="H1177"/>
    </row>
    <row r="1178" spans="1:8" x14ac:dyDescent="0.35">
      <c r="A1178" s="528" t="s">
        <v>3667</v>
      </c>
      <c r="B1178" s="528" t="s">
        <v>3668</v>
      </c>
      <c r="C1178" s="528" t="s">
        <v>3669</v>
      </c>
      <c r="D1178" s="528" t="s">
        <v>264</v>
      </c>
      <c r="E1178" s="528"/>
      <c r="F1178" s="528"/>
      <c r="G1178" s="528" t="s">
        <v>205</v>
      </c>
      <c r="H1178"/>
    </row>
    <row r="1179" spans="1:8" x14ac:dyDescent="0.35">
      <c r="A1179" s="528" t="s">
        <v>3670</v>
      </c>
      <c r="B1179" s="528" t="s">
        <v>3671</v>
      </c>
      <c r="C1179" s="528" t="s">
        <v>2339</v>
      </c>
      <c r="D1179" s="528" t="s">
        <v>264</v>
      </c>
      <c r="E1179" s="528"/>
      <c r="F1179" s="528"/>
      <c r="G1179" s="528" t="s">
        <v>205</v>
      </c>
      <c r="H1179"/>
    </row>
    <row r="1180" spans="1:8" x14ac:dyDescent="0.35">
      <c r="A1180" s="528" t="s">
        <v>3672</v>
      </c>
      <c r="B1180" s="528" t="s">
        <v>3673</v>
      </c>
      <c r="C1180" s="528" t="s">
        <v>3674</v>
      </c>
      <c r="D1180" s="528" t="s">
        <v>225</v>
      </c>
      <c r="E1180" s="528"/>
      <c r="F1180" s="528"/>
      <c r="G1180" s="528" t="s">
        <v>214</v>
      </c>
      <c r="H1180"/>
    </row>
    <row r="1181" spans="1:8" x14ac:dyDescent="0.35">
      <c r="A1181" s="528" t="s">
        <v>3675</v>
      </c>
      <c r="B1181" s="528" t="s">
        <v>3676</v>
      </c>
      <c r="C1181" s="528" t="s">
        <v>3543</v>
      </c>
      <c r="D1181" s="528" t="s">
        <v>277</v>
      </c>
      <c r="E1181" s="528"/>
      <c r="F1181" s="528"/>
      <c r="G1181" s="528" t="s">
        <v>205</v>
      </c>
      <c r="H1181"/>
    </row>
    <row r="1182" spans="1:8" x14ac:dyDescent="0.35">
      <c r="A1182" s="528" t="s">
        <v>3677</v>
      </c>
      <c r="B1182" s="528" t="s">
        <v>3678</v>
      </c>
      <c r="C1182" s="528" t="s">
        <v>3679</v>
      </c>
      <c r="D1182" s="528" t="s">
        <v>264</v>
      </c>
      <c r="E1182" s="528"/>
      <c r="F1182" s="528"/>
      <c r="G1182" s="528" t="s">
        <v>205</v>
      </c>
      <c r="H1182"/>
    </row>
    <row r="1183" spans="1:8" x14ac:dyDescent="0.35">
      <c r="A1183" s="528" t="s">
        <v>3680</v>
      </c>
      <c r="B1183" s="528" t="s">
        <v>3681</v>
      </c>
      <c r="C1183" s="528" t="s">
        <v>3682</v>
      </c>
      <c r="D1183" s="528" t="s">
        <v>238</v>
      </c>
      <c r="E1183" s="528"/>
      <c r="F1183" s="528"/>
      <c r="G1183" s="528" t="s">
        <v>205</v>
      </c>
      <c r="H1183"/>
    </row>
    <row r="1184" spans="1:8" x14ac:dyDescent="0.35">
      <c r="A1184" s="528" t="s">
        <v>3683</v>
      </c>
      <c r="B1184" s="528" t="s">
        <v>3684</v>
      </c>
      <c r="C1184" s="528" t="s">
        <v>3685</v>
      </c>
      <c r="D1184" s="528" t="s">
        <v>277</v>
      </c>
      <c r="E1184" s="528"/>
      <c r="F1184" s="528"/>
      <c r="G1184" s="528" t="s">
        <v>205</v>
      </c>
      <c r="H1184"/>
    </row>
    <row r="1185" spans="1:8" x14ac:dyDescent="0.35">
      <c r="A1185" s="528" t="s">
        <v>3686</v>
      </c>
      <c r="B1185" s="528" t="s">
        <v>3687</v>
      </c>
      <c r="C1185" s="528" t="s">
        <v>3688</v>
      </c>
      <c r="D1185" s="528" t="s">
        <v>277</v>
      </c>
      <c r="E1185" s="528"/>
      <c r="F1185" s="528"/>
      <c r="G1185" s="528" t="s">
        <v>205</v>
      </c>
      <c r="H1185"/>
    </row>
    <row r="1186" spans="1:8" x14ac:dyDescent="0.35">
      <c r="A1186" s="528" t="s">
        <v>3689</v>
      </c>
      <c r="B1186" s="528" t="s">
        <v>3690</v>
      </c>
      <c r="C1186" s="528" t="s">
        <v>3691</v>
      </c>
      <c r="D1186" s="528" t="s">
        <v>277</v>
      </c>
      <c r="E1186" s="528"/>
      <c r="F1186" s="528"/>
      <c r="G1186" s="528" t="s">
        <v>205</v>
      </c>
      <c r="H1186"/>
    </row>
    <row r="1187" spans="1:8" x14ac:dyDescent="0.35">
      <c r="A1187" s="528" t="s">
        <v>3692</v>
      </c>
      <c r="B1187" s="528" t="s">
        <v>3693</v>
      </c>
      <c r="C1187" s="528" t="s">
        <v>1684</v>
      </c>
      <c r="D1187" s="528" t="s">
        <v>264</v>
      </c>
      <c r="E1187" s="528"/>
      <c r="F1187" s="528"/>
      <c r="G1187" s="528" t="s">
        <v>205</v>
      </c>
      <c r="H1187"/>
    </row>
    <row r="1188" spans="1:8" x14ac:dyDescent="0.35">
      <c r="A1188" s="528" t="s">
        <v>3694</v>
      </c>
      <c r="B1188" s="528" t="s">
        <v>3695</v>
      </c>
      <c r="C1188" s="528" t="s">
        <v>3696</v>
      </c>
      <c r="D1188" s="528" t="s">
        <v>277</v>
      </c>
      <c r="E1188" s="528"/>
      <c r="F1188" s="528"/>
      <c r="G1188" s="528" t="s">
        <v>205</v>
      </c>
      <c r="H1188"/>
    </row>
    <row r="1189" spans="1:8" x14ac:dyDescent="0.35">
      <c r="A1189" s="528" t="s">
        <v>3697</v>
      </c>
      <c r="B1189" s="528" t="s">
        <v>3698</v>
      </c>
      <c r="C1189" s="528" t="s">
        <v>3699</v>
      </c>
      <c r="D1189" s="528" t="s">
        <v>264</v>
      </c>
      <c r="E1189" s="528"/>
      <c r="F1189" s="528"/>
      <c r="G1189" s="528" t="s">
        <v>205</v>
      </c>
      <c r="H1189"/>
    </row>
    <row r="1190" spans="1:8" x14ac:dyDescent="0.35">
      <c r="A1190" s="528" t="s">
        <v>3700</v>
      </c>
      <c r="B1190" s="528" t="s">
        <v>3701</v>
      </c>
      <c r="C1190" s="528" t="s">
        <v>1995</v>
      </c>
      <c r="D1190" s="528" t="s">
        <v>264</v>
      </c>
      <c r="E1190" s="528"/>
      <c r="F1190" s="528"/>
      <c r="G1190" s="528" t="s">
        <v>205</v>
      </c>
      <c r="H1190"/>
    </row>
    <row r="1191" spans="1:8" x14ac:dyDescent="0.35">
      <c r="A1191" s="528" t="s">
        <v>3702</v>
      </c>
      <c r="B1191" s="528" t="s">
        <v>3703</v>
      </c>
      <c r="C1191" s="528" t="s">
        <v>3704</v>
      </c>
      <c r="D1191" s="528" t="s">
        <v>251</v>
      </c>
      <c r="E1191" s="528"/>
      <c r="F1191" s="528"/>
      <c r="G1191" s="528" t="s">
        <v>205</v>
      </c>
      <c r="H1191"/>
    </row>
    <row r="1192" spans="1:8" x14ac:dyDescent="0.35">
      <c r="A1192" s="528" t="s">
        <v>3705</v>
      </c>
      <c r="B1192" s="528" t="s">
        <v>3706</v>
      </c>
      <c r="C1192" s="528" t="s">
        <v>3707</v>
      </c>
      <c r="D1192" s="528" t="s">
        <v>251</v>
      </c>
      <c r="E1192" s="528"/>
      <c r="F1192" s="528"/>
      <c r="G1192" s="528" t="s">
        <v>205</v>
      </c>
      <c r="H1192"/>
    </row>
    <row r="1193" spans="1:8" x14ac:dyDescent="0.35">
      <c r="A1193" s="528" t="s">
        <v>3708</v>
      </c>
      <c r="B1193" s="528" t="s">
        <v>3709</v>
      </c>
      <c r="C1193" s="528" t="s">
        <v>3710</v>
      </c>
      <c r="D1193" s="528" t="s">
        <v>251</v>
      </c>
      <c r="E1193" s="528"/>
      <c r="F1193" s="528"/>
      <c r="G1193" s="528" t="s">
        <v>205</v>
      </c>
      <c r="H1193"/>
    </row>
    <row r="1194" spans="1:8" x14ac:dyDescent="0.35">
      <c r="A1194" s="528" t="s">
        <v>3711</v>
      </c>
      <c r="B1194" s="528" t="s">
        <v>3712</v>
      </c>
      <c r="C1194" s="528" t="s">
        <v>3713</v>
      </c>
      <c r="D1194" s="528" t="s">
        <v>251</v>
      </c>
      <c r="E1194" s="528"/>
      <c r="F1194" s="528"/>
      <c r="G1194" s="528" t="s">
        <v>208</v>
      </c>
      <c r="H1194"/>
    </row>
    <row r="1195" spans="1:8" x14ac:dyDescent="0.35">
      <c r="A1195" s="528" t="s">
        <v>3714</v>
      </c>
      <c r="B1195" s="528" t="s">
        <v>3715</v>
      </c>
      <c r="C1195" s="528" t="s">
        <v>751</v>
      </c>
      <c r="D1195" s="528" t="s">
        <v>251</v>
      </c>
      <c r="E1195" s="528"/>
      <c r="F1195" s="528"/>
      <c r="G1195" s="528" t="s">
        <v>208</v>
      </c>
      <c r="H1195"/>
    </row>
    <row r="1196" spans="1:8" x14ac:dyDescent="0.35">
      <c r="A1196" s="528" t="s">
        <v>3716</v>
      </c>
      <c r="B1196" s="528" t="s">
        <v>3717</v>
      </c>
      <c r="C1196" s="528" t="s">
        <v>3718</v>
      </c>
      <c r="D1196" s="528" t="s">
        <v>277</v>
      </c>
      <c r="E1196" s="528"/>
      <c r="F1196" s="528"/>
      <c r="G1196" s="528" t="s">
        <v>208</v>
      </c>
      <c r="H1196"/>
    </row>
    <row r="1197" spans="1:8" x14ac:dyDescent="0.35">
      <c r="A1197" s="528" t="s">
        <v>3719</v>
      </c>
      <c r="B1197" s="528" t="s">
        <v>3720</v>
      </c>
      <c r="C1197" s="528" t="s">
        <v>3721</v>
      </c>
      <c r="D1197" s="528" t="s">
        <v>225</v>
      </c>
      <c r="E1197" s="528"/>
      <c r="F1197" s="528"/>
      <c r="G1197" s="528" t="s">
        <v>205</v>
      </c>
      <c r="H1197"/>
    </row>
    <row r="1198" spans="1:8" x14ac:dyDescent="0.35">
      <c r="A1198" s="528" t="s">
        <v>3722</v>
      </c>
      <c r="B1198" s="528" t="s">
        <v>3723</v>
      </c>
      <c r="C1198" s="528" t="s">
        <v>3537</v>
      </c>
      <c r="D1198" s="528" t="s">
        <v>264</v>
      </c>
      <c r="E1198" s="528"/>
      <c r="F1198" s="528"/>
      <c r="G1198" s="528" t="s">
        <v>205</v>
      </c>
      <c r="H1198"/>
    </row>
    <row r="1199" spans="1:8" x14ac:dyDescent="0.35">
      <c r="A1199" s="528" t="s">
        <v>3724</v>
      </c>
      <c r="B1199" s="528" t="s">
        <v>3725</v>
      </c>
      <c r="C1199" s="528" t="s">
        <v>3540</v>
      </c>
      <c r="D1199" s="528" t="s">
        <v>264</v>
      </c>
      <c r="E1199" s="528"/>
      <c r="F1199" s="528"/>
      <c r="G1199" s="528" t="s">
        <v>208</v>
      </c>
      <c r="H1199"/>
    </row>
    <row r="1200" spans="1:8" x14ac:dyDescent="0.35">
      <c r="A1200" s="528" t="s">
        <v>3726</v>
      </c>
      <c r="B1200" s="528" t="s">
        <v>3727</v>
      </c>
      <c r="C1200" s="528" t="s">
        <v>3728</v>
      </c>
      <c r="D1200" s="528" t="s">
        <v>225</v>
      </c>
      <c r="E1200" s="528"/>
      <c r="F1200" s="528"/>
      <c r="G1200" s="528" t="s">
        <v>205</v>
      </c>
      <c r="H1200"/>
    </row>
    <row r="1201" spans="1:8" x14ac:dyDescent="0.35">
      <c r="A1201" s="528" t="s">
        <v>3729</v>
      </c>
      <c r="B1201" s="528" t="s">
        <v>3730</v>
      </c>
      <c r="C1201" s="528" t="s">
        <v>3731</v>
      </c>
      <c r="D1201" s="528" t="s">
        <v>264</v>
      </c>
      <c r="E1201" s="528"/>
      <c r="F1201" s="528"/>
      <c r="G1201" s="528" t="s">
        <v>205</v>
      </c>
      <c r="H1201"/>
    </row>
    <row r="1202" spans="1:8" x14ac:dyDescent="0.35">
      <c r="A1202" s="528" t="s">
        <v>3732</v>
      </c>
      <c r="B1202" s="528" t="s">
        <v>3733</v>
      </c>
      <c r="C1202" s="528" t="s">
        <v>3734</v>
      </c>
      <c r="D1202" s="528" t="s">
        <v>225</v>
      </c>
      <c r="E1202" s="528"/>
      <c r="F1202" s="528"/>
      <c r="G1202" s="528" t="s">
        <v>205</v>
      </c>
      <c r="H1202"/>
    </row>
    <row r="1203" spans="1:8" x14ac:dyDescent="0.35">
      <c r="A1203" s="528" t="s">
        <v>3735</v>
      </c>
      <c r="B1203" s="528" t="s">
        <v>3736</v>
      </c>
      <c r="C1203" s="528" t="s">
        <v>3737</v>
      </c>
      <c r="D1203" s="528" t="s">
        <v>264</v>
      </c>
      <c r="E1203" s="528"/>
      <c r="F1203" s="528"/>
      <c r="G1203" s="528" t="s">
        <v>205</v>
      </c>
      <c r="H1203"/>
    </row>
    <row r="1204" spans="1:8" x14ac:dyDescent="0.35">
      <c r="A1204" s="528" t="s">
        <v>3738</v>
      </c>
      <c r="B1204" s="528" t="s">
        <v>3739</v>
      </c>
      <c r="C1204" s="528" t="s">
        <v>3540</v>
      </c>
      <c r="D1204" s="528" t="s">
        <v>264</v>
      </c>
      <c r="E1204" s="528"/>
      <c r="F1204" s="528"/>
      <c r="G1204" s="528" t="s">
        <v>208</v>
      </c>
      <c r="H1204"/>
    </row>
    <row r="1205" spans="1:8" x14ac:dyDescent="0.35">
      <c r="A1205" s="528" t="s">
        <v>3740</v>
      </c>
      <c r="B1205" s="528" t="s">
        <v>3741</v>
      </c>
      <c r="C1205" s="528" t="s">
        <v>3537</v>
      </c>
      <c r="D1205" s="528" t="s">
        <v>264</v>
      </c>
      <c r="E1205" s="528"/>
      <c r="F1205" s="528"/>
      <c r="G1205" s="528" t="s">
        <v>205</v>
      </c>
      <c r="H1205"/>
    </row>
    <row r="1206" spans="1:8" x14ac:dyDescent="0.35">
      <c r="A1206" s="528" t="s">
        <v>3742</v>
      </c>
      <c r="B1206" s="528" t="s">
        <v>3743</v>
      </c>
      <c r="C1206" s="528" t="s">
        <v>3744</v>
      </c>
      <c r="D1206" s="528" t="s">
        <v>277</v>
      </c>
      <c r="E1206" s="528"/>
      <c r="F1206" s="528"/>
      <c r="G1206" s="528" t="s">
        <v>205</v>
      </c>
      <c r="H1206"/>
    </row>
    <row r="1207" spans="1:8" x14ac:dyDescent="0.35">
      <c r="A1207" s="528" t="s">
        <v>3745</v>
      </c>
      <c r="B1207" s="528" t="s">
        <v>3746</v>
      </c>
      <c r="C1207" s="528" t="s">
        <v>3747</v>
      </c>
      <c r="D1207" s="528" t="s">
        <v>251</v>
      </c>
      <c r="E1207" s="528"/>
      <c r="F1207" s="528"/>
      <c r="G1207" s="528" t="s">
        <v>205</v>
      </c>
      <c r="H1207"/>
    </row>
    <row r="1208" spans="1:8" x14ac:dyDescent="0.35">
      <c r="A1208" s="528" t="s">
        <v>3748</v>
      </c>
      <c r="B1208" s="528" t="s">
        <v>3749</v>
      </c>
      <c r="C1208" s="528" t="s">
        <v>3750</v>
      </c>
      <c r="D1208" s="528" t="s">
        <v>277</v>
      </c>
      <c r="E1208" s="528"/>
      <c r="F1208" s="528"/>
      <c r="G1208" s="528" t="s">
        <v>208</v>
      </c>
      <c r="H1208"/>
    </row>
    <row r="1209" spans="1:8" x14ac:dyDescent="0.35">
      <c r="A1209" s="528" t="s">
        <v>3751</v>
      </c>
      <c r="B1209" s="528" t="s">
        <v>3752</v>
      </c>
      <c r="C1209" s="528" t="s">
        <v>3753</v>
      </c>
      <c r="D1209" s="528" t="s">
        <v>277</v>
      </c>
      <c r="E1209" s="528"/>
      <c r="F1209" s="528"/>
      <c r="G1209" s="528" t="s">
        <v>205</v>
      </c>
      <c r="H1209"/>
    </row>
    <row r="1210" spans="1:8" x14ac:dyDescent="0.35">
      <c r="A1210" s="528" t="s">
        <v>3754</v>
      </c>
      <c r="B1210" s="528" t="s">
        <v>3755</v>
      </c>
      <c r="C1210" s="528" t="s">
        <v>3756</v>
      </c>
      <c r="D1210" s="528" t="s">
        <v>264</v>
      </c>
      <c r="E1210" s="528"/>
      <c r="F1210" s="528"/>
      <c r="G1210" s="528" t="s">
        <v>205</v>
      </c>
      <c r="H1210"/>
    </row>
    <row r="1211" spans="1:8" x14ac:dyDescent="0.35">
      <c r="A1211" s="528" t="s">
        <v>3757</v>
      </c>
      <c r="B1211" s="528" t="s">
        <v>3758</v>
      </c>
      <c r="C1211" s="528" t="s">
        <v>3759</v>
      </c>
      <c r="D1211" s="528" t="s">
        <v>264</v>
      </c>
      <c r="E1211" s="528"/>
      <c r="F1211" s="528"/>
      <c r="G1211" s="528" t="s">
        <v>205</v>
      </c>
      <c r="H1211"/>
    </row>
    <row r="1212" spans="1:8" x14ac:dyDescent="0.35">
      <c r="A1212" s="528" t="s">
        <v>3760</v>
      </c>
      <c r="B1212" s="528" t="s">
        <v>3761</v>
      </c>
      <c r="C1212" s="528" t="s">
        <v>3762</v>
      </c>
      <c r="D1212" s="528" t="s">
        <v>277</v>
      </c>
      <c r="E1212" s="528"/>
      <c r="F1212" s="528"/>
      <c r="G1212" s="528" t="s">
        <v>205</v>
      </c>
      <c r="H1212"/>
    </row>
    <row r="1213" spans="1:8" x14ac:dyDescent="0.35">
      <c r="A1213" s="528" t="s">
        <v>3763</v>
      </c>
      <c r="B1213" s="528" t="s">
        <v>3764</v>
      </c>
      <c r="C1213" s="528" t="s">
        <v>3765</v>
      </c>
      <c r="D1213" s="528" t="s">
        <v>277</v>
      </c>
      <c r="E1213" s="528"/>
      <c r="F1213" s="528"/>
      <c r="G1213" s="528" t="s">
        <v>205</v>
      </c>
      <c r="H1213"/>
    </row>
    <row r="1214" spans="1:8" x14ac:dyDescent="0.35">
      <c r="A1214" s="528" t="s">
        <v>3766</v>
      </c>
      <c r="B1214" s="528" t="s">
        <v>3767</v>
      </c>
      <c r="C1214" s="528" t="s">
        <v>3768</v>
      </c>
      <c r="D1214" s="528" t="s">
        <v>277</v>
      </c>
      <c r="E1214" s="528"/>
      <c r="F1214" s="528"/>
      <c r="G1214" s="528" t="s">
        <v>212</v>
      </c>
      <c r="H1214"/>
    </row>
    <row r="1215" spans="1:8" x14ac:dyDescent="0.35">
      <c r="A1215" s="528" t="s">
        <v>3769</v>
      </c>
      <c r="B1215" s="528" t="s">
        <v>3770</v>
      </c>
      <c r="C1215" s="528" t="s">
        <v>2115</v>
      </c>
      <c r="D1215" s="528" t="s">
        <v>277</v>
      </c>
      <c r="E1215" s="528"/>
      <c r="F1215" s="528"/>
      <c r="G1215" s="528" t="s">
        <v>205</v>
      </c>
      <c r="H1215"/>
    </row>
    <row r="1216" spans="1:8" x14ac:dyDescent="0.35">
      <c r="A1216" s="528" t="s">
        <v>3771</v>
      </c>
      <c r="B1216" s="528" t="s">
        <v>3772</v>
      </c>
      <c r="C1216" s="528" t="s">
        <v>3773</v>
      </c>
      <c r="D1216" s="528" t="s">
        <v>238</v>
      </c>
      <c r="E1216" s="528"/>
      <c r="F1216" s="528"/>
      <c r="G1216" s="528" t="s">
        <v>205</v>
      </c>
      <c r="H1216"/>
    </row>
    <row r="1217" spans="1:8" x14ac:dyDescent="0.35">
      <c r="A1217" s="528" t="s">
        <v>3774</v>
      </c>
      <c r="B1217" s="528" t="s">
        <v>3775</v>
      </c>
      <c r="C1217" s="528" t="s">
        <v>3776</v>
      </c>
      <c r="D1217" s="528" t="s">
        <v>238</v>
      </c>
      <c r="E1217" s="528"/>
      <c r="F1217" s="528"/>
      <c r="G1217" s="528" t="s">
        <v>205</v>
      </c>
      <c r="H1217"/>
    </row>
    <row r="1218" spans="1:8" x14ac:dyDescent="0.35">
      <c r="A1218" s="528" t="s">
        <v>3777</v>
      </c>
      <c r="B1218" s="528" t="s">
        <v>3778</v>
      </c>
      <c r="C1218" s="528" t="s">
        <v>3779</v>
      </c>
      <c r="D1218" s="528" t="s">
        <v>225</v>
      </c>
      <c r="E1218" s="528"/>
      <c r="F1218" s="528"/>
      <c r="G1218" s="528" t="s">
        <v>205</v>
      </c>
      <c r="H1218"/>
    </row>
    <row r="1219" spans="1:8" x14ac:dyDescent="0.35">
      <c r="A1219" s="528" t="s">
        <v>3780</v>
      </c>
      <c r="B1219" s="528" t="s">
        <v>3781</v>
      </c>
      <c r="C1219" s="528" t="s">
        <v>3782</v>
      </c>
      <c r="D1219" s="528" t="s">
        <v>264</v>
      </c>
      <c r="E1219" s="528"/>
      <c r="F1219" s="528"/>
      <c r="G1219" s="528" t="s">
        <v>208</v>
      </c>
      <c r="H1219"/>
    </row>
    <row r="1220" spans="1:8" x14ac:dyDescent="0.35">
      <c r="A1220" s="528" t="s">
        <v>3783</v>
      </c>
      <c r="B1220" s="528" t="s">
        <v>3784</v>
      </c>
      <c r="C1220" s="528" t="s">
        <v>3785</v>
      </c>
      <c r="D1220" s="528" t="s">
        <v>251</v>
      </c>
      <c r="E1220" s="528"/>
      <c r="F1220" s="528"/>
      <c r="G1220" s="528" t="s">
        <v>205</v>
      </c>
      <c r="H1220"/>
    </row>
    <row r="1221" spans="1:8" x14ac:dyDescent="0.35">
      <c r="A1221" s="528" t="s">
        <v>3786</v>
      </c>
      <c r="B1221" s="528" t="s">
        <v>3787</v>
      </c>
      <c r="C1221" s="528" t="s">
        <v>3788</v>
      </c>
      <c r="D1221" s="528" t="s">
        <v>251</v>
      </c>
      <c r="E1221" s="528"/>
      <c r="F1221" s="528"/>
      <c r="G1221" s="528" t="s">
        <v>205</v>
      </c>
      <c r="H1221"/>
    </row>
    <row r="1222" spans="1:8" x14ac:dyDescent="0.35">
      <c r="A1222" s="528" t="s">
        <v>3789</v>
      </c>
      <c r="B1222" s="528" t="s">
        <v>3790</v>
      </c>
      <c r="C1222" s="528" t="s">
        <v>1672</v>
      </c>
      <c r="D1222" s="528" t="s">
        <v>277</v>
      </c>
      <c r="E1222" s="528"/>
      <c r="F1222" s="528"/>
      <c r="G1222" s="528" t="s">
        <v>208</v>
      </c>
      <c r="H1222"/>
    </row>
    <row r="1223" spans="1:8" x14ac:dyDescent="0.35">
      <c r="A1223" s="528" t="s">
        <v>3791</v>
      </c>
      <c r="B1223" s="528" t="s">
        <v>3792</v>
      </c>
      <c r="C1223" s="528" t="s">
        <v>3793</v>
      </c>
      <c r="D1223" s="528" t="s">
        <v>277</v>
      </c>
      <c r="E1223" s="528"/>
      <c r="F1223" s="528"/>
      <c r="G1223" s="528" t="s">
        <v>208</v>
      </c>
      <c r="H1223"/>
    </row>
    <row r="1224" spans="1:8" x14ac:dyDescent="0.35">
      <c r="A1224" s="528" t="s">
        <v>3794</v>
      </c>
      <c r="B1224" s="528" t="s">
        <v>3795</v>
      </c>
      <c r="C1224" s="528" t="s">
        <v>1669</v>
      </c>
      <c r="D1224" s="528" t="s">
        <v>277</v>
      </c>
      <c r="E1224" s="528"/>
      <c r="F1224" s="528"/>
      <c r="G1224" s="528" t="s">
        <v>208</v>
      </c>
      <c r="H1224"/>
    </row>
    <row r="1225" spans="1:8" x14ac:dyDescent="0.35">
      <c r="A1225" s="528" t="s">
        <v>3796</v>
      </c>
      <c r="B1225" s="528" t="s">
        <v>3797</v>
      </c>
      <c r="C1225" s="528" t="s">
        <v>3798</v>
      </c>
      <c r="D1225" s="528" t="s">
        <v>251</v>
      </c>
      <c r="E1225" s="528"/>
      <c r="F1225" s="528"/>
      <c r="G1225" s="528" t="s">
        <v>208</v>
      </c>
      <c r="H1225"/>
    </row>
    <row r="1226" spans="1:8" x14ac:dyDescent="0.35">
      <c r="A1226" s="528" t="s">
        <v>3799</v>
      </c>
      <c r="B1226" s="528" t="s">
        <v>3800</v>
      </c>
      <c r="C1226" s="528" t="s">
        <v>3801</v>
      </c>
      <c r="D1226" s="528" t="s">
        <v>251</v>
      </c>
      <c r="E1226" s="528"/>
      <c r="F1226" s="528"/>
      <c r="G1226" s="528" t="s">
        <v>208</v>
      </c>
      <c r="H1226"/>
    </row>
    <row r="1227" spans="1:8" x14ac:dyDescent="0.35">
      <c r="A1227" s="528" t="s">
        <v>3802</v>
      </c>
      <c r="B1227" s="528" t="s">
        <v>3803</v>
      </c>
      <c r="C1227" s="528" t="s">
        <v>994</v>
      </c>
      <c r="D1227" s="528" t="s">
        <v>251</v>
      </c>
      <c r="E1227" s="528"/>
      <c r="F1227" s="528"/>
      <c r="G1227" s="528" t="s">
        <v>208</v>
      </c>
      <c r="H1227"/>
    </row>
    <row r="1228" spans="1:8" x14ac:dyDescent="0.35">
      <c r="A1228" s="528" t="s">
        <v>3804</v>
      </c>
      <c r="B1228" s="528" t="s">
        <v>3805</v>
      </c>
      <c r="C1228" s="528" t="s">
        <v>3806</v>
      </c>
      <c r="D1228" s="528" t="s">
        <v>264</v>
      </c>
      <c r="E1228" s="528"/>
      <c r="F1228" s="528"/>
      <c r="G1228" s="528" t="s">
        <v>208</v>
      </c>
      <c r="H1228"/>
    </row>
    <row r="1229" spans="1:8" x14ac:dyDescent="0.35">
      <c r="A1229" s="528" t="s">
        <v>3807</v>
      </c>
      <c r="B1229" s="528" t="s">
        <v>3808</v>
      </c>
      <c r="C1229" s="528" t="s">
        <v>3809</v>
      </c>
      <c r="D1229" s="528" t="s">
        <v>251</v>
      </c>
      <c r="E1229" s="528"/>
      <c r="F1229" s="528"/>
      <c r="G1229" s="528" t="s">
        <v>208</v>
      </c>
      <c r="H1229"/>
    </row>
    <row r="1230" spans="1:8" x14ac:dyDescent="0.35">
      <c r="A1230" s="528" t="s">
        <v>3810</v>
      </c>
      <c r="B1230" s="528" t="s">
        <v>3811</v>
      </c>
      <c r="C1230" s="528" t="s">
        <v>3812</v>
      </c>
      <c r="D1230" s="528" t="s">
        <v>277</v>
      </c>
      <c r="E1230" s="528"/>
      <c r="F1230" s="528"/>
      <c r="G1230" s="528" t="s">
        <v>208</v>
      </c>
      <c r="H1230"/>
    </row>
    <row r="1231" spans="1:8" x14ac:dyDescent="0.35">
      <c r="A1231" s="528" t="s">
        <v>3813</v>
      </c>
      <c r="B1231" s="528" t="s">
        <v>3814</v>
      </c>
      <c r="C1231" s="528" t="s">
        <v>3815</v>
      </c>
      <c r="D1231" s="528" t="s">
        <v>264</v>
      </c>
      <c r="E1231" s="528"/>
      <c r="F1231" s="528"/>
      <c r="G1231" s="528" t="s">
        <v>208</v>
      </c>
      <c r="H1231"/>
    </row>
    <row r="1232" spans="1:8" x14ac:dyDescent="0.35">
      <c r="A1232" s="528" t="s">
        <v>3816</v>
      </c>
      <c r="B1232" s="528" t="s">
        <v>3817</v>
      </c>
      <c r="C1232" s="528" t="s">
        <v>3818</v>
      </c>
      <c r="D1232" s="528" t="s">
        <v>277</v>
      </c>
      <c r="E1232" s="528"/>
      <c r="F1232" s="528"/>
      <c r="G1232" s="528" t="s">
        <v>208</v>
      </c>
      <c r="H1232"/>
    </row>
    <row r="1233" spans="1:8" x14ac:dyDescent="0.35">
      <c r="A1233" s="528" t="s">
        <v>3819</v>
      </c>
      <c r="B1233" s="528" t="s">
        <v>3820</v>
      </c>
      <c r="C1233" s="528" t="s">
        <v>3821</v>
      </c>
      <c r="D1233" s="528" t="s">
        <v>251</v>
      </c>
      <c r="E1233" s="528"/>
      <c r="F1233" s="528"/>
      <c r="G1233" s="528" t="s">
        <v>205</v>
      </c>
      <c r="H1233"/>
    </row>
    <row r="1234" spans="1:8" x14ac:dyDescent="0.35">
      <c r="A1234" s="528" t="s">
        <v>3822</v>
      </c>
      <c r="B1234" s="528" t="s">
        <v>3823</v>
      </c>
      <c r="C1234" s="528" t="s">
        <v>3824</v>
      </c>
      <c r="D1234" s="528" t="s">
        <v>251</v>
      </c>
      <c r="E1234" s="528"/>
      <c r="F1234" s="528"/>
      <c r="G1234" s="528" t="s">
        <v>205</v>
      </c>
      <c r="H1234"/>
    </row>
    <row r="1235" spans="1:8" x14ac:dyDescent="0.35">
      <c r="A1235" s="528" t="s">
        <v>3825</v>
      </c>
      <c r="B1235" s="528" t="s">
        <v>3826</v>
      </c>
      <c r="C1235" s="528" t="s">
        <v>1995</v>
      </c>
      <c r="D1235" s="528" t="s">
        <v>264</v>
      </c>
      <c r="E1235" s="528"/>
      <c r="F1235" s="528"/>
      <c r="G1235" s="528" t="s">
        <v>205</v>
      </c>
      <c r="H1235"/>
    </row>
    <row r="1236" spans="1:8" x14ac:dyDescent="0.35">
      <c r="A1236" s="528" t="s">
        <v>3827</v>
      </c>
      <c r="B1236" s="528" t="s">
        <v>3828</v>
      </c>
      <c r="C1236" s="528" t="s">
        <v>2123</v>
      </c>
      <c r="D1236" s="528" t="s">
        <v>277</v>
      </c>
      <c r="E1236" s="528"/>
      <c r="F1236" s="528"/>
      <c r="G1236" s="528" t="s">
        <v>205</v>
      </c>
      <c r="H1236"/>
    </row>
    <row r="1237" spans="1:8" x14ac:dyDescent="0.35">
      <c r="A1237" s="528" t="s">
        <v>3829</v>
      </c>
      <c r="B1237" s="528" t="s">
        <v>3830</v>
      </c>
      <c r="C1237" s="528" t="s">
        <v>1404</v>
      </c>
      <c r="D1237" s="528" t="s">
        <v>264</v>
      </c>
      <c r="E1237" s="528"/>
      <c r="F1237" s="528"/>
      <c r="G1237" s="528" t="s">
        <v>205</v>
      </c>
      <c r="H1237"/>
    </row>
    <row r="1238" spans="1:8" x14ac:dyDescent="0.35">
      <c r="A1238" s="528" t="s">
        <v>3831</v>
      </c>
      <c r="B1238" s="528" t="s">
        <v>3832</v>
      </c>
      <c r="C1238" s="528" t="s">
        <v>1407</v>
      </c>
      <c r="D1238" s="528" t="s">
        <v>225</v>
      </c>
      <c r="E1238" s="528"/>
      <c r="F1238" s="528"/>
      <c r="G1238" s="528" t="s">
        <v>205</v>
      </c>
      <c r="H1238"/>
    </row>
    <row r="1239" spans="1:8" x14ac:dyDescent="0.35">
      <c r="A1239" s="528" t="s">
        <v>3833</v>
      </c>
      <c r="B1239" s="528" t="s">
        <v>3834</v>
      </c>
      <c r="C1239" s="528" t="s">
        <v>3835</v>
      </c>
      <c r="D1239" s="528" t="s">
        <v>277</v>
      </c>
      <c r="E1239" s="528" t="s">
        <v>225</v>
      </c>
      <c r="F1239" s="528"/>
      <c r="G1239" s="528" t="s">
        <v>205</v>
      </c>
      <c r="H1239"/>
    </row>
    <row r="1240" spans="1:8" x14ac:dyDescent="0.35">
      <c r="A1240" s="528" t="s">
        <v>3836</v>
      </c>
      <c r="B1240" s="528" t="s">
        <v>3837</v>
      </c>
      <c r="C1240" s="528" t="s">
        <v>3838</v>
      </c>
      <c r="D1240" s="528" t="s">
        <v>264</v>
      </c>
      <c r="E1240" s="528"/>
      <c r="F1240" s="528"/>
      <c r="G1240" s="528" t="s">
        <v>205</v>
      </c>
      <c r="H1240"/>
    </row>
    <row r="1241" spans="1:8" x14ac:dyDescent="0.35">
      <c r="A1241" s="528" t="s">
        <v>3839</v>
      </c>
      <c r="B1241" s="528" t="s">
        <v>3840</v>
      </c>
      <c r="C1241" s="528" t="s">
        <v>3841</v>
      </c>
      <c r="D1241" s="528" t="s">
        <v>277</v>
      </c>
      <c r="E1241" s="528"/>
      <c r="F1241" s="528"/>
      <c r="G1241" s="528" t="s">
        <v>212</v>
      </c>
      <c r="H1241"/>
    </row>
    <row r="1242" spans="1:8" x14ac:dyDescent="0.35">
      <c r="A1242" s="528" t="s">
        <v>3842</v>
      </c>
      <c r="B1242" s="528" t="s">
        <v>3843</v>
      </c>
      <c r="C1242" s="528" t="s">
        <v>3844</v>
      </c>
      <c r="D1242" s="528" t="s">
        <v>277</v>
      </c>
      <c r="E1242" s="528"/>
      <c r="F1242" s="528"/>
      <c r="G1242" s="528" t="s">
        <v>212</v>
      </c>
      <c r="H1242"/>
    </row>
    <row r="1243" spans="1:8" x14ac:dyDescent="0.35">
      <c r="A1243" s="528" t="s">
        <v>3845</v>
      </c>
      <c r="B1243" s="528" t="s">
        <v>3846</v>
      </c>
      <c r="C1243" s="528" t="s">
        <v>3847</v>
      </c>
      <c r="D1243" s="528" t="s">
        <v>277</v>
      </c>
      <c r="E1243" s="528"/>
      <c r="F1243" s="528"/>
      <c r="G1243" s="528" t="s">
        <v>205</v>
      </c>
      <c r="H1243"/>
    </row>
    <row r="1244" spans="1:8" x14ac:dyDescent="0.35">
      <c r="A1244" s="528" t="s">
        <v>3848</v>
      </c>
      <c r="B1244" s="528" t="s">
        <v>3849</v>
      </c>
      <c r="C1244" s="528" t="s">
        <v>1341</v>
      </c>
      <c r="D1244" s="528" t="s">
        <v>277</v>
      </c>
      <c r="E1244" s="528"/>
      <c r="F1244" s="528"/>
      <c r="G1244" s="528" t="s">
        <v>205</v>
      </c>
      <c r="H1244"/>
    </row>
    <row r="1245" spans="1:8" x14ac:dyDescent="0.35">
      <c r="A1245" s="528" t="s">
        <v>3850</v>
      </c>
      <c r="B1245" s="528" t="s">
        <v>3851</v>
      </c>
      <c r="C1245" s="528" t="s">
        <v>1371</v>
      </c>
      <c r="D1245" s="528" t="s">
        <v>238</v>
      </c>
      <c r="E1245" s="528"/>
      <c r="F1245" s="528"/>
      <c r="G1245" s="528" t="s">
        <v>205</v>
      </c>
      <c r="H1245"/>
    </row>
    <row r="1246" spans="1:8" x14ac:dyDescent="0.35">
      <c r="A1246" s="528" t="s">
        <v>3852</v>
      </c>
      <c r="B1246" s="528" t="s">
        <v>3853</v>
      </c>
      <c r="C1246" s="528" t="s">
        <v>2835</v>
      </c>
      <c r="D1246" s="528" t="s">
        <v>225</v>
      </c>
      <c r="E1246" s="528"/>
      <c r="F1246" s="528"/>
      <c r="G1246" s="528" t="s">
        <v>205</v>
      </c>
      <c r="H1246"/>
    </row>
    <row r="1247" spans="1:8" x14ac:dyDescent="0.35">
      <c r="A1247" s="528" t="s">
        <v>3854</v>
      </c>
      <c r="B1247" s="528" t="s">
        <v>3855</v>
      </c>
      <c r="C1247" s="528" t="s">
        <v>3856</v>
      </c>
      <c r="D1247" s="528" t="s">
        <v>264</v>
      </c>
      <c r="E1247" s="528"/>
      <c r="F1247" s="528"/>
      <c r="G1247" s="528" t="s">
        <v>205</v>
      </c>
      <c r="H1247"/>
    </row>
    <row r="1248" spans="1:8" x14ac:dyDescent="0.35">
      <c r="A1248" s="528" t="s">
        <v>3857</v>
      </c>
      <c r="B1248" s="528" t="s">
        <v>3858</v>
      </c>
      <c r="C1248" s="528" t="s">
        <v>3292</v>
      </c>
      <c r="D1248" s="528" t="s">
        <v>251</v>
      </c>
      <c r="E1248" s="528"/>
      <c r="F1248" s="528"/>
      <c r="G1248" s="528" t="s">
        <v>205</v>
      </c>
      <c r="H1248"/>
    </row>
    <row r="1249" spans="1:8" x14ac:dyDescent="0.35">
      <c r="A1249" s="528" t="s">
        <v>3859</v>
      </c>
      <c r="B1249" s="528" t="s">
        <v>3860</v>
      </c>
      <c r="C1249" s="528" t="s">
        <v>3861</v>
      </c>
      <c r="D1249" s="528" t="s">
        <v>251</v>
      </c>
      <c r="E1249" s="528"/>
      <c r="F1249" s="528"/>
      <c r="G1249" s="528" t="s">
        <v>205</v>
      </c>
      <c r="H1249"/>
    </row>
    <row r="1250" spans="1:8" x14ac:dyDescent="0.35">
      <c r="A1250" s="528" t="s">
        <v>3862</v>
      </c>
      <c r="B1250" s="528" t="s">
        <v>3863</v>
      </c>
      <c r="C1250" s="528" t="s">
        <v>3864</v>
      </c>
      <c r="D1250" s="528" t="s">
        <v>277</v>
      </c>
      <c r="E1250" s="528" t="s">
        <v>264</v>
      </c>
      <c r="F1250" s="528"/>
      <c r="G1250" s="528" t="s">
        <v>205</v>
      </c>
      <c r="H1250"/>
    </row>
    <row r="1251" spans="1:8" x14ac:dyDescent="0.35">
      <c r="A1251" s="528" t="s">
        <v>3865</v>
      </c>
      <c r="B1251" s="528" t="s">
        <v>3866</v>
      </c>
      <c r="C1251" s="528" t="s">
        <v>1264</v>
      </c>
      <c r="D1251" s="528" t="s">
        <v>264</v>
      </c>
      <c r="E1251" s="528"/>
      <c r="F1251" s="528"/>
      <c r="G1251" s="528" t="s">
        <v>205</v>
      </c>
      <c r="H1251"/>
    </row>
    <row r="1252" spans="1:8" x14ac:dyDescent="0.35">
      <c r="A1252" s="528" t="s">
        <v>3867</v>
      </c>
      <c r="B1252" s="528" t="s">
        <v>3868</v>
      </c>
      <c r="C1252" s="528" t="s">
        <v>3869</v>
      </c>
      <c r="D1252" s="528" t="s">
        <v>225</v>
      </c>
      <c r="E1252" s="528"/>
      <c r="F1252" s="528"/>
      <c r="G1252" s="528" t="s">
        <v>205</v>
      </c>
      <c r="H1252"/>
    </row>
    <row r="1253" spans="1:8" x14ac:dyDescent="0.35">
      <c r="A1253" s="528" t="s">
        <v>3870</v>
      </c>
      <c r="B1253" s="528" t="s">
        <v>3871</v>
      </c>
      <c r="C1253" s="528" t="s">
        <v>3872</v>
      </c>
      <c r="D1253" s="528" t="s">
        <v>225</v>
      </c>
      <c r="E1253" s="528"/>
      <c r="F1253" s="528"/>
      <c r="G1253" s="528" t="s">
        <v>205</v>
      </c>
      <c r="H1253"/>
    </row>
    <row r="1254" spans="1:8" x14ac:dyDescent="0.35">
      <c r="A1254" s="528" t="s">
        <v>3873</v>
      </c>
      <c r="B1254" s="528" t="s">
        <v>3874</v>
      </c>
      <c r="C1254" s="528" t="s">
        <v>3875</v>
      </c>
      <c r="D1254" s="528" t="s">
        <v>251</v>
      </c>
      <c r="E1254" s="528"/>
      <c r="F1254" s="528"/>
      <c r="G1254" s="528" t="s">
        <v>208</v>
      </c>
      <c r="H1254"/>
    </row>
    <row r="1255" spans="1:8" x14ac:dyDescent="0.35">
      <c r="A1255" s="528" t="s">
        <v>3876</v>
      </c>
      <c r="B1255" s="528" t="s">
        <v>3877</v>
      </c>
      <c r="C1255" s="528" t="s">
        <v>3878</v>
      </c>
      <c r="D1255" s="528" t="s">
        <v>264</v>
      </c>
      <c r="E1255" s="528"/>
      <c r="F1255" s="528"/>
      <c r="G1255" s="528" t="s">
        <v>205</v>
      </c>
      <c r="H1255"/>
    </row>
    <row r="1256" spans="1:8" x14ac:dyDescent="0.35">
      <c r="A1256" s="528" t="s">
        <v>3879</v>
      </c>
      <c r="B1256" s="528" t="s">
        <v>3880</v>
      </c>
      <c r="C1256" s="528" t="s">
        <v>1819</v>
      </c>
      <c r="D1256" s="528" t="s">
        <v>264</v>
      </c>
      <c r="E1256" s="528"/>
      <c r="F1256" s="528"/>
      <c r="G1256" s="528" t="s">
        <v>210</v>
      </c>
      <c r="H1256"/>
    </row>
    <row r="1257" spans="1:8" x14ac:dyDescent="0.35">
      <c r="A1257" s="528" t="s">
        <v>3881</v>
      </c>
      <c r="B1257" s="528" t="s">
        <v>3882</v>
      </c>
      <c r="C1257" s="528" t="s">
        <v>1149</v>
      </c>
      <c r="D1257" s="528" t="s">
        <v>264</v>
      </c>
      <c r="E1257" s="528"/>
      <c r="F1257" s="528"/>
      <c r="G1257" s="528" t="s">
        <v>208</v>
      </c>
      <c r="H1257"/>
    </row>
    <row r="1258" spans="1:8" x14ac:dyDescent="0.35">
      <c r="A1258" s="528" t="s">
        <v>3883</v>
      </c>
      <c r="B1258" s="528" t="s">
        <v>3884</v>
      </c>
      <c r="C1258" s="528" t="s">
        <v>3885</v>
      </c>
      <c r="D1258" s="528" t="s">
        <v>251</v>
      </c>
      <c r="E1258" s="528"/>
      <c r="F1258" s="528"/>
      <c r="G1258" s="528" t="s">
        <v>205</v>
      </c>
      <c r="H1258"/>
    </row>
    <row r="1259" spans="1:8" x14ac:dyDescent="0.35">
      <c r="A1259" s="528" t="s">
        <v>3886</v>
      </c>
      <c r="B1259" s="528" t="s">
        <v>3887</v>
      </c>
      <c r="C1259" s="528" t="s">
        <v>1510</v>
      </c>
      <c r="D1259" s="528" t="s">
        <v>277</v>
      </c>
      <c r="E1259" s="528"/>
      <c r="F1259" s="528"/>
      <c r="G1259" s="528" t="s">
        <v>205</v>
      </c>
      <c r="H1259"/>
    </row>
    <row r="1260" spans="1:8" x14ac:dyDescent="0.35">
      <c r="A1260" s="528" t="s">
        <v>3888</v>
      </c>
      <c r="B1260" s="528" t="s">
        <v>3889</v>
      </c>
      <c r="C1260" s="528" t="s">
        <v>3890</v>
      </c>
      <c r="D1260" s="528" t="s">
        <v>264</v>
      </c>
      <c r="E1260" s="528"/>
      <c r="F1260" s="528"/>
      <c r="G1260" s="528" t="s">
        <v>205</v>
      </c>
      <c r="H1260"/>
    </row>
    <row r="1261" spans="1:8" x14ac:dyDescent="0.35">
      <c r="A1261" s="528" t="s">
        <v>3891</v>
      </c>
      <c r="B1261" s="528" t="s">
        <v>3892</v>
      </c>
      <c r="C1261" s="528" t="s">
        <v>3543</v>
      </c>
      <c r="D1261" s="528" t="s">
        <v>277</v>
      </c>
      <c r="E1261" s="528"/>
      <c r="F1261" s="528"/>
      <c r="G1261" s="528" t="s">
        <v>205</v>
      </c>
      <c r="H1261"/>
    </row>
    <row r="1262" spans="1:8" x14ac:dyDescent="0.35">
      <c r="A1262" s="528" t="s">
        <v>3893</v>
      </c>
      <c r="B1262" s="528" t="s">
        <v>3894</v>
      </c>
      <c r="C1262" s="528" t="s">
        <v>3895</v>
      </c>
      <c r="D1262" s="528" t="s">
        <v>277</v>
      </c>
      <c r="E1262" s="528"/>
      <c r="F1262" s="528"/>
      <c r="G1262" s="528" t="s">
        <v>205</v>
      </c>
      <c r="H1262"/>
    </row>
    <row r="1263" spans="1:8" x14ac:dyDescent="0.35">
      <c r="A1263" s="528" t="s">
        <v>3896</v>
      </c>
      <c r="B1263" s="528" t="s">
        <v>3897</v>
      </c>
      <c r="C1263" s="528" t="s">
        <v>3898</v>
      </c>
      <c r="D1263" s="528" t="s">
        <v>277</v>
      </c>
      <c r="E1263" s="528"/>
      <c r="F1263" s="528"/>
      <c r="G1263" s="528" t="s">
        <v>205</v>
      </c>
      <c r="H1263"/>
    </row>
    <row r="1264" spans="1:8" x14ac:dyDescent="0.35">
      <c r="A1264" s="528" t="s">
        <v>3899</v>
      </c>
      <c r="B1264" s="528" t="s">
        <v>3900</v>
      </c>
      <c r="C1264" s="528" t="s">
        <v>3901</v>
      </c>
      <c r="D1264" s="528" t="s">
        <v>264</v>
      </c>
      <c r="E1264" s="528"/>
      <c r="F1264" s="528"/>
      <c r="G1264" s="528" t="s">
        <v>205</v>
      </c>
      <c r="H1264"/>
    </row>
    <row r="1265" spans="1:8" x14ac:dyDescent="0.35">
      <c r="A1265" s="528" t="s">
        <v>3902</v>
      </c>
      <c r="B1265" s="528" t="s">
        <v>3903</v>
      </c>
      <c r="C1265" s="528" t="s">
        <v>3904</v>
      </c>
      <c r="D1265" s="528" t="s">
        <v>264</v>
      </c>
      <c r="E1265" s="528"/>
      <c r="F1265" s="528"/>
      <c r="G1265" s="528" t="s">
        <v>208</v>
      </c>
      <c r="H1265"/>
    </row>
    <row r="1266" spans="1:8" x14ac:dyDescent="0.35">
      <c r="A1266" s="528" t="s">
        <v>3905</v>
      </c>
      <c r="B1266" s="528" t="s">
        <v>3906</v>
      </c>
      <c r="C1266" s="528" t="s">
        <v>3907</v>
      </c>
      <c r="D1266" s="528" t="s">
        <v>264</v>
      </c>
      <c r="E1266" s="528"/>
      <c r="F1266" s="528"/>
      <c r="G1266" s="528" t="s">
        <v>205</v>
      </c>
      <c r="H1266"/>
    </row>
    <row r="1267" spans="1:8" x14ac:dyDescent="0.35">
      <c r="A1267" s="528" t="s">
        <v>3908</v>
      </c>
      <c r="B1267" s="528" t="s">
        <v>3909</v>
      </c>
      <c r="C1267" s="528" t="s">
        <v>3910</v>
      </c>
      <c r="D1267" s="528" t="s">
        <v>251</v>
      </c>
      <c r="E1267" s="528"/>
      <c r="F1267" s="528"/>
      <c r="G1267" s="528" t="s">
        <v>205</v>
      </c>
      <c r="H1267"/>
    </row>
    <row r="1268" spans="1:8" x14ac:dyDescent="0.35">
      <c r="A1268" s="528" t="s">
        <v>3911</v>
      </c>
      <c r="B1268" s="528" t="s">
        <v>3912</v>
      </c>
      <c r="C1268" s="528" t="s">
        <v>3913</v>
      </c>
      <c r="D1268" s="528" t="s">
        <v>251</v>
      </c>
      <c r="E1268" s="528"/>
      <c r="F1268" s="528"/>
      <c r="G1268" s="528" t="s">
        <v>205</v>
      </c>
      <c r="H1268"/>
    </row>
    <row r="1269" spans="1:8" x14ac:dyDescent="0.35">
      <c r="A1269" s="528" t="s">
        <v>3914</v>
      </c>
      <c r="B1269" s="528" t="s">
        <v>3915</v>
      </c>
      <c r="C1269" s="528" t="s">
        <v>1371</v>
      </c>
      <c r="D1269" s="528" t="s">
        <v>238</v>
      </c>
      <c r="E1269" s="528"/>
      <c r="F1269" s="528"/>
      <c r="G1269" s="528" t="s">
        <v>205</v>
      </c>
      <c r="H1269"/>
    </row>
    <row r="1270" spans="1:8" x14ac:dyDescent="0.35">
      <c r="A1270" s="528" t="s">
        <v>3916</v>
      </c>
      <c r="B1270" s="528" t="s">
        <v>3917</v>
      </c>
      <c r="C1270" s="528" t="s">
        <v>3918</v>
      </c>
      <c r="D1270" s="528" t="s">
        <v>251</v>
      </c>
      <c r="E1270" s="528"/>
      <c r="F1270" s="528"/>
      <c r="G1270" s="528" t="s">
        <v>208</v>
      </c>
      <c r="H1270"/>
    </row>
    <row r="1271" spans="1:8" x14ac:dyDescent="0.35">
      <c r="A1271" s="528" t="s">
        <v>3919</v>
      </c>
      <c r="B1271" s="528" t="s">
        <v>3920</v>
      </c>
      <c r="C1271" s="528" t="s">
        <v>3283</v>
      </c>
      <c r="D1271" s="528" t="s">
        <v>264</v>
      </c>
      <c r="E1271" s="528"/>
      <c r="F1271" s="528"/>
      <c r="G1271" s="528" t="s">
        <v>205</v>
      </c>
      <c r="H1271"/>
    </row>
    <row r="1272" spans="1:8" x14ac:dyDescent="0.35">
      <c r="A1272" s="528" t="s">
        <v>3921</v>
      </c>
      <c r="B1272" s="528" t="s">
        <v>3922</v>
      </c>
      <c r="C1272" s="528" t="s">
        <v>3923</v>
      </c>
      <c r="D1272" s="528" t="s">
        <v>264</v>
      </c>
      <c r="E1272" s="528"/>
      <c r="F1272" s="528"/>
      <c r="G1272" s="528" t="s">
        <v>205</v>
      </c>
      <c r="H1272"/>
    </row>
    <row r="1273" spans="1:8" x14ac:dyDescent="0.35">
      <c r="A1273" s="528" t="s">
        <v>3924</v>
      </c>
      <c r="B1273" s="528" t="s">
        <v>3925</v>
      </c>
      <c r="C1273" s="528" t="s">
        <v>3926</v>
      </c>
      <c r="D1273" s="528" t="s">
        <v>225</v>
      </c>
      <c r="E1273" s="528"/>
      <c r="F1273" s="528"/>
      <c r="G1273" s="528" t="s">
        <v>205</v>
      </c>
      <c r="H1273"/>
    </row>
    <row r="1274" spans="1:8" x14ac:dyDescent="0.35">
      <c r="A1274" s="528" t="s">
        <v>3927</v>
      </c>
      <c r="B1274" s="528" t="s">
        <v>3928</v>
      </c>
      <c r="C1274" s="528" t="s">
        <v>3929</v>
      </c>
      <c r="D1274" s="528" t="s">
        <v>277</v>
      </c>
      <c r="E1274" s="528"/>
      <c r="F1274" s="528"/>
      <c r="G1274" s="528" t="s">
        <v>205</v>
      </c>
      <c r="H1274"/>
    </row>
    <row r="1275" spans="1:8" x14ac:dyDescent="0.35">
      <c r="A1275" s="528" t="s">
        <v>3930</v>
      </c>
      <c r="B1275" s="528" t="s">
        <v>3931</v>
      </c>
      <c r="C1275" s="528" t="s">
        <v>3932</v>
      </c>
      <c r="D1275" s="528" t="s">
        <v>264</v>
      </c>
      <c r="E1275" s="528"/>
      <c r="F1275" s="528"/>
      <c r="G1275" s="528" t="s">
        <v>205</v>
      </c>
      <c r="H1275"/>
    </row>
    <row r="1276" spans="1:8" x14ac:dyDescent="0.35">
      <c r="A1276" s="528" t="s">
        <v>3933</v>
      </c>
      <c r="B1276" s="528" t="s">
        <v>3934</v>
      </c>
      <c r="C1276" s="528" t="s">
        <v>3935</v>
      </c>
      <c r="D1276" s="528" t="s">
        <v>264</v>
      </c>
      <c r="E1276" s="528"/>
      <c r="F1276" s="528"/>
      <c r="G1276" s="528" t="s">
        <v>205</v>
      </c>
      <c r="H1276"/>
    </row>
    <row r="1277" spans="1:8" x14ac:dyDescent="0.35">
      <c r="A1277" s="528" t="s">
        <v>3936</v>
      </c>
      <c r="B1277" s="528" t="s">
        <v>3937</v>
      </c>
      <c r="C1277" s="528" t="s">
        <v>3938</v>
      </c>
      <c r="D1277" s="528" t="s">
        <v>251</v>
      </c>
      <c r="E1277" s="528"/>
      <c r="F1277" s="528"/>
      <c r="G1277" s="528" t="s">
        <v>208</v>
      </c>
      <c r="H1277"/>
    </row>
    <row r="1278" spans="1:8" x14ac:dyDescent="0.35">
      <c r="A1278" s="528" t="s">
        <v>3939</v>
      </c>
      <c r="B1278" s="528" t="s">
        <v>3940</v>
      </c>
      <c r="C1278" s="528" t="s">
        <v>3941</v>
      </c>
      <c r="D1278" s="528" t="s">
        <v>225</v>
      </c>
      <c r="E1278" s="528"/>
      <c r="F1278" s="528"/>
      <c r="G1278" s="528" t="s">
        <v>208</v>
      </c>
      <c r="H1278"/>
    </row>
    <row r="1279" spans="1:8" x14ac:dyDescent="0.35">
      <c r="A1279" s="528" t="s">
        <v>3942</v>
      </c>
      <c r="B1279" s="528" t="s">
        <v>3943</v>
      </c>
      <c r="C1279" s="528" t="s">
        <v>2262</v>
      </c>
      <c r="D1279" s="528" t="s">
        <v>264</v>
      </c>
      <c r="E1279" s="528"/>
      <c r="F1279" s="528"/>
      <c r="G1279" s="528" t="s">
        <v>205</v>
      </c>
      <c r="H1279"/>
    </row>
    <row r="1280" spans="1:8" x14ac:dyDescent="0.35">
      <c r="A1280" s="528" t="s">
        <v>3944</v>
      </c>
      <c r="B1280" s="528" t="s">
        <v>3945</v>
      </c>
      <c r="C1280" s="528" t="s">
        <v>3946</v>
      </c>
      <c r="D1280" s="528" t="s">
        <v>264</v>
      </c>
      <c r="E1280" s="528"/>
      <c r="F1280" s="528"/>
      <c r="G1280" s="528" t="s">
        <v>205</v>
      </c>
      <c r="H1280"/>
    </row>
    <row r="1281" spans="1:8" x14ac:dyDescent="0.35">
      <c r="A1281" s="528" t="s">
        <v>3947</v>
      </c>
      <c r="B1281" s="528" t="s">
        <v>3948</v>
      </c>
      <c r="C1281" s="528" t="s">
        <v>3324</v>
      </c>
      <c r="D1281" s="528" t="s">
        <v>277</v>
      </c>
      <c r="E1281" s="528"/>
      <c r="F1281" s="528"/>
      <c r="G1281" s="528" t="s">
        <v>205</v>
      </c>
      <c r="H1281"/>
    </row>
    <row r="1282" spans="1:8" x14ac:dyDescent="0.35">
      <c r="A1282" s="528" t="s">
        <v>3949</v>
      </c>
      <c r="B1282" s="528" t="s">
        <v>3950</v>
      </c>
      <c r="C1282" s="528" t="s">
        <v>1297</v>
      </c>
      <c r="D1282" s="528" t="s">
        <v>251</v>
      </c>
      <c r="E1282" s="528"/>
      <c r="F1282" s="528"/>
      <c r="G1282" s="528" t="s">
        <v>205</v>
      </c>
      <c r="H1282"/>
    </row>
    <row r="1283" spans="1:8" x14ac:dyDescent="0.35">
      <c r="A1283" s="528" t="s">
        <v>3951</v>
      </c>
      <c r="B1283" s="528" t="s">
        <v>3952</v>
      </c>
      <c r="C1283" s="528" t="s">
        <v>3953</v>
      </c>
      <c r="D1283" s="528" t="s">
        <v>251</v>
      </c>
      <c r="E1283" s="528"/>
      <c r="F1283" s="528"/>
      <c r="G1283" s="528" t="s">
        <v>205</v>
      </c>
      <c r="H1283"/>
    </row>
    <row r="1284" spans="1:8" x14ac:dyDescent="0.35">
      <c r="A1284" s="528" t="s">
        <v>3954</v>
      </c>
      <c r="B1284" s="528" t="s">
        <v>3955</v>
      </c>
      <c r="C1284" s="528" t="s">
        <v>2601</v>
      </c>
      <c r="D1284" s="528" t="s">
        <v>238</v>
      </c>
      <c r="E1284" s="528"/>
      <c r="F1284" s="528"/>
      <c r="G1284" s="528" t="s">
        <v>205</v>
      </c>
      <c r="H1284"/>
    </row>
    <row r="1285" spans="1:8" x14ac:dyDescent="0.35">
      <c r="A1285" s="528" t="s">
        <v>3956</v>
      </c>
      <c r="B1285" s="528" t="s">
        <v>3957</v>
      </c>
      <c r="C1285" s="528" t="s">
        <v>3958</v>
      </c>
      <c r="D1285" s="528" t="s">
        <v>225</v>
      </c>
      <c r="E1285" s="528"/>
      <c r="F1285" s="528"/>
      <c r="G1285" s="528" t="s">
        <v>208</v>
      </c>
      <c r="H1285"/>
    </row>
    <row r="1286" spans="1:8" x14ac:dyDescent="0.35">
      <c r="A1286" s="528" t="s">
        <v>3959</v>
      </c>
      <c r="B1286" s="528" t="s">
        <v>3960</v>
      </c>
      <c r="C1286" s="528" t="s">
        <v>3961</v>
      </c>
      <c r="D1286" s="528" t="s">
        <v>264</v>
      </c>
      <c r="E1286" s="528"/>
      <c r="F1286" s="528"/>
      <c r="G1286" s="528" t="s">
        <v>208</v>
      </c>
      <c r="H1286"/>
    </row>
    <row r="1287" spans="1:8" x14ac:dyDescent="0.35">
      <c r="A1287" s="528" t="s">
        <v>3962</v>
      </c>
      <c r="B1287" s="528" t="s">
        <v>3963</v>
      </c>
      <c r="C1287" s="528" t="s">
        <v>3964</v>
      </c>
      <c r="D1287" s="528" t="s">
        <v>277</v>
      </c>
      <c r="E1287" s="528"/>
      <c r="F1287" s="528"/>
      <c r="G1287" s="528" t="s">
        <v>205</v>
      </c>
      <c r="H1287"/>
    </row>
    <row r="1288" spans="1:8" x14ac:dyDescent="0.35">
      <c r="A1288" s="528" t="s">
        <v>3965</v>
      </c>
      <c r="B1288" s="528" t="s">
        <v>3966</v>
      </c>
      <c r="C1288" s="528" t="s">
        <v>3967</v>
      </c>
      <c r="D1288" s="528" t="s">
        <v>225</v>
      </c>
      <c r="E1288" s="528"/>
      <c r="F1288" s="528"/>
      <c r="G1288" s="528" t="s">
        <v>205</v>
      </c>
      <c r="H1288"/>
    </row>
    <row r="1289" spans="1:8" x14ac:dyDescent="0.35">
      <c r="A1289" s="528" t="s">
        <v>3968</v>
      </c>
      <c r="B1289" s="528" t="s">
        <v>3969</v>
      </c>
      <c r="C1289" s="528" t="s">
        <v>3970</v>
      </c>
      <c r="D1289" s="528" t="s">
        <v>277</v>
      </c>
      <c r="E1289" s="528"/>
      <c r="F1289" s="528"/>
      <c r="G1289" s="528" t="s">
        <v>208</v>
      </c>
      <c r="H1289"/>
    </row>
    <row r="1290" spans="1:8" x14ac:dyDescent="0.35">
      <c r="A1290" s="528" t="s">
        <v>3971</v>
      </c>
      <c r="B1290" s="528" t="s">
        <v>3972</v>
      </c>
      <c r="C1290" s="528" t="s">
        <v>1017</v>
      </c>
      <c r="D1290" s="528" t="s">
        <v>251</v>
      </c>
      <c r="E1290" s="528"/>
      <c r="F1290" s="528"/>
      <c r="G1290" s="528" t="s">
        <v>208</v>
      </c>
      <c r="H1290"/>
    </row>
    <row r="1291" spans="1:8" x14ac:dyDescent="0.35">
      <c r="A1291" s="528" t="s">
        <v>3973</v>
      </c>
      <c r="B1291" s="528" t="s">
        <v>3974</v>
      </c>
      <c r="C1291" s="528" t="s">
        <v>3975</v>
      </c>
      <c r="D1291" s="528" t="s">
        <v>277</v>
      </c>
      <c r="E1291" s="528"/>
      <c r="F1291" s="528"/>
      <c r="G1291" s="528" t="s">
        <v>205</v>
      </c>
      <c r="H1291"/>
    </row>
    <row r="1292" spans="1:8" x14ac:dyDescent="0.35">
      <c r="A1292" s="528" t="s">
        <v>3976</v>
      </c>
      <c r="B1292" s="528" t="s">
        <v>3977</v>
      </c>
      <c r="C1292" s="528" t="s">
        <v>3978</v>
      </c>
      <c r="D1292" s="528" t="s">
        <v>251</v>
      </c>
      <c r="E1292" s="528"/>
      <c r="F1292" s="528"/>
      <c r="G1292" s="528" t="s">
        <v>205</v>
      </c>
      <c r="H1292"/>
    </row>
    <row r="1293" spans="1:8" x14ac:dyDescent="0.35">
      <c r="A1293" s="528" t="s">
        <v>3979</v>
      </c>
      <c r="B1293" s="528" t="s">
        <v>3980</v>
      </c>
      <c r="C1293" s="528" t="s">
        <v>3981</v>
      </c>
      <c r="D1293" s="528" t="s">
        <v>277</v>
      </c>
      <c r="E1293" s="528"/>
      <c r="F1293" s="528"/>
      <c r="G1293" s="528" t="s">
        <v>205</v>
      </c>
      <c r="H1293"/>
    </row>
    <row r="1294" spans="1:8" x14ac:dyDescent="0.35">
      <c r="A1294" s="528" t="s">
        <v>3982</v>
      </c>
      <c r="B1294" s="528" t="s">
        <v>3983</v>
      </c>
      <c r="C1294" s="528" t="s">
        <v>3984</v>
      </c>
      <c r="D1294" s="528" t="s">
        <v>251</v>
      </c>
      <c r="E1294" s="528"/>
      <c r="F1294" s="528"/>
      <c r="G1294" s="528" t="s">
        <v>205</v>
      </c>
      <c r="H1294"/>
    </row>
    <row r="1295" spans="1:8" x14ac:dyDescent="0.35">
      <c r="A1295" s="528" t="s">
        <v>3985</v>
      </c>
      <c r="B1295" s="528" t="s">
        <v>3986</v>
      </c>
      <c r="C1295" s="528" t="s">
        <v>3987</v>
      </c>
      <c r="D1295" s="528" t="s">
        <v>251</v>
      </c>
      <c r="E1295" s="528"/>
      <c r="F1295" s="528"/>
      <c r="G1295" s="528" t="s">
        <v>205</v>
      </c>
      <c r="H1295"/>
    </row>
    <row r="1296" spans="1:8" x14ac:dyDescent="0.35">
      <c r="A1296" s="528" t="s">
        <v>3988</v>
      </c>
      <c r="B1296" s="528" t="s">
        <v>3989</v>
      </c>
      <c r="C1296" s="528" t="s">
        <v>1510</v>
      </c>
      <c r="D1296" s="528" t="s">
        <v>264</v>
      </c>
      <c r="E1296" s="528"/>
      <c r="F1296" s="528"/>
      <c r="G1296" s="528" t="s">
        <v>205</v>
      </c>
      <c r="H1296"/>
    </row>
    <row r="1297" spans="1:8" x14ac:dyDescent="0.35">
      <c r="A1297" s="528" t="s">
        <v>3990</v>
      </c>
      <c r="B1297" s="528" t="s">
        <v>3991</v>
      </c>
      <c r="C1297" s="528" t="s">
        <v>3992</v>
      </c>
      <c r="D1297" s="528" t="s">
        <v>251</v>
      </c>
      <c r="E1297" s="528"/>
      <c r="F1297" s="528"/>
      <c r="G1297" s="528" t="s">
        <v>205</v>
      </c>
      <c r="H1297"/>
    </row>
    <row r="1298" spans="1:8" x14ac:dyDescent="0.35">
      <c r="A1298" s="528" t="s">
        <v>3993</v>
      </c>
      <c r="B1298" s="528" t="s">
        <v>3994</v>
      </c>
      <c r="C1298" s="528" t="s">
        <v>3324</v>
      </c>
      <c r="D1298" s="528" t="s">
        <v>277</v>
      </c>
      <c r="E1298" s="528"/>
      <c r="F1298" s="528"/>
      <c r="G1298" s="528" t="s">
        <v>205</v>
      </c>
      <c r="H1298"/>
    </row>
    <row r="1299" spans="1:8" x14ac:dyDescent="0.35">
      <c r="A1299" s="528" t="s">
        <v>3995</v>
      </c>
      <c r="B1299" s="528" t="s">
        <v>3996</v>
      </c>
      <c r="C1299" s="528" t="s">
        <v>3997</v>
      </c>
      <c r="D1299" s="528" t="s">
        <v>225</v>
      </c>
      <c r="E1299" s="528"/>
      <c r="F1299" s="528"/>
      <c r="G1299" s="528" t="s">
        <v>205</v>
      </c>
      <c r="H1299"/>
    </row>
    <row r="1300" spans="1:8" x14ac:dyDescent="0.35">
      <c r="A1300" s="528" t="s">
        <v>3998</v>
      </c>
      <c r="B1300" s="528" t="s">
        <v>3999</v>
      </c>
      <c r="C1300" s="528" t="s">
        <v>4000</v>
      </c>
      <c r="D1300" s="528" t="s">
        <v>277</v>
      </c>
      <c r="E1300" s="528"/>
      <c r="F1300" s="528"/>
      <c r="G1300" s="528" t="s">
        <v>205</v>
      </c>
      <c r="H1300"/>
    </row>
    <row r="1301" spans="1:8" x14ac:dyDescent="0.35">
      <c r="A1301" s="528" t="s">
        <v>4001</v>
      </c>
      <c r="B1301" s="528" t="s">
        <v>4002</v>
      </c>
      <c r="C1301" s="528" t="s">
        <v>4003</v>
      </c>
      <c r="D1301" s="528" t="s">
        <v>251</v>
      </c>
      <c r="E1301" s="528"/>
      <c r="F1301" s="528"/>
      <c r="G1301" s="528" t="s">
        <v>205</v>
      </c>
      <c r="H1301"/>
    </row>
    <row r="1302" spans="1:8" x14ac:dyDescent="0.35">
      <c r="A1302" s="528" t="s">
        <v>4004</v>
      </c>
      <c r="B1302" s="528" t="s">
        <v>4005</v>
      </c>
      <c r="C1302" s="528" t="s">
        <v>4006</v>
      </c>
      <c r="D1302" s="528" t="s">
        <v>225</v>
      </c>
      <c r="E1302" s="528"/>
      <c r="F1302" s="528"/>
      <c r="G1302" s="528" t="s">
        <v>205</v>
      </c>
      <c r="H1302"/>
    </row>
    <row r="1303" spans="1:8" x14ac:dyDescent="0.35">
      <c r="A1303" s="528" t="s">
        <v>4007</v>
      </c>
      <c r="B1303" s="528" t="s">
        <v>4008</v>
      </c>
      <c r="C1303" s="528" t="s">
        <v>4009</v>
      </c>
      <c r="D1303" s="528" t="s">
        <v>238</v>
      </c>
      <c r="E1303" s="528"/>
      <c r="F1303" s="528"/>
      <c r="G1303" s="528" t="s">
        <v>205</v>
      </c>
      <c r="H1303"/>
    </row>
    <row r="1304" spans="1:8" x14ac:dyDescent="0.35">
      <c r="A1304" s="528" t="s">
        <v>4010</v>
      </c>
      <c r="B1304" s="528" t="s">
        <v>4011</v>
      </c>
      <c r="C1304" s="528" t="s">
        <v>1934</v>
      </c>
      <c r="D1304" s="528" t="s">
        <v>251</v>
      </c>
      <c r="E1304" s="528"/>
      <c r="F1304" s="528"/>
      <c r="G1304" s="528" t="s">
        <v>205</v>
      </c>
      <c r="H1304"/>
    </row>
    <row r="1305" spans="1:8" x14ac:dyDescent="0.35">
      <c r="A1305" s="528" t="s">
        <v>4012</v>
      </c>
      <c r="B1305" s="528" t="s">
        <v>4013</v>
      </c>
      <c r="C1305" s="528" t="s">
        <v>4014</v>
      </c>
      <c r="D1305" s="528" t="s">
        <v>277</v>
      </c>
      <c r="E1305" s="528"/>
      <c r="F1305" s="528"/>
      <c r="G1305" s="528" t="s">
        <v>205</v>
      </c>
      <c r="H1305"/>
    </row>
    <row r="1306" spans="1:8" x14ac:dyDescent="0.35">
      <c r="A1306" s="528" t="s">
        <v>4015</v>
      </c>
      <c r="B1306" s="528" t="s">
        <v>4016</v>
      </c>
      <c r="C1306" s="528" t="s">
        <v>4017</v>
      </c>
      <c r="D1306" s="528" t="s">
        <v>264</v>
      </c>
      <c r="E1306" s="528"/>
      <c r="F1306" s="528"/>
      <c r="G1306" s="528" t="s">
        <v>208</v>
      </c>
      <c r="H1306"/>
    </row>
    <row r="1307" spans="1:8" x14ac:dyDescent="0.35">
      <c r="A1307" s="528" t="s">
        <v>4018</v>
      </c>
      <c r="B1307" s="528" t="s">
        <v>4019</v>
      </c>
      <c r="C1307" s="528" t="s">
        <v>4020</v>
      </c>
      <c r="D1307" s="528" t="s">
        <v>264</v>
      </c>
      <c r="E1307" s="528"/>
      <c r="F1307" s="528"/>
      <c r="G1307" s="528" t="s">
        <v>205</v>
      </c>
      <c r="H1307"/>
    </row>
    <row r="1308" spans="1:8" x14ac:dyDescent="0.35">
      <c r="A1308" s="528" t="s">
        <v>4021</v>
      </c>
      <c r="B1308" s="528" t="s">
        <v>4022</v>
      </c>
      <c r="C1308" s="528" t="s">
        <v>4023</v>
      </c>
      <c r="D1308" s="528" t="s">
        <v>277</v>
      </c>
      <c r="E1308" s="528"/>
      <c r="F1308" s="528"/>
      <c r="G1308" s="528" t="s">
        <v>205</v>
      </c>
      <c r="H1308"/>
    </row>
    <row r="1309" spans="1:8" x14ac:dyDescent="0.35">
      <c r="A1309" s="528" t="s">
        <v>4024</v>
      </c>
      <c r="B1309" s="528" t="s">
        <v>4025</v>
      </c>
      <c r="C1309" s="528" t="s">
        <v>4026</v>
      </c>
      <c r="D1309" s="528" t="s">
        <v>251</v>
      </c>
      <c r="E1309" s="528"/>
      <c r="F1309" s="528"/>
      <c r="G1309" s="528" t="s">
        <v>205</v>
      </c>
      <c r="H1309"/>
    </row>
    <row r="1310" spans="1:8" x14ac:dyDescent="0.35">
      <c r="A1310" s="528" t="s">
        <v>4027</v>
      </c>
      <c r="B1310" s="528" t="s">
        <v>4028</v>
      </c>
      <c r="C1310" s="528" t="s">
        <v>1695</v>
      </c>
      <c r="D1310" s="528" t="s">
        <v>264</v>
      </c>
      <c r="E1310" s="528"/>
      <c r="F1310" s="528"/>
      <c r="G1310" s="528" t="s">
        <v>205</v>
      </c>
      <c r="H1310"/>
    </row>
    <row r="1311" spans="1:8" x14ac:dyDescent="0.35">
      <c r="A1311" s="528" t="s">
        <v>4029</v>
      </c>
      <c r="B1311" s="528" t="s">
        <v>4030</v>
      </c>
      <c r="C1311" s="528" t="s">
        <v>4031</v>
      </c>
      <c r="D1311" s="528" t="s">
        <v>238</v>
      </c>
      <c r="E1311" s="528"/>
      <c r="F1311" s="528"/>
      <c r="G1311" s="528" t="s">
        <v>205</v>
      </c>
      <c r="H1311"/>
    </row>
    <row r="1312" spans="1:8" x14ac:dyDescent="0.35">
      <c r="A1312" s="528" t="s">
        <v>4032</v>
      </c>
      <c r="B1312" s="528" t="s">
        <v>4033</v>
      </c>
      <c r="C1312" s="528" t="s">
        <v>4034</v>
      </c>
      <c r="D1312" s="528" t="s">
        <v>251</v>
      </c>
      <c r="E1312" s="528"/>
      <c r="F1312" s="528"/>
      <c r="G1312" s="528" t="s">
        <v>205</v>
      </c>
      <c r="H1312"/>
    </row>
    <row r="1313" spans="1:8" x14ac:dyDescent="0.35">
      <c r="A1313" s="528" t="s">
        <v>4035</v>
      </c>
      <c r="B1313" s="528" t="s">
        <v>4036</v>
      </c>
      <c r="C1313" s="528" t="s">
        <v>4037</v>
      </c>
      <c r="D1313" s="528" t="s">
        <v>264</v>
      </c>
      <c r="E1313" s="528"/>
      <c r="F1313" s="528"/>
      <c r="G1313" s="528" t="s">
        <v>205</v>
      </c>
      <c r="H1313"/>
    </row>
    <row r="1314" spans="1:8" x14ac:dyDescent="0.35">
      <c r="A1314" s="528" t="s">
        <v>4038</v>
      </c>
      <c r="B1314" s="528" t="s">
        <v>4039</v>
      </c>
      <c r="C1314" s="528" t="s">
        <v>4040</v>
      </c>
      <c r="D1314" s="528" t="s">
        <v>264</v>
      </c>
      <c r="E1314" s="528"/>
      <c r="F1314" s="528"/>
      <c r="G1314" s="528" t="s">
        <v>205</v>
      </c>
      <c r="H1314"/>
    </row>
    <row r="1315" spans="1:8" x14ac:dyDescent="0.35">
      <c r="A1315" s="528" t="s">
        <v>4041</v>
      </c>
      <c r="B1315" s="528" t="s">
        <v>4042</v>
      </c>
      <c r="C1315" s="528" t="s">
        <v>4043</v>
      </c>
      <c r="D1315" s="528" t="s">
        <v>225</v>
      </c>
      <c r="E1315" s="528"/>
      <c r="F1315" s="528"/>
      <c r="G1315" s="528" t="s">
        <v>205</v>
      </c>
      <c r="H1315"/>
    </row>
    <row r="1316" spans="1:8" x14ac:dyDescent="0.35">
      <c r="A1316" s="528" t="s">
        <v>4044</v>
      </c>
      <c r="B1316" s="528" t="s">
        <v>4045</v>
      </c>
      <c r="C1316" s="528" t="s">
        <v>4046</v>
      </c>
      <c r="D1316" s="528" t="s">
        <v>238</v>
      </c>
      <c r="E1316" s="528"/>
      <c r="F1316" s="528"/>
      <c r="G1316" s="528" t="s">
        <v>205</v>
      </c>
      <c r="H1316"/>
    </row>
    <row r="1317" spans="1:8" x14ac:dyDescent="0.35">
      <c r="A1317" s="528" t="s">
        <v>4047</v>
      </c>
      <c r="B1317" s="528" t="s">
        <v>4048</v>
      </c>
      <c r="C1317" s="528" t="s">
        <v>4049</v>
      </c>
      <c r="D1317" s="528" t="s">
        <v>251</v>
      </c>
      <c r="E1317" s="528"/>
      <c r="F1317" s="528"/>
      <c r="G1317" s="528" t="s">
        <v>208</v>
      </c>
      <c r="H1317"/>
    </row>
    <row r="1318" spans="1:8" x14ac:dyDescent="0.35">
      <c r="A1318" s="528" t="s">
        <v>4050</v>
      </c>
      <c r="B1318" s="528" t="s">
        <v>4051</v>
      </c>
      <c r="C1318" s="528" t="s">
        <v>4052</v>
      </c>
      <c r="D1318" s="528" t="s">
        <v>277</v>
      </c>
      <c r="E1318" s="528"/>
      <c r="F1318" s="528"/>
      <c r="G1318" s="528" t="s">
        <v>208</v>
      </c>
      <c r="H1318"/>
    </row>
    <row r="1319" spans="1:8" x14ac:dyDescent="0.35">
      <c r="A1319" s="528" t="s">
        <v>4053</v>
      </c>
      <c r="B1319" s="528" t="s">
        <v>4054</v>
      </c>
      <c r="C1319" s="528" t="s">
        <v>4055</v>
      </c>
      <c r="D1319" s="528" t="s">
        <v>264</v>
      </c>
      <c r="E1319" s="528"/>
      <c r="F1319" s="528"/>
      <c r="G1319" s="528" t="s">
        <v>208</v>
      </c>
      <c r="H1319"/>
    </row>
    <row r="1320" spans="1:8" x14ac:dyDescent="0.35">
      <c r="A1320" s="528" t="s">
        <v>4056</v>
      </c>
      <c r="B1320" s="528" t="s">
        <v>4057</v>
      </c>
      <c r="C1320" s="528" t="s">
        <v>4058</v>
      </c>
      <c r="D1320" s="528" t="s">
        <v>264</v>
      </c>
      <c r="E1320" s="528"/>
      <c r="F1320" s="528"/>
      <c r="G1320" s="528" t="s">
        <v>208</v>
      </c>
      <c r="H1320"/>
    </row>
    <row r="1321" spans="1:8" x14ac:dyDescent="0.35">
      <c r="A1321" s="528" t="s">
        <v>4059</v>
      </c>
      <c r="B1321" s="528" t="s">
        <v>4060</v>
      </c>
      <c r="C1321" s="528" t="s">
        <v>4061</v>
      </c>
      <c r="D1321" s="528" t="s">
        <v>277</v>
      </c>
      <c r="E1321" s="528"/>
      <c r="F1321" s="528"/>
      <c r="G1321" s="528" t="s">
        <v>208</v>
      </c>
      <c r="H1321"/>
    </row>
    <row r="1322" spans="1:8" x14ac:dyDescent="0.35">
      <c r="A1322" s="528" t="s">
        <v>4062</v>
      </c>
      <c r="B1322" s="528" t="s">
        <v>4063</v>
      </c>
      <c r="C1322" s="528" t="s">
        <v>4064</v>
      </c>
      <c r="D1322" s="528" t="s">
        <v>264</v>
      </c>
      <c r="E1322" s="528"/>
      <c r="F1322" s="528"/>
      <c r="G1322" s="528" t="s">
        <v>208</v>
      </c>
      <c r="H1322"/>
    </row>
    <row r="1323" spans="1:8" x14ac:dyDescent="0.35">
      <c r="A1323" s="528" t="s">
        <v>4065</v>
      </c>
      <c r="B1323" s="528" t="s">
        <v>4066</v>
      </c>
      <c r="C1323" s="528" t="s">
        <v>4067</v>
      </c>
      <c r="D1323" s="528" t="s">
        <v>277</v>
      </c>
      <c r="E1323" s="528"/>
      <c r="F1323" s="528"/>
      <c r="G1323" s="528" t="s">
        <v>208</v>
      </c>
      <c r="H1323"/>
    </row>
    <row r="1324" spans="1:8" x14ac:dyDescent="0.35">
      <c r="A1324" s="528" t="s">
        <v>4068</v>
      </c>
      <c r="B1324" s="528" t="s">
        <v>4069</v>
      </c>
      <c r="C1324" s="528" t="s">
        <v>4070</v>
      </c>
      <c r="D1324" s="528" t="s">
        <v>225</v>
      </c>
      <c r="E1324" s="528"/>
      <c r="F1324" s="528"/>
      <c r="G1324" s="528" t="s">
        <v>208</v>
      </c>
      <c r="H1324"/>
    </row>
    <row r="1325" spans="1:8" x14ac:dyDescent="0.35">
      <c r="A1325" s="528" t="s">
        <v>4071</v>
      </c>
      <c r="B1325" s="528" t="s">
        <v>4072</v>
      </c>
      <c r="C1325" s="528" t="s">
        <v>4073</v>
      </c>
      <c r="D1325" s="528" t="s">
        <v>251</v>
      </c>
      <c r="E1325" s="528"/>
      <c r="F1325" s="528"/>
      <c r="G1325" s="528" t="s">
        <v>208</v>
      </c>
      <c r="H1325"/>
    </row>
    <row r="1326" spans="1:8" x14ac:dyDescent="0.35">
      <c r="A1326" s="528" t="s">
        <v>4074</v>
      </c>
      <c r="B1326" s="528" t="s">
        <v>4075</v>
      </c>
      <c r="C1326" s="528" t="s">
        <v>4076</v>
      </c>
      <c r="D1326" s="528" t="s">
        <v>251</v>
      </c>
      <c r="E1326" s="528"/>
      <c r="F1326" s="528"/>
      <c r="G1326" s="528" t="s">
        <v>208</v>
      </c>
      <c r="H1326"/>
    </row>
    <row r="1327" spans="1:8" x14ac:dyDescent="0.35">
      <c r="A1327" s="528" t="s">
        <v>4077</v>
      </c>
      <c r="B1327" s="528" t="s">
        <v>4078</v>
      </c>
      <c r="C1327" s="528" t="s">
        <v>4079</v>
      </c>
      <c r="D1327" s="528" t="s">
        <v>251</v>
      </c>
      <c r="E1327" s="528"/>
      <c r="F1327" s="528"/>
      <c r="G1327" s="528" t="s">
        <v>208</v>
      </c>
      <c r="H1327"/>
    </row>
    <row r="1328" spans="1:8" x14ac:dyDescent="0.35">
      <c r="A1328" s="528" t="s">
        <v>4080</v>
      </c>
      <c r="B1328" s="528" t="s">
        <v>4081</v>
      </c>
      <c r="C1328" s="528" t="s">
        <v>4082</v>
      </c>
      <c r="D1328" s="528" t="s">
        <v>251</v>
      </c>
      <c r="E1328" s="528"/>
      <c r="F1328" s="528"/>
      <c r="G1328" s="528" t="s">
        <v>205</v>
      </c>
      <c r="H1328"/>
    </row>
    <row r="1329" spans="1:8" x14ac:dyDescent="0.35">
      <c r="A1329" s="528" t="s">
        <v>4083</v>
      </c>
      <c r="B1329" s="528" t="s">
        <v>4084</v>
      </c>
      <c r="C1329" s="528" t="s">
        <v>1477</v>
      </c>
      <c r="D1329" s="528" t="s">
        <v>264</v>
      </c>
      <c r="E1329" s="528"/>
      <c r="F1329" s="528"/>
      <c r="G1329" s="528" t="s">
        <v>205</v>
      </c>
      <c r="H1329"/>
    </row>
    <row r="1330" spans="1:8" x14ac:dyDescent="0.35">
      <c r="A1330" s="528" t="s">
        <v>4085</v>
      </c>
      <c r="B1330" s="528" t="s">
        <v>4086</v>
      </c>
      <c r="C1330" s="528" t="s">
        <v>3898</v>
      </c>
      <c r="D1330" s="528" t="s">
        <v>277</v>
      </c>
      <c r="E1330" s="528"/>
      <c r="F1330" s="528"/>
      <c r="G1330" s="528" t="s">
        <v>205</v>
      </c>
      <c r="H1330"/>
    </row>
    <row r="1331" spans="1:8" x14ac:dyDescent="0.35">
      <c r="A1331" s="528" t="s">
        <v>4087</v>
      </c>
      <c r="B1331" s="528" t="s">
        <v>4088</v>
      </c>
      <c r="C1331" s="528" t="s">
        <v>4089</v>
      </c>
      <c r="D1331" s="528" t="s">
        <v>277</v>
      </c>
      <c r="E1331" s="528"/>
      <c r="F1331" s="528"/>
      <c r="G1331" s="528" t="s">
        <v>205</v>
      </c>
      <c r="H1331"/>
    </row>
    <row r="1332" spans="1:8" x14ac:dyDescent="0.35">
      <c r="A1332" s="528" t="s">
        <v>4090</v>
      </c>
      <c r="B1332" s="528" t="s">
        <v>4091</v>
      </c>
      <c r="C1332" s="528" t="s">
        <v>4092</v>
      </c>
      <c r="D1332" s="528" t="s">
        <v>277</v>
      </c>
      <c r="E1332" s="528"/>
      <c r="F1332" s="528"/>
      <c r="G1332" s="528" t="s">
        <v>205</v>
      </c>
      <c r="H1332"/>
    </row>
    <row r="1333" spans="1:8" x14ac:dyDescent="0.35">
      <c r="A1333" s="528" t="s">
        <v>4093</v>
      </c>
      <c r="B1333" s="528" t="s">
        <v>4094</v>
      </c>
      <c r="C1333" s="528" t="s">
        <v>4095</v>
      </c>
      <c r="D1333" s="528" t="s">
        <v>277</v>
      </c>
      <c r="E1333" s="528"/>
      <c r="F1333" s="528"/>
      <c r="G1333" s="528" t="s">
        <v>208</v>
      </c>
      <c r="H1333"/>
    </row>
    <row r="1334" spans="1:8" x14ac:dyDescent="0.35">
      <c r="A1334" s="528" t="s">
        <v>4096</v>
      </c>
      <c r="B1334" s="528" t="s">
        <v>4097</v>
      </c>
      <c r="C1334" s="528" t="s">
        <v>4098</v>
      </c>
      <c r="D1334" s="528" t="s">
        <v>264</v>
      </c>
      <c r="E1334" s="528"/>
      <c r="F1334" s="528"/>
      <c r="G1334" s="528" t="s">
        <v>205</v>
      </c>
      <c r="H1334"/>
    </row>
    <row r="1335" spans="1:8" x14ac:dyDescent="0.35">
      <c r="A1335" s="528" t="s">
        <v>4099</v>
      </c>
      <c r="B1335" s="528" t="s">
        <v>4100</v>
      </c>
      <c r="C1335" s="528" t="s">
        <v>4020</v>
      </c>
      <c r="D1335" s="528" t="s">
        <v>264</v>
      </c>
      <c r="E1335" s="528"/>
      <c r="F1335" s="528"/>
      <c r="G1335" s="528" t="s">
        <v>205</v>
      </c>
      <c r="H1335"/>
    </row>
    <row r="1336" spans="1:8" x14ac:dyDescent="0.35">
      <c r="A1336" s="528" t="s">
        <v>4101</v>
      </c>
      <c r="B1336" s="528" t="s">
        <v>4102</v>
      </c>
      <c r="C1336" s="528" t="s">
        <v>2912</v>
      </c>
      <c r="D1336" s="528" t="s">
        <v>225</v>
      </c>
      <c r="E1336" s="528"/>
      <c r="F1336" s="528"/>
      <c r="G1336" s="528" t="s">
        <v>205</v>
      </c>
      <c r="H1336"/>
    </row>
    <row r="1337" spans="1:8" x14ac:dyDescent="0.35">
      <c r="A1337" s="528" t="s">
        <v>4103</v>
      </c>
      <c r="B1337" s="528" t="s">
        <v>4104</v>
      </c>
      <c r="C1337" s="528" t="s">
        <v>4105</v>
      </c>
      <c r="D1337" s="528" t="s">
        <v>225</v>
      </c>
      <c r="E1337" s="528"/>
      <c r="F1337" s="528"/>
      <c r="G1337" s="528" t="s">
        <v>205</v>
      </c>
      <c r="H1337"/>
    </row>
    <row r="1338" spans="1:8" x14ac:dyDescent="0.35">
      <c r="A1338" s="528" t="s">
        <v>4106</v>
      </c>
      <c r="B1338" s="528" t="s">
        <v>4107</v>
      </c>
      <c r="C1338" s="528" t="s">
        <v>4108</v>
      </c>
      <c r="D1338" s="528" t="s">
        <v>277</v>
      </c>
      <c r="E1338" s="528"/>
      <c r="F1338" s="528"/>
      <c r="G1338" s="528" t="s">
        <v>205</v>
      </c>
      <c r="H1338"/>
    </row>
    <row r="1339" spans="1:8" x14ac:dyDescent="0.35">
      <c r="A1339" s="528" t="s">
        <v>4109</v>
      </c>
      <c r="B1339" s="528" t="s">
        <v>4110</v>
      </c>
      <c r="C1339" s="528" t="s">
        <v>4111</v>
      </c>
      <c r="D1339" s="528" t="s">
        <v>238</v>
      </c>
      <c r="E1339" s="528"/>
      <c r="F1339" s="528"/>
      <c r="G1339" s="528" t="s">
        <v>205</v>
      </c>
      <c r="H1339"/>
    </row>
    <row r="1340" spans="1:8" x14ac:dyDescent="0.35">
      <c r="A1340" s="528" t="s">
        <v>4112</v>
      </c>
      <c r="B1340" s="528" t="s">
        <v>4113</v>
      </c>
      <c r="C1340" s="528" t="s">
        <v>4114</v>
      </c>
      <c r="D1340" s="528" t="s">
        <v>277</v>
      </c>
      <c r="E1340" s="528"/>
      <c r="F1340" s="528"/>
      <c r="G1340" s="528" t="s">
        <v>205</v>
      </c>
      <c r="H1340"/>
    </row>
    <row r="1341" spans="1:8" x14ac:dyDescent="0.35">
      <c r="A1341" s="528" t="s">
        <v>4115</v>
      </c>
      <c r="B1341" s="528" t="s">
        <v>4116</v>
      </c>
      <c r="C1341" s="528" t="s">
        <v>4117</v>
      </c>
      <c r="D1341" s="528" t="s">
        <v>277</v>
      </c>
      <c r="E1341" s="528"/>
      <c r="F1341" s="528"/>
      <c r="G1341" s="528" t="s">
        <v>205</v>
      </c>
      <c r="H1341"/>
    </row>
    <row r="1342" spans="1:8" x14ac:dyDescent="0.35">
      <c r="A1342" s="528" t="s">
        <v>4118</v>
      </c>
      <c r="B1342" s="528" t="s">
        <v>4119</v>
      </c>
      <c r="C1342" s="528" t="s">
        <v>4120</v>
      </c>
      <c r="D1342" s="528" t="s">
        <v>277</v>
      </c>
      <c r="E1342" s="528"/>
      <c r="F1342" s="528"/>
      <c r="G1342" s="528" t="s">
        <v>205</v>
      </c>
      <c r="H1342"/>
    </row>
    <row r="1343" spans="1:8" x14ac:dyDescent="0.35">
      <c r="A1343" s="528" t="s">
        <v>4121</v>
      </c>
      <c r="B1343" s="528" t="s">
        <v>4122</v>
      </c>
      <c r="C1343" s="528" t="s">
        <v>4123</v>
      </c>
      <c r="D1343" s="528" t="s">
        <v>277</v>
      </c>
      <c r="E1343" s="528"/>
      <c r="F1343" s="528"/>
      <c r="G1343" s="528" t="s">
        <v>205</v>
      </c>
      <c r="H1343"/>
    </row>
    <row r="1344" spans="1:8" x14ac:dyDescent="0.35">
      <c r="A1344" s="528" t="s">
        <v>4124</v>
      </c>
      <c r="B1344" s="528" t="s">
        <v>4125</v>
      </c>
      <c r="C1344" s="528" t="s">
        <v>4126</v>
      </c>
      <c r="D1344" s="528" t="s">
        <v>238</v>
      </c>
      <c r="E1344" s="528"/>
      <c r="F1344" s="528"/>
      <c r="G1344" s="528" t="s">
        <v>205</v>
      </c>
      <c r="H1344"/>
    </row>
    <row r="1345" spans="1:8" x14ac:dyDescent="0.35">
      <c r="A1345" s="528" t="s">
        <v>4127</v>
      </c>
      <c r="B1345" s="528" t="s">
        <v>4128</v>
      </c>
      <c r="C1345" s="528" t="s">
        <v>4129</v>
      </c>
      <c r="D1345" s="528" t="s">
        <v>277</v>
      </c>
      <c r="E1345" s="528"/>
      <c r="F1345" s="528"/>
      <c r="G1345" s="528" t="s">
        <v>205</v>
      </c>
      <c r="H1345"/>
    </row>
    <row r="1346" spans="1:8" x14ac:dyDescent="0.35">
      <c r="A1346" s="528" t="s">
        <v>4130</v>
      </c>
      <c r="B1346" s="528" t="s">
        <v>4131</v>
      </c>
      <c r="C1346" s="528" t="s">
        <v>4132</v>
      </c>
      <c r="D1346" s="528" t="s">
        <v>264</v>
      </c>
      <c r="E1346" s="528"/>
      <c r="F1346" s="528"/>
      <c r="G1346" s="528" t="s">
        <v>205</v>
      </c>
      <c r="H1346"/>
    </row>
    <row r="1347" spans="1:8" x14ac:dyDescent="0.35">
      <c r="A1347" s="528" t="s">
        <v>4133</v>
      </c>
      <c r="B1347" s="528" t="s">
        <v>4134</v>
      </c>
      <c r="C1347" s="528" t="s">
        <v>4135</v>
      </c>
      <c r="D1347" s="528" t="s">
        <v>264</v>
      </c>
      <c r="E1347" s="528"/>
      <c r="F1347" s="528"/>
      <c r="G1347" s="528" t="s">
        <v>205</v>
      </c>
      <c r="H1347"/>
    </row>
    <row r="1348" spans="1:8" x14ac:dyDescent="0.35">
      <c r="A1348" s="528" t="s">
        <v>4136</v>
      </c>
      <c r="B1348" s="528" t="s">
        <v>4137</v>
      </c>
      <c r="C1348" s="528" t="s">
        <v>4138</v>
      </c>
      <c r="D1348" s="528" t="s">
        <v>264</v>
      </c>
      <c r="E1348" s="528"/>
      <c r="F1348" s="528"/>
      <c r="G1348" s="528" t="s">
        <v>205</v>
      </c>
      <c r="H1348"/>
    </row>
    <row r="1349" spans="1:8" x14ac:dyDescent="0.35">
      <c r="A1349" s="528" t="s">
        <v>4139</v>
      </c>
      <c r="B1349" s="528" t="s">
        <v>4140</v>
      </c>
      <c r="C1349" s="528" t="s">
        <v>4141</v>
      </c>
      <c r="D1349" s="528" t="s">
        <v>277</v>
      </c>
      <c r="E1349" s="528"/>
      <c r="F1349" s="528"/>
      <c r="G1349" s="528" t="s">
        <v>205</v>
      </c>
      <c r="H1349"/>
    </row>
    <row r="1350" spans="1:8" x14ac:dyDescent="0.35">
      <c r="A1350" s="528" t="s">
        <v>4142</v>
      </c>
      <c r="B1350" s="528" t="s">
        <v>4143</v>
      </c>
      <c r="C1350" s="528" t="s">
        <v>4144</v>
      </c>
      <c r="D1350" s="528" t="s">
        <v>277</v>
      </c>
      <c r="E1350" s="528"/>
      <c r="F1350" s="528"/>
      <c r="G1350" s="528" t="s">
        <v>205</v>
      </c>
      <c r="H1350"/>
    </row>
    <row r="1351" spans="1:8" x14ac:dyDescent="0.35">
      <c r="A1351" s="528" t="s">
        <v>4145</v>
      </c>
      <c r="B1351" s="528" t="s">
        <v>4146</v>
      </c>
      <c r="C1351" s="528" t="s">
        <v>4147</v>
      </c>
      <c r="D1351" s="528" t="s">
        <v>277</v>
      </c>
      <c r="E1351" s="528"/>
      <c r="F1351" s="528"/>
      <c r="G1351" s="528" t="s">
        <v>205</v>
      </c>
      <c r="H1351"/>
    </row>
    <row r="1352" spans="1:8" x14ac:dyDescent="0.35">
      <c r="A1352" s="528" t="s">
        <v>4148</v>
      </c>
      <c r="B1352" s="528" t="s">
        <v>4149</v>
      </c>
      <c r="C1352" s="528" t="s">
        <v>4150</v>
      </c>
      <c r="D1352" s="528" t="s">
        <v>277</v>
      </c>
      <c r="E1352" s="528"/>
      <c r="F1352" s="528"/>
      <c r="G1352" s="528" t="s">
        <v>205</v>
      </c>
      <c r="H1352"/>
    </row>
    <row r="1353" spans="1:8" x14ac:dyDescent="0.35">
      <c r="A1353" s="528" t="s">
        <v>4151</v>
      </c>
      <c r="B1353" s="528" t="s">
        <v>4152</v>
      </c>
      <c r="C1353" s="528" t="s">
        <v>4153</v>
      </c>
      <c r="D1353" s="528" t="s">
        <v>277</v>
      </c>
      <c r="E1353" s="528"/>
      <c r="F1353" s="528"/>
      <c r="G1353" s="528" t="s">
        <v>205</v>
      </c>
      <c r="H1353"/>
    </row>
    <row r="1354" spans="1:8" x14ac:dyDescent="0.35">
      <c r="A1354" s="528" t="s">
        <v>4154</v>
      </c>
      <c r="B1354" s="528" t="s">
        <v>4155</v>
      </c>
      <c r="C1354" s="528" t="s">
        <v>4156</v>
      </c>
      <c r="D1354" s="528" t="s">
        <v>238</v>
      </c>
      <c r="E1354" s="528"/>
      <c r="F1354" s="528"/>
      <c r="G1354" s="528" t="s">
        <v>205</v>
      </c>
      <c r="H1354"/>
    </row>
    <row r="1355" spans="1:8" x14ac:dyDescent="0.35">
      <c r="A1355" s="528" t="s">
        <v>4157</v>
      </c>
      <c r="B1355" s="528" t="s">
        <v>4158</v>
      </c>
      <c r="C1355" s="528" t="s">
        <v>4159</v>
      </c>
      <c r="D1355" s="528" t="s">
        <v>264</v>
      </c>
      <c r="E1355" s="528"/>
      <c r="F1355" s="528"/>
      <c r="G1355" s="528" t="s">
        <v>205</v>
      </c>
      <c r="H1355"/>
    </row>
    <row r="1356" spans="1:8" x14ac:dyDescent="0.35">
      <c r="A1356" s="528" t="s">
        <v>4160</v>
      </c>
      <c r="B1356" s="528" t="s">
        <v>4161</v>
      </c>
      <c r="C1356" s="528" t="s">
        <v>4162</v>
      </c>
      <c r="D1356" s="528" t="s">
        <v>264</v>
      </c>
      <c r="E1356" s="528"/>
      <c r="F1356" s="528"/>
      <c r="G1356" s="528" t="s">
        <v>205</v>
      </c>
      <c r="H1356"/>
    </row>
    <row r="1357" spans="1:8" x14ac:dyDescent="0.35">
      <c r="A1357" s="528" t="s">
        <v>4163</v>
      </c>
      <c r="B1357" s="528" t="s">
        <v>4164</v>
      </c>
      <c r="C1357" s="528" t="s">
        <v>4165</v>
      </c>
      <c r="D1357" s="528" t="s">
        <v>264</v>
      </c>
      <c r="E1357" s="528"/>
      <c r="F1357" s="528"/>
      <c r="G1357" s="528" t="s">
        <v>205</v>
      </c>
      <c r="H1357"/>
    </row>
    <row r="1358" spans="1:8" x14ac:dyDescent="0.35">
      <c r="A1358" s="528" t="s">
        <v>4166</v>
      </c>
      <c r="B1358" s="528" t="s">
        <v>4167</v>
      </c>
      <c r="C1358" s="528" t="s">
        <v>2030</v>
      </c>
      <c r="D1358" s="528" t="s">
        <v>251</v>
      </c>
      <c r="E1358" s="528"/>
      <c r="F1358" s="528"/>
      <c r="G1358" s="528" t="s">
        <v>205</v>
      </c>
      <c r="H1358"/>
    </row>
    <row r="1359" spans="1:8" x14ac:dyDescent="0.35">
      <c r="A1359" s="528" t="s">
        <v>4168</v>
      </c>
      <c r="B1359" s="528" t="s">
        <v>4169</v>
      </c>
      <c r="C1359" s="528" t="s">
        <v>4170</v>
      </c>
      <c r="D1359" s="528" t="s">
        <v>264</v>
      </c>
      <c r="E1359" s="528"/>
      <c r="F1359" s="528"/>
      <c r="G1359" s="528" t="s">
        <v>205</v>
      </c>
      <c r="H1359"/>
    </row>
    <row r="1360" spans="1:8" x14ac:dyDescent="0.35">
      <c r="A1360" s="528" t="s">
        <v>4171</v>
      </c>
      <c r="B1360" s="528" t="s">
        <v>4172</v>
      </c>
      <c r="C1360" s="528" t="s">
        <v>4173</v>
      </c>
      <c r="D1360" s="528" t="s">
        <v>264</v>
      </c>
      <c r="E1360" s="528"/>
      <c r="F1360" s="528"/>
      <c r="G1360" s="528" t="s">
        <v>208</v>
      </c>
      <c r="H1360"/>
    </row>
    <row r="1361" spans="1:8" x14ac:dyDescent="0.35">
      <c r="A1361" s="528" t="s">
        <v>4174</v>
      </c>
      <c r="B1361" s="528" t="s">
        <v>4175</v>
      </c>
      <c r="C1361" s="528" t="s">
        <v>4176</v>
      </c>
      <c r="D1361" s="528" t="s">
        <v>264</v>
      </c>
      <c r="E1361" s="528"/>
      <c r="F1361" s="528"/>
      <c r="G1361" s="528" t="s">
        <v>210</v>
      </c>
      <c r="H1361"/>
    </row>
    <row r="1362" spans="1:8" x14ac:dyDescent="0.35">
      <c r="A1362" s="528" t="s">
        <v>4177</v>
      </c>
      <c r="B1362" s="528" t="s">
        <v>4178</v>
      </c>
      <c r="C1362" s="528" t="s">
        <v>4179</v>
      </c>
      <c r="D1362" s="528" t="s">
        <v>277</v>
      </c>
      <c r="E1362" s="528"/>
      <c r="F1362" s="528"/>
      <c r="G1362" s="528" t="s">
        <v>205</v>
      </c>
      <c r="H1362"/>
    </row>
    <row r="1363" spans="1:8" x14ac:dyDescent="0.35">
      <c r="A1363" s="528" t="s">
        <v>4180</v>
      </c>
      <c r="B1363" s="528" t="s">
        <v>4181</v>
      </c>
      <c r="C1363" s="528" t="s">
        <v>4182</v>
      </c>
      <c r="D1363" s="528" t="s">
        <v>277</v>
      </c>
      <c r="E1363" s="528"/>
      <c r="F1363" s="528"/>
      <c r="G1363" s="528" t="s">
        <v>205</v>
      </c>
      <c r="H1363"/>
    </row>
    <row r="1364" spans="1:8" x14ac:dyDescent="0.35">
      <c r="A1364" s="528" t="s">
        <v>4183</v>
      </c>
      <c r="B1364" s="528" t="s">
        <v>4184</v>
      </c>
      <c r="C1364" s="528" t="s">
        <v>4185</v>
      </c>
      <c r="D1364" s="528" t="s">
        <v>251</v>
      </c>
      <c r="E1364" s="528"/>
      <c r="F1364" s="528"/>
      <c r="G1364" s="528" t="s">
        <v>205</v>
      </c>
      <c r="H1364"/>
    </row>
    <row r="1365" spans="1:8" x14ac:dyDescent="0.35">
      <c r="A1365" s="528" t="s">
        <v>4186</v>
      </c>
      <c r="B1365" s="528" t="s">
        <v>4187</v>
      </c>
      <c r="C1365" s="528" t="s">
        <v>4188</v>
      </c>
      <c r="D1365" s="528" t="s">
        <v>225</v>
      </c>
      <c r="E1365" s="528"/>
      <c r="F1365" s="528"/>
      <c r="G1365" s="528" t="s">
        <v>205</v>
      </c>
      <c r="H1365"/>
    </row>
    <row r="1366" spans="1:8" x14ac:dyDescent="0.35">
      <c r="A1366" s="528" t="s">
        <v>4189</v>
      </c>
      <c r="B1366" s="528" t="s">
        <v>4190</v>
      </c>
      <c r="C1366" s="528" t="s">
        <v>4191</v>
      </c>
      <c r="D1366" s="528" t="s">
        <v>225</v>
      </c>
      <c r="E1366" s="528"/>
      <c r="F1366" s="528"/>
      <c r="G1366" s="528" t="s">
        <v>205</v>
      </c>
      <c r="H1366"/>
    </row>
    <row r="1367" spans="1:8" x14ac:dyDescent="0.35">
      <c r="A1367" s="528" t="s">
        <v>4192</v>
      </c>
      <c r="B1367" s="528" t="s">
        <v>4193</v>
      </c>
      <c r="C1367" s="528" t="s">
        <v>4194</v>
      </c>
      <c r="D1367" s="528" t="s">
        <v>277</v>
      </c>
      <c r="E1367" s="528"/>
      <c r="F1367" s="528"/>
      <c r="G1367" s="528" t="s">
        <v>208</v>
      </c>
      <c r="H1367"/>
    </row>
    <row r="1368" spans="1:8" x14ac:dyDescent="0.35">
      <c r="A1368" s="528" t="s">
        <v>4195</v>
      </c>
      <c r="B1368" s="528" t="s">
        <v>4196</v>
      </c>
      <c r="C1368" s="528" t="s">
        <v>4197</v>
      </c>
      <c r="D1368" s="528" t="s">
        <v>264</v>
      </c>
      <c r="E1368" s="528"/>
      <c r="F1368" s="528"/>
      <c r="G1368" s="528" t="s">
        <v>205</v>
      </c>
      <c r="H1368"/>
    </row>
    <row r="1369" spans="1:8" x14ac:dyDescent="0.35">
      <c r="A1369" s="528" t="s">
        <v>4198</v>
      </c>
      <c r="B1369" s="528" t="s">
        <v>4199</v>
      </c>
      <c r="C1369" s="528" t="s">
        <v>4200</v>
      </c>
      <c r="D1369" s="528" t="s">
        <v>225</v>
      </c>
      <c r="E1369" s="528"/>
      <c r="F1369" s="528"/>
      <c r="G1369" s="528" t="s">
        <v>212</v>
      </c>
      <c r="H1369"/>
    </row>
    <row r="1370" spans="1:8" x14ac:dyDescent="0.35">
      <c r="A1370" s="528" t="s">
        <v>4201</v>
      </c>
      <c r="B1370" s="528" t="s">
        <v>4202</v>
      </c>
      <c r="C1370" s="528" t="s">
        <v>1854</v>
      </c>
      <c r="D1370" s="528" t="s">
        <v>277</v>
      </c>
      <c r="E1370" s="528"/>
      <c r="F1370" s="528"/>
      <c r="G1370" s="528" t="s">
        <v>205</v>
      </c>
      <c r="H1370"/>
    </row>
    <row r="1371" spans="1:8" x14ac:dyDescent="0.35">
      <c r="A1371" s="528" t="s">
        <v>4203</v>
      </c>
      <c r="B1371" s="528" t="s">
        <v>4204</v>
      </c>
      <c r="C1371" s="528" t="s">
        <v>4205</v>
      </c>
      <c r="D1371" s="528" t="s">
        <v>277</v>
      </c>
      <c r="E1371" s="528"/>
      <c r="F1371" s="528"/>
      <c r="G1371" s="528" t="s">
        <v>205</v>
      </c>
      <c r="H1371"/>
    </row>
    <row r="1372" spans="1:8" x14ac:dyDescent="0.35">
      <c r="A1372" s="528" t="s">
        <v>4206</v>
      </c>
      <c r="B1372" s="528" t="s">
        <v>4207</v>
      </c>
      <c r="C1372" s="528" t="s">
        <v>4208</v>
      </c>
      <c r="D1372" s="528" t="s">
        <v>264</v>
      </c>
      <c r="E1372" s="528"/>
      <c r="F1372" s="528"/>
      <c r="G1372" s="528" t="s">
        <v>205</v>
      </c>
      <c r="H1372"/>
    </row>
    <row r="1373" spans="1:8" x14ac:dyDescent="0.35">
      <c r="A1373" s="528" t="s">
        <v>4209</v>
      </c>
      <c r="B1373" s="528" t="s">
        <v>4210</v>
      </c>
      <c r="C1373" s="528" t="s">
        <v>4211</v>
      </c>
      <c r="D1373" s="528" t="s">
        <v>277</v>
      </c>
      <c r="E1373" s="528"/>
      <c r="F1373" s="528"/>
      <c r="G1373" s="528" t="s">
        <v>205</v>
      </c>
      <c r="H1373"/>
    </row>
    <row r="1374" spans="1:8" x14ac:dyDescent="0.35">
      <c r="A1374" s="528" t="s">
        <v>4212</v>
      </c>
      <c r="B1374" s="528" t="s">
        <v>4213</v>
      </c>
      <c r="C1374" s="528" t="s">
        <v>4214</v>
      </c>
      <c r="D1374" s="528" t="s">
        <v>277</v>
      </c>
      <c r="E1374" s="528"/>
      <c r="F1374" s="528"/>
      <c r="G1374" s="528" t="s">
        <v>205</v>
      </c>
      <c r="H1374"/>
    </row>
    <row r="1375" spans="1:8" x14ac:dyDescent="0.35">
      <c r="A1375" s="528" t="s">
        <v>4215</v>
      </c>
      <c r="B1375" s="528" t="s">
        <v>4216</v>
      </c>
      <c r="C1375" s="528" t="s">
        <v>4217</v>
      </c>
      <c r="D1375" s="528" t="s">
        <v>225</v>
      </c>
      <c r="E1375" s="528"/>
      <c r="F1375" s="528"/>
      <c r="G1375" s="528" t="s">
        <v>208</v>
      </c>
      <c r="H1375"/>
    </row>
    <row r="1376" spans="1:8" x14ac:dyDescent="0.35">
      <c r="A1376" s="528" t="s">
        <v>4218</v>
      </c>
      <c r="B1376" s="528" t="s">
        <v>4219</v>
      </c>
      <c r="C1376" s="528" t="s">
        <v>4220</v>
      </c>
      <c r="D1376" s="528" t="s">
        <v>238</v>
      </c>
      <c r="E1376" s="528"/>
      <c r="F1376" s="528"/>
      <c r="G1376" s="528" t="s">
        <v>208</v>
      </c>
      <c r="H1376"/>
    </row>
    <row r="1377" spans="1:8" x14ac:dyDescent="0.35">
      <c r="A1377" s="528" t="s">
        <v>4221</v>
      </c>
      <c r="B1377" s="528" t="s">
        <v>4222</v>
      </c>
      <c r="C1377" s="528" t="s">
        <v>4223</v>
      </c>
      <c r="D1377" s="528" t="s">
        <v>238</v>
      </c>
      <c r="E1377" s="528"/>
      <c r="F1377" s="528"/>
      <c r="G1377" s="528" t="s">
        <v>208</v>
      </c>
      <c r="H1377"/>
    </row>
    <row r="1378" spans="1:8" x14ac:dyDescent="0.35">
      <c r="A1378" s="528" t="s">
        <v>4224</v>
      </c>
      <c r="B1378" s="528" t="s">
        <v>4225</v>
      </c>
      <c r="C1378" s="528" t="s">
        <v>4226</v>
      </c>
      <c r="D1378" s="528" t="s">
        <v>238</v>
      </c>
      <c r="E1378" s="528"/>
      <c r="F1378" s="528"/>
      <c r="G1378" s="528" t="s">
        <v>208</v>
      </c>
      <c r="H1378"/>
    </row>
    <row r="1379" spans="1:8" x14ac:dyDescent="0.35">
      <c r="A1379" s="528" t="s">
        <v>4227</v>
      </c>
      <c r="B1379" s="528" t="s">
        <v>4228</v>
      </c>
      <c r="C1379" s="528" t="s">
        <v>4229</v>
      </c>
      <c r="D1379" s="528" t="s">
        <v>238</v>
      </c>
      <c r="E1379" s="528"/>
      <c r="F1379" s="528"/>
      <c r="G1379" s="528" t="s">
        <v>208</v>
      </c>
      <c r="H1379"/>
    </row>
    <row r="1380" spans="1:8" x14ac:dyDescent="0.35">
      <c r="A1380" s="528" t="s">
        <v>4230</v>
      </c>
      <c r="B1380" s="528" t="s">
        <v>4231</v>
      </c>
      <c r="C1380" s="528" t="s">
        <v>4232</v>
      </c>
      <c r="D1380" s="528" t="s">
        <v>251</v>
      </c>
      <c r="E1380" s="528"/>
      <c r="F1380" s="528"/>
      <c r="G1380" s="528" t="s">
        <v>208</v>
      </c>
      <c r="H1380"/>
    </row>
    <row r="1381" spans="1:8" x14ac:dyDescent="0.35">
      <c r="A1381" s="528" t="s">
        <v>4233</v>
      </c>
      <c r="B1381" s="528" t="s">
        <v>4234</v>
      </c>
      <c r="C1381" s="528" t="s">
        <v>4235</v>
      </c>
      <c r="D1381" s="528" t="s">
        <v>264</v>
      </c>
      <c r="E1381" s="528"/>
      <c r="F1381" s="528"/>
      <c r="G1381" s="528" t="s">
        <v>208</v>
      </c>
      <c r="H1381"/>
    </row>
    <row r="1382" spans="1:8" x14ac:dyDescent="0.35">
      <c r="A1382" s="528" t="s">
        <v>4236</v>
      </c>
      <c r="B1382" s="528" t="s">
        <v>4237</v>
      </c>
      <c r="C1382" s="528" t="s">
        <v>4238</v>
      </c>
      <c r="D1382" s="528" t="s">
        <v>277</v>
      </c>
      <c r="E1382" s="528"/>
      <c r="F1382" s="528"/>
      <c r="G1382" s="528" t="s">
        <v>208</v>
      </c>
      <c r="H1382"/>
    </row>
    <row r="1383" spans="1:8" x14ac:dyDescent="0.35">
      <c r="A1383" s="528" t="s">
        <v>4239</v>
      </c>
      <c r="B1383" s="528" t="s">
        <v>4240</v>
      </c>
      <c r="C1383" s="528" t="s">
        <v>4241</v>
      </c>
      <c r="D1383" s="528" t="s">
        <v>251</v>
      </c>
      <c r="E1383" s="528"/>
      <c r="F1383" s="528"/>
      <c r="G1383" s="528" t="s">
        <v>208</v>
      </c>
      <c r="H1383"/>
    </row>
    <row r="1384" spans="1:8" x14ac:dyDescent="0.35">
      <c r="A1384" s="528" t="s">
        <v>4242</v>
      </c>
      <c r="B1384" s="528" t="s">
        <v>4243</v>
      </c>
      <c r="C1384" s="528" t="s">
        <v>4244</v>
      </c>
      <c r="D1384" s="528" t="s">
        <v>277</v>
      </c>
      <c r="E1384" s="528"/>
      <c r="F1384" s="528"/>
      <c r="G1384" s="528" t="s">
        <v>205</v>
      </c>
      <c r="H1384"/>
    </row>
    <row r="1385" spans="1:8" x14ac:dyDescent="0.35">
      <c r="A1385" s="528" t="s">
        <v>4245</v>
      </c>
      <c r="B1385" s="528" t="s">
        <v>4246</v>
      </c>
      <c r="C1385" s="528" t="s">
        <v>4247</v>
      </c>
      <c r="D1385" s="528" t="s">
        <v>277</v>
      </c>
      <c r="E1385" s="528"/>
      <c r="F1385" s="528"/>
      <c r="G1385" s="528" t="s">
        <v>208</v>
      </c>
      <c r="H1385"/>
    </row>
    <row r="1386" spans="1:8" x14ac:dyDescent="0.35">
      <c r="A1386" s="528" t="s">
        <v>4248</v>
      </c>
      <c r="B1386" s="528" t="s">
        <v>4249</v>
      </c>
      <c r="C1386" s="528" t="s">
        <v>4250</v>
      </c>
      <c r="D1386" s="528" t="s">
        <v>251</v>
      </c>
      <c r="E1386" s="528"/>
      <c r="F1386" s="528"/>
      <c r="G1386" s="528" t="s">
        <v>208</v>
      </c>
      <c r="H1386"/>
    </row>
    <row r="1387" spans="1:8" x14ac:dyDescent="0.35">
      <c r="A1387" s="528" t="s">
        <v>4251</v>
      </c>
      <c r="B1387" s="528" t="s">
        <v>4252</v>
      </c>
      <c r="C1387" s="528" t="s">
        <v>1377</v>
      </c>
      <c r="D1387" s="528" t="s">
        <v>251</v>
      </c>
      <c r="E1387" s="528"/>
      <c r="F1387" s="528"/>
      <c r="G1387" s="528" t="s">
        <v>208</v>
      </c>
      <c r="H1387"/>
    </row>
    <row r="1388" spans="1:8" x14ac:dyDescent="0.35">
      <c r="A1388" s="528" t="s">
        <v>4253</v>
      </c>
      <c r="B1388" s="528" t="s">
        <v>4254</v>
      </c>
      <c r="C1388" s="528" t="s">
        <v>4255</v>
      </c>
      <c r="D1388" s="528" t="s">
        <v>238</v>
      </c>
      <c r="E1388" s="528"/>
      <c r="F1388" s="528"/>
      <c r="G1388" s="528" t="s">
        <v>205</v>
      </c>
      <c r="H1388"/>
    </row>
    <row r="1389" spans="1:8" x14ac:dyDescent="0.35">
      <c r="A1389" s="528" t="s">
        <v>4256</v>
      </c>
      <c r="B1389" s="528" t="s">
        <v>4257</v>
      </c>
      <c r="C1389" s="528" t="s">
        <v>1305</v>
      </c>
      <c r="D1389" s="528" t="s">
        <v>277</v>
      </c>
      <c r="E1389" s="528"/>
      <c r="F1389" s="528"/>
      <c r="G1389" s="528" t="s">
        <v>205</v>
      </c>
      <c r="H1389"/>
    </row>
    <row r="1390" spans="1:8" x14ac:dyDescent="0.35">
      <c r="A1390" s="528" t="s">
        <v>4258</v>
      </c>
      <c r="B1390" s="528" t="s">
        <v>4259</v>
      </c>
      <c r="C1390" s="528" t="s">
        <v>4260</v>
      </c>
      <c r="D1390" s="528" t="s">
        <v>277</v>
      </c>
      <c r="E1390" s="528"/>
      <c r="F1390" s="528"/>
      <c r="G1390" s="528" t="s">
        <v>208</v>
      </c>
      <c r="H1390"/>
    </row>
    <row r="1391" spans="1:8" x14ac:dyDescent="0.35">
      <c r="A1391" s="528" t="s">
        <v>4261</v>
      </c>
      <c r="B1391" s="528" t="s">
        <v>4262</v>
      </c>
      <c r="C1391" s="528" t="s">
        <v>4263</v>
      </c>
      <c r="D1391" s="528" t="s">
        <v>238</v>
      </c>
      <c r="E1391" s="528"/>
      <c r="F1391" s="528"/>
      <c r="G1391" s="528" t="s">
        <v>208</v>
      </c>
      <c r="H1391"/>
    </row>
    <row r="1392" spans="1:8" x14ac:dyDescent="0.35">
      <c r="A1392" s="528" t="s">
        <v>4264</v>
      </c>
      <c r="B1392" s="528" t="s">
        <v>4265</v>
      </c>
      <c r="C1392" s="528" t="s">
        <v>4266</v>
      </c>
      <c r="D1392" s="528" t="s">
        <v>225</v>
      </c>
      <c r="E1392" s="528"/>
      <c r="F1392" s="528"/>
      <c r="G1392" s="528" t="s">
        <v>208</v>
      </c>
      <c r="H1392"/>
    </row>
    <row r="1393" spans="1:8" x14ac:dyDescent="0.35">
      <c r="A1393" s="528" t="s">
        <v>4267</v>
      </c>
      <c r="B1393" s="528" t="s">
        <v>4268</v>
      </c>
      <c r="C1393" s="528" t="s">
        <v>4269</v>
      </c>
      <c r="D1393" s="528" t="s">
        <v>264</v>
      </c>
      <c r="E1393" s="528"/>
      <c r="F1393" s="528"/>
      <c r="G1393" s="528" t="s">
        <v>208</v>
      </c>
      <c r="H1393"/>
    </row>
    <row r="1394" spans="1:8" x14ac:dyDescent="0.35">
      <c r="A1394" s="528" t="s">
        <v>4270</v>
      </c>
      <c r="B1394" s="528" t="s">
        <v>4271</v>
      </c>
      <c r="C1394" s="528" t="s">
        <v>4272</v>
      </c>
      <c r="D1394" s="528" t="s">
        <v>225</v>
      </c>
      <c r="E1394" s="528"/>
      <c r="F1394" s="528"/>
      <c r="G1394" s="528" t="s">
        <v>208</v>
      </c>
      <c r="H1394"/>
    </row>
    <row r="1395" spans="1:8" x14ac:dyDescent="0.35">
      <c r="A1395" s="528" t="s">
        <v>4273</v>
      </c>
      <c r="B1395" s="528" t="s">
        <v>4274</v>
      </c>
      <c r="C1395" s="528" t="s">
        <v>4275</v>
      </c>
      <c r="D1395" s="528" t="s">
        <v>225</v>
      </c>
      <c r="E1395" s="528"/>
      <c r="F1395" s="528"/>
      <c r="G1395" s="528" t="s">
        <v>208</v>
      </c>
      <c r="H1395"/>
    </row>
    <row r="1396" spans="1:8" x14ac:dyDescent="0.35">
      <c r="A1396" s="528" t="s">
        <v>4276</v>
      </c>
      <c r="B1396" s="528" t="s">
        <v>4277</v>
      </c>
      <c r="C1396" s="528" t="s">
        <v>4278</v>
      </c>
      <c r="D1396" s="528" t="s">
        <v>225</v>
      </c>
      <c r="E1396" s="528" t="s">
        <v>277</v>
      </c>
      <c r="F1396" s="528"/>
      <c r="G1396" s="528" t="s">
        <v>208</v>
      </c>
      <c r="H1396"/>
    </row>
    <row r="1397" spans="1:8" x14ac:dyDescent="0.35">
      <c r="A1397" s="528" t="s">
        <v>4279</v>
      </c>
      <c r="B1397" s="528" t="s">
        <v>4280</v>
      </c>
      <c r="C1397" s="528" t="s">
        <v>3158</v>
      </c>
      <c r="D1397" s="528" t="s">
        <v>277</v>
      </c>
      <c r="E1397" s="528"/>
      <c r="F1397" s="528"/>
      <c r="G1397" s="528" t="s">
        <v>205</v>
      </c>
      <c r="H1397"/>
    </row>
    <row r="1398" spans="1:8" x14ac:dyDescent="0.35">
      <c r="A1398" s="528" t="s">
        <v>4281</v>
      </c>
      <c r="B1398" s="528" t="s">
        <v>4282</v>
      </c>
      <c r="C1398" s="528" t="s">
        <v>4283</v>
      </c>
      <c r="D1398" s="528" t="s">
        <v>238</v>
      </c>
      <c r="E1398" s="528"/>
      <c r="F1398" s="528"/>
      <c r="G1398" s="528" t="s">
        <v>208</v>
      </c>
      <c r="H1398"/>
    </row>
    <row r="1399" spans="1:8" x14ac:dyDescent="0.35">
      <c r="A1399" s="528" t="s">
        <v>4284</v>
      </c>
      <c r="B1399" s="528" t="s">
        <v>4285</v>
      </c>
      <c r="C1399" s="528" t="s">
        <v>3635</v>
      </c>
      <c r="D1399" s="528" t="s">
        <v>277</v>
      </c>
      <c r="E1399" s="528"/>
      <c r="F1399" s="528"/>
      <c r="G1399" s="528" t="s">
        <v>205</v>
      </c>
      <c r="H1399"/>
    </row>
    <row r="1400" spans="1:8" x14ac:dyDescent="0.35">
      <c r="A1400" s="528" t="s">
        <v>4286</v>
      </c>
      <c r="B1400" s="528" t="s">
        <v>4287</v>
      </c>
      <c r="C1400" s="528" t="s">
        <v>4288</v>
      </c>
      <c r="D1400" s="528" t="s">
        <v>277</v>
      </c>
      <c r="E1400" s="528"/>
      <c r="F1400" s="528"/>
      <c r="G1400" s="528" t="s">
        <v>205</v>
      </c>
      <c r="H1400"/>
    </row>
    <row r="1401" spans="1:8" x14ac:dyDescent="0.35">
      <c r="A1401" s="528" t="s">
        <v>4289</v>
      </c>
      <c r="B1401" s="528" t="s">
        <v>4290</v>
      </c>
      <c r="C1401" s="528" t="s">
        <v>4291</v>
      </c>
      <c r="D1401" s="528" t="s">
        <v>277</v>
      </c>
      <c r="E1401" s="528"/>
      <c r="F1401" s="528"/>
      <c r="G1401" s="528" t="s">
        <v>205</v>
      </c>
      <c r="H1401"/>
    </row>
    <row r="1402" spans="1:8" x14ac:dyDescent="0.35">
      <c r="A1402" s="528" t="s">
        <v>4292</v>
      </c>
      <c r="B1402" s="528" t="s">
        <v>4293</v>
      </c>
      <c r="C1402" s="528" t="s">
        <v>4294</v>
      </c>
      <c r="D1402" s="528" t="s">
        <v>225</v>
      </c>
      <c r="E1402" s="528"/>
      <c r="F1402" s="528"/>
      <c r="G1402" s="528" t="s">
        <v>208</v>
      </c>
      <c r="H1402"/>
    </row>
    <row r="1403" spans="1:8" x14ac:dyDescent="0.35">
      <c r="A1403" s="528" t="s">
        <v>4295</v>
      </c>
      <c r="B1403" s="528" t="s">
        <v>4296</v>
      </c>
      <c r="C1403" s="528" t="s">
        <v>4297</v>
      </c>
      <c r="D1403" s="528" t="s">
        <v>277</v>
      </c>
      <c r="E1403" s="528"/>
      <c r="F1403" s="528"/>
      <c r="G1403" s="528" t="s">
        <v>205</v>
      </c>
      <c r="H1403"/>
    </row>
    <row r="1404" spans="1:8" x14ac:dyDescent="0.35">
      <c r="A1404" s="528" t="s">
        <v>4298</v>
      </c>
      <c r="B1404" s="528" t="s">
        <v>4299</v>
      </c>
      <c r="C1404" s="528" t="s">
        <v>4300</v>
      </c>
      <c r="D1404" s="528" t="s">
        <v>225</v>
      </c>
      <c r="E1404" s="528"/>
      <c r="F1404" s="528"/>
      <c r="G1404" s="528" t="s">
        <v>205</v>
      </c>
      <c r="H1404"/>
    </row>
    <row r="1405" spans="1:8" x14ac:dyDescent="0.35">
      <c r="A1405" s="528" t="s">
        <v>4301</v>
      </c>
      <c r="B1405" s="528" t="s">
        <v>4302</v>
      </c>
      <c r="C1405" s="528" t="s">
        <v>4303</v>
      </c>
      <c r="D1405" s="528" t="s">
        <v>251</v>
      </c>
      <c r="E1405" s="528"/>
      <c r="F1405" s="528"/>
      <c r="G1405" s="528" t="s">
        <v>208</v>
      </c>
      <c r="H1405"/>
    </row>
    <row r="1406" spans="1:8" x14ac:dyDescent="0.35">
      <c r="A1406" s="528" t="s">
        <v>4304</v>
      </c>
      <c r="B1406" s="528" t="s">
        <v>4305</v>
      </c>
      <c r="C1406" s="528" t="s">
        <v>4306</v>
      </c>
      <c r="D1406" s="528" t="s">
        <v>251</v>
      </c>
      <c r="E1406" s="528"/>
      <c r="F1406" s="528"/>
      <c r="G1406" s="528" t="s">
        <v>208</v>
      </c>
      <c r="H1406"/>
    </row>
    <row r="1407" spans="1:8" x14ac:dyDescent="0.35">
      <c r="A1407" s="528" t="s">
        <v>4307</v>
      </c>
      <c r="B1407" s="528" t="s">
        <v>4308</v>
      </c>
      <c r="C1407" s="528" t="s">
        <v>4309</v>
      </c>
      <c r="D1407" s="528" t="s">
        <v>251</v>
      </c>
      <c r="E1407" s="528"/>
      <c r="F1407" s="528"/>
      <c r="G1407" s="528" t="s">
        <v>208</v>
      </c>
      <c r="H1407"/>
    </row>
    <row r="1408" spans="1:8" x14ac:dyDescent="0.35">
      <c r="A1408" s="528" t="s">
        <v>4310</v>
      </c>
      <c r="B1408" s="528" t="s">
        <v>4311</v>
      </c>
      <c r="C1408" s="528" t="s">
        <v>4312</v>
      </c>
      <c r="D1408" s="528" t="s">
        <v>251</v>
      </c>
      <c r="E1408" s="528"/>
      <c r="F1408" s="528"/>
      <c r="G1408" s="528" t="s">
        <v>208</v>
      </c>
      <c r="H1408"/>
    </row>
    <row r="1409" spans="1:8" x14ac:dyDescent="0.35">
      <c r="A1409" s="528" t="s">
        <v>4313</v>
      </c>
      <c r="B1409" s="528" t="s">
        <v>4314</v>
      </c>
      <c r="C1409" s="528" t="s">
        <v>4315</v>
      </c>
      <c r="D1409" s="528" t="s">
        <v>251</v>
      </c>
      <c r="E1409" s="528"/>
      <c r="F1409" s="528"/>
      <c r="G1409" s="528" t="s">
        <v>208</v>
      </c>
      <c r="H1409"/>
    </row>
    <row r="1410" spans="1:8" x14ac:dyDescent="0.35">
      <c r="A1410" s="528" t="s">
        <v>4316</v>
      </c>
      <c r="B1410" s="528" t="s">
        <v>4317</v>
      </c>
      <c r="C1410" s="528" t="s">
        <v>4318</v>
      </c>
      <c r="D1410" s="528" t="s">
        <v>264</v>
      </c>
      <c r="E1410" s="528"/>
      <c r="F1410" s="528"/>
      <c r="G1410" s="528" t="s">
        <v>205</v>
      </c>
      <c r="H1410"/>
    </row>
    <row r="1411" spans="1:8" x14ac:dyDescent="0.35">
      <c r="A1411" s="528" t="s">
        <v>4319</v>
      </c>
      <c r="B1411" s="528" t="s">
        <v>4320</v>
      </c>
      <c r="C1411" s="528" t="s">
        <v>4321</v>
      </c>
      <c r="D1411" s="528" t="s">
        <v>277</v>
      </c>
      <c r="E1411" s="528" t="s">
        <v>264</v>
      </c>
      <c r="F1411" s="528"/>
      <c r="G1411" s="528" t="s">
        <v>205</v>
      </c>
      <c r="H1411"/>
    </row>
    <row r="1412" spans="1:8" x14ac:dyDescent="0.35">
      <c r="A1412" s="528" t="s">
        <v>4322</v>
      </c>
      <c r="B1412" s="528" t="s">
        <v>4323</v>
      </c>
      <c r="C1412" s="528" t="s">
        <v>4324</v>
      </c>
      <c r="D1412" s="528" t="s">
        <v>277</v>
      </c>
      <c r="E1412" s="528"/>
      <c r="F1412" s="528"/>
      <c r="G1412" s="528" t="s">
        <v>205</v>
      </c>
      <c r="H1412"/>
    </row>
    <row r="1413" spans="1:8" x14ac:dyDescent="0.35">
      <c r="A1413" s="528" t="s">
        <v>4325</v>
      </c>
      <c r="B1413" s="528" t="s">
        <v>4326</v>
      </c>
      <c r="C1413" s="528" t="s">
        <v>4327</v>
      </c>
      <c r="D1413" s="528" t="s">
        <v>277</v>
      </c>
      <c r="E1413" s="528"/>
      <c r="F1413" s="528"/>
      <c r="G1413" s="528" t="s">
        <v>205</v>
      </c>
      <c r="H1413"/>
    </row>
    <row r="1414" spans="1:8" x14ac:dyDescent="0.35">
      <c r="A1414" s="528" t="s">
        <v>4328</v>
      </c>
      <c r="B1414" s="528" t="s">
        <v>4329</v>
      </c>
      <c r="C1414" s="528" t="s">
        <v>4330</v>
      </c>
      <c r="D1414" s="528" t="s">
        <v>225</v>
      </c>
      <c r="E1414" s="528"/>
      <c r="F1414" s="528"/>
      <c r="G1414" s="528" t="s">
        <v>205</v>
      </c>
      <c r="H1414"/>
    </row>
    <row r="1415" spans="1:8" x14ac:dyDescent="0.35">
      <c r="A1415" s="528" t="s">
        <v>4331</v>
      </c>
      <c r="B1415" s="528" t="s">
        <v>4332</v>
      </c>
      <c r="C1415" s="528" t="s">
        <v>4333</v>
      </c>
      <c r="D1415" s="528" t="s">
        <v>277</v>
      </c>
      <c r="E1415" s="528"/>
      <c r="F1415" s="528"/>
      <c r="G1415" s="528" t="s">
        <v>205</v>
      </c>
      <c r="H1415"/>
    </row>
    <row r="1416" spans="1:8" x14ac:dyDescent="0.35">
      <c r="A1416" s="528" t="s">
        <v>4334</v>
      </c>
      <c r="B1416" s="528" t="s">
        <v>4335</v>
      </c>
      <c r="C1416" s="528" t="s">
        <v>4336</v>
      </c>
      <c r="D1416" s="528" t="s">
        <v>225</v>
      </c>
      <c r="E1416" s="528"/>
      <c r="F1416" s="528"/>
      <c r="G1416" s="528" t="s">
        <v>208</v>
      </c>
      <c r="H1416"/>
    </row>
    <row r="1417" spans="1:8" x14ac:dyDescent="0.35">
      <c r="A1417" s="528" t="s">
        <v>4337</v>
      </c>
      <c r="B1417" s="528" t="s">
        <v>4338</v>
      </c>
      <c r="C1417" s="528" t="s">
        <v>4339</v>
      </c>
      <c r="D1417" s="528" t="s">
        <v>264</v>
      </c>
      <c r="E1417" s="528"/>
      <c r="F1417" s="528"/>
      <c r="G1417" s="528" t="s">
        <v>205</v>
      </c>
      <c r="H1417"/>
    </row>
    <row r="1418" spans="1:8" x14ac:dyDescent="0.35">
      <c r="A1418" s="528" t="s">
        <v>4340</v>
      </c>
      <c r="B1418" s="528" t="s">
        <v>4341</v>
      </c>
      <c r="C1418" s="528" t="s">
        <v>4342</v>
      </c>
      <c r="D1418" s="528" t="s">
        <v>277</v>
      </c>
      <c r="E1418" s="528"/>
      <c r="F1418" s="528"/>
      <c r="G1418" s="528" t="s">
        <v>205</v>
      </c>
      <c r="H1418"/>
    </row>
    <row r="1419" spans="1:8" x14ac:dyDescent="0.35">
      <c r="A1419" s="528" t="s">
        <v>4343</v>
      </c>
      <c r="B1419" s="528" t="s">
        <v>4344</v>
      </c>
      <c r="C1419" s="528" t="s">
        <v>4345</v>
      </c>
      <c r="D1419" s="528" t="s">
        <v>251</v>
      </c>
      <c r="E1419" s="528"/>
      <c r="F1419" s="528"/>
      <c r="G1419" s="528" t="s">
        <v>205</v>
      </c>
      <c r="H1419"/>
    </row>
    <row r="1420" spans="1:8" x14ac:dyDescent="0.35">
      <c r="A1420" s="528" t="s">
        <v>4346</v>
      </c>
      <c r="B1420" s="528" t="s">
        <v>4347</v>
      </c>
      <c r="C1420" s="528" t="s">
        <v>4348</v>
      </c>
      <c r="D1420" s="528" t="s">
        <v>264</v>
      </c>
      <c r="E1420" s="528"/>
      <c r="F1420" s="528"/>
      <c r="G1420" s="528" t="s">
        <v>205</v>
      </c>
      <c r="H1420"/>
    </row>
    <row r="1421" spans="1:8" x14ac:dyDescent="0.35">
      <c r="A1421" s="528" t="s">
        <v>4349</v>
      </c>
      <c r="B1421" s="528" t="s">
        <v>4350</v>
      </c>
      <c r="C1421" s="528" t="s">
        <v>4351</v>
      </c>
      <c r="D1421" s="528" t="s">
        <v>264</v>
      </c>
      <c r="E1421" s="528"/>
      <c r="F1421" s="528"/>
      <c r="G1421" s="528" t="s">
        <v>205</v>
      </c>
      <c r="H1421"/>
    </row>
    <row r="1422" spans="1:8" x14ac:dyDescent="0.35">
      <c r="A1422" s="528" t="s">
        <v>4352</v>
      </c>
      <c r="B1422" s="528" t="s">
        <v>4353</v>
      </c>
      <c r="C1422" s="528" t="s">
        <v>4354</v>
      </c>
      <c r="D1422" s="528" t="s">
        <v>264</v>
      </c>
      <c r="E1422" s="528"/>
      <c r="F1422" s="528"/>
      <c r="G1422" s="528" t="s">
        <v>205</v>
      </c>
      <c r="H1422"/>
    </row>
    <row r="1423" spans="1:8" x14ac:dyDescent="0.35">
      <c r="A1423" s="528" t="s">
        <v>4355</v>
      </c>
      <c r="B1423" s="528" t="s">
        <v>4356</v>
      </c>
      <c r="C1423" s="528" t="s">
        <v>4357</v>
      </c>
      <c r="D1423" s="528" t="s">
        <v>277</v>
      </c>
      <c r="E1423" s="528"/>
      <c r="F1423" s="528"/>
      <c r="G1423" s="528" t="s">
        <v>205</v>
      </c>
      <c r="H1423"/>
    </row>
    <row r="1424" spans="1:8" x14ac:dyDescent="0.35">
      <c r="A1424" s="528" t="s">
        <v>4358</v>
      </c>
      <c r="B1424" s="528" t="s">
        <v>4359</v>
      </c>
      <c r="C1424" s="528" t="s">
        <v>4360</v>
      </c>
      <c r="D1424" s="528" t="s">
        <v>277</v>
      </c>
      <c r="E1424" s="528"/>
      <c r="F1424" s="528"/>
      <c r="G1424" s="528" t="s">
        <v>205</v>
      </c>
      <c r="H1424"/>
    </row>
    <row r="1425" spans="1:8" x14ac:dyDescent="0.35">
      <c r="A1425" s="528" t="s">
        <v>4361</v>
      </c>
      <c r="B1425" s="528" t="s">
        <v>4362</v>
      </c>
      <c r="C1425" s="528" t="s">
        <v>4363</v>
      </c>
      <c r="D1425" s="528" t="s">
        <v>277</v>
      </c>
      <c r="E1425" s="528"/>
      <c r="F1425" s="528"/>
      <c r="G1425" s="528" t="s">
        <v>205</v>
      </c>
      <c r="H1425"/>
    </row>
    <row r="1426" spans="1:8" x14ac:dyDescent="0.35">
      <c r="A1426" s="528" t="s">
        <v>4364</v>
      </c>
      <c r="B1426" s="528" t="s">
        <v>4365</v>
      </c>
      <c r="C1426" s="528" t="s">
        <v>4366</v>
      </c>
      <c r="D1426" s="528" t="s">
        <v>277</v>
      </c>
      <c r="E1426" s="528"/>
      <c r="F1426" s="528"/>
      <c r="G1426" s="528" t="s">
        <v>205</v>
      </c>
      <c r="H1426"/>
    </row>
    <row r="1427" spans="1:8" x14ac:dyDescent="0.35">
      <c r="A1427" s="528" t="s">
        <v>4367</v>
      </c>
      <c r="B1427" s="528" t="s">
        <v>4368</v>
      </c>
      <c r="C1427" s="528" t="s">
        <v>4369</v>
      </c>
      <c r="D1427" s="528" t="s">
        <v>277</v>
      </c>
      <c r="E1427" s="528"/>
      <c r="F1427" s="528"/>
      <c r="G1427" s="528" t="s">
        <v>205</v>
      </c>
      <c r="H1427"/>
    </row>
    <row r="1428" spans="1:8" x14ac:dyDescent="0.35">
      <c r="A1428" s="528" t="s">
        <v>4370</v>
      </c>
      <c r="B1428" s="528" t="s">
        <v>4371</v>
      </c>
      <c r="C1428" s="528" t="s">
        <v>4372</v>
      </c>
      <c r="D1428" s="528" t="s">
        <v>264</v>
      </c>
      <c r="E1428" s="528"/>
      <c r="F1428" s="528"/>
      <c r="G1428" s="528" t="s">
        <v>205</v>
      </c>
      <c r="H1428"/>
    </row>
    <row r="1429" spans="1:8" x14ac:dyDescent="0.35">
      <c r="A1429" s="528" t="s">
        <v>4373</v>
      </c>
      <c r="B1429" s="528" t="s">
        <v>4374</v>
      </c>
      <c r="C1429" s="528" t="s">
        <v>4375</v>
      </c>
      <c r="D1429" s="528" t="s">
        <v>264</v>
      </c>
      <c r="E1429" s="528"/>
      <c r="F1429" s="528"/>
      <c r="G1429" s="528" t="s">
        <v>208</v>
      </c>
      <c r="H1429"/>
    </row>
    <row r="1430" spans="1:8" x14ac:dyDescent="0.35">
      <c r="A1430" s="528" t="s">
        <v>4376</v>
      </c>
      <c r="B1430" s="528" t="s">
        <v>4377</v>
      </c>
      <c r="C1430" s="528" t="s">
        <v>4378</v>
      </c>
      <c r="D1430" s="528" t="s">
        <v>264</v>
      </c>
      <c r="E1430" s="528"/>
      <c r="F1430" s="528"/>
      <c r="G1430" s="528" t="s">
        <v>208</v>
      </c>
      <c r="H1430"/>
    </row>
    <row r="1431" spans="1:8" x14ac:dyDescent="0.35">
      <c r="A1431" s="528" t="s">
        <v>4379</v>
      </c>
      <c r="B1431" s="528" t="s">
        <v>4380</v>
      </c>
      <c r="C1431" s="528" t="s">
        <v>4381</v>
      </c>
      <c r="D1431" s="528" t="s">
        <v>264</v>
      </c>
      <c r="E1431" s="528"/>
      <c r="F1431" s="528"/>
      <c r="G1431" s="528" t="s">
        <v>205</v>
      </c>
      <c r="H1431"/>
    </row>
    <row r="1432" spans="1:8" x14ac:dyDescent="0.35">
      <c r="A1432" s="528" t="s">
        <v>4382</v>
      </c>
      <c r="B1432" s="528" t="s">
        <v>4383</v>
      </c>
      <c r="C1432" s="528" t="s">
        <v>4384</v>
      </c>
      <c r="D1432" s="528" t="s">
        <v>277</v>
      </c>
      <c r="E1432" s="528"/>
      <c r="F1432" s="528"/>
      <c r="G1432" s="528" t="s">
        <v>205</v>
      </c>
      <c r="H1432"/>
    </row>
    <row r="1433" spans="1:8" x14ac:dyDescent="0.35">
      <c r="A1433" s="528" t="s">
        <v>4385</v>
      </c>
      <c r="B1433" s="528" t="s">
        <v>4386</v>
      </c>
      <c r="C1433" s="528" t="s">
        <v>4387</v>
      </c>
      <c r="D1433" s="528" t="s">
        <v>225</v>
      </c>
      <c r="E1433" s="528"/>
      <c r="F1433" s="528"/>
      <c r="G1433" s="528" t="s">
        <v>208</v>
      </c>
      <c r="H1433"/>
    </row>
    <row r="1434" spans="1:8" x14ac:dyDescent="0.35">
      <c r="A1434" s="528" t="s">
        <v>4388</v>
      </c>
      <c r="B1434" s="528" t="s">
        <v>4389</v>
      </c>
      <c r="C1434" s="528" t="s">
        <v>4390</v>
      </c>
      <c r="D1434" s="528" t="s">
        <v>225</v>
      </c>
      <c r="E1434" s="528"/>
      <c r="F1434" s="528"/>
      <c r="G1434" s="528" t="s">
        <v>208</v>
      </c>
      <c r="H1434"/>
    </row>
    <row r="1435" spans="1:8" x14ac:dyDescent="0.35">
      <c r="A1435" s="528" t="s">
        <v>4391</v>
      </c>
      <c r="B1435" s="528" t="s">
        <v>4392</v>
      </c>
      <c r="C1435" s="528" t="s">
        <v>4393</v>
      </c>
      <c r="D1435" s="528" t="s">
        <v>277</v>
      </c>
      <c r="E1435" s="528"/>
      <c r="F1435" s="528"/>
      <c r="G1435" s="528" t="s">
        <v>205</v>
      </c>
      <c r="H1435"/>
    </row>
    <row r="1436" spans="1:8" x14ac:dyDescent="0.35">
      <c r="A1436" s="528" t="s">
        <v>4394</v>
      </c>
      <c r="B1436" s="528" t="s">
        <v>4395</v>
      </c>
      <c r="C1436" s="528" t="s">
        <v>4396</v>
      </c>
      <c r="D1436" s="528" t="s">
        <v>277</v>
      </c>
      <c r="E1436" s="528"/>
      <c r="F1436" s="528"/>
      <c r="G1436" s="528" t="s">
        <v>205</v>
      </c>
      <c r="H1436"/>
    </row>
    <row r="1437" spans="1:8" x14ac:dyDescent="0.35">
      <c r="A1437" s="528" t="s">
        <v>4397</v>
      </c>
      <c r="B1437" s="528" t="s">
        <v>4398</v>
      </c>
      <c r="C1437" s="528" t="s">
        <v>4399</v>
      </c>
      <c r="D1437" s="528" t="s">
        <v>277</v>
      </c>
      <c r="E1437" s="528"/>
      <c r="F1437" s="528"/>
      <c r="G1437" s="528" t="s">
        <v>205</v>
      </c>
      <c r="H1437"/>
    </row>
    <row r="1438" spans="1:8" x14ac:dyDescent="0.35">
      <c r="A1438" s="528" t="s">
        <v>4400</v>
      </c>
      <c r="B1438" s="528" t="s">
        <v>4401</v>
      </c>
      <c r="C1438" s="528" t="s">
        <v>4402</v>
      </c>
      <c r="D1438" s="528" t="s">
        <v>277</v>
      </c>
      <c r="E1438" s="528"/>
      <c r="F1438" s="528"/>
      <c r="G1438" s="528" t="s">
        <v>205</v>
      </c>
      <c r="H1438"/>
    </row>
    <row r="1439" spans="1:8" x14ac:dyDescent="0.35">
      <c r="A1439" s="528" t="s">
        <v>4403</v>
      </c>
      <c r="B1439" s="528" t="s">
        <v>4404</v>
      </c>
      <c r="C1439" s="528" t="s">
        <v>4405</v>
      </c>
      <c r="D1439" s="528" t="s">
        <v>264</v>
      </c>
      <c r="E1439" s="528"/>
      <c r="F1439" s="528"/>
      <c r="G1439" s="528" t="s">
        <v>205</v>
      </c>
      <c r="H1439"/>
    </row>
    <row r="1440" spans="1:8" x14ac:dyDescent="0.35">
      <c r="A1440" s="528" t="s">
        <v>4406</v>
      </c>
      <c r="B1440" s="528" t="s">
        <v>4407</v>
      </c>
      <c r="C1440" s="528" t="s">
        <v>4408</v>
      </c>
      <c r="D1440" s="528" t="s">
        <v>264</v>
      </c>
      <c r="E1440" s="528"/>
      <c r="F1440" s="528"/>
      <c r="G1440" s="528" t="s">
        <v>205</v>
      </c>
      <c r="H1440"/>
    </row>
    <row r="1441" spans="1:8" x14ac:dyDescent="0.35">
      <c r="A1441" s="528" t="s">
        <v>4409</v>
      </c>
      <c r="B1441" s="528" t="s">
        <v>4410</v>
      </c>
      <c r="C1441" s="528" t="s">
        <v>4411</v>
      </c>
      <c r="D1441" s="528" t="s">
        <v>264</v>
      </c>
      <c r="E1441" s="528"/>
      <c r="F1441" s="528"/>
      <c r="G1441" s="528" t="s">
        <v>205</v>
      </c>
      <c r="H1441"/>
    </row>
    <row r="1442" spans="1:8" x14ac:dyDescent="0.35">
      <c r="A1442" s="528" t="s">
        <v>4412</v>
      </c>
      <c r="B1442" s="528" t="s">
        <v>4413</v>
      </c>
      <c r="C1442" s="528" t="s">
        <v>4414</v>
      </c>
      <c r="D1442" s="528" t="s">
        <v>264</v>
      </c>
      <c r="E1442" s="528"/>
      <c r="F1442" s="528"/>
      <c r="G1442" s="528" t="s">
        <v>205</v>
      </c>
      <c r="H1442"/>
    </row>
    <row r="1443" spans="1:8" x14ac:dyDescent="0.35">
      <c r="A1443" s="528" t="s">
        <v>4415</v>
      </c>
      <c r="B1443" s="528" t="s">
        <v>4416</v>
      </c>
      <c r="C1443" s="528" t="s">
        <v>3274</v>
      </c>
      <c r="D1443" s="528" t="s">
        <v>251</v>
      </c>
      <c r="E1443" s="528"/>
      <c r="F1443" s="528"/>
      <c r="G1443" s="528" t="s">
        <v>205</v>
      </c>
      <c r="H1443"/>
    </row>
    <row r="1444" spans="1:8" x14ac:dyDescent="0.35">
      <c r="A1444" s="528" t="s">
        <v>4417</v>
      </c>
      <c r="B1444" s="528" t="s">
        <v>4418</v>
      </c>
      <c r="C1444" s="528" t="s">
        <v>3821</v>
      </c>
      <c r="D1444" s="528" t="s">
        <v>251</v>
      </c>
      <c r="E1444" s="528"/>
      <c r="F1444" s="528"/>
      <c r="G1444" s="528" t="s">
        <v>205</v>
      </c>
      <c r="H1444"/>
    </row>
    <row r="1445" spans="1:8" x14ac:dyDescent="0.35">
      <c r="A1445" s="528" t="s">
        <v>4419</v>
      </c>
      <c r="B1445" s="528" t="s">
        <v>4420</v>
      </c>
      <c r="C1445" s="528" t="s">
        <v>2773</v>
      </c>
      <c r="D1445" s="528" t="s">
        <v>277</v>
      </c>
      <c r="E1445" s="528"/>
      <c r="F1445" s="528"/>
      <c r="G1445" s="528" t="s">
        <v>205</v>
      </c>
      <c r="H1445"/>
    </row>
    <row r="1446" spans="1:8" x14ac:dyDescent="0.35">
      <c r="A1446" s="528" t="s">
        <v>4421</v>
      </c>
      <c r="B1446" s="528" t="s">
        <v>4422</v>
      </c>
      <c r="C1446" s="528" t="s">
        <v>4423</v>
      </c>
      <c r="D1446" s="528" t="s">
        <v>277</v>
      </c>
      <c r="E1446" s="528"/>
      <c r="F1446" s="528"/>
      <c r="G1446" s="528" t="s">
        <v>205</v>
      </c>
      <c r="H1446"/>
    </row>
    <row r="1447" spans="1:8" x14ac:dyDescent="0.35">
      <c r="A1447" s="528" t="s">
        <v>4424</v>
      </c>
      <c r="B1447" s="528" t="s">
        <v>4425</v>
      </c>
      <c r="C1447" s="528" t="s">
        <v>2835</v>
      </c>
      <c r="D1447" s="528" t="s">
        <v>225</v>
      </c>
      <c r="E1447" s="528"/>
      <c r="F1447" s="528"/>
      <c r="G1447" s="528" t="s">
        <v>205</v>
      </c>
      <c r="H1447"/>
    </row>
    <row r="1448" spans="1:8" x14ac:dyDescent="0.35">
      <c r="A1448" s="528" t="s">
        <v>4426</v>
      </c>
      <c r="B1448" s="528" t="s">
        <v>4427</v>
      </c>
      <c r="C1448" s="528" t="s">
        <v>4428</v>
      </c>
      <c r="D1448" s="528" t="s">
        <v>225</v>
      </c>
      <c r="E1448" s="528"/>
      <c r="F1448" s="528"/>
      <c r="G1448" s="528" t="s">
        <v>205</v>
      </c>
      <c r="H1448"/>
    </row>
    <row r="1449" spans="1:8" x14ac:dyDescent="0.35">
      <c r="A1449" s="528" t="s">
        <v>4429</v>
      </c>
      <c r="B1449" s="528" t="s">
        <v>4430</v>
      </c>
      <c r="C1449" s="528" t="s">
        <v>4431</v>
      </c>
      <c r="D1449" s="528" t="s">
        <v>277</v>
      </c>
      <c r="E1449" s="528"/>
      <c r="F1449" s="528"/>
      <c r="G1449" s="528" t="s">
        <v>208</v>
      </c>
      <c r="H1449"/>
    </row>
    <row r="1450" spans="1:8" x14ac:dyDescent="0.35">
      <c r="A1450" s="528" t="s">
        <v>4432</v>
      </c>
      <c r="B1450" s="528" t="s">
        <v>4433</v>
      </c>
      <c r="C1450" s="528" t="s">
        <v>4434</v>
      </c>
      <c r="D1450" s="528" t="s">
        <v>264</v>
      </c>
      <c r="E1450" s="528"/>
      <c r="F1450" s="528"/>
      <c r="G1450" s="528" t="s">
        <v>208</v>
      </c>
      <c r="H1450"/>
    </row>
    <row r="1451" spans="1:8" x14ac:dyDescent="0.35">
      <c r="A1451" s="528" t="s">
        <v>4435</v>
      </c>
      <c r="B1451" s="528" t="s">
        <v>4436</v>
      </c>
      <c r="C1451" s="528" t="s">
        <v>4437</v>
      </c>
      <c r="D1451" s="528" t="s">
        <v>277</v>
      </c>
      <c r="E1451" s="528"/>
      <c r="F1451" s="528"/>
      <c r="G1451" s="528" t="s">
        <v>214</v>
      </c>
      <c r="H1451"/>
    </row>
    <row r="1452" spans="1:8" x14ac:dyDescent="0.35">
      <c r="A1452" s="528" t="s">
        <v>4438</v>
      </c>
      <c r="B1452" s="528" t="s">
        <v>4439</v>
      </c>
      <c r="C1452" s="528" t="s">
        <v>4440</v>
      </c>
      <c r="D1452" s="528" t="s">
        <v>277</v>
      </c>
      <c r="E1452" s="528"/>
      <c r="F1452" s="528"/>
      <c r="G1452" s="528" t="s">
        <v>214</v>
      </c>
      <c r="H1452"/>
    </row>
    <row r="1453" spans="1:8" x14ac:dyDescent="0.35">
      <c r="A1453" s="528" t="s">
        <v>4441</v>
      </c>
      <c r="B1453" s="528" t="s">
        <v>4442</v>
      </c>
      <c r="C1453" s="528" t="s">
        <v>1341</v>
      </c>
      <c r="D1453" s="528" t="s">
        <v>277</v>
      </c>
      <c r="E1453" s="528"/>
      <c r="F1453" s="528"/>
      <c r="G1453" s="528" t="s">
        <v>205</v>
      </c>
      <c r="H1453"/>
    </row>
    <row r="1454" spans="1:8" x14ac:dyDescent="0.35">
      <c r="A1454" s="528" t="s">
        <v>4443</v>
      </c>
      <c r="B1454" s="528" t="s">
        <v>4444</v>
      </c>
      <c r="C1454" s="528" t="s">
        <v>4445</v>
      </c>
      <c r="D1454" s="528" t="s">
        <v>277</v>
      </c>
      <c r="E1454" s="528"/>
      <c r="F1454" s="528"/>
      <c r="G1454" s="528" t="s">
        <v>205</v>
      </c>
      <c r="H1454"/>
    </row>
    <row r="1455" spans="1:8" x14ac:dyDescent="0.35">
      <c r="A1455" s="528" t="s">
        <v>4446</v>
      </c>
      <c r="B1455" s="528" t="s">
        <v>4447</v>
      </c>
      <c r="C1455" s="528" t="s">
        <v>1116</v>
      </c>
      <c r="D1455" s="528" t="s">
        <v>277</v>
      </c>
      <c r="E1455" s="528"/>
      <c r="F1455" s="528"/>
      <c r="G1455" s="528" t="s">
        <v>208</v>
      </c>
      <c r="H1455"/>
    </row>
    <row r="1456" spans="1:8" x14ac:dyDescent="0.35">
      <c r="A1456" s="528" t="s">
        <v>4448</v>
      </c>
      <c r="B1456" s="528" t="s">
        <v>4449</v>
      </c>
      <c r="C1456" s="528" t="s">
        <v>3691</v>
      </c>
      <c r="D1456" s="528" t="s">
        <v>277</v>
      </c>
      <c r="E1456" s="528"/>
      <c r="F1456" s="528"/>
      <c r="G1456" s="528" t="s">
        <v>205</v>
      </c>
      <c r="H1456"/>
    </row>
    <row r="1457" spans="1:8" x14ac:dyDescent="0.35">
      <c r="A1457" s="528" t="s">
        <v>4450</v>
      </c>
      <c r="B1457" s="528" t="s">
        <v>4451</v>
      </c>
      <c r="C1457" s="528" t="s">
        <v>4452</v>
      </c>
      <c r="D1457" s="528" t="s">
        <v>264</v>
      </c>
      <c r="E1457" s="528"/>
      <c r="F1457" s="528"/>
      <c r="G1457" s="528" t="s">
        <v>210</v>
      </c>
      <c r="H1457"/>
    </row>
    <row r="1458" spans="1:8" x14ac:dyDescent="0.35">
      <c r="A1458" s="528" t="s">
        <v>4453</v>
      </c>
      <c r="B1458" s="528" t="s">
        <v>4454</v>
      </c>
      <c r="C1458" s="528" t="s">
        <v>4455</v>
      </c>
      <c r="D1458" s="528" t="s">
        <v>251</v>
      </c>
      <c r="E1458" s="528"/>
      <c r="F1458" s="528"/>
      <c r="G1458" s="528" t="s">
        <v>208</v>
      </c>
      <c r="H1458"/>
    </row>
    <row r="1459" spans="1:8" x14ac:dyDescent="0.35">
      <c r="A1459" s="528" t="s">
        <v>4456</v>
      </c>
      <c r="B1459" s="528" t="s">
        <v>4457</v>
      </c>
      <c r="C1459" s="528" t="s">
        <v>4458</v>
      </c>
      <c r="D1459" s="528" t="s">
        <v>238</v>
      </c>
      <c r="E1459" s="528"/>
      <c r="F1459" s="528"/>
      <c r="G1459" s="528" t="s">
        <v>205</v>
      </c>
      <c r="H1459"/>
    </row>
    <row r="1460" spans="1:8" x14ac:dyDescent="0.35">
      <c r="A1460" s="528" t="s">
        <v>4459</v>
      </c>
      <c r="B1460" s="528" t="s">
        <v>4460</v>
      </c>
      <c r="C1460" s="528" t="s">
        <v>4461</v>
      </c>
      <c r="D1460" s="528" t="s">
        <v>251</v>
      </c>
      <c r="E1460" s="528"/>
      <c r="F1460" s="528"/>
      <c r="G1460" s="528" t="s">
        <v>205</v>
      </c>
      <c r="H1460"/>
    </row>
    <row r="1461" spans="1:8" x14ac:dyDescent="0.35">
      <c r="A1461" s="528" t="s">
        <v>4462</v>
      </c>
      <c r="B1461" s="528" t="s">
        <v>4463</v>
      </c>
      <c r="C1461" s="528" t="s">
        <v>2131</v>
      </c>
      <c r="D1461" s="528" t="s">
        <v>264</v>
      </c>
      <c r="E1461" s="528"/>
      <c r="F1461" s="528"/>
      <c r="G1461" s="528" t="s">
        <v>205</v>
      </c>
      <c r="H1461"/>
    </row>
    <row r="1462" spans="1:8" x14ac:dyDescent="0.35">
      <c r="A1462" s="528" t="s">
        <v>4464</v>
      </c>
      <c r="B1462" s="528" t="s">
        <v>4465</v>
      </c>
      <c r="C1462" s="528" t="s">
        <v>4466</v>
      </c>
      <c r="D1462" s="528" t="s">
        <v>264</v>
      </c>
      <c r="E1462" s="528"/>
      <c r="F1462" s="528"/>
      <c r="G1462" s="528" t="s">
        <v>208</v>
      </c>
      <c r="H1462"/>
    </row>
    <row r="1463" spans="1:8" x14ac:dyDescent="0.35">
      <c r="A1463" s="528" t="s">
        <v>4467</v>
      </c>
      <c r="B1463" s="528" t="s">
        <v>4468</v>
      </c>
      <c r="C1463" s="528" t="s">
        <v>4469</v>
      </c>
      <c r="D1463" s="528" t="s">
        <v>277</v>
      </c>
      <c r="E1463" s="528"/>
      <c r="F1463" s="528"/>
      <c r="G1463" s="528" t="s">
        <v>205</v>
      </c>
      <c r="H1463"/>
    </row>
    <row r="1464" spans="1:8" x14ac:dyDescent="0.35">
      <c r="A1464" s="528" t="s">
        <v>4470</v>
      </c>
      <c r="B1464" s="528" t="s">
        <v>4471</v>
      </c>
      <c r="C1464" s="528" t="s">
        <v>4472</v>
      </c>
      <c r="D1464" s="528" t="s">
        <v>277</v>
      </c>
      <c r="E1464" s="528"/>
      <c r="F1464" s="528"/>
      <c r="G1464" s="528" t="s">
        <v>205</v>
      </c>
      <c r="H1464"/>
    </row>
    <row r="1465" spans="1:8" x14ac:dyDescent="0.35">
      <c r="A1465" s="528" t="s">
        <v>4473</v>
      </c>
      <c r="B1465" s="528" t="s">
        <v>4474</v>
      </c>
      <c r="C1465" s="528" t="s">
        <v>4475</v>
      </c>
      <c r="D1465" s="528" t="s">
        <v>225</v>
      </c>
      <c r="E1465" s="528"/>
      <c r="F1465" s="528"/>
      <c r="G1465" s="528" t="s">
        <v>208</v>
      </c>
      <c r="H1465"/>
    </row>
    <row r="1466" spans="1:8" x14ac:dyDescent="0.35">
      <c r="A1466" s="528" t="s">
        <v>4476</v>
      </c>
      <c r="B1466" s="528" t="s">
        <v>4477</v>
      </c>
      <c r="C1466" s="528" t="s">
        <v>4478</v>
      </c>
      <c r="D1466" s="528" t="s">
        <v>225</v>
      </c>
      <c r="E1466" s="528"/>
      <c r="F1466" s="528"/>
      <c r="G1466" s="528" t="s">
        <v>208</v>
      </c>
      <c r="H1466"/>
    </row>
    <row r="1467" spans="1:8" x14ac:dyDescent="0.35">
      <c r="A1467" s="528" t="s">
        <v>4479</v>
      </c>
      <c r="B1467" s="528" t="s">
        <v>4480</v>
      </c>
      <c r="C1467" s="528" t="s">
        <v>4481</v>
      </c>
      <c r="D1467" s="528" t="s">
        <v>238</v>
      </c>
      <c r="E1467" s="528"/>
      <c r="F1467" s="528"/>
      <c r="G1467" s="528" t="s">
        <v>205</v>
      </c>
      <c r="H1467"/>
    </row>
    <row r="1468" spans="1:8" x14ac:dyDescent="0.35">
      <c r="A1468" s="528" t="s">
        <v>4482</v>
      </c>
      <c r="B1468" s="528" t="s">
        <v>4483</v>
      </c>
      <c r="C1468" s="528" t="s">
        <v>4484</v>
      </c>
      <c r="D1468" s="528" t="s">
        <v>238</v>
      </c>
      <c r="E1468" s="528"/>
      <c r="F1468" s="528"/>
      <c r="G1468" s="528" t="s">
        <v>205</v>
      </c>
      <c r="H1468"/>
    </row>
    <row r="1469" spans="1:8" x14ac:dyDescent="0.35">
      <c r="A1469" s="528" t="s">
        <v>4485</v>
      </c>
      <c r="B1469" s="528" t="s">
        <v>4486</v>
      </c>
      <c r="C1469" s="528" t="s">
        <v>4487</v>
      </c>
      <c r="D1469" s="528" t="s">
        <v>264</v>
      </c>
      <c r="E1469" s="528"/>
      <c r="F1469" s="528"/>
      <c r="G1469" s="528" t="s">
        <v>205</v>
      </c>
      <c r="H1469"/>
    </row>
    <row r="1470" spans="1:8" x14ac:dyDescent="0.35">
      <c r="A1470" s="528" t="s">
        <v>4488</v>
      </c>
      <c r="B1470" s="528" t="s">
        <v>4489</v>
      </c>
      <c r="C1470" s="528" t="s">
        <v>4490</v>
      </c>
      <c r="D1470" s="528" t="s">
        <v>225</v>
      </c>
      <c r="E1470" s="528"/>
      <c r="F1470" s="528"/>
      <c r="G1470" s="528" t="s">
        <v>205</v>
      </c>
      <c r="H1470"/>
    </row>
    <row r="1471" spans="1:8" x14ac:dyDescent="0.35">
      <c r="A1471" s="528" t="s">
        <v>4491</v>
      </c>
      <c r="B1471" s="528" t="s">
        <v>4492</v>
      </c>
      <c r="C1471" s="528" t="s">
        <v>4493</v>
      </c>
      <c r="D1471" s="528" t="s">
        <v>238</v>
      </c>
      <c r="E1471" s="528"/>
      <c r="F1471" s="528"/>
      <c r="G1471" s="528" t="s">
        <v>212</v>
      </c>
      <c r="H1471"/>
    </row>
    <row r="1472" spans="1:8" x14ac:dyDescent="0.35">
      <c r="A1472" s="528" t="s">
        <v>4494</v>
      </c>
      <c r="B1472" s="528" t="s">
        <v>4495</v>
      </c>
      <c r="C1472" s="528" t="s">
        <v>4496</v>
      </c>
      <c r="D1472" s="528" t="s">
        <v>277</v>
      </c>
      <c r="E1472" s="528"/>
      <c r="F1472" s="528"/>
      <c r="G1472" s="528" t="s">
        <v>205</v>
      </c>
      <c r="H1472"/>
    </row>
    <row r="1473" spans="1:8" x14ac:dyDescent="0.35">
      <c r="A1473" s="528" t="s">
        <v>4497</v>
      </c>
      <c r="B1473" s="528" t="s">
        <v>4498</v>
      </c>
      <c r="C1473" s="528" t="s">
        <v>4499</v>
      </c>
      <c r="D1473" s="528" t="s">
        <v>264</v>
      </c>
      <c r="E1473" s="528"/>
      <c r="F1473" s="528"/>
      <c r="G1473" s="528" t="s">
        <v>205</v>
      </c>
      <c r="H1473"/>
    </row>
    <row r="1474" spans="1:8" x14ac:dyDescent="0.35">
      <c r="A1474" s="528" t="s">
        <v>4500</v>
      </c>
      <c r="B1474" s="528" t="s">
        <v>4501</v>
      </c>
      <c r="C1474" s="528" t="s">
        <v>4502</v>
      </c>
      <c r="D1474" s="528" t="s">
        <v>225</v>
      </c>
      <c r="E1474" s="528"/>
      <c r="F1474" s="528"/>
      <c r="G1474" s="528" t="s">
        <v>208</v>
      </c>
      <c r="H1474"/>
    </row>
    <row r="1475" spans="1:8" x14ac:dyDescent="0.35">
      <c r="A1475" s="528" t="s">
        <v>4503</v>
      </c>
      <c r="B1475" s="528" t="s">
        <v>4504</v>
      </c>
      <c r="C1475" s="528" t="s">
        <v>4505</v>
      </c>
      <c r="D1475" s="528" t="s">
        <v>225</v>
      </c>
      <c r="E1475" s="528"/>
      <c r="F1475" s="528"/>
      <c r="G1475" s="528" t="s">
        <v>205</v>
      </c>
      <c r="H1475"/>
    </row>
    <row r="1476" spans="1:8" x14ac:dyDescent="0.35">
      <c r="A1476" s="528" t="s">
        <v>4506</v>
      </c>
      <c r="B1476" s="528" t="s">
        <v>4507</v>
      </c>
      <c r="C1476" s="528" t="s">
        <v>4508</v>
      </c>
      <c r="D1476" s="528" t="s">
        <v>264</v>
      </c>
      <c r="E1476" s="528"/>
      <c r="F1476" s="528"/>
      <c r="G1476" s="528" t="s">
        <v>205</v>
      </c>
      <c r="H1476"/>
    </row>
    <row r="1477" spans="1:8" x14ac:dyDescent="0.35">
      <c r="A1477" s="528" t="s">
        <v>4509</v>
      </c>
      <c r="B1477" s="528" t="s">
        <v>4510</v>
      </c>
      <c r="C1477" s="528" t="s">
        <v>4511</v>
      </c>
      <c r="D1477" s="528" t="s">
        <v>264</v>
      </c>
      <c r="E1477" s="528"/>
      <c r="F1477" s="528"/>
      <c r="G1477" s="528" t="s">
        <v>205</v>
      </c>
      <c r="H1477"/>
    </row>
    <row r="1478" spans="1:8" x14ac:dyDescent="0.35">
      <c r="A1478" s="528" t="s">
        <v>4512</v>
      </c>
      <c r="B1478" s="528" t="s">
        <v>4513</v>
      </c>
      <c r="C1478" s="528" t="s">
        <v>4514</v>
      </c>
      <c r="D1478" s="528" t="s">
        <v>251</v>
      </c>
      <c r="E1478" s="528"/>
      <c r="F1478" s="528"/>
      <c r="G1478" s="528" t="s">
        <v>205</v>
      </c>
      <c r="H1478"/>
    </row>
    <row r="1479" spans="1:8" x14ac:dyDescent="0.35">
      <c r="A1479" s="528" t="s">
        <v>4515</v>
      </c>
      <c r="B1479" s="528" t="s">
        <v>4516</v>
      </c>
      <c r="C1479" s="528" t="s">
        <v>4517</v>
      </c>
      <c r="D1479" s="528" t="s">
        <v>277</v>
      </c>
      <c r="E1479" s="528"/>
      <c r="F1479" s="528"/>
      <c r="G1479" s="528" t="s">
        <v>208</v>
      </c>
      <c r="H1479"/>
    </row>
    <row r="1480" spans="1:8" x14ac:dyDescent="0.35">
      <c r="A1480" s="528" t="s">
        <v>4518</v>
      </c>
      <c r="B1480" s="528" t="s">
        <v>4519</v>
      </c>
      <c r="C1480" s="528" t="s">
        <v>4520</v>
      </c>
      <c r="D1480" s="528" t="s">
        <v>277</v>
      </c>
      <c r="E1480" s="528"/>
      <c r="F1480" s="528"/>
      <c r="G1480" s="528" t="s">
        <v>208</v>
      </c>
      <c r="H1480"/>
    </row>
    <row r="1481" spans="1:8" x14ac:dyDescent="0.35">
      <c r="A1481" s="528" t="s">
        <v>4521</v>
      </c>
      <c r="B1481" s="528" t="s">
        <v>4522</v>
      </c>
      <c r="C1481" s="528" t="s">
        <v>4523</v>
      </c>
      <c r="D1481" s="528" t="s">
        <v>251</v>
      </c>
      <c r="E1481" s="528"/>
      <c r="F1481" s="528"/>
      <c r="G1481" s="528" t="s">
        <v>208</v>
      </c>
      <c r="H1481"/>
    </row>
    <row r="1482" spans="1:8" x14ac:dyDescent="0.35">
      <c r="A1482" s="528" t="s">
        <v>4524</v>
      </c>
      <c r="B1482" s="528" t="s">
        <v>4525</v>
      </c>
      <c r="C1482" s="528" t="s">
        <v>4526</v>
      </c>
      <c r="D1482" s="528" t="s">
        <v>238</v>
      </c>
      <c r="E1482" s="528"/>
      <c r="F1482" s="528"/>
      <c r="G1482" s="528" t="s">
        <v>208</v>
      </c>
      <c r="H1482"/>
    </row>
    <row r="1483" spans="1:8" x14ac:dyDescent="0.35">
      <c r="A1483" s="528" t="s">
        <v>4527</v>
      </c>
      <c r="B1483" s="528" t="s">
        <v>4528</v>
      </c>
      <c r="C1483" s="528" t="s">
        <v>4009</v>
      </c>
      <c r="D1483" s="528" t="s">
        <v>238</v>
      </c>
      <c r="E1483" s="528"/>
      <c r="F1483" s="528"/>
      <c r="G1483" s="528" t="s">
        <v>205</v>
      </c>
      <c r="H1483"/>
    </row>
    <row r="1484" spans="1:8" x14ac:dyDescent="0.35">
      <c r="A1484" s="528" t="s">
        <v>4529</v>
      </c>
      <c r="B1484" s="528" t="s">
        <v>4530</v>
      </c>
      <c r="C1484" s="528" t="s">
        <v>4531</v>
      </c>
      <c r="D1484" s="528" t="s">
        <v>251</v>
      </c>
      <c r="E1484" s="528"/>
      <c r="F1484" s="528"/>
      <c r="G1484" s="528" t="s">
        <v>208</v>
      </c>
      <c r="H1484"/>
    </row>
    <row r="1485" spans="1:8" x14ac:dyDescent="0.35">
      <c r="A1485" s="528" t="s">
        <v>4532</v>
      </c>
      <c r="B1485" s="528" t="s">
        <v>4533</v>
      </c>
      <c r="C1485" s="528" t="s">
        <v>4534</v>
      </c>
      <c r="D1485" s="528" t="s">
        <v>225</v>
      </c>
      <c r="E1485" s="528"/>
      <c r="F1485" s="528"/>
      <c r="G1485" s="528" t="s">
        <v>208</v>
      </c>
      <c r="H1485"/>
    </row>
    <row r="1486" spans="1:8" x14ac:dyDescent="0.35">
      <c r="A1486" s="528" t="s">
        <v>4535</v>
      </c>
      <c r="B1486" s="528" t="s">
        <v>4536</v>
      </c>
      <c r="C1486" s="528" t="s">
        <v>4537</v>
      </c>
      <c r="D1486" s="528" t="s">
        <v>277</v>
      </c>
      <c r="E1486" s="528"/>
      <c r="F1486" s="528"/>
      <c r="G1486" s="528" t="s">
        <v>205</v>
      </c>
      <c r="H1486"/>
    </row>
    <row r="1487" spans="1:8" x14ac:dyDescent="0.35">
      <c r="A1487" s="528" t="s">
        <v>4538</v>
      </c>
      <c r="B1487" s="528" t="s">
        <v>4539</v>
      </c>
      <c r="C1487" s="528" t="s">
        <v>4540</v>
      </c>
      <c r="D1487" s="528" t="s">
        <v>225</v>
      </c>
      <c r="E1487" s="528"/>
      <c r="F1487" s="528"/>
      <c r="G1487" s="528" t="s">
        <v>205</v>
      </c>
      <c r="H1487"/>
    </row>
    <row r="1488" spans="1:8" x14ac:dyDescent="0.35">
      <c r="A1488" s="528" t="s">
        <v>4541</v>
      </c>
      <c r="B1488" s="528" t="s">
        <v>4542</v>
      </c>
      <c r="C1488" s="528" t="s">
        <v>4543</v>
      </c>
      <c r="D1488" s="528" t="s">
        <v>225</v>
      </c>
      <c r="E1488" s="528"/>
      <c r="F1488" s="528"/>
      <c r="G1488" s="528" t="s">
        <v>205</v>
      </c>
      <c r="H1488"/>
    </row>
    <row r="1489" spans="1:8" x14ac:dyDescent="0.35">
      <c r="A1489" s="528" t="s">
        <v>4544</v>
      </c>
      <c r="B1489" s="528" t="s">
        <v>4545</v>
      </c>
      <c r="C1489" s="528" t="s">
        <v>1472</v>
      </c>
      <c r="D1489" s="528" t="s">
        <v>225</v>
      </c>
      <c r="E1489" s="528"/>
      <c r="F1489" s="528"/>
      <c r="G1489" s="528" t="s">
        <v>205</v>
      </c>
      <c r="H1489"/>
    </row>
    <row r="1490" spans="1:8" x14ac:dyDescent="0.35">
      <c r="A1490" s="528" t="s">
        <v>4546</v>
      </c>
      <c r="B1490" s="528" t="s">
        <v>4547</v>
      </c>
      <c r="C1490" s="528" t="s">
        <v>916</v>
      </c>
      <c r="D1490" s="528" t="s">
        <v>225</v>
      </c>
      <c r="E1490" s="528"/>
      <c r="F1490" s="528"/>
      <c r="G1490" s="528" t="s">
        <v>205</v>
      </c>
      <c r="H1490"/>
    </row>
    <row r="1491" spans="1:8" x14ac:dyDescent="0.35">
      <c r="A1491" s="528" t="s">
        <v>4548</v>
      </c>
      <c r="B1491" s="528" t="s">
        <v>4549</v>
      </c>
      <c r="C1491" s="528" t="s">
        <v>4550</v>
      </c>
      <c r="D1491" s="528" t="s">
        <v>264</v>
      </c>
      <c r="E1491" s="528"/>
      <c r="F1491" s="528"/>
      <c r="G1491" s="528" t="s">
        <v>205</v>
      </c>
      <c r="H1491"/>
    </row>
    <row r="1492" spans="1:8" x14ac:dyDescent="0.35">
      <c r="A1492" s="528" t="s">
        <v>4551</v>
      </c>
      <c r="B1492" s="528" t="s">
        <v>4552</v>
      </c>
      <c r="C1492" s="528" t="s">
        <v>3324</v>
      </c>
      <c r="D1492" s="528" t="s">
        <v>277</v>
      </c>
      <c r="E1492" s="528"/>
      <c r="F1492" s="528"/>
      <c r="G1492" s="528" t="s">
        <v>205</v>
      </c>
      <c r="H1492"/>
    </row>
    <row r="1493" spans="1:8" x14ac:dyDescent="0.35">
      <c r="A1493" s="528" t="s">
        <v>4553</v>
      </c>
      <c r="B1493" s="528" t="s">
        <v>4554</v>
      </c>
      <c r="C1493" s="528" t="s">
        <v>4555</v>
      </c>
      <c r="D1493" s="528" t="s">
        <v>264</v>
      </c>
      <c r="E1493" s="528"/>
      <c r="F1493" s="528"/>
      <c r="G1493" s="528" t="s">
        <v>205</v>
      </c>
      <c r="H1493"/>
    </row>
    <row r="1494" spans="1:8" x14ac:dyDescent="0.35">
      <c r="A1494" s="528" t="s">
        <v>4556</v>
      </c>
      <c r="B1494" s="528" t="s">
        <v>4557</v>
      </c>
      <c r="C1494" s="528" t="s">
        <v>4558</v>
      </c>
      <c r="D1494" s="528" t="s">
        <v>264</v>
      </c>
      <c r="E1494" s="528"/>
      <c r="F1494" s="528"/>
      <c r="G1494" s="528" t="s">
        <v>205</v>
      </c>
      <c r="H1494"/>
    </row>
    <row r="1495" spans="1:8" x14ac:dyDescent="0.35">
      <c r="A1495" s="528" t="s">
        <v>4559</v>
      </c>
      <c r="B1495" s="528" t="s">
        <v>4560</v>
      </c>
      <c r="C1495" s="528" t="s">
        <v>4561</v>
      </c>
      <c r="D1495" s="528" t="s">
        <v>264</v>
      </c>
      <c r="E1495" s="528"/>
      <c r="F1495" s="528"/>
      <c r="G1495" s="528" t="s">
        <v>205</v>
      </c>
      <c r="H1495"/>
    </row>
    <row r="1496" spans="1:8" x14ac:dyDescent="0.35">
      <c r="A1496" s="528" t="s">
        <v>4562</v>
      </c>
      <c r="B1496" s="528" t="s">
        <v>4563</v>
      </c>
      <c r="C1496" s="528" t="s">
        <v>1695</v>
      </c>
      <c r="D1496" s="528" t="s">
        <v>264</v>
      </c>
      <c r="E1496" s="528"/>
      <c r="F1496" s="528"/>
      <c r="G1496" s="528" t="s">
        <v>205</v>
      </c>
      <c r="H1496"/>
    </row>
    <row r="1497" spans="1:8" x14ac:dyDescent="0.35">
      <c r="A1497" s="528" t="s">
        <v>4564</v>
      </c>
      <c r="B1497" s="528" t="s">
        <v>4565</v>
      </c>
      <c r="C1497" s="528" t="s">
        <v>4566</v>
      </c>
      <c r="D1497" s="528" t="s">
        <v>264</v>
      </c>
      <c r="E1497" s="528"/>
      <c r="F1497" s="528"/>
      <c r="G1497" s="528" t="s">
        <v>205</v>
      </c>
      <c r="H1497"/>
    </row>
    <row r="1498" spans="1:8" x14ac:dyDescent="0.35">
      <c r="A1498" s="528" t="s">
        <v>4567</v>
      </c>
      <c r="B1498" s="528" t="s">
        <v>4568</v>
      </c>
      <c r="C1498" s="528" t="s">
        <v>4569</v>
      </c>
      <c r="D1498" s="528" t="s">
        <v>264</v>
      </c>
      <c r="E1498" s="528"/>
      <c r="F1498" s="528"/>
      <c r="G1498" s="528" t="s">
        <v>208</v>
      </c>
      <c r="H1498"/>
    </row>
    <row r="1499" spans="1:8" x14ac:dyDescent="0.35">
      <c r="A1499" s="528" t="s">
        <v>4570</v>
      </c>
      <c r="B1499" s="528" t="s">
        <v>4571</v>
      </c>
      <c r="C1499" s="528" t="s">
        <v>4572</v>
      </c>
      <c r="D1499" s="528" t="s">
        <v>264</v>
      </c>
      <c r="E1499" s="528"/>
      <c r="F1499" s="528"/>
      <c r="G1499" s="528" t="s">
        <v>208</v>
      </c>
      <c r="H1499"/>
    </row>
    <row r="1500" spans="1:8" x14ac:dyDescent="0.35">
      <c r="A1500" s="528" t="s">
        <v>4573</v>
      </c>
      <c r="B1500" s="528" t="s">
        <v>4574</v>
      </c>
      <c r="C1500" s="528" t="s">
        <v>4575</v>
      </c>
      <c r="D1500" s="528" t="s">
        <v>225</v>
      </c>
      <c r="E1500" s="528"/>
      <c r="F1500" s="528"/>
      <c r="G1500" s="528" t="s">
        <v>205</v>
      </c>
      <c r="H1500"/>
    </row>
    <row r="1501" spans="1:8" x14ac:dyDescent="0.35">
      <c r="A1501" s="528" t="s">
        <v>4576</v>
      </c>
      <c r="B1501" s="528" t="s">
        <v>4577</v>
      </c>
      <c r="C1501" s="528" t="s">
        <v>4578</v>
      </c>
      <c r="D1501" s="528" t="s">
        <v>225</v>
      </c>
      <c r="E1501" s="528"/>
      <c r="F1501" s="528"/>
      <c r="G1501" s="528" t="s">
        <v>205</v>
      </c>
      <c r="H1501"/>
    </row>
    <row r="1502" spans="1:8" x14ac:dyDescent="0.35">
      <c r="A1502" s="528" t="s">
        <v>4579</v>
      </c>
      <c r="B1502" s="528" t="s">
        <v>4580</v>
      </c>
      <c r="C1502" s="528" t="s">
        <v>4581</v>
      </c>
      <c r="D1502" s="528" t="s">
        <v>264</v>
      </c>
      <c r="E1502" s="528"/>
      <c r="F1502" s="528"/>
      <c r="G1502" s="528" t="s">
        <v>208</v>
      </c>
      <c r="H1502"/>
    </row>
    <row r="1503" spans="1:8" x14ac:dyDescent="0.35">
      <c r="A1503" s="528" t="s">
        <v>4582</v>
      </c>
      <c r="B1503" s="528" t="s">
        <v>4583</v>
      </c>
      <c r="C1503" s="528" t="s">
        <v>985</v>
      </c>
      <c r="D1503" s="528" t="s">
        <v>264</v>
      </c>
      <c r="E1503" s="528"/>
      <c r="F1503" s="528"/>
      <c r="G1503" s="528" t="s">
        <v>208</v>
      </c>
      <c r="H1503"/>
    </row>
    <row r="1504" spans="1:8" x14ac:dyDescent="0.35">
      <c r="A1504" s="528" t="s">
        <v>4584</v>
      </c>
      <c r="B1504" s="528" t="s">
        <v>4585</v>
      </c>
      <c r="C1504" s="528" t="s">
        <v>4586</v>
      </c>
      <c r="D1504" s="528" t="s">
        <v>264</v>
      </c>
      <c r="E1504" s="528"/>
      <c r="F1504" s="528"/>
      <c r="G1504" s="528" t="s">
        <v>208</v>
      </c>
      <c r="H1504"/>
    </row>
    <row r="1505" spans="1:8" x14ac:dyDescent="0.35">
      <c r="A1505" s="528" t="s">
        <v>4587</v>
      </c>
      <c r="B1505" s="528" t="s">
        <v>4588</v>
      </c>
      <c r="C1505" s="528" t="s">
        <v>2452</v>
      </c>
      <c r="D1505" s="528" t="s">
        <v>277</v>
      </c>
      <c r="E1505" s="528"/>
      <c r="F1505" s="528"/>
      <c r="G1505" s="528" t="s">
        <v>208</v>
      </c>
      <c r="H1505"/>
    </row>
    <row r="1506" spans="1:8" x14ac:dyDescent="0.35">
      <c r="A1506" s="528" t="s">
        <v>4589</v>
      </c>
      <c r="B1506" s="528" t="s">
        <v>4590</v>
      </c>
      <c r="C1506" s="528" t="s">
        <v>4591</v>
      </c>
      <c r="D1506" s="528" t="s">
        <v>277</v>
      </c>
      <c r="E1506" s="528"/>
      <c r="F1506" s="528"/>
      <c r="G1506" s="528" t="s">
        <v>208</v>
      </c>
      <c r="H1506"/>
    </row>
    <row r="1507" spans="1:8" x14ac:dyDescent="0.35">
      <c r="A1507" s="528" t="s">
        <v>4592</v>
      </c>
      <c r="B1507" s="528" t="s">
        <v>4593</v>
      </c>
      <c r="C1507" s="528" t="s">
        <v>4594</v>
      </c>
      <c r="D1507" s="528" t="s">
        <v>277</v>
      </c>
      <c r="E1507" s="528"/>
      <c r="F1507" s="528"/>
      <c r="G1507" s="528" t="s">
        <v>208</v>
      </c>
      <c r="H1507"/>
    </row>
    <row r="1508" spans="1:8" x14ac:dyDescent="0.35">
      <c r="A1508" s="528" t="s">
        <v>4595</v>
      </c>
      <c r="B1508" s="528" t="s">
        <v>4596</v>
      </c>
      <c r="C1508" s="528" t="s">
        <v>745</v>
      </c>
      <c r="D1508" s="528" t="s">
        <v>277</v>
      </c>
      <c r="E1508" s="528"/>
      <c r="F1508" s="528"/>
      <c r="G1508" s="528" t="s">
        <v>208</v>
      </c>
      <c r="H1508"/>
    </row>
    <row r="1509" spans="1:8" x14ac:dyDescent="0.35">
      <c r="A1509" s="528" t="s">
        <v>4597</v>
      </c>
      <c r="B1509" s="528" t="s">
        <v>4598</v>
      </c>
      <c r="C1509" s="528" t="s">
        <v>4599</v>
      </c>
      <c r="D1509" s="528" t="s">
        <v>277</v>
      </c>
      <c r="E1509" s="528"/>
      <c r="F1509" s="528"/>
      <c r="G1509" s="528" t="s">
        <v>208</v>
      </c>
      <c r="H1509"/>
    </row>
    <row r="1510" spans="1:8" x14ac:dyDescent="0.35">
      <c r="A1510" s="528" t="s">
        <v>4600</v>
      </c>
      <c r="B1510" s="528" t="s">
        <v>4601</v>
      </c>
      <c r="C1510" s="528" t="s">
        <v>4602</v>
      </c>
      <c r="D1510" s="528" t="s">
        <v>277</v>
      </c>
      <c r="E1510" s="528"/>
      <c r="F1510" s="528"/>
      <c r="G1510" s="528" t="s">
        <v>208</v>
      </c>
      <c r="H1510"/>
    </row>
    <row r="1511" spans="1:8" x14ac:dyDescent="0.35">
      <c r="A1511" s="528" t="s">
        <v>4603</v>
      </c>
      <c r="B1511" s="528" t="s">
        <v>4604</v>
      </c>
      <c r="C1511" s="528" t="s">
        <v>1347</v>
      </c>
      <c r="D1511" s="528" t="s">
        <v>277</v>
      </c>
      <c r="E1511" s="528"/>
      <c r="F1511" s="528"/>
      <c r="G1511" s="528" t="s">
        <v>205</v>
      </c>
      <c r="H1511"/>
    </row>
    <row r="1512" spans="1:8" x14ac:dyDescent="0.35">
      <c r="A1512" s="528" t="s">
        <v>4605</v>
      </c>
      <c r="B1512" s="528" t="s">
        <v>4606</v>
      </c>
      <c r="C1512" s="528" t="s">
        <v>1533</v>
      </c>
      <c r="D1512" s="528" t="s">
        <v>277</v>
      </c>
      <c r="E1512" s="528"/>
      <c r="F1512" s="528"/>
      <c r="G1512" s="528" t="s">
        <v>205</v>
      </c>
      <c r="H1512"/>
    </row>
    <row r="1513" spans="1:8" x14ac:dyDescent="0.35">
      <c r="A1513" s="528" t="s">
        <v>4607</v>
      </c>
      <c r="B1513" s="528" t="s">
        <v>4608</v>
      </c>
      <c r="C1513" s="528" t="s">
        <v>4609</v>
      </c>
      <c r="D1513" s="528" t="s">
        <v>277</v>
      </c>
      <c r="E1513" s="528"/>
      <c r="F1513" s="528"/>
      <c r="G1513" s="528" t="s">
        <v>208</v>
      </c>
      <c r="H1513"/>
    </row>
    <row r="1514" spans="1:8" x14ac:dyDescent="0.35">
      <c r="A1514" s="528" t="s">
        <v>4610</v>
      </c>
      <c r="B1514" s="528" t="s">
        <v>4611</v>
      </c>
      <c r="C1514" s="528" t="s">
        <v>3324</v>
      </c>
      <c r="D1514" s="528" t="s">
        <v>277</v>
      </c>
      <c r="E1514" s="528"/>
      <c r="F1514" s="528"/>
      <c r="G1514" s="528" t="s">
        <v>205</v>
      </c>
      <c r="H1514"/>
    </row>
    <row r="1515" spans="1:8" x14ac:dyDescent="0.35">
      <c r="A1515" s="528" t="s">
        <v>4612</v>
      </c>
      <c r="B1515" s="528" t="s">
        <v>4613</v>
      </c>
      <c r="C1515" s="528" t="s">
        <v>4614</v>
      </c>
      <c r="D1515" s="528" t="s">
        <v>264</v>
      </c>
      <c r="E1515" s="528"/>
      <c r="F1515" s="528"/>
      <c r="G1515" s="528" t="s">
        <v>205</v>
      </c>
      <c r="H1515"/>
    </row>
    <row r="1516" spans="1:8" x14ac:dyDescent="0.35">
      <c r="A1516" s="528" t="s">
        <v>4615</v>
      </c>
      <c r="B1516" s="528" t="s">
        <v>4616</v>
      </c>
      <c r="C1516" s="528" t="s">
        <v>1267</v>
      </c>
      <c r="D1516" s="528" t="s">
        <v>264</v>
      </c>
      <c r="E1516" s="528"/>
      <c r="F1516" s="528"/>
      <c r="G1516" s="528" t="s">
        <v>205</v>
      </c>
      <c r="H1516"/>
    </row>
    <row r="1517" spans="1:8" x14ac:dyDescent="0.35">
      <c r="A1517" s="528" t="s">
        <v>4617</v>
      </c>
      <c r="B1517" s="528" t="s">
        <v>4618</v>
      </c>
      <c r="C1517" s="528" t="s">
        <v>1291</v>
      </c>
      <c r="D1517" s="528" t="s">
        <v>264</v>
      </c>
      <c r="E1517" s="528"/>
      <c r="F1517" s="528"/>
      <c r="G1517" s="528" t="s">
        <v>205</v>
      </c>
      <c r="H1517"/>
    </row>
    <row r="1518" spans="1:8" x14ac:dyDescent="0.35">
      <c r="A1518" s="528" t="s">
        <v>4619</v>
      </c>
      <c r="B1518" s="528" t="s">
        <v>4620</v>
      </c>
      <c r="C1518" s="528" t="s">
        <v>4621</v>
      </c>
      <c r="D1518" s="528" t="s">
        <v>225</v>
      </c>
      <c r="E1518" s="528"/>
      <c r="F1518" s="528"/>
      <c r="G1518" s="528" t="s">
        <v>205</v>
      </c>
      <c r="H1518"/>
    </row>
    <row r="1519" spans="1:8" x14ac:dyDescent="0.35">
      <c r="A1519" s="528" t="s">
        <v>4622</v>
      </c>
      <c r="B1519" s="528" t="s">
        <v>4623</v>
      </c>
      <c r="C1519" s="528" t="s">
        <v>4624</v>
      </c>
      <c r="D1519" s="528" t="s">
        <v>264</v>
      </c>
      <c r="E1519" s="528"/>
      <c r="F1519" s="528"/>
      <c r="G1519" s="528" t="s">
        <v>205</v>
      </c>
      <c r="H1519"/>
    </row>
    <row r="1520" spans="1:8" x14ac:dyDescent="0.35">
      <c r="A1520" s="528" t="s">
        <v>4625</v>
      </c>
      <c r="B1520" s="528" t="s">
        <v>4626</v>
      </c>
      <c r="C1520" s="528" t="s">
        <v>4627</v>
      </c>
      <c r="D1520" s="528" t="s">
        <v>277</v>
      </c>
      <c r="E1520" s="528" t="s">
        <v>264</v>
      </c>
      <c r="F1520" s="528"/>
      <c r="G1520" s="528" t="s">
        <v>205</v>
      </c>
      <c r="H1520"/>
    </row>
    <row r="1521" spans="1:8" x14ac:dyDescent="0.35">
      <c r="A1521" s="528" t="s">
        <v>4628</v>
      </c>
      <c r="B1521" s="528" t="s">
        <v>4629</v>
      </c>
      <c r="C1521" s="528" t="s">
        <v>4630</v>
      </c>
      <c r="D1521" s="528" t="s">
        <v>264</v>
      </c>
      <c r="E1521" s="528"/>
      <c r="F1521" s="528"/>
      <c r="G1521" s="528" t="s">
        <v>205</v>
      </c>
      <c r="H1521"/>
    </row>
    <row r="1522" spans="1:8" x14ac:dyDescent="0.35">
      <c r="A1522" s="528" t="s">
        <v>4631</v>
      </c>
      <c r="B1522" s="528" t="s">
        <v>4632</v>
      </c>
      <c r="C1522" s="528" t="s">
        <v>4633</v>
      </c>
      <c r="D1522" s="528" t="s">
        <v>264</v>
      </c>
      <c r="E1522" s="528"/>
      <c r="F1522" s="528"/>
      <c r="G1522" s="528" t="s">
        <v>208</v>
      </c>
      <c r="H1522"/>
    </row>
    <row r="1523" spans="1:8" x14ac:dyDescent="0.35">
      <c r="A1523" s="528" t="s">
        <v>4634</v>
      </c>
      <c r="B1523" s="528" t="s">
        <v>4635</v>
      </c>
      <c r="C1523" s="528" t="s">
        <v>4636</v>
      </c>
      <c r="D1523" s="528" t="s">
        <v>225</v>
      </c>
      <c r="E1523" s="528"/>
      <c r="F1523" s="528"/>
      <c r="G1523" s="528" t="s">
        <v>208</v>
      </c>
      <c r="H1523"/>
    </row>
    <row r="1524" spans="1:8" x14ac:dyDescent="0.35">
      <c r="A1524" s="528" t="s">
        <v>4637</v>
      </c>
      <c r="B1524" s="528" t="s">
        <v>4638</v>
      </c>
      <c r="C1524" s="528" t="s">
        <v>4639</v>
      </c>
      <c r="D1524" s="528" t="s">
        <v>264</v>
      </c>
      <c r="E1524" s="528"/>
      <c r="F1524" s="528"/>
      <c r="G1524" s="528" t="s">
        <v>208</v>
      </c>
      <c r="H1524"/>
    </row>
    <row r="1525" spans="1:8" x14ac:dyDescent="0.35">
      <c r="A1525" s="528" t="s">
        <v>4640</v>
      </c>
      <c r="B1525" s="528" t="s">
        <v>4641</v>
      </c>
      <c r="C1525" s="528" t="s">
        <v>4642</v>
      </c>
      <c r="D1525" s="528" t="s">
        <v>277</v>
      </c>
      <c r="E1525" s="528"/>
      <c r="F1525" s="528"/>
      <c r="G1525" s="528" t="s">
        <v>205</v>
      </c>
      <c r="H1525"/>
    </row>
    <row r="1526" spans="1:8" x14ac:dyDescent="0.35">
      <c r="A1526" s="528" t="s">
        <v>4643</v>
      </c>
      <c r="B1526" s="528" t="s">
        <v>4644</v>
      </c>
      <c r="C1526" s="528" t="s">
        <v>4645</v>
      </c>
      <c r="D1526" s="528" t="s">
        <v>277</v>
      </c>
      <c r="E1526" s="528"/>
      <c r="F1526" s="528"/>
      <c r="G1526" s="528" t="s">
        <v>205</v>
      </c>
      <c r="H1526"/>
    </row>
    <row r="1527" spans="1:8" x14ac:dyDescent="0.35">
      <c r="A1527" s="528" t="s">
        <v>4646</v>
      </c>
      <c r="B1527" s="528" t="s">
        <v>4647</v>
      </c>
      <c r="C1527" s="528" t="s">
        <v>4648</v>
      </c>
      <c r="D1527" s="528" t="s">
        <v>238</v>
      </c>
      <c r="E1527" s="528"/>
      <c r="F1527" s="528"/>
      <c r="G1527" s="528" t="s">
        <v>205</v>
      </c>
      <c r="H1527"/>
    </row>
    <row r="1528" spans="1:8" x14ac:dyDescent="0.35">
      <c r="A1528" s="528" t="s">
        <v>4649</v>
      </c>
      <c r="B1528" s="528" t="s">
        <v>4650</v>
      </c>
      <c r="C1528" s="528" t="s">
        <v>4651</v>
      </c>
      <c r="D1528" s="528" t="s">
        <v>238</v>
      </c>
      <c r="E1528" s="528"/>
      <c r="F1528" s="528"/>
      <c r="G1528" s="528" t="s">
        <v>205</v>
      </c>
      <c r="H1528"/>
    </row>
    <row r="1529" spans="1:8" x14ac:dyDescent="0.35">
      <c r="A1529" s="528" t="s">
        <v>4652</v>
      </c>
      <c r="B1529" s="528" t="s">
        <v>4653</v>
      </c>
      <c r="C1529" s="528" t="s">
        <v>4654</v>
      </c>
      <c r="D1529" s="528" t="s">
        <v>251</v>
      </c>
      <c r="E1529" s="528"/>
      <c r="F1529" s="528"/>
      <c r="G1529" s="528" t="s">
        <v>208</v>
      </c>
      <c r="H1529"/>
    </row>
    <row r="1530" spans="1:8" x14ac:dyDescent="0.35">
      <c r="A1530" s="528" t="s">
        <v>4655</v>
      </c>
      <c r="B1530" s="528" t="s">
        <v>4656</v>
      </c>
      <c r="C1530" s="528" t="s">
        <v>4657</v>
      </c>
      <c r="D1530" s="528" t="s">
        <v>225</v>
      </c>
      <c r="E1530" s="528"/>
      <c r="F1530" s="528"/>
      <c r="G1530" s="528" t="s">
        <v>205</v>
      </c>
      <c r="H1530"/>
    </row>
    <row r="1531" spans="1:8" x14ac:dyDescent="0.35">
      <c r="A1531" s="528" t="s">
        <v>4658</v>
      </c>
      <c r="B1531" s="528" t="s">
        <v>4659</v>
      </c>
      <c r="C1531" s="528" t="s">
        <v>4660</v>
      </c>
      <c r="D1531" s="528" t="s">
        <v>225</v>
      </c>
      <c r="E1531" s="528"/>
      <c r="F1531" s="528"/>
      <c r="G1531" s="528" t="s">
        <v>205</v>
      </c>
      <c r="H1531"/>
    </row>
    <row r="1532" spans="1:8" x14ac:dyDescent="0.35">
      <c r="A1532" s="528" t="s">
        <v>4661</v>
      </c>
      <c r="B1532" s="528" t="s">
        <v>4662</v>
      </c>
      <c r="C1532" s="528" t="s">
        <v>4663</v>
      </c>
      <c r="D1532" s="528" t="s">
        <v>251</v>
      </c>
      <c r="E1532" s="528"/>
      <c r="F1532" s="528"/>
      <c r="G1532" s="528" t="s">
        <v>205</v>
      </c>
      <c r="H1532"/>
    </row>
    <row r="1533" spans="1:8" x14ac:dyDescent="0.35">
      <c r="A1533" s="528" t="s">
        <v>4664</v>
      </c>
      <c r="B1533" s="528" t="s">
        <v>4665</v>
      </c>
      <c r="C1533" s="528" t="s">
        <v>4666</v>
      </c>
      <c r="D1533" s="528" t="s">
        <v>277</v>
      </c>
      <c r="E1533" s="528"/>
      <c r="F1533" s="528"/>
      <c r="G1533" s="528" t="s">
        <v>208</v>
      </c>
      <c r="H1533"/>
    </row>
    <row r="1534" spans="1:8" x14ac:dyDescent="0.35">
      <c r="A1534" s="528" t="s">
        <v>4667</v>
      </c>
      <c r="B1534" s="528" t="s">
        <v>4668</v>
      </c>
      <c r="C1534" s="528" t="s">
        <v>4669</v>
      </c>
      <c r="D1534" s="528" t="s">
        <v>277</v>
      </c>
      <c r="E1534" s="528"/>
      <c r="F1534" s="528"/>
      <c r="G1534" s="528" t="s">
        <v>208</v>
      </c>
      <c r="H1534"/>
    </row>
    <row r="1535" spans="1:8" x14ac:dyDescent="0.35">
      <c r="A1535" s="528" t="s">
        <v>4670</v>
      </c>
      <c r="B1535" s="528" t="s">
        <v>4671</v>
      </c>
      <c r="C1535" s="528" t="s">
        <v>4672</v>
      </c>
      <c r="D1535" s="528" t="s">
        <v>251</v>
      </c>
      <c r="E1535" s="528"/>
      <c r="F1535" s="528"/>
      <c r="G1535" s="528" t="s">
        <v>208</v>
      </c>
      <c r="H1535"/>
    </row>
    <row r="1536" spans="1:8" x14ac:dyDescent="0.35">
      <c r="A1536" s="528" t="s">
        <v>4673</v>
      </c>
      <c r="B1536" s="528" t="s">
        <v>4674</v>
      </c>
      <c r="C1536" s="528" t="s">
        <v>4675</v>
      </c>
      <c r="D1536" s="528" t="s">
        <v>251</v>
      </c>
      <c r="E1536" s="528"/>
      <c r="F1536" s="528"/>
      <c r="G1536" s="528" t="s">
        <v>208</v>
      </c>
      <c r="H1536"/>
    </row>
    <row r="1537" spans="1:8" x14ac:dyDescent="0.35">
      <c r="A1537" s="528" t="s">
        <v>4676</v>
      </c>
      <c r="B1537" s="528" t="s">
        <v>4677</v>
      </c>
      <c r="C1537" s="528" t="s">
        <v>4678</v>
      </c>
      <c r="D1537" s="528" t="s">
        <v>277</v>
      </c>
      <c r="E1537" s="528"/>
      <c r="F1537" s="528"/>
      <c r="G1537" s="528" t="s">
        <v>205</v>
      </c>
      <c r="H1537"/>
    </row>
    <row r="1538" spans="1:8" x14ac:dyDescent="0.35">
      <c r="A1538" s="528" t="s">
        <v>4679</v>
      </c>
      <c r="B1538" s="528" t="s">
        <v>4680</v>
      </c>
      <c r="C1538" s="528" t="s">
        <v>4681</v>
      </c>
      <c r="D1538" s="528" t="s">
        <v>277</v>
      </c>
      <c r="E1538" s="528"/>
      <c r="F1538" s="528"/>
      <c r="G1538" s="528" t="s">
        <v>205</v>
      </c>
      <c r="H1538"/>
    </row>
    <row r="1539" spans="1:8" x14ac:dyDescent="0.35">
      <c r="A1539" s="528" t="s">
        <v>4682</v>
      </c>
      <c r="B1539" s="528" t="s">
        <v>4683</v>
      </c>
      <c r="C1539" s="528" t="s">
        <v>4684</v>
      </c>
      <c r="D1539" s="528" t="s">
        <v>264</v>
      </c>
      <c r="E1539" s="528"/>
      <c r="F1539" s="528"/>
      <c r="G1539" s="528" t="s">
        <v>208</v>
      </c>
      <c r="H1539"/>
    </row>
    <row r="1540" spans="1:8" x14ac:dyDescent="0.35">
      <c r="A1540" s="528" t="s">
        <v>4685</v>
      </c>
      <c r="B1540" s="528" t="s">
        <v>4686</v>
      </c>
      <c r="C1540" s="528" t="s">
        <v>4687</v>
      </c>
      <c r="D1540" s="528" t="s">
        <v>251</v>
      </c>
      <c r="E1540" s="528"/>
      <c r="F1540" s="528"/>
      <c r="G1540" s="528" t="s">
        <v>208</v>
      </c>
      <c r="H1540"/>
    </row>
    <row r="1541" spans="1:8" x14ac:dyDescent="0.35">
      <c r="A1541" s="528" t="s">
        <v>4688</v>
      </c>
      <c r="B1541" s="528" t="s">
        <v>4689</v>
      </c>
      <c r="C1541" s="528" t="s">
        <v>4690</v>
      </c>
      <c r="D1541" s="528" t="s">
        <v>251</v>
      </c>
      <c r="E1541" s="528"/>
      <c r="F1541" s="528"/>
      <c r="G1541" s="528" t="s">
        <v>208</v>
      </c>
      <c r="H1541"/>
    </row>
    <row r="1542" spans="1:8" x14ac:dyDescent="0.35">
      <c r="A1542" s="528" t="s">
        <v>4691</v>
      </c>
      <c r="B1542" s="528" t="s">
        <v>4692</v>
      </c>
      <c r="C1542" s="528" t="s">
        <v>4693</v>
      </c>
      <c r="D1542" s="528" t="s">
        <v>238</v>
      </c>
      <c r="E1542" s="528"/>
      <c r="F1542" s="528"/>
      <c r="G1542" s="528" t="s">
        <v>205</v>
      </c>
      <c r="H1542"/>
    </row>
    <row r="1543" spans="1:8" x14ac:dyDescent="0.35">
      <c r="A1543" s="528" t="s">
        <v>4694</v>
      </c>
      <c r="B1543" s="528" t="s">
        <v>4695</v>
      </c>
      <c r="C1543" s="528" t="s">
        <v>3489</v>
      </c>
      <c r="D1543" s="528" t="s">
        <v>251</v>
      </c>
      <c r="E1543" s="528"/>
      <c r="F1543" s="528"/>
      <c r="G1543" s="528" t="s">
        <v>205</v>
      </c>
      <c r="H1543"/>
    </row>
    <row r="1544" spans="1:8" x14ac:dyDescent="0.35">
      <c r="A1544" s="528" t="s">
        <v>4696</v>
      </c>
      <c r="B1544" s="528" t="s">
        <v>4697</v>
      </c>
      <c r="C1544" s="528" t="s">
        <v>4698</v>
      </c>
      <c r="D1544" s="528" t="s">
        <v>264</v>
      </c>
      <c r="E1544" s="528"/>
      <c r="F1544" s="528"/>
      <c r="G1544" s="528" t="s">
        <v>205</v>
      </c>
      <c r="H1544"/>
    </row>
    <row r="1545" spans="1:8" x14ac:dyDescent="0.35">
      <c r="A1545" s="528" t="s">
        <v>4699</v>
      </c>
      <c r="B1545" s="528" t="s">
        <v>4700</v>
      </c>
      <c r="C1545" s="528" t="s">
        <v>4701</v>
      </c>
      <c r="D1545" s="528" t="s">
        <v>264</v>
      </c>
      <c r="E1545" s="528"/>
      <c r="F1545" s="528"/>
      <c r="G1545" s="528" t="s">
        <v>208</v>
      </c>
      <c r="H1545"/>
    </row>
    <row r="1546" spans="1:8" x14ac:dyDescent="0.35">
      <c r="A1546" s="528" t="s">
        <v>4702</v>
      </c>
      <c r="B1546" s="528" t="s">
        <v>4703</v>
      </c>
      <c r="C1546" s="528" t="s">
        <v>4704</v>
      </c>
      <c r="D1546" s="528" t="s">
        <v>225</v>
      </c>
      <c r="E1546" s="528"/>
      <c r="F1546" s="528"/>
      <c r="G1546" s="528" t="s">
        <v>205</v>
      </c>
      <c r="H1546"/>
    </row>
    <row r="1547" spans="1:8" x14ac:dyDescent="0.35">
      <c r="A1547" s="528" t="s">
        <v>4705</v>
      </c>
      <c r="B1547" s="528" t="s">
        <v>4706</v>
      </c>
      <c r="C1547" s="528" t="s">
        <v>4707</v>
      </c>
      <c r="D1547" s="528" t="s">
        <v>264</v>
      </c>
      <c r="E1547" s="528"/>
      <c r="F1547" s="528"/>
      <c r="G1547" s="528" t="s">
        <v>205</v>
      </c>
      <c r="H1547"/>
    </row>
    <row r="1548" spans="1:8" x14ac:dyDescent="0.35">
      <c r="A1548" s="528" t="s">
        <v>4708</v>
      </c>
      <c r="B1548" s="528" t="s">
        <v>4709</v>
      </c>
      <c r="C1548" s="528" t="s">
        <v>4710</v>
      </c>
      <c r="D1548" s="528" t="s">
        <v>264</v>
      </c>
      <c r="E1548" s="528"/>
      <c r="F1548" s="528"/>
      <c r="G1548" s="528" t="s">
        <v>205</v>
      </c>
      <c r="H1548"/>
    </row>
    <row r="1549" spans="1:8" x14ac:dyDescent="0.35">
      <c r="A1549" s="528" t="s">
        <v>4711</v>
      </c>
      <c r="B1549" s="528" t="s">
        <v>4712</v>
      </c>
      <c r="C1549" s="528" t="s">
        <v>3721</v>
      </c>
      <c r="D1549" s="528" t="s">
        <v>225</v>
      </c>
      <c r="E1549" s="528"/>
      <c r="F1549" s="528"/>
      <c r="G1549" s="528" t="s">
        <v>205</v>
      </c>
      <c r="H1549"/>
    </row>
    <row r="1550" spans="1:8" x14ac:dyDescent="0.35">
      <c r="A1550" s="528" t="s">
        <v>4713</v>
      </c>
      <c r="B1550" s="528" t="s">
        <v>4714</v>
      </c>
      <c r="C1550" s="528" t="s">
        <v>2169</v>
      </c>
      <c r="D1550" s="528" t="s">
        <v>225</v>
      </c>
      <c r="E1550" s="528"/>
      <c r="F1550" s="528"/>
      <c r="G1550" s="528" t="s">
        <v>205</v>
      </c>
      <c r="H1550"/>
    </row>
    <row r="1551" spans="1:8" x14ac:dyDescent="0.35">
      <c r="A1551" s="528" t="s">
        <v>4715</v>
      </c>
      <c r="B1551" s="528" t="s">
        <v>4716</v>
      </c>
      <c r="C1551" s="528" t="s">
        <v>4717</v>
      </c>
      <c r="D1551" s="528" t="s">
        <v>225</v>
      </c>
      <c r="E1551" s="528"/>
      <c r="F1551" s="528"/>
      <c r="G1551" s="528" t="s">
        <v>205</v>
      </c>
      <c r="H1551"/>
    </row>
    <row r="1552" spans="1:8" x14ac:dyDescent="0.35">
      <c r="A1552" s="528" t="s">
        <v>4718</v>
      </c>
      <c r="B1552" s="528" t="s">
        <v>4719</v>
      </c>
      <c r="C1552" s="528" t="s">
        <v>1504</v>
      </c>
      <c r="D1552" s="528" t="s">
        <v>264</v>
      </c>
      <c r="E1552" s="528" t="s">
        <v>277</v>
      </c>
      <c r="F1552" s="528"/>
      <c r="G1552" s="528" t="s">
        <v>205</v>
      </c>
      <c r="H1552"/>
    </row>
    <row r="1553" spans="1:8" x14ac:dyDescent="0.35">
      <c r="A1553" s="528" t="s">
        <v>4720</v>
      </c>
      <c r="B1553" s="528" t="s">
        <v>4721</v>
      </c>
      <c r="C1553" s="528" t="s">
        <v>4722</v>
      </c>
      <c r="D1553" s="528" t="s">
        <v>251</v>
      </c>
      <c r="E1553" s="528"/>
      <c r="F1553" s="528"/>
      <c r="G1553" s="528" t="s">
        <v>205</v>
      </c>
      <c r="H1553"/>
    </row>
    <row r="1554" spans="1:8" x14ac:dyDescent="0.35">
      <c r="A1554" s="528" t="s">
        <v>4723</v>
      </c>
      <c r="B1554" s="528" t="s">
        <v>4724</v>
      </c>
      <c r="C1554" s="528" t="s">
        <v>2449</v>
      </c>
      <c r="D1554" s="528" t="s">
        <v>251</v>
      </c>
      <c r="E1554" s="528"/>
      <c r="F1554" s="528"/>
      <c r="G1554" s="528" t="s">
        <v>208</v>
      </c>
      <c r="H1554"/>
    </row>
    <row r="1555" spans="1:8" x14ac:dyDescent="0.35">
      <c r="A1555" s="528" t="s">
        <v>4725</v>
      </c>
      <c r="B1555" s="528" t="s">
        <v>4726</v>
      </c>
      <c r="C1555" s="528" t="s">
        <v>4727</v>
      </c>
      <c r="D1555" s="528" t="s">
        <v>251</v>
      </c>
      <c r="E1555" s="528"/>
      <c r="F1555" s="528"/>
      <c r="G1555" s="528" t="s">
        <v>205</v>
      </c>
      <c r="H1555"/>
    </row>
    <row r="1556" spans="1:8" x14ac:dyDescent="0.35">
      <c r="A1556" s="528" t="s">
        <v>4728</v>
      </c>
      <c r="B1556" s="528" t="s">
        <v>4729</v>
      </c>
      <c r="C1556" s="528" t="s">
        <v>4730</v>
      </c>
      <c r="D1556" s="528" t="s">
        <v>251</v>
      </c>
      <c r="E1556" s="528"/>
      <c r="F1556" s="528"/>
      <c r="G1556" s="528" t="s">
        <v>205</v>
      </c>
      <c r="H1556"/>
    </row>
    <row r="1557" spans="1:8" x14ac:dyDescent="0.35">
      <c r="A1557" s="528" t="s">
        <v>4731</v>
      </c>
      <c r="B1557" s="528" t="s">
        <v>4732</v>
      </c>
      <c r="C1557" s="528" t="s">
        <v>4733</v>
      </c>
      <c r="D1557" s="528" t="s">
        <v>251</v>
      </c>
      <c r="E1557" s="528"/>
      <c r="F1557" s="528"/>
      <c r="G1557" s="528" t="s">
        <v>205</v>
      </c>
      <c r="H1557"/>
    </row>
    <row r="1558" spans="1:8" x14ac:dyDescent="0.35">
      <c r="A1558" s="528" t="s">
        <v>4734</v>
      </c>
      <c r="B1558" s="528" t="s">
        <v>4735</v>
      </c>
      <c r="C1558" s="528" t="s">
        <v>1483</v>
      </c>
      <c r="D1558" s="528" t="s">
        <v>251</v>
      </c>
      <c r="E1558" s="528"/>
      <c r="F1558" s="528"/>
      <c r="G1558" s="528" t="s">
        <v>205</v>
      </c>
      <c r="H1558"/>
    </row>
    <row r="1559" spans="1:8" x14ac:dyDescent="0.35">
      <c r="A1559" s="528" t="s">
        <v>4736</v>
      </c>
      <c r="B1559" s="528" t="s">
        <v>4737</v>
      </c>
      <c r="C1559" s="528" t="s">
        <v>4738</v>
      </c>
      <c r="D1559" s="528" t="s">
        <v>251</v>
      </c>
      <c r="E1559" s="528"/>
      <c r="F1559" s="528"/>
      <c r="G1559" s="528" t="s">
        <v>205</v>
      </c>
      <c r="H1559"/>
    </row>
    <row r="1560" spans="1:8" x14ac:dyDescent="0.35">
      <c r="A1560" s="528" t="s">
        <v>4739</v>
      </c>
      <c r="B1560" s="528" t="s">
        <v>4740</v>
      </c>
      <c r="C1560" s="528" t="s">
        <v>4741</v>
      </c>
      <c r="D1560" s="528" t="s">
        <v>251</v>
      </c>
      <c r="E1560" s="528"/>
      <c r="F1560" s="528"/>
      <c r="G1560" s="528" t="s">
        <v>205</v>
      </c>
      <c r="H1560"/>
    </row>
    <row r="1561" spans="1:8" x14ac:dyDescent="0.35">
      <c r="A1561" s="528" t="s">
        <v>4742</v>
      </c>
      <c r="B1561" s="528" t="s">
        <v>4743</v>
      </c>
      <c r="C1561" s="528" t="s">
        <v>4744</v>
      </c>
      <c r="D1561" s="528" t="s">
        <v>251</v>
      </c>
      <c r="E1561" s="528"/>
      <c r="F1561" s="528"/>
      <c r="G1561" s="528" t="s">
        <v>205</v>
      </c>
      <c r="H1561"/>
    </row>
    <row r="1562" spans="1:8" x14ac:dyDescent="0.35">
      <c r="A1562" s="528" t="s">
        <v>4745</v>
      </c>
      <c r="B1562" s="528" t="s">
        <v>4746</v>
      </c>
      <c r="C1562" s="528" t="s">
        <v>1934</v>
      </c>
      <c r="D1562" s="528" t="s">
        <v>251</v>
      </c>
      <c r="E1562" s="528"/>
      <c r="F1562" s="528"/>
      <c r="G1562" s="528" t="s">
        <v>205</v>
      </c>
      <c r="H1562"/>
    </row>
    <row r="1563" spans="1:8" x14ac:dyDescent="0.35">
      <c r="A1563" s="528" t="s">
        <v>4747</v>
      </c>
      <c r="B1563" s="528" t="s">
        <v>4748</v>
      </c>
      <c r="C1563" s="528" t="s">
        <v>4749</v>
      </c>
      <c r="D1563" s="528" t="s">
        <v>251</v>
      </c>
      <c r="E1563" s="528"/>
      <c r="F1563" s="528"/>
      <c r="G1563" s="528" t="s">
        <v>205</v>
      </c>
      <c r="H1563"/>
    </row>
    <row r="1564" spans="1:8" x14ac:dyDescent="0.35">
      <c r="A1564" s="528" t="s">
        <v>4750</v>
      </c>
      <c r="B1564" s="528" t="s">
        <v>4751</v>
      </c>
      <c r="C1564" s="528" t="s">
        <v>4752</v>
      </c>
      <c r="D1564" s="528" t="s">
        <v>277</v>
      </c>
      <c r="E1564" s="528"/>
      <c r="F1564" s="528"/>
      <c r="G1564" s="528" t="s">
        <v>205</v>
      </c>
      <c r="H1564"/>
    </row>
    <row r="1565" spans="1:8" x14ac:dyDescent="0.35">
      <c r="A1565" s="528" t="s">
        <v>4753</v>
      </c>
      <c r="B1565" s="528" t="s">
        <v>4754</v>
      </c>
      <c r="C1565" s="528" t="s">
        <v>4755</v>
      </c>
      <c r="D1565" s="528" t="s">
        <v>251</v>
      </c>
      <c r="E1565" s="528"/>
      <c r="F1565" s="528"/>
      <c r="G1565" s="528" t="s">
        <v>205</v>
      </c>
      <c r="H1565"/>
    </row>
    <row r="1566" spans="1:8" x14ac:dyDescent="0.35">
      <c r="A1566" s="528" t="s">
        <v>4756</v>
      </c>
      <c r="B1566" s="528" t="s">
        <v>4757</v>
      </c>
      <c r="C1566" s="528" t="s">
        <v>1149</v>
      </c>
      <c r="D1566" s="528" t="s">
        <v>264</v>
      </c>
      <c r="E1566" s="528"/>
      <c r="F1566" s="528"/>
      <c r="G1566" s="528" t="s">
        <v>208</v>
      </c>
      <c r="H1566"/>
    </row>
    <row r="1567" spans="1:8" x14ac:dyDescent="0.35">
      <c r="A1567" s="528" t="s">
        <v>4758</v>
      </c>
      <c r="B1567" s="528" t="s">
        <v>4759</v>
      </c>
      <c r="C1567" s="528" t="s">
        <v>4760</v>
      </c>
      <c r="D1567" s="528" t="s">
        <v>251</v>
      </c>
      <c r="E1567" s="528"/>
      <c r="F1567" s="528"/>
      <c r="G1567" s="528" t="s">
        <v>205</v>
      </c>
      <c r="H1567"/>
    </row>
    <row r="1568" spans="1:8" x14ac:dyDescent="0.35">
      <c r="A1568" s="528" t="s">
        <v>4761</v>
      </c>
      <c r="B1568" s="528" t="s">
        <v>4762</v>
      </c>
      <c r="C1568" s="528" t="s">
        <v>4763</v>
      </c>
      <c r="D1568" s="528" t="s">
        <v>264</v>
      </c>
      <c r="E1568" s="528"/>
      <c r="F1568" s="528"/>
      <c r="G1568" s="528" t="s">
        <v>205</v>
      </c>
      <c r="H1568"/>
    </row>
    <row r="1569" spans="1:8" x14ac:dyDescent="0.35">
      <c r="A1569" s="528" t="s">
        <v>4764</v>
      </c>
      <c r="B1569" s="528" t="s">
        <v>4765</v>
      </c>
      <c r="C1569" s="528" t="s">
        <v>4766</v>
      </c>
      <c r="D1569" s="528" t="s">
        <v>251</v>
      </c>
      <c r="E1569" s="528"/>
      <c r="F1569" s="528"/>
      <c r="G1569" s="528" t="s">
        <v>205</v>
      </c>
      <c r="H1569"/>
    </row>
    <row r="1570" spans="1:8" x14ac:dyDescent="0.35">
      <c r="A1570" s="528" t="s">
        <v>4767</v>
      </c>
      <c r="B1570" s="528" t="s">
        <v>4768</v>
      </c>
      <c r="C1570" s="528" t="s">
        <v>4769</v>
      </c>
      <c r="D1570" s="528" t="s">
        <v>277</v>
      </c>
      <c r="E1570" s="528"/>
      <c r="F1570" s="528"/>
      <c r="G1570" s="528" t="s">
        <v>205</v>
      </c>
      <c r="H1570"/>
    </row>
    <row r="1571" spans="1:8" x14ac:dyDescent="0.35">
      <c r="A1571" s="528" t="s">
        <v>4770</v>
      </c>
      <c r="B1571" s="528" t="s">
        <v>4771</v>
      </c>
      <c r="C1571" s="528" t="s">
        <v>4772</v>
      </c>
      <c r="D1571" s="528" t="s">
        <v>277</v>
      </c>
      <c r="E1571" s="528"/>
      <c r="F1571" s="528"/>
      <c r="G1571" s="528" t="s">
        <v>205</v>
      </c>
      <c r="H1571"/>
    </row>
    <row r="1572" spans="1:8" x14ac:dyDescent="0.35">
      <c r="A1572" s="528" t="s">
        <v>4773</v>
      </c>
      <c r="B1572" s="528" t="s">
        <v>4774</v>
      </c>
      <c r="C1572" s="528" t="s">
        <v>4775</v>
      </c>
      <c r="D1572" s="528" t="s">
        <v>277</v>
      </c>
      <c r="E1572" s="528"/>
      <c r="F1572" s="528"/>
      <c r="G1572" s="528" t="s">
        <v>208</v>
      </c>
      <c r="H1572"/>
    </row>
    <row r="1573" spans="1:8" x14ac:dyDescent="0.35">
      <c r="A1573" s="528" t="s">
        <v>4776</v>
      </c>
      <c r="B1573" s="528" t="s">
        <v>4777</v>
      </c>
      <c r="C1573" s="528" t="s">
        <v>4778</v>
      </c>
      <c r="D1573" s="528" t="s">
        <v>277</v>
      </c>
      <c r="E1573" s="528"/>
      <c r="F1573" s="528"/>
      <c r="G1573" s="528" t="s">
        <v>212</v>
      </c>
      <c r="H1573"/>
    </row>
    <row r="1574" spans="1:8" x14ac:dyDescent="0.35">
      <c r="A1574" s="528" t="s">
        <v>4779</v>
      </c>
      <c r="B1574" s="528" t="s">
        <v>4780</v>
      </c>
      <c r="C1574" s="528" t="s">
        <v>1341</v>
      </c>
      <c r="D1574" s="528" t="s">
        <v>277</v>
      </c>
      <c r="E1574" s="528"/>
      <c r="F1574" s="528"/>
      <c r="G1574" s="528" t="s">
        <v>205</v>
      </c>
      <c r="H1574"/>
    </row>
    <row r="1575" spans="1:8" x14ac:dyDescent="0.35">
      <c r="A1575" s="528" t="s">
        <v>4781</v>
      </c>
      <c r="B1575" s="528" t="s">
        <v>4782</v>
      </c>
      <c r="C1575" s="528" t="s">
        <v>1371</v>
      </c>
      <c r="D1575" s="528" t="s">
        <v>238</v>
      </c>
      <c r="E1575" s="528"/>
      <c r="F1575" s="528"/>
      <c r="G1575" s="528" t="s">
        <v>205</v>
      </c>
      <c r="H1575"/>
    </row>
    <row r="1576" spans="1:8" x14ac:dyDescent="0.35">
      <c r="A1576" s="528" t="s">
        <v>4783</v>
      </c>
      <c r="B1576" s="528" t="s">
        <v>4784</v>
      </c>
      <c r="C1576" s="528" t="s">
        <v>4785</v>
      </c>
      <c r="D1576" s="528" t="s">
        <v>251</v>
      </c>
      <c r="E1576" s="528"/>
      <c r="F1576" s="528"/>
      <c r="G1576" s="528" t="s">
        <v>212</v>
      </c>
      <c r="H1576"/>
    </row>
    <row r="1577" spans="1:8" x14ac:dyDescent="0.35">
      <c r="A1577" s="528" t="s">
        <v>4786</v>
      </c>
      <c r="B1577" s="528" t="s">
        <v>4787</v>
      </c>
      <c r="C1577" s="528" t="s">
        <v>4788</v>
      </c>
      <c r="D1577" s="528" t="s">
        <v>251</v>
      </c>
      <c r="E1577" s="528"/>
      <c r="F1577" s="528"/>
      <c r="G1577" s="528" t="s">
        <v>205</v>
      </c>
      <c r="H1577"/>
    </row>
    <row r="1578" spans="1:8" x14ac:dyDescent="0.35">
      <c r="A1578" s="528" t="s">
        <v>4789</v>
      </c>
      <c r="B1578" s="528" t="s">
        <v>4790</v>
      </c>
      <c r="C1578" s="528" t="s">
        <v>4791</v>
      </c>
      <c r="D1578" s="528" t="s">
        <v>251</v>
      </c>
      <c r="E1578" s="528"/>
      <c r="F1578" s="528"/>
      <c r="G1578" s="528" t="s">
        <v>208</v>
      </c>
      <c r="H1578"/>
    </row>
    <row r="1579" spans="1:8" x14ac:dyDescent="0.35">
      <c r="A1579" s="528" t="s">
        <v>4792</v>
      </c>
      <c r="B1579" s="528" t="s">
        <v>4793</v>
      </c>
      <c r="C1579" s="528" t="s">
        <v>2487</v>
      </c>
      <c r="D1579" s="528" t="s">
        <v>277</v>
      </c>
      <c r="E1579" s="528"/>
      <c r="F1579" s="528"/>
      <c r="G1579" s="528" t="s">
        <v>208</v>
      </c>
      <c r="H1579"/>
    </row>
    <row r="1580" spans="1:8" x14ac:dyDescent="0.35">
      <c r="A1580" s="528" t="s">
        <v>4794</v>
      </c>
      <c r="B1580" s="528" t="s">
        <v>4795</v>
      </c>
      <c r="C1580" s="528" t="s">
        <v>1291</v>
      </c>
      <c r="D1580" s="528" t="s">
        <v>264</v>
      </c>
      <c r="E1580" s="528"/>
      <c r="F1580" s="528"/>
      <c r="G1580" s="528" t="s">
        <v>205</v>
      </c>
      <c r="H1580"/>
    </row>
    <row r="1581" spans="1:8" x14ac:dyDescent="0.35">
      <c r="A1581" s="528" t="s">
        <v>4796</v>
      </c>
      <c r="B1581" s="528" t="s">
        <v>4797</v>
      </c>
      <c r="C1581" s="528" t="s">
        <v>2443</v>
      </c>
      <c r="D1581" s="528" t="s">
        <v>277</v>
      </c>
      <c r="E1581" s="528"/>
      <c r="F1581" s="528"/>
      <c r="G1581" s="528" t="s">
        <v>208</v>
      </c>
      <c r="H1581"/>
    </row>
    <row r="1582" spans="1:8" x14ac:dyDescent="0.35">
      <c r="A1582" s="528" t="s">
        <v>4798</v>
      </c>
      <c r="B1582" s="528" t="s">
        <v>4799</v>
      </c>
      <c r="C1582" s="528" t="s">
        <v>4800</v>
      </c>
      <c r="D1582" s="528" t="s">
        <v>277</v>
      </c>
      <c r="E1582" s="528"/>
      <c r="F1582" s="528"/>
      <c r="G1582" s="528" t="s">
        <v>208</v>
      </c>
      <c r="H1582"/>
    </row>
    <row r="1583" spans="1:8" x14ac:dyDescent="0.35">
      <c r="A1583" s="528" t="s">
        <v>4801</v>
      </c>
      <c r="B1583" s="528" t="s">
        <v>4802</v>
      </c>
      <c r="C1583" s="528" t="s">
        <v>4803</v>
      </c>
      <c r="D1583" s="528" t="s">
        <v>277</v>
      </c>
      <c r="E1583" s="528"/>
      <c r="F1583" s="528"/>
      <c r="G1583" s="528" t="s">
        <v>208</v>
      </c>
      <c r="H1583"/>
    </row>
    <row r="1584" spans="1:8" x14ac:dyDescent="0.35">
      <c r="A1584" s="528" t="s">
        <v>4804</v>
      </c>
      <c r="B1584" s="528" t="s">
        <v>4805</v>
      </c>
      <c r="C1584" s="528" t="s">
        <v>4744</v>
      </c>
      <c r="D1584" s="528" t="s">
        <v>251</v>
      </c>
      <c r="E1584" s="528"/>
      <c r="F1584" s="528"/>
      <c r="G1584" s="528" t="s">
        <v>205</v>
      </c>
      <c r="H1584"/>
    </row>
    <row r="1585" spans="1:8" x14ac:dyDescent="0.35">
      <c r="A1585" s="528" t="s">
        <v>4806</v>
      </c>
      <c r="B1585" s="528" t="s">
        <v>4807</v>
      </c>
      <c r="C1585" s="528" t="s">
        <v>4687</v>
      </c>
      <c r="D1585" s="528" t="s">
        <v>251</v>
      </c>
      <c r="E1585" s="528"/>
      <c r="F1585" s="528"/>
      <c r="G1585" s="528" t="s">
        <v>208</v>
      </c>
      <c r="H1585"/>
    </row>
    <row r="1586" spans="1:8" x14ac:dyDescent="0.35">
      <c r="A1586" s="528" t="s">
        <v>4808</v>
      </c>
      <c r="B1586" s="528" t="s">
        <v>4809</v>
      </c>
      <c r="C1586" s="528" t="s">
        <v>4810</v>
      </c>
      <c r="D1586" s="528" t="s">
        <v>277</v>
      </c>
      <c r="E1586" s="528"/>
      <c r="F1586" s="528"/>
      <c r="G1586" s="528" t="s">
        <v>205</v>
      </c>
      <c r="H1586"/>
    </row>
    <row r="1587" spans="1:8" x14ac:dyDescent="0.35">
      <c r="A1587" s="528" t="s">
        <v>4811</v>
      </c>
      <c r="B1587" s="528" t="s">
        <v>4812</v>
      </c>
      <c r="C1587" s="528" t="s">
        <v>3543</v>
      </c>
      <c r="D1587" s="528" t="s">
        <v>277</v>
      </c>
      <c r="E1587" s="528"/>
      <c r="F1587" s="528"/>
      <c r="G1587" s="528" t="s">
        <v>205</v>
      </c>
      <c r="H1587"/>
    </row>
    <row r="1588" spans="1:8" x14ac:dyDescent="0.35">
      <c r="A1588" s="528" t="s">
        <v>4813</v>
      </c>
      <c r="B1588" s="528" t="s">
        <v>4814</v>
      </c>
      <c r="C1588" s="528" t="s">
        <v>4815</v>
      </c>
      <c r="D1588" s="528" t="s">
        <v>277</v>
      </c>
      <c r="E1588" s="528"/>
      <c r="F1588" s="528"/>
      <c r="G1588" s="528" t="s">
        <v>205</v>
      </c>
      <c r="H1588"/>
    </row>
    <row r="1589" spans="1:8" x14ac:dyDescent="0.35">
      <c r="A1589" s="528" t="s">
        <v>4816</v>
      </c>
      <c r="B1589" s="528" t="s">
        <v>4817</v>
      </c>
      <c r="C1589" s="528" t="s">
        <v>4818</v>
      </c>
      <c r="D1589" s="528" t="s">
        <v>277</v>
      </c>
      <c r="E1589" s="528"/>
      <c r="F1589" s="528"/>
      <c r="G1589" s="528" t="s">
        <v>208</v>
      </c>
      <c r="H1589"/>
    </row>
    <row r="1590" spans="1:8" x14ac:dyDescent="0.35">
      <c r="A1590" s="528" t="s">
        <v>4819</v>
      </c>
      <c r="B1590" s="528" t="s">
        <v>4820</v>
      </c>
      <c r="C1590" s="528" t="s">
        <v>4821</v>
      </c>
      <c r="D1590" s="528" t="s">
        <v>277</v>
      </c>
      <c r="E1590" s="528"/>
      <c r="F1590" s="528"/>
      <c r="G1590" s="528" t="s">
        <v>205</v>
      </c>
      <c r="H1590"/>
    </row>
    <row r="1591" spans="1:8" x14ac:dyDescent="0.35">
      <c r="A1591" s="528" t="s">
        <v>4822</v>
      </c>
      <c r="B1591" s="528" t="s">
        <v>4823</v>
      </c>
      <c r="C1591" s="528" t="s">
        <v>2838</v>
      </c>
      <c r="D1591" s="528" t="s">
        <v>264</v>
      </c>
      <c r="E1591" s="528"/>
      <c r="F1591" s="528"/>
      <c r="G1591" s="528" t="s">
        <v>205</v>
      </c>
      <c r="H1591"/>
    </row>
    <row r="1592" spans="1:8" x14ac:dyDescent="0.35">
      <c r="A1592" s="528" t="s">
        <v>4824</v>
      </c>
      <c r="B1592" s="528" t="s">
        <v>4825</v>
      </c>
      <c r="C1592" s="528" t="s">
        <v>3446</v>
      </c>
      <c r="D1592" s="528" t="s">
        <v>225</v>
      </c>
      <c r="E1592" s="528"/>
      <c r="F1592" s="528"/>
      <c r="G1592" s="528" t="s">
        <v>205</v>
      </c>
      <c r="H1592"/>
    </row>
    <row r="1593" spans="1:8" x14ac:dyDescent="0.35">
      <c r="A1593" s="528" t="s">
        <v>4826</v>
      </c>
      <c r="B1593" s="528" t="s">
        <v>4827</v>
      </c>
      <c r="C1593" s="528" t="s">
        <v>4828</v>
      </c>
      <c r="D1593" s="528" t="s">
        <v>264</v>
      </c>
      <c r="E1593" s="528" t="s">
        <v>225</v>
      </c>
      <c r="F1593" s="528"/>
      <c r="G1593" s="528" t="s">
        <v>205</v>
      </c>
      <c r="H1593"/>
    </row>
    <row r="1594" spans="1:8" x14ac:dyDescent="0.35">
      <c r="A1594" s="528" t="s">
        <v>4829</v>
      </c>
      <c r="B1594" s="528" t="s">
        <v>4830</v>
      </c>
      <c r="C1594" s="528" t="s">
        <v>4707</v>
      </c>
      <c r="D1594" s="528" t="s">
        <v>264</v>
      </c>
      <c r="E1594" s="528"/>
      <c r="F1594" s="528"/>
      <c r="G1594" s="528" t="s">
        <v>205</v>
      </c>
      <c r="H1594"/>
    </row>
    <row r="1595" spans="1:8" x14ac:dyDescent="0.35">
      <c r="A1595" s="528" t="s">
        <v>4831</v>
      </c>
      <c r="B1595" s="528" t="s">
        <v>4832</v>
      </c>
      <c r="C1595" s="528" t="s">
        <v>4833</v>
      </c>
      <c r="D1595" s="528" t="s">
        <v>277</v>
      </c>
      <c r="E1595" s="528"/>
      <c r="F1595" s="528"/>
      <c r="G1595" s="528" t="s">
        <v>205</v>
      </c>
      <c r="H1595"/>
    </row>
    <row r="1596" spans="1:8" x14ac:dyDescent="0.35">
      <c r="A1596" s="528" t="s">
        <v>4834</v>
      </c>
      <c r="B1596" s="528" t="s">
        <v>4835</v>
      </c>
      <c r="C1596" s="528" t="s">
        <v>4836</v>
      </c>
      <c r="D1596" s="528" t="s">
        <v>225</v>
      </c>
      <c r="E1596" s="528"/>
      <c r="F1596" s="528"/>
      <c r="G1596" s="528" t="s">
        <v>205</v>
      </c>
      <c r="H1596"/>
    </row>
    <row r="1597" spans="1:8" x14ac:dyDescent="0.35">
      <c r="A1597" s="528" t="s">
        <v>4837</v>
      </c>
      <c r="B1597" s="528" t="s">
        <v>4838</v>
      </c>
      <c r="C1597" s="528" t="s">
        <v>4839</v>
      </c>
      <c r="D1597" s="528" t="s">
        <v>264</v>
      </c>
      <c r="E1597" s="528" t="s">
        <v>277</v>
      </c>
      <c r="F1597" s="528"/>
      <c r="G1597" s="528" t="s">
        <v>205</v>
      </c>
      <c r="H1597"/>
    </row>
    <row r="1598" spans="1:8" x14ac:dyDescent="0.35">
      <c r="A1598" s="528" t="s">
        <v>4840</v>
      </c>
      <c r="B1598" s="528" t="s">
        <v>4841</v>
      </c>
      <c r="C1598" s="528" t="s">
        <v>4842</v>
      </c>
      <c r="D1598" s="528" t="s">
        <v>264</v>
      </c>
      <c r="E1598" s="528"/>
      <c r="F1598" s="528"/>
      <c r="G1598" s="528" t="s">
        <v>205</v>
      </c>
      <c r="H1598"/>
    </row>
    <row r="1599" spans="1:8" x14ac:dyDescent="0.35">
      <c r="A1599" s="528" t="s">
        <v>4843</v>
      </c>
      <c r="B1599" s="528" t="s">
        <v>4844</v>
      </c>
      <c r="C1599" s="528" t="s">
        <v>4845</v>
      </c>
      <c r="D1599" s="528" t="s">
        <v>225</v>
      </c>
      <c r="E1599" s="528"/>
      <c r="F1599" s="528"/>
      <c r="G1599" s="528" t="s">
        <v>205</v>
      </c>
      <c r="H1599"/>
    </row>
    <row r="1600" spans="1:8" x14ac:dyDescent="0.35">
      <c r="A1600" s="528" t="s">
        <v>4846</v>
      </c>
      <c r="B1600" s="528" t="s">
        <v>4847</v>
      </c>
      <c r="C1600" s="528" t="s">
        <v>4848</v>
      </c>
      <c r="D1600" s="528" t="s">
        <v>277</v>
      </c>
      <c r="E1600" s="528"/>
      <c r="F1600" s="528"/>
      <c r="G1600" s="528" t="s">
        <v>208</v>
      </c>
      <c r="H1600"/>
    </row>
    <row r="1601" spans="1:8" x14ac:dyDescent="0.35">
      <c r="A1601" s="528" t="s">
        <v>4849</v>
      </c>
      <c r="B1601" s="528" t="s">
        <v>4850</v>
      </c>
      <c r="C1601" s="528" t="s">
        <v>4851</v>
      </c>
      <c r="D1601" s="528" t="s">
        <v>251</v>
      </c>
      <c r="E1601" s="528"/>
      <c r="F1601" s="528"/>
      <c r="G1601" s="528" t="s">
        <v>205</v>
      </c>
      <c r="H1601"/>
    </row>
    <row r="1602" spans="1:8" x14ac:dyDescent="0.35">
      <c r="A1602" s="528" t="s">
        <v>4852</v>
      </c>
      <c r="B1602" s="528" t="s">
        <v>4853</v>
      </c>
      <c r="C1602" s="528" t="s">
        <v>4854</v>
      </c>
      <c r="D1602" s="528" t="s">
        <v>238</v>
      </c>
      <c r="E1602" s="528"/>
      <c r="F1602" s="528"/>
      <c r="G1602" s="528" t="s">
        <v>205</v>
      </c>
      <c r="H1602"/>
    </row>
    <row r="1603" spans="1:8" x14ac:dyDescent="0.35">
      <c r="A1603" s="528" t="s">
        <v>4855</v>
      </c>
      <c r="B1603" s="528" t="s">
        <v>4856</v>
      </c>
      <c r="C1603" s="528" t="s">
        <v>4857</v>
      </c>
      <c r="D1603" s="528" t="s">
        <v>251</v>
      </c>
      <c r="E1603" s="528"/>
      <c r="F1603" s="528"/>
      <c r="G1603" s="528" t="s">
        <v>208</v>
      </c>
      <c r="H1603"/>
    </row>
    <row r="1604" spans="1:8" x14ac:dyDescent="0.35">
      <c r="A1604" s="528" t="s">
        <v>4858</v>
      </c>
      <c r="B1604" s="528" t="s">
        <v>4859</v>
      </c>
      <c r="C1604" s="528" t="s">
        <v>4860</v>
      </c>
      <c r="D1604" s="528" t="s">
        <v>264</v>
      </c>
      <c r="E1604" s="528"/>
      <c r="F1604" s="528"/>
      <c r="G1604" s="528" t="s">
        <v>208</v>
      </c>
      <c r="H1604"/>
    </row>
    <row r="1605" spans="1:8" x14ac:dyDescent="0.35">
      <c r="A1605" s="528" t="s">
        <v>4861</v>
      </c>
      <c r="B1605" s="528" t="s">
        <v>4862</v>
      </c>
      <c r="C1605" s="528" t="s">
        <v>4863</v>
      </c>
      <c r="D1605" s="528" t="s">
        <v>251</v>
      </c>
      <c r="E1605" s="528"/>
      <c r="F1605" s="528"/>
      <c r="G1605" s="528" t="s">
        <v>205</v>
      </c>
      <c r="H1605"/>
    </row>
    <row r="1606" spans="1:8" x14ac:dyDescent="0.35">
      <c r="A1606" s="528" t="s">
        <v>4864</v>
      </c>
      <c r="B1606" s="528" t="s">
        <v>4865</v>
      </c>
      <c r="C1606" s="528" t="s">
        <v>1834</v>
      </c>
      <c r="D1606" s="528" t="s">
        <v>238</v>
      </c>
      <c r="E1606" s="528"/>
      <c r="F1606" s="528"/>
      <c r="G1606" s="528" t="s">
        <v>205</v>
      </c>
      <c r="H1606"/>
    </row>
    <row r="1607" spans="1:8" x14ac:dyDescent="0.35">
      <c r="A1607" s="528" t="s">
        <v>4866</v>
      </c>
      <c r="B1607" s="528" t="s">
        <v>4867</v>
      </c>
      <c r="C1607" s="528" t="s">
        <v>3048</v>
      </c>
      <c r="D1607" s="528" t="s">
        <v>264</v>
      </c>
      <c r="E1607" s="528"/>
      <c r="F1607" s="528"/>
      <c r="G1607" s="528" t="s">
        <v>205</v>
      </c>
      <c r="H1607"/>
    </row>
    <row r="1608" spans="1:8" x14ac:dyDescent="0.35">
      <c r="A1608" s="528" t="s">
        <v>4868</v>
      </c>
      <c r="B1608" s="528" t="s">
        <v>4869</v>
      </c>
      <c r="C1608" s="528" t="s">
        <v>4870</v>
      </c>
      <c r="D1608" s="528" t="s">
        <v>277</v>
      </c>
      <c r="E1608" s="528"/>
      <c r="F1608" s="528"/>
      <c r="G1608" s="528" t="s">
        <v>205</v>
      </c>
      <c r="H1608"/>
    </row>
    <row r="1609" spans="1:8" x14ac:dyDescent="0.35">
      <c r="A1609" s="528" t="s">
        <v>4871</v>
      </c>
      <c r="B1609" s="528" t="s">
        <v>4872</v>
      </c>
      <c r="C1609" s="528" t="s">
        <v>4873</v>
      </c>
      <c r="D1609" s="528" t="s">
        <v>251</v>
      </c>
      <c r="E1609" s="528"/>
      <c r="F1609" s="528"/>
      <c r="G1609" s="528" t="s">
        <v>205</v>
      </c>
      <c r="H1609"/>
    </row>
    <row r="1610" spans="1:8" x14ac:dyDescent="0.35">
      <c r="A1610" s="528" t="s">
        <v>4874</v>
      </c>
      <c r="B1610" s="528" t="s">
        <v>4875</v>
      </c>
      <c r="C1610" s="528" t="s">
        <v>4876</v>
      </c>
      <c r="D1610" s="528" t="s">
        <v>277</v>
      </c>
      <c r="E1610" s="528"/>
      <c r="F1610" s="528"/>
      <c r="G1610" s="528" t="s">
        <v>205</v>
      </c>
      <c r="H1610"/>
    </row>
    <row r="1611" spans="1:8" x14ac:dyDescent="0.35">
      <c r="A1611" s="528" t="s">
        <v>4877</v>
      </c>
      <c r="B1611" s="528" t="s">
        <v>4878</v>
      </c>
      <c r="C1611" s="528" t="s">
        <v>4879</v>
      </c>
      <c r="D1611" s="528" t="s">
        <v>277</v>
      </c>
      <c r="E1611" s="528"/>
      <c r="F1611" s="528"/>
      <c r="G1611" s="528" t="s">
        <v>205</v>
      </c>
      <c r="H1611"/>
    </row>
    <row r="1612" spans="1:8" x14ac:dyDescent="0.35">
      <c r="A1612" s="528" t="s">
        <v>4880</v>
      </c>
      <c r="B1612" s="528" t="s">
        <v>4881</v>
      </c>
      <c r="C1612" s="528" t="s">
        <v>4882</v>
      </c>
      <c r="D1612" s="528" t="s">
        <v>277</v>
      </c>
      <c r="E1612" s="528"/>
      <c r="F1612" s="528"/>
      <c r="G1612" s="528" t="s">
        <v>205</v>
      </c>
      <c r="H1612"/>
    </row>
    <row r="1613" spans="1:8" x14ac:dyDescent="0.35">
      <c r="A1613" s="528" t="s">
        <v>4883</v>
      </c>
      <c r="B1613" s="528" t="s">
        <v>4884</v>
      </c>
      <c r="C1613" s="528" t="s">
        <v>4885</v>
      </c>
      <c r="D1613" s="528" t="s">
        <v>225</v>
      </c>
      <c r="E1613" s="528"/>
      <c r="F1613" s="528"/>
      <c r="G1613" s="528" t="s">
        <v>205</v>
      </c>
      <c r="H1613"/>
    </row>
    <row r="1614" spans="1:8" x14ac:dyDescent="0.35">
      <c r="A1614" s="528" t="s">
        <v>4886</v>
      </c>
      <c r="B1614" s="528" t="s">
        <v>4887</v>
      </c>
      <c r="C1614" s="528" t="s">
        <v>4888</v>
      </c>
      <c r="D1614" s="528" t="s">
        <v>251</v>
      </c>
      <c r="E1614" s="528"/>
      <c r="F1614" s="528"/>
      <c r="G1614" s="528" t="s">
        <v>208</v>
      </c>
      <c r="H1614"/>
    </row>
    <row r="1615" spans="1:8" x14ac:dyDescent="0.35">
      <c r="A1615" s="528" t="s">
        <v>4889</v>
      </c>
      <c r="B1615" s="528" t="s">
        <v>4890</v>
      </c>
      <c r="C1615" s="528" t="s">
        <v>3801</v>
      </c>
      <c r="D1615" s="528" t="s">
        <v>251</v>
      </c>
      <c r="E1615" s="528"/>
      <c r="F1615" s="528"/>
      <c r="G1615" s="528" t="s">
        <v>208</v>
      </c>
      <c r="H1615"/>
    </row>
    <row r="1616" spans="1:8" x14ac:dyDescent="0.35">
      <c r="A1616" s="528" t="s">
        <v>4891</v>
      </c>
      <c r="B1616" s="528" t="s">
        <v>4892</v>
      </c>
      <c r="C1616" s="528" t="s">
        <v>4893</v>
      </c>
      <c r="D1616" s="528" t="s">
        <v>251</v>
      </c>
      <c r="E1616" s="528"/>
      <c r="F1616" s="528"/>
      <c r="G1616" s="528" t="s">
        <v>208</v>
      </c>
      <c r="H1616"/>
    </row>
    <row r="1617" spans="1:8" x14ac:dyDescent="0.35">
      <c r="A1617" s="528" t="s">
        <v>4894</v>
      </c>
      <c r="B1617" s="528" t="s">
        <v>4895</v>
      </c>
      <c r="C1617" s="528" t="s">
        <v>4896</v>
      </c>
      <c r="D1617" s="528" t="s">
        <v>264</v>
      </c>
      <c r="E1617" s="528"/>
      <c r="F1617" s="528"/>
      <c r="G1617" s="528" t="s">
        <v>210</v>
      </c>
      <c r="H1617"/>
    </row>
    <row r="1618" spans="1:8" x14ac:dyDescent="0.35">
      <c r="A1618" s="528" t="s">
        <v>4897</v>
      </c>
      <c r="B1618" s="528" t="s">
        <v>4898</v>
      </c>
      <c r="C1618" s="528" t="s">
        <v>2764</v>
      </c>
      <c r="D1618" s="528" t="s">
        <v>277</v>
      </c>
      <c r="E1618" s="528"/>
      <c r="F1618" s="528"/>
      <c r="G1618" s="528" t="s">
        <v>205</v>
      </c>
      <c r="H1618"/>
    </row>
    <row r="1619" spans="1:8" x14ac:dyDescent="0.35">
      <c r="A1619" s="528" t="s">
        <v>4899</v>
      </c>
      <c r="B1619" s="528" t="s">
        <v>4900</v>
      </c>
      <c r="C1619" s="528" t="s">
        <v>4901</v>
      </c>
      <c r="D1619" s="528" t="s">
        <v>277</v>
      </c>
      <c r="E1619" s="528"/>
      <c r="F1619" s="528"/>
      <c r="G1619" s="528" t="s">
        <v>205</v>
      </c>
      <c r="H1619"/>
    </row>
    <row r="1620" spans="1:8" x14ac:dyDescent="0.35">
      <c r="A1620" s="528" t="s">
        <v>4902</v>
      </c>
      <c r="B1620" s="528" t="s">
        <v>4903</v>
      </c>
      <c r="C1620" s="528" t="s">
        <v>4904</v>
      </c>
      <c r="D1620" s="528" t="s">
        <v>264</v>
      </c>
      <c r="E1620" s="528"/>
      <c r="F1620" s="528"/>
      <c r="G1620" s="528" t="s">
        <v>205</v>
      </c>
      <c r="H1620"/>
    </row>
    <row r="1621" spans="1:8" x14ac:dyDescent="0.35">
      <c r="A1621" s="528" t="s">
        <v>4905</v>
      </c>
      <c r="B1621" s="528" t="s">
        <v>4906</v>
      </c>
      <c r="C1621" s="528" t="s">
        <v>4907</v>
      </c>
      <c r="D1621" s="528" t="s">
        <v>264</v>
      </c>
      <c r="E1621" s="528"/>
      <c r="F1621" s="528"/>
      <c r="G1621" s="528" t="s">
        <v>205</v>
      </c>
      <c r="H1621"/>
    </row>
    <row r="1622" spans="1:8" x14ac:dyDescent="0.35">
      <c r="A1622" s="528" t="s">
        <v>4908</v>
      </c>
      <c r="B1622" s="528" t="s">
        <v>4909</v>
      </c>
      <c r="C1622" s="528" t="s">
        <v>1341</v>
      </c>
      <c r="D1622" s="528" t="s">
        <v>277</v>
      </c>
      <c r="E1622" s="528"/>
      <c r="F1622" s="528"/>
      <c r="G1622" s="528" t="s">
        <v>205</v>
      </c>
      <c r="H1622"/>
    </row>
    <row r="1623" spans="1:8" x14ac:dyDescent="0.35">
      <c r="A1623" s="528" t="s">
        <v>4910</v>
      </c>
      <c r="B1623" s="528" t="s">
        <v>4911</v>
      </c>
      <c r="C1623" s="528" t="s">
        <v>4912</v>
      </c>
      <c r="D1623" s="528" t="s">
        <v>225</v>
      </c>
      <c r="E1623" s="528"/>
      <c r="F1623" s="528"/>
      <c r="G1623" s="528" t="s">
        <v>205</v>
      </c>
      <c r="H1623"/>
    </row>
    <row r="1624" spans="1:8" x14ac:dyDescent="0.35">
      <c r="A1624" s="528" t="s">
        <v>4913</v>
      </c>
      <c r="B1624" s="528" t="s">
        <v>4914</v>
      </c>
      <c r="C1624" s="528" t="s">
        <v>4915</v>
      </c>
      <c r="D1624" s="528" t="s">
        <v>251</v>
      </c>
      <c r="E1624" s="528"/>
      <c r="F1624" s="528"/>
      <c r="G1624" s="528" t="s">
        <v>205</v>
      </c>
      <c r="H1624"/>
    </row>
    <row r="1625" spans="1:8" x14ac:dyDescent="0.35">
      <c r="A1625" s="528" t="s">
        <v>4916</v>
      </c>
      <c r="B1625" s="528" t="s">
        <v>4917</v>
      </c>
      <c r="C1625" s="528" t="s">
        <v>4918</v>
      </c>
      <c r="D1625" s="528" t="s">
        <v>251</v>
      </c>
      <c r="E1625" s="528"/>
      <c r="F1625" s="528"/>
      <c r="G1625" s="528" t="s">
        <v>205</v>
      </c>
      <c r="H1625"/>
    </row>
    <row r="1626" spans="1:8" x14ac:dyDescent="0.35">
      <c r="A1626" s="528" t="s">
        <v>4919</v>
      </c>
      <c r="B1626" s="528" t="s">
        <v>4920</v>
      </c>
      <c r="C1626" s="528" t="s">
        <v>4921</v>
      </c>
      <c r="D1626" s="528" t="s">
        <v>251</v>
      </c>
      <c r="E1626" s="528"/>
      <c r="F1626" s="528"/>
      <c r="G1626" s="528" t="s">
        <v>205</v>
      </c>
      <c r="H1626"/>
    </row>
    <row r="1627" spans="1:8" x14ac:dyDescent="0.35">
      <c r="A1627" s="528" t="s">
        <v>4922</v>
      </c>
      <c r="B1627" s="528" t="s">
        <v>4923</v>
      </c>
      <c r="C1627" s="528" t="s">
        <v>4924</v>
      </c>
      <c r="D1627" s="528" t="s">
        <v>251</v>
      </c>
      <c r="E1627" s="528"/>
      <c r="F1627" s="528"/>
      <c r="G1627" s="528" t="s">
        <v>205</v>
      </c>
      <c r="H1627"/>
    </row>
    <row r="1628" spans="1:8" x14ac:dyDescent="0.35">
      <c r="A1628" s="528" t="s">
        <v>4925</v>
      </c>
      <c r="B1628" s="528" t="s">
        <v>4926</v>
      </c>
      <c r="C1628" s="528" t="s">
        <v>4927</v>
      </c>
      <c r="D1628" s="528" t="s">
        <v>277</v>
      </c>
      <c r="E1628" s="528"/>
      <c r="F1628" s="528"/>
      <c r="G1628" s="528" t="s">
        <v>205</v>
      </c>
      <c r="H1628"/>
    </row>
    <row r="1629" spans="1:8" x14ac:dyDescent="0.35">
      <c r="A1629" s="528" t="s">
        <v>4928</v>
      </c>
      <c r="B1629" s="528" t="s">
        <v>4929</v>
      </c>
      <c r="C1629" s="528" t="s">
        <v>4930</v>
      </c>
      <c r="D1629" s="528" t="s">
        <v>251</v>
      </c>
      <c r="E1629" s="528"/>
      <c r="F1629" s="528"/>
      <c r="G1629" s="528" t="s">
        <v>205</v>
      </c>
      <c r="H1629"/>
    </row>
    <row r="1630" spans="1:8" x14ac:dyDescent="0.35">
      <c r="A1630" s="528" t="s">
        <v>4931</v>
      </c>
      <c r="B1630" s="528" t="s">
        <v>4932</v>
      </c>
      <c r="C1630" s="528" t="s">
        <v>3540</v>
      </c>
      <c r="D1630" s="528" t="s">
        <v>264</v>
      </c>
      <c r="E1630" s="528"/>
      <c r="F1630" s="528"/>
      <c r="G1630" s="528" t="s">
        <v>208</v>
      </c>
      <c r="H1630"/>
    </row>
    <row r="1631" spans="1:8" x14ac:dyDescent="0.35">
      <c r="A1631" s="528" t="s">
        <v>4933</v>
      </c>
      <c r="B1631" s="528" t="s">
        <v>4934</v>
      </c>
      <c r="C1631" s="528" t="s">
        <v>4935</v>
      </c>
      <c r="D1631" s="528" t="s">
        <v>277</v>
      </c>
      <c r="E1631" s="528"/>
      <c r="F1631" s="528"/>
      <c r="G1631" s="528" t="s">
        <v>205</v>
      </c>
      <c r="H1631"/>
    </row>
    <row r="1632" spans="1:8" x14ac:dyDescent="0.35">
      <c r="A1632" s="528" t="s">
        <v>4936</v>
      </c>
      <c r="B1632" s="528" t="s">
        <v>4937</v>
      </c>
      <c r="C1632" s="528" t="s">
        <v>1371</v>
      </c>
      <c r="D1632" s="528" t="s">
        <v>238</v>
      </c>
      <c r="E1632" s="528"/>
      <c r="F1632" s="528"/>
      <c r="G1632" s="528" t="s">
        <v>205</v>
      </c>
      <c r="H1632"/>
    </row>
    <row r="1633" spans="1:8" x14ac:dyDescent="0.35">
      <c r="A1633" s="528" t="s">
        <v>4938</v>
      </c>
      <c r="B1633" s="528" t="s">
        <v>4939</v>
      </c>
      <c r="C1633" s="528" t="s">
        <v>1792</v>
      </c>
      <c r="D1633" s="528" t="s">
        <v>277</v>
      </c>
      <c r="E1633" s="528"/>
      <c r="F1633" s="528"/>
      <c r="G1633" s="528" t="s">
        <v>208</v>
      </c>
      <c r="H1633"/>
    </row>
    <row r="1634" spans="1:8" x14ac:dyDescent="0.35">
      <c r="A1634" s="528" t="s">
        <v>4940</v>
      </c>
      <c r="B1634" s="528" t="s">
        <v>4941</v>
      </c>
      <c r="C1634" s="528" t="s">
        <v>4942</v>
      </c>
      <c r="D1634" s="528" t="s">
        <v>264</v>
      </c>
      <c r="E1634" s="528"/>
      <c r="F1634" s="528"/>
      <c r="G1634" s="528" t="s">
        <v>205</v>
      </c>
      <c r="H1634"/>
    </row>
    <row r="1635" spans="1:8" x14ac:dyDescent="0.35">
      <c r="A1635" s="528" t="s">
        <v>4943</v>
      </c>
      <c r="B1635" s="528" t="s">
        <v>4944</v>
      </c>
      <c r="C1635" s="528" t="s">
        <v>4945</v>
      </c>
      <c r="D1635" s="528" t="s">
        <v>251</v>
      </c>
      <c r="E1635" s="528"/>
      <c r="F1635" s="528"/>
      <c r="G1635" s="528" t="s">
        <v>205</v>
      </c>
      <c r="H1635"/>
    </row>
    <row r="1636" spans="1:8" x14ac:dyDescent="0.35">
      <c r="A1636" s="528" t="s">
        <v>4946</v>
      </c>
      <c r="B1636" s="528" t="s">
        <v>4947</v>
      </c>
      <c r="C1636" s="528" t="s">
        <v>3158</v>
      </c>
      <c r="D1636" s="528" t="s">
        <v>277</v>
      </c>
      <c r="E1636" s="528"/>
      <c r="F1636" s="528"/>
      <c r="G1636" s="528" t="s">
        <v>205</v>
      </c>
      <c r="H1636"/>
    </row>
    <row r="1637" spans="1:8" x14ac:dyDescent="0.35">
      <c r="A1637" s="528" t="s">
        <v>4948</v>
      </c>
      <c r="B1637" s="528" t="s">
        <v>4949</v>
      </c>
      <c r="C1637" s="528" t="s">
        <v>4950</v>
      </c>
      <c r="D1637" s="528" t="s">
        <v>277</v>
      </c>
      <c r="E1637" s="528"/>
      <c r="F1637" s="528"/>
      <c r="G1637" s="528" t="s">
        <v>205</v>
      </c>
      <c r="H1637"/>
    </row>
    <row r="1638" spans="1:8" x14ac:dyDescent="0.35">
      <c r="A1638" s="528" t="s">
        <v>4951</v>
      </c>
      <c r="B1638" s="528" t="s">
        <v>4952</v>
      </c>
      <c r="C1638" s="528" t="s">
        <v>4953</v>
      </c>
      <c r="D1638" s="528" t="s">
        <v>277</v>
      </c>
      <c r="E1638" s="528"/>
      <c r="F1638" s="528"/>
      <c r="G1638" s="528" t="s">
        <v>205</v>
      </c>
      <c r="H1638"/>
    </row>
    <row r="1639" spans="1:8" x14ac:dyDescent="0.35">
      <c r="A1639" s="528" t="s">
        <v>4954</v>
      </c>
      <c r="B1639" s="528" t="s">
        <v>4955</v>
      </c>
      <c r="C1639" s="528" t="s">
        <v>4956</v>
      </c>
      <c r="D1639" s="528" t="s">
        <v>251</v>
      </c>
      <c r="E1639" s="528"/>
      <c r="F1639" s="528"/>
      <c r="G1639" s="528" t="s">
        <v>208</v>
      </c>
      <c r="H1639"/>
    </row>
    <row r="1640" spans="1:8" x14ac:dyDescent="0.35">
      <c r="A1640" s="528" t="s">
        <v>4957</v>
      </c>
      <c r="B1640" s="528" t="s">
        <v>4958</v>
      </c>
      <c r="C1640" s="528" t="s">
        <v>4959</v>
      </c>
      <c r="D1640" s="528" t="s">
        <v>277</v>
      </c>
      <c r="E1640" s="528"/>
      <c r="F1640" s="528"/>
      <c r="G1640" s="528" t="s">
        <v>208</v>
      </c>
      <c r="H1640"/>
    </row>
    <row r="1641" spans="1:8" x14ac:dyDescent="0.35">
      <c r="A1641" s="528" t="s">
        <v>4960</v>
      </c>
      <c r="B1641" s="528" t="s">
        <v>4961</v>
      </c>
      <c r="C1641" s="528" t="s">
        <v>1158</v>
      </c>
      <c r="D1641" s="528" t="s">
        <v>225</v>
      </c>
      <c r="E1641" s="528"/>
      <c r="F1641" s="528"/>
      <c r="G1641" s="528" t="s">
        <v>205</v>
      </c>
      <c r="H1641"/>
    </row>
    <row r="1642" spans="1:8" x14ac:dyDescent="0.35">
      <c r="A1642" s="528" t="s">
        <v>4962</v>
      </c>
      <c r="B1642" s="528" t="s">
        <v>4963</v>
      </c>
      <c r="C1642" s="528" t="s">
        <v>4964</v>
      </c>
      <c r="D1642" s="528" t="s">
        <v>264</v>
      </c>
      <c r="E1642" s="528"/>
      <c r="F1642" s="528"/>
      <c r="G1642" s="528" t="s">
        <v>205</v>
      </c>
      <c r="H1642"/>
    </row>
    <row r="1643" spans="1:8" x14ac:dyDescent="0.35">
      <c r="A1643" s="528" t="s">
        <v>4965</v>
      </c>
      <c r="B1643" s="528" t="s">
        <v>4966</v>
      </c>
      <c r="C1643" s="528" t="s">
        <v>519</v>
      </c>
      <c r="D1643" s="528" t="s">
        <v>264</v>
      </c>
      <c r="E1643" s="528"/>
      <c r="F1643" s="528"/>
      <c r="G1643" s="528" t="s">
        <v>205</v>
      </c>
      <c r="H1643"/>
    </row>
    <row r="1644" spans="1:8" x14ac:dyDescent="0.35">
      <c r="A1644" s="528" t="s">
        <v>4967</v>
      </c>
      <c r="B1644" s="528" t="s">
        <v>4968</v>
      </c>
      <c r="C1644" s="528" t="s">
        <v>2655</v>
      </c>
      <c r="D1644" s="528" t="s">
        <v>277</v>
      </c>
      <c r="E1644" s="528"/>
      <c r="F1644" s="528"/>
      <c r="G1644" s="528" t="s">
        <v>205</v>
      </c>
      <c r="H1644"/>
    </row>
    <row r="1645" spans="1:8" x14ac:dyDescent="0.35">
      <c r="A1645" s="528" t="s">
        <v>4969</v>
      </c>
      <c r="B1645" s="528" t="s">
        <v>4970</v>
      </c>
      <c r="C1645" s="528" t="s">
        <v>1504</v>
      </c>
      <c r="D1645" s="528" t="s">
        <v>277</v>
      </c>
      <c r="E1645" s="528"/>
      <c r="F1645" s="528"/>
      <c r="G1645" s="528" t="s">
        <v>205</v>
      </c>
      <c r="H1645"/>
    </row>
    <row r="1646" spans="1:8" x14ac:dyDescent="0.35">
      <c r="A1646" s="528" t="s">
        <v>4971</v>
      </c>
      <c r="B1646" s="528" t="s">
        <v>4972</v>
      </c>
      <c r="C1646" s="528" t="s">
        <v>4973</v>
      </c>
      <c r="D1646" s="528" t="s">
        <v>277</v>
      </c>
      <c r="E1646" s="528" t="s">
        <v>238</v>
      </c>
      <c r="F1646" s="528"/>
      <c r="G1646" s="528" t="s">
        <v>205</v>
      </c>
      <c r="H1646"/>
    </row>
    <row r="1647" spans="1:8" x14ac:dyDescent="0.35">
      <c r="A1647" s="528" t="s">
        <v>4974</v>
      </c>
      <c r="B1647" s="528" t="s">
        <v>4975</v>
      </c>
      <c r="C1647" s="528" t="s">
        <v>4976</v>
      </c>
      <c r="D1647" s="528" t="s">
        <v>277</v>
      </c>
      <c r="E1647" s="528" t="s">
        <v>238</v>
      </c>
      <c r="F1647" s="528"/>
      <c r="G1647" s="528" t="s">
        <v>205</v>
      </c>
      <c r="H1647"/>
    </row>
    <row r="1648" spans="1:8" x14ac:dyDescent="0.35">
      <c r="A1648" s="528" t="s">
        <v>4977</v>
      </c>
      <c r="B1648" s="528" t="s">
        <v>4978</v>
      </c>
      <c r="C1648" s="528" t="s">
        <v>4979</v>
      </c>
      <c r="D1648" s="528" t="s">
        <v>238</v>
      </c>
      <c r="E1648" s="528"/>
      <c r="F1648" s="528"/>
      <c r="G1648" s="528" t="s">
        <v>205</v>
      </c>
      <c r="H1648"/>
    </row>
    <row r="1649" spans="1:8" x14ac:dyDescent="0.35">
      <c r="A1649" s="528" t="s">
        <v>4980</v>
      </c>
      <c r="B1649" s="528" t="s">
        <v>4981</v>
      </c>
      <c r="C1649" s="528" t="s">
        <v>4982</v>
      </c>
      <c r="D1649" s="528" t="s">
        <v>264</v>
      </c>
      <c r="E1649" s="528"/>
      <c r="F1649" s="528"/>
      <c r="G1649" s="528" t="s">
        <v>205</v>
      </c>
      <c r="H1649"/>
    </row>
    <row r="1650" spans="1:8" x14ac:dyDescent="0.35">
      <c r="A1650" s="528" t="s">
        <v>4983</v>
      </c>
      <c r="B1650" s="528" t="s">
        <v>4984</v>
      </c>
      <c r="C1650" s="528" t="s">
        <v>4985</v>
      </c>
      <c r="D1650" s="528" t="s">
        <v>251</v>
      </c>
      <c r="E1650" s="528"/>
      <c r="F1650" s="528"/>
      <c r="G1650" s="528" t="s">
        <v>205</v>
      </c>
      <c r="H1650"/>
    </row>
    <row r="1651" spans="1:8" x14ac:dyDescent="0.35">
      <c r="A1651" s="528" t="s">
        <v>4986</v>
      </c>
      <c r="B1651" s="528" t="s">
        <v>4987</v>
      </c>
      <c r="C1651" s="528" t="s">
        <v>4988</v>
      </c>
      <c r="D1651" s="528" t="s">
        <v>238</v>
      </c>
      <c r="E1651" s="528"/>
      <c r="F1651" s="528"/>
      <c r="G1651" s="528" t="s">
        <v>205</v>
      </c>
      <c r="H1651"/>
    </row>
    <row r="1652" spans="1:8" x14ac:dyDescent="0.35">
      <c r="A1652" s="528" t="s">
        <v>4989</v>
      </c>
      <c r="B1652" s="528" t="s">
        <v>4990</v>
      </c>
      <c r="C1652" s="528" t="s">
        <v>4991</v>
      </c>
      <c r="D1652" s="528" t="s">
        <v>277</v>
      </c>
      <c r="E1652" s="528"/>
      <c r="F1652" s="528"/>
      <c r="G1652" s="528" t="s">
        <v>205</v>
      </c>
      <c r="H1652"/>
    </row>
    <row r="1653" spans="1:8" x14ac:dyDescent="0.35">
      <c r="A1653" s="528" t="s">
        <v>4992</v>
      </c>
      <c r="B1653" s="528" t="s">
        <v>4993</v>
      </c>
      <c r="C1653" s="528" t="s">
        <v>4994</v>
      </c>
      <c r="D1653" s="528" t="s">
        <v>264</v>
      </c>
      <c r="E1653" s="528"/>
      <c r="F1653" s="528"/>
      <c r="G1653" s="528" t="s">
        <v>205</v>
      </c>
      <c r="H1653"/>
    </row>
    <row r="1654" spans="1:8" x14ac:dyDescent="0.35">
      <c r="A1654" s="528" t="s">
        <v>4995</v>
      </c>
      <c r="B1654" s="528" t="s">
        <v>4996</v>
      </c>
      <c r="C1654" s="528" t="s">
        <v>4997</v>
      </c>
      <c r="D1654" s="528" t="s">
        <v>251</v>
      </c>
      <c r="E1654" s="528"/>
      <c r="F1654" s="528"/>
      <c r="G1654" s="528" t="s">
        <v>205</v>
      </c>
      <c r="H1654"/>
    </row>
    <row r="1655" spans="1:8" x14ac:dyDescent="0.35">
      <c r="A1655" s="528" t="s">
        <v>4998</v>
      </c>
      <c r="B1655" s="528" t="s">
        <v>4999</v>
      </c>
      <c r="C1655" s="528" t="s">
        <v>1164</v>
      </c>
      <c r="D1655" s="528" t="s">
        <v>251</v>
      </c>
      <c r="E1655" s="528"/>
      <c r="F1655" s="528"/>
      <c r="G1655" s="528" t="s">
        <v>205</v>
      </c>
      <c r="H1655"/>
    </row>
    <row r="1656" spans="1:8" x14ac:dyDescent="0.35">
      <c r="A1656" s="528" t="s">
        <v>5000</v>
      </c>
      <c r="B1656" s="528" t="s">
        <v>5001</v>
      </c>
      <c r="C1656" s="528" t="s">
        <v>5002</v>
      </c>
      <c r="D1656" s="528" t="s">
        <v>277</v>
      </c>
      <c r="E1656" s="528"/>
      <c r="F1656" s="528"/>
      <c r="G1656" s="528" t="s">
        <v>205</v>
      </c>
      <c r="H1656"/>
    </row>
    <row r="1657" spans="1:8" x14ac:dyDescent="0.35">
      <c r="A1657" s="528" t="s">
        <v>5003</v>
      </c>
      <c r="B1657" s="528" t="s">
        <v>5004</v>
      </c>
      <c r="C1657" s="528" t="s">
        <v>5005</v>
      </c>
      <c r="D1657" s="528" t="s">
        <v>264</v>
      </c>
      <c r="E1657" s="528"/>
      <c r="F1657" s="528"/>
      <c r="G1657" s="528" t="s">
        <v>205</v>
      </c>
      <c r="H1657"/>
    </row>
    <row r="1658" spans="1:8" x14ac:dyDescent="0.35">
      <c r="A1658" s="528" t="s">
        <v>5006</v>
      </c>
      <c r="B1658" s="528" t="s">
        <v>5007</v>
      </c>
      <c r="C1658" s="528" t="s">
        <v>5008</v>
      </c>
      <c r="D1658" s="528" t="s">
        <v>251</v>
      </c>
      <c r="E1658" s="528"/>
      <c r="F1658" s="528"/>
      <c r="G1658" s="528" t="s">
        <v>205</v>
      </c>
      <c r="H1658"/>
    </row>
    <row r="1659" spans="1:8" x14ac:dyDescent="0.35">
      <c r="A1659" s="528" t="s">
        <v>5009</v>
      </c>
      <c r="B1659" s="528" t="s">
        <v>5010</v>
      </c>
      <c r="C1659" s="528" t="s">
        <v>5011</v>
      </c>
      <c r="D1659" s="528" t="s">
        <v>251</v>
      </c>
      <c r="E1659" s="528"/>
      <c r="F1659" s="528"/>
      <c r="G1659" s="528" t="s">
        <v>205</v>
      </c>
      <c r="H1659"/>
    </row>
    <row r="1660" spans="1:8" x14ac:dyDescent="0.35">
      <c r="A1660" s="528" t="s">
        <v>5012</v>
      </c>
      <c r="B1660" s="528" t="s">
        <v>5013</v>
      </c>
      <c r="C1660" s="528" t="s">
        <v>5014</v>
      </c>
      <c r="D1660" s="528" t="s">
        <v>238</v>
      </c>
      <c r="E1660" s="528"/>
      <c r="F1660" s="528"/>
      <c r="G1660" s="528" t="s">
        <v>205</v>
      </c>
      <c r="H1660"/>
    </row>
    <row r="1661" spans="1:8" x14ac:dyDescent="0.35">
      <c r="A1661" s="528" t="s">
        <v>5015</v>
      </c>
      <c r="B1661" s="528" t="s">
        <v>5016</v>
      </c>
      <c r="C1661" s="528" t="s">
        <v>5017</v>
      </c>
      <c r="D1661" s="528" t="s">
        <v>277</v>
      </c>
      <c r="E1661" s="528"/>
      <c r="F1661" s="528"/>
      <c r="G1661" s="528" t="s">
        <v>205</v>
      </c>
      <c r="H1661"/>
    </row>
    <row r="1662" spans="1:8" x14ac:dyDescent="0.35">
      <c r="A1662" s="528" t="s">
        <v>5018</v>
      </c>
      <c r="B1662" s="528" t="s">
        <v>5019</v>
      </c>
      <c r="C1662" s="528" t="s">
        <v>3048</v>
      </c>
      <c r="D1662" s="528" t="s">
        <v>264</v>
      </c>
      <c r="E1662" s="528"/>
      <c r="F1662" s="528"/>
      <c r="G1662" s="528" t="s">
        <v>205</v>
      </c>
      <c r="H1662"/>
    </row>
    <row r="1663" spans="1:8" x14ac:dyDescent="0.35">
      <c r="A1663" s="528" t="s">
        <v>5020</v>
      </c>
      <c r="B1663" s="528" t="s">
        <v>5021</v>
      </c>
      <c r="C1663" s="528" t="s">
        <v>1270</v>
      </c>
      <c r="D1663" s="528" t="s">
        <v>251</v>
      </c>
      <c r="E1663" s="528"/>
      <c r="F1663" s="528"/>
      <c r="G1663" s="528" t="s">
        <v>205</v>
      </c>
      <c r="H1663"/>
    </row>
    <row r="1664" spans="1:8" x14ac:dyDescent="0.35">
      <c r="A1664" s="528" t="s">
        <v>5022</v>
      </c>
      <c r="B1664" s="528" t="s">
        <v>5023</v>
      </c>
      <c r="C1664" s="528" t="s">
        <v>5024</v>
      </c>
      <c r="D1664" s="528" t="s">
        <v>251</v>
      </c>
      <c r="E1664" s="528"/>
      <c r="F1664" s="528"/>
      <c r="G1664" s="528" t="s">
        <v>205</v>
      </c>
      <c r="H1664"/>
    </row>
    <row r="1665" spans="1:8" x14ac:dyDescent="0.35">
      <c r="A1665" s="528" t="s">
        <v>5025</v>
      </c>
      <c r="B1665" s="528" t="s">
        <v>5026</v>
      </c>
      <c r="C1665" s="528" t="s">
        <v>5027</v>
      </c>
      <c r="D1665" s="528" t="s">
        <v>264</v>
      </c>
      <c r="E1665" s="528"/>
      <c r="F1665" s="528"/>
      <c r="G1665" s="528" t="s">
        <v>210</v>
      </c>
      <c r="H1665"/>
    </row>
    <row r="1666" spans="1:8" x14ac:dyDescent="0.35">
      <c r="A1666" s="528" t="s">
        <v>5028</v>
      </c>
      <c r="B1666" s="528" t="s">
        <v>5029</v>
      </c>
      <c r="C1666" s="528" t="s">
        <v>678</v>
      </c>
      <c r="D1666" s="528" t="s">
        <v>264</v>
      </c>
      <c r="E1666" s="528"/>
      <c r="F1666" s="528"/>
      <c r="G1666" s="528" t="s">
        <v>205</v>
      </c>
      <c r="H1666"/>
    </row>
    <row r="1667" spans="1:8" x14ac:dyDescent="0.35">
      <c r="A1667" s="528" t="s">
        <v>5030</v>
      </c>
      <c r="B1667" s="528" t="s">
        <v>5031</v>
      </c>
      <c r="C1667" s="528" t="s">
        <v>5032</v>
      </c>
      <c r="D1667" s="528" t="s">
        <v>264</v>
      </c>
      <c r="E1667" s="528"/>
      <c r="F1667" s="528"/>
      <c r="G1667" s="528" t="s">
        <v>205</v>
      </c>
      <c r="H1667"/>
    </row>
    <row r="1668" spans="1:8" x14ac:dyDescent="0.35">
      <c r="A1668" s="528" t="s">
        <v>5033</v>
      </c>
      <c r="B1668" s="528" t="s">
        <v>5034</v>
      </c>
      <c r="C1668" s="528" t="s">
        <v>5035</v>
      </c>
      <c r="D1668" s="528" t="s">
        <v>225</v>
      </c>
      <c r="E1668" s="528"/>
      <c r="F1668" s="528"/>
      <c r="G1668" s="528" t="s">
        <v>205</v>
      </c>
      <c r="H1668"/>
    </row>
    <row r="1669" spans="1:8" x14ac:dyDescent="0.35">
      <c r="A1669" s="528" t="s">
        <v>5036</v>
      </c>
      <c r="B1669" s="528" t="s">
        <v>5037</v>
      </c>
      <c r="C1669" s="528" t="s">
        <v>5038</v>
      </c>
      <c r="D1669" s="528" t="s">
        <v>225</v>
      </c>
      <c r="E1669" s="528"/>
      <c r="F1669" s="528"/>
      <c r="G1669" s="528" t="s">
        <v>205</v>
      </c>
      <c r="H1669"/>
    </row>
    <row r="1670" spans="1:8" x14ac:dyDescent="0.35">
      <c r="A1670" s="528" t="s">
        <v>5039</v>
      </c>
      <c r="B1670" s="528" t="s">
        <v>5040</v>
      </c>
      <c r="C1670" s="528" t="s">
        <v>5041</v>
      </c>
      <c r="D1670" s="528" t="s">
        <v>225</v>
      </c>
      <c r="E1670" s="528"/>
      <c r="F1670" s="528"/>
      <c r="G1670" s="528" t="s">
        <v>205</v>
      </c>
      <c r="H1670"/>
    </row>
    <row r="1671" spans="1:8" x14ac:dyDescent="0.35">
      <c r="A1671" s="528" t="s">
        <v>5042</v>
      </c>
      <c r="B1671" s="528" t="s">
        <v>5043</v>
      </c>
      <c r="C1671" s="528" t="s">
        <v>5044</v>
      </c>
      <c r="D1671" s="528" t="s">
        <v>225</v>
      </c>
      <c r="E1671" s="528"/>
      <c r="F1671" s="528"/>
      <c r="G1671" s="528" t="s">
        <v>205</v>
      </c>
      <c r="H1671"/>
    </row>
    <row r="1672" spans="1:8" x14ac:dyDescent="0.35">
      <c r="A1672" s="528" t="s">
        <v>5045</v>
      </c>
      <c r="B1672" s="528" t="s">
        <v>5046</v>
      </c>
      <c r="C1672" s="528" t="s">
        <v>5047</v>
      </c>
      <c r="D1672" s="528" t="s">
        <v>225</v>
      </c>
      <c r="E1672" s="528"/>
      <c r="F1672" s="528"/>
      <c r="G1672" s="528" t="s">
        <v>205</v>
      </c>
      <c r="H1672"/>
    </row>
    <row r="1673" spans="1:8" x14ac:dyDescent="0.35">
      <c r="A1673" s="528" t="s">
        <v>5048</v>
      </c>
      <c r="B1673" s="528" t="s">
        <v>5049</v>
      </c>
      <c r="C1673" s="528" t="s">
        <v>5050</v>
      </c>
      <c r="D1673" s="528" t="s">
        <v>225</v>
      </c>
      <c r="E1673" s="528"/>
      <c r="F1673" s="528"/>
      <c r="G1673" s="528" t="s">
        <v>205</v>
      </c>
      <c r="H1673"/>
    </row>
    <row r="1674" spans="1:8" x14ac:dyDescent="0.35">
      <c r="A1674" s="528" t="s">
        <v>5051</v>
      </c>
      <c r="B1674" s="528" t="s">
        <v>5052</v>
      </c>
      <c r="C1674" s="528" t="s">
        <v>5053</v>
      </c>
      <c r="D1674" s="528" t="s">
        <v>225</v>
      </c>
      <c r="E1674" s="528"/>
      <c r="F1674" s="528"/>
      <c r="G1674" s="528" t="s">
        <v>205</v>
      </c>
      <c r="H1674"/>
    </row>
    <row r="1675" spans="1:8" x14ac:dyDescent="0.35">
      <c r="A1675" s="528" t="s">
        <v>5054</v>
      </c>
      <c r="B1675" s="528" t="s">
        <v>5055</v>
      </c>
      <c r="C1675" s="528" t="s">
        <v>5056</v>
      </c>
      <c r="D1675" s="528" t="s">
        <v>225</v>
      </c>
      <c r="E1675" s="528"/>
      <c r="F1675" s="528"/>
      <c r="G1675" s="528" t="s">
        <v>205</v>
      </c>
      <c r="H1675"/>
    </row>
    <row r="1676" spans="1:8" x14ac:dyDescent="0.35">
      <c r="A1676" s="528" t="s">
        <v>5057</v>
      </c>
      <c r="B1676" s="528" t="s">
        <v>5058</v>
      </c>
      <c r="C1676" s="528" t="s">
        <v>5059</v>
      </c>
      <c r="D1676" s="528" t="s">
        <v>225</v>
      </c>
      <c r="E1676" s="528"/>
      <c r="F1676" s="528"/>
      <c r="G1676" s="528" t="s">
        <v>205</v>
      </c>
      <c r="H1676"/>
    </row>
    <row r="1677" spans="1:8" x14ac:dyDescent="0.35">
      <c r="A1677" s="528" t="s">
        <v>5060</v>
      </c>
      <c r="B1677" s="528" t="s">
        <v>5061</v>
      </c>
      <c r="C1677" s="528" t="s">
        <v>5062</v>
      </c>
      <c r="D1677" s="528" t="s">
        <v>277</v>
      </c>
      <c r="E1677" s="528"/>
      <c r="F1677" s="528"/>
      <c r="G1677" s="528" t="s">
        <v>205</v>
      </c>
      <c r="H1677"/>
    </row>
    <row r="1678" spans="1:8" x14ac:dyDescent="0.35">
      <c r="A1678" s="528" t="s">
        <v>5063</v>
      </c>
      <c r="B1678" s="528" t="s">
        <v>5064</v>
      </c>
      <c r="C1678" s="528" t="s">
        <v>2327</v>
      </c>
      <c r="D1678" s="528" t="s">
        <v>277</v>
      </c>
      <c r="E1678" s="528"/>
      <c r="F1678" s="528"/>
      <c r="G1678" s="528" t="s">
        <v>205</v>
      </c>
      <c r="H1678"/>
    </row>
    <row r="1679" spans="1:8" x14ac:dyDescent="0.35">
      <c r="A1679" s="528" t="s">
        <v>5065</v>
      </c>
      <c r="B1679" s="528" t="s">
        <v>5066</v>
      </c>
      <c r="C1679" s="528" t="s">
        <v>5067</v>
      </c>
      <c r="D1679" s="528" t="s">
        <v>264</v>
      </c>
      <c r="E1679" s="528"/>
      <c r="F1679" s="528"/>
      <c r="G1679" s="528" t="s">
        <v>205</v>
      </c>
      <c r="H1679"/>
    </row>
    <row r="1680" spans="1:8" x14ac:dyDescent="0.35">
      <c r="A1680" s="528" t="s">
        <v>5068</v>
      </c>
      <c r="B1680" s="528" t="s">
        <v>5069</v>
      </c>
      <c r="C1680" s="528" t="s">
        <v>2321</v>
      </c>
      <c r="D1680" s="528" t="s">
        <v>238</v>
      </c>
      <c r="E1680" s="528"/>
      <c r="F1680" s="528"/>
      <c r="G1680" s="528" t="s">
        <v>205</v>
      </c>
      <c r="H1680"/>
    </row>
    <row r="1681" spans="1:8" x14ac:dyDescent="0.35">
      <c r="A1681" s="528" t="s">
        <v>5070</v>
      </c>
      <c r="B1681" s="528" t="s">
        <v>5071</v>
      </c>
      <c r="C1681" s="528" t="s">
        <v>725</v>
      </c>
      <c r="D1681" s="528" t="s">
        <v>277</v>
      </c>
      <c r="E1681" s="528"/>
      <c r="F1681" s="528"/>
      <c r="G1681" s="528" t="s">
        <v>208</v>
      </c>
      <c r="H1681"/>
    </row>
    <row r="1682" spans="1:8" x14ac:dyDescent="0.35">
      <c r="A1682" s="528" t="s">
        <v>5072</v>
      </c>
      <c r="B1682" s="528" t="s">
        <v>5073</v>
      </c>
      <c r="C1682" s="528" t="s">
        <v>2357</v>
      </c>
      <c r="D1682" s="528" t="s">
        <v>264</v>
      </c>
      <c r="E1682" s="528"/>
      <c r="F1682" s="528"/>
      <c r="G1682" s="528" t="s">
        <v>208</v>
      </c>
      <c r="H1682"/>
    </row>
    <row r="1683" spans="1:8" x14ac:dyDescent="0.35">
      <c r="A1683" s="528" t="s">
        <v>5074</v>
      </c>
      <c r="B1683" s="528" t="s">
        <v>5075</v>
      </c>
      <c r="C1683" s="528" t="s">
        <v>5076</v>
      </c>
      <c r="D1683" s="528" t="s">
        <v>264</v>
      </c>
      <c r="E1683" s="528"/>
      <c r="F1683" s="528"/>
      <c r="G1683" s="528" t="s">
        <v>208</v>
      </c>
      <c r="H1683"/>
    </row>
    <row r="1684" spans="1:8" x14ac:dyDescent="0.35">
      <c r="A1684" s="528" t="s">
        <v>5077</v>
      </c>
      <c r="B1684" s="528" t="s">
        <v>5078</v>
      </c>
      <c r="C1684" s="528" t="s">
        <v>672</v>
      </c>
      <c r="D1684" s="528" t="s">
        <v>264</v>
      </c>
      <c r="E1684" s="528"/>
      <c r="F1684" s="528"/>
      <c r="G1684" s="528" t="s">
        <v>208</v>
      </c>
      <c r="H1684"/>
    </row>
    <row r="1685" spans="1:8" x14ac:dyDescent="0.35">
      <c r="A1685" s="528" t="s">
        <v>5079</v>
      </c>
      <c r="B1685" s="528" t="s">
        <v>5080</v>
      </c>
      <c r="C1685" s="528" t="s">
        <v>5081</v>
      </c>
      <c r="D1685" s="528" t="s">
        <v>264</v>
      </c>
      <c r="E1685" s="528"/>
      <c r="F1685" s="528"/>
      <c r="G1685" s="528" t="s">
        <v>208</v>
      </c>
      <c r="H1685"/>
    </row>
    <row r="1686" spans="1:8" x14ac:dyDescent="0.35">
      <c r="A1686" s="528" t="s">
        <v>5082</v>
      </c>
      <c r="B1686" s="528" t="s">
        <v>5083</v>
      </c>
      <c r="C1686" s="528" t="s">
        <v>5084</v>
      </c>
      <c r="D1686" s="528" t="s">
        <v>264</v>
      </c>
      <c r="E1686" s="528"/>
      <c r="F1686" s="528"/>
      <c r="G1686" s="528" t="s">
        <v>208</v>
      </c>
      <c r="H1686"/>
    </row>
    <row r="1687" spans="1:8" x14ac:dyDescent="0.35">
      <c r="A1687" s="528" t="s">
        <v>5085</v>
      </c>
      <c r="B1687" s="528" t="s">
        <v>5086</v>
      </c>
      <c r="C1687" s="528" t="s">
        <v>5087</v>
      </c>
      <c r="D1687" s="528" t="s">
        <v>251</v>
      </c>
      <c r="E1687" s="528"/>
      <c r="F1687" s="528"/>
      <c r="G1687" s="528" t="s">
        <v>205</v>
      </c>
      <c r="H1687"/>
    </row>
    <row r="1688" spans="1:8" x14ac:dyDescent="0.35">
      <c r="A1688" s="528" t="s">
        <v>5088</v>
      </c>
      <c r="B1688" s="528" t="s">
        <v>5089</v>
      </c>
      <c r="C1688" s="528" t="s">
        <v>5090</v>
      </c>
      <c r="D1688" s="528" t="s">
        <v>251</v>
      </c>
      <c r="E1688" s="528"/>
      <c r="F1688" s="528"/>
      <c r="G1688" s="528" t="s">
        <v>205</v>
      </c>
      <c r="H1688"/>
    </row>
    <row r="1689" spans="1:8" x14ac:dyDescent="0.35">
      <c r="A1689" s="528" t="s">
        <v>5091</v>
      </c>
      <c r="B1689" s="528" t="s">
        <v>5092</v>
      </c>
      <c r="C1689" s="528" t="s">
        <v>2177</v>
      </c>
      <c r="D1689" s="528" t="s">
        <v>277</v>
      </c>
      <c r="E1689" s="528"/>
      <c r="F1689" s="528"/>
      <c r="G1689" s="528" t="s">
        <v>205</v>
      </c>
      <c r="H1689"/>
    </row>
    <row r="1690" spans="1:8" x14ac:dyDescent="0.35">
      <c r="A1690" s="528" t="s">
        <v>5093</v>
      </c>
      <c r="B1690" s="528" t="s">
        <v>5094</v>
      </c>
      <c r="C1690" s="528" t="s">
        <v>5095</v>
      </c>
      <c r="D1690" s="528" t="s">
        <v>251</v>
      </c>
      <c r="E1690" s="528"/>
      <c r="F1690" s="528"/>
      <c r="G1690" s="528" t="s">
        <v>208</v>
      </c>
      <c r="H1690"/>
    </row>
    <row r="1691" spans="1:8" x14ac:dyDescent="0.35">
      <c r="A1691" s="528" t="s">
        <v>5096</v>
      </c>
      <c r="B1691" s="528" t="s">
        <v>5097</v>
      </c>
      <c r="C1691" s="528" t="s">
        <v>5098</v>
      </c>
      <c r="D1691" s="528" t="s">
        <v>251</v>
      </c>
      <c r="E1691" s="528"/>
      <c r="F1691" s="528"/>
      <c r="G1691" s="528" t="s">
        <v>205</v>
      </c>
      <c r="H1691"/>
    </row>
    <row r="1692" spans="1:8" x14ac:dyDescent="0.35">
      <c r="A1692" s="528" t="s">
        <v>5099</v>
      </c>
      <c r="B1692" s="528" t="s">
        <v>5100</v>
      </c>
      <c r="C1692" s="528" t="s">
        <v>5101</v>
      </c>
      <c r="D1692" s="528" t="s">
        <v>251</v>
      </c>
      <c r="E1692" s="528"/>
      <c r="F1692" s="528"/>
      <c r="G1692" s="528" t="s">
        <v>205</v>
      </c>
      <c r="H1692"/>
    </row>
    <row r="1693" spans="1:8" x14ac:dyDescent="0.35">
      <c r="A1693" s="528" t="s">
        <v>5102</v>
      </c>
      <c r="B1693" s="528" t="s">
        <v>5103</v>
      </c>
      <c r="C1693" s="528" t="s">
        <v>5104</v>
      </c>
      <c r="D1693" s="528" t="s">
        <v>251</v>
      </c>
      <c r="E1693" s="528"/>
      <c r="F1693" s="528"/>
      <c r="G1693" s="528" t="s">
        <v>205</v>
      </c>
      <c r="H1693"/>
    </row>
    <row r="1694" spans="1:8" x14ac:dyDescent="0.35">
      <c r="A1694" s="528" t="s">
        <v>5105</v>
      </c>
      <c r="B1694" s="528" t="s">
        <v>5106</v>
      </c>
      <c r="C1694" s="528" t="s">
        <v>5107</v>
      </c>
      <c r="D1694" s="528" t="s">
        <v>277</v>
      </c>
      <c r="E1694" s="528"/>
      <c r="F1694" s="528"/>
      <c r="G1694" s="528" t="s">
        <v>205</v>
      </c>
      <c r="H1694"/>
    </row>
    <row r="1695" spans="1:8" x14ac:dyDescent="0.35">
      <c r="A1695" s="528" t="s">
        <v>5108</v>
      </c>
      <c r="B1695" s="528" t="s">
        <v>5109</v>
      </c>
      <c r="C1695" s="528" t="s">
        <v>1288</v>
      </c>
      <c r="D1695" s="528" t="s">
        <v>277</v>
      </c>
      <c r="E1695" s="528"/>
      <c r="F1695" s="528"/>
      <c r="G1695" s="528" t="s">
        <v>205</v>
      </c>
      <c r="H1695"/>
    </row>
    <row r="1696" spans="1:8" x14ac:dyDescent="0.35">
      <c r="A1696" s="528" t="s">
        <v>5110</v>
      </c>
      <c r="B1696" s="528" t="s">
        <v>5111</v>
      </c>
      <c r="C1696" s="528" t="s">
        <v>5112</v>
      </c>
      <c r="D1696" s="528" t="s">
        <v>264</v>
      </c>
      <c r="E1696" s="528"/>
      <c r="F1696" s="528"/>
      <c r="G1696" s="528" t="s">
        <v>208</v>
      </c>
      <c r="H1696"/>
    </row>
    <row r="1697" spans="1:8" x14ac:dyDescent="0.35">
      <c r="A1697" s="528" t="s">
        <v>5113</v>
      </c>
      <c r="B1697" s="528" t="s">
        <v>5114</v>
      </c>
      <c r="C1697" s="528" t="s">
        <v>5115</v>
      </c>
      <c r="D1697" s="528" t="s">
        <v>264</v>
      </c>
      <c r="E1697" s="528"/>
      <c r="F1697" s="528"/>
      <c r="G1697" s="528" t="s">
        <v>205</v>
      </c>
      <c r="H1697"/>
    </row>
    <row r="1698" spans="1:8" x14ac:dyDescent="0.35">
      <c r="A1698" s="528" t="s">
        <v>5116</v>
      </c>
      <c r="B1698" s="528" t="s">
        <v>5117</v>
      </c>
      <c r="C1698" s="528" t="s">
        <v>5118</v>
      </c>
      <c r="D1698" s="528" t="s">
        <v>264</v>
      </c>
      <c r="E1698" s="528"/>
      <c r="F1698" s="528"/>
      <c r="G1698" s="528" t="s">
        <v>210</v>
      </c>
      <c r="H1698"/>
    </row>
    <row r="1699" spans="1:8" x14ac:dyDescent="0.35">
      <c r="A1699" s="528" t="s">
        <v>5119</v>
      </c>
      <c r="B1699" s="528" t="s">
        <v>5120</v>
      </c>
      <c r="C1699" s="528" t="s">
        <v>5121</v>
      </c>
      <c r="D1699" s="528" t="s">
        <v>251</v>
      </c>
      <c r="E1699" s="528"/>
      <c r="F1699" s="528"/>
      <c r="G1699" s="528" t="s">
        <v>205</v>
      </c>
      <c r="H1699"/>
    </row>
    <row r="1700" spans="1:8" x14ac:dyDescent="0.35">
      <c r="A1700" s="528" t="s">
        <v>5122</v>
      </c>
      <c r="B1700" s="528" t="s">
        <v>5123</v>
      </c>
      <c r="C1700" s="528" t="s">
        <v>5124</v>
      </c>
      <c r="D1700" s="528" t="s">
        <v>251</v>
      </c>
      <c r="E1700" s="528"/>
      <c r="F1700" s="528"/>
      <c r="G1700" s="528" t="s">
        <v>208</v>
      </c>
      <c r="H1700"/>
    </row>
    <row r="1701" spans="1:8" x14ac:dyDescent="0.35">
      <c r="A1701" s="528" t="s">
        <v>5125</v>
      </c>
      <c r="B1701" s="528" t="s">
        <v>5126</v>
      </c>
      <c r="C1701" s="528" t="s">
        <v>5127</v>
      </c>
      <c r="D1701" s="528" t="s">
        <v>264</v>
      </c>
      <c r="E1701" s="528"/>
      <c r="F1701" s="528"/>
      <c r="G1701" s="528" t="s">
        <v>205</v>
      </c>
      <c r="H1701"/>
    </row>
    <row r="1702" spans="1:8" x14ac:dyDescent="0.35">
      <c r="A1702" s="528" t="s">
        <v>5128</v>
      </c>
      <c r="B1702" s="528" t="s">
        <v>5129</v>
      </c>
      <c r="C1702" s="528" t="s">
        <v>5130</v>
      </c>
      <c r="D1702" s="528" t="s">
        <v>264</v>
      </c>
      <c r="E1702" s="528"/>
      <c r="F1702" s="528"/>
      <c r="G1702" s="528" t="s">
        <v>205</v>
      </c>
      <c r="H1702"/>
    </row>
    <row r="1703" spans="1:8" x14ac:dyDescent="0.35">
      <c r="A1703" s="528" t="s">
        <v>5131</v>
      </c>
      <c r="B1703" s="528" t="s">
        <v>5132</v>
      </c>
      <c r="C1703" s="528" t="s">
        <v>5133</v>
      </c>
      <c r="D1703" s="528" t="s">
        <v>238</v>
      </c>
      <c r="E1703" s="528"/>
      <c r="F1703" s="528"/>
      <c r="G1703" s="528" t="s">
        <v>208</v>
      </c>
      <c r="H1703"/>
    </row>
    <row r="1704" spans="1:8" x14ac:dyDescent="0.35">
      <c r="A1704" s="528" t="s">
        <v>5134</v>
      </c>
      <c r="B1704" s="528" t="s">
        <v>5135</v>
      </c>
      <c r="C1704" s="528" t="s">
        <v>5136</v>
      </c>
      <c r="D1704" s="528" t="s">
        <v>225</v>
      </c>
      <c r="E1704" s="528" t="s">
        <v>264</v>
      </c>
      <c r="F1704" s="528"/>
      <c r="G1704" s="528" t="s">
        <v>208</v>
      </c>
      <c r="H1704"/>
    </row>
    <row r="1705" spans="1:8" x14ac:dyDescent="0.35">
      <c r="A1705" s="528" t="s">
        <v>5137</v>
      </c>
      <c r="B1705" s="528" t="s">
        <v>5138</v>
      </c>
      <c r="C1705" s="528" t="s">
        <v>5139</v>
      </c>
      <c r="D1705" s="528" t="s">
        <v>251</v>
      </c>
      <c r="E1705" s="528"/>
      <c r="F1705" s="528"/>
      <c r="G1705" s="528" t="s">
        <v>208</v>
      </c>
      <c r="H1705"/>
    </row>
    <row r="1706" spans="1:8" x14ac:dyDescent="0.35">
      <c r="A1706" s="528" t="s">
        <v>5140</v>
      </c>
      <c r="B1706" s="528" t="s">
        <v>5141</v>
      </c>
      <c r="C1706" s="528" t="s">
        <v>5142</v>
      </c>
      <c r="D1706" s="528" t="s">
        <v>277</v>
      </c>
      <c r="E1706" s="528"/>
      <c r="F1706" s="528"/>
      <c r="G1706" s="528" t="s">
        <v>205</v>
      </c>
      <c r="H1706"/>
    </row>
    <row r="1707" spans="1:8" x14ac:dyDescent="0.35">
      <c r="A1707" s="528" t="s">
        <v>5143</v>
      </c>
      <c r="B1707" s="528" t="s">
        <v>5144</v>
      </c>
      <c r="C1707" s="528" t="s">
        <v>5145</v>
      </c>
      <c r="D1707" s="528" t="s">
        <v>277</v>
      </c>
      <c r="E1707" s="528"/>
      <c r="F1707" s="528"/>
      <c r="G1707" s="528" t="s">
        <v>208</v>
      </c>
      <c r="H1707"/>
    </row>
    <row r="1708" spans="1:8" x14ac:dyDescent="0.35">
      <c r="A1708" s="528" t="s">
        <v>5146</v>
      </c>
      <c r="B1708" s="528" t="s">
        <v>5147</v>
      </c>
      <c r="C1708" s="528" t="s">
        <v>5148</v>
      </c>
      <c r="D1708" s="528" t="s">
        <v>277</v>
      </c>
      <c r="E1708" s="528"/>
      <c r="F1708" s="528"/>
      <c r="G1708" s="528" t="s">
        <v>208</v>
      </c>
      <c r="H1708"/>
    </row>
    <row r="1709" spans="1:8" x14ac:dyDescent="0.35">
      <c r="A1709" s="528" t="s">
        <v>5149</v>
      </c>
      <c r="B1709" s="528" t="s">
        <v>5150</v>
      </c>
      <c r="C1709" s="528" t="s">
        <v>5151</v>
      </c>
      <c r="D1709" s="528" t="s">
        <v>277</v>
      </c>
      <c r="E1709" s="528"/>
      <c r="F1709" s="528"/>
      <c r="G1709" s="528" t="s">
        <v>208</v>
      </c>
      <c r="H1709"/>
    </row>
    <row r="1710" spans="1:8" x14ac:dyDescent="0.35">
      <c r="A1710" s="528" t="s">
        <v>5152</v>
      </c>
      <c r="B1710" s="528" t="s">
        <v>5153</v>
      </c>
      <c r="C1710" s="528" t="s">
        <v>5154</v>
      </c>
      <c r="D1710" s="528" t="s">
        <v>238</v>
      </c>
      <c r="E1710" s="528"/>
      <c r="F1710" s="528"/>
      <c r="G1710" s="528" t="s">
        <v>205</v>
      </c>
      <c r="H1710"/>
    </row>
    <row r="1711" spans="1:8" x14ac:dyDescent="0.35">
      <c r="A1711" s="528" t="s">
        <v>5155</v>
      </c>
      <c r="B1711" s="528" t="s">
        <v>5156</v>
      </c>
      <c r="C1711" s="528" t="s">
        <v>5157</v>
      </c>
      <c r="D1711" s="528" t="s">
        <v>251</v>
      </c>
      <c r="E1711" s="528"/>
      <c r="F1711" s="528"/>
      <c r="G1711" s="528" t="s">
        <v>205</v>
      </c>
      <c r="H1711"/>
    </row>
    <row r="1712" spans="1:8" x14ac:dyDescent="0.35">
      <c r="A1712" s="528" t="s">
        <v>5158</v>
      </c>
      <c r="B1712" s="528" t="s">
        <v>5159</v>
      </c>
      <c r="C1712" s="528" t="s">
        <v>3847</v>
      </c>
      <c r="D1712" s="528" t="s">
        <v>277</v>
      </c>
      <c r="E1712" s="528"/>
      <c r="F1712" s="528"/>
      <c r="G1712" s="528" t="s">
        <v>205</v>
      </c>
      <c r="H1712"/>
    </row>
    <row r="1713" spans="1:8" x14ac:dyDescent="0.35">
      <c r="A1713" s="528" t="s">
        <v>5160</v>
      </c>
      <c r="B1713" s="528" t="s">
        <v>5161</v>
      </c>
      <c r="C1713" s="528" t="s">
        <v>5162</v>
      </c>
      <c r="D1713" s="528" t="s">
        <v>225</v>
      </c>
      <c r="E1713" s="528"/>
      <c r="F1713" s="528"/>
      <c r="G1713" s="528" t="s">
        <v>205</v>
      </c>
      <c r="H1713"/>
    </row>
    <row r="1714" spans="1:8" x14ac:dyDescent="0.35">
      <c r="A1714" s="528" t="s">
        <v>5163</v>
      </c>
      <c r="B1714" s="528" t="s">
        <v>5164</v>
      </c>
      <c r="C1714" s="528" t="s">
        <v>5165</v>
      </c>
      <c r="D1714" s="528" t="s">
        <v>264</v>
      </c>
      <c r="E1714" s="528"/>
      <c r="F1714" s="528"/>
      <c r="G1714" s="528" t="s">
        <v>205</v>
      </c>
      <c r="H1714"/>
    </row>
    <row r="1715" spans="1:8" x14ac:dyDescent="0.35">
      <c r="A1715" s="528" t="s">
        <v>5166</v>
      </c>
      <c r="B1715" s="528" t="s">
        <v>5167</v>
      </c>
      <c r="C1715" s="528" t="s">
        <v>5168</v>
      </c>
      <c r="D1715" s="528" t="s">
        <v>225</v>
      </c>
      <c r="E1715" s="528" t="s">
        <v>264</v>
      </c>
      <c r="F1715" s="528"/>
      <c r="G1715" s="528" t="s">
        <v>205</v>
      </c>
      <c r="H1715"/>
    </row>
    <row r="1716" spans="1:8" x14ac:dyDescent="0.35">
      <c r="A1716" s="528" t="s">
        <v>5169</v>
      </c>
      <c r="B1716" s="528" t="s">
        <v>5170</v>
      </c>
      <c r="C1716" s="528" t="s">
        <v>5171</v>
      </c>
      <c r="D1716" s="528" t="s">
        <v>251</v>
      </c>
      <c r="E1716" s="528"/>
      <c r="F1716" s="528"/>
      <c r="G1716" s="528" t="s">
        <v>205</v>
      </c>
      <c r="H1716"/>
    </row>
    <row r="1717" spans="1:8" x14ac:dyDescent="0.35">
      <c r="A1717" s="528" t="s">
        <v>5172</v>
      </c>
      <c r="B1717" s="528" t="s">
        <v>5173</v>
      </c>
      <c r="C1717" s="528" t="s">
        <v>5174</v>
      </c>
      <c r="D1717" s="528" t="s">
        <v>251</v>
      </c>
      <c r="E1717" s="528"/>
      <c r="F1717" s="528"/>
      <c r="G1717" s="528" t="s">
        <v>208</v>
      </c>
      <c r="H1717"/>
    </row>
    <row r="1718" spans="1:8" x14ac:dyDescent="0.35">
      <c r="A1718" s="528" t="s">
        <v>5175</v>
      </c>
      <c r="B1718" s="528" t="s">
        <v>5176</v>
      </c>
      <c r="C1718" s="528" t="s">
        <v>5177</v>
      </c>
      <c r="D1718" s="528" t="s">
        <v>251</v>
      </c>
      <c r="E1718" s="528"/>
      <c r="F1718" s="528"/>
      <c r="G1718" s="528" t="s">
        <v>208</v>
      </c>
      <c r="H1718"/>
    </row>
    <row r="1719" spans="1:8" x14ac:dyDescent="0.35">
      <c r="A1719" s="528" t="s">
        <v>5178</v>
      </c>
      <c r="B1719" s="528" t="s">
        <v>5179</v>
      </c>
      <c r="C1719" s="528" t="s">
        <v>1489</v>
      </c>
      <c r="D1719" s="528" t="s">
        <v>251</v>
      </c>
      <c r="E1719" s="528"/>
      <c r="F1719" s="528"/>
      <c r="G1719" s="528" t="s">
        <v>212</v>
      </c>
      <c r="H1719"/>
    </row>
    <row r="1720" spans="1:8" x14ac:dyDescent="0.35">
      <c r="A1720" s="528" t="s">
        <v>5180</v>
      </c>
      <c r="B1720" s="528" t="s">
        <v>5181</v>
      </c>
      <c r="C1720" s="528" t="s">
        <v>1371</v>
      </c>
      <c r="D1720" s="528" t="s">
        <v>238</v>
      </c>
      <c r="E1720" s="528"/>
      <c r="F1720" s="528"/>
      <c r="G1720" s="528" t="s">
        <v>205</v>
      </c>
      <c r="H1720"/>
    </row>
    <row r="1721" spans="1:8" x14ac:dyDescent="0.35">
      <c r="A1721" s="528" t="s">
        <v>5182</v>
      </c>
      <c r="B1721" s="528" t="s">
        <v>5183</v>
      </c>
      <c r="C1721" s="528" t="s">
        <v>5184</v>
      </c>
      <c r="D1721" s="528" t="s">
        <v>264</v>
      </c>
      <c r="E1721" s="528"/>
      <c r="F1721" s="528"/>
      <c r="G1721" s="528" t="s">
        <v>205</v>
      </c>
      <c r="H1721"/>
    </row>
    <row r="1722" spans="1:8" x14ac:dyDescent="0.35">
      <c r="A1722" s="528" t="s">
        <v>5185</v>
      </c>
      <c r="B1722" s="528" t="s">
        <v>5186</v>
      </c>
      <c r="C1722" s="528" t="s">
        <v>5187</v>
      </c>
      <c r="D1722" s="528" t="s">
        <v>277</v>
      </c>
      <c r="E1722" s="528"/>
      <c r="F1722" s="528"/>
      <c r="G1722" s="528" t="s">
        <v>212</v>
      </c>
      <c r="H1722"/>
    </row>
    <row r="1723" spans="1:8" x14ac:dyDescent="0.35">
      <c r="A1723" s="528" t="s">
        <v>5188</v>
      </c>
      <c r="B1723" s="528" t="s">
        <v>5189</v>
      </c>
      <c r="C1723" s="528" t="s">
        <v>5190</v>
      </c>
      <c r="D1723" s="528" t="s">
        <v>251</v>
      </c>
      <c r="E1723" s="528"/>
      <c r="F1723" s="528"/>
      <c r="G1723" s="528" t="s">
        <v>212</v>
      </c>
      <c r="H1723"/>
    </row>
    <row r="1724" spans="1:8" x14ac:dyDescent="0.35">
      <c r="A1724" s="528" t="s">
        <v>5191</v>
      </c>
      <c r="B1724" s="528" t="s">
        <v>5192</v>
      </c>
      <c r="C1724" s="528" t="s">
        <v>5193</v>
      </c>
      <c r="D1724" s="528" t="s">
        <v>277</v>
      </c>
      <c r="E1724" s="528"/>
      <c r="F1724" s="528"/>
      <c r="G1724" s="528" t="s">
        <v>208</v>
      </c>
      <c r="H1724"/>
    </row>
    <row r="1725" spans="1:8" x14ac:dyDescent="0.35">
      <c r="A1725" s="528" t="s">
        <v>5194</v>
      </c>
      <c r="B1725" s="528" t="s">
        <v>5195</v>
      </c>
      <c r="C1725" s="528" t="s">
        <v>5196</v>
      </c>
      <c r="D1725" s="528" t="s">
        <v>264</v>
      </c>
      <c r="E1725" s="528"/>
      <c r="F1725" s="528"/>
      <c r="G1725" s="528" t="s">
        <v>205</v>
      </c>
      <c r="H1725"/>
    </row>
    <row r="1726" spans="1:8" x14ac:dyDescent="0.35">
      <c r="A1726" s="528" t="s">
        <v>5197</v>
      </c>
      <c r="B1726" s="528" t="s">
        <v>5198</v>
      </c>
      <c r="C1726" s="528" t="s">
        <v>5199</v>
      </c>
      <c r="D1726" s="528" t="s">
        <v>225</v>
      </c>
      <c r="E1726" s="528"/>
      <c r="F1726" s="528"/>
      <c r="G1726" s="528" t="s">
        <v>205</v>
      </c>
      <c r="H1726"/>
    </row>
    <row r="1727" spans="1:8" x14ac:dyDescent="0.35">
      <c r="A1727" s="528" t="s">
        <v>5200</v>
      </c>
      <c r="B1727" s="528" t="s">
        <v>5201</v>
      </c>
      <c r="C1727" s="528" t="s">
        <v>5202</v>
      </c>
      <c r="D1727" s="528" t="s">
        <v>225</v>
      </c>
      <c r="E1727" s="528"/>
      <c r="F1727" s="528"/>
      <c r="G1727" s="528" t="s">
        <v>205</v>
      </c>
      <c r="H1727"/>
    </row>
    <row r="1728" spans="1:8" x14ac:dyDescent="0.35">
      <c r="A1728" s="528" t="s">
        <v>5203</v>
      </c>
      <c r="B1728" s="528" t="s">
        <v>5204</v>
      </c>
      <c r="C1728" s="528" t="s">
        <v>5205</v>
      </c>
      <c r="D1728" s="528" t="s">
        <v>225</v>
      </c>
      <c r="E1728" s="528"/>
      <c r="F1728" s="528"/>
      <c r="G1728" s="528" t="s">
        <v>205</v>
      </c>
      <c r="H1728"/>
    </row>
    <row r="1729" spans="1:8" x14ac:dyDescent="0.35">
      <c r="A1729" s="528" t="s">
        <v>5206</v>
      </c>
      <c r="B1729" s="528" t="s">
        <v>5207</v>
      </c>
      <c r="C1729" s="528" t="s">
        <v>5208</v>
      </c>
      <c r="D1729" s="528" t="s">
        <v>225</v>
      </c>
      <c r="E1729" s="528"/>
      <c r="F1729" s="528"/>
      <c r="G1729" s="528" t="s">
        <v>205</v>
      </c>
      <c r="H1729"/>
    </row>
    <row r="1730" spans="1:8" x14ac:dyDescent="0.35">
      <c r="A1730" s="528" t="s">
        <v>5209</v>
      </c>
      <c r="B1730" s="528" t="s">
        <v>5210</v>
      </c>
      <c r="C1730" s="528" t="s">
        <v>5211</v>
      </c>
      <c r="D1730" s="528" t="s">
        <v>225</v>
      </c>
      <c r="E1730" s="528"/>
      <c r="F1730" s="528"/>
      <c r="G1730" s="528" t="s">
        <v>205</v>
      </c>
      <c r="H1730"/>
    </row>
    <row r="1731" spans="1:8" x14ac:dyDescent="0.35">
      <c r="A1731" s="528" t="s">
        <v>5212</v>
      </c>
      <c r="B1731" s="528" t="s">
        <v>5213</v>
      </c>
      <c r="C1731" s="528" t="s">
        <v>5214</v>
      </c>
      <c r="D1731" s="528" t="s">
        <v>225</v>
      </c>
      <c r="E1731" s="528"/>
      <c r="F1731" s="528"/>
      <c r="G1731" s="528" t="s">
        <v>205</v>
      </c>
      <c r="H1731"/>
    </row>
    <row r="1732" spans="1:8" x14ac:dyDescent="0.35">
      <c r="A1732" s="528" t="s">
        <v>5215</v>
      </c>
      <c r="B1732" s="528" t="s">
        <v>5216</v>
      </c>
      <c r="C1732" s="528" t="s">
        <v>1528</v>
      </c>
      <c r="D1732" s="528" t="s">
        <v>225</v>
      </c>
      <c r="E1732" s="528"/>
      <c r="F1732" s="528"/>
      <c r="G1732" s="528" t="s">
        <v>205</v>
      </c>
      <c r="H1732"/>
    </row>
    <row r="1733" spans="1:8" x14ac:dyDescent="0.35">
      <c r="A1733" s="528" t="s">
        <v>5217</v>
      </c>
      <c r="B1733" s="528" t="s">
        <v>5218</v>
      </c>
      <c r="C1733" s="528" t="s">
        <v>5219</v>
      </c>
      <c r="D1733" s="528" t="s">
        <v>225</v>
      </c>
      <c r="E1733" s="528"/>
      <c r="F1733" s="528"/>
      <c r="G1733" s="528" t="s">
        <v>205</v>
      </c>
      <c r="H1733"/>
    </row>
    <row r="1734" spans="1:8" x14ac:dyDescent="0.35">
      <c r="A1734" s="528" t="s">
        <v>5220</v>
      </c>
      <c r="B1734" s="528" t="s">
        <v>5221</v>
      </c>
      <c r="C1734" s="528" t="s">
        <v>816</v>
      </c>
      <c r="D1734" s="528" t="s">
        <v>225</v>
      </c>
      <c r="E1734" s="528"/>
      <c r="F1734" s="528"/>
      <c r="G1734" s="528" t="s">
        <v>205</v>
      </c>
      <c r="H1734"/>
    </row>
    <row r="1735" spans="1:8" x14ac:dyDescent="0.35">
      <c r="A1735" s="528" t="s">
        <v>5222</v>
      </c>
      <c r="B1735" s="528" t="s">
        <v>5223</v>
      </c>
      <c r="C1735" s="528" t="s">
        <v>5224</v>
      </c>
      <c r="D1735" s="528" t="s">
        <v>225</v>
      </c>
      <c r="E1735" s="528"/>
      <c r="F1735" s="528"/>
      <c r="G1735" s="528" t="s">
        <v>205</v>
      </c>
      <c r="H1735"/>
    </row>
    <row r="1736" spans="1:8" x14ac:dyDescent="0.35">
      <c r="A1736" s="528" t="s">
        <v>5225</v>
      </c>
      <c r="B1736" s="528" t="s">
        <v>5226</v>
      </c>
      <c r="C1736" s="528" t="s">
        <v>5227</v>
      </c>
      <c r="D1736" s="528" t="s">
        <v>251</v>
      </c>
      <c r="E1736" s="528"/>
      <c r="F1736" s="528"/>
      <c r="G1736" s="528" t="s">
        <v>205</v>
      </c>
      <c r="H1736"/>
    </row>
    <row r="1737" spans="1:8" x14ac:dyDescent="0.35">
      <c r="A1737" s="528" t="s">
        <v>5228</v>
      </c>
      <c r="B1737" s="528" t="s">
        <v>5229</v>
      </c>
      <c r="C1737" s="528" t="s">
        <v>5230</v>
      </c>
      <c r="D1737" s="528" t="s">
        <v>264</v>
      </c>
      <c r="E1737" s="528"/>
      <c r="F1737" s="528"/>
      <c r="G1737" s="528" t="s">
        <v>205</v>
      </c>
      <c r="H1737"/>
    </row>
    <row r="1738" spans="1:8" x14ac:dyDescent="0.35">
      <c r="A1738" s="528" t="s">
        <v>5231</v>
      </c>
      <c r="B1738" s="528" t="s">
        <v>5232</v>
      </c>
      <c r="C1738" s="528" t="s">
        <v>1264</v>
      </c>
      <c r="D1738" s="528" t="s">
        <v>264</v>
      </c>
      <c r="E1738" s="528"/>
      <c r="F1738" s="528"/>
      <c r="G1738" s="528" t="s">
        <v>205</v>
      </c>
      <c r="H1738"/>
    </row>
    <row r="1739" spans="1:8" x14ac:dyDescent="0.35">
      <c r="A1739" s="528" t="s">
        <v>5233</v>
      </c>
      <c r="B1739" s="528" t="s">
        <v>5234</v>
      </c>
      <c r="C1739" s="528" t="s">
        <v>1825</v>
      </c>
      <c r="D1739" s="528" t="s">
        <v>277</v>
      </c>
      <c r="E1739" s="528"/>
      <c r="F1739" s="528"/>
      <c r="G1739" s="528" t="s">
        <v>205</v>
      </c>
      <c r="H1739"/>
    </row>
    <row r="1740" spans="1:8" x14ac:dyDescent="0.35">
      <c r="A1740" s="528" t="s">
        <v>5235</v>
      </c>
      <c r="B1740" s="528" t="s">
        <v>5236</v>
      </c>
      <c r="C1740" s="528" t="s">
        <v>5237</v>
      </c>
      <c r="D1740" s="528" t="s">
        <v>277</v>
      </c>
      <c r="E1740" s="528"/>
      <c r="F1740" s="528"/>
      <c r="G1740" s="528" t="s">
        <v>205</v>
      </c>
      <c r="H1740"/>
    </row>
    <row r="1741" spans="1:8" x14ac:dyDescent="0.35">
      <c r="A1741" s="528" t="s">
        <v>5238</v>
      </c>
      <c r="B1741" s="528" t="s">
        <v>5239</v>
      </c>
      <c r="C1741" s="528" t="s">
        <v>739</v>
      </c>
      <c r="D1741" s="528" t="s">
        <v>238</v>
      </c>
      <c r="E1741" s="528"/>
      <c r="F1741" s="528"/>
      <c r="G1741" s="528" t="s">
        <v>208</v>
      </c>
      <c r="H1741"/>
    </row>
    <row r="1742" spans="1:8" x14ac:dyDescent="0.35">
      <c r="A1742" s="528" t="s">
        <v>5240</v>
      </c>
      <c r="B1742" s="528" t="s">
        <v>5241</v>
      </c>
      <c r="C1742" s="528" t="s">
        <v>5242</v>
      </c>
      <c r="D1742" s="528" t="s">
        <v>251</v>
      </c>
      <c r="E1742" s="528"/>
      <c r="F1742" s="528"/>
      <c r="G1742" s="528" t="s">
        <v>205</v>
      </c>
      <c r="H1742"/>
    </row>
    <row r="1743" spans="1:8" x14ac:dyDescent="0.35">
      <c r="A1743" s="528" t="s">
        <v>5243</v>
      </c>
      <c r="B1743" s="528" t="s">
        <v>5244</v>
      </c>
      <c r="C1743" s="528" t="s">
        <v>5245</v>
      </c>
      <c r="D1743" s="528" t="s">
        <v>264</v>
      </c>
      <c r="E1743" s="528"/>
      <c r="F1743" s="528"/>
      <c r="G1743" s="528" t="s">
        <v>205</v>
      </c>
      <c r="H1743"/>
    </row>
    <row r="1744" spans="1:8" x14ac:dyDescent="0.35">
      <c r="A1744" s="528" t="s">
        <v>5246</v>
      </c>
      <c r="B1744" s="528" t="s">
        <v>5247</v>
      </c>
      <c r="C1744" s="528" t="s">
        <v>5248</v>
      </c>
      <c r="D1744" s="528" t="s">
        <v>264</v>
      </c>
      <c r="E1744" s="528"/>
      <c r="F1744" s="528"/>
      <c r="G1744" s="528" t="s">
        <v>210</v>
      </c>
      <c r="H1744"/>
    </row>
    <row r="1745" spans="1:8" x14ac:dyDescent="0.35">
      <c r="A1745" s="528" t="s">
        <v>5249</v>
      </c>
      <c r="B1745" s="528" t="s">
        <v>5250</v>
      </c>
      <c r="C1745" s="528" t="s">
        <v>3872</v>
      </c>
      <c r="D1745" s="528" t="s">
        <v>225</v>
      </c>
      <c r="E1745" s="528"/>
      <c r="F1745" s="528"/>
      <c r="G1745" s="528" t="s">
        <v>205</v>
      </c>
      <c r="H1745"/>
    </row>
    <row r="1746" spans="1:8" x14ac:dyDescent="0.35">
      <c r="A1746" s="528" t="s">
        <v>5251</v>
      </c>
      <c r="B1746" s="528" t="s">
        <v>5252</v>
      </c>
      <c r="C1746" s="528" t="s">
        <v>5253</v>
      </c>
      <c r="D1746" s="528" t="s">
        <v>238</v>
      </c>
      <c r="E1746" s="528"/>
      <c r="F1746" s="528"/>
      <c r="G1746" s="528" t="s">
        <v>208</v>
      </c>
      <c r="H1746"/>
    </row>
    <row r="1747" spans="1:8" x14ac:dyDescent="0.35">
      <c r="A1747" s="528" t="s">
        <v>5254</v>
      </c>
      <c r="B1747" s="528" t="s">
        <v>5255</v>
      </c>
      <c r="C1747" s="528" t="s">
        <v>5256</v>
      </c>
      <c r="D1747" s="528" t="s">
        <v>277</v>
      </c>
      <c r="E1747" s="528"/>
      <c r="F1747" s="528"/>
      <c r="G1747" s="528" t="s">
        <v>205</v>
      </c>
      <c r="H1747"/>
    </row>
    <row r="1748" spans="1:8" x14ac:dyDescent="0.35">
      <c r="A1748" s="528" t="s">
        <v>5257</v>
      </c>
      <c r="B1748" s="528" t="s">
        <v>5258</v>
      </c>
      <c r="C1748" s="528" t="s">
        <v>5259</v>
      </c>
      <c r="D1748" s="528" t="s">
        <v>277</v>
      </c>
      <c r="E1748" s="528"/>
      <c r="F1748" s="528"/>
      <c r="G1748" s="528" t="s">
        <v>205</v>
      </c>
      <c r="H1748"/>
    </row>
    <row r="1749" spans="1:8" x14ac:dyDescent="0.35">
      <c r="A1749" s="528" t="s">
        <v>5260</v>
      </c>
      <c r="B1749" s="528" t="s">
        <v>5261</v>
      </c>
      <c r="C1749" s="528" t="s">
        <v>5262</v>
      </c>
      <c r="D1749" s="528" t="s">
        <v>251</v>
      </c>
      <c r="E1749" s="528"/>
      <c r="F1749" s="528"/>
      <c r="G1749" s="528" t="s">
        <v>205</v>
      </c>
      <c r="H1749"/>
    </row>
    <row r="1750" spans="1:8" x14ac:dyDescent="0.35">
      <c r="A1750" s="528" t="s">
        <v>5263</v>
      </c>
      <c r="B1750" s="528" t="s">
        <v>5264</v>
      </c>
      <c r="C1750" s="528" t="s">
        <v>5265</v>
      </c>
      <c r="D1750" s="528" t="s">
        <v>277</v>
      </c>
      <c r="E1750" s="528"/>
      <c r="F1750" s="528"/>
      <c r="G1750" s="528" t="s">
        <v>205</v>
      </c>
      <c r="H1750"/>
    </row>
    <row r="1751" spans="1:8" x14ac:dyDescent="0.35">
      <c r="A1751" s="528" t="s">
        <v>5266</v>
      </c>
      <c r="B1751" s="528" t="s">
        <v>5267</v>
      </c>
      <c r="C1751" s="528" t="s">
        <v>5268</v>
      </c>
      <c r="D1751" s="528" t="s">
        <v>251</v>
      </c>
      <c r="E1751" s="528"/>
      <c r="F1751" s="528"/>
      <c r="G1751" s="528" t="s">
        <v>205</v>
      </c>
      <c r="H1751"/>
    </row>
    <row r="1752" spans="1:8" x14ac:dyDescent="0.35">
      <c r="A1752" s="528" t="s">
        <v>5269</v>
      </c>
      <c r="B1752" s="528" t="s">
        <v>5270</v>
      </c>
      <c r="C1752" s="528" t="s">
        <v>2047</v>
      </c>
      <c r="D1752" s="528" t="s">
        <v>277</v>
      </c>
      <c r="E1752" s="528"/>
      <c r="F1752" s="528"/>
      <c r="G1752" s="528" t="s">
        <v>205</v>
      </c>
      <c r="H1752"/>
    </row>
    <row r="1753" spans="1:8" x14ac:dyDescent="0.35">
      <c r="A1753" s="528" t="s">
        <v>5271</v>
      </c>
      <c r="B1753" s="528" t="s">
        <v>5272</v>
      </c>
      <c r="C1753" s="528" t="s">
        <v>3324</v>
      </c>
      <c r="D1753" s="528" t="s">
        <v>277</v>
      </c>
      <c r="E1753" s="528"/>
      <c r="F1753" s="528"/>
      <c r="G1753" s="528" t="s">
        <v>205</v>
      </c>
      <c r="H1753"/>
    </row>
    <row r="1754" spans="1:8" x14ac:dyDescent="0.35">
      <c r="A1754" s="528" t="s">
        <v>5273</v>
      </c>
      <c r="B1754" s="528" t="s">
        <v>5274</v>
      </c>
      <c r="C1754" s="528" t="s">
        <v>1483</v>
      </c>
      <c r="D1754" s="528" t="s">
        <v>251</v>
      </c>
      <c r="E1754" s="528"/>
      <c r="F1754" s="528"/>
      <c r="G1754" s="528" t="s">
        <v>205</v>
      </c>
      <c r="H1754"/>
    </row>
    <row r="1755" spans="1:8" x14ac:dyDescent="0.35">
      <c r="A1755" s="528" t="s">
        <v>5275</v>
      </c>
      <c r="B1755" s="528" t="s">
        <v>5276</v>
      </c>
      <c r="C1755" s="528" t="s">
        <v>5277</v>
      </c>
      <c r="D1755" s="528" t="s">
        <v>264</v>
      </c>
      <c r="E1755" s="528"/>
      <c r="F1755" s="528"/>
      <c r="G1755" s="528" t="s">
        <v>210</v>
      </c>
      <c r="H1755"/>
    </row>
    <row r="1756" spans="1:8" x14ac:dyDescent="0.35">
      <c r="A1756" s="528" t="s">
        <v>5278</v>
      </c>
      <c r="B1756" s="528" t="s">
        <v>5279</v>
      </c>
      <c r="C1756" s="528" t="s">
        <v>5280</v>
      </c>
      <c r="D1756" s="528" t="s">
        <v>251</v>
      </c>
      <c r="E1756" s="528"/>
      <c r="F1756" s="528"/>
      <c r="G1756" s="528" t="s">
        <v>205</v>
      </c>
      <c r="H1756"/>
    </row>
    <row r="1757" spans="1:8" x14ac:dyDescent="0.35">
      <c r="A1757" s="528" t="s">
        <v>5281</v>
      </c>
      <c r="B1757" s="528" t="s">
        <v>5282</v>
      </c>
      <c r="C1757" s="528" t="s">
        <v>5283</v>
      </c>
      <c r="D1757" s="528" t="s">
        <v>277</v>
      </c>
      <c r="E1757" s="528"/>
      <c r="F1757" s="528"/>
      <c r="G1757" s="528" t="s">
        <v>205</v>
      </c>
      <c r="H1757"/>
    </row>
    <row r="1758" spans="1:8" x14ac:dyDescent="0.35">
      <c r="A1758" s="528" t="s">
        <v>5284</v>
      </c>
      <c r="B1758" s="528" t="s">
        <v>5285</v>
      </c>
      <c r="C1758" s="528" t="s">
        <v>4744</v>
      </c>
      <c r="D1758" s="528" t="s">
        <v>251</v>
      </c>
      <c r="E1758" s="528"/>
      <c r="F1758" s="528"/>
      <c r="G1758" s="528" t="s">
        <v>205</v>
      </c>
      <c r="H1758"/>
    </row>
    <row r="1759" spans="1:8" x14ac:dyDescent="0.35">
      <c r="A1759" s="528" t="s">
        <v>5286</v>
      </c>
      <c r="B1759" s="528" t="s">
        <v>5287</v>
      </c>
      <c r="C1759" s="528" t="s">
        <v>5288</v>
      </c>
      <c r="D1759" s="528" t="s">
        <v>264</v>
      </c>
      <c r="E1759" s="528"/>
      <c r="F1759" s="528"/>
      <c r="G1759" s="528" t="s">
        <v>208</v>
      </c>
      <c r="H1759"/>
    </row>
    <row r="1760" spans="1:8" x14ac:dyDescent="0.35">
      <c r="A1760" s="528" t="s">
        <v>5289</v>
      </c>
      <c r="B1760" s="528" t="s">
        <v>5290</v>
      </c>
      <c r="C1760" s="528" t="s">
        <v>1305</v>
      </c>
      <c r="D1760" s="528" t="s">
        <v>277</v>
      </c>
      <c r="E1760" s="528"/>
      <c r="F1760" s="528"/>
      <c r="G1760" s="528" t="s">
        <v>205</v>
      </c>
      <c r="H1760"/>
    </row>
    <row r="1761" spans="1:8" x14ac:dyDescent="0.35">
      <c r="A1761" s="528" t="s">
        <v>5291</v>
      </c>
      <c r="B1761" s="528" t="s">
        <v>5292</v>
      </c>
      <c r="C1761" s="528" t="s">
        <v>1962</v>
      </c>
      <c r="D1761" s="528" t="s">
        <v>264</v>
      </c>
      <c r="E1761" s="528"/>
      <c r="F1761" s="528"/>
      <c r="G1761" s="528" t="s">
        <v>205</v>
      </c>
      <c r="H1761"/>
    </row>
    <row r="1762" spans="1:8" x14ac:dyDescent="0.35">
      <c r="A1762" s="528" t="s">
        <v>5293</v>
      </c>
      <c r="B1762" s="528" t="s">
        <v>5294</v>
      </c>
      <c r="C1762" s="528" t="s">
        <v>5295</v>
      </c>
      <c r="D1762" s="528" t="s">
        <v>277</v>
      </c>
      <c r="E1762" s="528"/>
      <c r="F1762" s="528"/>
      <c r="G1762" s="528" t="s">
        <v>205</v>
      </c>
      <c r="H1762"/>
    </row>
    <row r="1763" spans="1:8" x14ac:dyDescent="0.35">
      <c r="A1763" s="528" t="s">
        <v>5296</v>
      </c>
      <c r="B1763" s="528" t="s">
        <v>5297</v>
      </c>
      <c r="C1763" s="528" t="s">
        <v>5298</v>
      </c>
      <c r="D1763" s="528" t="s">
        <v>277</v>
      </c>
      <c r="E1763" s="528"/>
      <c r="F1763" s="528"/>
      <c r="G1763" s="528" t="s">
        <v>205</v>
      </c>
      <c r="H1763"/>
    </row>
    <row r="1764" spans="1:8" x14ac:dyDescent="0.35">
      <c r="A1764" s="528" t="s">
        <v>5299</v>
      </c>
      <c r="B1764" s="528" t="s">
        <v>5300</v>
      </c>
      <c r="C1764" s="528" t="s">
        <v>5301</v>
      </c>
      <c r="D1764" s="528" t="s">
        <v>277</v>
      </c>
      <c r="E1764" s="528"/>
      <c r="F1764" s="528"/>
      <c r="G1764" s="528" t="s">
        <v>205</v>
      </c>
      <c r="H1764"/>
    </row>
    <row r="1765" spans="1:8" x14ac:dyDescent="0.35">
      <c r="A1765" s="528" t="s">
        <v>5302</v>
      </c>
      <c r="B1765" s="528" t="s">
        <v>5303</v>
      </c>
      <c r="C1765" s="528" t="s">
        <v>3057</v>
      </c>
      <c r="D1765" s="528" t="s">
        <v>277</v>
      </c>
      <c r="E1765" s="528"/>
      <c r="F1765" s="528"/>
      <c r="G1765" s="528" t="s">
        <v>205</v>
      </c>
      <c r="H1765"/>
    </row>
    <row r="1766" spans="1:8" x14ac:dyDescent="0.35">
      <c r="A1766" s="528" t="s">
        <v>5304</v>
      </c>
      <c r="B1766" s="528" t="s">
        <v>5305</v>
      </c>
      <c r="C1766" s="528" t="s">
        <v>5306</v>
      </c>
      <c r="D1766" s="528" t="s">
        <v>264</v>
      </c>
      <c r="E1766" s="528"/>
      <c r="F1766" s="528"/>
      <c r="G1766" s="528" t="s">
        <v>205</v>
      </c>
      <c r="H1766"/>
    </row>
    <row r="1767" spans="1:8" x14ac:dyDescent="0.35">
      <c r="A1767" s="528" t="s">
        <v>5307</v>
      </c>
      <c r="B1767" s="528" t="s">
        <v>5308</v>
      </c>
      <c r="C1767" s="528" t="s">
        <v>5309</v>
      </c>
      <c r="D1767" s="528" t="s">
        <v>264</v>
      </c>
      <c r="E1767" s="528"/>
      <c r="F1767" s="528"/>
      <c r="G1767" s="528" t="s">
        <v>205</v>
      </c>
      <c r="H1767"/>
    </row>
    <row r="1768" spans="1:8" x14ac:dyDescent="0.35">
      <c r="A1768" s="528" t="s">
        <v>5310</v>
      </c>
      <c r="B1768" s="528" t="s">
        <v>5311</v>
      </c>
      <c r="C1768" s="528" t="s">
        <v>2342</v>
      </c>
      <c r="D1768" s="528" t="s">
        <v>238</v>
      </c>
      <c r="E1768" s="528"/>
      <c r="F1768" s="528"/>
      <c r="G1768" s="528" t="s">
        <v>205</v>
      </c>
      <c r="H1768"/>
    </row>
    <row r="1769" spans="1:8" x14ac:dyDescent="0.35">
      <c r="A1769" s="528" t="s">
        <v>5312</v>
      </c>
      <c r="B1769" s="528" t="s">
        <v>5313</v>
      </c>
      <c r="C1769" s="528" t="s">
        <v>2333</v>
      </c>
      <c r="D1769" s="528" t="s">
        <v>264</v>
      </c>
      <c r="E1769" s="528"/>
      <c r="F1769" s="528"/>
      <c r="G1769" s="528" t="s">
        <v>205</v>
      </c>
      <c r="H1769"/>
    </row>
    <row r="1770" spans="1:8" x14ac:dyDescent="0.35">
      <c r="A1770" s="528" t="s">
        <v>5314</v>
      </c>
      <c r="B1770" s="528" t="s">
        <v>5315</v>
      </c>
      <c r="C1770" s="528" t="s">
        <v>5316</v>
      </c>
      <c r="D1770" s="528" t="s">
        <v>277</v>
      </c>
      <c r="E1770" s="528"/>
      <c r="F1770" s="528"/>
      <c r="G1770" s="528" t="s">
        <v>208</v>
      </c>
      <c r="H1770"/>
    </row>
    <row r="1771" spans="1:8" x14ac:dyDescent="0.35">
      <c r="A1771" s="528" t="s">
        <v>5317</v>
      </c>
      <c r="B1771" s="528" t="s">
        <v>5318</v>
      </c>
      <c r="C1771" s="528" t="s">
        <v>1149</v>
      </c>
      <c r="D1771" s="528" t="s">
        <v>264</v>
      </c>
      <c r="E1771" s="528"/>
      <c r="F1771" s="528"/>
      <c r="G1771" s="528" t="s">
        <v>208</v>
      </c>
      <c r="H1771"/>
    </row>
    <row r="1772" spans="1:8" x14ac:dyDescent="0.35">
      <c r="A1772" s="528" t="s">
        <v>5319</v>
      </c>
      <c r="B1772" s="528" t="s">
        <v>5320</v>
      </c>
      <c r="C1772" s="528" t="s">
        <v>5321</v>
      </c>
      <c r="D1772" s="528" t="s">
        <v>277</v>
      </c>
      <c r="E1772" s="528"/>
      <c r="F1772" s="528"/>
      <c r="G1772" s="528" t="s">
        <v>208</v>
      </c>
      <c r="H1772"/>
    </row>
    <row r="1773" spans="1:8" x14ac:dyDescent="0.35">
      <c r="A1773" s="528" t="s">
        <v>5322</v>
      </c>
      <c r="B1773" s="528" t="s">
        <v>5323</v>
      </c>
      <c r="C1773" s="528" t="s">
        <v>5324</v>
      </c>
      <c r="D1773" s="528" t="s">
        <v>277</v>
      </c>
      <c r="E1773" s="528"/>
      <c r="F1773" s="528"/>
      <c r="G1773" s="528" t="s">
        <v>208</v>
      </c>
      <c r="H1773"/>
    </row>
    <row r="1774" spans="1:8" x14ac:dyDescent="0.35">
      <c r="A1774" s="528" t="s">
        <v>5325</v>
      </c>
      <c r="B1774" s="528" t="s">
        <v>5326</v>
      </c>
      <c r="C1774" s="528" t="s">
        <v>5327</v>
      </c>
      <c r="D1774" s="528" t="s">
        <v>264</v>
      </c>
      <c r="E1774" s="528"/>
      <c r="F1774" s="528"/>
      <c r="G1774" s="528" t="s">
        <v>208</v>
      </c>
      <c r="H1774"/>
    </row>
    <row r="1775" spans="1:8" x14ac:dyDescent="0.35">
      <c r="A1775" s="528" t="s">
        <v>5328</v>
      </c>
      <c r="B1775" s="528" t="s">
        <v>5329</v>
      </c>
      <c r="C1775" s="528" t="s">
        <v>699</v>
      </c>
      <c r="D1775" s="528" t="s">
        <v>264</v>
      </c>
      <c r="E1775" s="528"/>
      <c r="F1775" s="528"/>
      <c r="G1775" s="528" t="s">
        <v>205</v>
      </c>
      <c r="H1775"/>
    </row>
    <row r="1776" spans="1:8" x14ac:dyDescent="0.35">
      <c r="A1776" s="528" t="s">
        <v>5330</v>
      </c>
      <c r="B1776" s="528" t="s">
        <v>5331</v>
      </c>
      <c r="C1776" s="528" t="s">
        <v>5332</v>
      </c>
      <c r="D1776" s="528" t="s">
        <v>264</v>
      </c>
      <c r="E1776" s="528"/>
      <c r="F1776" s="528"/>
      <c r="G1776" s="528" t="s">
        <v>210</v>
      </c>
      <c r="H1776"/>
    </row>
    <row r="1777" spans="1:8" x14ac:dyDescent="0.35">
      <c r="A1777" s="528" t="s">
        <v>5333</v>
      </c>
      <c r="B1777" s="528" t="s">
        <v>5334</v>
      </c>
      <c r="C1777" s="528" t="s">
        <v>5335</v>
      </c>
      <c r="D1777" s="528" t="s">
        <v>277</v>
      </c>
      <c r="E1777" s="528"/>
      <c r="F1777" s="528"/>
      <c r="G1777" s="528" t="s">
        <v>205</v>
      </c>
      <c r="H1777"/>
    </row>
    <row r="1778" spans="1:8" x14ac:dyDescent="0.35">
      <c r="A1778" s="528" t="s">
        <v>5336</v>
      </c>
      <c r="B1778" s="528" t="s">
        <v>5337</v>
      </c>
      <c r="C1778" s="528" t="s">
        <v>5338</v>
      </c>
      <c r="D1778" s="528" t="s">
        <v>251</v>
      </c>
      <c r="E1778" s="528"/>
      <c r="F1778" s="528"/>
      <c r="G1778" s="528" t="s">
        <v>208</v>
      </c>
      <c r="H1778"/>
    </row>
    <row r="1779" spans="1:8" x14ac:dyDescent="0.35">
      <c r="A1779" s="528" t="s">
        <v>5339</v>
      </c>
      <c r="B1779" s="528" t="s">
        <v>5340</v>
      </c>
      <c r="C1779" s="528" t="s">
        <v>1422</v>
      </c>
      <c r="D1779" s="528" t="s">
        <v>277</v>
      </c>
      <c r="E1779" s="528"/>
      <c r="F1779" s="528"/>
      <c r="G1779" s="528" t="s">
        <v>208</v>
      </c>
      <c r="H1779"/>
    </row>
    <row r="1780" spans="1:8" x14ac:dyDescent="0.35">
      <c r="A1780" s="528" t="s">
        <v>5341</v>
      </c>
      <c r="B1780" s="528" t="s">
        <v>5342</v>
      </c>
      <c r="C1780" s="528" t="s">
        <v>1116</v>
      </c>
      <c r="D1780" s="528" t="s">
        <v>277</v>
      </c>
      <c r="E1780" s="528"/>
      <c r="F1780" s="528"/>
      <c r="G1780" s="528" t="s">
        <v>208</v>
      </c>
      <c r="H1780"/>
    </row>
    <row r="1781" spans="1:8" x14ac:dyDescent="0.35">
      <c r="A1781" s="528" t="s">
        <v>5343</v>
      </c>
      <c r="B1781" s="528" t="s">
        <v>5344</v>
      </c>
      <c r="C1781" s="528" t="s">
        <v>5345</v>
      </c>
      <c r="D1781" s="528" t="s">
        <v>277</v>
      </c>
      <c r="E1781" s="528"/>
      <c r="F1781" s="528"/>
      <c r="G1781" s="528" t="s">
        <v>208</v>
      </c>
      <c r="H1781"/>
    </row>
    <row r="1782" spans="1:8" x14ac:dyDescent="0.35">
      <c r="A1782" s="528" t="s">
        <v>5346</v>
      </c>
      <c r="B1782" s="528" t="s">
        <v>5347</v>
      </c>
      <c r="C1782" s="528" t="s">
        <v>5348</v>
      </c>
      <c r="D1782" s="528" t="s">
        <v>277</v>
      </c>
      <c r="E1782" s="528"/>
      <c r="F1782" s="528"/>
      <c r="G1782" s="528" t="s">
        <v>208</v>
      </c>
      <c r="H1782"/>
    </row>
    <row r="1783" spans="1:8" x14ac:dyDescent="0.35">
      <c r="A1783" s="528" t="s">
        <v>5349</v>
      </c>
      <c r="B1783" s="528" t="s">
        <v>5350</v>
      </c>
      <c r="C1783" s="528" t="s">
        <v>5351</v>
      </c>
      <c r="D1783" s="528" t="s">
        <v>251</v>
      </c>
      <c r="E1783" s="528"/>
      <c r="F1783" s="528"/>
      <c r="G1783" s="528" t="s">
        <v>205</v>
      </c>
      <c r="H1783"/>
    </row>
    <row r="1784" spans="1:8" x14ac:dyDescent="0.35">
      <c r="A1784" s="528" t="s">
        <v>5352</v>
      </c>
      <c r="B1784" s="528" t="s">
        <v>5353</v>
      </c>
      <c r="C1784" s="528" t="s">
        <v>5354</v>
      </c>
      <c r="D1784" s="528" t="s">
        <v>251</v>
      </c>
      <c r="E1784" s="528"/>
      <c r="F1784" s="528"/>
      <c r="G1784" s="528" t="s">
        <v>212</v>
      </c>
      <c r="H1784"/>
    </row>
    <row r="1785" spans="1:8" x14ac:dyDescent="0.35">
      <c r="A1785" s="528" t="s">
        <v>5355</v>
      </c>
      <c r="B1785" s="528" t="s">
        <v>5356</v>
      </c>
      <c r="C1785" s="528" t="s">
        <v>5357</v>
      </c>
      <c r="D1785" s="528" t="s">
        <v>251</v>
      </c>
      <c r="E1785" s="528"/>
      <c r="F1785" s="528"/>
      <c r="G1785" s="528" t="s">
        <v>208</v>
      </c>
      <c r="H1785"/>
    </row>
    <row r="1786" spans="1:8" x14ac:dyDescent="0.35">
      <c r="A1786" s="528" t="s">
        <v>5358</v>
      </c>
      <c r="B1786" s="528" t="s">
        <v>5359</v>
      </c>
      <c r="C1786" s="528" t="s">
        <v>5360</v>
      </c>
      <c r="D1786" s="528" t="s">
        <v>264</v>
      </c>
      <c r="E1786" s="528"/>
      <c r="F1786" s="528"/>
      <c r="G1786" s="528" t="s">
        <v>208</v>
      </c>
      <c r="H1786"/>
    </row>
    <row r="1787" spans="1:8" x14ac:dyDescent="0.35">
      <c r="A1787" s="528" t="s">
        <v>5361</v>
      </c>
      <c r="B1787" s="528" t="s">
        <v>5362</v>
      </c>
      <c r="C1787" s="528" t="s">
        <v>846</v>
      </c>
      <c r="D1787" s="528" t="s">
        <v>277</v>
      </c>
      <c r="E1787" s="528"/>
      <c r="F1787" s="528"/>
      <c r="G1787" s="528" t="s">
        <v>208</v>
      </c>
      <c r="H1787"/>
    </row>
    <row r="1788" spans="1:8" x14ac:dyDescent="0.35">
      <c r="A1788" s="528" t="s">
        <v>5363</v>
      </c>
      <c r="B1788" s="528" t="s">
        <v>5364</v>
      </c>
      <c r="C1788" s="528" t="s">
        <v>5365</v>
      </c>
      <c r="D1788" s="528" t="s">
        <v>277</v>
      </c>
      <c r="E1788" s="528"/>
      <c r="F1788" s="528"/>
      <c r="G1788" s="528" t="s">
        <v>208</v>
      </c>
      <c r="H1788"/>
    </row>
    <row r="1789" spans="1:8" x14ac:dyDescent="0.35">
      <c r="A1789" s="528" t="s">
        <v>5366</v>
      </c>
      <c r="B1789" s="528" t="s">
        <v>5367</v>
      </c>
      <c r="C1789" s="528" t="s">
        <v>5368</v>
      </c>
      <c r="D1789" s="528" t="s">
        <v>277</v>
      </c>
      <c r="E1789" s="528"/>
      <c r="F1789" s="528"/>
      <c r="G1789" s="528" t="s">
        <v>208</v>
      </c>
      <c r="H1789"/>
    </row>
    <row r="1790" spans="1:8" x14ac:dyDescent="0.35">
      <c r="A1790" s="528" t="s">
        <v>5369</v>
      </c>
      <c r="B1790" s="528" t="s">
        <v>5370</v>
      </c>
      <c r="C1790" s="528" t="s">
        <v>5371</v>
      </c>
      <c r="D1790" s="528" t="s">
        <v>277</v>
      </c>
      <c r="E1790" s="528"/>
      <c r="F1790" s="528"/>
      <c r="G1790" s="528" t="s">
        <v>214</v>
      </c>
      <c r="H1790"/>
    </row>
    <row r="1791" spans="1:8" x14ac:dyDescent="0.35">
      <c r="A1791" s="528" t="s">
        <v>5372</v>
      </c>
      <c r="B1791" s="528" t="s">
        <v>5373</v>
      </c>
      <c r="C1791" s="528" t="s">
        <v>5374</v>
      </c>
      <c r="D1791" s="528" t="s">
        <v>277</v>
      </c>
      <c r="E1791" s="528"/>
      <c r="F1791" s="528"/>
      <c r="G1791" s="528" t="s">
        <v>214</v>
      </c>
      <c r="H1791"/>
    </row>
    <row r="1792" spans="1:8" x14ac:dyDescent="0.35">
      <c r="A1792" s="528" t="s">
        <v>5375</v>
      </c>
      <c r="B1792" s="528" t="s">
        <v>5376</v>
      </c>
      <c r="C1792" s="528" t="s">
        <v>5377</v>
      </c>
      <c r="D1792" s="528" t="s">
        <v>251</v>
      </c>
      <c r="E1792" s="528"/>
      <c r="F1792" s="528"/>
      <c r="G1792" s="528" t="s">
        <v>205</v>
      </c>
      <c r="H1792"/>
    </row>
    <row r="1793" spans="1:8" x14ac:dyDescent="0.35">
      <c r="A1793" s="528" t="s">
        <v>5378</v>
      </c>
      <c r="B1793" s="528" t="s">
        <v>5379</v>
      </c>
      <c r="C1793" s="528" t="s">
        <v>5380</v>
      </c>
      <c r="D1793" s="528" t="s">
        <v>277</v>
      </c>
      <c r="E1793" s="528"/>
      <c r="F1793" s="528"/>
      <c r="G1793" s="528" t="s">
        <v>205</v>
      </c>
      <c r="H1793"/>
    </row>
    <row r="1794" spans="1:8" x14ac:dyDescent="0.35">
      <c r="A1794" s="528" t="s">
        <v>5381</v>
      </c>
      <c r="B1794" s="528" t="s">
        <v>5382</v>
      </c>
      <c r="C1794" s="528" t="s">
        <v>5383</v>
      </c>
      <c r="D1794" s="528" t="s">
        <v>264</v>
      </c>
      <c r="E1794" s="528"/>
      <c r="F1794" s="528"/>
      <c r="G1794" s="528" t="s">
        <v>205</v>
      </c>
      <c r="H1794"/>
    </row>
    <row r="1795" spans="1:8" x14ac:dyDescent="0.35">
      <c r="A1795" s="528" t="s">
        <v>5384</v>
      </c>
      <c r="B1795" s="528" t="s">
        <v>5385</v>
      </c>
      <c r="C1795" s="528" t="s">
        <v>5386</v>
      </c>
      <c r="D1795" s="528" t="s">
        <v>264</v>
      </c>
      <c r="E1795" s="528"/>
      <c r="F1795" s="528"/>
      <c r="G1795" s="528" t="s">
        <v>205</v>
      </c>
      <c r="H1795"/>
    </row>
    <row r="1796" spans="1:8" x14ac:dyDescent="0.35">
      <c r="A1796" s="528" t="s">
        <v>5387</v>
      </c>
      <c r="B1796" s="528" t="s">
        <v>5388</v>
      </c>
      <c r="C1796" s="528" t="s">
        <v>5389</v>
      </c>
      <c r="D1796" s="528" t="s">
        <v>264</v>
      </c>
      <c r="E1796" s="528"/>
      <c r="F1796" s="528"/>
      <c r="G1796" s="528" t="s">
        <v>205</v>
      </c>
      <c r="H1796"/>
    </row>
    <row r="1797" spans="1:8" x14ac:dyDescent="0.35">
      <c r="A1797" s="528" t="s">
        <v>5390</v>
      </c>
      <c r="B1797" s="528" t="s">
        <v>5391</v>
      </c>
      <c r="C1797" s="528" t="s">
        <v>3283</v>
      </c>
      <c r="D1797" s="528" t="s">
        <v>264</v>
      </c>
      <c r="E1797" s="528"/>
      <c r="F1797" s="528"/>
      <c r="G1797" s="528" t="s">
        <v>205</v>
      </c>
      <c r="H1797"/>
    </row>
    <row r="1798" spans="1:8" x14ac:dyDescent="0.35">
      <c r="A1798" s="528" t="s">
        <v>5392</v>
      </c>
      <c r="B1798" s="528" t="s">
        <v>5393</v>
      </c>
      <c r="C1798" s="528" t="s">
        <v>5394</v>
      </c>
      <c r="D1798" s="528" t="s">
        <v>264</v>
      </c>
      <c r="E1798" s="528"/>
      <c r="F1798" s="528"/>
      <c r="G1798" s="528" t="s">
        <v>208</v>
      </c>
      <c r="H1798"/>
    </row>
    <row r="1799" spans="1:8" x14ac:dyDescent="0.35">
      <c r="A1799" s="528" t="s">
        <v>5395</v>
      </c>
      <c r="B1799" s="528" t="s">
        <v>5396</v>
      </c>
      <c r="C1799" s="528" t="s">
        <v>5397</v>
      </c>
      <c r="D1799" s="528" t="s">
        <v>264</v>
      </c>
      <c r="E1799" s="528"/>
      <c r="F1799" s="528"/>
      <c r="G1799" s="528" t="s">
        <v>205</v>
      </c>
      <c r="H1799"/>
    </row>
    <row r="1800" spans="1:8" x14ac:dyDescent="0.35">
      <c r="A1800" s="528" t="s">
        <v>5398</v>
      </c>
      <c r="B1800" s="528" t="s">
        <v>5399</v>
      </c>
      <c r="C1800" s="528" t="s">
        <v>5400</v>
      </c>
      <c r="D1800" s="528" t="s">
        <v>251</v>
      </c>
      <c r="E1800" s="528"/>
      <c r="F1800" s="528"/>
      <c r="G1800" s="528" t="s">
        <v>205</v>
      </c>
      <c r="H1800"/>
    </row>
    <row r="1801" spans="1:8" x14ac:dyDescent="0.35">
      <c r="A1801" s="528" t="s">
        <v>5401</v>
      </c>
      <c r="B1801" s="528" t="s">
        <v>5402</v>
      </c>
      <c r="C1801" s="528" t="s">
        <v>5403</v>
      </c>
      <c r="D1801" s="528" t="s">
        <v>264</v>
      </c>
      <c r="E1801" s="528"/>
      <c r="F1801" s="528"/>
      <c r="G1801" s="528" t="s">
        <v>205</v>
      </c>
      <c r="H1801"/>
    </row>
    <row r="1802" spans="1:8" x14ac:dyDescent="0.35">
      <c r="A1802" s="528" t="s">
        <v>5404</v>
      </c>
      <c r="B1802" s="528" t="s">
        <v>5405</v>
      </c>
      <c r="C1802" s="528" t="s">
        <v>5406</v>
      </c>
      <c r="D1802" s="528" t="s">
        <v>264</v>
      </c>
      <c r="E1802" s="528" t="s">
        <v>277</v>
      </c>
      <c r="F1802" s="528"/>
      <c r="G1802" s="528" t="s">
        <v>212</v>
      </c>
      <c r="H1802"/>
    </row>
    <row r="1803" spans="1:8" x14ac:dyDescent="0.35">
      <c r="A1803" s="528" t="s">
        <v>5407</v>
      </c>
      <c r="B1803" s="528" t="s">
        <v>5408</v>
      </c>
      <c r="C1803" s="528" t="s">
        <v>5409</v>
      </c>
      <c r="D1803" s="528" t="s">
        <v>277</v>
      </c>
      <c r="E1803" s="528"/>
      <c r="F1803" s="528"/>
      <c r="G1803" s="528" t="s">
        <v>205</v>
      </c>
      <c r="H1803"/>
    </row>
    <row r="1804" spans="1:8" x14ac:dyDescent="0.35">
      <c r="A1804" s="528" t="s">
        <v>5410</v>
      </c>
      <c r="B1804" s="528" t="s">
        <v>5411</v>
      </c>
      <c r="C1804" s="528" t="s">
        <v>5412</v>
      </c>
      <c r="D1804" s="528" t="s">
        <v>225</v>
      </c>
      <c r="E1804" s="528"/>
      <c r="F1804" s="528"/>
      <c r="G1804" s="528" t="s">
        <v>205</v>
      </c>
      <c r="H1804"/>
    </row>
    <row r="1805" spans="1:8" x14ac:dyDescent="0.35">
      <c r="A1805" s="528" t="s">
        <v>5413</v>
      </c>
      <c r="B1805" s="528" t="s">
        <v>5414</v>
      </c>
      <c r="C1805" s="528" t="s">
        <v>5415</v>
      </c>
      <c r="D1805" s="528" t="s">
        <v>238</v>
      </c>
      <c r="E1805" s="528"/>
      <c r="F1805" s="528"/>
      <c r="G1805" s="528" t="s">
        <v>212</v>
      </c>
      <c r="H1805"/>
    </row>
    <row r="1806" spans="1:8" x14ac:dyDescent="0.35">
      <c r="A1806" s="528" t="s">
        <v>5416</v>
      </c>
      <c r="B1806" s="528" t="s">
        <v>5417</v>
      </c>
      <c r="C1806" s="528" t="s">
        <v>922</v>
      </c>
      <c r="D1806" s="528" t="s">
        <v>251</v>
      </c>
      <c r="E1806" s="528"/>
      <c r="F1806" s="528"/>
      <c r="G1806" s="528" t="s">
        <v>208</v>
      </c>
      <c r="H1806"/>
    </row>
    <row r="1807" spans="1:8" x14ac:dyDescent="0.35">
      <c r="A1807" s="528" t="s">
        <v>5418</v>
      </c>
      <c r="B1807" s="528" t="s">
        <v>5419</v>
      </c>
      <c r="C1807" s="528" t="s">
        <v>5420</v>
      </c>
      <c r="D1807" s="528" t="s">
        <v>277</v>
      </c>
      <c r="E1807" s="528"/>
      <c r="F1807" s="528"/>
      <c r="G1807" s="528" t="s">
        <v>208</v>
      </c>
      <c r="H1807"/>
    </row>
    <row r="1808" spans="1:8" x14ac:dyDescent="0.35">
      <c r="A1808" s="528" t="s">
        <v>5421</v>
      </c>
      <c r="B1808" s="528" t="s">
        <v>5422</v>
      </c>
      <c r="C1808" s="528" t="s">
        <v>4431</v>
      </c>
      <c r="D1808" s="528" t="s">
        <v>264</v>
      </c>
      <c r="E1808" s="528" t="s">
        <v>277</v>
      </c>
      <c r="F1808" s="528"/>
      <c r="G1808" s="528" t="s">
        <v>208</v>
      </c>
      <c r="H1808"/>
    </row>
    <row r="1809" spans="1:8" x14ac:dyDescent="0.35">
      <c r="A1809" s="528" t="s">
        <v>5423</v>
      </c>
      <c r="B1809" s="528" t="s">
        <v>5424</v>
      </c>
      <c r="C1809" s="528" t="s">
        <v>5425</v>
      </c>
      <c r="D1809" s="528" t="s">
        <v>238</v>
      </c>
      <c r="E1809" s="528"/>
      <c r="F1809" s="528"/>
      <c r="G1809" s="528" t="s">
        <v>205</v>
      </c>
      <c r="H1809"/>
    </row>
    <row r="1810" spans="1:8" x14ac:dyDescent="0.35">
      <c r="A1810" s="528" t="s">
        <v>5426</v>
      </c>
      <c r="B1810" s="528" t="s">
        <v>5427</v>
      </c>
      <c r="C1810" s="528" t="s">
        <v>1305</v>
      </c>
      <c r="D1810" s="528" t="s">
        <v>277</v>
      </c>
      <c r="E1810" s="528"/>
      <c r="F1810" s="528"/>
      <c r="G1810" s="528" t="s">
        <v>205</v>
      </c>
      <c r="H1810"/>
    </row>
    <row r="1811" spans="1:8" x14ac:dyDescent="0.35">
      <c r="A1811" s="528" t="s">
        <v>5428</v>
      </c>
      <c r="B1811" s="528" t="s">
        <v>5429</v>
      </c>
      <c r="C1811" s="528" t="s">
        <v>5430</v>
      </c>
      <c r="D1811" s="528" t="s">
        <v>225</v>
      </c>
      <c r="E1811" s="528"/>
      <c r="F1811" s="528"/>
      <c r="G1811" s="528" t="s">
        <v>205</v>
      </c>
      <c r="H1811"/>
    </row>
    <row r="1812" spans="1:8" x14ac:dyDescent="0.35">
      <c r="A1812" s="528" t="s">
        <v>5431</v>
      </c>
      <c r="B1812" s="528" t="s">
        <v>5432</v>
      </c>
      <c r="C1812" s="528" t="s">
        <v>5433</v>
      </c>
      <c r="D1812" s="528" t="s">
        <v>225</v>
      </c>
      <c r="E1812" s="528"/>
      <c r="F1812" s="528"/>
      <c r="G1812" s="528" t="s">
        <v>205</v>
      </c>
      <c r="H1812"/>
    </row>
    <row r="1813" spans="1:8" x14ac:dyDescent="0.35">
      <c r="A1813" s="528" t="s">
        <v>5434</v>
      </c>
      <c r="B1813" s="528" t="s">
        <v>5435</v>
      </c>
      <c r="C1813" s="528" t="s">
        <v>5436</v>
      </c>
      <c r="D1813" s="528" t="s">
        <v>225</v>
      </c>
      <c r="E1813" s="528"/>
      <c r="F1813" s="528"/>
      <c r="G1813" s="528" t="s">
        <v>208</v>
      </c>
      <c r="H1813"/>
    </row>
    <row r="1814" spans="1:8" x14ac:dyDescent="0.35">
      <c r="A1814" s="528" t="s">
        <v>5437</v>
      </c>
      <c r="B1814" s="528" t="s">
        <v>5438</v>
      </c>
      <c r="C1814" s="528" t="s">
        <v>5439</v>
      </c>
      <c r="D1814" s="528" t="s">
        <v>225</v>
      </c>
      <c r="E1814" s="528"/>
      <c r="F1814" s="528"/>
      <c r="G1814" s="528" t="s">
        <v>208</v>
      </c>
      <c r="H1814"/>
    </row>
    <row r="1815" spans="1:8" x14ac:dyDescent="0.35">
      <c r="A1815" s="528" t="s">
        <v>5440</v>
      </c>
      <c r="B1815" s="528" t="s">
        <v>5441</v>
      </c>
      <c r="C1815" s="528" t="s">
        <v>5442</v>
      </c>
      <c r="D1815" s="528" t="s">
        <v>251</v>
      </c>
      <c r="E1815" s="528"/>
      <c r="F1815" s="528"/>
      <c r="G1815" s="528" t="s">
        <v>212</v>
      </c>
      <c r="H1815"/>
    </row>
    <row r="1816" spans="1:8" x14ac:dyDescent="0.35">
      <c r="A1816" s="528" t="s">
        <v>5443</v>
      </c>
      <c r="B1816" s="528" t="s">
        <v>5444</v>
      </c>
      <c r="C1816" s="528" t="s">
        <v>5445</v>
      </c>
      <c r="D1816" s="528" t="s">
        <v>277</v>
      </c>
      <c r="E1816" s="528"/>
      <c r="F1816" s="528"/>
      <c r="G1816" s="528" t="s">
        <v>205</v>
      </c>
      <c r="H1816"/>
    </row>
    <row r="1817" spans="1:8" x14ac:dyDescent="0.35">
      <c r="A1817" s="528" t="s">
        <v>5446</v>
      </c>
      <c r="B1817" s="528" t="s">
        <v>5447</v>
      </c>
      <c r="C1817" s="528" t="s">
        <v>5448</v>
      </c>
      <c r="D1817" s="528" t="s">
        <v>238</v>
      </c>
      <c r="E1817" s="528"/>
      <c r="F1817" s="528"/>
      <c r="G1817" s="528" t="s">
        <v>208</v>
      </c>
      <c r="H1817"/>
    </row>
    <row r="1818" spans="1:8" x14ac:dyDescent="0.35">
      <c r="A1818" s="528" t="s">
        <v>5449</v>
      </c>
      <c r="B1818" s="528" t="s">
        <v>5450</v>
      </c>
      <c r="C1818" s="528" t="s">
        <v>5451</v>
      </c>
      <c r="D1818" s="528" t="s">
        <v>264</v>
      </c>
      <c r="E1818" s="528"/>
      <c r="F1818" s="528"/>
      <c r="G1818" s="528" t="s">
        <v>205</v>
      </c>
      <c r="H1818"/>
    </row>
    <row r="1819" spans="1:8" x14ac:dyDescent="0.35">
      <c r="A1819" s="528" t="s">
        <v>5452</v>
      </c>
      <c r="B1819" s="528" t="s">
        <v>5453</v>
      </c>
      <c r="C1819" s="528" t="s">
        <v>5454</v>
      </c>
      <c r="D1819" s="528" t="s">
        <v>277</v>
      </c>
      <c r="E1819" s="528"/>
      <c r="F1819" s="528"/>
      <c r="G1819" s="528" t="s">
        <v>205</v>
      </c>
      <c r="H1819"/>
    </row>
    <row r="1820" spans="1:8" x14ac:dyDescent="0.35">
      <c r="A1820" s="528" t="s">
        <v>5455</v>
      </c>
      <c r="B1820" s="528" t="s">
        <v>5456</v>
      </c>
      <c r="C1820" s="528" t="s">
        <v>5457</v>
      </c>
      <c r="D1820" s="528" t="s">
        <v>277</v>
      </c>
      <c r="E1820" s="528" t="s">
        <v>264</v>
      </c>
      <c r="F1820" s="528"/>
      <c r="G1820" s="528" t="s">
        <v>205</v>
      </c>
      <c r="H1820"/>
    </row>
    <row r="1821" spans="1:8" x14ac:dyDescent="0.35">
      <c r="A1821" s="528" t="s">
        <v>5458</v>
      </c>
      <c r="B1821" s="528" t="s">
        <v>5459</v>
      </c>
      <c r="C1821" s="528" t="s">
        <v>1695</v>
      </c>
      <c r="D1821" s="528" t="s">
        <v>264</v>
      </c>
      <c r="E1821" s="528"/>
      <c r="F1821" s="528"/>
      <c r="G1821" s="528" t="s">
        <v>205</v>
      </c>
      <c r="H1821"/>
    </row>
    <row r="1822" spans="1:8" x14ac:dyDescent="0.35">
      <c r="A1822" s="528" t="s">
        <v>5460</v>
      </c>
      <c r="B1822" s="528" t="s">
        <v>5461</v>
      </c>
      <c r="C1822" s="528" t="s">
        <v>5462</v>
      </c>
      <c r="D1822" s="528" t="s">
        <v>225</v>
      </c>
      <c r="E1822" s="528"/>
      <c r="F1822" s="528"/>
      <c r="G1822" s="528" t="s">
        <v>205</v>
      </c>
      <c r="H1822"/>
    </row>
    <row r="1823" spans="1:8" x14ac:dyDescent="0.35">
      <c r="A1823" s="528" t="s">
        <v>5463</v>
      </c>
      <c r="B1823" s="528" t="s">
        <v>5464</v>
      </c>
      <c r="C1823" s="528" t="s">
        <v>5465</v>
      </c>
      <c r="D1823" s="528" t="s">
        <v>225</v>
      </c>
      <c r="E1823" s="528"/>
      <c r="F1823" s="528"/>
      <c r="G1823" s="528" t="s">
        <v>208</v>
      </c>
      <c r="H1823"/>
    </row>
    <row r="1824" spans="1:8" x14ac:dyDescent="0.35">
      <c r="A1824" s="528" t="s">
        <v>5466</v>
      </c>
      <c r="B1824" s="528" t="s">
        <v>5467</v>
      </c>
      <c r="C1824" s="528" t="s">
        <v>5468</v>
      </c>
      <c r="D1824" s="528" t="s">
        <v>277</v>
      </c>
      <c r="E1824" s="528"/>
      <c r="F1824" s="528"/>
      <c r="G1824" s="528" t="s">
        <v>212</v>
      </c>
      <c r="H1824"/>
    </row>
    <row r="1825" spans="1:8" x14ac:dyDescent="0.35">
      <c r="A1825" s="528" t="s">
        <v>5469</v>
      </c>
      <c r="B1825" s="528" t="s">
        <v>5470</v>
      </c>
      <c r="C1825" s="528" t="s">
        <v>5471</v>
      </c>
      <c r="D1825" s="528" t="s">
        <v>277</v>
      </c>
      <c r="E1825" s="528"/>
      <c r="F1825" s="528"/>
      <c r="G1825" s="528" t="s">
        <v>208</v>
      </c>
      <c r="H1825"/>
    </row>
    <row r="1826" spans="1:8" x14ac:dyDescent="0.35">
      <c r="A1826" s="528" t="s">
        <v>5472</v>
      </c>
      <c r="B1826" s="528" t="s">
        <v>5473</v>
      </c>
      <c r="C1826" s="528" t="s">
        <v>5474</v>
      </c>
      <c r="D1826" s="528" t="s">
        <v>251</v>
      </c>
      <c r="E1826" s="528"/>
      <c r="F1826" s="528"/>
      <c r="G1826" s="528" t="s">
        <v>208</v>
      </c>
      <c r="H1826"/>
    </row>
    <row r="1827" spans="1:8" x14ac:dyDescent="0.35">
      <c r="A1827" s="528" t="s">
        <v>5475</v>
      </c>
      <c r="B1827" s="528" t="s">
        <v>5476</v>
      </c>
      <c r="C1827" s="528" t="s">
        <v>4466</v>
      </c>
      <c r="D1827" s="528" t="s">
        <v>264</v>
      </c>
      <c r="E1827" s="528"/>
      <c r="F1827" s="528"/>
      <c r="G1827" s="528" t="s">
        <v>208</v>
      </c>
      <c r="H1827"/>
    </row>
    <row r="1828" spans="1:8" x14ac:dyDescent="0.35">
      <c r="A1828" s="528" t="s">
        <v>5477</v>
      </c>
      <c r="B1828" s="528" t="s">
        <v>5478</v>
      </c>
      <c r="C1828" s="528" t="s">
        <v>5479</v>
      </c>
      <c r="D1828" s="528" t="s">
        <v>277</v>
      </c>
      <c r="E1828" s="528"/>
      <c r="F1828" s="528"/>
      <c r="G1828" s="528" t="s">
        <v>208</v>
      </c>
      <c r="H1828"/>
    </row>
    <row r="1829" spans="1:8" x14ac:dyDescent="0.35">
      <c r="A1829" s="528" t="s">
        <v>5480</v>
      </c>
      <c r="B1829" s="528" t="s">
        <v>5481</v>
      </c>
      <c r="C1829" s="528" t="s">
        <v>5482</v>
      </c>
      <c r="D1829" s="528" t="s">
        <v>251</v>
      </c>
      <c r="E1829" s="528"/>
      <c r="F1829" s="528"/>
      <c r="G1829" s="528" t="s">
        <v>212</v>
      </c>
      <c r="H1829"/>
    </row>
    <row r="1830" spans="1:8" x14ac:dyDescent="0.35">
      <c r="A1830" s="528" t="s">
        <v>5483</v>
      </c>
      <c r="B1830" s="528" t="s">
        <v>5484</v>
      </c>
      <c r="C1830" s="528" t="s">
        <v>5485</v>
      </c>
      <c r="D1830" s="528" t="s">
        <v>264</v>
      </c>
      <c r="E1830" s="528"/>
      <c r="F1830" s="528"/>
      <c r="G1830" s="528" t="s">
        <v>208</v>
      </c>
      <c r="H1830"/>
    </row>
    <row r="1831" spans="1:8" x14ac:dyDescent="0.35">
      <c r="A1831" s="528" t="s">
        <v>5486</v>
      </c>
      <c r="B1831" s="528" t="s">
        <v>5487</v>
      </c>
      <c r="C1831" s="528" t="s">
        <v>5488</v>
      </c>
      <c r="D1831" s="528" t="s">
        <v>264</v>
      </c>
      <c r="E1831" s="528"/>
      <c r="F1831" s="528"/>
      <c r="G1831" s="528" t="s">
        <v>205</v>
      </c>
      <c r="H1831"/>
    </row>
    <row r="1832" spans="1:8" x14ac:dyDescent="0.35">
      <c r="A1832" s="528" t="s">
        <v>5489</v>
      </c>
      <c r="B1832" s="528" t="s">
        <v>5490</v>
      </c>
      <c r="C1832" s="528" t="s">
        <v>5491</v>
      </c>
      <c r="D1832" s="528" t="s">
        <v>251</v>
      </c>
      <c r="E1832" s="528"/>
      <c r="F1832" s="528"/>
      <c r="G1832" s="528" t="s">
        <v>208</v>
      </c>
      <c r="H1832"/>
    </row>
    <row r="1833" spans="1:8" x14ac:dyDescent="0.35">
      <c r="A1833" s="528" t="s">
        <v>5492</v>
      </c>
      <c r="B1833" s="528" t="s">
        <v>5493</v>
      </c>
      <c r="C1833" s="528" t="s">
        <v>5494</v>
      </c>
      <c r="D1833" s="528" t="s">
        <v>251</v>
      </c>
      <c r="E1833" s="528"/>
      <c r="F1833" s="528"/>
      <c r="G1833" s="528" t="s">
        <v>208</v>
      </c>
      <c r="H1833"/>
    </row>
    <row r="1834" spans="1:8" x14ac:dyDescent="0.35">
      <c r="A1834" s="528" t="s">
        <v>5495</v>
      </c>
      <c r="B1834" s="528" t="s">
        <v>5496</v>
      </c>
      <c r="C1834" s="528" t="s">
        <v>5497</v>
      </c>
      <c r="D1834" s="528" t="s">
        <v>264</v>
      </c>
      <c r="E1834" s="528"/>
      <c r="F1834" s="528"/>
      <c r="G1834" s="528" t="s">
        <v>205</v>
      </c>
      <c r="H1834"/>
    </row>
    <row r="1835" spans="1:8" x14ac:dyDescent="0.35">
      <c r="A1835" s="528" t="s">
        <v>5498</v>
      </c>
      <c r="B1835" s="528" t="s">
        <v>5499</v>
      </c>
      <c r="C1835" s="528" t="s">
        <v>5500</v>
      </c>
      <c r="D1835" s="528" t="s">
        <v>264</v>
      </c>
      <c r="E1835" s="528"/>
      <c r="F1835" s="528"/>
      <c r="G1835" s="528" t="s">
        <v>205</v>
      </c>
      <c r="H1835"/>
    </row>
    <row r="1836" spans="1:8" x14ac:dyDescent="0.35">
      <c r="A1836" s="528" t="s">
        <v>5501</v>
      </c>
      <c r="B1836" s="528" t="s">
        <v>5502</v>
      </c>
      <c r="C1836" s="528" t="s">
        <v>5503</v>
      </c>
      <c r="D1836" s="528" t="s">
        <v>225</v>
      </c>
      <c r="E1836" s="528"/>
      <c r="F1836" s="528"/>
      <c r="G1836" s="528" t="s">
        <v>208</v>
      </c>
      <c r="H1836"/>
    </row>
    <row r="1837" spans="1:8" x14ac:dyDescent="0.35">
      <c r="A1837" s="528" t="s">
        <v>5504</v>
      </c>
      <c r="B1837" s="528" t="s">
        <v>5505</v>
      </c>
      <c r="C1837" s="528" t="s">
        <v>5506</v>
      </c>
      <c r="D1837" s="528" t="s">
        <v>225</v>
      </c>
      <c r="E1837" s="528"/>
      <c r="F1837" s="528"/>
      <c r="G1837" s="528" t="s">
        <v>208</v>
      </c>
      <c r="H1837"/>
    </row>
    <row r="1838" spans="1:8" x14ac:dyDescent="0.35">
      <c r="A1838" s="528" t="s">
        <v>5507</v>
      </c>
      <c r="B1838" s="528" t="s">
        <v>5508</v>
      </c>
      <c r="C1838" s="528" t="s">
        <v>5509</v>
      </c>
      <c r="D1838" s="528" t="s">
        <v>225</v>
      </c>
      <c r="E1838" s="528"/>
      <c r="F1838" s="528"/>
      <c r="G1838" s="528" t="s">
        <v>208</v>
      </c>
      <c r="H1838"/>
    </row>
    <row r="1839" spans="1:8" x14ac:dyDescent="0.35">
      <c r="A1839" s="528" t="s">
        <v>5510</v>
      </c>
      <c r="B1839" s="528" t="s">
        <v>5511</v>
      </c>
      <c r="C1839" s="528" t="s">
        <v>5512</v>
      </c>
      <c r="D1839" s="528" t="s">
        <v>225</v>
      </c>
      <c r="E1839" s="528"/>
      <c r="F1839" s="528"/>
      <c r="G1839" s="528" t="s">
        <v>205</v>
      </c>
      <c r="H1839"/>
    </row>
    <row r="1840" spans="1:8" x14ac:dyDescent="0.35">
      <c r="A1840" s="528" t="s">
        <v>5513</v>
      </c>
      <c r="B1840" s="528" t="s">
        <v>5514</v>
      </c>
      <c r="C1840" s="528" t="s">
        <v>1226</v>
      </c>
      <c r="D1840" s="528" t="s">
        <v>264</v>
      </c>
      <c r="E1840" s="528"/>
      <c r="F1840" s="528"/>
      <c r="G1840" s="528" t="s">
        <v>205</v>
      </c>
      <c r="H1840"/>
    </row>
    <row r="1841" spans="1:8" x14ac:dyDescent="0.35">
      <c r="A1841" s="528" t="s">
        <v>5515</v>
      </c>
      <c r="B1841" s="528" t="s">
        <v>5516</v>
      </c>
      <c r="C1841" s="528" t="s">
        <v>5517</v>
      </c>
      <c r="D1841" s="528" t="s">
        <v>277</v>
      </c>
      <c r="E1841" s="528"/>
      <c r="F1841" s="528"/>
      <c r="G1841" s="528" t="s">
        <v>208</v>
      </c>
      <c r="H1841"/>
    </row>
    <row r="1842" spans="1:8" x14ac:dyDescent="0.35">
      <c r="A1842" s="528" t="s">
        <v>5518</v>
      </c>
      <c r="B1842" s="528" t="s">
        <v>5519</v>
      </c>
      <c r="C1842" s="528" t="s">
        <v>5520</v>
      </c>
      <c r="D1842" s="528" t="s">
        <v>264</v>
      </c>
      <c r="E1842" s="528"/>
      <c r="F1842" s="528"/>
      <c r="G1842" s="528" t="s">
        <v>205</v>
      </c>
      <c r="H1842"/>
    </row>
    <row r="1843" spans="1:8" x14ac:dyDescent="0.35">
      <c r="A1843" s="528" t="s">
        <v>5521</v>
      </c>
      <c r="B1843" s="528" t="s">
        <v>5522</v>
      </c>
      <c r="C1843" s="528" t="s">
        <v>1380</v>
      </c>
      <c r="D1843" s="528" t="s">
        <v>277</v>
      </c>
      <c r="E1843" s="528"/>
      <c r="F1843" s="528"/>
      <c r="G1843" s="528" t="s">
        <v>214</v>
      </c>
      <c r="H1843"/>
    </row>
    <row r="1844" spans="1:8" x14ac:dyDescent="0.35">
      <c r="A1844" s="528" t="s">
        <v>5523</v>
      </c>
      <c r="B1844" s="528" t="s">
        <v>5524</v>
      </c>
      <c r="C1844" s="528" t="s">
        <v>5525</v>
      </c>
      <c r="D1844" s="528" t="s">
        <v>264</v>
      </c>
      <c r="E1844" s="528"/>
      <c r="F1844" s="528"/>
      <c r="G1844" s="528" t="s">
        <v>205</v>
      </c>
      <c r="H1844"/>
    </row>
    <row r="1845" spans="1:8" x14ac:dyDescent="0.35">
      <c r="A1845" s="528" t="s">
        <v>5526</v>
      </c>
      <c r="B1845" s="528" t="s">
        <v>5527</v>
      </c>
      <c r="C1845" s="528" t="s">
        <v>5528</v>
      </c>
      <c r="D1845" s="528" t="s">
        <v>264</v>
      </c>
      <c r="E1845" s="528"/>
      <c r="F1845" s="528"/>
      <c r="G1845" s="528" t="s">
        <v>205</v>
      </c>
      <c r="H1845"/>
    </row>
    <row r="1846" spans="1:8" x14ac:dyDescent="0.35">
      <c r="A1846" s="528" t="s">
        <v>5529</v>
      </c>
      <c r="B1846" s="528" t="s">
        <v>5530</v>
      </c>
      <c r="C1846" s="528" t="s">
        <v>5531</v>
      </c>
      <c r="D1846" s="528" t="s">
        <v>251</v>
      </c>
      <c r="E1846" s="528"/>
      <c r="F1846" s="528"/>
      <c r="G1846" s="528" t="s">
        <v>208</v>
      </c>
      <c r="H1846"/>
    </row>
    <row r="1847" spans="1:8" x14ac:dyDescent="0.35">
      <c r="A1847" s="528" t="s">
        <v>5532</v>
      </c>
      <c r="B1847" s="528" t="s">
        <v>5533</v>
      </c>
      <c r="C1847" s="528" t="s">
        <v>5534</v>
      </c>
      <c r="D1847" s="528" t="s">
        <v>264</v>
      </c>
      <c r="E1847" s="528" t="s">
        <v>277</v>
      </c>
      <c r="F1847" s="528"/>
      <c r="G1847" s="528" t="s">
        <v>205</v>
      </c>
      <c r="H1847"/>
    </row>
    <row r="1848" spans="1:8" x14ac:dyDescent="0.35">
      <c r="A1848" s="528" t="s">
        <v>5535</v>
      </c>
      <c r="B1848" s="528" t="s">
        <v>5536</v>
      </c>
      <c r="C1848" s="528" t="s">
        <v>5537</v>
      </c>
      <c r="D1848" s="528" t="s">
        <v>277</v>
      </c>
      <c r="E1848" s="528"/>
      <c r="F1848" s="528"/>
      <c r="G1848" s="528" t="s">
        <v>205</v>
      </c>
      <c r="H1848"/>
    </row>
    <row r="1849" spans="1:8" x14ac:dyDescent="0.35">
      <c r="A1849" s="528" t="s">
        <v>5538</v>
      </c>
      <c r="B1849" s="528" t="s">
        <v>5539</v>
      </c>
      <c r="C1849" s="528" t="s">
        <v>5540</v>
      </c>
      <c r="D1849" s="528" t="s">
        <v>277</v>
      </c>
      <c r="E1849" s="528"/>
      <c r="F1849" s="528"/>
      <c r="G1849" s="528" t="s">
        <v>205</v>
      </c>
      <c r="H1849"/>
    </row>
    <row r="1850" spans="1:8" x14ac:dyDescent="0.35">
      <c r="A1850" s="528" t="s">
        <v>5541</v>
      </c>
      <c r="B1850" s="528" t="s">
        <v>5542</v>
      </c>
      <c r="C1850" s="528" t="s">
        <v>5543</v>
      </c>
      <c r="D1850" s="528" t="s">
        <v>264</v>
      </c>
      <c r="E1850" s="528"/>
      <c r="F1850" s="528"/>
      <c r="G1850" s="528" t="s">
        <v>205</v>
      </c>
      <c r="H1850"/>
    </row>
    <row r="1851" spans="1:8" x14ac:dyDescent="0.35">
      <c r="A1851" s="528" t="s">
        <v>5544</v>
      </c>
      <c r="B1851" s="528" t="s">
        <v>5545</v>
      </c>
      <c r="C1851" s="528" t="s">
        <v>5546</v>
      </c>
      <c r="D1851" s="528" t="s">
        <v>251</v>
      </c>
      <c r="E1851" s="528"/>
      <c r="F1851" s="528"/>
      <c r="G1851" s="528" t="s">
        <v>212</v>
      </c>
      <c r="H1851"/>
    </row>
    <row r="1852" spans="1:8" x14ac:dyDescent="0.35">
      <c r="A1852" s="528" t="s">
        <v>5547</v>
      </c>
      <c r="B1852" s="528" t="s">
        <v>5548</v>
      </c>
      <c r="C1852" s="528" t="s">
        <v>5549</v>
      </c>
      <c r="D1852" s="528" t="s">
        <v>277</v>
      </c>
      <c r="E1852" s="528"/>
      <c r="F1852" s="528"/>
      <c r="G1852" s="528" t="s">
        <v>212</v>
      </c>
      <c r="H1852"/>
    </row>
    <row r="1853" spans="1:8" x14ac:dyDescent="0.35">
      <c r="A1853" s="528" t="s">
        <v>5550</v>
      </c>
      <c r="B1853" s="528" t="s">
        <v>5551</v>
      </c>
      <c r="C1853" s="528" t="s">
        <v>5552</v>
      </c>
      <c r="D1853" s="528" t="s">
        <v>277</v>
      </c>
      <c r="E1853" s="528" t="s">
        <v>264</v>
      </c>
      <c r="F1853" s="528"/>
      <c r="G1853" s="528" t="s">
        <v>208</v>
      </c>
      <c r="H1853"/>
    </row>
    <row r="1854" spans="1:8" x14ac:dyDescent="0.35">
      <c r="A1854" s="528" t="s">
        <v>5553</v>
      </c>
      <c r="B1854" s="528" t="s">
        <v>5554</v>
      </c>
      <c r="C1854" s="528" t="s">
        <v>5555</v>
      </c>
      <c r="D1854" s="528" t="s">
        <v>277</v>
      </c>
      <c r="E1854" s="528"/>
      <c r="F1854" s="528"/>
      <c r="G1854" s="528" t="s">
        <v>205</v>
      </c>
      <c r="H1854"/>
    </row>
    <row r="1855" spans="1:8" x14ac:dyDescent="0.35">
      <c r="A1855" s="528" t="s">
        <v>5556</v>
      </c>
      <c r="B1855" s="528" t="s">
        <v>5557</v>
      </c>
      <c r="C1855" s="528" t="s">
        <v>5558</v>
      </c>
      <c r="D1855" s="528" t="s">
        <v>277</v>
      </c>
      <c r="E1855" s="528"/>
      <c r="F1855" s="528"/>
      <c r="G1855" s="528" t="s">
        <v>205</v>
      </c>
      <c r="H1855"/>
    </row>
    <row r="1856" spans="1:8" x14ac:dyDescent="0.35">
      <c r="A1856" s="528" t="s">
        <v>5559</v>
      </c>
      <c r="B1856" s="528" t="s">
        <v>5560</v>
      </c>
      <c r="C1856" s="528" t="s">
        <v>5561</v>
      </c>
      <c r="D1856" s="528" t="s">
        <v>251</v>
      </c>
      <c r="E1856" s="528"/>
      <c r="F1856" s="528"/>
      <c r="G1856" s="528" t="s">
        <v>208</v>
      </c>
      <c r="H1856"/>
    </row>
    <row r="1857" spans="1:8" x14ac:dyDescent="0.35">
      <c r="A1857" s="528" t="s">
        <v>5562</v>
      </c>
      <c r="B1857" s="528" t="s">
        <v>5563</v>
      </c>
      <c r="C1857" s="528" t="s">
        <v>5564</v>
      </c>
      <c r="D1857" s="528" t="s">
        <v>264</v>
      </c>
      <c r="E1857" s="528" t="s">
        <v>277</v>
      </c>
      <c r="F1857" s="528"/>
      <c r="G1857" s="528" t="s">
        <v>208</v>
      </c>
      <c r="H1857"/>
    </row>
    <row r="1858" spans="1:8" x14ac:dyDescent="0.35">
      <c r="A1858" s="528" t="s">
        <v>5565</v>
      </c>
      <c r="B1858" s="528" t="s">
        <v>5566</v>
      </c>
      <c r="C1858" s="528" t="s">
        <v>5567</v>
      </c>
      <c r="D1858" s="528" t="s">
        <v>225</v>
      </c>
      <c r="E1858" s="528"/>
      <c r="F1858" s="528"/>
      <c r="G1858" s="528" t="s">
        <v>208</v>
      </c>
      <c r="H1858"/>
    </row>
    <row r="1859" spans="1:8" x14ac:dyDescent="0.35">
      <c r="A1859" s="528" t="s">
        <v>5568</v>
      </c>
      <c r="B1859" s="528" t="s">
        <v>5569</v>
      </c>
      <c r="C1859" s="528" t="s">
        <v>5570</v>
      </c>
      <c r="D1859" s="528" t="s">
        <v>225</v>
      </c>
      <c r="E1859" s="528"/>
      <c r="F1859" s="528"/>
      <c r="G1859" s="528" t="s">
        <v>208</v>
      </c>
      <c r="H1859"/>
    </row>
    <row r="1860" spans="1:8" x14ac:dyDescent="0.35">
      <c r="A1860" s="528" t="s">
        <v>5571</v>
      </c>
      <c r="B1860" s="528" t="s">
        <v>5572</v>
      </c>
      <c r="C1860" s="528" t="s">
        <v>5573</v>
      </c>
      <c r="D1860" s="528" t="s">
        <v>225</v>
      </c>
      <c r="E1860" s="528"/>
      <c r="F1860" s="528"/>
      <c r="G1860" s="528" t="s">
        <v>208</v>
      </c>
      <c r="H1860"/>
    </row>
    <row r="1861" spans="1:8" x14ac:dyDescent="0.35">
      <c r="A1861" s="528" t="s">
        <v>5574</v>
      </c>
      <c r="B1861" s="528" t="s">
        <v>5575</v>
      </c>
      <c r="C1861" s="528" t="s">
        <v>5576</v>
      </c>
      <c r="D1861" s="528" t="s">
        <v>225</v>
      </c>
      <c r="E1861" s="528"/>
      <c r="F1861" s="528"/>
      <c r="G1861" s="528" t="s">
        <v>208</v>
      </c>
      <c r="H1861"/>
    </row>
    <row r="1862" spans="1:8" x14ac:dyDescent="0.35">
      <c r="A1862" s="528" t="s">
        <v>5577</v>
      </c>
      <c r="B1862" s="528" t="s">
        <v>5578</v>
      </c>
      <c r="C1862" s="528" t="s">
        <v>5579</v>
      </c>
      <c r="D1862" s="528" t="s">
        <v>225</v>
      </c>
      <c r="E1862" s="528"/>
      <c r="F1862" s="528"/>
      <c r="G1862" s="528" t="s">
        <v>208</v>
      </c>
      <c r="H1862"/>
    </row>
    <row r="1863" spans="1:8" x14ac:dyDescent="0.35">
      <c r="A1863" s="528" t="s">
        <v>5580</v>
      </c>
      <c r="B1863" s="528" t="s">
        <v>5581</v>
      </c>
      <c r="C1863" s="528" t="s">
        <v>5582</v>
      </c>
      <c r="D1863" s="528" t="s">
        <v>225</v>
      </c>
      <c r="E1863" s="528" t="s">
        <v>264</v>
      </c>
      <c r="F1863" s="528"/>
      <c r="G1863" s="528" t="s">
        <v>208</v>
      </c>
      <c r="H1863"/>
    </row>
    <row r="1864" spans="1:8" x14ac:dyDescent="0.35">
      <c r="A1864" s="528" t="s">
        <v>5583</v>
      </c>
      <c r="B1864" s="528" t="s">
        <v>5584</v>
      </c>
      <c r="C1864" s="528" t="s">
        <v>5585</v>
      </c>
      <c r="D1864" s="528" t="s">
        <v>264</v>
      </c>
      <c r="E1864" s="528"/>
      <c r="F1864" s="528"/>
      <c r="G1864" s="528" t="s">
        <v>208</v>
      </c>
      <c r="H1864"/>
    </row>
    <row r="1865" spans="1:8" x14ac:dyDescent="0.35">
      <c r="A1865" s="528" t="s">
        <v>5586</v>
      </c>
      <c r="B1865" s="528" t="s">
        <v>5587</v>
      </c>
      <c r="C1865" s="528" t="s">
        <v>5588</v>
      </c>
      <c r="D1865" s="528" t="s">
        <v>264</v>
      </c>
      <c r="E1865" s="528"/>
      <c r="F1865" s="528"/>
      <c r="G1865" s="528" t="s">
        <v>205</v>
      </c>
      <c r="H1865"/>
    </row>
    <row r="1866" spans="1:8" x14ac:dyDescent="0.35">
      <c r="A1866" s="528" t="s">
        <v>5589</v>
      </c>
      <c r="B1866" s="528" t="s">
        <v>5590</v>
      </c>
      <c r="C1866" s="528" t="s">
        <v>5591</v>
      </c>
      <c r="D1866" s="528" t="s">
        <v>264</v>
      </c>
      <c r="E1866" s="528"/>
      <c r="F1866" s="528"/>
      <c r="G1866" s="528" t="s">
        <v>205</v>
      </c>
      <c r="H1866"/>
    </row>
    <row r="1867" spans="1:8" x14ac:dyDescent="0.35">
      <c r="A1867" s="528" t="s">
        <v>5592</v>
      </c>
      <c r="B1867" s="528" t="s">
        <v>5593</v>
      </c>
      <c r="C1867" s="528" t="s">
        <v>5594</v>
      </c>
      <c r="D1867" s="528" t="s">
        <v>225</v>
      </c>
      <c r="E1867" s="528"/>
      <c r="F1867" s="528"/>
      <c r="G1867" s="528" t="s">
        <v>205</v>
      </c>
      <c r="H1867"/>
    </row>
    <row r="1868" spans="1:8" x14ac:dyDescent="0.35">
      <c r="A1868" s="528" t="s">
        <v>5595</v>
      </c>
      <c r="B1868" s="528" t="s">
        <v>5596</v>
      </c>
      <c r="C1868" s="528" t="s">
        <v>5597</v>
      </c>
      <c r="D1868" s="528" t="s">
        <v>225</v>
      </c>
      <c r="E1868" s="528"/>
      <c r="F1868" s="528"/>
      <c r="G1868" s="528" t="s">
        <v>205</v>
      </c>
      <c r="H1868"/>
    </row>
    <row r="1869" spans="1:8" x14ac:dyDescent="0.35">
      <c r="A1869" s="528" t="s">
        <v>5598</v>
      </c>
      <c r="B1869" s="528" t="s">
        <v>5599</v>
      </c>
      <c r="C1869" s="528" t="s">
        <v>5600</v>
      </c>
      <c r="D1869" s="528" t="s">
        <v>264</v>
      </c>
      <c r="E1869" s="528"/>
      <c r="F1869" s="528"/>
      <c r="G1869" s="528" t="s">
        <v>205</v>
      </c>
      <c r="H1869"/>
    </row>
    <row r="1870" spans="1:8" x14ac:dyDescent="0.35">
      <c r="A1870" s="528" t="s">
        <v>5601</v>
      </c>
      <c r="B1870" s="528" t="s">
        <v>5602</v>
      </c>
      <c r="C1870" s="528" t="s">
        <v>5603</v>
      </c>
      <c r="D1870" s="528" t="s">
        <v>264</v>
      </c>
      <c r="E1870" s="528"/>
      <c r="F1870" s="528"/>
      <c r="G1870" s="528" t="s">
        <v>205</v>
      </c>
      <c r="H1870"/>
    </row>
    <row r="1871" spans="1:8" x14ac:dyDescent="0.35">
      <c r="A1871" s="528" t="s">
        <v>5604</v>
      </c>
      <c r="B1871" s="528" t="s">
        <v>5605</v>
      </c>
      <c r="C1871" s="528" t="s">
        <v>5606</v>
      </c>
      <c r="D1871" s="528" t="s">
        <v>264</v>
      </c>
      <c r="E1871" s="528"/>
      <c r="F1871" s="528"/>
      <c r="G1871" s="528" t="s">
        <v>205</v>
      </c>
      <c r="H1871"/>
    </row>
    <row r="1872" spans="1:8" x14ac:dyDescent="0.35">
      <c r="A1872" s="528" t="s">
        <v>5607</v>
      </c>
      <c r="B1872" s="528" t="s">
        <v>5608</v>
      </c>
      <c r="C1872" s="528" t="s">
        <v>5609</v>
      </c>
      <c r="D1872" s="528" t="s">
        <v>264</v>
      </c>
      <c r="E1872" s="528"/>
      <c r="F1872" s="528"/>
      <c r="G1872" s="528" t="s">
        <v>205</v>
      </c>
      <c r="H1872"/>
    </row>
    <row r="1873" spans="1:8" x14ac:dyDescent="0.35">
      <c r="A1873" s="528" t="s">
        <v>5610</v>
      </c>
      <c r="B1873" s="528" t="s">
        <v>5611</v>
      </c>
      <c r="C1873" s="528" t="s">
        <v>5612</v>
      </c>
      <c r="D1873" s="528" t="s">
        <v>264</v>
      </c>
      <c r="E1873" s="528"/>
      <c r="F1873" s="528"/>
      <c r="G1873" s="528" t="s">
        <v>205</v>
      </c>
      <c r="H1873"/>
    </row>
    <row r="1874" spans="1:8" x14ac:dyDescent="0.35">
      <c r="A1874" s="528" t="s">
        <v>5613</v>
      </c>
      <c r="B1874" s="528" t="s">
        <v>5614</v>
      </c>
      <c r="C1874" s="528" t="s">
        <v>5615</v>
      </c>
      <c r="D1874" s="528" t="s">
        <v>225</v>
      </c>
      <c r="E1874" s="528"/>
      <c r="F1874" s="528"/>
      <c r="G1874" s="528" t="s">
        <v>205</v>
      </c>
      <c r="H1874"/>
    </row>
    <row r="1875" spans="1:8" x14ac:dyDescent="0.35">
      <c r="A1875" s="528" t="s">
        <v>5616</v>
      </c>
      <c r="B1875" s="528" t="s">
        <v>5617</v>
      </c>
      <c r="C1875" s="528" t="s">
        <v>423</v>
      </c>
      <c r="D1875" s="528" t="s">
        <v>264</v>
      </c>
      <c r="E1875" s="528"/>
      <c r="F1875" s="528"/>
      <c r="G1875" s="528" t="s">
        <v>205</v>
      </c>
      <c r="H1875"/>
    </row>
    <row r="1876" spans="1:8" x14ac:dyDescent="0.35">
      <c r="A1876" s="528" t="s">
        <v>5618</v>
      </c>
      <c r="B1876" s="528" t="s">
        <v>5619</v>
      </c>
      <c r="C1876" s="528" t="s">
        <v>1182</v>
      </c>
      <c r="D1876" s="528" t="s">
        <v>225</v>
      </c>
      <c r="E1876" s="528"/>
      <c r="F1876" s="528"/>
      <c r="G1876" s="528" t="s">
        <v>205</v>
      </c>
      <c r="H1876"/>
    </row>
    <row r="1877" spans="1:8" x14ac:dyDescent="0.35">
      <c r="A1877" s="528" t="s">
        <v>5620</v>
      </c>
      <c r="B1877" s="528" t="s">
        <v>5621</v>
      </c>
      <c r="C1877" s="528" t="s">
        <v>5622</v>
      </c>
      <c r="D1877" s="528" t="s">
        <v>264</v>
      </c>
      <c r="E1877" s="528"/>
      <c r="F1877" s="528"/>
      <c r="G1877" s="528" t="s">
        <v>205</v>
      </c>
      <c r="H1877"/>
    </row>
    <row r="1878" spans="1:8" x14ac:dyDescent="0.35">
      <c r="A1878" s="528" t="s">
        <v>5623</v>
      </c>
      <c r="B1878" s="528" t="s">
        <v>5624</v>
      </c>
      <c r="C1878" s="528" t="s">
        <v>5625</v>
      </c>
      <c r="D1878" s="528" t="s">
        <v>264</v>
      </c>
      <c r="E1878" s="528"/>
      <c r="F1878" s="528"/>
      <c r="G1878" s="528" t="s">
        <v>205</v>
      </c>
      <c r="H1878"/>
    </row>
    <row r="1879" spans="1:8" x14ac:dyDescent="0.35">
      <c r="A1879" s="528" t="s">
        <v>5626</v>
      </c>
      <c r="B1879" s="528" t="s">
        <v>5627</v>
      </c>
      <c r="C1879" s="528" t="s">
        <v>5628</v>
      </c>
      <c r="D1879" s="528" t="s">
        <v>225</v>
      </c>
      <c r="E1879" s="528"/>
      <c r="F1879" s="528"/>
      <c r="G1879" s="528" t="s">
        <v>205</v>
      </c>
      <c r="H1879"/>
    </row>
    <row r="1880" spans="1:8" x14ac:dyDescent="0.35">
      <c r="A1880" s="528" t="s">
        <v>5629</v>
      </c>
      <c r="B1880" s="528" t="s">
        <v>5630</v>
      </c>
      <c r="C1880" s="528" t="s">
        <v>5631</v>
      </c>
      <c r="D1880" s="528" t="s">
        <v>225</v>
      </c>
      <c r="E1880" s="528"/>
      <c r="F1880" s="528"/>
      <c r="G1880" s="528" t="s">
        <v>205</v>
      </c>
      <c r="H1880"/>
    </row>
    <row r="1881" spans="1:8" x14ac:dyDescent="0.35">
      <c r="A1881" s="528" t="s">
        <v>5632</v>
      </c>
      <c r="B1881" s="528" t="s">
        <v>5633</v>
      </c>
      <c r="C1881" s="528" t="s">
        <v>5634</v>
      </c>
      <c r="D1881" s="528" t="s">
        <v>251</v>
      </c>
      <c r="E1881" s="528"/>
      <c r="F1881" s="528"/>
      <c r="G1881" s="528" t="s">
        <v>205</v>
      </c>
      <c r="H1881"/>
    </row>
    <row r="1882" spans="1:8" x14ac:dyDescent="0.35">
      <c r="A1882" s="528" t="s">
        <v>5635</v>
      </c>
      <c r="B1882" s="528" t="s">
        <v>5636</v>
      </c>
      <c r="C1882" s="528" t="s">
        <v>5637</v>
      </c>
      <c r="D1882" s="528" t="s">
        <v>264</v>
      </c>
      <c r="E1882" s="528"/>
      <c r="F1882" s="528"/>
      <c r="G1882" s="528" t="s">
        <v>205</v>
      </c>
      <c r="H1882"/>
    </row>
    <row r="1883" spans="1:8" x14ac:dyDescent="0.35">
      <c r="A1883" s="528" t="s">
        <v>5638</v>
      </c>
      <c r="B1883" s="528" t="s">
        <v>5639</v>
      </c>
      <c r="C1883" s="528" t="s">
        <v>5640</v>
      </c>
      <c r="D1883" s="528" t="s">
        <v>264</v>
      </c>
      <c r="E1883" s="528"/>
      <c r="F1883" s="528"/>
      <c r="G1883" s="528" t="s">
        <v>212</v>
      </c>
      <c r="H1883"/>
    </row>
    <row r="1884" spans="1:8" x14ac:dyDescent="0.35">
      <c r="A1884" s="528" t="s">
        <v>5641</v>
      </c>
      <c r="B1884" s="528" t="s">
        <v>5642</v>
      </c>
      <c r="C1884" s="528" t="s">
        <v>5643</v>
      </c>
      <c r="D1884" s="528" t="s">
        <v>225</v>
      </c>
      <c r="E1884" s="528"/>
      <c r="F1884" s="528"/>
      <c r="G1884" s="528" t="s">
        <v>212</v>
      </c>
      <c r="H1884"/>
    </row>
    <row r="1885" spans="1:8" x14ac:dyDescent="0.35">
      <c r="A1885" s="528" t="s">
        <v>5644</v>
      </c>
      <c r="B1885" s="528" t="s">
        <v>5645</v>
      </c>
      <c r="C1885" s="528" t="s">
        <v>5646</v>
      </c>
      <c r="D1885" s="528" t="s">
        <v>264</v>
      </c>
      <c r="E1885" s="528"/>
      <c r="F1885" s="528"/>
      <c r="G1885" s="528" t="s">
        <v>205</v>
      </c>
      <c r="H1885"/>
    </row>
    <row r="1886" spans="1:8" x14ac:dyDescent="0.35">
      <c r="A1886" s="528" t="s">
        <v>5647</v>
      </c>
      <c r="B1886" s="528" t="s">
        <v>5648</v>
      </c>
      <c r="C1886" s="528" t="s">
        <v>5649</v>
      </c>
      <c r="D1886" s="528" t="s">
        <v>264</v>
      </c>
      <c r="E1886" s="528"/>
      <c r="F1886" s="528"/>
      <c r="G1886" s="528" t="s">
        <v>208</v>
      </c>
      <c r="H1886"/>
    </row>
    <row r="1887" spans="1:8" x14ac:dyDescent="0.35">
      <c r="A1887" s="528" t="s">
        <v>5650</v>
      </c>
      <c r="B1887" s="528" t="s">
        <v>5651</v>
      </c>
      <c r="C1887" s="528" t="s">
        <v>5652</v>
      </c>
      <c r="D1887" s="528" t="s">
        <v>251</v>
      </c>
      <c r="E1887" s="528"/>
      <c r="F1887" s="528"/>
      <c r="G1887" s="528" t="s">
        <v>208</v>
      </c>
      <c r="H1887"/>
    </row>
    <row r="1888" spans="1:8" x14ac:dyDescent="0.35">
      <c r="A1888" s="528" t="s">
        <v>5653</v>
      </c>
      <c r="B1888" s="528" t="s">
        <v>5654</v>
      </c>
      <c r="C1888" s="528" t="s">
        <v>5655</v>
      </c>
      <c r="D1888" s="528" t="s">
        <v>251</v>
      </c>
      <c r="E1888" s="528"/>
      <c r="F1888" s="528"/>
      <c r="G1888" s="528" t="s">
        <v>208</v>
      </c>
      <c r="H1888"/>
    </row>
    <row r="1889" spans="1:8" x14ac:dyDescent="0.35">
      <c r="A1889" s="528" t="s">
        <v>5656</v>
      </c>
      <c r="B1889" s="528" t="s">
        <v>5657</v>
      </c>
      <c r="C1889" s="528" t="s">
        <v>5658</v>
      </c>
      <c r="D1889" s="528" t="s">
        <v>251</v>
      </c>
      <c r="E1889" s="528"/>
      <c r="F1889" s="528"/>
      <c r="G1889" s="528" t="s">
        <v>208</v>
      </c>
      <c r="H1889"/>
    </row>
    <row r="1890" spans="1:8" x14ac:dyDescent="0.35">
      <c r="A1890" s="528" t="s">
        <v>5659</v>
      </c>
      <c r="B1890" s="528" t="s">
        <v>5660</v>
      </c>
      <c r="C1890" s="528" t="s">
        <v>5661</v>
      </c>
      <c r="D1890" s="528" t="s">
        <v>277</v>
      </c>
      <c r="E1890" s="528"/>
      <c r="F1890" s="528"/>
      <c r="G1890" s="528" t="s">
        <v>205</v>
      </c>
      <c r="H1890"/>
    </row>
    <row r="1891" spans="1:8" x14ac:dyDescent="0.35">
      <c r="A1891" s="528" t="s">
        <v>5662</v>
      </c>
      <c r="B1891" s="528" t="s">
        <v>5663</v>
      </c>
      <c r="C1891" s="528" t="s">
        <v>5664</v>
      </c>
      <c r="D1891" s="528" t="s">
        <v>225</v>
      </c>
      <c r="E1891" s="528"/>
      <c r="F1891" s="528"/>
      <c r="G1891" s="528" t="s">
        <v>205</v>
      </c>
      <c r="H1891"/>
    </row>
    <row r="1892" spans="1:8" x14ac:dyDescent="0.35">
      <c r="A1892" s="528" t="s">
        <v>5665</v>
      </c>
      <c r="B1892" s="528" t="s">
        <v>5666</v>
      </c>
      <c r="C1892" s="528" t="s">
        <v>5667</v>
      </c>
      <c r="D1892" s="528" t="s">
        <v>264</v>
      </c>
      <c r="E1892" s="528"/>
      <c r="F1892" s="528"/>
      <c r="G1892" s="528" t="s">
        <v>205</v>
      </c>
      <c r="H1892"/>
    </row>
    <row r="1893" spans="1:8" x14ac:dyDescent="0.35">
      <c r="A1893" s="528" t="s">
        <v>5668</v>
      </c>
      <c r="B1893" s="528" t="s">
        <v>5669</v>
      </c>
      <c r="C1893" s="528" t="s">
        <v>5670</v>
      </c>
      <c r="D1893" s="528" t="s">
        <v>225</v>
      </c>
      <c r="E1893" s="528"/>
      <c r="F1893" s="528"/>
      <c r="G1893" s="528" t="s">
        <v>205</v>
      </c>
      <c r="H1893"/>
    </row>
    <row r="1894" spans="1:8" x14ac:dyDescent="0.35">
      <c r="A1894" s="528" t="s">
        <v>5671</v>
      </c>
      <c r="B1894" s="528" t="s">
        <v>5672</v>
      </c>
      <c r="C1894" s="528" t="s">
        <v>5673</v>
      </c>
      <c r="D1894" s="528" t="s">
        <v>277</v>
      </c>
      <c r="E1894" s="528"/>
      <c r="F1894" s="528"/>
      <c r="G1894" s="528" t="s">
        <v>208</v>
      </c>
      <c r="H1894"/>
    </row>
    <row r="1895" spans="1:8" x14ac:dyDescent="0.35">
      <c r="A1895" s="528" t="s">
        <v>5674</v>
      </c>
      <c r="B1895" s="528" t="s">
        <v>5675</v>
      </c>
      <c r="C1895" s="528" t="s">
        <v>5676</v>
      </c>
      <c r="D1895" s="528" t="s">
        <v>251</v>
      </c>
      <c r="E1895" s="528"/>
      <c r="F1895" s="528"/>
      <c r="G1895" s="528" t="s">
        <v>205</v>
      </c>
      <c r="H1895"/>
    </row>
    <row r="1896" spans="1:8" x14ac:dyDescent="0.35">
      <c r="A1896" s="528" t="s">
        <v>5677</v>
      </c>
      <c r="B1896" s="528" t="s">
        <v>5678</v>
      </c>
      <c r="C1896" s="528" t="s">
        <v>5679</v>
      </c>
      <c r="D1896" s="528" t="s">
        <v>251</v>
      </c>
      <c r="E1896" s="528"/>
      <c r="F1896" s="528"/>
      <c r="G1896" s="528" t="s">
        <v>205</v>
      </c>
      <c r="H1896"/>
    </row>
    <row r="1897" spans="1:8" x14ac:dyDescent="0.35">
      <c r="A1897" s="528" t="s">
        <v>5680</v>
      </c>
      <c r="B1897" s="528" t="s">
        <v>5681</v>
      </c>
      <c r="C1897" s="528" t="s">
        <v>1211</v>
      </c>
      <c r="D1897" s="528" t="s">
        <v>264</v>
      </c>
      <c r="E1897" s="528"/>
      <c r="F1897" s="528"/>
      <c r="G1897" s="528" t="s">
        <v>205</v>
      </c>
      <c r="H1897"/>
    </row>
    <row r="1898" spans="1:8" x14ac:dyDescent="0.35">
      <c r="A1898" s="528" t="s">
        <v>5682</v>
      </c>
      <c r="B1898" s="528" t="s">
        <v>5683</v>
      </c>
      <c r="C1898" s="528" t="s">
        <v>5646</v>
      </c>
      <c r="D1898" s="528" t="s">
        <v>264</v>
      </c>
      <c r="E1898" s="528"/>
      <c r="F1898" s="528"/>
      <c r="G1898" s="528" t="s">
        <v>205</v>
      </c>
      <c r="H1898"/>
    </row>
    <row r="1899" spans="1:8" x14ac:dyDescent="0.35">
      <c r="A1899" s="528" t="s">
        <v>5684</v>
      </c>
      <c r="B1899" s="528" t="s">
        <v>5685</v>
      </c>
      <c r="C1899" s="528" t="s">
        <v>1350</v>
      </c>
      <c r="D1899" s="528" t="s">
        <v>277</v>
      </c>
      <c r="E1899" s="528"/>
      <c r="F1899" s="528"/>
      <c r="G1899" s="528" t="s">
        <v>205</v>
      </c>
      <c r="H1899"/>
    </row>
    <row r="1900" spans="1:8" x14ac:dyDescent="0.35">
      <c r="A1900" s="528" t="s">
        <v>5686</v>
      </c>
      <c r="B1900" s="528" t="s">
        <v>5687</v>
      </c>
      <c r="C1900" s="528" t="s">
        <v>5688</v>
      </c>
      <c r="D1900" s="528" t="s">
        <v>264</v>
      </c>
      <c r="E1900" s="528"/>
      <c r="F1900" s="528"/>
      <c r="G1900" s="528" t="s">
        <v>205</v>
      </c>
      <c r="H1900"/>
    </row>
    <row r="1901" spans="1:8" x14ac:dyDescent="0.35">
      <c r="A1901" s="528" t="s">
        <v>5689</v>
      </c>
      <c r="B1901" s="528" t="s">
        <v>5690</v>
      </c>
      <c r="C1901" s="528" t="s">
        <v>5691</v>
      </c>
      <c r="D1901" s="528" t="s">
        <v>251</v>
      </c>
      <c r="E1901" s="528"/>
      <c r="F1901" s="528"/>
      <c r="G1901" s="528" t="s">
        <v>208</v>
      </c>
      <c r="H1901"/>
    </row>
    <row r="1902" spans="1:8" x14ac:dyDescent="0.35">
      <c r="A1902" s="528" t="s">
        <v>5692</v>
      </c>
      <c r="B1902" s="528" t="s">
        <v>5693</v>
      </c>
      <c r="C1902" s="528" t="s">
        <v>5694</v>
      </c>
      <c r="D1902" s="528" t="s">
        <v>277</v>
      </c>
      <c r="E1902" s="528"/>
      <c r="F1902" s="528"/>
      <c r="G1902" s="528" t="s">
        <v>208</v>
      </c>
      <c r="H1902"/>
    </row>
    <row r="1903" spans="1:8" x14ac:dyDescent="0.35">
      <c r="A1903" s="528" t="s">
        <v>5695</v>
      </c>
      <c r="B1903" s="528" t="s">
        <v>5696</v>
      </c>
      <c r="C1903" s="528" t="s">
        <v>1854</v>
      </c>
      <c r="D1903" s="528" t="s">
        <v>277</v>
      </c>
      <c r="E1903" s="528"/>
      <c r="F1903" s="528"/>
      <c r="G1903" s="528" t="s">
        <v>205</v>
      </c>
      <c r="H1903"/>
    </row>
    <row r="1904" spans="1:8" x14ac:dyDescent="0.35">
      <c r="A1904" s="528" t="s">
        <v>5697</v>
      </c>
      <c r="B1904" s="528" t="s">
        <v>5698</v>
      </c>
      <c r="C1904" s="528" t="s">
        <v>5699</v>
      </c>
      <c r="D1904" s="528" t="s">
        <v>277</v>
      </c>
      <c r="E1904" s="528"/>
      <c r="F1904" s="528"/>
      <c r="G1904" s="528" t="s">
        <v>205</v>
      </c>
      <c r="H1904"/>
    </row>
    <row r="1905" spans="1:8" x14ac:dyDescent="0.35">
      <c r="A1905" s="528" t="s">
        <v>5700</v>
      </c>
      <c r="B1905" s="528" t="s">
        <v>5701</v>
      </c>
      <c r="C1905" s="528" t="s">
        <v>5702</v>
      </c>
      <c r="D1905" s="528" t="s">
        <v>225</v>
      </c>
      <c r="E1905" s="528"/>
      <c r="F1905" s="528"/>
      <c r="G1905" s="528" t="s">
        <v>208</v>
      </c>
      <c r="H1905"/>
    </row>
    <row r="1906" spans="1:8" x14ac:dyDescent="0.35">
      <c r="A1906" s="528" t="s">
        <v>5703</v>
      </c>
      <c r="B1906" s="528" t="s">
        <v>5704</v>
      </c>
      <c r="C1906" s="528" t="s">
        <v>1510</v>
      </c>
      <c r="D1906" s="528" t="s">
        <v>277</v>
      </c>
      <c r="E1906" s="528"/>
      <c r="F1906" s="528"/>
      <c r="G1906" s="528" t="s">
        <v>205</v>
      </c>
      <c r="H1906"/>
    </row>
    <row r="1907" spans="1:8" x14ac:dyDescent="0.35">
      <c r="A1907" s="528" t="s">
        <v>5705</v>
      </c>
      <c r="B1907" s="528" t="s">
        <v>5706</v>
      </c>
      <c r="C1907" s="528" t="s">
        <v>5707</v>
      </c>
      <c r="D1907" s="528" t="s">
        <v>277</v>
      </c>
      <c r="E1907" s="528"/>
      <c r="F1907" s="528"/>
      <c r="G1907" s="528" t="s">
        <v>205</v>
      </c>
      <c r="H1907"/>
    </row>
    <row r="1908" spans="1:8" x14ac:dyDescent="0.35">
      <c r="A1908" s="528" t="s">
        <v>5708</v>
      </c>
      <c r="B1908" s="528" t="s">
        <v>5709</v>
      </c>
      <c r="C1908" s="528" t="s">
        <v>5710</v>
      </c>
      <c r="D1908" s="528" t="s">
        <v>238</v>
      </c>
      <c r="E1908" s="528"/>
      <c r="F1908" s="528"/>
      <c r="G1908" s="528" t="s">
        <v>205</v>
      </c>
      <c r="H1908"/>
    </row>
    <row r="1909" spans="1:8" x14ac:dyDescent="0.35">
      <c r="A1909" s="528" t="s">
        <v>5711</v>
      </c>
      <c r="B1909" s="528" t="s">
        <v>5712</v>
      </c>
      <c r="C1909" s="528" t="s">
        <v>5713</v>
      </c>
      <c r="D1909" s="528" t="s">
        <v>277</v>
      </c>
      <c r="E1909" s="528"/>
      <c r="F1909" s="528"/>
      <c r="G1909" s="528" t="s">
        <v>205</v>
      </c>
      <c r="H1909"/>
    </row>
    <row r="1910" spans="1:8" x14ac:dyDescent="0.35">
      <c r="A1910" s="528" t="s">
        <v>5714</v>
      </c>
      <c r="B1910" s="528" t="s">
        <v>5715</v>
      </c>
      <c r="C1910" s="528" t="s">
        <v>5716</v>
      </c>
      <c r="D1910" s="528" t="s">
        <v>277</v>
      </c>
      <c r="E1910" s="528"/>
      <c r="F1910" s="528"/>
      <c r="G1910" s="528" t="s">
        <v>205</v>
      </c>
      <c r="H1910"/>
    </row>
    <row r="1911" spans="1:8" x14ac:dyDescent="0.35">
      <c r="A1911" s="528" t="s">
        <v>5717</v>
      </c>
      <c r="B1911" s="528" t="s">
        <v>5718</v>
      </c>
      <c r="C1911" s="528" t="s">
        <v>5719</v>
      </c>
      <c r="D1911" s="528" t="s">
        <v>225</v>
      </c>
      <c r="E1911" s="528"/>
      <c r="F1911" s="528"/>
      <c r="G1911" s="528" t="s">
        <v>205</v>
      </c>
      <c r="H1911"/>
    </row>
    <row r="1912" spans="1:8" x14ac:dyDescent="0.35">
      <c r="A1912" s="528" t="s">
        <v>5720</v>
      </c>
      <c r="B1912" s="528" t="s">
        <v>5721</v>
      </c>
      <c r="C1912" s="528" t="s">
        <v>5722</v>
      </c>
      <c r="D1912" s="528" t="s">
        <v>277</v>
      </c>
      <c r="E1912" s="528" t="s">
        <v>264</v>
      </c>
      <c r="F1912" s="528"/>
      <c r="G1912" s="528" t="s">
        <v>205</v>
      </c>
      <c r="H1912"/>
    </row>
    <row r="1913" spans="1:8" x14ac:dyDescent="0.35">
      <c r="A1913" s="528" t="s">
        <v>5723</v>
      </c>
      <c r="B1913" s="528" t="s">
        <v>5724</v>
      </c>
      <c r="C1913" s="528" t="s">
        <v>3856</v>
      </c>
      <c r="D1913" s="528" t="s">
        <v>264</v>
      </c>
      <c r="E1913" s="528"/>
      <c r="F1913" s="528"/>
      <c r="G1913" s="528" t="s">
        <v>205</v>
      </c>
      <c r="H1913"/>
    </row>
    <row r="1914" spans="1:8" x14ac:dyDescent="0.35">
      <c r="A1914" s="528" t="s">
        <v>5725</v>
      </c>
      <c r="B1914" s="528" t="s">
        <v>5726</v>
      </c>
      <c r="C1914" s="528" t="s">
        <v>5727</v>
      </c>
      <c r="D1914" s="528" t="s">
        <v>277</v>
      </c>
      <c r="E1914" s="528"/>
      <c r="F1914" s="528"/>
      <c r="G1914" s="528" t="s">
        <v>208</v>
      </c>
      <c r="H1914"/>
    </row>
    <row r="1915" spans="1:8" x14ac:dyDescent="0.35">
      <c r="A1915" s="528" t="s">
        <v>5728</v>
      </c>
      <c r="B1915" s="528" t="s">
        <v>5729</v>
      </c>
      <c r="C1915" s="528" t="s">
        <v>5730</v>
      </c>
      <c r="D1915" s="528" t="s">
        <v>277</v>
      </c>
      <c r="E1915" s="528"/>
      <c r="F1915" s="528"/>
      <c r="G1915" s="528" t="s">
        <v>205</v>
      </c>
      <c r="H1915"/>
    </row>
    <row r="1916" spans="1:8" x14ac:dyDescent="0.35">
      <c r="A1916" s="528" t="s">
        <v>5731</v>
      </c>
      <c r="B1916" s="528" t="s">
        <v>5732</v>
      </c>
      <c r="C1916" s="528" t="s">
        <v>5733</v>
      </c>
      <c r="D1916" s="528" t="s">
        <v>264</v>
      </c>
      <c r="E1916" s="528"/>
      <c r="F1916" s="528"/>
      <c r="G1916" s="528" t="s">
        <v>208</v>
      </c>
      <c r="H1916"/>
    </row>
    <row r="1917" spans="1:8" x14ac:dyDescent="0.35">
      <c r="A1917" s="528" t="s">
        <v>5734</v>
      </c>
      <c r="B1917" s="528" t="s">
        <v>5735</v>
      </c>
      <c r="C1917" s="528" t="s">
        <v>5736</v>
      </c>
      <c r="D1917" s="528" t="s">
        <v>264</v>
      </c>
      <c r="E1917" s="528" t="s">
        <v>277</v>
      </c>
      <c r="F1917" s="528"/>
      <c r="G1917" s="528" t="s">
        <v>205</v>
      </c>
      <c r="H1917"/>
    </row>
    <row r="1918" spans="1:8" x14ac:dyDescent="0.35">
      <c r="A1918" s="528" t="s">
        <v>5737</v>
      </c>
      <c r="B1918" s="528" t="s">
        <v>5738</v>
      </c>
      <c r="C1918" s="528" t="s">
        <v>5739</v>
      </c>
      <c r="D1918" s="528" t="s">
        <v>251</v>
      </c>
      <c r="E1918" s="528"/>
      <c r="F1918" s="528"/>
      <c r="G1918" s="528" t="s">
        <v>208</v>
      </c>
      <c r="H1918"/>
    </row>
    <row r="1919" spans="1:8" x14ac:dyDescent="0.35">
      <c r="A1919" s="528" t="s">
        <v>5740</v>
      </c>
      <c r="B1919" s="528" t="s">
        <v>5741</v>
      </c>
      <c r="C1919" s="528" t="s">
        <v>5742</v>
      </c>
      <c r="D1919" s="528" t="s">
        <v>277</v>
      </c>
      <c r="E1919" s="528"/>
      <c r="F1919" s="528"/>
      <c r="G1919" s="528" t="s">
        <v>208</v>
      </c>
      <c r="H1919"/>
    </row>
    <row r="1920" spans="1:8" x14ac:dyDescent="0.35">
      <c r="A1920" s="528" t="s">
        <v>5743</v>
      </c>
      <c r="B1920" s="528" t="s">
        <v>5744</v>
      </c>
      <c r="C1920" s="528" t="s">
        <v>5745</v>
      </c>
      <c r="D1920" s="528" t="s">
        <v>264</v>
      </c>
      <c r="E1920" s="528"/>
      <c r="F1920" s="528"/>
      <c r="G1920" s="528" t="s">
        <v>208</v>
      </c>
      <c r="H1920"/>
    </row>
    <row r="1921" spans="1:8" x14ac:dyDescent="0.35">
      <c r="A1921" s="528" t="s">
        <v>5746</v>
      </c>
      <c r="B1921" s="528" t="s">
        <v>5747</v>
      </c>
      <c r="C1921" s="528" t="s">
        <v>5748</v>
      </c>
      <c r="D1921" s="528" t="s">
        <v>225</v>
      </c>
      <c r="E1921" s="528"/>
      <c r="F1921" s="528"/>
      <c r="G1921" s="528" t="s">
        <v>205</v>
      </c>
      <c r="H1921"/>
    </row>
    <row r="1922" spans="1:8" x14ac:dyDescent="0.35">
      <c r="A1922" s="528" t="s">
        <v>5749</v>
      </c>
      <c r="B1922" s="528" t="s">
        <v>5750</v>
      </c>
      <c r="C1922" s="528" t="s">
        <v>1371</v>
      </c>
      <c r="D1922" s="528" t="s">
        <v>238</v>
      </c>
      <c r="E1922" s="528"/>
      <c r="F1922" s="528"/>
      <c r="G1922" s="528" t="s">
        <v>205</v>
      </c>
      <c r="H1922"/>
    </row>
    <row r="1923" spans="1:8" x14ac:dyDescent="0.35">
      <c r="A1923" s="528" t="s">
        <v>5751</v>
      </c>
      <c r="B1923" s="528" t="s">
        <v>5752</v>
      </c>
      <c r="C1923" s="528" t="s">
        <v>5753</v>
      </c>
      <c r="D1923" s="528" t="s">
        <v>277</v>
      </c>
      <c r="E1923" s="528"/>
      <c r="F1923" s="528"/>
      <c r="G1923" s="528" t="s">
        <v>205</v>
      </c>
      <c r="H1923"/>
    </row>
    <row r="1924" spans="1:8" x14ac:dyDescent="0.35">
      <c r="A1924" s="528" t="s">
        <v>5754</v>
      </c>
      <c r="B1924" s="528" t="s">
        <v>5755</v>
      </c>
      <c r="C1924" s="528" t="s">
        <v>5756</v>
      </c>
      <c r="D1924" s="528" t="s">
        <v>277</v>
      </c>
      <c r="E1924" s="528"/>
      <c r="F1924" s="528"/>
      <c r="G1924" s="528" t="s">
        <v>208</v>
      </c>
      <c r="H1924"/>
    </row>
    <row r="1925" spans="1:8" x14ac:dyDescent="0.35">
      <c r="A1925" s="528" t="s">
        <v>5757</v>
      </c>
      <c r="B1925" s="528" t="s">
        <v>5758</v>
      </c>
      <c r="C1925" s="528" t="s">
        <v>1107</v>
      </c>
      <c r="D1925" s="528" t="s">
        <v>251</v>
      </c>
      <c r="E1925" s="528"/>
      <c r="F1925" s="528"/>
      <c r="G1925" s="528" t="s">
        <v>208</v>
      </c>
      <c r="H1925"/>
    </row>
    <row r="1926" spans="1:8" x14ac:dyDescent="0.35">
      <c r="A1926" s="528" t="s">
        <v>5759</v>
      </c>
      <c r="B1926" s="528" t="s">
        <v>5760</v>
      </c>
      <c r="C1926" s="528" t="s">
        <v>1948</v>
      </c>
      <c r="D1926" s="528" t="s">
        <v>238</v>
      </c>
      <c r="E1926" s="528"/>
      <c r="F1926" s="528"/>
      <c r="G1926" s="528" t="s">
        <v>205</v>
      </c>
      <c r="H1926"/>
    </row>
    <row r="1927" spans="1:8" x14ac:dyDescent="0.35">
      <c r="A1927" s="528" t="s">
        <v>5761</v>
      </c>
      <c r="B1927" s="528" t="s">
        <v>5762</v>
      </c>
      <c r="C1927" s="528" t="s">
        <v>5763</v>
      </c>
      <c r="D1927" s="528" t="s">
        <v>264</v>
      </c>
      <c r="E1927" s="528"/>
      <c r="F1927" s="528"/>
      <c r="G1927" s="528" t="s">
        <v>205</v>
      </c>
      <c r="H1927"/>
    </row>
    <row r="1928" spans="1:8" x14ac:dyDescent="0.35">
      <c r="A1928" s="528" t="s">
        <v>5764</v>
      </c>
      <c r="B1928" s="528" t="s">
        <v>5765</v>
      </c>
      <c r="C1928" s="528" t="s">
        <v>5766</v>
      </c>
      <c r="D1928" s="528" t="s">
        <v>251</v>
      </c>
      <c r="E1928" s="528"/>
      <c r="F1928" s="528"/>
      <c r="G1928" s="528" t="s">
        <v>208</v>
      </c>
      <c r="H1928"/>
    </row>
    <row r="1929" spans="1:8" x14ac:dyDescent="0.35">
      <c r="A1929" s="528" t="s">
        <v>5767</v>
      </c>
      <c r="B1929" s="528" t="s">
        <v>5768</v>
      </c>
      <c r="C1929" s="528" t="s">
        <v>5769</v>
      </c>
      <c r="D1929" s="528" t="s">
        <v>251</v>
      </c>
      <c r="E1929" s="528"/>
      <c r="F1929" s="528"/>
      <c r="G1929" s="528" t="s">
        <v>208</v>
      </c>
      <c r="H1929"/>
    </row>
    <row r="1930" spans="1:8" x14ac:dyDescent="0.35">
      <c r="A1930" s="528" t="s">
        <v>5770</v>
      </c>
      <c r="B1930" s="528" t="s">
        <v>5771</v>
      </c>
      <c r="C1930" s="528" t="s">
        <v>5772</v>
      </c>
      <c r="D1930" s="528" t="s">
        <v>251</v>
      </c>
      <c r="E1930" s="528"/>
      <c r="F1930" s="528"/>
      <c r="G1930" s="528" t="s">
        <v>208</v>
      </c>
      <c r="H1930"/>
    </row>
    <row r="1931" spans="1:8" x14ac:dyDescent="0.35">
      <c r="A1931" s="528" t="s">
        <v>5773</v>
      </c>
      <c r="B1931" s="528" t="s">
        <v>5774</v>
      </c>
      <c r="C1931" s="528" t="s">
        <v>1267</v>
      </c>
      <c r="D1931" s="528" t="s">
        <v>264</v>
      </c>
      <c r="E1931" s="528"/>
      <c r="F1931" s="528"/>
      <c r="G1931" s="528" t="s">
        <v>205</v>
      </c>
      <c r="H1931"/>
    </row>
    <row r="1932" spans="1:8" x14ac:dyDescent="0.35">
      <c r="A1932" s="528" t="s">
        <v>5775</v>
      </c>
      <c r="B1932" s="528" t="s">
        <v>5776</v>
      </c>
      <c r="C1932" s="528" t="s">
        <v>5777</v>
      </c>
      <c r="D1932" s="528" t="s">
        <v>277</v>
      </c>
      <c r="E1932" s="528"/>
      <c r="F1932" s="528"/>
      <c r="G1932" s="528" t="s">
        <v>208</v>
      </c>
      <c r="H1932"/>
    </row>
    <row r="1933" spans="1:8" x14ac:dyDescent="0.35">
      <c r="A1933" s="528" t="s">
        <v>5778</v>
      </c>
      <c r="B1933" s="528" t="s">
        <v>5779</v>
      </c>
      <c r="C1933" s="528" t="s">
        <v>5780</v>
      </c>
      <c r="D1933" s="528" t="s">
        <v>264</v>
      </c>
      <c r="E1933" s="528"/>
      <c r="F1933" s="528"/>
      <c r="G1933" s="528" t="s">
        <v>205</v>
      </c>
      <c r="H1933"/>
    </row>
    <row r="1934" spans="1:8" x14ac:dyDescent="0.35">
      <c r="A1934" s="528" t="s">
        <v>5781</v>
      </c>
      <c r="B1934" s="528" t="s">
        <v>5782</v>
      </c>
      <c r="C1934" s="528" t="s">
        <v>5783</v>
      </c>
      <c r="D1934" s="528" t="s">
        <v>251</v>
      </c>
      <c r="E1934" s="528"/>
      <c r="F1934" s="528"/>
      <c r="G1934" s="528" t="s">
        <v>208</v>
      </c>
      <c r="H1934"/>
    </row>
    <row r="1935" spans="1:8" x14ac:dyDescent="0.35">
      <c r="A1935" s="528" t="s">
        <v>5784</v>
      </c>
      <c r="B1935" s="528" t="s">
        <v>5785</v>
      </c>
      <c r="C1935" s="528" t="s">
        <v>5786</v>
      </c>
      <c r="D1935" s="528" t="s">
        <v>277</v>
      </c>
      <c r="E1935" s="528"/>
      <c r="F1935" s="528"/>
      <c r="G1935" s="528" t="s">
        <v>205</v>
      </c>
      <c r="H1935"/>
    </row>
    <row r="1936" spans="1:8" x14ac:dyDescent="0.35">
      <c r="A1936" s="528" t="s">
        <v>5787</v>
      </c>
      <c r="B1936" s="528" t="s">
        <v>5788</v>
      </c>
      <c r="C1936" s="528" t="s">
        <v>5576</v>
      </c>
      <c r="D1936" s="528" t="s">
        <v>225</v>
      </c>
      <c r="E1936" s="528"/>
      <c r="F1936" s="528"/>
      <c r="G1936" s="528" t="s">
        <v>208</v>
      </c>
      <c r="H1936"/>
    </row>
    <row r="1937" spans="1:8" x14ac:dyDescent="0.35">
      <c r="A1937" s="528" t="s">
        <v>5789</v>
      </c>
      <c r="B1937" s="528" t="s">
        <v>5790</v>
      </c>
      <c r="C1937" s="528" t="s">
        <v>5791</v>
      </c>
      <c r="D1937" s="528" t="s">
        <v>264</v>
      </c>
      <c r="E1937" s="528"/>
      <c r="F1937" s="528"/>
      <c r="G1937" s="528" t="s">
        <v>205</v>
      </c>
      <c r="H1937"/>
    </row>
    <row r="1938" spans="1:8" x14ac:dyDescent="0.35">
      <c r="A1938" s="528" t="s">
        <v>5792</v>
      </c>
      <c r="B1938" s="528" t="s">
        <v>5793</v>
      </c>
      <c r="C1938" s="528" t="s">
        <v>5794</v>
      </c>
      <c r="D1938" s="528" t="s">
        <v>277</v>
      </c>
      <c r="E1938" s="528"/>
      <c r="F1938" s="528"/>
      <c r="G1938" s="528" t="s">
        <v>205</v>
      </c>
      <c r="H1938"/>
    </row>
    <row r="1939" spans="1:8" x14ac:dyDescent="0.35">
      <c r="A1939" s="528" t="s">
        <v>5795</v>
      </c>
      <c r="B1939" s="528" t="s">
        <v>5796</v>
      </c>
      <c r="C1939" s="528" t="s">
        <v>5797</v>
      </c>
      <c r="D1939" s="528" t="s">
        <v>277</v>
      </c>
      <c r="E1939" s="528"/>
      <c r="F1939" s="528"/>
      <c r="G1939" s="528" t="s">
        <v>205</v>
      </c>
      <c r="H1939"/>
    </row>
    <row r="1940" spans="1:8" x14ac:dyDescent="0.35">
      <c r="A1940" s="528" t="s">
        <v>5798</v>
      </c>
      <c r="B1940" s="528" t="s">
        <v>5799</v>
      </c>
      <c r="C1940" s="528" t="s">
        <v>5800</v>
      </c>
      <c r="D1940" s="528" t="s">
        <v>225</v>
      </c>
      <c r="E1940" s="528"/>
      <c r="F1940" s="528"/>
      <c r="G1940" s="528" t="s">
        <v>205</v>
      </c>
      <c r="H1940"/>
    </row>
    <row r="1941" spans="1:8" x14ac:dyDescent="0.35">
      <c r="A1941" s="528" t="s">
        <v>5801</v>
      </c>
      <c r="B1941" s="528" t="s">
        <v>5802</v>
      </c>
      <c r="C1941" s="528" t="s">
        <v>5803</v>
      </c>
      <c r="D1941" s="528" t="s">
        <v>225</v>
      </c>
      <c r="E1941" s="528"/>
      <c r="F1941" s="528"/>
      <c r="G1941" s="528" t="s">
        <v>205</v>
      </c>
      <c r="H1941"/>
    </row>
    <row r="1942" spans="1:8" x14ac:dyDescent="0.35">
      <c r="A1942" s="528" t="s">
        <v>5804</v>
      </c>
      <c r="B1942" s="528" t="s">
        <v>5805</v>
      </c>
      <c r="C1942" s="528" t="s">
        <v>5806</v>
      </c>
      <c r="D1942" s="528" t="s">
        <v>264</v>
      </c>
      <c r="E1942" s="528"/>
      <c r="F1942" s="528"/>
      <c r="G1942" s="528" t="s">
        <v>205</v>
      </c>
      <c r="H1942"/>
    </row>
    <row r="1943" spans="1:8" x14ac:dyDescent="0.35">
      <c r="A1943" s="528" t="s">
        <v>5807</v>
      </c>
      <c r="B1943" s="528" t="s">
        <v>5808</v>
      </c>
      <c r="C1943" s="528" t="s">
        <v>5809</v>
      </c>
      <c r="D1943" s="528" t="s">
        <v>264</v>
      </c>
      <c r="E1943" s="528"/>
      <c r="F1943" s="528"/>
      <c r="G1943" s="528" t="s">
        <v>205</v>
      </c>
      <c r="H1943"/>
    </row>
    <row r="1944" spans="1:8" x14ac:dyDescent="0.35">
      <c r="A1944" s="528" t="s">
        <v>5810</v>
      </c>
      <c r="B1944" s="528" t="s">
        <v>5811</v>
      </c>
      <c r="C1944" s="528" t="s">
        <v>5812</v>
      </c>
      <c r="D1944" s="528" t="s">
        <v>264</v>
      </c>
      <c r="E1944" s="528"/>
      <c r="F1944" s="528"/>
      <c r="G1944" s="528" t="s">
        <v>205</v>
      </c>
      <c r="H1944"/>
    </row>
    <row r="1945" spans="1:8" x14ac:dyDescent="0.35">
      <c r="A1945" s="528" t="s">
        <v>5813</v>
      </c>
      <c r="B1945" s="528" t="s">
        <v>5814</v>
      </c>
      <c r="C1945" s="528" t="s">
        <v>5815</v>
      </c>
      <c r="D1945" s="528" t="s">
        <v>225</v>
      </c>
      <c r="E1945" s="528"/>
      <c r="F1945" s="528"/>
      <c r="G1945" s="528" t="s">
        <v>208</v>
      </c>
      <c r="H1945"/>
    </row>
    <row r="1946" spans="1:8" x14ac:dyDescent="0.35">
      <c r="A1946" s="528" t="s">
        <v>5816</v>
      </c>
      <c r="B1946" s="528" t="s">
        <v>5817</v>
      </c>
      <c r="C1946" s="528" t="s">
        <v>5818</v>
      </c>
      <c r="D1946" s="528" t="s">
        <v>238</v>
      </c>
      <c r="E1946" s="528"/>
      <c r="F1946" s="528"/>
      <c r="G1946" s="528" t="s">
        <v>208</v>
      </c>
      <c r="H1946"/>
    </row>
    <row r="1947" spans="1:8" x14ac:dyDescent="0.35">
      <c r="A1947" s="528" t="s">
        <v>5819</v>
      </c>
      <c r="B1947" s="528" t="s">
        <v>5820</v>
      </c>
      <c r="C1947" s="528" t="s">
        <v>5821</v>
      </c>
      <c r="D1947" s="528" t="s">
        <v>238</v>
      </c>
      <c r="E1947" s="528"/>
      <c r="F1947" s="528"/>
      <c r="G1947" s="528" t="s">
        <v>205</v>
      </c>
      <c r="H1947"/>
    </row>
    <row r="1948" spans="1:8" x14ac:dyDescent="0.35">
      <c r="A1948" s="528" t="s">
        <v>5822</v>
      </c>
      <c r="B1948" s="528" t="s">
        <v>5823</v>
      </c>
      <c r="C1948" s="528" t="s">
        <v>5824</v>
      </c>
      <c r="D1948" s="528" t="s">
        <v>264</v>
      </c>
      <c r="E1948" s="528"/>
      <c r="F1948" s="528"/>
      <c r="G1948" s="528" t="s">
        <v>205</v>
      </c>
      <c r="H1948"/>
    </row>
    <row r="1949" spans="1:8" x14ac:dyDescent="0.35">
      <c r="A1949" s="528" t="s">
        <v>5825</v>
      </c>
      <c r="B1949" s="528" t="s">
        <v>5826</v>
      </c>
      <c r="C1949" s="528" t="s">
        <v>5827</v>
      </c>
      <c r="D1949" s="528" t="s">
        <v>277</v>
      </c>
      <c r="E1949" s="528" t="s">
        <v>264</v>
      </c>
      <c r="F1949" s="528"/>
      <c r="G1949" s="528" t="s">
        <v>208</v>
      </c>
      <c r="H1949"/>
    </row>
    <row r="1950" spans="1:8" x14ac:dyDescent="0.35">
      <c r="A1950" s="528" t="s">
        <v>5828</v>
      </c>
      <c r="B1950" s="528" t="s">
        <v>5829</v>
      </c>
      <c r="C1950" s="528" t="s">
        <v>5277</v>
      </c>
      <c r="D1950" s="528" t="s">
        <v>264</v>
      </c>
      <c r="E1950" s="528"/>
      <c r="F1950" s="528"/>
      <c r="G1950" s="528" t="s">
        <v>210</v>
      </c>
      <c r="H1950"/>
    </row>
    <row r="1951" spans="1:8" x14ac:dyDescent="0.35">
      <c r="A1951" s="528" t="s">
        <v>5830</v>
      </c>
      <c r="B1951" s="528" t="s">
        <v>5831</v>
      </c>
      <c r="C1951" s="528" t="s">
        <v>5832</v>
      </c>
      <c r="D1951" s="528" t="s">
        <v>277</v>
      </c>
      <c r="E1951" s="528"/>
      <c r="F1951" s="528"/>
      <c r="G1951" s="528" t="s">
        <v>208</v>
      </c>
      <c r="H1951"/>
    </row>
    <row r="1952" spans="1:8" x14ac:dyDescent="0.35">
      <c r="A1952" s="528" t="s">
        <v>5833</v>
      </c>
      <c r="B1952" s="528" t="s">
        <v>5834</v>
      </c>
      <c r="C1952" s="528" t="s">
        <v>5835</v>
      </c>
      <c r="D1952" s="528" t="s">
        <v>277</v>
      </c>
      <c r="E1952" s="528"/>
      <c r="F1952" s="528"/>
      <c r="G1952" s="528" t="s">
        <v>205</v>
      </c>
      <c r="H1952"/>
    </row>
    <row r="1953" spans="1:8" x14ac:dyDescent="0.35">
      <c r="A1953" s="528" t="s">
        <v>5836</v>
      </c>
      <c r="B1953" s="528" t="s">
        <v>5837</v>
      </c>
      <c r="C1953" s="528" t="s">
        <v>5838</v>
      </c>
      <c r="D1953" s="528" t="s">
        <v>277</v>
      </c>
      <c r="E1953" s="528"/>
      <c r="F1953" s="528"/>
      <c r="G1953" s="528" t="s">
        <v>212</v>
      </c>
      <c r="H1953"/>
    </row>
    <row r="1954" spans="1:8" x14ac:dyDescent="0.35">
      <c r="A1954" s="528" t="s">
        <v>5839</v>
      </c>
      <c r="B1954" s="528" t="s">
        <v>5840</v>
      </c>
      <c r="C1954" s="528" t="s">
        <v>5841</v>
      </c>
      <c r="D1954" s="528" t="s">
        <v>264</v>
      </c>
      <c r="E1954" s="528"/>
      <c r="F1954" s="528"/>
      <c r="G1954" s="528" t="s">
        <v>208</v>
      </c>
      <c r="H1954"/>
    </row>
    <row r="1955" spans="1:8" x14ac:dyDescent="0.35">
      <c r="A1955" s="528" t="s">
        <v>5842</v>
      </c>
      <c r="B1955" s="528" t="s">
        <v>5843</v>
      </c>
      <c r="C1955" s="528" t="s">
        <v>5844</v>
      </c>
      <c r="D1955" s="528" t="s">
        <v>251</v>
      </c>
      <c r="E1955" s="528"/>
      <c r="F1955" s="528"/>
      <c r="G1955" s="528" t="s">
        <v>208</v>
      </c>
      <c r="H1955"/>
    </row>
    <row r="1956" spans="1:8" x14ac:dyDescent="0.35">
      <c r="A1956" s="528" t="s">
        <v>5845</v>
      </c>
      <c r="B1956" s="528" t="s">
        <v>5846</v>
      </c>
      <c r="C1956" s="528" t="s">
        <v>5847</v>
      </c>
      <c r="D1956" s="528" t="s">
        <v>251</v>
      </c>
      <c r="E1956" s="528"/>
      <c r="F1956" s="528"/>
      <c r="G1956" s="528" t="s">
        <v>205</v>
      </c>
      <c r="H1956"/>
    </row>
    <row r="1957" spans="1:8" x14ac:dyDescent="0.35">
      <c r="A1957" s="528" t="s">
        <v>5848</v>
      </c>
      <c r="B1957" s="528" t="s">
        <v>5849</v>
      </c>
      <c r="C1957" s="528" t="s">
        <v>2575</v>
      </c>
      <c r="D1957" s="528" t="s">
        <v>251</v>
      </c>
      <c r="E1957" s="528"/>
      <c r="F1957" s="528"/>
      <c r="G1957" s="528" t="s">
        <v>205</v>
      </c>
      <c r="H1957"/>
    </row>
    <row r="1958" spans="1:8" x14ac:dyDescent="0.35">
      <c r="A1958" s="528" t="s">
        <v>5850</v>
      </c>
      <c r="B1958" s="528" t="s">
        <v>5851</v>
      </c>
      <c r="C1958" s="528" t="s">
        <v>5852</v>
      </c>
      <c r="D1958" s="528" t="s">
        <v>251</v>
      </c>
      <c r="E1958" s="528"/>
      <c r="F1958" s="528"/>
      <c r="G1958" s="528" t="s">
        <v>205</v>
      </c>
      <c r="H1958"/>
    </row>
    <row r="1959" spans="1:8" x14ac:dyDescent="0.35">
      <c r="A1959" s="528" t="s">
        <v>5853</v>
      </c>
      <c r="B1959" s="528" t="s">
        <v>5854</v>
      </c>
      <c r="C1959" s="528" t="s">
        <v>5855</v>
      </c>
      <c r="D1959" s="528" t="s">
        <v>251</v>
      </c>
      <c r="E1959" s="528"/>
      <c r="F1959" s="528"/>
      <c r="G1959" s="528" t="s">
        <v>205</v>
      </c>
      <c r="H1959"/>
    </row>
    <row r="1960" spans="1:8" x14ac:dyDescent="0.35">
      <c r="A1960" s="528" t="s">
        <v>5856</v>
      </c>
      <c r="B1960" s="528" t="s">
        <v>5857</v>
      </c>
      <c r="C1960" s="528" t="s">
        <v>1362</v>
      </c>
      <c r="D1960" s="528" t="s">
        <v>251</v>
      </c>
      <c r="E1960" s="528"/>
      <c r="F1960" s="528"/>
      <c r="G1960" s="528" t="s">
        <v>205</v>
      </c>
      <c r="H1960"/>
    </row>
    <row r="1961" spans="1:8" x14ac:dyDescent="0.35">
      <c r="A1961" s="528" t="s">
        <v>5858</v>
      </c>
      <c r="B1961" s="528" t="s">
        <v>5859</v>
      </c>
      <c r="C1961" s="528" t="s">
        <v>5860</v>
      </c>
      <c r="D1961" s="528" t="s">
        <v>251</v>
      </c>
      <c r="E1961" s="528"/>
      <c r="F1961" s="528"/>
      <c r="G1961" s="528" t="s">
        <v>208</v>
      </c>
      <c r="H1961"/>
    </row>
    <row r="1962" spans="1:8" x14ac:dyDescent="0.35">
      <c r="A1962" s="528" t="s">
        <v>5861</v>
      </c>
      <c r="B1962" s="528" t="s">
        <v>5862</v>
      </c>
      <c r="C1962" s="528" t="s">
        <v>5863</v>
      </c>
      <c r="D1962" s="528" t="s">
        <v>251</v>
      </c>
      <c r="E1962" s="528"/>
      <c r="F1962" s="528"/>
      <c r="G1962" s="528" t="s">
        <v>205</v>
      </c>
      <c r="H1962"/>
    </row>
    <row r="1963" spans="1:8" x14ac:dyDescent="0.35">
      <c r="A1963" s="528" t="s">
        <v>5864</v>
      </c>
      <c r="B1963" s="528" t="s">
        <v>5865</v>
      </c>
      <c r="C1963" s="528" t="s">
        <v>5866</v>
      </c>
      <c r="D1963" s="528" t="s">
        <v>251</v>
      </c>
      <c r="E1963" s="528"/>
      <c r="F1963" s="528"/>
      <c r="G1963" s="528" t="s">
        <v>205</v>
      </c>
      <c r="H1963"/>
    </row>
    <row r="1964" spans="1:8" x14ac:dyDescent="0.35">
      <c r="A1964" s="528" t="s">
        <v>5867</v>
      </c>
      <c r="B1964" s="528" t="s">
        <v>5868</v>
      </c>
      <c r="C1964" s="528" t="s">
        <v>5869</v>
      </c>
      <c r="D1964" s="528" t="s">
        <v>251</v>
      </c>
      <c r="E1964" s="528"/>
      <c r="F1964" s="528"/>
      <c r="G1964" s="528" t="s">
        <v>212</v>
      </c>
      <c r="H1964"/>
    </row>
    <row r="1965" spans="1:8" x14ac:dyDescent="0.35">
      <c r="A1965" s="528" t="s">
        <v>5870</v>
      </c>
      <c r="B1965" s="528" t="s">
        <v>5871</v>
      </c>
      <c r="C1965" s="528" t="s">
        <v>5872</v>
      </c>
      <c r="D1965" s="528" t="s">
        <v>251</v>
      </c>
      <c r="E1965" s="528"/>
      <c r="F1965" s="528"/>
      <c r="G1965" s="528" t="s">
        <v>214</v>
      </c>
      <c r="H1965"/>
    </row>
    <row r="1966" spans="1:8" x14ac:dyDescent="0.35">
      <c r="A1966" s="528" t="s">
        <v>5873</v>
      </c>
      <c r="B1966" s="528" t="s">
        <v>5874</v>
      </c>
      <c r="C1966" s="528" t="s">
        <v>5875</v>
      </c>
      <c r="D1966" s="528" t="s">
        <v>251</v>
      </c>
      <c r="E1966" s="528"/>
      <c r="F1966" s="528"/>
      <c r="G1966" s="528" t="s">
        <v>214</v>
      </c>
      <c r="H1966"/>
    </row>
    <row r="1967" spans="1:8" x14ac:dyDescent="0.35">
      <c r="A1967" s="528" t="s">
        <v>5876</v>
      </c>
      <c r="B1967" s="528" t="s">
        <v>5877</v>
      </c>
      <c r="C1967" s="528" t="s">
        <v>5878</v>
      </c>
      <c r="D1967" s="528" t="s">
        <v>251</v>
      </c>
      <c r="E1967" s="528"/>
      <c r="F1967" s="528"/>
      <c r="G1967" s="528" t="s">
        <v>212</v>
      </c>
      <c r="H1967"/>
    </row>
    <row r="1968" spans="1:8" x14ac:dyDescent="0.35">
      <c r="A1968" s="528" t="s">
        <v>5879</v>
      </c>
      <c r="B1968" s="528" t="s">
        <v>5880</v>
      </c>
      <c r="C1968" s="528" t="s">
        <v>5881</v>
      </c>
      <c r="D1968" s="528" t="s">
        <v>251</v>
      </c>
      <c r="E1968" s="528"/>
      <c r="F1968" s="528"/>
      <c r="G1968" s="528" t="s">
        <v>214</v>
      </c>
      <c r="H1968"/>
    </row>
    <row r="1969" spans="1:8" x14ac:dyDescent="0.35">
      <c r="A1969" s="528" t="s">
        <v>5882</v>
      </c>
      <c r="B1969" s="528" t="s">
        <v>5883</v>
      </c>
      <c r="C1969" s="528" t="s">
        <v>5884</v>
      </c>
      <c r="D1969" s="528" t="s">
        <v>251</v>
      </c>
      <c r="E1969" s="528"/>
      <c r="F1969" s="528"/>
      <c r="G1969" s="528" t="s">
        <v>214</v>
      </c>
      <c r="H1969"/>
    </row>
    <row r="1970" spans="1:8" x14ac:dyDescent="0.35">
      <c r="A1970" s="528" t="s">
        <v>5885</v>
      </c>
      <c r="B1970" s="528" t="s">
        <v>5886</v>
      </c>
      <c r="C1970" s="528" t="s">
        <v>5887</v>
      </c>
      <c r="D1970" s="528" t="s">
        <v>251</v>
      </c>
      <c r="E1970" s="528"/>
      <c r="F1970" s="528"/>
      <c r="G1970" s="528" t="s">
        <v>212</v>
      </c>
      <c r="H1970"/>
    </row>
    <row r="1971" spans="1:8" x14ac:dyDescent="0.35">
      <c r="A1971" s="528" t="s">
        <v>5888</v>
      </c>
      <c r="B1971" s="528" t="s">
        <v>5889</v>
      </c>
      <c r="C1971" s="528" t="s">
        <v>5890</v>
      </c>
      <c r="D1971" s="528" t="s">
        <v>251</v>
      </c>
      <c r="E1971" s="528"/>
      <c r="F1971" s="528"/>
      <c r="G1971" s="528" t="s">
        <v>214</v>
      </c>
      <c r="H1971"/>
    </row>
    <row r="1972" spans="1:8" x14ac:dyDescent="0.35">
      <c r="A1972" s="528" t="s">
        <v>5891</v>
      </c>
      <c r="B1972" s="528" t="s">
        <v>5892</v>
      </c>
      <c r="C1972" s="528" t="s">
        <v>5893</v>
      </c>
      <c r="D1972" s="528" t="s">
        <v>251</v>
      </c>
      <c r="E1972" s="528"/>
      <c r="F1972" s="528"/>
      <c r="G1972" s="528" t="s">
        <v>214</v>
      </c>
      <c r="H1972"/>
    </row>
    <row r="1973" spans="1:8" x14ac:dyDescent="0.35">
      <c r="A1973" s="528" t="s">
        <v>5894</v>
      </c>
      <c r="B1973" s="528" t="s">
        <v>5895</v>
      </c>
      <c r="C1973" s="528" t="s">
        <v>5896</v>
      </c>
      <c r="D1973" s="528" t="s">
        <v>251</v>
      </c>
      <c r="E1973" s="528"/>
      <c r="F1973" s="528"/>
      <c r="G1973" s="528" t="s">
        <v>212</v>
      </c>
      <c r="H1973"/>
    </row>
    <row r="1974" spans="1:8" x14ac:dyDescent="0.35">
      <c r="A1974" s="528" t="s">
        <v>5897</v>
      </c>
      <c r="B1974" s="528" t="s">
        <v>5898</v>
      </c>
      <c r="C1974" s="528" t="s">
        <v>5899</v>
      </c>
      <c r="D1974" s="528" t="s">
        <v>251</v>
      </c>
      <c r="E1974" s="528"/>
      <c r="F1974" s="528"/>
      <c r="G1974" s="528" t="s">
        <v>214</v>
      </c>
      <c r="H1974"/>
    </row>
    <row r="1975" spans="1:8" x14ac:dyDescent="0.35">
      <c r="A1975" s="528" t="s">
        <v>5900</v>
      </c>
      <c r="B1975" s="528" t="s">
        <v>5901</v>
      </c>
      <c r="C1975" s="528" t="s">
        <v>5902</v>
      </c>
      <c r="D1975" s="528" t="s">
        <v>251</v>
      </c>
      <c r="E1975" s="528"/>
      <c r="F1975" s="528"/>
      <c r="G1975" s="528" t="s">
        <v>214</v>
      </c>
      <c r="H1975"/>
    </row>
    <row r="1976" spans="1:8" x14ac:dyDescent="0.35">
      <c r="A1976" s="528" t="s">
        <v>5903</v>
      </c>
      <c r="B1976" s="528" t="s">
        <v>5904</v>
      </c>
      <c r="C1976" s="528" t="s">
        <v>5905</v>
      </c>
      <c r="D1976" s="528" t="s">
        <v>251</v>
      </c>
      <c r="E1976" s="528"/>
      <c r="F1976" s="528"/>
      <c r="G1976" s="528" t="s">
        <v>212</v>
      </c>
      <c r="H1976"/>
    </row>
    <row r="1977" spans="1:8" x14ac:dyDescent="0.35">
      <c r="A1977" s="528" t="s">
        <v>5906</v>
      </c>
      <c r="B1977" s="528" t="s">
        <v>5907</v>
      </c>
      <c r="C1977" s="528" t="s">
        <v>5908</v>
      </c>
      <c r="D1977" s="528" t="s">
        <v>251</v>
      </c>
      <c r="E1977" s="528"/>
      <c r="F1977" s="528"/>
      <c r="G1977" s="528" t="s">
        <v>214</v>
      </c>
      <c r="H1977"/>
    </row>
    <row r="1978" spans="1:8" x14ac:dyDescent="0.35">
      <c r="A1978" s="528" t="s">
        <v>5909</v>
      </c>
      <c r="B1978" s="528" t="s">
        <v>5910</v>
      </c>
      <c r="C1978" s="528" t="s">
        <v>5911</v>
      </c>
      <c r="D1978" s="528" t="s">
        <v>251</v>
      </c>
      <c r="E1978" s="528"/>
      <c r="F1978" s="528"/>
      <c r="G1978" s="528" t="s">
        <v>214</v>
      </c>
      <c r="H1978"/>
    </row>
    <row r="1979" spans="1:8" x14ac:dyDescent="0.35">
      <c r="A1979" s="528" t="s">
        <v>5912</v>
      </c>
      <c r="B1979" s="528" t="s">
        <v>5913</v>
      </c>
      <c r="C1979" s="528" t="s">
        <v>5914</v>
      </c>
      <c r="D1979" s="528" t="s">
        <v>251</v>
      </c>
      <c r="E1979" s="528"/>
      <c r="F1979" s="528"/>
      <c r="G1979" s="528" t="s">
        <v>212</v>
      </c>
      <c r="H1979"/>
    </row>
    <row r="1980" spans="1:8" x14ac:dyDescent="0.35">
      <c r="A1980" s="528" t="s">
        <v>5915</v>
      </c>
      <c r="B1980" s="528" t="s">
        <v>5916</v>
      </c>
      <c r="C1980" s="528" t="s">
        <v>5917</v>
      </c>
      <c r="D1980" s="528" t="s">
        <v>251</v>
      </c>
      <c r="E1980" s="528"/>
      <c r="F1980" s="528"/>
      <c r="G1980" s="528" t="s">
        <v>212</v>
      </c>
      <c r="H1980"/>
    </row>
    <row r="1981" spans="1:8" x14ac:dyDescent="0.35">
      <c r="A1981" s="528" t="s">
        <v>5918</v>
      </c>
      <c r="B1981" s="528" t="s">
        <v>5919</v>
      </c>
      <c r="C1981" s="528" t="s">
        <v>5920</v>
      </c>
      <c r="D1981" s="528" t="s">
        <v>251</v>
      </c>
      <c r="E1981" s="528"/>
      <c r="F1981" s="528"/>
      <c r="G1981" s="528" t="s">
        <v>208</v>
      </c>
      <c r="H1981"/>
    </row>
    <row r="1982" spans="1:8" x14ac:dyDescent="0.35">
      <c r="A1982" s="528" t="s">
        <v>5921</v>
      </c>
      <c r="B1982" s="528" t="s">
        <v>5922</v>
      </c>
      <c r="C1982" s="528" t="s">
        <v>5923</v>
      </c>
      <c r="D1982" s="528" t="s">
        <v>251</v>
      </c>
      <c r="E1982" s="528"/>
      <c r="F1982" s="528"/>
      <c r="G1982" s="528" t="s">
        <v>205</v>
      </c>
      <c r="H1982"/>
    </row>
    <row r="1983" spans="1:8" x14ac:dyDescent="0.35">
      <c r="A1983" s="528" t="s">
        <v>5924</v>
      </c>
      <c r="B1983" s="528" t="s">
        <v>5925</v>
      </c>
      <c r="C1983" s="528" t="s">
        <v>5926</v>
      </c>
      <c r="D1983" s="528" t="s">
        <v>251</v>
      </c>
      <c r="E1983" s="528"/>
      <c r="F1983" s="528"/>
      <c r="G1983" s="528" t="s">
        <v>205</v>
      </c>
      <c r="H1983"/>
    </row>
    <row r="1984" spans="1:8" x14ac:dyDescent="0.35">
      <c r="A1984" s="528" t="s">
        <v>5927</v>
      </c>
      <c r="B1984" s="528" t="s">
        <v>5928</v>
      </c>
      <c r="C1984" s="528" t="s">
        <v>5929</v>
      </c>
      <c r="D1984" s="528" t="s">
        <v>225</v>
      </c>
      <c r="E1984" s="528"/>
      <c r="F1984" s="528"/>
      <c r="G1984" s="528" t="s">
        <v>208</v>
      </c>
      <c r="H1984"/>
    </row>
    <row r="1985" spans="1:8" x14ac:dyDescent="0.35">
      <c r="A1985" s="528" t="s">
        <v>5930</v>
      </c>
      <c r="B1985" s="528" t="s">
        <v>5931</v>
      </c>
      <c r="C1985" s="528" t="s">
        <v>5932</v>
      </c>
      <c r="D1985" s="528" t="s">
        <v>225</v>
      </c>
      <c r="E1985" s="528"/>
      <c r="F1985" s="528"/>
      <c r="G1985" s="528" t="s">
        <v>205</v>
      </c>
      <c r="H1985"/>
    </row>
    <row r="1986" spans="1:8" x14ac:dyDescent="0.35">
      <c r="A1986" s="528" t="s">
        <v>5933</v>
      </c>
      <c r="B1986" s="528" t="s">
        <v>5934</v>
      </c>
      <c r="C1986" s="528" t="s">
        <v>5935</v>
      </c>
      <c r="D1986" s="528" t="s">
        <v>225</v>
      </c>
      <c r="E1986" s="528"/>
      <c r="F1986" s="528"/>
      <c r="G1986" s="528" t="s">
        <v>208</v>
      </c>
      <c r="H1986"/>
    </row>
    <row r="1987" spans="1:8" x14ac:dyDescent="0.35">
      <c r="A1987" s="528" t="s">
        <v>5936</v>
      </c>
      <c r="B1987" s="528" t="s">
        <v>5937</v>
      </c>
      <c r="C1987" s="528" t="s">
        <v>5938</v>
      </c>
      <c r="D1987" s="528" t="s">
        <v>225</v>
      </c>
      <c r="E1987" s="528"/>
      <c r="F1987" s="528"/>
      <c r="G1987" s="528" t="s">
        <v>208</v>
      </c>
      <c r="H1987"/>
    </row>
    <row r="1988" spans="1:8" x14ac:dyDescent="0.35">
      <c r="A1988" s="528" t="s">
        <v>5939</v>
      </c>
      <c r="B1988" s="528" t="s">
        <v>5940</v>
      </c>
      <c r="C1988" s="528" t="s">
        <v>3475</v>
      </c>
      <c r="D1988" s="528" t="s">
        <v>225</v>
      </c>
      <c r="E1988" s="528"/>
      <c r="F1988" s="528"/>
      <c r="G1988" s="528" t="s">
        <v>205</v>
      </c>
      <c r="H1988"/>
    </row>
    <row r="1989" spans="1:8" x14ac:dyDescent="0.35">
      <c r="A1989" s="528" t="s">
        <v>5941</v>
      </c>
      <c r="B1989" s="528" t="s">
        <v>5942</v>
      </c>
      <c r="C1989" s="528" t="s">
        <v>5943</v>
      </c>
      <c r="D1989" s="528" t="s">
        <v>264</v>
      </c>
      <c r="E1989" s="528"/>
      <c r="F1989" s="528"/>
      <c r="G1989" s="528" t="s">
        <v>208</v>
      </c>
      <c r="H1989"/>
    </row>
    <row r="1990" spans="1:8" x14ac:dyDescent="0.35">
      <c r="A1990" s="528" t="s">
        <v>5944</v>
      </c>
      <c r="B1990" s="528" t="s">
        <v>5945</v>
      </c>
      <c r="C1990" s="528" t="s">
        <v>1226</v>
      </c>
      <c r="D1990" s="528" t="s">
        <v>264</v>
      </c>
      <c r="E1990" s="528"/>
      <c r="F1990" s="528"/>
      <c r="G1990" s="528" t="s">
        <v>205</v>
      </c>
      <c r="H1990"/>
    </row>
    <row r="1991" spans="1:8" x14ac:dyDescent="0.35">
      <c r="A1991" s="528" t="s">
        <v>5946</v>
      </c>
      <c r="B1991" s="528" t="s">
        <v>5947</v>
      </c>
      <c r="C1991" s="528" t="s">
        <v>3465</v>
      </c>
      <c r="D1991" s="528" t="s">
        <v>225</v>
      </c>
      <c r="E1991" s="528"/>
      <c r="F1991" s="528"/>
      <c r="G1991" s="528" t="s">
        <v>208</v>
      </c>
      <c r="H1991"/>
    </row>
    <row r="1992" spans="1:8" x14ac:dyDescent="0.35">
      <c r="A1992" s="528" t="s">
        <v>5948</v>
      </c>
      <c r="B1992" s="528" t="s">
        <v>5949</v>
      </c>
      <c r="C1992" s="528" t="s">
        <v>5950</v>
      </c>
      <c r="D1992" s="528" t="s">
        <v>225</v>
      </c>
      <c r="E1992" s="528"/>
      <c r="F1992" s="528"/>
      <c r="G1992" s="528" t="s">
        <v>205</v>
      </c>
      <c r="H1992"/>
    </row>
    <row r="1993" spans="1:8" x14ac:dyDescent="0.35">
      <c r="A1993" s="528" t="s">
        <v>5951</v>
      </c>
      <c r="B1993" s="528" t="s">
        <v>5952</v>
      </c>
      <c r="C1993" s="528" t="s">
        <v>5953</v>
      </c>
      <c r="D1993" s="528" t="s">
        <v>225</v>
      </c>
      <c r="E1993" s="528"/>
      <c r="F1993" s="528"/>
      <c r="G1993" s="528" t="s">
        <v>205</v>
      </c>
      <c r="H1993"/>
    </row>
    <row r="1994" spans="1:8" x14ac:dyDescent="0.35">
      <c r="A1994" s="528" t="s">
        <v>5954</v>
      </c>
      <c r="B1994" s="528" t="s">
        <v>5955</v>
      </c>
      <c r="C1994" s="528" t="s">
        <v>5956</v>
      </c>
      <c r="D1994" s="528" t="s">
        <v>225</v>
      </c>
      <c r="E1994" s="528"/>
      <c r="F1994" s="528"/>
      <c r="G1994" s="528" t="s">
        <v>205</v>
      </c>
      <c r="H1994"/>
    </row>
    <row r="1995" spans="1:8" x14ac:dyDescent="0.35">
      <c r="A1995" s="528" t="s">
        <v>5957</v>
      </c>
      <c r="B1995" s="528" t="s">
        <v>5958</v>
      </c>
      <c r="C1995" s="528" t="s">
        <v>5959</v>
      </c>
      <c r="D1995" s="528" t="s">
        <v>264</v>
      </c>
      <c r="E1995" s="528" t="s">
        <v>225</v>
      </c>
      <c r="F1995" s="528"/>
      <c r="G1995" s="528" t="s">
        <v>205</v>
      </c>
      <c r="H1995"/>
    </row>
    <row r="1996" spans="1:8" x14ac:dyDescent="0.35">
      <c r="A1996" s="528" t="s">
        <v>5960</v>
      </c>
      <c r="B1996" s="528" t="s">
        <v>5961</v>
      </c>
      <c r="C1996" s="528" t="s">
        <v>5962</v>
      </c>
      <c r="D1996" s="528" t="s">
        <v>225</v>
      </c>
      <c r="E1996" s="528"/>
      <c r="F1996" s="528"/>
      <c r="G1996" s="528" t="s">
        <v>208</v>
      </c>
      <c r="H1996"/>
    </row>
    <row r="1997" spans="1:8" x14ac:dyDescent="0.35">
      <c r="A1997" s="528" t="s">
        <v>5963</v>
      </c>
      <c r="B1997" s="528" t="s">
        <v>5964</v>
      </c>
      <c r="C1997" s="528" t="s">
        <v>2100</v>
      </c>
      <c r="D1997" s="528" t="s">
        <v>225</v>
      </c>
      <c r="E1997" s="528"/>
      <c r="F1997" s="528"/>
      <c r="G1997" s="528" t="s">
        <v>205</v>
      </c>
      <c r="H1997"/>
    </row>
    <row r="1998" spans="1:8" x14ac:dyDescent="0.35">
      <c r="A1998" s="528" t="s">
        <v>5965</v>
      </c>
      <c r="B1998" s="528" t="s">
        <v>5966</v>
      </c>
      <c r="C1998" s="528" t="s">
        <v>3443</v>
      </c>
      <c r="D1998" s="528" t="s">
        <v>225</v>
      </c>
      <c r="E1998" s="528"/>
      <c r="F1998" s="528"/>
      <c r="G1998" s="528" t="s">
        <v>205</v>
      </c>
      <c r="H1998"/>
    </row>
    <row r="1999" spans="1:8" x14ac:dyDescent="0.35">
      <c r="A1999" s="528" t="s">
        <v>5967</v>
      </c>
      <c r="B1999" s="528" t="s">
        <v>5968</v>
      </c>
      <c r="C1999" s="528" t="s">
        <v>5969</v>
      </c>
      <c r="D1999" s="528" t="s">
        <v>225</v>
      </c>
      <c r="E1999" s="528"/>
      <c r="F1999" s="528"/>
      <c r="G1999" s="528" t="s">
        <v>205</v>
      </c>
      <c r="H1999"/>
    </row>
    <row r="2000" spans="1:8" x14ac:dyDescent="0.35">
      <c r="A2000" s="528" t="s">
        <v>5970</v>
      </c>
      <c r="B2000" s="528" t="s">
        <v>5971</v>
      </c>
      <c r="C2000" s="528" t="s">
        <v>5972</v>
      </c>
      <c r="D2000" s="528" t="s">
        <v>264</v>
      </c>
      <c r="E2000" s="528"/>
      <c r="F2000" s="528"/>
      <c r="G2000" s="528" t="s">
        <v>210</v>
      </c>
      <c r="H2000"/>
    </row>
    <row r="2001" spans="1:8" x14ac:dyDescent="0.35">
      <c r="A2001" s="528" t="s">
        <v>5973</v>
      </c>
      <c r="B2001" s="528" t="s">
        <v>5974</v>
      </c>
      <c r="C2001" s="528" t="s">
        <v>5975</v>
      </c>
      <c r="D2001" s="528" t="s">
        <v>277</v>
      </c>
      <c r="E2001" s="528"/>
      <c r="F2001" s="528"/>
      <c r="G2001" s="528" t="s">
        <v>208</v>
      </c>
      <c r="H2001"/>
    </row>
    <row r="2002" spans="1:8" x14ac:dyDescent="0.35">
      <c r="A2002" s="528" t="s">
        <v>5976</v>
      </c>
      <c r="B2002" s="528" t="s">
        <v>5977</v>
      </c>
      <c r="C2002" s="528" t="s">
        <v>5978</v>
      </c>
      <c r="D2002" s="528" t="s">
        <v>225</v>
      </c>
      <c r="E2002" s="528"/>
      <c r="F2002" s="528"/>
      <c r="G2002" s="528" t="s">
        <v>208</v>
      </c>
      <c r="H2002"/>
    </row>
    <row r="2003" spans="1:8" x14ac:dyDescent="0.35">
      <c r="A2003" s="528" t="s">
        <v>5979</v>
      </c>
      <c r="B2003" s="528" t="s">
        <v>5980</v>
      </c>
      <c r="C2003" s="528" t="s">
        <v>5981</v>
      </c>
      <c r="D2003" s="528" t="s">
        <v>225</v>
      </c>
      <c r="E2003" s="528"/>
      <c r="F2003" s="528"/>
      <c r="G2003" s="528" t="s">
        <v>208</v>
      </c>
      <c r="H2003"/>
    </row>
    <row r="2004" spans="1:8" x14ac:dyDescent="0.35">
      <c r="A2004" s="528" t="s">
        <v>5982</v>
      </c>
      <c r="B2004" s="528" t="s">
        <v>5983</v>
      </c>
      <c r="C2004" s="528" t="s">
        <v>5984</v>
      </c>
      <c r="D2004" s="528" t="s">
        <v>225</v>
      </c>
      <c r="E2004" s="528"/>
      <c r="F2004" s="528"/>
      <c r="G2004" s="528" t="s">
        <v>205</v>
      </c>
      <c r="H2004"/>
    </row>
    <row r="2005" spans="1:8" x14ac:dyDescent="0.35">
      <c r="A2005" s="528" t="s">
        <v>5985</v>
      </c>
      <c r="B2005" s="528" t="s">
        <v>5986</v>
      </c>
      <c r="C2005" s="528" t="s">
        <v>5987</v>
      </c>
      <c r="D2005" s="528" t="s">
        <v>225</v>
      </c>
      <c r="E2005" s="528"/>
      <c r="F2005" s="528"/>
      <c r="G2005" s="528" t="s">
        <v>205</v>
      </c>
      <c r="H2005"/>
    </row>
    <row r="2006" spans="1:8" x14ac:dyDescent="0.35">
      <c r="A2006" s="528" t="s">
        <v>5988</v>
      </c>
      <c r="B2006" s="528" t="s">
        <v>5989</v>
      </c>
      <c r="C2006" s="528" t="s">
        <v>5990</v>
      </c>
      <c r="D2006" s="528" t="s">
        <v>225</v>
      </c>
      <c r="E2006" s="528"/>
      <c r="F2006" s="528"/>
      <c r="G2006" s="528" t="s">
        <v>205</v>
      </c>
      <c r="H2006"/>
    </row>
    <row r="2007" spans="1:8" x14ac:dyDescent="0.35">
      <c r="A2007" s="528" t="s">
        <v>5991</v>
      </c>
      <c r="B2007" s="528" t="s">
        <v>5992</v>
      </c>
      <c r="C2007" s="528" t="s">
        <v>5993</v>
      </c>
      <c r="D2007" s="528" t="s">
        <v>264</v>
      </c>
      <c r="E2007" s="528"/>
      <c r="F2007" s="528"/>
      <c r="G2007" s="528" t="s">
        <v>205</v>
      </c>
      <c r="H2007"/>
    </row>
    <row r="2008" spans="1:8" x14ac:dyDescent="0.35">
      <c r="A2008" s="528" t="s">
        <v>5994</v>
      </c>
      <c r="B2008" s="528" t="s">
        <v>5995</v>
      </c>
      <c r="C2008" s="528" t="s">
        <v>5996</v>
      </c>
      <c r="D2008" s="528" t="s">
        <v>264</v>
      </c>
      <c r="E2008" s="528"/>
      <c r="F2008" s="528"/>
      <c r="G2008" s="528" t="s">
        <v>205</v>
      </c>
      <c r="H2008"/>
    </row>
    <row r="2009" spans="1:8" x14ac:dyDescent="0.35">
      <c r="A2009" s="528" t="s">
        <v>5997</v>
      </c>
      <c r="B2009" s="528" t="s">
        <v>5998</v>
      </c>
      <c r="C2009" s="528" t="s">
        <v>5999</v>
      </c>
      <c r="D2009" s="528" t="s">
        <v>264</v>
      </c>
      <c r="E2009" s="528"/>
      <c r="F2009" s="528"/>
      <c r="G2009" s="528" t="s">
        <v>208</v>
      </c>
      <c r="H2009"/>
    </row>
    <row r="2010" spans="1:8" x14ac:dyDescent="0.35">
      <c r="A2010" s="528" t="s">
        <v>6000</v>
      </c>
      <c r="B2010" s="528" t="s">
        <v>6001</v>
      </c>
      <c r="C2010" s="528" t="s">
        <v>6002</v>
      </c>
      <c r="D2010" s="528" t="s">
        <v>225</v>
      </c>
      <c r="E2010" s="528"/>
      <c r="F2010" s="528"/>
      <c r="G2010" s="528" t="s">
        <v>208</v>
      </c>
      <c r="H2010"/>
    </row>
    <row r="2011" spans="1:8" x14ac:dyDescent="0.35">
      <c r="A2011" s="528" t="s">
        <v>6003</v>
      </c>
      <c r="B2011" s="528" t="s">
        <v>6004</v>
      </c>
      <c r="C2011" s="528" t="s">
        <v>6005</v>
      </c>
      <c r="D2011" s="528" t="s">
        <v>264</v>
      </c>
      <c r="E2011" s="528"/>
      <c r="F2011" s="528"/>
      <c r="G2011" s="528" t="s">
        <v>208</v>
      </c>
      <c r="H2011"/>
    </row>
    <row r="2012" spans="1:8" x14ac:dyDescent="0.35">
      <c r="A2012" s="528" t="s">
        <v>6006</v>
      </c>
      <c r="B2012" s="528" t="s">
        <v>6007</v>
      </c>
      <c r="C2012" s="528" t="s">
        <v>6008</v>
      </c>
      <c r="D2012" s="528" t="s">
        <v>277</v>
      </c>
      <c r="E2012" s="528"/>
      <c r="F2012" s="528"/>
      <c r="G2012" s="528" t="s">
        <v>208</v>
      </c>
      <c r="H2012"/>
    </row>
    <row r="2013" spans="1:8" x14ac:dyDescent="0.35">
      <c r="A2013" s="528" t="s">
        <v>6009</v>
      </c>
      <c r="B2013" s="528" t="s">
        <v>6010</v>
      </c>
      <c r="C2013" s="528" t="s">
        <v>6011</v>
      </c>
      <c r="D2013" s="528" t="s">
        <v>225</v>
      </c>
      <c r="E2013" s="528"/>
      <c r="F2013" s="528"/>
      <c r="G2013" s="528" t="s">
        <v>212</v>
      </c>
      <c r="H2013"/>
    </row>
    <row r="2014" spans="1:8" x14ac:dyDescent="0.35">
      <c r="A2014" s="528" t="s">
        <v>6012</v>
      </c>
      <c r="B2014" s="528" t="s">
        <v>6013</v>
      </c>
      <c r="C2014" s="528" t="s">
        <v>5838</v>
      </c>
      <c r="D2014" s="528" t="s">
        <v>277</v>
      </c>
      <c r="E2014" s="528"/>
      <c r="F2014" s="528"/>
      <c r="G2014" s="528" t="s">
        <v>212</v>
      </c>
      <c r="H2014"/>
    </row>
    <row r="2015" spans="1:8" x14ac:dyDescent="0.35">
      <c r="A2015" s="528" t="s">
        <v>6014</v>
      </c>
      <c r="B2015" s="528" t="s">
        <v>6015</v>
      </c>
      <c r="C2015" s="528" t="s">
        <v>1962</v>
      </c>
      <c r="D2015" s="528" t="s">
        <v>264</v>
      </c>
      <c r="E2015" s="528"/>
      <c r="F2015" s="528"/>
      <c r="G2015" s="528" t="s">
        <v>205</v>
      </c>
      <c r="H2015"/>
    </row>
    <row r="2016" spans="1:8" x14ac:dyDescent="0.35">
      <c r="A2016" s="528" t="s">
        <v>6016</v>
      </c>
      <c r="B2016" s="528" t="s">
        <v>6017</v>
      </c>
      <c r="C2016" s="528" t="s">
        <v>1252</v>
      </c>
      <c r="D2016" s="528" t="s">
        <v>277</v>
      </c>
      <c r="E2016" s="528"/>
      <c r="F2016" s="528"/>
      <c r="G2016" s="528" t="s">
        <v>205</v>
      </c>
      <c r="H2016"/>
    </row>
    <row r="2017" spans="1:8" x14ac:dyDescent="0.35">
      <c r="A2017" s="528" t="s">
        <v>6018</v>
      </c>
      <c r="B2017" s="528" t="s">
        <v>6019</v>
      </c>
      <c r="C2017" s="528" t="s">
        <v>5354</v>
      </c>
      <c r="D2017" s="528" t="s">
        <v>251</v>
      </c>
      <c r="E2017" s="528"/>
      <c r="F2017" s="528"/>
      <c r="G2017" s="528" t="s">
        <v>212</v>
      </c>
      <c r="H2017"/>
    </row>
    <row r="2018" spans="1:8" x14ac:dyDescent="0.35">
      <c r="A2018" s="528" t="s">
        <v>6020</v>
      </c>
      <c r="B2018" s="528" t="s">
        <v>6021</v>
      </c>
      <c r="C2018" s="528" t="s">
        <v>1116</v>
      </c>
      <c r="D2018" s="528" t="s">
        <v>277</v>
      </c>
      <c r="E2018" s="528"/>
      <c r="F2018" s="528"/>
      <c r="G2018" s="528" t="s">
        <v>208</v>
      </c>
      <c r="H2018"/>
    </row>
    <row r="2019" spans="1:8" x14ac:dyDescent="0.35">
      <c r="A2019" s="528" t="s">
        <v>6022</v>
      </c>
      <c r="B2019" s="528" t="s">
        <v>6023</v>
      </c>
      <c r="C2019" s="528" t="s">
        <v>1377</v>
      </c>
      <c r="D2019" s="528" t="s">
        <v>251</v>
      </c>
      <c r="E2019" s="528"/>
      <c r="F2019" s="528"/>
      <c r="G2019" s="528" t="s">
        <v>208</v>
      </c>
      <c r="H2019"/>
    </row>
    <row r="2020" spans="1:8" x14ac:dyDescent="0.35">
      <c r="A2020" s="528" t="s">
        <v>6024</v>
      </c>
      <c r="B2020" s="528" t="s">
        <v>6025</v>
      </c>
      <c r="C2020" s="528" t="s">
        <v>6026</v>
      </c>
      <c r="D2020" s="528" t="s">
        <v>277</v>
      </c>
      <c r="E2020" s="528"/>
      <c r="F2020" s="528"/>
      <c r="G2020" s="528" t="s">
        <v>208</v>
      </c>
      <c r="H2020"/>
    </row>
    <row r="2021" spans="1:8" x14ac:dyDescent="0.35">
      <c r="A2021" s="528" t="s">
        <v>6027</v>
      </c>
      <c r="B2021" s="528" t="s">
        <v>6028</v>
      </c>
      <c r="C2021" s="528" t="s">
        <v>6029</v>
      </c>
      <c r="D2021" s="528" t="s">
        <v>251</v>
      </c>
      <c r="E2021" s="528"/>
      <c r="F2021" s="528"/>
      <c r="G2021" s="528" t="s">
        <v>208</v>
      </c>
      <c r="H2021"/>
    </row>
    <row r="2022" spans="1:8" x14ac:dyDescent="0.35">
      <c r="A2022" s="528" t="s">
        <v>6030</v>
      </c>
      <c r="B2022" s="528" t="s">
        <v>6031</v>
      </c>
      <c r="C2022" s="528" t="s">
        <v>6032</v>
      </c>
      <c r="D2022" s="528" t="s">
        <v>251</v>
      </c>
      <c r="E2022" s="528"/>
      <c r="F2022" s="528"/>
      <c r="G2022" s="528" t="s">
        <v>208</v>
      </c>
      <c r="H2022"/>
    </row>
    <row r="2023" spans="1:8" x14ac:dyDescent="0.35">
      <c r="A2023" s="528" t="s">
        <v>6033</v>
      </c>
      <c r="B2023" s="528" t="s">
        <v>6034</v>
      </c>
      <c r="C2023" s="528" t="s">
        <v>2652</v>
      </c>
      <c r="D2023" s="528" t="s">
        <v>251</v>
      </c>
      <c r="E2023" s="528"/>
      <c r="F2023" s="528"/>
      <c r="G2023" s="528" t="s">
        <v>205</v>
      </c>
      <c r="H2023"/>
    </row>
    <row r="2024" spans="1:8" x14ac:dyDescent="0.35">
      <c r="A2024" s="528" t="s">
        <v>6035</v>
      </c>
      <c r="B2024" s="528" t="s">
        <v>6036</v>
      </c>
      <c r="C2024" s="528" t="s">
        <v>6037</v>
      </c>
      <c r="D2024" s="528" t="s">
        <v>264</v>
      </c>
      <c r="E2024" s="528"/>
      <c r="F2024" s="528"/>
      <c r="G2024" s="528" t="s">
        <v>205</v>
      </c>
      <c r="H2024"/>
    </row>
    <row r="2025" spans="1:8" x14ac:dyDescent="0.35">
      <c r="A2025" s="528" t="s">
        <v>6038</v>
      </c>
      <c r="B2025" s="528" t="s">
        <v>6039</v>
      </c>
      <c r="C2025" s="528" t="s">
        <v>6040</v>
      </c>
      <c r="D2025" s="528" t="s">
        <v>251</v>
      </c>
      <c r="E2025" s="528"/>
      <c r="F2025" s="528"/>
      <c r="G2025" s="528" t="s">
        <v>205</v>
      </c>
      <c r="H2025"/>
    </row>
    <row r="2026" spans="1:8" x14ac:dyDescent="0.35">
      <c r="A2026" s="528" t="s">
        <v>6041</v>
      </c>
      <c r="B2026" s="528" t="s">
        <v>6042</v>
      </c>
      <c r="C2026" s="528" t="s">
        <v>6043</v>
      </c>
      <c r="D2026" s="528" t="s">
        <v>251</v>
      </c>
      <c r="E2026" s="528"/>
      <c r="F2026" s="528"/>
      <c r="G2026" s="528" t="s">
        <v>205</v>
      </c>
      <c r="H2026"/>
    </row>
    <row r="2027" spans="1:8" x14ac:dyDescent="0.35">
      <c r="A2027" s="528" t="s">
        <v>6044</v>
      </c>
      <c r="B2027" s="528" t="s">
        <v>6045</v>
      </c>
      <c r="C2027" s="528" t="s">
        <v>6046</v>
      </c>
      <c r="D2027" s="528" t="s">
        <v>225</v>
      </c>
      <c r="E2027" s="528"/>
      <c r="F2027" s="528"/>
      <c r="G2027" s="528" t="s">
        <v>205</v>
      </c>
      <c r="H2027"/>
    </row>
    <row r="2028" spans="1:8" x14ac:dyDescent="0.35">
      <c r="A2028" s="528" t="s">
        <v>6047</v>
      </c>
      <c r="B2028" s="528" t="s">
        <v>6048</v>
      </c>
      <c r="C2028" s="528" t="s">
        <v>6049</v>
      </c>
      <c r="D2028" s="528" t="s">
        <v>225</v>
      </c>
      <c r="E2028" s="528"/>
      <c r="F2028" s="528"/>
      <c r="G2028" s="528" t="s">
        <v>205</v>
      </c>
      <c r="H2028"/>
    </row>
    <row r="2029" spans="1:8" x14ac:dyDescent="0.35">
      <c r="A2029" s="528" t="s">
        <v>6050</v>
      </c>
      <c r="B2029" s="528" t="s">
        <v>6051</v>
      </c>
      <c r="C2029" s="528" t="s">
        <v>6052</v>
      </c>
      <c r="D2029" s="528" t="s">
        <v>238</v>
      </c>
      <c r="E2029" s="528"/>
      <c r="F2029" s="528"/>
      <c r="G2029" s="528" t="s">
        <v>205</v>
      </c>
      <c r="H2029"/>
    </row>
    <row r="2030" spans="1:8" x14ac:dyDescent="0.35">
      <c r="A2030" s="528" t="s">
        <v>6053</v>
      </c>
      <c r="B2030" s="528" t="s">
        <v>6054</v>
      </c>
      <c r="C2030" s="528" t="s">
        <v>6055</v>
      </c>
      <c r="D2030" s="528" t="s">
        <v>251</v>
      </c>
      <c r="E2030" s="528"/>
      <c r="F2030" s="528"/>
      <c r="G2030" s="528" t="s">
        <v>208</v>
      </c>
      <c r="H2030"/>
    </row>
    <row r="2031" spans="1:8" x14ac:dyDescent="0.35">
      <c r="A2031" s="528" t="s">
        <v>6056</v>
      </c>
      <c r="B2031" s="528" t="s">
        <v>6057</v>
      </c>
      <c r="C2031" s="528" t="s">
        <v>6058</v>
      </c>
      <c r="D2031" s="528" t="s">
        <v>251</v>
      </c>
      <c r="E2031" s="528"/>
      <c r="F2031" s="528"/>
      <c r="G2031" s="528" t="s">
        <v>208</v>
      </c>
      <c r="H2031"/>
    </row>
    <row r="2032" spans="1:8" x14ac:dyDescent="0.35">
      <c r="A2032" s="528" t="s">
        <v>6059</v>
      </c>
      <c r="B2032" s="528" t="s">
        <v>6060</v>
      </c>
      <c r="C2032" s="528" t="s">
        <v>6061</v>
      </c>
      <c r="D2032" s="528" t="s">
        <v>251</v>
      </c>
      <c r="E2032" s="528"/>
      <c r="F2032" s="528"/>
      <c r="G2032" s="528" t="s">
        <v>208</v>
      </c>
      <c r="H2032"/>
    </row>
    <row r="2033" spans="1:8" x14ac:dyDescent="0.35">
      <c r="A2033" s="528" t="s">
        <v>6062</v>
      </c>
      <c r="B2033" s="528" t="s">
        <v>6063</v>
      </c>
      <c r="C2033" s="528" t="s">
        <v>6064</v>
      </c>
      <c r="D2033" s="528" t="s">
        <v>251</v>
      </c>
      <c r="E2033" s="528"/>
      <c r="F2033" s="528"/>
      <c r="G2033" s="528" t="s">
        <v>208</v>
      </c>
      <c r="H2033"/>
    </row>
    <row r="2034" spans="1:8" x14ac:dyDescent="0.35">
      <c r="A2034" s="528" t="s">
        <v>6065</v>
      </c>
      <c r="B2034" s="528" t="s">
        <v>6066</v>
      </c>
      <c r="C2034" s="528" t="s">
        <v>6067</v>
      </c>
      <c r="D2034" s="528" t="s">
        <v>264</v>
      </c>
      <c r="E2034" s="528"/>
      <c r="F2034" s="528"/>
      <c r="G2034" s="528" t="s">
        <v>208</v>
      </c>
      <c r="H2034"/>
    </row>
    <row r="2035" spans="1:8" x14ac:dyDescent="0.35">
      <c r="A2035" s="528" t="s">
        <v>6068</v>
      </c>
      <c r="B2035" s="528" t="s">
        <v>6069</v>
      </c>
      <c r="C2035" s="528" t="s">
        <v>6070</v>
      </c>
      <c r="D2035" s="528" t="s">
        <v>251</v>
      </c>
      <c r="E2035" s="528"/>
      <c r="F2035" s="528"/>
      <c r="G2035" s="528" t="s">
        <v>208</v>
      </c>
      <c r="H2035"/>
    </row>
    <row r="2036" spans="1:8" x14ac:dyDescent="0.35">
      <c r="A2036" s="528" t="s">
        <v>6071</v>
      </c>
      <c r="B2036" s="528" t="s">
        <v>6072</v>
      </c>
      <c r="C2036" s="528" t="s">
        <v>6073</v>
      </c>
      <c r="D2036" s="528" t="s">
        <v>251</v>
      </c>
      <c r="E2036" s="528"/>
      <c r="F2036" s="528"/>
      <c r="G2036" s="528" t="s">
        <v>205</v>
      </c>
      <c r="H2036"/>
    </row>
    <row r="2037" spans="1:8" x14ac:dyDescent="0.35">
      <c r="A2037" s="528" t="s">
        <v>6074</v>
      </c>
      <c r="B2037" s="528" t="s">
        <v>6075</v>
      </c>
      <c r="C2037" s="528" t="s">
        <v>6076</v>
      </c>
      <c r="D2037" s="528" t="s">
        <v>251</v>
      </c>
      <c r="E2037" s="528"/>
      <c r="F2037" s="528"/>
      <c r="G2037" s="528" t="s">
        <v>205</v>
      </c>
      <c r="H2037"/>
    </row>
    <row r="2038" spans="1:8" x14ac:dyDescent="0.35">
      <c r="A2038" s="528" t="s">
        <v>6077</v>
      </c>
      <c r="B2038" s="528" t="s">
        <v>6078</v>
      </c>
      <c r="C2038" s="528" t="s">
        <v>6079</v>
      </c>
      <c r="D2038" s="528" t="s">
        <v>251</v>
      </c>
      <c r="E2038" s="528"/>
      <c r="F2038" s="528"/>
      <c r="G2038" s="528" t="s">
        <v>208</v>
      </c>
      <c r="H2038"/>
    </row>
    <row r="2039" spans="1:8" x14ac:dyDescent="0.35">
      <c r="A2039" s="528" t="s">
        <v>6080</v>
      </c>
      <c r="B2039" s="528" t="s">
        <v>6081</v>
      </c>
      <c r="C2039" s="528" t="s">
        <v>6082</v>
      </c>
      <c r="D2039" s="528" t="s">
        <v>251</v>
      </c>
      <c r="E2039" s="528"/>
      <c r="F2039" s="528"/>
      <c r="G2039" s="528" t="s">
        <v>205</v>
      </c>
      <c r="H2039"/>
    </row>
    <row r="2040" spans="1:8" x14ac:dyDescent="0.35">
      <c r="A2040" s="528" t="s">
        <v>6083</v>
      </c>
      <c r="B2040" s="528" t="s">
        <v>6084</v>
      </c>
      <c r="C2040" s="528" t="s">
        <v>6085</v>
      </c>
      <c r="D2040" s="528" t="s">
        <v>251</v>
      </c>
      <c r="E2040" s="528"/>
      <c r="F2040" s="528"/>
      <c r="G2040" s="528" t="s">
        <v>205</v>
      </c>
      <c r="H2040"/>
    </row>
    <row r="2041" spans="1:8" x14ac:dyDescent="0.35">
      <c r="A2041" s="528" t="s">
        <v>6086</v>
      </c>
      <c r="B2041" s="528" t="s">
        <v>6087</v>
      </c>
      <c r="C2041" s="528" t="s">
        <v>6088</v>
      </c>
      <c r="D2041" s="528" t="s">
        <v>251</v>
      </c>
      <c r="E2041" s="528"/>
      <c r="F2041" s="528"/>
      <c r="G2041" s="528" t="s">
        <v>208</v>
      </c>
      <c r="H2041"/>
    </row>
    <row r="2042" spans="1:8" x14ac:dyDescent="0.35">
      <c r="A2042" s="528" t="s">
        <v>6089</v>
      </c>
      <c r="B2042" s="528" t="s">
        <v>6090</v>
      </c>
      <c r="C2042" s="528" t="s">
        <v>6091</v>
      </c>
      <c r="D2042" s="528" t="s">
        <v>251</v>
      </c>
      <c r="E2042" s="528"/>
      <c r="F2042" s="528"/>
      <c r="G2042" s="528" t="s">
        <v>205</v>
      </c>
      <c r="H2042"/>
    </row>
    <row r="2043" spans="1:8" x14ac:dyDescent="0.35">
      <c r="A2043" s="528" t="s">
        <v>6092</v>
      </c>
      <c r="B2043" s="528" t="s">
        <v>6093</v>
      </c>
      <c r="C2043" s="528" t="s">
        <v>6094</v>
      </c>
      <c r="D2043" s="528" t="s">
        <v>251</v>
      </c>
      <c r="E2043" s="528"/>
      <c r="F2043" s="528"/>
      <c r="G2043" s="528" t="s">
        <v>205</v>
      </c>
      <c r="H2043"/>
    </row>
    <row r="2044" spans="1:8" x14ac:dyDescent="0.35">
      <c r="A2044" s="528" t="s">
        <v>6095</v>
      </c>
      <c r="B2044" s="528" t="s">
        <v>6096</v>
      </c>
      <c r="C2044" s="528" t="s">
        <v>6097</v>
      </c>
      <c r="D2044" s="528" t="s">
        <v>225</v>
      </c>
      <c r="E2044" s="528"/>
      <c r="F2044" s="528"/>
      <c r="G2044" s="528" t="s">
        <v>205</v>
      </c>
      <c r="H2044"/>
    </row>
    <row r="2045" spans="1:8" x14ac:dyDescent="0.35">
      <c r="A2045" s="528" t="s">
        <v>6098</v>
      </c>
      <c r="B2045" s="528" t="s">
        <v>6099</v>
      </c>
      <c r="C2045" s="528" t="s">
        <v>6100</v>
      </c>
      <c r="D2045" s="528" t="s">
        <v>225</v>
      </c>
      <c r="E2045" s="528"/>
      <c r="F2045" s="528"/>
      <c r="G2045" s="528" t="s">
        <v>205</v>
      </c>
      <c r="H2045"/>
    </row>
    <row r="2046" spans="1:8" x14ac:dyDescent="0.35">
      <c r="A2046" s="528" t="s">
        <v>6101</v>
      </c>
      <c r="B2046" s="528" t="s">
        <v>6102</v>
      </c>
      <c r="C2046" s="528" t="s">
        <v>6103</v>
      </c>
      <c r="D2046" s="528" t="s">
        <v>264</v>
      </c>
      <c r="E2046" s="528"/>
      <c r="F2046" s="528"/>
      <c r="G2046" s="528" t="s">
        <v>205</v>
      </c>
      <c r="H2046"/>
    </row>
    <row r="2047" spans="1:8" x14ac:dyDescent="0.35">
      <c r="A2047" s="528" t="s">
        <v>6104</v>
      </c>
      <c r="B2047" s="528" t="s">
        <v>6105</v>
      </c>
      <c r="C2047" s="528" t="s">
        <v>6106</v>
      </c>
      <c r="D2047" s="528" t="s">
        <v>225</v>
      </c>
      <c r="E2047" s="528"/>
      <c r="F2047" s="528"/>
      <c r="G2047" s="528" t="s">
        <v>205</v>
      </c>
      <c r="H2047"/>
    </row>
    <row r="2048" spans="1:8" x14ac:dyDescent="0.35">
      <c r="A2048" s="528" t="s">
        <v>6107</v>
      </c>
      <c r="B2048" s="528" t="s">
        <v>6108</v>
      </c>
      <c r="C2048" s="528" t="s">
        <v>6109</v>
      </c>
      <c r="D2048" s="528" t="s">
        <v>225</v>
      </c>
      <c r="E2048" s="528"/>
      <c r="F2048" s="528"/>
      <c r="G2048" s="528" t="s">
        <v>205</v>
      </c>
      <c r="H2048"/>
    </row>
    <row r="2049" spans="1:8" x14ac:dyDescent="0.35">
      <c r="A2049" s="528" t="s">
        <v>6110</v>
      </c>
      <c r="B2049" s="528" t="s">
        <v>6111</v>
      </c>
      <c r="C2049" s="528" t="s">
        <v>6112</v>
      </c>
      <c r="D2049" s="528" t="s">
        <v>277</v>
      </c>
      <c r="E2049" s="528"/>
      <c r="F2049" s="528"/>
      <c r="G2049" s="528" t="s">
        <v>205</v>
      </c>
      <c r="H2049"/>
    </row>
    <row r="2050" spans="1:8" x14ac:dyDescent="0.35">
      <c r="A2050" s="528" t="s">
        <v>6113</v>
      </c>
      <c r="B2050" s="528" t="s">
        <v>6114</v>
      </c>
      <c r="C2050" s="528" t="s">
        <v>6115</v>
      </c>
      <c r="D2050" s="528" t="s">
        <v>277</v>
      </c>
      <c r="E2050" s="528"/>
      <c r="F2050" s="528"/>
      <c r="G2050" s="528" t="s">
        <v>205</v>
      </c>
      <c r="H2050"/>
    </row>
    <row r="2051" spans="1:8" x14ac:dyDescent="0.35">
      <c r="A2051" s="528" t="s">
        <v>6116</v>
      </c>
      <c r="B2051" s="528" t="s">
        <v>6117</v>
      </c>
      <c r="C2051" s="528" t="s">
        <v>6118</v>
      </c>
      <c r="D2051" s="528" t="s">
        <v>251</v>
      </c>
      <c r="E2051" s="528"/>
      <c r="F2051" s="528"/>
      <c r="G2051" s="528" t="s">
        <v>208</v>
      </c>
      <c r="H2051"/>
    </row>
    <row r="2052" spans="1:8" x14ac:dyDescent="0.35">
      <c r="A2052" s="528" t="s">
        <v>6119</v>
      </c>
      <c r="B2052" s="528" t="s">
        <v>6120</v>
      </c>
      <c r="C2052" s="528" t="s">
        <v>6121</v>
      </c>
      <c r="D2052" s="528" t="s">
        <v>251</v>
      </c>
      <c r="E2052" s="528"/>
      <c r="F2052" s="528"/>
      <c r="G2052" s="528" t="s">
        <v>205</v>
      </c>
      <c r="H2052"/>
    </row>
    <row r="2053" spans="1:8" x14ac:dyDescent="0.35">
      <c r="A2053" s="528" t="s">
        <v>6122</v>
      </c>
      <c r="B2053" s="528" t="s">
        <v>6123</v>
      </c>
      <c r="C2053" s="528" t="s">
        <v>6124</v>
      </c>
      <c r="D2053" s="528" t="s">
        <v>251</v>
      </c>
      <c r="E2053" s="528"/>
      <c r="F2053" s="528"/>
      <c r="G2053" s="528" t="s">
        <v>205</v>
      </c>
      <c r="H2053"/>
    </row>
    <row r="2054" spans="1:8" x14ac:dyDescent="0.35">
      <c r="A2054" s="528" t="s">
        <v>6125</v>
      </c>
      <c r="B2054" s="528" t="s">
        <v>6126</v>
      </c>
      <c r="C2054" s="528" t="s">
        <v>6127</v>
      </c>
      <c r="D2054" s="528" t="s">
        <v>251</v>
      </c>
      <c r="E2054" s="528"/>
      <c r="F2054" s="528"/>
      <c r="G2054" s="528" t="s">
        <v>208</v>
      </c>
      <c r="H2054"/>
    </row>
    <row r="2055" spans="1:8" x14ac:dyDescent="0.35">
      <c r="A2055" s="528" t="s">
        <v>6128</v>
      </c>
      <c r="B2055" s="528" t="s">
        <v>6129</v>
      </c>
      <c r="C2055" s="528" t="s">
        <v>6130</v>
      </c>
      <c r="D2055" s="528" t="s">
        <v>251</v>
      </c>
      <c r="E2055" s="528"/>
      <c r="F2055" s="528"/>
      <c r="G2055" s="528" t="s">
        <v>205</v>
      </c>
      <c r="H2055"/>
    </row>
    <row r="2056" spans="1:8" x14ac:dyDescent="0.35">
      <c r="A2056" s="528" t="s">
        <v>6131</v>
      </c>
      <c r="B2056" s="528" t="s">
        <v>6132</v>
      </c>
      <c r="C2056" s="528" t="s">
        <v>6133</v>
      </c>
      <c r="D2056" s="528" t="s">
        <v>251</v>
      </c>
      <c r="E2056" s="528"/>
      <c r="F2056" s="528"/>
      <c r="G2056" s="528" t="s">
        <v>205</v>
      </c>
      <c r="H2056"/>
    </row>
    <row r="2057" spans="1:8" x14ac:dyDescent="0.35">
      <c r="A2057" s="528" t="s">
        <v>6134</v>
      </c>
      <c r="B2057" s="528" t="s">
        <v>6135</v>
      </c>
      <c r="C2057" s="528" t="s">
        <v>6136</v>
      </c>
      <c r="D2057" s="528" t="s">
        <v>251</v>
      </c>
      <c r="E2057" s="528"/>
      <c r="F2057" s="528"/>
      <c r="G2057" s="528" t="s">
        <v>208</v>
      </c>
      <c r="H2057"/>
    </row>
    <row r="2058" spans="1:8" x14ac:dyDescent="0.35">
      <c r="A2058" s="528" t="s">
        <v>6137</v>
      </c>
      <c r="B2058" s="528" t="s">
        <v>6138</v>
      </c>
      <c r="C2058" s="528" t="s">
        <v>6139</v>
      </c>
      <c r="D2058" s="528" t="s">
        <v>251</v>
      </c>
      <c r="E2058" s="528"/>
      <c r="F2058" s="528"/>
      <c r="G2058" s="528" t="s">
        <v>205</v>
      </c>
      <c r="H2058"/>
    </row>
    <row r="2059" spans="1:8" x14ac:dyDescent="0.35">
      <c r="A2059" s="528" t="s">
        <v>6140</v>
      </c>
      <c r="B2059" s="528" t="s">
        <v>6141</v>
      </c>
      <c r="C2059" s="528" t="s">
        <v>6142</v>
      </c>
      <c r="D2059" s="528" t="s">
        <v>251</v>
      </c>
      <c r="E2059" s="528"/>
      <c r="F2059" s="528"/>
      <c r="G2059" s="528" t="s">
        <v>205</v>
      </c>
      <c r="H2059"/>
    </row>
    <row r="2060" spans="1:8" x14ac:dyDescent="0.35">
      <c r="A2060" s="528" t="s">
        <v>6143</v>
      </c>
      <c r="B2060" s="528" t="s">
        <v>6144</v>
      </c>
      <c r="C2060" s="528" t="s">
        <v>6145</v>
      </c>
      <c r="D2060" s="528" t="s">
        <v>277</v>
      </c>
      <c r="E2060" s="528"/>
      <c r="F2060" s="528"/>
      <c r="G2060" s="528" t="s">
        <v>208</v>
      </c>
      <c r="H2060"/>
    </row>
    <row r="2061" spans="1:8" x14ac:dyDescent="0.35">
      <c r="A2061" s="528" t="s">
        <v>6146</v>
      </c>
      <c r="B2061" s="528" t="s">
        <v>6147</v>
      </c>
      <c r="C2061" s="528" t="s">
        <v>2470</v>
      </c>
      <c r="D2061" s="528" t="s">
        <v>277</v>
      </c>
      <c r="E2061" s="528"/>
      <c r="F2061" s="528"/>
      <c r="G2061" s="528" t="s">
        <v>208</v>
      </c>
      <c r="H2061"/>
    </row>
    <row r="2062" spans="1:8" x14ac:dyDescent="0.35">
      <c r="A2062" s="528" t="s">
        <v>6148</v>
      </c>
      <c r="B2062" s="528" t="s">
        <v>6149</v>
      </c>
      <c r="C2062" s="528" t="s">
        <v>6150</v>
      </c>
      <c r="D2062" s="528" t="s">
        <v>277</v>
      </c>
      <c r="E2062" s="528"/>
      <c r="F2062" s="528"/>
      <c r="G2062" s="528" t="s">
        <v>205</v>
      </c>
      <c r="H2062"/>
    </row>
    <row r="2063" spans="1:8" x14ac:dyDescent="0.35">
      <c r="A2063" s="528" t="s">
        <v>6151</v>
      </c>
      <c r="B2063" s="528" t="s">
        <v>6152</v>
      </c>
      <c r="C2063" s="528" t="s">
        <v>1962</v>
      </c>
      <c r="D2063" s="528" t="s">
        <v>264</v>
      </c>
      <c r="E2063" s="528"/>
      <c r="F2063" s="528"/>
      <c r="G2063" s="528" t="s">
        <v>205</v>
      </c>
      <c r="H2063"/>
    </row>
    <row r="2064" spans="1:8" x14ac:dyDescent="0.35">
      <c r="A2064" s="528" t="s">
        <v>6153</v>
      </c>
      <c r="B2064" s="528" t="s">
        <v>6154</v>
      </c>
      <c r="C2064" s="528" t="s">
        <v>1014</v>
      </c>
      <c r="D2064" s="528" t="s">
        <v>277</v>
      </c>
      <c r="E2064" s="528"/>
      <c r="F2064" s="528"/>
      <c r="G2064" s="528" t="s">
        <v>208</v>
      </c>
      <c r="H2064"/>
    </row>
    <row r="2065" spans="1:8" x14ac:dyDescent="0.35">
      <c r="A2065" s="528" t="s">
        <v>6155</v>
      </c>
      <c r="B2065" s="528" t="s">
        <v>6156</v>
      </c>
      <c r="C2065" s="528" t="s">
        <v>5972</v>
      </c>
      <c r="D2065" s="528" t="s">
        <v>264</v>
      </c>
      <c r="E2065" s="528"/>
      <c r="F2065" s="528"/>
      <c r="G2065" s="528" t="s">
        <v>210</v>
      </c>
      <c r="H2065"/>
    </row>
    <row r="2066" spans="1:8" x14ac:dyDescent="0.35">
      <c r="A2066" s="528" t="s">
        <v>6157</v>
      </c>
      <c r="B2066" s="528" t="s">
        <v>6158</v>
      </c>
      <c r="C2066" s="528" t="s">
        <v>6159</v>
      </c>
      <c r="D2066" s="528" t="s">
        <v>251</v>
      </c>
      <c r="E2066" s="528"/>
      <c r="F2066" s="528"/>
      <c r="G2066" s="528" t="s">
        <v>208</v>
      </c>
      <c r="H2066"/>
    </row>
    <row r="2067" spans="1:8" x14ac:dyDescent="0.35">
      <c r="A2067" s="528" t="s">
        <v>6160</v>
      </c>
      <c r="B2067" s="528" t="s">
        <v>6161</v>
      </c>
      <c r="C2067" s="528" t="s">
        <v>6162</v>
      </c>
      <c r="D2067" s="528" t="s">
        <v>251</v>
      </c>
      <c r="E2067" s="528"/>
      <c r="F2067" s="528"/>
      <c r="G2067" s="528" t="s">
        <v>212</v>
      </c>
      <c r="H2067"/>
    </row>
    <row r="2068" spans="1:8" x14ac:dyDescent="0.35">
      <c r="A2068" s="528" t="s">
        <v>6163</v>
      </c>
      <c r="B2068" s="528" t="s">
        <v>6164</v>
      </c>
      <c r="C2068" s="528" t="s">
        <v>6165</v>
      </c>
      <c r="D2068" s="528" t="s">
        <v>264</v>
      </c>
      <c r="E2068" s="528"/>
      <c r="F2068" s="528"/>
      <c r="G2068" s="528" t="s">
        <v>205</v>
      </c>
      <c r="H2068"/>
    </row>
    <row r="2069" spans="1:8" x14ac:dyDescent="0.35">
      <c r="A2069" s="528" t="s">
        <v>6166</v>
      </c>
      <c r="B2069" s="528" t="s">
        <v>6167</v>
      </c>
      <c r="C2069" s="528" t="s">
        <v>6168</v>
      </c>
      <c r="D2069" s="528" t="s">
        <v>277</v>
      </c>
      <c r="E2069" s="528"/>
      <c r="F2069" s="528"/>
      <c r="G2069" s="528" t="s">
        <v>212</v>
      </c>
      <c r="H2069"/>
    </row>
    <row r="2070" spans="1:8" x14ac:dyDescent="0.35">
      <c r="A2070" s="528" t="s">
        <v>6169</v>
      </c>
      <c r="B2070" s="528" t="s">
        <v>6170</v>
      </c>
      <c r="C2070" s="528" t="s">
        <v>6171</v>
      </c>
      <c r="D2070" s="528" t="s">
        <v>277</v>
      </c>
      <c r="E2070" s="528"/>
      <c r="F2070" s="528"/>
      <c r="G2070" s="528" t="s">
        <v>212</v>
      </c>
      <c r="H2070"/>
    </row>
    <row r="2071" spans="1:8" x14ac:dyDescent="0.35">
      <c r="A2071" s="528" t="s">
        <v>6172</v>
      </c>
      <c r="B2071" s="528" t="s">
        <v>6173</v>
      </c>
      <c r="C2071" s="528" t="s">
        <v>6174</v>
      </c>
      <c r="D2071" s="528" t="s">
        <v>277</v>
      </c>
      <c r="E2071" s="528"/>
      <c r="F2071" s="528"/>
      <c r="G2071" s="528" t="s">
        <v>212</v>
      </c>
      <c r="H2071"/>
    </row>
    <row r="2072" spans="1:8" x14ac:dyDescent="0.35">
      <c r="A2072" s="528" t="s">
        <v>6175</v>
      </c>
      <c r="B2072" s="528" t="s">
        <v>6176</v>
      </c>
      <c r="C2072" s="528" t="s">
        <v>6177</v>
      </c>
      <c r="D2072" s="528" t="s">
        <v>264</v>
      </c>
      <c r="E2072" s="528"/>
      <c r="F2072" s="528"/>
      <c r="G2072" s="528" t="s">
        <v>214</v>
      </c>
      <c r="H2072"/>
    </row>
    <row r="2073" spans="1:8" x14ac:dyDescent="0.35">
      <c r="A2073" s="528" t="s">
        <v>6178</v>
      </c>
      <c r="B2073" s="528" t="s">
        <v>6179</v>
      </c>
      <c r="C2073" s="528" t="s">
        <v>2781</v>
      </c>
      <c r="D2073" s="528" t="s">
        <v>277</v>
      </c>
      <c r="E2073" s="528"/>
      <c r="F2073" s="528"/>
      <c r="G2073" s="528" t="s">
        <v>205</v>
      </c>
      <c r="H2073"/>
    </row>
    <row r="2074" spans="1:8" x14ac:dyDescent="0.35">
      <c r="A2074" s="528" t="s">
        <v>6180</v>
      </c>
      <c r="B2074" s="528" t="s">
        <v>6181</v>
      </c>
      <c r="C2074" s="528" t="s">
        <v>3607</v>
      </c>
      <c r="D2074" s="528" t="s">
        <v>264</v>
      </c>
      <c r="E2074" s="528"/>
      <c r="F2074" s="528"/>
      <c r="G2074" s="528" t="s">
        <v>205</v>
      </c>
      <c r="H2074"/>
    </row>
    <row r="2075" spans="1:8" x14ac:dyDescent="0.35">
      <c r="A2075" s="528" t="s">
        <v>6182</v>
      </c>
      <c r="B2075" s="528" t="s">
        <v>6183</v>
      </c>
      <c r="C2075" s="528" t="s">
        <v>6184</v>
      </c>
      <c r="D2075" s="528" t="s">
        <v>277</v>
      </c>
      <c r="E2075" s="528"/>
      <c r="F2075" s="528"/>
      <c r="G2075" s="528" t="s">
        <v>208</v>
      </c>
      <c r="H2075"/>
    </row>
    <row r="2076" spans="1:8" x14ac:dyDescent="0.35">
      <c r="A2076" s="528" t="s">
        <v>6185</v>
      </c>
      <c r="B2076" s="528" t="s">
        <v>6186</v>
      </c>
      <c r="C2076" s="528" t="s">
        <v>1252</v>
      </c>
      <c r="D2076" s="528" t="s">
        <v>277</v>
      </c>
      <c r="E2076" s="528"/>
      <c r="F2076" s="528"/>
      <c r="G2076" s="528" t="s">
        <v>205</v>
      </c>
      <c r="H2076"/>
    </row>
    <row r="2077" spans="1:8" x14ac:dyDescent="0.35">
      <c r="A2077" s="528" t="s">
        <v>6187</v>
      </c>
      <c r="B2077" s="528" t="s">
        <v>6188</v>
      </c>
      <c r="C2077" s="528" t="s">
        <v>6189</v>
      </c>
      <c r="D2077" s="528" t="s">
        <v>277</v>
      </c>
      <c r="E2077" s="528"/>
      <c r="F2077" s="528"/>
      <c r="G2077" s="528" t="s">
        <v>205</v>
      </c>
      <c r="H2077"/>
    </row>
    <row r="2078" spans="1:8" x14ac:dyDescent="0.35">
      <c r="A2078" s="528" t="s">
        <v>6190</v>
      </c>
      <c r="B2078" s="528" t="s">
        <v>6191</v>
      </c>
      <c r="C2078" s="528" t="s">
        <v>6192</v>
      </c>
      <c r="D2078" s="528" t="s">
        <v>277</v>
      </c>
      <c r="E2078" s="528"/>
      <c r="F2078" s="528"/>
      <c r="G2078" s="528" t="s">
        <v>208</v>
      </c>
      <c r="H2078"/>
    </row>
    <row r="2079" spans="1:8" x14ac:dyDescent="0.35">
      <c r="A2079" s="528" t="s">
        <v>6193</v>
      </c>
      <c r="B2079" s="528" t="s">
        <v>6194</v>
      </c>
      <c r="C2079" s="528" t="s">
        <v>6195</v>
      </c>
      <c r="D2079" s="528" t="s">
        <v>277</v>
      </c>
      <c r="E2079" s="528"/>
      <c r="F2079" s="528"/>
      <c r="G2079" s="528" t="s">
        <v>212</v>
      </c>
      <c r="H2079"/>
    </row>
    <row r="2080" spans="1:8" x14ac:dyDescent="0.35">
      <c r="A2080" s="528" t="s">
        <v>6196</v>
      </c>
      <c r="B2080" s="528" t="s">
        <v>6197</v>
      </c>
      <c r="C2080" s="528" t="s">
        <v>6198</v>
      </c>
      <c r="D2080" s="528" t="s">
        <v>251</v>
      </c>
      <c r="E2080" s="528"/>
      <c r="F2080" s="528"/>
      <c r="G2080" s="528" t="s">
        <v>214</v>
      </c>
      <c r="H2080"/>
    </row>
    <row r="2081" spans="1:8" x14ac:dyDescent="0.35">
      <c r="A2081" s="528" t="s">
        <v>6199</v>
      </c>
      <c r="B2081" s="528" t="s">
        <v>6200</v>
      </c>
      <c r="C2081" s="528" t="s">
        <v>1116</v>
      </c>
      <c r="D2081" s="528" t="s">
        <v>277</v>
      </c>
      <c r="E2081" s="528"/>
      <c r="F2081" s="528"/>
      <c r="G2081" s="528" t="s">
        <v>208</v>
      </c>
      <c r="H2081"/>
    </row>
    <row r="2082" spans="1:8" x14ac:dyDescent="0.35">
      <c r="A2082" s="528" t="s">
        <v>6201</v>
      </c>
      <c r="B2082" s="528" t="s">
        <v>6202</v>
      </c>
      <c r="C2082" s="528" t="s">
        <v>6203</v>
      </c>
      <c r="D2082" s="528" t="s">
        <v>225</v>
      </c>
      <c r="E2082" s="528"/>
      <c r="F2082" s="528"/>
      <c r="G2082" s="528" t="s">
        <v>208</v>
      </c>
      <c r="H2082"/>
    </row>
    <row r="2083" spans="1:8" x14ac:dyDescent="0.35">
      <c r="A2083" s="528" t="s">
        <v>6204</v>
      </c>
      <c r="B2083" s="528" t="s">
        <v>6205</v>
      </c>
      <c r="C2083" s="528" t="s">
        <v>6206</v>
      </c>
      <c r="D2083" s="528" t="s">
        <v>251</v>
      </c>
      <c r="E2083" s="528"/>
      <c r="F2083" s="528"/>
      <c r="G2083" s="528" t="s">
        <v>208</v>
      </c>
      <c r="H2083"/>
    </row>
    <row r="2084" spans="1:8" x14ac:dyDescent="0.35">
      <c r="A2084" s="528" t="s">
        <v>6207</v>
      </c>
      <c r="B2084" s="528" t="s">
        <v>6208</v>
      </c>
      <c r="C2084" s="528" t="s">
        <v>840</v>
      </c>
      <c r="D2084" s="528" t="s">
        <v>251</v>
      </c>
      <c r="E2084" s="528"/>
      <c r="F2084" s="528"/>
      <c r="G2084" s="528" t="s">
        <v>208</v>
      </c>
      <c r="H2084"/>
    </row>
    <row r="2085" spans="1:8" x14ac:dyDescent="0.35">
      <c r="A2085" s="528" t="s">
        <v>6209</v>
      </c>
      <c r="B2085" s="528" t="s">
        <v>6210</v>
      </c>
      <c r="C2085" s="528" t="s">
        <v>6211</v>
      </c>
      <c r="D2085" s="528" t="s">
        <v>251</v>
      </c>
      <c r="E2085" s="528"/>
      <c r="F2085" s="528"/>
      <c r="G2085" s="528" t="s">
        <v>208</v>
      </c>
      <c r="H2085"/>
    </row>
    <row r="2086" spans="1:8" x14ac:dyDescent="0.35">
      <c r="A2086" s="528" t="s">
        <v>6212</v>
      </c>
      <c r="B2086" s="528" t="s">
        <v>6213</v>
      </c>
      <c r="C2086" s="528" t="s">
        <v>6214</v>
      </c>
      <c r="D2086" s="528" t="s">
        <v>251</v>
      </c>
      <c r="E2086" s="528"/>
      <c r="F2086" s="528"/>
      <c r="G2086" s="528" t="s">
        <v>208</v>
      </c>
      <c r="H2086"/>
    </row>
    <row r="2087" spans="1:8" x14ac:dyDescent="0.35">
      <c r="A2087" s="528" t="s">
        <v>6215</v>
      </c>
      <c r="B2087" s="528" t="s">
        <v>6216</v>
      </c>
      <c r="C2087" s="528" t="s">
        <v>6217</v>
      </c>
      <c r="D2087" s="528" t="s">
        <v>277</v>
      </c>
      <c r="E2087" s="528"/>
      <c r="F2087" s="528"/>
      <c r="G2087" s="528" t="s">
        <v>208</v>
      </c>
      <c r="H2087"/>
    </row>
    <row r="2088" spans="1:8" x14ac:dyDescent="0.35">
      <c r="A2088" s="528" t="s">
        <v>6218</v>
      </c>
      <c r="B2088" s="528" t="s">
        <v>6219</v>
      </c>
      <c r="C2088" s="528" t="s">
        <v>6220</v>
      </c>
      <c r="D2088" s="528" t="s">
        <v>277</v>
      </c>
      <c r="E2088" s="528"/>
      <c r="F2088" s="528"/>
      <c r="G2088" s="528" t="s">
        <v>208</v>
      </c>
      <c r="H2088"/>
    </row>
    <row r="2089" spans="1:8" x14ac:dyDescent="0.35">
      <c r="A2089" s="528" t="s">
        <v>6221</v>
      </c>
      <c r="B2089" s="528" t="s">
        <v>6222</v>
      </c>
      <c r="C2089" s="528" t="s">
        <v>1063</v>
      </c>
      <c r="D2089" s="528" t="s">
        <v>277</v>
      </c>
      <c r="E2089" s="528"/>
      <c r="F2089" s="528"/>
      <c r="G2089" s="528" t="s">
        <v>208</v>
      </c>
      <c r="H2089"/>
    </row>
    <row r="2090" spans="1:8" x14ac:dyDescent="0.35">
      <c r="A2090" s="528" t="s">
        <v>6223</v>
      </c>
      <c r="B2090" s="528" t="s">
        <v>6224</v>
      </c>
      <c r="C2090" s="528" t="s">
        <v>1717</v>
      </c>
      <c r="D2090" s="528" t="s">
        <v>277</v>
      </c>
      <c r="E2090" s="528"/>
      <c r="F2090" s="528"/>
      <c r="G2090" s="528" t="s">
        <v>208</v>
      </c>
      <c r="H2090"/>
    </row>
    <row r="2091" spans="1:8" x14ac:dyDescent="0.35">
      <c r="A2091" s="528" t="s">
        <v>6225</v>
      </c>
      <c r="B2091" s="528" t="s">
        <v>6226</v>
      </c>
      <c r="C2091" s="528" t="s">
        <v>6227</v>
      </c>
      <c r="D2091" s="528" t="s">
        <v>238</v>
      </c>
      <c r="E2091" s="528"/>
      <c r="F2091" s="528"/>
      <c r="G2091" s="528" t="s">
        <v>205</v>
      </c>
      <c r="H2091"/>
    </row>
    <row r="2092" spans="1:8" x14ac:dyDescent="0.35">
      <c r="A2092" s="528" t="s">
        <v>6228</v>
      </c>
      <c r="B2092" s="528" t="s">
        <v>6229</v>
      </c>
      <c r="C2092" s="528" t="s">
        <v>6230</v>
      </c>
      <c r="D2092" s="528" t="s">
        <v>251</v>
      </c>
      <c r="E2092" s="528"/>
      <c r="F2092" s="528"/>
      <c r="G2092" s="528" t="s">
        <v>208</v>
      </c>
      <c r="H2092"/>
    </row>
    <row r="2093" spans="1:8" x14ac:dyDescent="0.35">
      <c r="A2093" s="528" t="s">
        <v>6231</v>
      </c>
      <c r="B2093" s="528" t="s">
        <v>6232</v>
      </c>
      <c r="C2093" s="528" t="s">
        <v>751</v>
      </c>
      <c r="D2093" s="528" t="s">
        <v>251</v>
      </c>
      <c r="E2093" s="528"/>
      <c r="F2093" s="528"/>
      <c r="G2093" s="528" t="s">
        <v>208</v>
      </c>
      <c r="H2093"/>
    </row>
    <row r="2094" spans="1:8" x14ac:dyDescent="0.35">
      <c r="A2094" s="528" t="s">
        <v>6233</v>
      </c>
      <c r="B2094" s="528" t="s">
        <v>6234</v>
      </c>
      <c r="C2094" s="528" t="s">
        <v>28345</v>
      </c>
      <c r="D2094" s="528" t="s">
        <v>251</v>
      </c>
      <c r="E2094" s="528"/>
      <c r="F2094" s="528"/>
      <c r="G2094" s="528" t="s">
        <v>208</v>
      </c>
      <c r="H2094"/>
    </row>
    <row r="2095" spans="1:8" x14ac:dyDescent="0.35">
      <c r="A2095" s="528" t="s">
        <v>6235</v>
      </c>
      <c r="B2095" s="528" t="s">
        <v>6236</v>
      </c>
      <c r="C2095" s="528" t="s">
        <v>6237</v>
      </c>
      <c r="D2095" s="528" t="s">
        <v>251</v>
      </c>
      <c r="E2095" s="528"/>
      <c r="F2095" s="528"/>
      <c r="G2095" s="528" t="s">
        <v>208</v>
      </c>
      <c r="H2095"/>
    </row>
    <row r="2096" spans="1:8" x14ac:dyDescent="0.35">
      <c r="A2096" s="528" t="s">
        <v>6238</v>
      </c>
      <c r="B2096" s="528" t="s">
        <v>6239</v>
      </c>
      <c r="C2096" s="528" t="s">
        <v>6240</v>
      </c>
      <c r="D2096" s="528" t="s">
        <v>251</v>
      </c>
      <c r="E2096" s="528"/>
      <c r="F2096" s="528"/>
      <c r="G2096" s="528" t="s">
        <v>208</v>
      </c>
      <c r="H2096"/>
    </row>
    <row r="2097" spans="1:8" x14ac:dyDescent="0.35">
      <c r="A2097" s="528" t="s">
        <v>6241</v>
      </c>
      <c r="B2097" s="528" t="s">
        <v>6242</v>
      </c>
      <c r="C2097" s="528" t="s">
        <v>6243</v>
      </c>
      <c r="D2097" s="528" t="s">
        <v>264</v>
      </c>
      <c r="E2097" s="528"/>
      <c r="F2097" s="528"/>
      <c r="G2097" s="528" t="s">
        <v>208</v>
      </c>
      <c r="H2097"/>
    </row>
    <row r="2098" spans="1:8" x14ac:dyDescent="0.35">
      <c r="A2098" s="528" t="s">
        <v>6244</v>
      </c>
      <c r="B2098" s="528" t="s">
        <v>6245</v>
      </c>
      <c r="C2098" s="528" t="s">
        <v>6246</v>
      </c>
      <c r="D2098" s="528" t="s">
        <v>264</v>
      </c>
      <c r="E2098" s="528"/>
      <c r="F2098" s="528"/>
      <c r="G2098" s="528" t="s">
        <v>205</v>
      </c>
      <c r="H2098"/>
    </row>
    <row r="2099" spans="1:8" x14ac:dyDescent="0.35">
      <c r="A2099" s="528" t="s">
        <v>6247</v>
      </c>
      <c r="B2099" s="528" t="s">
        <v>6248</v>
      </c>
      <c r="C2099" s="528" t="s">
        <v>756</v>
      </c>
      <c r="D2099" s="528" t="s">
        <v>277</v>
      </c>
      <c r="E2099" s="528"/>
      <c r="F2099" s="528"/>
      <c r="G2099" s="528" t="s">
        <v>212</v>
      </c>
      <c r="H2099"/>
    </row>
    <row r="2100" spans="1:8" x14ac:dyDescent="0.35">
      <c r="A2100" s="528" t="s">
        <v>6249</v>
      </c>
      <c r="B2100" s="528" t="s">
        <v>6250</v>
      </c>
      <c r="C2100" s="528" t="s">
        <v>6251</v>
      </c>
      <c r="D2100" s="528" t="s">
        <v>277</v>
      </c>
      <c r="E2100" s="528"/>
      <c r="F2100" s="528"/>
      <c r="G2100" s="528" t="s">
        <v>212</v>
      </c>
      <c r="H2100"/>
    </row>
    <row r="2101" spans="1:8" x14ac:dyDescent="0.35">
      <c r="A2101" s="528" t="s">
        <v>6252</v>
      </c>
      <c r="B2101" s="528" t="s">
        <v>6253</v>
      </c>
      <c r="C2101" s="528" t="s">
        <v>4437</v>
      </c>
      <c r="D2101" s="528" t="s">
        <v>277</v>
      </c>
      <c r="E2101" s="528"/>
      <c r="F2101" s="528"/>
      <c r="G2101" s="528" t="s">
        <v>214</v>
      </c>
      <c r="H2101"/>
    </row>
    <row r="2102" spans="1:8" x14ac:dyDescent="0.35">
      <c r="A2102" s="528" t="s">
        <v>6254</v>
      </c>
      <c r="B2102" s="528" t="s">
        <v>6255</v>
      </c>
      <c r="C2102" s="528" t="s">
        <v>4003</v>
      </c>
      <c r="D2102" s="528" t="s">
        <v>251</v>
      </c>
      <c r="E2102" s="528"/>
      <c r="F2102" s="528"/>
      <c r="G2102" s="528" t="s">
        <v>205</v>
      </c>
      <c r="H2102"/>
    </row>
    <row r="2103" spans="1:8" x14ac:dyDescent="0.35">
      <c r="A2103" s="528" t="s">
        <v>6256</v>
      </c>
      <c r="B2103" s="528" t="s">
        <v>6257</v>
      </c>
      <c r="C2103" s="528" t="s">
        <v>6258</v>
      </c>
      <c r="D2103" s="528" t="s">
        <v>264</v>
      </c>
      <c r="E2103" s="528"/>
      <c r="F2103" s="528"/>
      <c r="G2103" s="528" t="s">
        <v>205</v>
      </c>
      <c r="H2103"/>
    </row>
    <row r="2104" spans="1:8" x14ac:dyDescent="0.35">
      <c r="A2104" s="528" t="s">
        <v>6259</v>
      </c>
      <c r="B2104" s="528" t="s">
        <v>6260</v>
      </c>
      <c r="C2104" s="528" t="s">
        <v>6261</v>
      </c>
      <c r="D2104" s="528" t="s">
        <v>277</v>
      </c>
      <c r="E2104" s="528"/>
      <c r="F2104" s="528"/>
      <c r="G2104" s="528" t="s">
        <v>205</v>
      </c>
      <c r="H2104"/>
    </row>
    <row r="2105" spans="1:8" x14ac:dyDescent="0.35">
      <c r="A2105" s="528" t="s">
        <v>6262</v>
      </c>
      <c r="B2105" s="528" t="s">
        <v>6263</v>
      </c>
      <c r="C2105" s="528" t="s">
        <v>6264</v>
      </c>
      <c r="D2105" s="528" t="s">
        <v>264</v>
      </c>
      <c r="E2105" s="528"/>
      <c r="F2105" s="528"/>
      <c r="G2105" s="528" t="s">
        <v>205</v>
      </c>
      <c r="H2105"/>
    </row>
    <row r="2106" spans="1:8" x14ac:dyDescent="0.35">
      <c r="A2106" s="528" t="s">
        <v>6265</v>
      </c>
      <c r="B2106" s="528" t="s">
        <v>6266</v>
      </c>
      <c r="C2106" s="528" t="s">
        <v>6267</v>
      </c>
      <c r="D2106" s="528" t="s">
        <v>225</v>
      </c>
      <c r="E2106" s="528" t="s">
        <v>264</v>
      </c>
      <c r="F2106" s="528"/>
      <c r="G2106" s="528" t="s">
        <v>205</v>
      </c>
      <c r="H2106"/>
    </row>
    <row r="2107" spans="1:8" x14ac:dyDescent="0.35">
      <c r="A2107" s="528" t="s">
        <v>6268</v>
      </c>
      <c r="B2107" s="528" t="s">
        <v>6269</v>
      </c>
      <c r="C2107" s="528" t="s">
        <v>6270</v>
      </c>
      <c r="D2107" s="528" t="s">
        <v>251</v>
      </c>
      <c r="E2107" s="528"/>
      <c r="F2107" s="528"/>
      <c r="G2107" s="528" t="s">
        <v>205</v>
      </c>
      <c r="H2107"/>
    </row>
    <row r="2108" spans="1:8" x14ac:dyDescent="0.35">
      <c r="A2108" s="528" t="s">
        <v>6271</v>
      </c>
      <c r="B2108" s="528" t="s">
        <v>6272</v>
      </c>
      <c r="C2108" s="528" t="s">
        <v>6273</v>
      </c>
      <c r="D2108" s="528" t="s">
        <v>251</v>
      </c>
      <c r="E2108" s="528"/>
      <c r="F2108" s="528"/>
      <c r="G2108" s="528" t="s">
        <v>205</v>
      </c>
      <c r="H2108"/>
    </row>
    <row r="2109" spans="1:8" x14ac:dyDescent="0.35">
      <c r="A2109" s="528" t="s">
        <v>6274</v>
      </c>
      <c r="B2109" s="528" t="s">
        <v>6275</v>
      </c>
      <c r="C2109" s="528" t="s">
        <v>6276</v>
      </c>
      <c r="D2109" s="528" t="s">
        <v>251</v>
      </c>
      <c r="E2109" s="528"/>
      <c r="F2109" s="528"/>
      <c r="G2109" s="528" t="s">
        <v>205</v>
      </c>
      <c r="H2109"/>
    </row>
    <row r="2110" spans="1:8" x14ac:dyDescent="0.35">
      <c r="A2110" s="528" t="s">
        <v>6277</v>
      </c>
      <c r="B2110" s="528" t="s">
        <v>6278</v>
      </c>
      <c r="C2110" s="528" t="s">
        <v>6279</v>
      </c>
      <c r="D2110" s="528" t="s">
        <v>225</v>
      </c>
      <c r="E2110" s="528"/>
      <c r="F2110" s="528"/>
      <c r="G2110" s="528" t="s">
        <v>205</v>
      </c>
      <c r="H2110"/>
    </row>
    <row r="2111" spans="1:8" x14ac:dyDescent="0.35">
      <c r="A2111" s="528" t="s">
        <v>6280</v>
      </c>
      <c r="B2111" s="528" t="s">
        <v>6281</v>
      </c>
      <c r="C2111" s="528" t="s">
        <v>6282</v>
      </c>
      <c r="D2111" s="528" t="s">
        <v>238</v>
      </c>
      <c r="E2111" s="528"/>
      <c r="F2111" s="528"/>
      <c r="G2111" s="528" t="s">
        <v>205</v>
      </c>
      <c r="H2111"/>
    </row>
    <row r="2112" spans="1:8" x14ac:dyDescent="0.35">
      <c r="A2112" s="528" t="s">
        <v>6283</v>
      </c>
      <c r="B2112" s="528" t="s">
        <v>6284</v>
      </c>
      <c r="C2112" s="528" t="s">
        <v>6285</v>
      </c>
      <c r="D2112" s="528" t="s">
        <v>264</v>
      </c>
      <c r="E2112" s="528" t="s">
        <v>277</v>
      </c>
      <c r="F2112" s="528"/>
      <c r="G2112" s="528" t="s">
        <v>205</v>
      </c>
      <c r="H2112"/>
    </row>
    <row r="2113" spans="1:8" x14ac:dyDescent="0.35">
      <c r="A2113" s="528" t="s">
        <v>6286</v>
      </c>
      <c r="B2113" s="528" t="s">
        <v>6287</v>
      </c>
      <c r="C2113" s="528" t="s">
        <v>6288</v>
      </c>
      <c r="D2113" s="528" t="s">
        <v>264</v>
      </c>
      <c r="E2113" s="528" t="s">
        <v>277</v>
      </c>
      <c r="F2113" s="528"/>
      <c r="G2113" s="528" t="s">
        <v>205</v>
      </c>
      <c r="H2113"/>
    </row>
    <row r="2114" spans="1:8" x14ac:dyDescent="0.35">
      <c r="A2114" s="528" t="s">
        <v>6289</v>
      </c>
      <c r="B2114" s="528" t="s">
        <v>6290</v>
      </c>
      <c r="C2114" s="528" t="s">
        <v>6291</v>
      </c>
      <c r="D2114" s="528" t="s">
        <v>277</v>
      </c>
      <c r="E2114" s="528"/>
      <c r="F2114" s="528"/>
      <c r="G2114" s="528" t="s">
        <v>205</v>
      </c>
      <c r="H2114"/>
    </row>
    <row r="2115" spans="1:8" x14ac:dyDescent="0.35">
      <c r="A2115" s="528" t="s">
        <v>6292</v>
      </c>
      <c r="B2115" s="528" t="s">
        <v>6293</v>
      </c>
      <c r="C2115" s="528" t="s">
        <v>6294</v>
      </c>
      <c r="D2115" s="528" t="s">
        <v>225</v>
      </c>
      <c r="E2115" s="528"/>
      <c r="F2115" s="528"/>
      <c r="G2115" s="528" t="s">
        <v>205</v>
      </c>
      <c r="H2115"/>
    </row>
    <row r="2116" spans="1:8" x14ac:dyDescent="0.35">
      <c r="A2116" s="528" t="s">
        <v>6295</v>
      </c>
      <c r="B2116" s="528" t="s">
        <v>6296</v>
      </c>
      <c r="C2116" s="528" t="s">
        <v>6297</v>
      </c>
      <c r="D2116" s="528" t="s">
        <v>225</v>
      </c>
      <c r="E2116" s="528"/>
      <c r="F2116" s="528"/>
      <c r="G2116" s="528" t="s">
        <v>208</v>
      </c>
      <c r="H2116"/>
    </row>
    <row r="2117" spans="1:8" x14ac:dyDescent="0.35">
      <c r="A2117" s="528" t="s">
        <v>6298</v>
      </c>
      <c r="B2117" s="528" t="s">
        <v>6299</v>
      </c>
      <c r="C2117" s="528" t="s">
        <v>5969</v>
      </c>
      <c r="D2117" s="528" t="s">
        <v>225</v>
      </c>
      <c r="E2117" s="528"/>
      <c r="F2117" s="528"/>
      <c r="G2117" s="528" t="s">
        <v>205</v>
      </c>
      <c r="H2117"/>
    </row>
    <row r="2118" spans="1:8" x14ac:dyDescent="0.35">
      <c r="A2118" s="528" t="s">
        <v>6300</v>
      </c>
      <c r="B2118" s="528" t="s">
        <v>6301</v>
      </c>
      <c r="C2118" s="528" t="s">
        <v>6302</v>
      </c>
      <c r="D2118" s="528" t="s">
        <v>225</v>
      </c>
      <c r="E2118" s="528"/>
      <c r="F2118" s="528"/>
      <c r="G2118" s="528" t="s">
        <v>208</v>
      </c>
      <c r="H2118"/>
    </row>
    <row r="2119" spans="1:8" x14ac:dyDescent="0.35">
      <c r="A2119" s="528" t="s">
        <v>6303</v>
      </c>
      <c r="B2119" s="528" t="s">
        <v>6304</v>
      </c>
      <c r="C2119" s="528" t="s">
        <v>1317</v>
      </c>
      <c r="D2119" s="528" t="s">
        <v>277</v>
      </c>
      <c r="E2119" s="528"/>
      <c r="F2119" s="528"/>
      <c r="G2119" s="528" t="s">
        <v>205</v>
      </c>
      <c r="H2119"/>
    </row>
    <row r="2120" spans="1:8" x14ac:dyDescent="0.35">
      <c r="A2120" s="528" t="s">
        <v>6305</v>
      </c>
      <c r="B2120" s="528" t="s">
        <v>6306</v>
      </c>
      <c r="C2120" s="528" t="s">
        <v>28346</v>
      </c>
      <c r="D2120" s="528" t="s">
        <v>277</v>
      </c>
      <c r="E2120" s="528"/>
      <c r="F2120" s="528"/>
      <c r="G2120" s="528" t="s">
        <v>208</v>
      </c>
      <c r="H2120"/>
    </row>
    <row r="2121" spans="1:8" x14ac:dyDescent="0.35">
      <c r="A2121" s="528" t="s">
        <v>6307</v>
      </c>
      <c r="B2121" s="528" t="s">
        <v>6308</v>
      </c>
      <c r="C2121" s="528" t="s">
        <v>2470</v>
      </c>
      <c r="D2121" s="528" t="s">
        <v>277</v>
      </c>
      <c r="E2121" s="528"/>
      <c r="F2121" s="528"/>
      <c r="G2121" s="528" t="s">
        <v>208</v>
      </c>
      <c r="H2121"/>
    </row>
    <row r="2122" spans="1:8" x14ac:dyDescent="0.35">
      <c r="A2122" s="528" t="s">
        <v>6309</v>
      </c>
      <c r="B2122" s="528" t="s">
        <v>6310</v>
      </c>
      <c r="C2122" s="528" t="s">
        <v>6311</v>
      </c>
      <c r="D2122" s="528" t="s">
        <v>251</v>
      </c>
      <c r="E2122" s="528"/>
      <c r="F2122" s="528"/>
      <c r="G2122" s="528" t="s">
        <v>208</v>
      </c>
      <c r="H2122"/>
    </row>
    <row r="2123" spans="1:8" x14ac:dyDescent="0.35">
      <c r="A2123" s="528" t="s">
        <v>6312</v>
      </c>
      <c r="B2123" s="528" t="s">
        <v>6313</v>
      </c>
      <c r="C2123" s="528" t="s">
        <v>6314</v>
      </c>
      <c r="D2123" s="528" t="s">
        <v>225</v>
      </c>
      <c r="E2123" s="528"/>
      <c r="F2123" s="528"/>
      <c r="G2123" s="528" t="s">
        <v>205</v>
      </c>
      <c r="H2123"/>
    </row>
    <row r="2124" spans="1:8" x14ac:dyDescent="0.35">
      <c r="A2124" s="528" t="s">
        <v>6315</v>
      </c>
      <c r="B2124" s="528" t="s">
        <v>6316</v>
      </c>
      <c r="C2124" s="528" t="s">
        <v>6317</v>
      </c>
      <c r="D2124" s="528" t="s">
        <v>264</v>
      </c>
      <c r="E2124" s="528"/>
      <c r="F2124" s="528"/>
      <c r="G2124" s="528" t="s">
        <v>208</v>
      </c>
      <c r="H2124"/>
    </row>
    <row r="2125" spans="1:8" x14ac:dyDescent="0.35">
      <c r="A2125" s="528" t="s">
        <v>6318</v>
      </c>
      <c r="B2125" s="528" t="s">
        <v>6319</v>
      </c>
      <c r="C2125" s="528" t="s">
        <v>6320</v>
      </c>
      <c r="D2125" s="528" t="s">
        <v>225</v>
      </c>
      <c r="E2125" s="528"/>
      <c r="F2125" s="528"/>
      <c r="G2125" s="528" t="s">
        <v>208</v>
      </c>
      <c r="H2125"/>
    </row>
    <row r="2126" spans="1:8" x14ac:dyDescent="0.35">
      <c r="A2126" s="528" t="s">
        <v>6321</v>
      </c>
      <c r="B2126" s="528" t="s">
        <v>6322</v>
      </c>
      <c r="C2126" s="528" t="s">
        <v>6323</v>
      </c>
      <c r="D2126" s="528" t="s">
        <v>225</v>
      </c>
      <c r="E2126" s="528"/>
      <c r="F2126" s="528"/>
      <c r="G2126" s="528" t="s">
        <v>208</v>
      </c>
      <c r="H2126"/>
    </row>
    <row r="2127" spans="1:8" x14ac:dyDescent="0.35">
      <c r="A2127" s="528" t="s">
        <v>6324</v>
      </c>
      <c r="B2127" s="528" t="s">
        <v>6325</v>
      </c>
      <c r="C2127" s="528" t="s">
        <v>6326</v>
      </c>
      <c r="D2127" s="528" t="s">
        <v>225</v>
      </c>
      <c r="E2127" s="528"/>
      <c r="F2127" s="528"/>
      <c r="G2127" s="528" t="s">
        <v>205</v>
      </c>
      <c r="H2127"/>
    </row>
    <row r="2128" spans="1:8" x14ac:dyDescent="0.35">
      <c r="A2128" s="528" t="s">
        <v>6327</v>
      </c>
      <c r="B2128" s="528" t="s">
        <v>6328</v>
      </c>
      <c r="C2128" s="528" t="s">
        <v>6329</v>
      </c>
      <c r="D2128" s="528" t="s">
        <v>225</v>
      </c>
      <c r="E2128" s="528"/>
      <c r="F2128" s="528"/>
      <c r="G2128" s="528" t="s">
        <v>208</v>
      </c>
      <c r="H2128"/>
    </row>
    <row r="2129" spans="1:8" x14ac:dyDescent="0.35">
      <c r="A2129" s="528" t="s">
        <v>6330</v>
      </c>
      <c r="B2129" s="528" t="s">
        <v>6331</v>
      </c>
      <c r="C2129" s="528" t="s">
        <v>6332</v>
      </c>
      <c r="D2129" s="528" t="s">
        <v>251</v>
      </c>
      <c r="E2129" s="528"/>
      <c r="F2129" s="528"/>
      <c r="G2129" s="528" t="s">
        <v>205</v>
      </c>
      <c r="H2129"/>
    </row>
    <row r="2130" spans="1:8" x14ac:dyDescent="0.35">
      <c r="A2130" s="528" t="s">
        <v>6333</v>
      </c>
      <c r="B2130" s="528" t="s">
        <v>6334</v>
      </c>
      <c r="C2130" s="528" t="s">
        <v>6335</v>
      </c>
      <c r="D2130" s="528" t="s">
        <v>251</v>
      </c>
      <c r="E2130" s="528"/>
      <c r="F2130" s="528"/>
      <c r="G2130" s="528" t="s">
        <v>208</v>
      </c>
      <c r="H2130"/>
    </row>
    <row r="2131" spans="1:8" x14ac:dyDescent="0.35">
      <c r="A2131" s="528" t="s">
        <v>6336</v>
      </c>
      <c r="B2131" s="528" t="s">
        <v>6337</v>
      </c>
      <c r="C2131" s="528" t="s">
        <v>6338</v>
      </c>
      <c r="D2131" s="528" t="s">
        <v>251</v>
      </c>
      <c r="E2131" s="528"/>
      <c r="F2131" s="528"/>
      <c r="G2131" s="528" t="s">
        <v>205</v>
      </c>
      <c r="H2131"/>
    </row>
    <row r="2132" spans="1:8" x14ac:dyDescent="0.35">
      <c r="A2132" s="528" t="s">
        <v>6339</v>
      </c>
      <c r="B2132" s="528" t="s">
        <v>6340</v>
      </c>
      <c r="C2132" s="528" t="s">
        <v>6341</v>
      </c>
      <c r="D2132" s="528" t="s">
        <v>277</v>
      </c>
      <c r="E2132" s="528"/>
      <c r="F2132" s="528"/>
      <c r="G2132" s="528" t="s">
        <v>208</v>
      </c>
      <c r="H2132"/>
    </row>
    <row r="2133" spans="1:8" x14ac:dyDescent="0.35">
      <c r="A2133" s="528" t="s">
        <v>6342</v>
      </c>
      <c r="B2133" s="528" t="s">
        <v>6343</v>
      </c>
      <c r="C2133" s="528" t="s">
        <v>3324</v>
      </c>
      <c r="D2133" s="528" t="s">
        <v>277</v>
      </c>
      <c r="E2133" s="528"/>
      <c r="F2133" s="528"/>
      <c r="G2133" s="528" t="s">
        <v>205</v>
      </c>
      <c r="H2133"/>
    </row>
    <row r="2134" spans="1:8" x14ac:dyDescent="0.35">
      <c r="A2134" s="528" t="s">
        <v>6344</v>
      </c>
      <c r="B2134" s="528" t="s">
        <v>6345</v>
      </c>
      <c r="C2134" s="528" t="s">
        <v>4818</v>
      </c>
      <c r="D2134" s="528" t="s">
        <v>277</v>
      </c>
      <c r="E2134" s="528"/>
      <c r="F2134" s="528"/>
      <c r="G2134" s="528" t="s">
        <v>208</v>
      </c>
      <c r="H2134"/>
    </row>
    <row r="2135" spans="1:8" x14ac:dyDescent="0.35">
      <c r="A2135" s="528" t="s">
        <v>6346</v>
      </c>
      <c r="B2135" s="528" t="s">
        <v>6347</v>
      </c>
      <c r="C2135" s="528" t="s">
        <v>6348</v>
      </c>
      <c r="D2135" s="528" t="s">
        <v>225</v>
      </c>
      <c r="E2135" s="528"/>
      <c r="F2135" s="528"/>
      <c r="G2135" s="528" t="s">
        <v>208</v>
      </c>
      <c r="H2135"/>
    </row>
    <row r="2136" spans="1:8" x14ac:dyDescent="0.35">
      <c r="A2136" s="528" t="s">
        <v>6349</v>
      </c>
      <c r="B2136" s="528" t="s">
        <v>6350</v>
      </c>
      <c r="C2136" s="528" t="s">
        <v>6351</v>
      </c>
      <c r="D2136" s="528" t="s">
        <v>225</v>
      </c>
      <c r="E2136" s="528"/>
      <c r="F2136" s="528"/>
      <c r="G2136" s="528" t="s">
        <v>208</v>
      </c>
      <c r="H2136"/>
    </row>
    <row r="2137" spans="1:8" x14ac:dyDescent="0.35">
      <c r="A2137" s="528" t="s">
        <v>6352</v>
      </c>
      <c r="B2137" s="528" t="s">
        <v>6353</v>
      </c>
      <c r="C2137" s="528" t="s">
        <v>6354</v>
      </c>
      <c r="D2137" s="528" t="s">
        <v>225</v>
      </c>
      <c r="E2137" s="528"/>
      <c r="F2137" s="528"/>
      <c r="G2137" s="528" t="s">
        <v>208</v>
      </c>
      <c r="H2137"/>
    </row>
    <row r="2138" spans="1:8" x14ac:dyDescent="0.35">
      <c r="A2138" s="528" t="s">
        <v>6355</v>
      </c>
      <c r="B2138" s="528" t="s">
        <v>6356</v>
      </c>
      <c r="C2138" s="528" t="s">
        <v>6357</v>
      </c>
      <c r="D2138" s="528" t="s">
        <v>251</v>
      </c>
      <c r="E2138" s="528"/>
      <c r="F2138" s="528"/>
      <c r="G2138" s="528" t="s">
        <v>205</v>
      </c>
      <c r="H2138"/>
    </row>
    <row r="2139" spans="1:8" x14ac:dyDescent="0.35">
      <c r="A2139" s="528" t="s">
        <v>6358</v>
      </c>
      <c r="B2139" s="528" t="s">
        <v>6359</v>
      </c>
      <c r="C2139" s="528" t="s">
        <v>6360</v>
      </c>
      <c r="D2139" s="528" t="s">
        <v>225</v>
      </c>
      <c r="E2139" s="528"/>
      <c r="F2139" s="528"/>
      <c r="G2139" s="528" t="s">
        <v>208</v>
      </c>
      <c r="H2139"/>
    </row>
    <row r="2140" spans="1:8" x14ac:dyDescent="0.35">
      <c r="A2140" s="528" t="s">
        <v>6361</v>
      </c>
      <c r="B2140" s="528" t="s">
        <v>6362</v>
      </c>
      <c r="C2140" s="528" t="s">
        <v>6363</v>
      </c>
      <c r="D2140" s="528" t="s">
        <v>264</v>
      </c>
      <c r="E2140" s="528"/>
      <c r="F2140" s="528"/>
      <c r="G2140" s="528" t="s">
        <v>208</v>
      </c>
      <c r="H2140"/>
    </row>
    <row r="2141" spans="1:8" x14ac:dyDescent="0.35">
      <c r="A2141" s="528" t="s">
        <v>6364</v>
      </c>
      <c r="B2141" s="528" t="s">
        <v>6365</v>
      </c>
      <c r="C2141" s="528" t="s">
        <v>1825</v>
      </c>
      <c r="D2141" s="528" t="s">
        <v>277</v>
      </c>
      <c r="E2141" s="528" t="s">
        <v>264</v>
      </c>
      <c r="F2141" s="528"/>
      <c r="G2141" s="528" t="s">
        <v>205</v>
      </c>
      <c r="H2141"/>
    </row>
    <row r="2142" spans="1:8" x14ac:dyDescent="0.35">
      <c r="A2142" s="528" t="s">
        <v>6366</v>
      </c>
      <c r="B2142" s="528" t="s">
        <v>6367</v>
      </c>
      <c r="C2142" s="528" t="s">
        <v>6368</v>
      </c>
      <c r="D2142" s="528" t="s">
        <v>251</v>
      </c>
      <c r="E2142" s="528"/>
      <c r="F2142" s="528"/>
      <c r="G2142" s="528" t="s">
        <v>205</v>
      </c>
      <c r="H2142"/>
    </row>
    <row r="2143" spans="1:8" x14ac:dyDescent="0.35">
      <c r="A2143" s="528" t="s">
        <v>6369</v>
      </c>
      <c r="B2143" s="528" t="s">
        <v>6370</v>
      </c>
      <c r="C2143" s="528" t="s">
        <v>6371</v>
      </c>
      <c r="D2143" s="528" t="s">
        <v>251</v>
      </c>
      <c r="E2143" s="528"/>
      <c r="F2143" s="528"/>
      <c r="G2143" s="528" t="s">
        <v>205</v>
      </c>
      <c r="H2143"/>
    </row>
    <row r="2144" spans="1:8" x14ac:dyDescent="0.35">
      <c r="A2144" s="528" t="s">
        <v>6372</v>
      </c>
      <c r="B2144" s="528" t="s">
        <v>6373</v>
      </c>
      <c r="C2144" s="528" t="s">
        <v>6374</v>
      </c>
      <c r="D2144" s="528" t="s">
        <v>238</v>
      </c>
      <c r="E2144" s="528"/>
      <c r="F2144" s="528"/>
      <c r="G2144" s="528" t="s">
        <v>205</v>
      </c>
      <c r="H2144"/>
    </row>
    <row r="2145" spans="1:8" x14ac:dyDescent="0.35">
      <c r="A2145" s="528" t="s">
        <v>6375</v>
      </c>
      <c r="B2145" s="528" t="s">
        <v>6376</v>
      </c>
      <c r="C2145" s="528" t="s">
        <v>6377</v>
      </c>
      <c r="D2145" s="528" t="s">
        <v>238</v>
      </c>
      <c r="E2145" s="528"/>
      <c r="F2145" s="528"/>
      <c r="G2145" s="528" t="s">
        <v>205</v>
      </c>
      <c r="H2145"/>
    </row>
    <row r="2146" spans="1:8" x14ac:dyDescent="0.35">
      <c r="A2146" s="528" t="s">
        <v>6378</v>
      </c>
      <c r="B2146" s="528" t="s">
        <v>6379</v>
      </c>
      <c r="C2146" s="528" t="s">
        <v>6380</v>
      </c>
      <c r="D2146" s="528" t="s">
        <v>251</v>
      </c>
      <c r="E2146" s="528"/>
      <c r="F2146" s="528"/>
      <c r="G2146" s="528" t="s">
        <v>205</v>
      </c>
      <c r="H2146"/>
    </row>
    <row r="2147" spans="1:8" x14ac:dyDescent="0.35">
      <c r="A2147" s="528" t="s">
        <v>6381</v>
      </c>
      <c r="B2147" s="528" t="s">
        <v>6382</v>
      </c>
      <c r="C2147" s="528" t="s">
        <v>6383</v>
      </c>
      <c r="D2147" s="528" t="s">
        <v>251</v>
      </c>
      <c r="E2147" s="528"/>
      <c r="F2147" s="528"/>
      <c r="G2147" s="528" t="s">
        <v>208</v>
      </c>
      <c r="H2147"/>
    </row>
    <row r="2148" spans="1:8" x14ac:dyDescent="0.35">
      <c r="A2148" s="528" t="s">
        <v>6384</v>
      </c>
      <c r="B2148" s="528" t="s">
        <v>6385</v>
      </c>
      <c r="C2148" s="528" t="s">
        <v>6386</v>
      </c>
      <c r="D2148" s="528" t="s">
        <v>251</v>
      </c>
      <c r="E2148" s="528"/>
      <c r="F2148" s="528"/>
      <c r="G2148" s="528" t="s">
        <v>205</v>
      </c>
      <c r="H2148"/>
    </row>
    <row r="2149" spans="1:8" x14ac:dyDescent="0.35">
      <c r="A2149" s="528" t="s">
        <v>6387</v>
      </c>
      <c r="B2149" s="528" t="s">
        <v>6388</v>
      </c>
      <c r="C2149" s="528" t="s">
        <v>6389</v>
      </c>
      <c r="D2149" s="528" t="s">
        <v>251</v>
      </c>
      <c r="E2149" s="528"/>
      <c r="F2149" s="528"/>
      <c r="G2149" s="528" t="s">
        <v>208</v>
      </c>
      <c r="H2149"/>
    </row>
    <row r="2150" spans="1:8" x14ac:dyDescent="0.35">
      <c r="A2150" s="528" t="s">
        <v>6390</v>
      </c>
      <c r="B2150" s="528" t="s">
        <v>6391</v>
      </c>
      <c r="C2150" s="528" t="s">
        <v>6392</v>
      </c>
      <c r="D2150" s="528" t="s">
        <v>251</v>
      </c>
      <c r="E2150" s="528"/>
      <c r="F2150" s="528"/>
      <c r="G2150" s="528" t="s">
        <v>205</v>
      </c>
      <c r="H2150"/>
    </row>
    <row r="2151" spans="1:8" x14ac:dyDescent="0.35">
      <c r="A2151" s="528" t="s">
        <v>6393</v>
      </c>
      <c r="B2151" s="528" t="s">
        <v>6394</v>
      </c>
      <c r="C2151" s="528" t="s">
        <v>6395</v>
      </c>
      <c r="D2151" s="528" t="s">
        <v>277</v>
      </c>
      <c r="E2151" s="528"/>
      <c r="F2151" s="528"/>
      <c r="G2151" s="528" t="s">
        <v>205</v>
      </c>
      <c r="H2151"/>
    </row>
    <row r="2152" spans="1:8" x14ac:dyDescent="0.35">
      <c r="A2152" s="528" t="s">
        <v>6396</v>
      </c>
      <c r="B2152" s="528" t="s">
        <v>6397</v>
      </c>
      <c r="C2152" s="528" t="s">
        <v>6398</v>
      </c>
      <c r="D2152" s="528" t="s">
        <v>277</v>
      </c>
      <c r="E2152" s="528"/>
      <c r="F2152" s="528"/>
      <c r="G2152" s="528" t="s">
        <v>208</v>
      </c>
      <c r="H2152"/>
    </row>
    <row r="2153" spans="1:8" x14ac:dyDescent="0.35">
      <c r="A2153" s="528" t="s">
        <v>6399</v>
      </c>
      <c r="B2153" s="528" t="s">
        <v>6400</v>
      </c>
      <c r="C2153" s="528" t="s">
        <v>4942</v>
      </c>
      <c r="D2153" s="528" t="s">
        <v>264</v>
      </c>
      <c r="E2153" s="528"/>
      <c r="F2153" s="528"/>
      <c r="G2153" s="528" t="s">
        <v>205</v>
      </c>
      <c r="H2153"/>
    </row>
    <row r="2154" spans="1:8" x14ac:dyDescent="0.35">
      <c r="A2154" s="528" t="s">
        <v>6401</v>
      </c>
      <c r="B2154" s="528" t="s">
        <v>6402</v>
      </c>
      <c r="C2154" s="528" t="s">
        <v>6403</v>
      </c>
      <c r="D2154" s="528" t="s">
        <v>264</v>
      </c>
      <c r="E2154" s="528"/>
      <c r="F2154" s="528"/>
      <c r="G2154" s="528" t="s">
        <v>208</v>
      </c>
      <c r="H2154"/>
    </row>
    <row r="2155" spans="1:8" x14ac:dyDescent="0.35">
      <c r="A2155" s="528" t="s">
        <v>6404</v>
      </c>
      <c r="B2155" s="528" t="s">
        <v>6405</v>
      </c>
      <c r="C2155" s="528" t="s">
        <v>6406</v>
      </c>
      <c r="D2155" s="528" t="s">
        <v>277</v>
      </c>
      <c r="E2155" s="528"/>
      <c r="F2155" s="528"/>
      <c r="G2155" s="528" t="s">
        <v>208</v>
      </c>
      <c r="H2155"/>
    </row>
    <row r="2156" spans="1:8" x14ac:dyDescent="0.35">
      <c r="A2156" s="528" t="s">
        <v>6407</v>
      </c>
      <c r="B2156" s="528" t="s">
        <v>6408</v>
      </c>
      <c r="C2156" s="528" t="s">
        <v>6409</v>
      </c>
      <c r="D2156" s="528" t="s">
        <v>264</v>
      </c>
      <c r="E2156" s="528"/>
      <c r="F2156" s="528"/>
      <c r="G2156" s="528" t="s">
        <v>205</v>
      </c>
      <c r="H2156"/>
    </row>
    <row r="2157" spans="1:8" x14ac:dyDescent="0.35">
      <c r="A2157" s="528" t="s">
        <v>6410</v>
      </c>
      <c r="B2157" s="528" t="s">
        <v>6411</v>
      </c>
      <c r="C2157" s="528" t="s">
        <v>6412</v>
      </c>
      <c r="D2157" s="528" t="s">
        <v>251</v>
      </c>
      <c r="E2157" s="528"/>
      <c r="F2157" s="528"/>
      <c r="G2157" s="528" t="s">
        <v>208</v>
      </c>
      <c r="H2157"/>
    </row>
    <row r="2158" spans="1:8" x14ac:dyDescent="0.35">
      <c r="A2158" s="528" t="s">
        <v>6413</v>
      </c>
      <c r="B2158" s="528" t="s">
        <v>6414</v>
      </c>
      <c r="C2158" s="528" t="s">
        <v>6415</v>
      </c>
      <c r="D2158" s="528" t="s">
        <v>277</v>
      </c>
      <c r="E2158" s="528"/>
      <c r="F2158" s="528"/>
      <c r="G2158" s="528" t="s">
        <v>205</v>
      </c>
      <c r="H2158"/>
    </row>
    <row r="2159" spans="1:8" x14ac:dyDescent="0.35">
      <c r="A2159" s="528" t="s">
        <v>6416</v>
      </c>
      <c r="B2159" s="528" t="s">
        <v>6417</v>
      </c>
      <c r="C2159" s="528" t="s">
        <v>6418</v>
      </c>
      <c r="D2159" s="528" t="s">
        <v>225</v>
      </c>
      <c r="E2159" s="528"/>
      <c r="F2159" s="528"/>
      <c r="G2159" s="528" t="s">
        <v>212</v>
      </c>
      <c r="H2159"/>
    </row>
    <row r="2160" spans="1:8" x14ac:dyDescent="0.35">
      <c r="A2160" s="528" t="s">
        <v>6419</v>
      </c>
      <c r="B2160" s="528" t="s">
        <v>6420</v>
      </c>
      <c r="C2160" s="528" t="s">
        <v>1995</v>
      </c>
      <c r="D2160" s="528" t="s">
        <v>264</v>
      </c>
      <c r="E2160" s="528"/>
      <c r="F2160" s="528"/>
      <c r="G2160" s="528" t="s">
        <v>205</v>
      </c>
      <c r="H2160"/>
    </row>
    <row r="2161" spans="1:8" x14ac:dyDescent="0.35">
      <c r="A2161" s="528" t="s">
        <v>6421</v>
      </c>
      <c r="B2161" s="528" t="s">
        <v>6422</v>
      </c>
      <c r="C2161" s="528" t="s">
        <v>1291</v>
      </c>
      <c r="D2161" s="528" t="s">
        <v>264</v>
      </c>
      <c r="E2161" s="528"/>
      <c r="F2161" s="528"/>
      <c r="G2161" s="528" t="s">
        <v>205</v>
      </c>
      <c r="H2161"/>
    </row>
    <row r="2162" spans="1:8" x14ac:dyDescent="0.35">
      <c r="A2162" s="528" t="s">
        <v>6423</v>
      </c>
      <c r="B2162" s="528" t="s">
        <v>6424</v>
      </c>
      <c r="C2162" s="528" t="s">
        <v>6425</v>
      </c>
      <c r="D2162" s="528" t="s">
        <v>264</v>
      </c>
      <c r="E2162" s="528"/>
      <c r="F2162" s="528"/>
      <c r="G2162" s="528" t="s">
        <v>205</v>
      </c>
      <c r="H2162"/>
    </row>
    <row r="2163" spans="1:8" x14ac:dyDescent="0.35">
      <c r="A2163" s="528" t="s">
        <v>6426</v>
      </c>
      <c r="B2163" s="528" t="s">
        <v>6427</v>
      </c>
      <c r="C2163" s="528" t="s">
        <v>6428</v>
      </c>
      <c r="D2163" s="528" t="s">
        <v>277</v>
      </c>
      <c r="E2163" s="528"/>
      <c r="F2163" s="528"/>
      <c r="G2163" s="528" t="s">
        <v>205</v>
      </c>
      <c r="H2163"/>
    </row>
    <row r="2164" spans="1:8" x14ac:dyDescent="0.35">
      <c r="A2164" s="528" t="s">
        <v>6429</v>
      </c>
      <c r="B2164" s="528" t="s">
        <v>6430</v>
      </c>
      <c r="C2164" s="528" t="s">
        <v>6431</v>
      </c>
      <c r="D2164" s="528" t="s">
        <v>277</v>
      </c>
      <c r="E2164" s="528"/>
      <c r="F2164" s="528"/>
      <c r="G2164" s="528" t="s">
        <v>208</v>
      </c>
      <c r="H2164"/>
    </row>
    <row r="2165" spans="1:8" x14ac:dyDescent="0.35">
      <c r="A2165" s="528" t="s">
        <v>6432</v>
      </c>
      <c r="B2165" s="528" t="s">
        <v>6433</v>
      </c>
      <c r="C2165" s="528" t="s">
        <v>6434</v>
      </c>
      <c r="D2165" s="528" t="s">
        <v>251</v>
      </c>
      <c r="E2165" s="528"/>
      <c r="F2165" s="528"/>
      <c r="G2165" s="528" t="s">
        <v>205</v>
      </c>
      <c r="H2165"/>
    </row>
    <row r="2166" spans="1:8" x14ac:dyDescent="0.35">
      <c r="A2166" s="528" t="s">
        <v>6435</v>
      </c>
      <c r="B2166" s="528" t="s">
        <v>6436</v>
      </c>
      <c r="C2166" s="528" t="s">
        <v>1264</v>
      </c>
      <c r="D2166" s="528" t="s">
        <v>264</v>
      </c>
      <c r="E2166" s="528"/>
      <c r="F2166" s="528"/>
      <c r="G2166" s="528" t="s">
        <v>205</v>
      </c>
      <c r="H2166"/>
    </row>
    <row r="2167" spans="1:8" x14ac:dyDescent="0.35">
      <c r="A2167" s="528" t="s">
        <v>6437</v>
      </c>
      <c r="B2167" s="528" t="s">
        <v>6438</v>
      </c>
      <c r="C2167" s="528" t="s">
        <v>6439</v>
      </c>
      <c r="D2167" s="528" t="s">
        <v>277</v>
      </c>
      <c r="E2167" s="528"/>
      <c r="F2167" s="528"/>
      <c r="G2167" s="528" t="s">
        <v>205</v>
      </c>
      <c r="H2167"/>
    </row>
    <row r="2168" spans="1:8" x14ac:dyDescent="0.35">
      <c r="A2168" s="528" t="s">
        <v>6440</v>
      </c>
      <c r="B2168" s="528" t="s">
        <v>6441</v>
      </c>
      <c r="C2168" s="528" t="s">
        <v>6317</v>
      </c>
      <c r="D2168" s="528" t="s">
        <v>277</v>
      </c>
      <c r="E2168" s="528" t="s">
        <v>264</v>
      </c>
      <c r="F2168" s="528"/>
      <c r="G2168" s="528" t="s">
        <v>208</v>
      </c>
      <c r="H2168"/>
    </row>
    <row r="2169" spans="1:8" x14ac:dyDescent="0.35">
      <c r="A2169" s="528" t="s">
        <v>6442</v>
      </c>
      <c r="B2169" s="528" t="s">
        <v>6443</v>
      </c>
      <c r="C2169" s="528" t="s">
        <v>5253</v>
      </c>
      <c r="D2169" s="528" t="s">
        <v>238</v>
      </c>
      <c r="E2169" s="528"/>
      <c r="F2169" s="528"/>
      <c r="G2169" s="528" t="s">
        <v>208</v>
      </c>
      <c r="H2169"/>
    </row>
    <row r="2170" spans="1:8" x14ac:dyDescent="0.35">
      <c r="A2170" s="528" t="s">
        <v>6444</v>
      </c>
      <c r="B2170" s="528" t="s">
        <v>6445</v>
      </c>
      <c r="C2170" s="528" t="s">
        <v>6446</v>
      </c>
      <c r="D2170" s="528" t="s">
        <v>225</v>
      </c>
      <c r="E2170" s="528"/>
      <c r="F2170" s="528"/>
      <c r="G2170" s="528" t="s">
        <v>208</v>
      </c>
      <c r="H2170"/>
    </row>
    <row r="2171" spans="1:8" x14ac:dyDescent="0.35">
      <c r="A2171" s="528" t="s">
        <v>6447</v>
      </c>
      <c r="B2171" s="528" t="s">
        <v>6448</v>
      </c>
      <c r="C2171" s="528" t="s">
        <v>6449</v>
      </c>
      <c r="D2171" s="528" t="s">
        <v>225</v>
      </c>
      <c r="E2171" s="528"/>
      <c r="F2171" s="528"/>
      <c r="G2171" s="528" t="s">
        <v>205</v>
      </c>
      <c r="H2171"/>
    </row>
    <row r="2172" spans="1:8" x14ac:dyDescent="0.35">
      <c r="A2172" s="528" t="s">
        <v>6450</v>
      </c>
      <c r="B2172" s="528" t="s">
        <v>6451</v>
      </c>
      <c r="C2172" s="528" t="s">
        <v>1848</v>
      </c>
      <c r="D2172" s="528" t="s">
        <v>251</v>
      </c>
      <c r="E2172" s="528"/>
      <c r="F2172" s="528"/>
      <c r="G2172" s="528" t="s">
        <v>205</v>
      </c>
      <c r="H2172"/>
    </row>
    <row r="2173" spans="1:8" x14ac:dyDescent="0.35">
      <c r="A2173" s="528" t="s">
        <v>6452</v>
      </c>
      <c r="B2173" s="528" t="s">
        <v>6453</v>
      </c>
      <c r="C2173" s="528" t="s">
        <v>4857</v>
      </c>
      <c r="D2173" s="528" t="s">
        <v>251</v>
      </c>
      <c r="E2173" s="528"/>
      <c r="F2173" s="528"/>
      <c r="G2173" s="528" t="s">
        <v>208</v>
      </c>
      <c r="H2173"/>
    </row>
    <row r="2174" spans="1:8" x14ac:dyDescent="0.35">
      <c r="A2174" s="528" t="s">
        <v>6454</v>
      </c>
      <c r="B2174" s="528" t="s">
        <v>6455</v>
      </c>
      <c r="C2174" s="528" t="s">
        <v>6456</v>
      </c>
      <c r="D2174" s="528" t="s">
        <v>251</v>
      </c>
      <c r="E2174" s="528"/>
      <c r="F2174" s="528"/>
      <c r="G2174" s="528" t="s">
        <v>208</v>
      </c>
      <c r="H2174"/>
    </row>
    <row r="2175" spans="1:8" x14ac:dyDescent="0.35">
      <c r="A2175" s="528" t="s">
        <v>6457</v>
      </c>
      <c r="B2175" s="528" t="s">
        <v>6458</v>
      </c>
      <c r="C2175" s="528" t="s">
        <v>1377</v>
      </c>
      <c r="D2175" s="528" t="s">
        <v>251</v>
      </c>
      <c r="E2175" s="528"/>
      <c r="F2175" s="528"/>
      <c r="G2175" s="528" t="s">
        <v>208</v>
      </c>
      <c r="H2175"/>
    </row>
    <row r="2176" spans="1:8" x14ac:dyDescent="0.35">
      <c r="A2176" s="528" t="s">
        <v>6459</v>
      </c>
      <c r="B2176" s="528" t="s">
        <v>6460</v>
      </c>
      <c r="C2176" s="528" t="s">
        <v>1017</v>
      </c>
      <c r="D2176" s="528" t="s">
        <v>251</v>
      </c>
      <c r="E2176" s="528"/>
      <c r="F2176" s="528"/>
      <c r="G2176" s="528" t="s">
        <v>208</v>
      </c>
      <c r="H2176"/>
    </row>
    <row r="2177" spans="1:8" x14ac:dyDescent="0.35">
      <c r="A2177" s="528" t="s">
        <v>6461</v>
      </c>
      <c r="B2177" s="528" t="s">
        <v>6462</v>
      </c>
      <c r="C2177" s="528" t="s">
        <v>6463</v>
      </c>
      <c r="D2177" s="528" t="s">
        <v>251</v>
      </c>
      <c r="E2177" s="528"/>
      <c r="F2177" s="528"/>
      <c r="G2177" s="528" t="s">
        <v>208</v>
      </c>
      <c r="H2177"/>
    </row>
    <row r="2178" spans="1:8" x14ac:dyDescent="0.35">
      <c r="A2178" s="528" t="s">
        <v>6464</v>
      </c>
      <c r="B2178" s="528" t="s">
        <v>6465</v>
      </c>
      <c r="C2178" s="528" t="s">
        <v>1020</v>
      </c>
      <c r="D2178" s="528" t="s">
        <v>251</v>
      </c>
      <c r="E2178" s="528"/>
      <c r="F2178" s="528"/>
      <c r="G2178" s="528" t="s">
        <v>208</v>
      </c>
      <c r="H2178"/>
    </row>
    <row r="2179" spans="1:8" x14ac:dyDescent="0.35">
      <c r="A2179" s="528" t="s">
        <v>6466</v>
      </c>
      <c r="B2179" s="528" t="s">
        <v>6467</v>
      </c>
      <c r="C2179" s="528" t="s">
        <v>2449</v>
      </c>
      <c r="D2179" s="528" t="s">
        <v>251</v>
      </c>
      <c r="E2179" s="528"/>
      <c r="F2179" s="528"/>
      <c r="G2179" s="528" t="s">
        <v>208</v>
      </c>
      <c r="H2179"/>
    </row>
    <row r="2180" spans="1:8" x14ac:dyDescent="0.35">
      <c r="A2180" s="528" t="s">
        <v>6468</v>
      </c>
      <c r="B2180" s="528" t="s">
        <v>6469</v>
      </c>
      <c r="C2180" s="528" t="s">
        <v>3489</v>
      </c>
      <c r="D2180" s="528" t="s">
        <v>251</v>
      </c>
      <c r="E2180" s="528"/>
      <c r="F2180" s="528"/>
      <c r="G2180" s="528" t="s">
        <v>205</v>
      </c>
      <c r="H2180"/>
    </row>
    <row r="2181" spans="1:8" x14ac:dyDescent="0.35">
      <c r="A2181" s="528" t="s">
        <v>6470</v>
      </c>
      <c r="B2181" s="528" t="s">
        <v>6471</v>
      </c>
      <c r="C2181" s="528" t="s">
        <v>6472</v>
      </c>
      <c r="D2181" s="528" t="s">
        <v>251</v>
      </c>
      <c r="E2181" s="528"/>
      <c r="F2181" s="528"/>
      <c r="G2181" s="528" t="s">
        <v>205</v>
      </c>
      <c r="H2181"/>
    </row>
    <row r="2182" spans="1:8" x14ac:dyDescent="0.35">
      <c r="A2182" s="528" t="s">
        <v>6473</v>
      </c>
      <c r="B2182" s="528" t="s">
        <v>6474</v>
      </c>
      <c r="C2182" s="528" t="s">
        <v>6475</v>
      </c>
      <c r="D2182" s="528" t="s">
        <v>264</v>
      </c>
      <c r="E2182" s="528"/>
      <c r="F2182" s="528"/>
      <c r="G2182" s="528" t="s">
        <v>205</v>
      </c>
      <c r="H2182"/>
    </row>
    <row r="2183" spans="1:8" x14ac:dyDescent="0.35">
      <c r="A2183" s="528" t="s">
        <v>6476</v>
      </c>
      <c r="B2183" s="528" t="s">
        <v>6477</v>
      </c>
      <c r="C2183" s="528" t="s">
        <v>4730</v>
      </c>
      <c r="D2183" s="528" t="s">
        <v>251</v>
      </c>
      <c r="E2183" s="528"/>
      <c r="F2183" s="528"/>
      <c r="G2183" s="528" t="s">
        <v>205</v>
      </c>
      <c r="H2183"/>
    </row>
    <row r="2184" spans="1:8" x14ac:dyDescent="0.35">
      <c r="A2184" s="528" t="s">
        <v>6478</v>
      </c>
      <c r="B2184" s="528" t="s">
        <v>6479</v>
      </c>
      <c r="C2184" s="528" t="s">
        <v>4741</v>
      </c>
      <c r="D2184" s="528" t="s">
        <v>251</v>
      </c>
      <c r="E2184" s="528"/>
      <c r="F2184" s="528"/>
      <c r="G2184" s="528" t="s">
        <v>205</v>
      </c>
      <c r="H2184"/>
    </row>
    <row r="2185" spans="1:8" x14ac:dyDescent="0.35">
      <c r="A2185" s="528" t="s">
        <v>6480</v>
      </c>
      <c r="B2185" s="528" t="s">
        <v>6481</v>
      </c>
      <c r="C2185" s="528" t="s">
        <v>6482</v>
      </c>
      <c r="D2185" s="528" t="s">
        <v>251</v>
      </c>
      <c r="E2185" s="528"/>
      <c r="F2185" s="528"/>
      <c r="G2185" s="528" t="s">
        <v>205</v>
      </c>
      <c r="H2185"/>
    </row>
    <row r="2186" spans="1:8" x14ac:dyDescent="0.35">
      <c r="A2186" s="528" t="s">
        <v>6483</v>
      </c>
      <c r="B2186" s="528" t="s">
        <v>6484</v>
      </c>
      <c r="C2186" s="528" t="s">
        <v>1934</v>
      </c>
      <c r="D2186" s="528" t="s">
        <v>251</v>
      </c>
      <c r="E2186" s="528"/>
      <c r="F2186" s="528"/>
      <c r="G2186" s="528" t="s">
        <v>205</v>
      </c>
      <c r="H2186"/>
    </row>
    <row r="2187" spans="1:8" x14ac:dyDescent="0.35">
      <c r="A2187" s="528" t="s">
        <v>6485</v>
      </c>
      <c r="B2187" s="528" t="s">
        <v>6486</v>
      </c>
      <c r="C2187" s="528" t="s">
        <v>6487</v>
      </c>
      <c r="D2187" s="528" t="s">
        <v>251</v>
      </c>
      <c r="E2187" s="528"/>
      <c r="F2187" s="528"/>
      <c r="G2187" s="528" t="s">
        <v>208</v>
      </c>
      <c r="H2187"/>
    </row>
    <row r="2188" spans="1:8" x14ac:dyDescent="0.35">
      <c r="A2188" s="528" t="s">
        <v>6488</v>
      </c>
      <c r="B2188" s="528" t="s">
        <v>6489</v>
      </c>
      <c r="C2188" s="528" t="s">
        <v>6490</v>
      </c>
      <c r="D2188" s="528" t="s">
        <v>277</v>
      </c>
      <c r="E2188" s="528"/>
      <c r="F2188" s="528"/>
      <c r="G2188" s="528" t="s">
        <v>208</v>
      </c>
      <c r="H2188"/>
    </row>
    <row r="2189" spans="1:8" x14ac:dyDescent="0.35">
      <c r="A2189" s="528" t="s">
        <v>6491</v>
      </c>
      <c r="B2189" s="528" t="s">
        <v>6492</v>
      </c>
      <c r="C2189" s="528" t="s">
        <v>1252</v>
      </c>
      <c r="D2189" s="528" t="s">
        <v>277</v>
      </c>
      <c r="E2189" s="528"/>
      <c r="F2189" s="528"/>
      <c r="G2189" s="528" t="s">
        <v>205</v>
      </c>
      <c r="H2189"/>
    </row>
    <row r="2190" spans="1:8" x14ac:dyDescent="0.35">
      <c r="A2190" s="528" t="s">
        <v>6493</v>
      </c>
      <c r="B2190" s="528" t="s">
        <v>6494</v>
      </c>
      <c r="C2190" s="528" t="s">
        <v>6495</v>
      </c>
      <c r="D2190" s="528" t="s">
        <v>225</v>
      </c>
      <c r="E2190" s="528"/>
      <c r="F2190" s="528"/>
      <c r="G2190" s="528" t="s">
        <v>205</v>
      </c>
      <c r="H2190"/>
    </row>
    <row r="2191" spans="1:8" x14ac:dyDescent="0.35">
      <c r="A2191" s="528" t="s">
        <v>6496</v>
      </c>
      <c r="B2191" s="528" t="s">
        <v>6497</v>
      </c>
      <c r="C2191" s="528" t="s">
        <v>6498</v>
      </c>
      <c r="D2191" s="528" t="s">
        <v>225</v>
      </c>
      <c r="E2191" s="528"/>
      <c r="F2191" s="528"/>
      <c r="G2191" s="528" t="s">
        <v>205</v>
      </c>
      <c r="H2191"/>
    </row>
    <row r="2192" spans="1:8" x14ac:dyDescent="0.35">
      <c r="A2192" s="528" t="s">
        <v>6499</v>
      </c>
      <c r="B2192" s="528" t="s">
        <v>6500</v>
      </c>
      <c r="C2192" s="528" t="s">
        <v>6501</v>
      </c>
      <c r="D2192" s="528" t="s">
        <v>264</v>
      </c>
      <c r="E2192" s="528" t="s">
        <v>277</v>
      </c>
      <c r="F2192" s="528"/>
      <c r="G2192" s="528" t="s">
        <v>208</v>
      </c>
      <c r="H2192"/>
    </row>
    <row r="2193" spans="1:8" x14ac:dyDescent="0.35">
      <c r="A2193" s="528" t="s">
        <v>6502</v>
      </c>
      <c r="B2193" s="528" t="s">
        <v>6503</v>
      </c>
      <c r="C2193" s="528" t="s">
        <v>6504</v>
      </c>
      <c r="D2193" s="528" t="s">
        <v>251</v>
      </c>
      <c r="E2193" s="528"/>
      <c r="F2193" s="528"/>
      <c r="G2193" s="528" t="s">
        <v>208</v>
      </c>
      <c r="H2193"/>
    </row>
    <row r="2194" spans="1:8" x14ac:dyDescent="0.35">
      <c r="A2194" s="528" t="s">
        <v>6505</v>
      </c>
      <c r="B2194" s="528" t="s">
        <v>6506</v>
      </c>
      <c r="C2194" s="528" t="s">
        <v>6507</v>
      </c>
      <c r="D2194" s="528" t="s">
        <v>277</v>
      </c>
      <c r="E2194" s="528"/>
      <c r="F2194" s="528"/>
      <c r="G2194" s="528" t="s">
        <v>208</v>
      </c>
      <c r="H2194"/>
    </row>
    <row r="2195" spans="1:8" x14ac:dyDescent="0.35">
      <c r="A2195" s="528" t="s">
        <v>6508</v>
      </c>
      <c r="B2195" s="528" t="s">
        <v>6509</v>
      </c>
      <c r="C2195" s="528" t="s">
        <v>6510</v>
      </c>
      <c r="D2195" s="528" t="s">
        <v>251</v>
      </c>
      <c r="E2195" s="528"/>
      <c r="F2195" s="528"/>
      <c r="G2195" s="528" t="s">
        <v>208</v>
      </c>
      <c r="H2195"/>
    </row>
    <row r="2196" spans="1:8" x14ac:dyDescent="0.35">
      <c r="A2196" s="528" t="s">
        <v>6511</v>
      </c>
      <c r="B2196" s="528" t="s">
        <v>6512</v>
      </c>
      <c r="C2196" s="528" t="s">
        <v>1828</v>
      </c>
      <c r="D2196" s="528" t="s">
        <v>277</v>
      </c>
      <c r="E2196" s="528"/>
      <c r="F2196" s="528"/>
      <c r="G2196" s="528" t="s">
        <v>205</v>
      </c>
      <c r="H2196"/>
    </row>
    <row r="2197" spans="1:8" x14ac:dyDescent="0.35">
      <c r="A2197" s="528" t="s">
        <v>6513</v>
      </c>
      <c r="B2197" s="528" t="s">
        <v>6514</v>
      </c>
      <c r="C2197" s="528" t="s">
        <v>1903</v>
      </c>
      <c r="D2197" s="528" t="s">
        <v>277</v>
      </c>
      <c r="E2197" s="528"/>
      <c r="F2197" s="528"/>
      <c r="G2197" s="528" t="s">
        <v>205</v>
      </c>
      <c r="H2197"/>
    </row>
    <row r="2198" spans="1:8" x14ac:dyDescent="0.35">
      <c r="A2198" s="528" t="s">
        <v>6515</v>
      </c>
      <c r="B2198" s="528" t="s">
        <v>6516</v>
      </c>
      <c r="C2198" s="528" t="s">
        <v>6517</v>
      </c>
      <c r="D2198" s="528" t="s">
        <v>264</v>
      </c>
      <c r="E2198" s="528"/>
      <c r="F2198" s="528"/>
      <c r="G2198" s="528" t="s">
        <v>205</v>
      </c>
      <c r="H2198"/>
    </row>
    <row r="2199" spans="1:8" x14ac:dyDescent="0.35">
      <c r="A2199" s="528" t="s">
        <v>6518</v>
      </c>
      <c r="B2199" s="528" t="s">
        <v>6519</v>
      </c>
      <c r="C2199" s="528" t="s">
        <v>6520</v>
      </c>
      <c r="D2199" s="528" t="s">
        <v>225</v>
      </c>
      <c r="E2199" s="528"/>
      <c r="F2199" s="528"/>
      <c r="G2199" s="528" t="s">
        <v>205</v>
      </c>
      <c r="H2199"/>
    </row>
    <row r="2200" spans="1:8" x14ac:dyDescent="0.35">
      <c r="A2200" s="528" t="s">
        <v>6521</v>
      </c>
      <c r="B2200" s="528" t="s">
        <v>6522</v>
      </c>
      <c r="C2200" s="528" t="s">
        <v>6523</v>
      </c>
      <c r="D2200" s="528" t="s">
        <v>251</v>
      </c>
      <c r="E2200" s="528"/>
      <c r="F2200" s="528"/>
      <c r="G2200" s="528" t="s">
        <v>208</v>
      </c>
      <c r="H2200"/>
    </row>
    <row r="2201" spans="1:8" x14ac:dyDescent="0.35">
      <c r="A2201" s="528" t="s">
        <v>6524</v>
      </c>
      <c r="B2201" s="528" t="s">
        <v>6525</v>
      </c>
      <c r="C2201" s="528" t="s">
        <v>6526</v>
      </c>
      <c r="D2201" s="528" t="s">
        <v>251</v>
      </c>
      <c r="E2201" s="528"/>
      <c r="F2201" s="528"/>
      <c r="G2201" s="528" t="s">
        <v>208</v>
      </c>
      <c r="H2201"/>
    </row>
    <row r="2202" spans="1:8" x14ac:dyDescent="0.35">
      <c r="A2202" s="528" t="s">
        <v>6527</v>
      </c>
      <c r="B2202" s="528" t="s">
        <v>6528</v>
      </c>
      <c r="C2202" s="528" t="s">
        <v>6529</v>
      </c>
      <c r="D2202" s="528" t="s">
        <v>251</v>
      </c>
      <c r="E2202" s="528"/>
      <c r="F2202" s="528"/>
      <c r="G2202" s="528" t="s">
        <v>208</v>
      </c>
      <c r="H2202"/>
    </row>
    <row r="2203" spans="1:8" x14ac:dyDescent="0.35">
      <c r="A2203" s="528" t="s">
        <v>6530</v>
      </c>
      <c r="B2203" s="528" t="s">
        <v>6531</v>
      </c>
      <c r="C2203" s="528" t="s">
        <v>6532</v>
      </c>
      <c r="D2203" s="528" t="s">
        <v>251</v>
      </c>
      <c r="E2203" s="528"/>
      <c r="F2203" s="528"/>
      <c r="G2203" s="528" t="s">
        <v>208</v>
      </c>
      <c r="H2203"/>
    </row>
    <row r="2204" spans="1:8" x14ac:dyDescent="0.35">
      <c r="A2204" s="528" t="s">
        <v>6533</v>
      </c>
      <c r="B2204" s="528" t="s">
        <v>6534</v>
      </c>
      <c r="C2204" s="528" t="s">
        <v>6535</v>
      </c>
      <c r="D2204" s="528" t="s">
        <v>251</v>
      </c>
      <c r="E2204" s="528"/>
      <c r="F2204" s="528"/>
      <c r="G2204" s="528" t="s">
        <v>208</v>
      </c>
      <c r="H2204"/>
    </row>
    <row r="2205" spans="1:8" x14ac:dyDescent="0.35">
      <c r="A2205" s="528" t="s">
        <v>6536</v>
      </c>
      <c r="B2205" s="528" t="s">
        <v>6537</v>
      </c>
      <c r="C2205" s="528" t="s">
        <v>6538</v>
      </c>
      <c r="D2205" s="528" t="s">
        <v>251</v>
      </c>
      <c r="E2205" s="528"/>
      <c r="F2205" s="528"/>
      <c r="G2205" s="528" t="s">
        <v>208</v>
      </c>
      <c r="H2205"/>
    </row>
    <row r="2206" spans="1:8" x14ac:dyDescent="0.35">
      <c r="A2206" s="528" t="s">
        <v>6539</v>
      </c>
      <c r="B2206" s="528" t="s">
        <v>6540</v>
      </c>
      <c r="C2206" s="528" t="s">
        <v>6541</v>
      </c>
      <c r="D2206" s="528" t="s">
        <v>264</v>
      </c>
      <c r="E2206" s="528"/>
      <c r="F2206" s="528"/>
      <c r="G2206" s="528" t="s">
        <v>212</v>
      </c>
      <c r="H2206"/>
    </row>
    <row r="2207" spans="1:8" x14ac:dyDescent="0.35">
      <c r="A2207" s="528" t="s">
        <v>6542</v>
      </c>
      <c r="B2207" s="528" t="s">
        <v>6543</v>
      </c>
      <c r="C2207" s="528" t="s">
        <v>6544</v>
      </c>
      <c r="D2207" s="528" t="s">
        <v>277</v>
      </c>
      <c r="E2207" s="528"/>
      <c r="F2207" s="528"/>
      <c r="G2207" s="528" t="s">
        <v>212</v>
      </c>
      <c r="H2207"/>
    </row>
    <row r="2208" spans="1:8" x14ac:dyDescent="0.35">
      <c r="A2208" s="528" t="s">
        <v>6545</v>
      </c>
      <c r="B2208" s="528" t="s">
        <v>6546</v>
      </c>
      <c r="C2208" s="528" t="s">
        <v>6547</v>
      </c>
      <c r="D2208" s="528" t="s">
        <v>264</v>
      </c>
      <c r="E2208" s="528"/>
      <c r="F2208" s="528"/>
      <c r="G2208" s="528" t="s">
        <v>205</v>
      </c>
      <c r="H2208"/>
    </row>
    <row r="2209" spans="1:8" x14ac:dyDescent="0.35">
      <c r="A2209" s="528" t="s">
        <v>6548</v>
      </c>
      <c r="B2209" s="528" t="s">
        <v>6549</v>
      </c>
      <c r="C2209" s="528" t="s">
        <v>6550</v>
      </c>
      <c r="D2209" s="528" t="s">
        <v>251</v>
      </c>
      <c r="E2209" s="528"/>
      <c r="F2209" s="528"/>
      <c r="G2209" s="528" t="s">
        <v>205</v>
      </c>
      <c r="H2209"/>
    </row>
    <row r="2210" spans="1:8" x14ac:dyDescent="0.35">
      <c r="A2210" s="528" t="s">
        <v>6551</v>
      </c>
      <c r="B2210" s="528" t="s">
        <v>6552</v>
      </c>
      <c r="C2210" s="528" t="s">
        <v>6553</v>
      </c>
      <c r="D2210" s="528" t="s">
        <v>251</v>
      </c>
      <c r="E2210" s="528"/>
      <c r="F2210" s="528"/>
      <c r="G2210" s="528" t="s">
        <v>205</v>
      </c>
      <c r="H2210"/>
    </row>
    <row r="2211" spans="1:8" x14ac:dyDescent="0.35">
      <c r="A2211" s="528" t="s">
        <v>6554</v>
      </c>
      <c r="B2211" s="528" t="s">
        <v>6555</v>
      </c>
      <c r="C2211" s="528" t="s">
        <v>6556</v>
      </c>
      <c r="D2211" s="528" t="s">
        <v>225</v>
      </c>
      <c r="E2211" s="528" t="s">
        <v>264</v>
      </c>
      <c r="F2211" s="528"/>
      <c r="G2211" s="528" t="s">
        <v>208</v>
      </c>
      <c r="H2211"/>
    </row>
    <row r="2212" spans="1:8" x14ac:dyDescent="0.35">
      <c r="A2212" s="528" t="s">
        <v>6557</v>
      </c>
      <c r="B2212" s="528" t="s">
        <v>6558</v>
      </c>
      <c r="C2212" s="528" t="s">
        <v>6559</v>
      </c>
      <c r="D2212" s="528" t="s">
        <v>277</v>
      </c>
      <c r="E2212" s="528"/>
      <c r="F2212" s="528"/>
      <c r="G2212" s="528" t="s">
        <v>212</v>
      </c>
      <c r="H2212"/>
    </row>
    <row r="2213" spans="1:8" x14ac:dyDescent="0.35">
      <c r="A2213" s="528" t="s">
        <v>6560</v>
      </c>
      <c r="B2213" s="528" t="s">
        <v>6561</v>
      </c>
      <c r="C2213" s="528" t="s">
        <v>6562</v>
      </c>
      <c r="D2213" s="528" t="s">
        <v>277</v>
      </c>
      <c r="E2213" s="528"/>
      <c r="F2213" s="528"/>
      <c r="G2213" s="528" t="s">
        <v>208</v>
      </c>
      <c r="H2213"/>
    </row>
    <row r="2214" spans="1:8" x14ac:dyDescent="0.35">
      <c r="A2214" s="528" t="s">
        <v>6563</v>
      </c>
      <c r="B2214" s="528" t="s">
        <v>6564</v>
      </c>
      <c r="C2214" s="528" t="s">
        <v>1122</v>
      </c>
      <c r="D2214" s="528" t="s">
        <v>277</v>
      </c>
      <c r="E2214" s="528"/>
      <c r="F2214" s="528"/>
      <c r="G2214" s="528" t="s">
        <v>205</v>
      </c>
      <c r="H2214"/>
    </row>
    <row r="2215" spans="1:8" x14ac:dyDescent="0.35">
      <c r="A2215" s="528" t="s">
        <v>6565</v>
      </c>
      <c r="B2215" s="528" t="s">
        <v>6566</v>
      </c>
      <c r="C2215" s="528" t="s">
        <v>6567</v>
      </c>
      <c r="D2215" s="528" t="s">
        <v>225</v>
      </c>
      <c r="E2215" s="528"/>
      <c r="F2215" s="528"/>
      <c r="G2215" s="528" t="s">
        <v>205</v>
      </c>
      <c r="H2215"/>
    </row>
    <row r="2216" spans="1:8" x14ac:dyDescent="0.35">
      <c r="A2216" s="528" t="s">
        <v>6568</v>
      </c>
      <c r="B2216" s="528" t="s">
        <v>6569</v>
      </c>
      <c r="C2216" s="528" t="s">
        <v>6570</v>
      </c>
      <c r="D2216" s="528" t="s">
        <v>264</v>
      </c>
      <c r="E2216" s="528"/>
      <c r="F2216" s="528"/>
      <c r="G2216" s="528" t="s">
        <v>208</v>
      </c>
      <c r="H2216"/>
    </row>
    <row r="2217" spans="1:8" x14ac:dyDescent="0.35">
      <c r="A2217" s="528" t="s">
        <v>6571</v>
      </c>
      <c r="B2217" s="528" t="s">
        <v>6572</v>
      </c>
      <c r="C2217" s="528" t="s">
        <v>751</v>
      </c>
      <c r="D2217" s="528" t="s">
        <v>251</v>
      </c>
      <c r="E2217" s="528"/>
      <c r="F2217" s="528"/>
      <c r="G2217" s="528" t="s">
        <v>208</v>
      </c>
      <c r="H2217"/>
    </row>
    <row r="2218" spans="1:8" x14ac:dyDescent="0.35">
      <c r="A2218" s="528" t="s">
        <v>6573</v>
      </c>
      <c r="B2218" s="528" t="s">
        <v>6574</v>
      </c>
      <c r="C2218" s="528" t="s">
        <v>6575</v>
      </c>
      <c r="D2218" s="528" t="s">
        <v>251</v>
      </c>
      <c r="E2218" s="528"/>
      <c r="F2218" s="528"/>
      <c r="G2218" s="528" t="s">
        <v>205</v>
      </c>
      <c r="H2218"/>
    </row>
    <row r="2219" spans="1:8" x14ac:dyDescent="0.35">
      <c r="A2219" s="528" t="s">
        <v>6576</v>
      </c>
      <c r="B2219" s="528" t="s">
        <v>6577</v>
      </c>
      <c r="C2219" s="528" t="s">
        <v>6578</v>
      </c>
      <c r="D2219" s="528" t="s">
        <v>251</v>
      </c>
      <c r="E2219" s="528" t="s">
        <v>277</v>
      </c>
      <c r="F2219" s="528"/>
      <c r="G2219" s="528" t="s">
        <v>208</v>
      </c>
      <c r="H2219"/>
    </row>
    <row r="2220" spans="1:8" x14ac:dyDescent="0.35">
      <c r="A2220" s="528" t="s">
        <v>6579</v>
      </c>
      <c r="B2220" s="528" t="s">
        <v>6580</v>
      </c>
      <c r="C2220" s="528" t="s">
        <v>1377</v>
      </c>
      <c r="D2220" s="528" t="s">
        <v>251</v>
      </c>
      <c r="E2220" s="528"/>
      <c r="F2220" s="528"/>
      <c r="G2220" s="528" t="s">
        <v>208</v>
      </c>
      <c r="H2220"/>
    </row>
    <row r="2221" spans="1:8" x14ac:dyDescent="0.35">
      <c r="A2221" s="528" t="s">
        <v>6581</v>
      </c>
      <c r="B2221" s="528" t="s">
        <v>6582</v>
      </c>
      <c r="C2221" s="528" t="s">
        <v>6583</v>
      </c>
      <c r="D2221" s="528" t="s">
        <v>251</v>
      </c>
      <c r="E2221" s="528"/>
      <c r="F2221" s="528"/>
      <c r="G2221" s="528" t="s">
        <v>205</v>
      </c>
      <c r="H2221"/>
    </row>
    <row r="2222" spans="1:8" x14ac:dyDescent="0.35">
      <c r="A2222" s="528" t="s">
        <v>6584</v>
      </c>
      <c r="B2222" s="528" t="s">
        <v>6585</v>
      </c>
      <c r="C2222" s="528" t="s">
        <v>1341</v>
      </c>
      <c r="D2222" s="528" t="s">
        <v>277</v>
      </c>
      <c r="E2222" s="528"/>
      <c r="F2222" s="528"/>
      <c r="G2222" s="528" t="s">
        <v>205</v>
      </c>
      <c r="H2222"/>
    </row>
    <row r="2223" spans="1:8" x14ac:dyDescent="0.35">
      <c r="A2223" s="528" t="s">
        <v>6586</v>
      </c>
      <c r="B2223" s="528" t="s">
        <v>6587</v>
      </c>
      <c r="C2223" s="528" t="s">
        <v>6588</v>
      </c>
      <c r="D2223" s="528" t="s">
        <v>225</v>
      </c>
      <c r="E2223" s="528" t="s">
        <v>277</v>
      </c>
      <c r="F2223" s="528"/>
      <c r="G2223" s="528" t="s">
        <v>205</v>
      </c>
      <c r="H2223"/>
    </row>
    <row r="2224" spans="1:8" x14ac:dyDescent="0.35">
      <c r="A2224" s="528" t="s">
        <v>6589</v>
      </c>
      <c r="B2224" s="528" t="s">
        <v>6590</v>
      </c>
      <c r="C2224" s="528" t="s">
        <v>6591</v>
      </c>
      <c r="D2224" s="528" t="s">
        <v>225</v>
      </c>
      <c r="E2224" s="528"/>
      <c r="F2224" s="528"/>
      <c r="G2224" s="528" t="s">
        <v>205</v>
      </c>
      <c r="H2224"/>
    </row>
    <row r="2225" spans="1:8" x14ac:dyDescent="0.35">
      <c r="A2225" s="528" t="s">
        <v>6592</v>
      </c>
      <c r="B2225" s="528" t="s">
        <v>6593</v>
      </c>
      <c r="C2225" s="528" t="s">
        <v>6594</v>
      </c>
      <c r="D2225" s="528" t="s">
        <v>225</v>
      </c>
      <c r="E2225" s="528"/>
      <c r="F2225" s="528"/>
      <c r="G2225" s="528" t="s">
        <v>205</v>
      </c>
      <c r="H2225"/>
    </row>
    <row r="2226" spans="1:8" x14ac:dyDescent="0.35">
      <c r="A2226" s="528" t="s">
        <v>6595</v>
      </c>
      <c r="B2226" s="528" t="s">
        <v>6596</v>
      </c>
      <c r="C2226" s="528" t="s">
        <v>6597</v>
      </c>
      <c r="D2226" s="528" t="s">
        <v>225</v>
      </c>
      <c r="E2226" s="528"/>
      <c r="F2226" s="528"/>
      <c r="G2226" s="528" t="s">
        <v>205</v>
      </c>
      <c r="H2226"/>
    </row>
    <row r="2227" spans="1:8" x14ac:dyDescent="0.35">
      <c r="A2227" s="528" t="s">
        <v>6598</v>
      </c>
      <c r="B2227" s="528" t="s">
        <v>6599</v>
      </c>
      <c r="C2227" s="528" t="s">
        <v>2231</v>
      </c>
      <c r="D2227" s="528" t="s">
        <v>225</v>
      </c>
      <c r="E2227" s="528"/>
      <c r="F2227" s="528"/>
      <c r="G2227" s="528" t="s">
        <v>205</v>
      </c>
      <c r="H2227"/>
    </row>
    <row r="2228" spans="1:8" x14ac:dyDescent="0.35">
      <c r="A2228" s="528" t="s">
        <v>6600</v>
      </c>
      <c r="B2228" s="528" t="s">
        <v>6601</v>
      </c>
      <c r="C2228" s="528" t="s">
        <v>4300</v>
      </c>
      <c r="D2228" s="528" t="s">
        <v>225</v>
      </c>
      <c r="E2228" s="528"/>
      <c r="F2228" s="528"/>
      <c r="G2228" s="528" t="s">
        <v>205</v>
      </c>
      <c r="H2228"/>
    </row>
    <row r="2229" spans="1:8" x14ac:dyDescent="0.35">
      <c r="A2229" s="528" t="s">
        <v>6602</v>
      </c>
      <c r="B2229" s="528" t="s">
        <v>6603</v>
      </c>
      <c r="C2229" s="528" t="s">
        <v>4490</v>
      </c>
      <c r="D2229" s="528" t="s">
        <v>225</v>
      </c>
      <c r="E2229" s="528"/>
      <c r="F2229" s="528"/>
      <c r="G2229" s="528" t="s">
        <v>205</v>
      </c>
      <c r="H2229"/>
    </row>
    <row r="2230" spans="1:8" x14ac:dyDescent="0.35">
      <c r="A2230" s="528" t="s">
        <v>6604</v>
      </c>
      <c r="B2230" s="528" t="s">
        <v>6605</v>
      </c>
      <c r="C2230" s="528" t="s">
        <v>4487</v>
      </c>
      <c r="D2230" s="528" t="s">
        <v>225</v>
      </c>
      <c r="E2230" s="528"/>
      <c r="F2230" s="528"/>
      <c r="G2230" s="528" t="s">
        <v>205</v>
      </c>
      <c r="H2230"/>
    </row>
    <row r="2231" spans="1:8" x14ac:dyDescent="0.35">
      <c r="A2231" s="528" t="s">
        <v>6606</v>
      </c>
      <c r="B2231" s="528" t="s">
        <v>6607</v>
      </c>
      <c r="C2231" s="528" t="s">
        <v>1341</v>
      </c>
      <c r="D2231" s="528" t="s">
        <v>277</v>
      </c>
      <c r="E2231" s="528"/>
      <c r="F2231" s="528"/>
      <c r="G2231" s="528" t="s">
        <v>205</v>
      </c>
      <c r="H2231"/>
    </row>
    <row r="2232" spans="1:8" x14ac:dyDescent="0.35">
      <c r="A2232" s="528" t="s">
        <v>6608</v>
      </c>
      <c r="B2232" s="528" t="s">
        <v>6609</v>
      </c>
      <c r="C2232" s="528" t="s">
        <v>6610</v>
      </c>
      <c r="D2232" s="528" t="s">
        <v>277</v>
      </c>
      <c r="E2232" s="528"/>
      <c r="F2232" s="528"/>
      <c r="G2232" s="528" t="s">
        <v>205</v>
      </c>
      <c r="H2232"/>
    </row>
    <row r="2233" spans="1:8" x14ac:dyDescent="0.35">
      <c r="A2233" s="528" t="s">
        <v>6611</v>
      </c>
      <c r="B2233" s="528" t="s">
        <v>6612</v>
      </c>
      <c r="C2233" s="528" t="s">
        <v>6613</v>
      </c>
      <c r="D2233" s="528" t="s">
        <v>277</v>
      </c>
      <c r="E2233" s="528"/>
      <c r="F2233" s="528"/>
      <c r="G2233" s="528" t="s">
        <v>205</v>
      </c>
      <c r="H2233"/>
    </row>
    <row r="2234" spans="1:8" x14ac:dyDescent="0.35">
      <c r="A2234" s="528" t="s">
        <v>6614</v>
      </c>
      <c r="B2234" s="528" t="s">
        <v>6615</v>
      </c>
      <c r="C2234" s="528" t="s">
        <v>6616</v>
      </c>
      <c r="D2234" s="528" t="s">
        <v>277</v>
      </c>
      <c r="E2234" s="528"/>
      <c r="F2234" s="528"/>
      <c r="G2234" s="528" t="s">
        <v>205</v>
      </c>
      <c r="H2234"/>
    </row>
    <row r="2235" spans="1:8" x14ac:dyDescent="0.35">
      <c r="A2235" s="528" t="s">
        <v>6617</v>
      </c>
      <c r="B2235" s="528" t="s">
        <v>6618</v>
      </c>
      <c r="C2235" s="528" t="s">
        <v>6619</v>
      </c>
      <c r="D2235" s="528" t="s">
        <v>277</v>
      </c>
      <c r="E2235" s="528"/>
      <c r="F2235" s="528"/>
      <c r="G2235" s="528" t="s">
        <v>205</v>
      </c>
      <c r="H2235"/>
    </row>
    <row r="2236" spans="1:8" x14ac:dyDescent="0.35">
      <c r="A2236" s="528" t="s">
        <v>6620</v>
      </c>
      <c r="B2236" s="528" t="s">
        <v>6621</v>
      </c>
      <c r="C2236" s="528" t="s">
        <v>6622</v>
      </c>
      <c r="D2236" s="528" t="s">
        <v>277</v>
      </c>
      <c r="E2236" s="528"/>
      <c r="F2236" s="528"/>
      <c r="G2236" s="528" t="s">
        <v>205</v>
      </c>
      <c r="H2236"/>
    </row>
    <row r="2237" spans="1:8" x14ac:dyDescent="0.35">
      <c r="A2237" s="528" t="s">
        <v>6623</v>
      </c>
      <c r="B2237" s="528" t="s">
        <v>6624</v>
      </c>
      <c r="C2237" s="528" t="s">
        <v>2115</v>
      </c>
      <c r="D2237" s="528" t="s">
        <v>277</v>
      </c>
      <c r="E2237" s="528"/>
      <c r="F2237" s="528"/>
      <c r="G2237" s="528" t="s">
        <v>205</v>
      </c>
      <c r="H2237"/>
    </row>
    <row r="2238" spans="1:8" x14ac:dyDescent="0.35">
      <c r="A2238" s="528" t="s">
        <v>6625</v>
      </c>
      <c r="B2238" s="528" t="s">
        <v>6626</v>
      </c>
      <c r="C2238" s="528" t="s">
        <v>5786</v>
      </c>
      <c r="D2238" s="528" t="s">
        <v>277</v>
      </c>
      <c r="E2238" s="528"/>
      <c r="F2238" s="528"/>
      <c r="G2238" s="528" t="s">
        <v>205</v>
      </c>
      <c r="H2238"/>
    </row>
    <row r="2239" spans="1:8" x14ac:dyDescent="0.35">
      <c r="A2239" s="528" t="s">
        <v>6627</v>
      </c>
      <c r="B2239" s="528" t="s">
        <v>6628</v>
      </c>
      <c r="C2239" s="528" t="s">
        <v>6629</v>
      </c>
      <c r="D2239" s="528" t="s">
        <v>277</v>
      </c>
      <c r="E2239" s="528"/>
      <c r="F2239" s="528"/>
      <c r="G2239" s="528" t="s">
        <v>205</v>
      </c>
      <c r="H2239"/>
    </row>
    <row r="2240" spans="1:8" x14ac:dyDescent="0.35">
      <c r="A2240" s="528" t="s">
        <v>6630</v>
      </c>
      <c r="B2240" s="528" t="s">
        <v>6631</v>
      </c>
      <c r="C2240" s="528" t="s">
        <v>6632</v>
      </c>
      <c r="D2240" s="528" t="s">
        <v>264</v>
      </c>
      <c r="E2240" s="528"/>
      <c r="F2240" s="528"/>
      <c r="G2240" s="528" t="s">
        <v>205</v>
      </c>
      <c r="H2240"/>
    </row>
    <row r="2241" spans="1:8" x14ac:dyDescent="0.35">
      <c r="A2241" s="528" t="s">
        <v>6633</v>
      </c>
      <c r="B2241" s="528" t="s">
        <v>6634</v>
      </c>
      <c r="C2241" s="528" t="s">
        <v>6635</v>
      </c>
      <c r="D2241" s="528" t="s">
        <v>277</v>
      </c>
      <c r="E2241" s="528"/>
      <c r="F2241" s="528"/>
      <c r="G2241" s="528" t="s">
        <v>205</v>
      </c>
      <c r="H2241"/>
    </row>
    <row r="2242" spans="1:8" x14ac:dyDescent="0.35">
      <c r="A2242" s="528" t="s">
        <v>6636</v>
      </c>
      <c r="B2242" s="528" t="s">
        <v>6637</v>
      </c>
      <c r="C2242" s="528" t="s">
        <v>6638</v>
      </c>
      <c r="D2242" s="528" t="s">
        <v>225</v>
      </c>
      <c r="E2242" s="528"/>
      <c r="F2242" s="528"/>
      <c r="G2242" s="528" t="s">
        <v>208</v>
      </c>
      <c r="H2242"/>
    </row>
    <row r="2243" spans="1:8" x14ac:dyDescent="0.35">
      <c r="A2243" s="528" t="s">
        <v>6639</v>
      </c>
      <c r="B2243" s="528" t="s">
        <v>6640</v>
      </c>
      <c r="C2243" s="528" t="s">
        <v>6641</v>
      </c>
      <c r="D2243" s="528" t="s">
        <v>277</v>
      </c>
      <c r="E2243" s="528"/>
      <c r="F2243" s="528"/>
      <c r="G2243" s="528" t="s">
        <v>208</v>
      </c>
      <c r="H2243"/>
    </row>
    <row r="2244" spans="1:8" x14ac:dyDescent="0.35">
      <c r="A2244" s="528" t="s">
        <v>6642</v>
      </c>
      <c r="B2244" s="528" t="s">
        <v>6643</v>
      </c>
      <c r="C2244" s="528" t="s">
        <v>2855</v>
      </c>
      <c r="D2244" s="528" t="s">
        <v>251</v>
      </c>
      <c r="E2244" s="528"/>
      <c r="F2244" s="528"/>
      <c r="G2244" s="528" t="s">
        <v>208</v>
      </c>
      <c r="H2244"/>
    </row>
    <row r="2245" spans="1:8" x14ac:dyDescent="0.35">
      <c r="A2245" s="528" t="s">
        <v>6644</v>
      </c>
      <c r="B2245" s="528" t="s">
        <v>6645</v>
      </c>
      <c r="C2245" s="528" t="s">
        <v>6646</v>
      </c>
      <c r="D2245" s="528" t="s">
        <v>238</v>
      </c>
      <c r="E2245" s="528"/>
      <c r="F2245" s="528"/>
      <c r="G2245" s="528" t="s">
        <v>205</v>
      </c>
      <c r="H2245"/>
    </row>
    <row r="2246" spans="1:8" x14ac:dyDescent="0.35">
      <c r="A2246" s="528" t="s">
        <v>6647</v>
      </c>
      <c r="B2246" s="528" t="s">
        <v>6648</v>
      </c>
      <c r="C2246" s="528" t="s">
        <v>6649</v>
      </c>
      <c r="D2246" s="528" t="s">
        <v>238</v>
      </c>
      <c r="E2246" s="528"/>
      <c r="F2246" s="528"/>
      <c r="G2246" s="528" t="s">
        <v>205</v>
      </c>
      <c r="H2246"/>
    </row>
    <row r="2247" spans="1:8" x14ac:dyDescent="0.35">
      <c r="A2247" s="528" t="s">
        <v>6650</v>
      </c>
      <c r="B2247" s="528" t="s">
        <v>6651</v>
      </c>
      <c r="C2247" s="528" t="s">
        <v>6652</v>
      </c>
      <c r="D2247" s="528" t="s">
        <v>238</v>
      </c>
      <c r="E2247" s="528"/>
      <c r="F2247" s="528"/>
      <c r="G2247" s="528" t="s">
        <v>205</v>
      </c>
      <c r="H2247"/>
    </row>
    <row r="2248" spans="1:8" x14ac:dyDescent="0.35">
      <c r="A2248" s="528" t="s">
        <v>6653</v>
      </c>
      <c r="B2248" s="528" t="s">
        <v>6654</v>
      </c>
      <c r="C2248" s="528" t="s">
        <v>6655</v>
      </c>
      <c r="D2248" s="528" t="s">
        <v>225</v>
      </c>
      <c r="E2248" s="528"/>
      <c r="F2248" s="528"/>
      <c r="G2248" s="528" t="s">
        <v>205</v>
      </c>
      <c r="H2248"/>
    </row>
    <row r="2249" spans="1:8" x14ac:dyDescent="0.35">
      <c r="A2249" s="528" t="s">
        <v>6656</v>
      </c>
      <c r="B2249" s="528" t="s">
        <v>6657</v>
      </c>
      <c r="C2249" s="528" t="s">
        <v>1377</v>
      </c>
      <c r="D2249" s="528" t="s">
        <v>251</v>
      </c>
      <c r="E2249" s="528"/>
      <c r="F2249" s="528"/>
      <c r="G2249" s="528" t="s">
        <v>208</v>
      </c>
      <c r="H2249"/>
    </row>
    <row r="2250" spans="1:8" x14ac:dyDescent="0.35">
      <c r="A2250" s="528" t="s">
        <v>6658</v>
      </c>
      <c r="B2250" s="528" t="s">
        <v>6659</v>
      </c>
      <c r="C2250" s="528" t="s">
        <v>6660</v>
      </c>
      <c r="D2250" s="528" t="s">
        <v>251</v>
      </c>
      <c r="E2250" s="528"/>
      <c r="F2250" s="528"/>
      <c r="G2250" s="528" t="s">
        <v>208</v>
      </c>
      <c r="H2250"/>
    </row>
    <row r="2251" spans="1:8" x14ac:dyDescent="0.35">
      <c r="A2251" s="528" t="s">
        <v>6661</v>
      </c>
      <c r="B2251" s="528" t="s">
        <v>6662</v>
      </c>
      <c r="C2251" s="528" t="s">
        <v>751</v>
      </c>
      <c r="D2251" s="528" t="s">
        <v>251</v>
      </c>
      <c r="E2251" s="528"/>
      <c r="F2251" s="528"/>
      <c r="G2251" s="528" t="s">
        <v>208</v>
      </c>
      <c r="H2251"/>
    </row>
    <row r="2252" spans="1:8" x14ac:dyDescent="0.35">
      <c r="A2252" s="528" t="s">
        <v>6663</v>
      </c>
      <c r="B2252" s="528" t="s">
        <v>6664</v>
      </c>
      <c r="C2252" s="528" t="s">
        <v>6665</v>
      </c>
      <c r="D2252" s="528" t="s">
        <v>277</v>
      </c>
      <c r="E2252" s="528"/>
      <c r="F2252" s="528"/>
      <c r="G2252" s="528" t="s">
        <v>208</v>
      </c>
      <c r="H2252"/>
    </row>
    <row r="2253" spans="1:8" x14ac:dyDescent="0.35">
      <c r="A2253" s="528" t="s">
        <v>6666</v>
      </c>
      <c r="B2253" s="528" t="s">
        <v>6667</v>
      </c>
      <c r="C2253" s="528" t="s">
        <v>6668</v>
      </c>
      <c r="D2253" s="528" t="s">
        <v>264</v>
      </c>
      <c r="E2253" s="528"/>
      <c r="F2253" s="528"/>
      <c r="G2253" s="528" t="s">
        <v>208</v>
      </c>
      <c r="H2253"/>
    </row>
    <row r="2254" spans="1:8" x14ac:dyDescent="0.35">
      <c r="A2254" s="528" t="s">
        <v>6669</v>
      </c>
      <c r="B2254" s="528" t="s">
        <v>6670</v>
      </c>
      <c r="C2254" s="528" t="s">
        <v>1536</v>
      </c>
      <c r="D2254" s="528" t="s">
        <v>277</v>
      </c>
      <c r="E2254" s="528"/>
      <c r="F2254" s="528"/>
      <c r="G2254" s="528" t="s">
        <v>208</v>
      </c>
      <c r="H2254"/>
    </row>
    <row r="2255" spans="1:8" x14ac:dyDescent="0.35">
      <c r="A2255" s="528" t="s">
        <v>6671</v>
      </c>
      <c r="B2255" s="528" t="s">
        <v>6672</v>
      </c>
      <c r="C2255" s="528" t="s">
        <v>6673</v>
      </c>
      <c r="D2255" s="528" t="s">
        <v>277</v>
      </c>
      <c r="E2255" s="528"/>
      <c r="F2255" s="528"/>
      <c r="G2255" s="528" t="s">
        <v>208</v>
      </c>
      <c r="H2255"/>
    </row>
    <row r="2256" spans="1:8" x14ac:dyDescent="0.35">
      <c r="A2256" s="528" t="s">
        <v>6674</v>
      </c>
      <c r="B2256" s="528" t="s">
        <v>6675</v>
      </c>
      <c r="C2256" s="528" t="s">
        <v>6676</v>
      </c>
      <c r="D2256" s="528" t="s">
        <v>264</v>
      </c>
      <c r="E2256" s="528"/>
      <c r="F2256" s="528"/>
      <c r="G2256" s="528" t="s">
        <v>208</v>
      </c>
      <c r="H2256"/>
    </row>
    <row r="2257" spans="1:8" x14ac:dyDescent="0.35">
      <c r="A2257" s="528" t="s">
        <v>6677</v>
      </c>
      <c r="B2257" s="528" t="s">
        <v>6678</v>
      </c>
      <c r="C2257" s="528" t="s">
        <v>6679</v>
      </c>
      <c r="D2257" s="528" t="s">
        <v>277</v>
      </c>
      <c r="E2257" s="528"/>
      <c r="F2257" s="528"/>
      <c r="G2257" s="528" t="s">
        <v>208</v>
      </c>
      <c r="H2257"/>
    </row>
    <row r="2258" spans="1:8" x14ac:dyDescent="0.35">
      <c r="A2258" s="528" t="s">
        <v>6680</v>
      </c>
      <c r="B2258" s="528" t="s">
        <v>6681</v>
      </c>
      <c r="C2258" s="528" t="s">
        <v>1536</v>
      </c>
      <c r="D2258" s="528" t="s">
        <v>277</v>
      </c>
      <c r="E2258" s="528"/>
      <c r="F2258" s="528"/>
      <c r="G2258" s="528" t="s">
        <v>208</v>
      </c>
      <c r="H2258"/>
    </row>
    <row r="2259" spans="1:8" x14ac:dyDescent="0.35">
      <c r="A2259" s="528" t="s">
        <v>6682</v>
      </c>
      <c r="B2259" s="528" t="s">
        <v>6683</v>
      </c>
      <c r="C2259" s="528" t="s">
        <v>6684</v>
      </c>
      <c r="D2259" s="528" t="s">
        <v>225</v>
      </c>
      <c r="E2259" s="528"/>
      <c r="F2259" s="528"/>
      <c r="G2259" s="528" t="s">
        <v>208</v>
      </c>
      <c r="H2259"/>
    </row>
    <row r="2260" spans="1:8" x14ac:dyDescent="0.35">
      <c r="A2260" s="528" t="s">
        <v>6685</v>
      </c>
      <c r="B2260" s="528" t="s">
        <v>6686</v>
      </c>
      <c r="C2260" s="528" t="s">
        <v>6687</v>
      </c>
      <c r="D2260" s="528" t="s">
        <v>277</v>
      </c>
      <c r="E2260" s="528"/>
      <c r="F2260" s="528"/>
      <c r="G2260" s="528" t="s">
        <v>208</v>
      </c>
      <c r="H2260"/>
    </row>
    <row r="2261" spans="1:8" x14ac:dyDescent="0.35">
      <c r="A2261" s="528" t="s">
        <v>6688</v>
      </c>
      <c r="B2261" s="528" t="s">
        <v>6689</v>
      </c>
      <c r="C2261" s="528" t="s">
        <v>6690</v>
      </c>
      <c r="D2261" s="528" t="s">
        <v>277</v>
      </c>
      <c r="E2261" s="528"/>
      <c r="F2261" s="528"/>
      <c r="G2261" s="528" t="s">
        <v>208</v>
      </c>
      <c r="H2261"/>
    </row>
    <row r="2262" spans="1:8" x14ac:dyDescent="0.35">
      <c r="A2262" s="528" t="s">
        <v>6691</v>
      </c>
      <c r="B2262" s="528" t="s">
        <v>6692</v>
      </c>
      <c r="C2262" s="528" t="s">
        <v>6693</v>
      </c>
      <c r="D2262" s="528" t="s">
        <v>264</v>
      </c>
      <c r="E2262" s="528"/>
      <c r="F2262" s="528"/>
      <c r="G2262" s="528" t="s">
        <v>208</v>
      </c>
      <c r="H2262"/>
    </row>
    <row r="2263" spans="1:8" x14ac:dyDescent="0.35">
      <c r="A2263" s="528" t="s">
        <v>6694</v>
      </c>
      <c r="B2263" s="528" t="s">
        <v>6695</v>
      </c>
      <c r="C2263" s="528" t="s">
        <v>6696</v>
      </c>
      <c r="D2263" s="528" t="s">
        <v>225</v>
      </c>
      <c r="E2263" s="528"/>
      <c r="F2263" s="528"/>
      <c r="G2263" s="528" t="s">
        <v>208</v>
      </c>
      <c r="H2263"/>
    </row>
    <row r="2264" spans="1:8" x14ac:dyDescent="0.35">
      <c r="A2264" s="528" t="s">
        <v>6697</v>
      </c>
      <c r="B2264" s="528" t="s">
        <v>6698</v>
      </c>
      <c r="C2264" s="528" t="s">
        <v>6699</v>
      </c>
      <c r="D2264" s="528" t="s">
        <v>264</v>
      </c>
      <c r="E2264" s="528" t="s">
        <v>277</v>
      </c>
      <c r="F2264" s="528"/>
      <c r="G2264" s="528" t="s">
        <v>208</v>
      </c>
      <c r="H2264"/>
    </row>
    <row r="2265" spans="1:8" x14ac:dyDescent="0.35">
      <c r="A2265" s="528" t="s">
        <v>6700</v>
      </c>
      <c r="B2265" s="528" t="s">
        <v>6701</v>
      </c>
      <c r="C2265" s="528" t="s">
        <v>6702</v>
      </c>
      <c r="D2265" s="528" t="s">
        <v>225</v>
      </c>
      <c r="E2265" s="528"/>
      <c r="F2265" s="528"/>
      <c r="G2265" s="528" t="s">
        <v>208</v>
      </c>
      <c r="H2265"/>
    </row>
    <row r="2266" spans="1:8" x14ac:dyDescent="0.35">
      <c r="A2266" s="528" t="s">
        <v>6703</v>
      </c>
      <c r="B2266" s="528" t="s">
        <v>6704</v>
      </c>
      <c r="C2266" s="528" t="s">
        <v>6705</v>
      </c>
      <c r="D2266" s="528" t="s">
        <v>277</v>
      </c>
      <c r="E2266" s="528"/>
      <c r="F2266" s="528"/>
      <c r="G2266" s="528" t="s">
        <v>208</v>
      </c>
      <c r="H2266"/>
    </row>
    <row r="2267" spans="1:8" x14ac:dyDescent="0.35">
      <c r="A2267" s="528" t="s">
        <v>6706</v>
      </c>
      <c r="B2267" s="528" t="s">
        <v>6707</v>
      </c>
      <c r="C2267" s="528" t="s">
        <v>6708</v>
      </c>
      <c r="D2267" s="528" t="s">
        <v>264</v>
      </c>
      <c r="E2267" s="528"/>
      <c r="F2267" s="528"/>
      <c r="G2267" s="528" t="s">
        <v>208</v>
      </c>
      <c r="H2267"/>
    </row>
    <row r="2268" spans="1:8" x14ac:dyDescent="0.35">
      <c r="A2268" s="528" t="s">
        <v>6709</v>
      </c>
      <c r="B2268" s="528" t="s">
        <v>6710</v>
      </c>
      <c r="C2268" s="528" t="s">
        <v>6711</v>
      </c>
      <c r="D2268" s="528" t="s">
        <v>264</v>
      </c>
      <c r="E2268" s="528"/>
      <c r="F2268" s="528"/>
      <c r="G2268" s="528" t="s">
        <v>205</v>
      </c>
      <c r="H2268"/>
    </row>
    <row r="2269" spans="1:8" x14ac:dyDescent="0.35">
      <c r="A2269" s="528" t="s">
        <v>6712</v>
      </c>
      <c r="B2269" s="528" t="s">
        <v>6713</v>
      </c>
      <c r="C2269" s="528" t="s">
        <v>6714</v>
      </c>
      <c r="D2269" s="528" t="s">
        <v>264</v>
      </c>
      <c r="E2269" s="528"/>
      <c r="F2269" s="528"/>
      <c r="G2269" s="528" t="s">
        <v>205</v>
      </c>
      <c r="H2269"/>
    </row>
    <row r="2270" spans="1:8" x14ac:dyDescent="0.35">
      <c r="A2270" s="528" t="s">
        <v>6715</v>
      </c>
      <c r="B2270" s="528" t="s">
        <v>6716</v>
      </c>
      <c r="C2270" s="528" t="s">
        <v>6717</v>
      </c>
      <c r="D2270" s="528" t="s">
        <v>264</v>
      </c>
      <c r="E2270" s="528"/>
      <c r="F2270" s="528"/>
      <c r="G2270" s="528" t="s">
        <v>205</v>
      </c>
      <c r="H2270"/>
    </row>
    <row r="2271" spans="1:8" x14ac:dyDescent="0.35">
      <c r="A2271" s="528" t="s">
        <v>6718</v>
      </c>
      <c r="B2271" s="528" t="s">
        <v>6719</v>
      </c>
      <c r="C2271" s="528" t="s">
        <v>6720</v>
      </c>
      <c r="D2271" s="528" t="s">
        <v>277</v>
      </c>
      <c r="E2271" s="528"/>
      <c r="F2271" s="528"/>
      <c r="G2271" s="528" t="s">
        <v>205</v>
      </c>
      <c r="H2271"/>
    </row>
    <row r="2272" spans="1:8" x14ac:dyDescent="0.35">
      <c r="A2272" s="528" t="s">
        <v>6721</v>
      </c>
      <c r="B2272" s="528" t="s">
        <v>6722</v>
      </c>
      <c r="C2272" s="528" t="s">
        <v>6723</v>
      </c>
      <c r="D2272" s="528" t="s">
        <v>277</v>
      </c>
      <c r="E2272" s="528"/>
      <c r="F2272" s="528"/>
      <c r="G2272" s="528" t="s">
        <v>205</v>
      </c>
      <c r="H2272"/>
    </row>
    <row r="2273" spans="1:8" x14ac:dyDescent="0.35">
      <c r="A2273" s="528" t="s">
        <v>6724</v>
      </c>
      <c r="B2273" s="528" t="s">
        <v>6725</v>
      </c>
      <c r="C2273" s="528" t="s">
        <v>6726</v>
      </c>
      <c r="D2273" s="528" t="s">
        <v>264</v>
      </c>
      <c r="E2273" s="528"/>
      <c r="F2273" s="528"/>
      <c r="G2273" s="528" t="s">
        <v>205</v>
      </c>
      <c r="H2273"/>
    </row>
    <row r="2274" spans="1:8" x14ac:dyDescent="0.35">
      <c r="A2274" s="528" t="s">
        <v>6727</v>
      </c>
      <c r="B2274" s="528" t="s">
        <v>6728</v>
      </c>
      <c r="C2274" s="528" t="s">
        <v>6729</v>
      </c>
      <c r="D2274" s="528" t="s">
        <v>264</v>
      </c>
      <c r="E2274" s="528"/>
      <c r="F2274" s="528"/>
      <c r="G2274" s="528" t="s">
        <v>208</v>
      </c>
      <c r="H2274"/>
    </row>
    <row r="2275" spans="1:8" x14ac:dyDescent="0.35">
      <c r="A2275" s="528" t="s">
        <v>6730</v>
      </c>
      <c r="B2275" s="528" t="s">
        <v>6731</v>
      </c>
      <c r="C2275" s="528" t="s">
        <v>6732</v>
      </c>
      <c r="D2275" s="528" t="s">
        <v>264</v>
      </c>
      <c r="E2275" s="528"/>
      <c r="F2275" s="528"/>
      <c r="G2275" s="528" t="s">
        <v>208</v>
      </c>
      <c r="H2275"/>
    </row>
    <row r="2276" spans="1:8" x14ac:dyDescent="0.35">
      <c r="A2276" s="528" t="s">
        <v>6733</v>
      </c>
      <c r="B2276" s="528" t="s">
        <v>6734</v>
      </c>
      <c r="C2276" s="528" t="s">
        <v>1341</v>
      </c>
      <c r="D2276" s="528" t="s">
        <v>277</v>
      </c>
      <c r="E2276" s="528"/>
      <c r="F2276" s="528"/>
      <c r="G2276" s="528" t="s">
        <v>205</v>
      </c>
      <c r="H2276"/>
    </row>
    <row r="2277" spans="1:8" x14ac:dyDescent="0.35">
      <c r="A2277" s="528" t="s">
        <v>6735</v>
      </c>
      <c r="B2277" s="528" t="s">
        <v>6736</v>
      </c>
      <c r="C2277" s="528" t="s">
        <v>6737</v>
      </c>
      <c r="D2277" s="528" t="s">
        <v>264</v>
      </c>
      <c r="E2277" s="528"/>
      <c r="F2277" s="528"/>
      <c r="G2277" s="528" t="s">
        <v>205</v>
      </c>
      <c r="H2277"/>
    </row>
    <row r="2278" spans="1:8" x14ac:dyDescent="0.35">
      <c r="A2278" s="528" t="s">
        <v>6738</v>
      </c>
      <c r="B2278" s="528" t="s">
        <v>6739</v>
      </c>
      <c r="C2278" s="528" t="s">
        <v>6740</v>
      </c>
      <c r="D2278" s="528" t="s">
        <v>251</v>
      </c>
      <c r="E2278" s="528"/>
      <c r="F2278" s="528"/>
      <c r="G2278" s="528" t="s">
        <v>205</v>
      </c>
      <c r="H2278"/>
    </row>
    <row r="2279" spans="1:8" x14ac:dyDescent="0.35">
      <c r="A2279" s="528" t="s">
        <v>6741</v>
      </c>
      <c r="B2279" s="528" t="s">
        <v>6742</v>
      </c>
      <c r="C2279" s="528" t="s">
        <v>1510</v>
      </c>
      <c r="D2279" s="528" t="s">
        <v>277</v>
      </c>
      <c r="E2279" s="528"/>
      <c r="F2279" s="528"/>
      <c r="G2279" s="528" t="s">
        <v>205</v>
      </c>
      <c r="H2279"/>
    </row>
    <row r="2280" spans="1:8" x14ac:dyDescent="0.35">
      <c r="A2280" s="528" t="s">
        <v>6743</v>
      </c>
      <c r="B2280" s="528" t="s">
        <v>6744</v>
      </c>
      <c r="C2280" s="528" t="s">
        <v>6745</v>
      </c>
      <c r="D2280" s="528" t="s">
        <v>238</v>
      </c>
      <c r="E2280" s="528"/>
      <c r="F2280" s="528"/>
      <c r="G2280" s="528" t="s">
        <v>205</v>
      </c>
      <c r="H2280"/>
    </row>
    <row r="2281" spans="1:8" x14ac:dyDescent="0.35">
      <c r="A2281" s="528" t="s">
        <v>6746</v>
      </c>
      <c r="B2281" s="528" t="s">
        <v>6747</v>
      </c>
      <c r="C2281" s="528" t="s">
        <v>6748</v>
      </c>
      <c r="D2281" s="528" t="s">
        <v>277</v>
      </c>
      <c r="E2281" s="528"/>
      <c r="F2281" s="528"/>
      <c r="G2281" s="528" t="s">
        <v>205</v>
      </c>
      <c r="H2281"/>
    </row>
    <row r="2282" spans="1:8" x14ac:dyDescent="0.35">
      <c r="A2282" s="528" t="s">
        <v>6749</v>
      </c>
      <c r="B2282" s="528" t="s">
        <v>6750</v>
      </c>
      <c r="C2282" s="528" t="s">
        <v>1828</v>
      </c>
      <c r="D2282" s="528" t="s">
        <v>277</v>
      </c>
      <c r="E2282" s="528"/>
      <c r="F2282" s="528"/>
      <c r="G2282" s="528" t="s">
        <v>205</v>
      </c>
      <c r="H2282"/>
    </row>
    <row r="2283" spans="1:8" x14ac:dyDescent="0.35">
      <c r="A2283" s="528" t="s">
        <v>6751</v>
      </c>
      <c r="B2283" s="528" t="s">
        <v>6752</v>
      </c>
      <c r="C2283" s="528" t="s">
        <v>6753</v>
      </c>
      <c r="D2283" s="528" t="s">
        <v>264</v>
      </c>
      <c r="E2283" s="528" t="s">
        <v>277</v>
      </c>
      <c r="F2283" s="528"/>
      <c r="G2283" s="528" t="s">
        <v>205</v>
      </c>
      <c r="H2283"/>
    </row>
    <row r="2284" spans="1:8" x14ac:dyDescent="0.35">
      <c r="A2284" s="528" t="s">
        <v>6754</v>
      </c>
      <c r="B2284" s="528" t="s">
        <v>6755</v>
      </c>
      <c r="C2284" s="528" t="s">
        <v>1291</v>
      </c>
      <c r="D2284" s="528" t="s">
        <v>264</v>
      </c>
      <c r="E2284" s="528"/>
      <c r="F2284" s="528"/>
      <c r="G2284" s="528" t="s">
        <v>205</v>
      </c>
      <c r="H2284"/>
    </row>
    <row r="2285" spans="1:8" x14ac:dyDescent="0.35">
      <c r="A2285" s="528" t="s">
        <v>6756</v>
      </c>
      <c r="B2285" s="528" t="s">
        <v>6757</v>
      </c>
      <c r="C2285" s="528" t="s">
        <v>6758</v>
      </c>
      <c r="D2285" s="528" t="s">
        <v>277</v>
      </c>
      <c r="E2285" s="528"/>
      <c r="F2285" s="528"/>
      <c r="G2285" s="528" t="s">
        <v>205</v>
      </c>
      <c r="H2285"/>
    </row>
    <row r="2286" spans="1:8" x14ac:dyDescent="0.35">
      <c r="A2286" s="528" t="s">
        <v>6759</v>
      </c>
      <c r="B2286" s="528" t="s">
        <v>6760</v>
      </c>
      <c r="C2286" s="528" t="s">
        <v>6761</v>
      </c>
      <c r="D2286" s="528" t="s">
        <v>225</v>
      </c>
      <c r="E2286" s="528"/>
      <c r="F2286" s="528"/>
      <c r="G2286" s="528" t="s">
        <v>205</v>
      </c>
      <c r="H2286"/>
    </row>
    <row r="2287" spans="1:8" x14ac:dyDescent="0.35">
      <c r="A2287" s="528" t="s">
        <v>6762</v>
      </c>
      <c r="B2287" s="528" t="s">
        <v>6763</v>
      </c>
      <c r="C2287" s="528" t="s">
        <v>6764</v>
      </c>
      <c r="D2287" s="528" t="s">
        <v>251</v>
      </c>
      <c r="E2287" s="528"/>
      <c r="F2287" s="528"/>
      <c r="G2287" s="528" t="s">
        <v>205</v>
      </c>
      <c r="H2287"/>
    </row>
    <row r="2288" spans="1:8" x14ac:dyDescent="0.35">
      <c r="A2288" s="528" t="s">
        <v>6765</v>
      </c>
      <c r="B2288" s="528" t="s">
        <v>6766</v>
      </c>
      <c r="C2288" s="528" t="s">
        <v>6767</v>
      </c>
      <c r="D2288" s="528" t="s">
        <v>251</v>
      </c>
      <c r="E2288" s="528"/>
      <c r="F2288" s="528"/>
      <c r="G2288" s="528" t="s">
        <v>205</v>
      </c>
      <c r="H2288"/>
    </row>
    <row r="2289" spans="1:8" x14ac:dyDescent="0.35">
      <c r="A2289" s="528" t="s">
        <v>6768</v>
      </c>
      <c r="B2289" s="528" t="s">
        <v>6769</v>
      </c>
      <c r="C2289" s="528" t="s">
        <v>6770</v>
      </c>
      <c r="D2289" s="528" t="s">
        <v>251</v>
      </c>
      <c r="E2289" s="528"/>
      <c r="F2289" s="528"/>
      <c r="G2289" s="528" t="s">
        <v>205</v>
      </c>
      <c r="H2289"/>
    </row>
    <row r="2290" spans="1:8" x14ac:dyDescent="0.35">
      <c r="A2290" s="528" t="s">
        <v>6771</v>
      </c>
      <c r="B2290" s="528" t="s">
        <v>6772</v>
      </c>
      <c r="C2290" s="528" t="s">
        <v>6773</v>
      </c>
      <c r="D2290" s="528" t="s">
        <v>277</v>
      </c>
      <c r="E2290" s="528"/>
      <c r="F2290" s="528"/>
      <c r="G2290" s="528" t="s">
        <v>205</v>
      </c>
      <c r="H2290"/>
    </row>
    <row r="2291" spans="1:8" x14ac:dyDescent="0.35">
      <c r="A2291" s="528" t="s">
        <v>6774</v>
      </c>
      <c r="B2291" s="528" t="s">
        <v>6775</v>
      </c>
      <c r="C2291" s="528" t="s">
        <v>6776</v>
      </c>
      <c r="D2291" s="528" t="s">
        <v>277</v>
      </c>
      <c r="E2291" s="528"/>
      <c r="F2291" s="528"/>
      <c r="G2291" s="528" t="s">
        <v>205</v>
      </c>
      <c r="H2291"/>
    </row>
    <row r="2292" spans="1:8" x14ac:dyDescent="0.35">
      <c r="A2292" s="528" t="s">
        <v>6777</v>
      </c>
      <c r="B2292" s="528" t="s">
        <v>6778</v>
      </c>
      <c r="C2292" s="528" t="s">
        <v>1407</v>
      </c>
      <c r="D2292" s="528" t="s">
        <v>225</v>
      </c>
      <c r="E2292" s="528"/>
      <c r="F2292" s="528"/>
      <c r="G2292" s="528" t="s">
        <v>205</v>
      </c>
      <c r="H2292"/>
    </row>
    <row r="2293" spans="1:8" x14ac:dyDescent="0.35">
      <c r="A2293" s="528" t="s">
        <v>6779</v>
      </c>
      <c r="B2293" s="528" t="s">
        <v>6780</v>
      </c>
      <c r="C2293" s="528" t="s">
        <v>6781</v>
      </c>
      <c r="D2293" s="528" t="s">
        <v>225</v>
      </c>
      <c r="E2293" s="528"/>
      <c r="F2293" s="528"/>
      <c r="G2293" s="528" t="s">
        <v>205</v>
      </c>
      <c r="H2293"/>
    </row>
    <row r="2294" spans="1:8" x14ac:dyDescent="0.35">
      <c r="A2294" s="528" t="s">
        <v>6782</v>
      </c>
      <c r="B2294" s="528" t="s">
        <v>6783</v>
      </c>
      <c r="C2294" s="528" t="s">
        <v>6784</v>
      </c>
      <c r="D2294" s="528" t="s">
        <v>225</v>
      </c>
      <c r="E2294" s="528"/>
      <c r="F2294" s="528"/>
      <c r="G2294" s="528" t="s">
        <v>205</v>
      </c>
      <c r="H2294"/>
    </row>
    <row r="2295" spans="1:8" x14ac:dyDescent="0.35">
      <c r="A2295" s="528" t="s">
        <v>6785</v>
      </c>
      <c r="B2295" s="528" t="s">
        <v>6786</v>
      </c>
      <c r="C2295" s="528" t="s">
        <v>6787</v>
      </c>
      <c r="D2295" s="528" t="s">
        <v>225</v>
      </c>
      <c r="E2295" s="528"/>
      <c r="F2295" s="528"/>
      <c r="G2295" s="528" t="s">
        <v>205</v>
      </c>
      <c r="H2295"/>
    </row>
    <row r="2296" spans="1:8" x14ac:dyDescent="0.35">
      <c r="A2296" s="528" t="s">
        <v>6788</v>
      </c>
      <c r="B2296" s="528" t="s">
        <v>6789</v>
      </c>
      <c r="C2296" s="528" t="s">
        <v>6790</v>
      </c>
      <c r="D2296" s="528" t="s">
        <v>225</v>
      </c>
      <c r="E2296" s="528"/>
      <c r="F2296" s="528"/>
      <c r="G2296" s="528" t="s">
        <v>205</v>
      </c>
      <c r="H2296"/>
    </row>
    <row r="2297" spans="1:8" x14ac:dyDescent="0.35">
      <c r="A2297" s="528" t="s">
        <v>6791</v>
      </c>
      <c r="B2297" s="528" t="s">
        <v>6792</v>
      </c>
      <c r="C2297" s="528" t="s">
        <v>6793</v>
      </c>
      <c r="D2297" s="528" t="s">
        <v>264</v>
      </c>
      <c r="E2297" s="528"/>
      <c r="F2297" s="528"/>
      <c r="G2297" s="528" t="s">
        <v>205</v>
      </c>
      <c r="H2297"/>
    </row>
    <row r="2298" spans="1:8" x14ac:dyDescent="0.35">
      <c r="A2298" s="528" t="s">
        <v>6794</v>
      </c>
      <c r="B2298" s="528" t="s">
        <v>6795</v>
      </c>
      <c r="C2298" s="528" t="s">
        <v>6796</v>
      </c>
      <c r="D2298" s="528" t="s">
        <v>238</v>
      </c>
      <c r="E2298" s="528"/>
      <c r="F2298" s="528"/>
      <c r="G2298" s="528" t="s">
        <v>205</v>
      </c>
      <c r="H2298"/>
    </row>
    <row r="2299" spans="1:8" x14ac:dyDescent="0.35">
      <c r="A2299" s="528" t="s">
        <v>6797</v>
      </c>
      <c r="B2299" s="528" t="s">
        <v>6798</v>
      </c>
      <c r="C2299" s="528" t="s">
        <v>6799</v>
      </c>
      <c r="D2299" s="528" t="s">
        <v>238</v>
      </c>
      <c r="E2299" s="528"/>
      <c r="F2299" s="528"/>
      <c r="G2299" s="528" t="s">
        <v>205</v>
      </c>
      <c r="H2299"/>
    </row>
    <row r="2300" spans="1:8" x14ac:dyDescent="0.35">
      <c r="A2300" s="528" t="s">
        <v>6800</v>
      </c>
      <c r="B2300" s="528" t="s">
        <v>6801</v>
      </c>
      <c r="C2300" s="528" t="s">
        <v>6802</v>
      </c>
      <c r="D2300" s="528" t="s">
        <v>264</v>
      </c>
      <c r="E2300" s="528"/>
      <c r="F2300" s="528"/>
      <c r="G2300" s="528" t="s">
        <v>205</v>
      </c>
      <c r="H2300"/>
    </row>
    <row r="2301" spans="1:8" x14ac:dyDescent="0.35">
      <c r="A2301" s="528" t="s">
        <v>6803</v>
      </c>
      <c r="B2301" s="528" t="s">
        <v>6804</v>
      </c>
      <c r="C2301" s="528" t="s">
        <v>2835</v>
      </c>
      <c r="D2301" s="528" t="s">
        <v>225</v>
      </c>
      <c r="E2301" s="528"/>
      <c r="F2301" s="528"/>
      <c r="G2301" s="528" t="s">
        <v>205</v>
      </c>
      <c r="H2301"/>
    </row>
    <row r="2302" spans="1:8" x14ac:dyDescent="0.35">
      <c r="A2302" s="528" t="s">
        <v>6805</v>
      </c>
      <c r="B2302" s="528" t="s">
        <v>6806</v>
      </c>
      <c r="C2302" s="528" t="s">
        <v>6807</v>
      </c>
      <c r="D2302" s="528" t="s">
        <v>225</v>
      </c>
      <c r="E2302" s="528"/>
      <c r="F2302" s="528"/>
      <c r="G2302" s="528" t="s">
        <v>205</v>
      </c>
      <c r="H2302"/>
    </row>
    <row r="2303" spans="1:8" x14ac:dyDescent="0.35">
      <c r="A2303" s="528" t="s">
        <v>6808</v>
      </c>
      <c r="B2303" s="528" t="s">
        <v>6809</v>
      </c>
      <c r="C2303" s="528" t="s">
        <v>6810</v>
      </c>
      <c r="D2303" s="528" t="s">
        <v>225</v>
      </c>
      <c r="E2303" s="528"/>
      <c r="F2303" s="528"/>
      <c r="G2303" s="528" t="s">
        <v>205</v>
      </c>
      <c r="H2303"/>
    </row>
    <row r="2304" spans="1:8" x14ac:dyDescent="0.35">
      <c r="A2304" s="528" t="s">
        <v>6811</v>
      </c>
      <c r="B2304" s="528" t="s">
        <v>6812</v>
      </c>
      <c r="C2304" s="528" t="s">
        <v>6813</v>
      </c>
      <c r="D2304" s="528" t="s">
        <v>264</v>
      </c>
      <c r="E2304" s="528"/>
      <c r="F2304" s="528"/>
      <c r="G2304" s="528" t="s">
        <v>205</v>
      </c>
      <c r="H2304"/>
    </row>
    <row r="2305" spans="1:8" x14ac:dyDescent="0.35">
      <c r="A2305" s="528" t="s">
        <v>6814</v>
      </c>
      <c r="B2305" s="528" t="s">
        <v>6815</v>
      </c>
      <c r="C2305" s="528" t="s">
        <v>3967</v>
      </c>
      <c r="D2305" s="528" t="s">
        <v>225</v>
      </c>
      <c r="E2305" s="528"/>
      <c r="F2305" s="528"/>
      <c r="G2305" s="528" t="s">
        <v>205</v>
      </c>
      <c r="H2305"/>
    </row>
    <row r="2306" spans="1:8" x14ac:dyDescent="0.35">
      <c r="A2306" s="528" t="s">
        <v>6816</v>
      </c>
      <c r="B2306" s="528" t="s">
        <v>6817</v>
      </c>
      <c r="C2306" s="528" t="s">
        <v>6818</v>
      </c>
      <c r="D2306" s="528" t="s">
        <v>264</v>
      </c>
      <c r="E2306" s="528"/>
      <c r="F2306" s="528"/>
      <c r="G2306" s="528" t="s">
        <v>205</v>
      </c>
      <c r="H2306"/>
    </row>
    <row r="2307" spans="1:8" x14ac:dyDescent="0.35">
      <c r="A2307" s="528" t="s">
        <v>6819</v>
      </c>
      <c r="B2307" s="528" t="s">
        <v>6820</v>
      </c>
      <c r="C2307" s="528" t="s">
        <v>6821</v>
      </c>
      <c r="D2307" s="528" t="s">
        <v>264</v>
      </c>
      <c r="E2307" s="528"/>
      <c r="F2307" s="528"/>
      <c r="G2307" s="528" t="s">
        <v>205</v>
      </c>
      <c r="H2307"/>
    </row>
    <row r="2308" spans="1:8" x14ac:dyDescent="0.35">
      <c r="A2308" s="528" t="s">
        <v>6822</v>
      </c>
      <c r="B2308" s="528" t="s">
        <v>6823</v>
      </c>
      <c r="C2308" s="528" t="s">
        <v>2100</v>
      </c>
      <c r="D2308" s="528" t="s">
        <v>225</v>
      </c>
      <c r="E2308" s="528"/>
      <c r="F2308" s="528"/>
      <c r="G2308" s="528" t="s">
        <v>205</v>
      </c>
      <c r="H2308"/>
    </row>
    <row r="2309" spans="1:8" x14ac:dyDescent="0.35">
      <c r="A2309" s="528" t="s">
        <v>6824</v>
      </c>
      <c r="B2309" s="528" t="s">
        <v>6825</v>
      </c>
      <c r="C2309" s="528" t="s">
        <v>6826</v>
      </c>
      <c r="D2309" s="528" t="s">
        <v>238</v>
      </c>
      <c r="E2309" s="528"/>
      <c r="F2309" s="528"/>
      <c r="G2309" s="528" t="s">
        <v>205</v>
      </c>
      <c r="H2309"/>
    </row>
    <row r="2310" spans="1:8" x14ac:dyDescent="0.35">
      <c r="A2310" s="528" t="s">
        <v>6827</v>
      </c>
      <c r="B2310" s="528" t="s">
        <v>6828</v>
      </c>
      <c r="C2310" s="528" t="s">
        <v>6829</v>
      </c>
      <c r="D2310" s="528" t="s">
        <v>225</v>
      </c>
      <c r="E2310" s="528"/>
      <c r="F2310" s="528"/>
      <c r="G2310" s="528" t="s">
        <v>205</v>
      </c>
      <c r="H2310"/>
    </row>
    <row r="2311" spans="1:8" x14ac:dyDescent="0.35">
      <c r="A2311" s="528" t="s">
        <v>6830</v>
      </c>
      <c r="B2311" s="528" t="s">
        <v>6831</v>
      </c>
      <c r="C2311" s="528" t="s">
        <v>6832</v>
      </c>
      <c r="D2311" s="528" t="s">
        <v>225</v>
      </c>
      <c r="E2311" s="528"/>
      <c r="F2311" s="528"/>
      <c r="G2311" s="528" t="s">
        <v>205</v>
      </c>
      <c r="H2311"/>
    </row>
    <row r="2312" spans="1:8" x14ac:dyDescent="0.35">
      <c r="A2312" s="528" t="s">
        <v>6833</v>
      </c>
      <c r="B2312" s="528" t="s">
        <v>6834</v>
      </c>
      <c r="C2312" s="528" t="s">
        <v>6835</v>
      </c>
      <c r="D2312" s="528" t="s">
        <v>225</v>
      </c>
      <c r="E2312" s="528"/>
      <c r="F2312" s="528"/>
      <c r="G2312" s="528" t="s">
        <v>205</v>
      </c>
      <c r="H2312"/>
    </row>
    <row r="2313" spans="1:8" x14ac:dyDescent="0.35">
      <c r="A2313" s="528" t="s">
        <v>6836</v>
      </c>
      <c r="B2313" s="528" t="s">
        <v>6837</v>
      </c>
      <c r="C2313" s="528" t="s">
        <v>6838</v>
      </c>
      <c r="D2313" s="528" t="s">
        <v>264</v>
      </c>
      <c r="E2313" s="528"/>
      <c r="F2313" s="528"/>
      <c r="G2313" s="528" t="s">
        <v>205</v>
      </c>
      <c r="H2313"/>
    </row>
    <row r="2314" spans="1:8" x14ac:dyDescent="0.35">
      <c r="A2314" s="528" t="s">
        <v>6839</v>
      </c>
      <c r="B2314" s="528" t="s">
        <v>6840</v>
      </c>
      <c r="C2314" s="528" t="s">
        <v>6841</v>
      </c>
      <c r="D2314" s="528" t="s">
        <v>264</v>
      </c>
      <c r="E2314" s="528"/>
      <c r="F2314" s="528"/>
      <c r="G2314" s="528" t="s">
        <v>205</v>
      </c>
      <c r="H2314"/>
    </row>
    <row r="2315" spans="1:8" x14ac:dyDescent="0.35">
      <c r="A2315" s="528" t="s">
        <v>6842</v>
      </c>
      <c r="B2315" s="528" t="s">
        <v>6843</v>
      </c>
      <c r="C2315" s="528" t="s">
        <v>6844</v>
      </c>
      <c r="D2315" s="528" t="s">
        <v>277</v>
      </c>
      <c r="E2315" s="528"/>
      <c r="F2315" s="528"/>
      <c r="G2315" s="528" t="s">
        <v>205</v>
      </c>
      <c r="H2315"/>
    </row>
    <row r="2316" spans="1:8" x14ac:dyDescent="0.35">
      <c r="A2316" s="528" t="s">
        <v>6845</v>
      </c>
      <c r="B2316" s="528" t="s">
        <v>6846</v>
      </c>
      <c r="C2316" s="528" t="s">
        <v>6847</v>
      </c>
      <c r="D2316" s="528" t="s">
        <v>277</v>
      </c>
      <c r="E2316" s="528"/>
      <c r="F2316" s="528"/>
      <c r="G2316" s="528" t="s">
        <v>205</v>
      </c>
      <c r="H2316"/>
    </row>
    <row r="2317" spans="1:8" x14ac:dyDescent="0.35">
      <c r="A2317" s="528" t="s">
        <v>6848</v>
      </c>
      <c r="B2317" s="528" t="s">
        <v>6849</v>
      </c>
      <c r="C2317" s="528" t="s">
        <v>4487</v>
      </c>
      <c r="D2317" s="528" t="s">
        <v>225</v>
      </c>
      <c r="E2317" s="528"/>
      <c r="F2317" s="528"/>
      <c r="G2317" s="528" t="s">
        <v>205</v>
      </c>
      <c r="H2317"/>
    </row>
    <row r="2318" spans="1:8" x14ac:dyDescent="0.35">
      <c r="A2318" s="528" t="s">
        <v>6850</v>
      </c>
      <c r="B2318" s="528" t="s">
        <v>6851</v>
      </c>
      <c r="C2318" s="528" t="s">
        <v>6852</v>
      </c>
      <c r="D2318" s="528" t="s">
        <v>277</v>
      </c>
      <c r="E2318" s="528"/>
      <c r="F2318" s="528"/>
      <c r="G2318" s="528" t="s">
        <v>205</v>
      </c>
      <c r="H2318"/>
    </row>
    <row r="2319" spans="1:8" x14ac:dyDescent="0.35">
      <c r="A2319" s="528" t="s">
        <v>6853</v>
      </c>
      <c r="B2319" s="528" t="s">
        <v>6854</v>
      </c>
      <c r="C2319" s="528" t="s">
        <v>6855</v>
      </c>
      <c r="D2319" s="528" t="s">
        <v>264</v>
      </c>
      <c r="E2319" s="528"/>
      <c r="F2319" s="528"/>
      <c r="G2319" s="528" t="s">
        <v>205</v>
      </c>
      <c r="H2319"/>
    </row>
    <row r="2320" spans="1:8" x14ac:dyDescent="0.35">
      <c r="A2320" s="528" t="s">
        <v>6856</v>
      </c>
      <c r="B2320" s="528" t="s">
        <v>6857</v>
      </c>
      <c r="C2320" s="528" t="s">
        <v>6858</v>
      </c>
      <c r="D2320" s="528" t="s">
        <v>277</v>
      </c>
      <c r="E2320" s="528"/>
      <c r="F2320" s="528"/>
      <c r="G2320" s="528" t="s">
        <v>205</v>
      </c>
      <c r="H2320"/>
    </row>
    <row r="2321" spans="1:8" x14ac:dyDescent="0.35">
      <c r="A2321" s="528" t="s">
        <v>6859</v>
      </c>
      <c r="B2321" s="528" t="s">
        <v>6860</v>
      </c>
      <c r="C2321" s="528" t="s">
        <v>6409</v>
      </c>
      <c r="D2321" s="528" t="s">
        <v>277</v>
      </c>
      <c r="E2321" s="528"/>
      <c r="F2321" s="528"/>
      <c r="G2321" s="528" t="s">
        <v>205</v>
      </c>
      <c r="H2321"/>
    </row>
    <row r="2322" spans="1:8" x14ac:dyDescent="0.35">
      <c r="A2322" s="528" t="s">
        <v>6861</v>
      </c>
      <c r="B2322" s="528" t="s">
        <v>6862</v>
      </c>
      <c r="C2322" s="528" t="s">
        <v>6863</v>
      </c>
      <c r="D2322" s="528" t="s">
        <v>264</v>
      </c>
      <c r="E2322" s="528"/>
      <c r="F2322" s="528"/>
      <c r="G2322" s="528" t="s">
        <v>205</v>
      </c>
      <c r="H2322"/>
    </row>
    <row r="2323" spans="1:8" x14ac:dyDescent="0.35">
      <c r="A2323" s="528" t="s">
        <v>6864</v>
      </c>
      <c r="B2323" s="528" t="s">
        <v>6865</v>
      </c>
      <c r="C2323" s="528" t="s">
        <v>6866</v>
      </c>
      <c r="D2323" s="528" t="s">
        <v>264</v>
      </c>
      <c r="E2323" s="528"/>
      <c r="F2323" s="528"/>
      <c r="G2323" s="528" t="s">
        <v>205</v>
      </c>
      <c r="H2323"/>
    </row>
    <row r="2324" spans="1:8" x14ac:dyDescent="0.35">
      <c r="A2324" s="528" t="s">
        <v>6867</v>
      </c>
      <c r="B2324" s="528" t="s">
        <v>6868</v>
      </c>
      <c r="C2324" s="528" t="s">
        <v>6869</v>
      </c>
      <c r="D2324" s="528" t="s">
        <v>264</v>
      </c>
      <c r="E2324" s="528"/>
      <c r="F2324" s="528"/>
      <c r="G2324" s="528" t="s">
        <v>205</v>
      </c>
      <c r="H2324"/>
    </row>
    <row r="2325" spans="1:8" x14ac:dyDescent="0.35">
      <c r="A2325" s="528" t="s">
        <v>6870</v>
      </c>
      <c r="B2325" s="528" t="s">
        <v>6871</v>
      </c>
      <c r="C2325" s="528" t="s">
        <v>2244</v>
      </c>
      <c r="D2325" s="528" t="s">
        <v>264</v>
      </c>
      <c r="E2325" s="528"/>
      <c r="F2325" s="528"/>
      <c r="G2325" s="528" t="s">
        <v>205</v>
      </c>
      <c r="H2325"/>
    </row>
    <row r="2326" spans="1:8" x14ac:dyDescent="0.35">
      <c r="A2326" s="528" t="s">
        <v>6872</v>
      </c>
      <c r="B2326" s="528" t="s">
        <v>6873</v>
      </c>
      <c r="C2326" s="528" t="s">
        <v>6874</v>
      </c>
      <c r="D2326" s="528" t="s">
        <v>264</v>
      </c>
      <c r="E2326" s="528"/>
      <c r="F2326" s="528"/>
      <c r="G2326" s="528" t="s">
        <v>205</v>
      </c>
      <c r="H2326"/>
    </row>
    <row r="2327" spans="1:8" x14ac:dyDescent="0.35">
      <c r="A2327" s="528" t="s">
        <v>6875</v>
      </c>
      <c r="B2327" s="528" t="s">
        <v>6876</v>
      </c>
      <c r="C2327" s="528" t="s">
        <v>5969</v>
      </c>
      <c r="D2327" s="528" t="s">
        <v>225</v>
      </c>
      <c r="E2327" s="528"/>
      <c r="F2327" s="528"/>
      <c r="G2327" s="528" t="s">
        <v>205</v>
      </c>
      <c r="H2327"/>
    </row>
    <row r="2328" spans="1:8" x14ac:dyDescent="0.35">
      <c r="A2328" s="528" t="s">
        <v>6877</v>
      </c>
      <c r="B2328" s="528" t="s">
        <v>6878</v>
      </c>
      <c r="C2328" s="528" t="s">
        <v>6879</v>
      </c>
      <c r="D2328" s="528" t="s">
        <v>264</v>
      </c>
      <c r="E2328" s="528"/>
      <c r="F2328" s="528"/>
      <c r="G2328" s="528" t="s">
        <v>205</v>
      </c>
      <c r="H2328"/>
    </row>
    <row r="2329" spans="1:8" x14ac:dyDescent="0.35">
      <c r="A2329" s="528" t="s">
        <v>6880</v>
      </c>
      <c r="B2329" s="528" t="s">
        <v>6881</v>
      </c>
      <c r="C2329" s="528" t="s">
        <v>6882</v>
      </c>
      <c r="D2329" s="528" t="s">
        <v>225</v>
      </c>
      <c r="E2329" s="528" t="s">
        <v>264</v>
      </c>
      <c r="F2329" s="528"/>
      <c r="G2329" s="528" t="s">
        <v>205</v>
      </c>
      <c r="H2329"/>
    </row>
    <row r="2330" spans="1:8" x14ac:dyDescent="0.35">
      <c r="A2330" s="528" t="s">
        <v>6883</v>
      </c>
      <c r="B2330" s="528" t="s">
        <v>6884</v>
      </c>
      <c r="C2330" s="528" t="s">
        <v>6885</v>
      </c>
      <c r="D2330" s="528" t="s">
        <v>264</v>
      </c>
      <c r="E2330" s="528"/>
      <c r="F2330" s="528"/>
      <c r="G2330" s="528" t="s">
        <v>205</v>
      </c>
      <c r="H2330"/>
    </row>
    <row r="2331" spans="1:8" x14ac:dyDescent="0.35">
      <c r="A2331" s="528" t="s">
        <v>6886</v>
      </c>
      <c r="B2331" s="528" t="s">
        <v>6887</v>
      </c>
      <c r="C2331" s="528" t="s">
        <v>447</v>
      </c>
      <c r="D2331" s="528" t="s">
        <v>225</v>
      </c>
      <c r="E2331" s="528"/>
      <c r="F2331" s="528"/>
      <c r="G2331" s="528" t="s">
        <v>205</v>
      </c>
      <c r="H2331"/>
    </row>
    <row r="2332" spans="1:8" x14ac:dyDescent="0.35">
      <c r="A2332" s="528" t="s">
        <v>6888</v>
      </c>
      <c r="B2332" s="528" t="s">
        <v>6889</v>
      </c>
      <c r="C2332" s="528" t="s">
        <v>6890</v>
      </c>
      <c r="D2332" s="528" t="s">
        <v>264</v>
      </c>
      <c r="E2332" s="528" t="s">
        <v>277</v>
      </c>
      <c r="F2332" s="528"/>
      <c r="G2332" s="528" t="s">
        <v>205</v>
      </c>
      <c r="H2332"/>
    </row>
    <row r="2333" spans="1:8" x14ac:dyDescent="0.35">
      <c r="A2333" s="528" t="s">
        <v>6891</v>
      </c>
      <c r="B2333" s="528" t="s">
        <v>6892</v>
      </c>
      <c r="C2333" s="528" t="s">
        <v>6893</v>
      </c>
      <c r="D2333" s="528" t="s">
        <v>264</v>
      </c>
      <c r="E2333" s="528"/>
      <c r="F2333" s="528"/>
      <c r="G2333" s="528" t="s">
        <v>210</v>
      </c>
      <c r="H2333"/>
    </row>
    <row r="2334" spans="1:8" x14ac:dyDescent="0.35">
      <c r="A2334" s="528" t="s">
        <v>6894</v>
      </c>
      <c r="B2334" s="528" t="s">
        <v>6895</v>
      </c>
      <c r="C2334" s="528" t="s">
        <v>4828</v>
      </c>
      <c r="D2334" s="528" t="s">
        <v>264</v>
      </c>
      <c r="E2334" s="528"/>
      <c r="F2334" s="528"/>
      <c r="G2334" s="528" t="s">
        <v>205</v>
      </c>
      <c r="H2334"/>
    </row>
    <row r="2335" spans="1:8" x14ac:dyDescent="0.35">
      <c r="A2335" s="528" t="s">
        <v>6896</v>
      </c>
      <c r="B2335" s="528" t="s">
        <v>6897</v>
      </c>
      <c r="C2335" s="528" t="s">
        <v>6898</v>
      </c>
      <c r="D2335" s="528" t="s">
        <v>264</v>
      </c>
      <c r="E2335" s="528"/>
      <c r="F2335" s="528"/>
      <c r="G2335" s="528" t="s">
        <v>205</v>
      </c>
      <c r="H2335"/>
    </row>
    <row r="2336" spans="1:8" x14ac:dyDescent="0.35">
      <c r="A2336" s="528" t="s">
        <v>6899</v>
      </c>
      <c r="B2336" s="528" t="s">
        <v>6900</v>
      </c>
      <c r="C2336" s="528" t="s">
        <v>6901</v>
      </c>
      <c r="D2336" s="528" t="s">
        <v>264</v>
      </c>
      <c r="E2336" s="528"/>
      <c r="F2336" s="528"/>
      <c r="G2336" s="528" t="s">
        <v>205</v>
      </c>
      <c r="H2336"/>
    </row>
    <row r="2337" spans="1:8" x14ac:dyDescent="0.35">
      <c r="A2337" s="528" t="s">
        <v>6902</v>
      </c>
      <c r="B2337" s="528" t="s">
        <v>6903</v>
      </c>
      <c r="C2337" s="528" t="s">
        <v>6904</v>
      </c>
      <c r="D2337" s="528" t="s">
        <v>251</v>
      </c>
      <c r="E2337" s="528"/>
      <c r="F2337" s="528"/>
      <c r="G2337" s="528" t="s">
        <v>208</v>
      </c>
      <c r="H2337"/>
    </row>
    <row r="2338" spans="1:8" x14ac:dyDescent="0.35">
      <c r="A2338" s="528" t="s">
        <v>6905</v>
      </c>
      <c r="B2338" s="528" t="s">
        <v>6906</v>
      </c>
      <c r="C2338" s="528" t="s">
        <v>6907</v>
      </c>
      <c r="D2338" s="528" t="s">
        <v>264</v>
      </c>
      <c r="E2338" s="528"/>
      <c r="F2338" s="528"/>
      <c r="G2338" s="528" t="s">
        <v>210</v>
      </c>
      <c r="H2338"/>
    </row>
    <row r="2339" spans="1:8" x14ac:dyDescent="0.35">
      <c r="A2339" s="528" t="s">
        <v>6908</v>
      </c>
      <c r="B2339" s="528" t="s">
        <v>6909</v>
      </c>
      <c r="C2339" s="528" t="s">
        <v>6910</v>
      </c>
      <c r="D2339" s="528" t="s">
        <v>277</v>
      </c>
      <c r="E2339" s="528"/>
      <c r="F2339" s="528"/>
      <c r="G2339" s="528" t="s">
        <v>214</v>
      </c>
      <c r="H2339"/>
    </row>
    <row r="2340" spans="1:8" x14ac:dyDescent="0.35">
      <c r="A2340" s="528" t="s">
        <v>6911</v>
      </c>
      <c r="B2340" s="528" t="s">
        <v>6912</v>
      </c>
      <c r="C2340" s="528" t="s">
        <v>6913</v>
      </c>
      <c r="D2340" s="528" t="s">
        <v>264</v>
      </c>
      <c r="E2340" s="528"/>
      <c r="F2340" s="528"/>
      <c r="G2340" s="528" t="s">
        <v>208</v>
      </c>
      <c r="H2340"/>
    </row>
    <row r="2341" spans="1:8" x14ac:dyDescent="0.35">
      <c r="A2341" s="528" t="s">
        <v>6914</v>
      </c>
      <c r="B2341" s="528" t="s">
        <v>6915</v>
      </c>
      <c r="C2341" s="528" t="s">
        <v>6916</v>
      </c>
      <c r="D2341" s="528" t="s">
        <v>238</v>
      </c>
      <c r="E2341" s="528"/>
      <c r="F2341" s="528"/>
      <c r="G2341" s="528" t="s">
        <v>208</v>
      </c>
      <c r="H2341"/>
    </row>
    <row r="2342" spans="1:8" x14ac:dyDescent="0.35">
      <c r="A2342" s="528" t="s">
        <v>6917</v>
      </c>
      <c r="B2342" s="528" t="s">
        <v>6918</v>
      </c>
      <c r="C2342" s="528" t="s">
        <v>2835</v>
      </c>
      <c r="D2342" s="528" t="s">
        <v>225</v>
      </c>
      <c r="E2342" s="528"/>
      <c r="F2342" s="528"/>
      <c r="G2342" s="528" t="s">
        <v>205</v>
      </c>
      <c r="H2342"/>
    </row>
    <row r="2343" spans="1:8" x14ac:dyDescent="0.35">
      <c r="A2343" s="528" t="s">
        <v>6919</v>
      </c>
      <c r="B2343" s="528" t="s">
        <v>6920</v>
      </c>
      <c r="C2343" s="528" t="s">
        <v>6921</v>
      </c>
      <c r="D2343" s="528" t="s">
        <v>225</v>
      </c>
      <c r="E2343" s="528"/>
      <c r="F2343" s="528"/>
      <c r="G2343" s="528" t="s">
        <v>205</v>
      </c>
      <c r="H2343"/>
    </row>
    <row r="2344" spans="1:8" x14ac:dyDescent="0.35">
      <c r="A2344" s="528" t="s">
        <v>6922</v>
      </c>
      <c r="B2344" s="528" t="s">
        <v>6923</v>
      </c>
      <c r="C2344" s="528" t="s">
        <v>6924</v>
      </c>
      <c r="D2344" s="528" t="s">
        <v>251</v>
      </c>
      <c r="E2344" s="528"/>
      <c r="F2344" s="528"/>
      <c r="G2344" s="528" t="s">
        <v>205</v>
      </c>
      <c r="H2344"/>
    </row>
    <row r="2345" spans="1:8" x14ac:dyDescent="0.35">
      <c r="A2345" s="528" t="s">
        <v>6925</v>
      </c>
      <c r="B2345" s="528" t="s">
        <v>6926</v>
      </c>
      <c r="C2345" s="528" t="s">
        <v>6927</v>
      </c>
      <c r="D2345" s="528" t="s">
        <v>277</v>
      </c>
      <c r="E2345" s="528"/>
      <c r="F2345" s="528"/>
      <c r="G2345" s="528" t="s">
        <v>208</v>
      </c>
      <c r="H2345"/>
    </row>
    <row r="2346" spans="1:8" x14ac:dyDescent="0.35">
      <c r="A2346" s="528" t="s">
        <v>6928</v>
      </c>
      <c r="B2346" s="528" t="s">
        <v>6929</v>
      </c>
      <c r="C2346" s="528" t="s">
        <v>6930</v>
      </c>
      <c r="D2346" s="528" t="s">
        <v>277</v>
      </c>
      <c r="E2346" s="528"/>
      <c r="F2346" s="528"/>
      <c r="G2346" s="528" t="s">
        <v>208</v>
      </c>
      <c r="H2346"/>
    </row>
    <row r="2347" spans="1:8" x14ac:dyDescent="0.35">
      <c r="A2347" s="528" t="s">
        <v>6931</v>
      </c>
      <c r="B2347" s="528" t="s">
        <v>6932</v>
      </c>
      <c r="C2347" s="528" t="s">
        <v>6933</v>
      </c>
      <c r="D2347" s="528" t="s">
        <v>264</v>
      </c>
      <c r="E2347" s="528"/>
      <c r="F2347" s="528"/>
      <c r="G2347" s="528" t="s">
        <v>205</v>
      </c>
      <c r="H2347"/>
    </row>
    <row r="2348" spans="1:8" x14ac:dyDescent="0.35">
      <c r="A2348" s="528" t="s">
        <v>6934</v>
      </c>
      <c r="B2348" s="528" t="s">
        <v>6935</v>
      </c>
      <c r="C2348" s="528" t="s">
        <v>6936</v>
      </c>
      <c r="D2348" s="528" t="s">
        <v>264</v>
      </c>
      <c r="E2348" s="528"/>
      <c r="F2348" s="528"/>
      <c r="G2348" s="528" t="s">
        <v>205</v>
      </c>
      <c r="H2348"/>
    </row>
    <row r="2349" spans="1:8" x14ac:dyDescent="0.35">
      <c r="A2349" s="528" t="s">
        <v>6937</v>
      </c>
      <c r="B2349" s="528" t="s">
        <v>6938</v>
      </c>
      <c r="C2349" s="528" t="s">
        <v>2868</v>
      </c>
      <c r="D2349" s="528" t="s">
        <v>251</v>
      </c>
      <c r="E2349" s="528"/>
      <c r="F2349" s="528"/>
      <c r="G2349" s="528" t="s">
        <v>205</v>
      </c>
      <c r="H2349"/>
    </row>
    <row r="2350" spans="1:8" x14ac:dyDescent="0.35">
      <c r="A2350" s="528" t="s">
        <v>6939</v>
      </c>
      <c r="B2350" s="528" t="s">
        <v>6940</v>
      </c>
      <c r="C2350" s="528" t="s">
        <v>6941</v>
      </c>
      <c r="D2350" s="528" t="s">
        <v>277</v>
      </c>
      <c r="E2350" s="528"/>
      <c r="F2350" s="528"/>
      <c r="G2350" s="528" t="s">
        <v>205</v>
      </c>
      <c r="H2350"/>
    </row>
    <row r="2351" spans="1:8" x14ac:dyDescent="0.35">
      <c r="A2351" s="528" t="s">
        <v>6942</v>
      </c>
      <c r="B2351" s="528" t="s">
        <v>6943</v>
      </c>
      <c r="C2351" s="528" t="s">
        <v>6944</v>
      </c>
      <c r="D2351" s="528" t="s">
        <v>251</v>
      </c>
      <c r="E2351" s="528"/>
      <c r="F2351" s="528"/>
      <c r="G2351" s="528" t="s">
        <v>205</v>
      </c>
      <c r="H2351"/>
    </row>
    <row r="2352" spans="1:8" x14ac:dyDescent="0.35">
      <c r="A2352" s="528" t="s">
        <v>6945</v>
      </c>
      <c r="B2352" s="528" t="s">
        <v>6946</v>
      </c>
      <c r="C2352" s="528" t="s">
        <v>6947</v>
      </c>
      <c r="D2352" s="528" t="s">
        <v>251</v>
      </c>
      <c r="E2352" s="528"/>
      <c r="F2352" s="528"/>
      <c r="G2352" s="528" t="s">
        <v>205</v>
      </c>
      <c r="H2352"/>
    </row>
    <row r="2353" spans="1:8" x14ac:dyDescent="0.35">
      <c r="A2353" s="528" t="s">
        <v>6948</v>
      </c>
      <c r="B2353" s="528" t="s">
        <v>6949</v>
      </c>
      <c r="C2353" s="528" t="s">
        <v>1845</v>
      </c>
      <c r="D2353" s="528" t="s">
        <v>251</v>
      </c>
      <c r="E2353" s="528"/>
      <c r="F2353" s="528"/>
      <c r="G2353" s="528" t="s">
        <v>205</v>
      </c>
      <c r="H2353"/>
    </row>
    <row r="2354" spans="1:8" x14ac:dyDescent="0.35">
      <c r="A2354" s="528" t="s">
        <v>6950</v>
      </c>
      <c r="B2354" s="528" t="s">
        <v>6951</v>
      </c>
      <c r="C2354" s="528" t="s">
        <v>6952</v>
      </c>
      <c r="D2354" s="528" t="s">
        <v>251</v>
      </c>
      <c r="E2354" s="528"/>
      <c r="F2354" s="528"/>
      <c r="G2354" s="528" t="s">
        <v>205</v>
      </c>
      <c r="H2354"/>
    </row>
    <row r="2355" spans="1:8" x14ac:dyDescent="0.35">
      <c r="A2355" s="528" t="s">
        <v>6953</v>
      </c>
      <c r="B2355" s="528" t="s">
        <v>6954</v>
      </c>
      <c r="C2355" s="528" t="s">
        <v>2077</v>
      </c>
      <c r="D2355" s="528" t="s">
        <v>251</v>
      </c>
      <c r="E2355" s="528"/>
      <c r="F2355" s="528"/>
      <c r="G2355" s="528" t="s">
        <v>205</v>
      </c>
      <c r="H2355"/>
    </row>
    <row r="2356" spans="1:8" x14ac:dyDescent="0.35">
      <c r="A2356" s="528" t="s">
        <v>6955</v>
      </c>
      <c r="B2356" s="528" t="s">
        <v>6956</v>
      </c>
      <c r="C2356" s="528" t="s">
        <v>6957</v>
      </c>
      <c r="D2356" s="528" t="s">
        <v>225</v>
      </c>
      <c r="E2356" s="528"/>
      <c r="F2356" s="528"/>
      <c r="G2356" s="528" t="s">
        <v>205</v>
      </c>
      <c r="H2356"/>
    </row>
    <row r="2357" spans="1:8" x14ac:dyDescent="0.35">
      <c r="A2357" s="528" t="s">
        <v>6958</v>
      </c>
      <c r="B2357" s="528" t="s">
        <v>6959</v>
      </c>
      <c r="C2357" s="528" t="s">
        <v>2778</v>
      </c>
      <c r="D2357" s="528" t="s">
        <v>251</v>
      </c>
      <c r="E2357" s="528"/>
      <c r="F2357" s="528"/>
      <c r="G2357" s="528" t="s">
        <v>205</v>
      </c>
      <c r="H2357"/>
    </row>
    <row r="2358" spans="1:8" x14ac:dyDescent="0.35">
      <c r="A2358" s="528" t="s">
        <v>6960</v>
      </c>
      <c r="B2358" s="528" t="s">
        <v>6961</v>
      </c>
      <c r="C2358" s="528" t="s">
        <v>1934</v>
      </c>
      <c r="D2358" s="528" t="s">
        <v>251</v>
      </c>
      <c r="E2358" s="528"/>
      <c r="F2358" s="528"/>
      <c r="G2358" s="528" t="s">
        <v>205</v>
      </c>
      <c r="H2358"/>
    </row>
    <row r="2359" spans="1:8" x14ac:dyDescent="0.35">
      <c r="A2359" s="528" t="s">
        <v>6962</v>
      </c>
      <c r="B2359" s="528" t="s">
        <v>6963</v>
      </c>
      <c r="C2359" s="528" t="s">
        <v>3381</v>
      </c>
      <c r="D2359" s="528" t="s">
        <v>277</v>
      </c>
      <c r="E2359" s="528"/>
      <c r="F2359" s="528"/>
      <c r="G2359" s="528" t="s">
        <v>205</v>
      </c>
      <c r="H2359"/>
    </row>
    <row r="2360" spans="1:8" x14ac:dyDescent="0.35">
      <c r="A2360" s="528" t="s">
        <v>6964</v>
      </c>
      <c r="B2360" s="528" t="s">
        <v>6965</v>
      </c>
      <c r="C2360" s="528" t="s">
        <v>4741</v>
      </c>
      <c r="D2360" s="528" t="s">
        <v>251</v>
      </c>
      <c r="E2360" s="528"/>
      <c r="F2360" s="528"/>
      <c r="G2360" s="528" t="s">
        <v>205</v>
      </c>
      <c r="H2360"/>
    </row>
    <row r="2361" spans="1:8" x14ac:dyDescent="0.35">
      <c r="A2361" s="528" t="s">
        <v>6966</v>
      </c>
      <c r="B2361" s="528" t="s">
        <v>6967</v>
      </c>
      <c r="C2361" s="528" t="s">
        <v>4873</v>
      </c>
      <c r="D2361" s="528" t="s">
        <v>251</v>
      </c>
      <c r="E2361" s="528"/>
      <c r="F2361" s="528"/>
      <c r="G2361" s="528" t="s">
        <v>205</v>
      </c>
      <c r="H2361"/>
    </row>
    <row r="2362" spans="1:8" x14ac:dyDescent="0.35">
      <c r="A2362" s="528" t="s">
        <v>6968</v>
      </c>
      <c r="B2362" s="528" t="s">
        <v>6969</v>
      </c>
      <c r="C2362" s="528" t="s">
        <v>6970</v>
      </c>
      <c r="D2362" s="528" t="s">
        <v>238</v>
      </c>
      <c r="E2362" s="528"/>
      <c r="F2362" s="528"/>
      <c r="G2362" s="528" t="s">
        <v>205</v>
      </c>
      <c r="H2362"/>
    </row>
    <row r="2363" spans="1:8" x14ac:dyDescent="0.35">
      <c r="A2363" s="528" t="s">
        <v>6971</v>
      </c>
      <c r="B2363" s="528" t="s">
        <v>6972</v>
      </c>
      <c r="C2363" s="528" t="s">
        <v>1483</v>
      </c>
      <c r="D2363" s="528" t="s">
        <v>251</v>
      </c>
      <c r="E2363" s="528"/>
      <c r="F2363" s="528"/>
      <c r="G2363" s="528" t="s">
        <v>205</v>
      </c>
      <c r="H2363"/>
    </row>
    <row r="2364" spans="1:8" x14ac:dyDescent="0.35">
      <c r="A2364" s="528" t="s">
        <v>6973</v>
      </c>
      <c r="B2364" s="528" t="s">
        <v>6974</v>
      </c>
      <c r="C2364" s="528" t="s">
        <v>6975</v>
      </c>
      <c r="D2364" s="528" t="s">
        <v>251</v>
      </c>
      <c r="E2364" s="528"/>
      <c r="F2364" s="528"/>
      <c r="G2364" s="528" t="s">
        <v>205</v>
      </c>
      <c r="H2364"/>
    </row>
    <row r="2365" spans="1:8" x14ac:dyDescent="0.35">
      <c r="A2365" s="528" t="s">
        <v>6976</v>
      </c>
      <c r="B2365" s="528" t="s">
        <v>6977</v>
      </c>
      <c r="C2365" s="528" t="s">
        <v>2991</v>
      </c>
      <c r="D2365" s="528" t="s">
        <v>251</v>
      </c>
      <c r="E2365" s="528"/>
      <c r="F2365" s="528"/>
      <c r="G2365" s="528" t="s">
        <v>205</v>
      </c>
      <c r="H2365"/>
    </row>
    <row r="2366" spans="1:8" x14ac:dyDescent="0.35">
      <c r="A2366" s="528" t="s">
        <v>6978</v>
      </c>
      <c r="B2366" s="528" t="s">
        <v>6979</v>
      </c>
      <c r="C2366" s="528" t="s">
        <v>3158</v>
      </c>
      <c r="D2366" s="528" t="s">
        <v>277</v>
      </c>
      <c r="E2366" s="528"/>
      <c r="F2366" s="528"/>
      <c r="G2366" s="528" t="s">
        <v>205</v>
      </c>
      <c r="H2366"/>
    </row>
    <row r="2367" spans="1:8" x14ac:dyDescent="0.35">
      <c r="A2367" s="528" t="s">
        <v>6980</v>
      </c>
      <c r="B2367" s="528" t="s">
        <v>6981</v>
      </c>
      <c r="C2367" s="528" t="s">
        <v>1839</v>
      </c>
      <c r="D2367" s="528" t="s">
        <v>251</v>
      </c>
      <c r="E2367" s="528"/>
      <c r="F2367" s="528"/>
      <c r="G2367" s="528" t="s">
        <v>205</v>
      </c>
      <c r="H2367"/>
    </row>
    <row r="2368" spans="1:8" x14ac:dyDescent="0.35">
      <c r="A2368" s="528" t="s">
        <v>6982</v>
      </c>
      <c r="B2368" s="528" t="s">
        <v>6983</v>
      </c>
      <c r="C2368" s="528" t="s">
        <v>6984</v>
      </c>
      <c r="D2368" s="528" t="s">
        <v>251</v>
      </c>
      <c r="E2368" s="528"/>
      <c r="F2368" s="528"/>
      <c r="G2368" s="528" t="s">
        <v>205</v>
      </c>
      <c r="H2368"/>
    </row>
    <row r="2369" spans="1:8" x14ac:dyDescent="0.35">
      <c r="A2369" s="528" t="s">
        <v>6985</v>
      </c>
      <c r="B2369" s="528" t="s">
        <v>6986</v>
      </c>
      <c r="C2369" s="528" t="s">
        <v>6987</v>
      </c>
      <c r="D2369" s="528" t="s">
        <v>251</v>
      </c>
      <c r="E2369" s="528"/>
      <c r="F2369" s="528"/>
      <c r="G2369" s="528" t="s">
        <v>205</v>
      </c>
      <c r="H2369"/>
    </row>
    <row r="2370" spans="1:8" x14ac:dyDescent="0.35">
      <c r="A2370" s="528" t="s">
        <v>6988</v>
      </c>
      <c r="B2370" s="528" t="s">
        <v>6989</v>
      </c>
      <c r="C2370" s="528" t="s">
        <v>3318</v>
      </c>
      <c r="D2370" s="528" t="s">
        <v>225</v>
      </c>
      <c r="E2370" s="528"/>
      <c r="F2370" s="528"/>
      <c r="G2370" s="528" t="s">
        <v>205</v>
      </c>
      <c r="H2370"/>
    </row>
    <row r="2371" spans="1:8" x14ac:dyDescent="0.35">
      <c r="A2371" s="528" t="s">
        <v>6990</v>
      </c>
      <c r="B2371" s="528" t="s">
        <v>6991</v>
      </c>
      <c r="C2371" s="528" t="s">
        <v>3321</v>
      </c>
      <c r="D2371" s="528" t="s">
        <v>225</v>
      </c>
      <c r="E2371" s="528"/>
      <c r="F2371" s="528"/>
      <c r="G2371" s="528" t="s">
        <v>205</v>
      </c>
      <c r="H2371"/>
    </row>
    <row r="2372" spans="1:8" x14ac:dyDescent="0.35">
      <c r="A2372" s="528" t="s">
        <v>6992</v>
      </c>
      <c r="B2372" s="528" t="s">
        <v>6993</v>
      </c>
      <c r="C2372" s="528" t="s">
        <v>6994</v>
      </c>
      <c r="D2372" s="528" t="s">
        <v>225</v>
      </c>
      <c r="E2372" s="528"/>
      <c r="F2372" s="528"/>
      <c r="G2372" s="528" t="s">
        <v>205</v>
      </c>
      <c r="H2372"/>
    </row>
    <row r="2373" spans="1:8" x14ac:dyDescent="0.35">
      <c r="A2373" s="528" t="s">
        <v>6995</v>
      </c>
      <c r="B2373" s="528" t="s">
        <v>6996</v>
      </c>
      <c r="C2373" s="528" t="s">
        <v>6997</v>
      </c>
      <c r="D2373" s="528" t="s">
        <v>264</v>
      </c>
      <c r="E2373" s="528"/>
      <c r="F2373" s="528"/>
      <c r="G2373" s="528" t="s">
        <v>205</v>
      </c>
      <c r="H2373"/>
    </row>
    <row r="2374" spans="1:8" x14ac:dyDescent="0.35">
      <c r="A2374" s="528" t="s">
        <v>6998</v>
      </c>
      <c r="B2374" s="528" t="s">
        <v>6999</v>
      </c>
      <c r="C2374" s="528" t="s">
        <v>2217</v>
      </c>
      <c r="D2374" s="528" t="s">
        <v>264</v>
      </c>
      <c r="E2374" s="528"/>
      <c r="F2374" s="528"/>
      <c r="G2374" s="528" t="s">
        <v>205</v>
      </c>
      <c r="H2374"/>
    </row>
    <row r="2375" spans="1:8" x14ac:dyDescent="0.35">
      <c r="A2375" s="528" t="s">
        <v>7000</v>
      </c>
      <c r="B2375" s="528" t="s">
        <v>7001</v>
      </c>
      <c r="C2375" s="528" t="s">
        <v>4627</v>
      </c>
      <c r="D2375" s="528" t="s">
        <v>277</v>
      </c>
      <c r="E2375" s="528" t="s">
        <v>264</v>
      </c>
      <c r="F2375" s="528"/>
      <c r="G2375" s="528" t="s">
        <v>205</v>
      </c>
      <c r="H2375"/>
    </row>
    <row r="2376" spans="1:8" x14ac:dyDescent="0.35">
      <c r="A2376" s="528" t="s">
        <v>7002</v>
      </c>
      <c r="B2376" s="528" t="s">
        <v>7003</v>
      </c>
      <c r="C2376" s="528" t="s">
        <v>7004</v>
      </c>
      <c r="D2376" s="528" t="s">
        <v>277</v>
      </c>
      <c r="E2376" s="528"/>
      <c r="F2376" s="528"/>
      <c r="G2376" s="528" t="s">
        <v>205</v>
      </c>
      <c r="H2376"/>
    </row>
    <row r="2377" spans="1:8" x14ac:dyDescent="0.35">
      <c r="A2377" s="528" t="s">
        <v>7005</v>
      </c>
      <c r="B2377" s="528" t="s">
        <v>7006</v>
      </c>
      <c r="C2377" s="528" t="s">
        <v>7007</v>
      </c>
      <c r="D2377" s="528" t="s">
        <v>277</v>
      </c>
      <c r="E2377" s="528"/>
      <c r="F2377" s="528"/>
      <c r="G2377" s="528" t="s">
        <v>205</v>
      </c>
      <c r="H2377"/>
    </row>
    <row r="2378" spans="1:8" x14ac:dyDescent="0.35">
      <c r="A2378" s="528" t="s">
        <v>7008</v>
      </c>
      <c r="B2378" s="528" t="s">
        <v>7009</v>
      </c>
      <c r="C2378" s="528" t="s">
        <v>7010</v>
      </c>
      <c r="D2378" s="528" t="s">
        <v>277</v>
      </c>
      <c r="E2378" s="528"/>
      <c r="F2378" s="528"/>
      <c r="G2378" s="528" t="s">
        <v>205</v>
      </c>
      <c r="H2378"/>
    </row>
    <row r="2379" spans="1:8" x14ac:dyDescent="0.35">
      <c r="A2379" s="528" t="s">
        <v>7011</v>
      </c>
      <c r="B2379" s="528" t="s">
        <v>7012</v>
      </c>
      <c r="C2379" s="528" t="s">
        <v>7013</v>
      </c>
      <c r="D2379" s="528" t="s">
        <v>277</v>
      </c>
      <c r="E2379" s="528"/>
      <c r="F2379" s="528"/>
      <c r="G2379" s="528" t="s">
        <v>205</v>
      </c>
      <c r="H2379"/>
    </row>
    <row r="2380" spans="1:8" x14ac:dyDescent="0.35">
      <c r="A2380" s="528" t="s">
        <v>7014</v>
      </c>
      <c r="B2380" s="528" t="s">
        <v>7015</v>
      </c>
      <c r="C2380" s="528" t="s">
        <v>4037</v>
      </c>
      <c r="D2380" s="528" t="s">
        <v>264</v>
      </c>
      <c r="E2380" s="528"/>
      <c r="F2380" s="528"/>
      <c r="G2380" s="528" t="s">
        <v>205</v>
      </c>
      <c r="H2380"/>
    </row>
    <row r="2381" spans="1:8" x14ac:dyDescent="0.35">
      <c r="A2381" s="528" t="s">
        <v>7016</v>
      </c>
      <c r="B2381" s="528" t="s">
        <v>7017</v>
      </c>
      <c r="C2381" s="528" t="s">
        <v>7018</v>
      </c>
      <c r="D2381" s="528" t="s">
        <v>264</v>
      </c>
      <c r="E2381" s="528"/>
      <c r="F2381" s="528"/>
      <c r="G2381" s="528" t="s">
        <v>205</v>
      </c>
      <c r="H2381"/>
    </row>
    <row r="2382" spans="1:8" x14ac:dyDescent="0.35">
      <c r="A2382" s="528" t="s">
        <v>7019</v>
      </c>
      <c r="B2382" s="528" t="s">
        <v>7020</v>
      </c>
      <c r="C2382" s="528" t="s">
        <v>5256</v>
      </c>
      <c r="D2382" s="528" t="s">
        <v>277</v>
      </c>
      <c r="E2382" s="528"/>
      <c r="F2382" s="528"/>
      <c r="G2382" s="528" t="s">
        <v>205</v>
      </c>
      <c r="H2382"/>
    </row>
    <row r="2383" spans="1:8" x14ac:dyDescent="0.35">
      <c r="A2383" s="528" t="s">
        <v>7021</v>
      </c>
      <c r="B2383" s="528" t="s">
        <v>7022</v>
      </c>
      <c r="C2383" s="528" t="s">
        <v>5259</v>
      </c>
      <c r="D2383" s="528" t="s">
        <v>277</v>
      </c>
      <c r="E2383" s="528"/>
      <c r="F2383" s="528"/>
      <c r="G2383" s="528" t="s">
        <v>205</v>
      </c>
      <c r="H2383"/>
    </row>
    <row r="2384" spans="1:8" x14ac:dyDescent="0.35">
      <c r="A2384" s="528" t="s">
        <v>7023</v>
      </c>
      <c r="B2384" s="528" t="s">
        <v>7024</v>
      </c>
      <c r="C2384" s="528" t="s">
        <v>7025</v>
      </c>
      <c r="D2384" s="528" t="s">
        <v>277</v>
      </c>
      <c r="E2384" s="528"/>
      <c r="F2384" s="528"/>
      <c r="G2384" s="528" t="s">
        <v>205</v>
      </c>
      <c r="H2384"/>
    </row>
    <row r="2385" spans="1:8" x14ac:dyDescent="0.35">
      <c r="A2385" s="528" t="s">
        <v>7026</v>
      </c>
      <c r="B2385" s="528" t="s">
        <v>7027</v>
      </c>
      <c r="C2385" s="528" t="s">
        <v>1371</v>
      </c>
      <c r="D2385" s="528" t="s">
        <v>238</v>
      </c>
      <c r="E2385" s="528"/>
      <c r="F2385" s="528"/>
      <c r="G2385" s="528" t="s">
        <v>205</v>
      </c>
      <c r="H2385"/>
    </row>
    <row r="2386" spans="1:8" x14ac:dyDescent="0.35">
      <c r="A2386" s="528" t="s">
        <v>7028</v>
      </c>
      <c r="B2386" s="528" t="s">
        <v>7029</v>
      </c>
      <c r="C2386" s="528" t="s">
        <v>7030</v>
      </c>
      <c r="D2386" s="528" t="s">
        <v>251</v>
      </c>
      <c r="E2386" s="528"/>
      <c r="F2386" s="528"/>
      <c r="G2386" s="528" t="s">
        <v>205</v>
      </c>
      <c r="H2386"/>
    </row>
    <row r="2387" spans="1:8" x14ac:dyDescent="0.35">
      <c r="A2387" s="528" t="s">
        <v>7031</v>
      </c>
      <c r="B2387" s="528" t="s">
        <v>7032</v>
      </c>
      <c r="C2387" s="528" t="s">
        <v>7033</v>
      </c>
      <c r="D2387" s="528" t="s">
        <v>264</v>
      </c>
      <c r="E2387" s="528"/>
      <c r="F2387" s="528"/>
      <c r="G2387" s="528" t="s">
        <v>205</v>
      </c>
      <c r="H2387"/>
    </row>
    <row r="2388" spans="1:8" x14ac:dyDescent="0.35">
      <c r="A2388" s="528" t="s">
        <v>7034</v>
      </c>
      <c r="B2388" s="528" t="s">
        <v>7035</v>
      </c>
      <c r="C2388" s="528" t="s">
        <v>2268</v>
      </c>
      <c r="D2388" s="528" t="s">
        <v>251</v>
      </c>
      <c r="E2388" s="528"/>
      <c r="F2388" s="528"/>
      <c r="G2388" s="528" t="s">
        <v>205</v>
      </c>
      <c r="H2388"/>
    </row>
    <row r="2389" spans="1:8" x14ac:dyDescent="0.35">
      <c r="A2389" s="528" t="s">
        <v>7036</v>
      </c>
      <c r="B2389" s="528" t="s">
        <v>7037</v>
      </c>
      <c r="C2389" s="528" t="s">
        <v>7038</v>
      </c>
      <c r="D2389" s="528" t="s">
        <v>277</v>
      </c>
      <c r="E2389" s="528"/>
      <c r="F2389" s="528"/>
      <c r="G2389" s="528" t="s">
        <v>205</v>
      </c>
      <c r="H2389"/>
    </row>
    <row r="2390" spans="1:8" x14ac:dyDescent="0.35">
      <c r="A2390" s="528" t="s">
        <v>7039</v>
      </c>
      <c r="B2390" s="528" t="s">
        <v>7040</v>
      </c>
      <c r="C2390" s="528" t="s">
        <v>4627</v>
      </c>
      <c r="D2390" s="528" t="s">
        <v>277</v>
      </c>
      <c r="E2390" s="528" t="s">
        <v>264</v>
      </c>
      <c r="F2390" s="528"/>
      <c r="G2390" s="528" t="s">
        <v>205</v>
      </c>
      <c r="H2390"/>
    </row>
    <row r="2391" spans="1:8" x14ac:dyDescent="0.35">
      <c r="A2391" s="528" t="s">
        <v>7041</v>
      </c>
      <c r="B2391" s="528" t="s">
        <v>7042</v>
      </c>
      <c r="C2391" s="528" t="s">
        <v>1350</v>
      </c>
      <c r="D2391" s="528" t="s">
        <v>277</v>
      </c>
      <c r="E2391" s="528"/>
      <c r="F2391" s="528"/>
      <c r="G2391" s="528" t="s">
        <v>205</v>
      </c>
      <c r="H2391"/>
    </row>
    <row r="2392" spans="1:8" x14ac:dyDescent="0.35">
      <c r="A2392" s="528" t="s">
        <v>7043</v>
      </c>
      <c r="B2392" s="528" t="s">
        <v>7044</v>
      </c>
      <c r="C2392" s="528" t="s">
        <v>7045</v>
      </c>
      <c r="D2392" s="528" t="s">
        <v>264</v>
      </c>
      <c r="E2392" s="528" t="s">
        <v>225</v>
      </c>
      <c r="F2392" s="528"/>
      <c r="G2392" s="528" t="s">
        <v>205</v>
      </c>
      <c r="H2392"/>
    </row>
    <row r="2393" spans="1:8" x14ac:dyDescent="0.35">
      <c r="A2393" s="528" t="s">
        <v>7046</v>
      </c>
      <c r="B2393" s="528" t="s">
        <v>7047</v>
      </c>
      <c r="C2393" s="528" t="s">
        <v>7048</v>
      </c>
      <c r="D2393" s="528" t="s">
        <v>277</v>
      </c>
      <c r="E2393" s="528"/>
      <c r="F2393" s="528"/>
      <c r="G2393" s="528" t="s">
        <v>205</v>
      </c>
      <c r="H2393"/>
    </row>
    <row r="2394" spans="1:8" x14ac:dyDescent="0.35">
      <c r="A2394" s="528" t="s">
        <v>7049</v>
      </c>
      <c r="B2394" s="528" t="s">
        <v>7050</v>
      </c>
      <c r="C2394" s="528" t="s">
        <v>2874</v>
      </c>
      <c r="D2394" s="528" t="s">
        <v>277</v>
      </c>
      <c r="E2394" s="528"/>
      <c r="F2394" s="528"/>
      <c r="G2394" s="528" t="s">
        <v>205</v>
      </c>
      <c r="H2394"/>
    </row>
    <row r="2395" spans="1:8" x14ac:dyDescent="0.35">
      <c r="A2395" s="528" t="s">
        <v>7051</v>
      </c>
      <c r="B2395" s="528" t="s">
        <v>7052</v>
      </c>
      <c r="C2395" s="528" t="s">
        <v>7053</v>
      </c>
      <c r="D2395" s="528" t="s">
        <v>251</v>
      </c>
      <c r="E2395" s="528"/>
      <c r="F2395" s="528"/>
      <c r="G2395" s="528" t="s">
        <v>205</v>
      </c>
      <c r="H2395"/>
    </row>
    <row r="2396" spans="1:8" x14ac:dyDescent="0.35">
      <c r="A2396" s="528" t="s">
        <v>7054</v>
      </c>
      <c r="B2396" s="528" t="s">
        <v>7055</v>
      </c>
      <c r="C2396" s="528" t="s">
        <v>7056</v>
      </c>
      <c r="D2396" s="528" t="s">
        <v>264</v>
      </c>
      <c r="E2396" s="528"/>
      <c r="F2396" s="528"/>
      <c r="G2396" s="528" t="s">
        <v>205</v>
      </c>
      <c r="H2396"/>
    </row>
    <row r="2397" spans="1:8" x14ac:dyDescent="0.35">
      <c r="A2397" s="528" t="s">
        <v>7057</v>
      </c>
      <c r="B2397" s="528" t="s">
        <v>7058</v>
      </c>
      <c r="C2397" s="528" t="s">
        <v>7059</v>
      </c>
      <c r="D2397" s="528" t="s">
        <v>251</v>
      </c>
      <c r="E2397" s="528"/>
      <c r="F2397" s="528"/>
      <c r="G2397" s="528" t="s">
        <v>205</v>
      </c>
      <c r="H2397"/>
    </row>
    <row r="2398" spans="1:8" x14ac:dyDescent="0.35">
      <c r="A2398" s="528" t="s">
        <v>7060</v>
      </c>
      <c r="B2398" s="528" t="s">
        <v>7061</v>
      </c>
      <c r="C2398" s="528" t="s">
        <v>7062</v>
      </c>
      <c r="D2398" s="528" t="s">
        <v>251</v>
      </c>
      <c r="E2398" s="528"/>
      <c r="F2398" s="528"/>
      <c r="G2398" s="528" t="s">
        <v>205</v>
      </c>
      <c r="H2398"/>
    </row>
    <row r="2399" spans="1:8" x14ac:dyDescent="0.35">
      <c r="A2399" s="528" t="s">
        <v>7063</v>
      </c>
      <c r="B2399" s="528" t="s">
        <v>7064</v>
      </c>
      <c r="C2399" s="528" t="s">
        <v>7065</v>
      </c>
      <c r="D2399" s="528" t="s">
        <v>225</v>
      </c>
      <c r="E2399" s="528"/>
      <c r="F2399" s="528"/>
      <c r="G2399" s="528" t="s">
        <v>205</v>
      </c>
      <c r="H2399"/>
    </row>
    <row r="2400" spans="1:8" x14ac:dyDescent="0.35">
      <c r="A2400" s="528" t="s">
        <v>7066</v>
      </c>
      <c r="B2400" s="528" t="s">
        <v>7067</v>
      </c>
      <c r="C2400" s="528" t="s">
        <v>7068</v>
      </c>
      <c r="D2400" s="528" t="s">
        <v>251</v>
      </c>
      <c r="E2400" s="528"/>
      <c r="F2400" s="528"/>
      <c r="G2400" s="528" t="s">
        <v>205</v>
      </c>
      <c r="H2400"/>
    </row>
    <row r="2401" spans="1:8" x14ac:dyDescent="0.35">
      <c r="A2401" s="528" t="s">
        <v>7069</v>
      </c>
      <c r="B2401" s="528" t="s">
        <v>7070</v>
      </c>
      <c r="C2401" s="528" t="s">
        <v>7071</v>
      </c>
      <c r="D2401" s="528" t="s">
        <v>251</v>
      </c>
      <c r="E2401" s="528"/>
      <c r="F2401" s="528"/>
      <c r="G2401" s="528" t="s">
        <v>205</v>
      </c>
      <c r="H2401"/>
    </row>
    <row r="2402" spans="1:8" x14ac:dyDescent="0.35">
      <c r="A2402" s="528" t="s">
        <v>7072</v>
      </c>
      <c r="B2402" s="528" t="s">
        <v>7073</v>
      </c>
      <c r="C2402" s="528" t="s">
        <v>7074</v>
      </c>
      <c r="D2402" s="528" t="s">
        <v>277</v>
      </c>
      <c r="E2402" s="528"/>
      <c r="F2402" s="528"/>
      <c r="G2402" s="528" t="s">
        <v>205</v>
      </c>
      <c r="H2402"/>
    </row>
    <row r="2403" spans="1:8" x14ac:dyDescent="0.35">
      <c r="A2403" s="528" t="s">
        <v>7075</v>
      </c>
      <c r="B2403" s="528" t="s">
        <v>7076</v>
      </c>
      <c r="C2403" s="528" t="s">
        <v>7077</v>
      </c>
      <c r="D2403" s="528" t="s">
        <v>225</v>
      </c>
      <c r="E2403" s="528"/>
      <c r="F2403" s="528"/>
      <c r="G2403" s="528" t="s">
        <v>205</v>
      </c>
      <c r="H2403"/>
    </row>
    <row r="2404" spans="1:8" x14ac:dyDescent="0.35">
      <c r="A2404" s="528" t="s">
        <v>7078</v>
      </c>
      <c r="B2404" s="528" t="s">
        <v>7079</v>
      </c>
      <c r="C2404" s="528" t="s">
        <v>7080</v>
      </c>
      <c r="D2404" s="528" t="s">
        <v>264</v>
      </c>
      <c r="E2404" s="528"/>
      <c r="F2404" s="528"/>
      <c r="G2404" s="528" t="s">
        <v>205</v>
      </c>
      <c r="H2404"/>
    </row>
    <row r="2405" spans="1:8" x14ac:dyDescent="0.35">
      <c r="A2405" s="528" t="s">
        <v>7081</v>
      </c>
      <c r="B2405" s="528" t="s">
        <v>7082</v>
      </c>
      <c r="C2405" s="528" t="s">
        <v>7083</v>
      </c>
      <c r="D2405" s="528" t="s">
        <v>264</v>
      </c>
      <c r="E2405" s="528"/>
      <c r="F2405" s="528"/>
      <c r="G2405" s="528" t="s">
        <v>210</v>
      </c>
      <c r="H2405"/>
    </row>
    <row r="2406" spans="1:8" x14ac:dyDescent="0.35">
      <c r="A2406" s="528" t="s">
        <v>7084</v>
      </c>
      <c r="B2406" s="528" t="s">
        <v>7085</v>
      </c>
      <c r="C2406" s="528" t="s">
        <v>1317</v>
      </c>
      <c r="D2406" s="528" t="s">
        <v>277</v>
      </c>
      <c r="E2406" s="528"/>
      <c r="F2406" s="528"/>
      <c r="G2406" s="528" t="s">
        <v>205</v>
      </c>
      <c r="H2406"/>
    </row>
    <row r="2407" spans="1:8" x14ac:dyDescent="0.35">
      <c r="A2407" s="528" t="s">
        <v>7086</v>
      </c>
      <c r="B2407" s="528" t="s">
        <v>7087</v>
      </c>
      <c r="C2407" s="528" t="s">
        <v>7088</v>
      </c>
      <c r="D2407" s="528" t="s">
        <v>238</v>
      </c>
      <c r="E2407" s="528"/>
      <c r="F2407" s="528"/>
      <c r="G2407" s="528" t="s">
        <v>205</v>
      </c>
      <c r="H2407"/>
    </row>
    <row r="2408" spans="1:8" x14ac:dyDescent="0.35">
      <c r="A2408" s="528" t="s">
        <v>7089</v>
      </c>
      <c r="B2408" s="528" t="s">
        <v>7090</v>
      </c>
      <c r="C2408" s="528" t="s">
        <v>7091</v>
      </c>
      <c r="D2408" s="528" t="s">
        <v>277</v>
      </c>
      <c r="E2408" s="528"/>
      <c r="F2408" s="528"/>
      <c r="G2408" s="528" t="s">
        <v>205</v>
      </c>
      <c r="H2408"/>
    </row>
    <row r="2409" spans="1:8" x14ac:dyDescent="0.35">
      <c r="A2409" s="528" t="s">
        <v>7092</v>
      </c>
      <c r="B2409" s="528" t="s">
        <v>7093</v>
      </c>
      <c r="C2409" s="528" t="s">
        <v>7094</v>
      </c>
      <c r="D2409" s="528" t="s">
        <v>238</v>
      </c>
      <c r="E2409" s="528"/>
      <c r="F2409" s="528"/>
      <c r="G2409" s="528" t="s">
        <v>205</v>
      </c>
      <c r="H2409"/>
    </row>
    <row r="2410" spans="1:8" x14ac:dyDescent="0.35">
      <c r="A2410" s="528" t="s">
        <v>7095</v>
      </c>
      <c r="B2410" s="528" t="s">
        <v>7096</v>
      </c>
      <c r="C2410" s="528" t="s">
        <v>7097</v>
      </c>
      <c r="D2410" s="528" t="s">
        <v>277</v>
      </c>
      <c r="E2410" s="528" t="s">
        <v>238</v>
      </c>
      <c r="F2410" s="528"/>
      <c r="G2410" s="528" t="s">
        <v>205</v>
      </c>
      <c r="H2410"/>
    </row>
    <row r="2411" spans="1:8" x14ac:dyDescent="0.35">
      <c r="A2411" s="528" t="s">
        <v>7098</v>
      </c>
      <c r="B2411" s="528" t="s">
        <v>7099</v>
      </c>
      <c r="C2411" s="528" t="s">
        <v>7100</v>
      </c>
      <c r="D2411" s="528" t="s">
        <v>238</v>
      </c>
      <c r="E2411" s="528"/>
      <c r="F2411" s="528"/>
      <c r="G2411" s="528" t="s">
        <v>205</v>
      </c>
      <c r="H2411"/>
    </row>
    <row r="2412" spans="1:8" x14ac:dyDescent="0.35">
      <c r="A2412" s="528" t="s">
        <v>7101</v>
      </c>
      <c r="B2412" s="528" t="s">
        <v>7102</v>
      </c>
      <c r="C2412" s="528" t="s">
        <v>7103</v>
      </c>
      <c r="D2412" s="528" t="s">
        <v>238</v>
      </c>
      <c r="E2412" s="528"/>
      <c r="F2412" s="528"/>
      <c r="G2412" s="528" t="s">
        <v>208</v>
      </c>
      <c r="H2412"/>
    </row>
    <row r="2413" spans="1:8" x14ac:dyDescent="0.35">
      <c r="A2413" s="528" t="s">
        <v>7104</v>
      </c>
      <c r="B2413" s="528" t="s">
        <v>7105</v>
      </c>
      <c r="C2413" s="528" t="s">
        <v>7106</v>
      </c>
      <c r="D2413" s="528" t="s">
        <v>238</v>
      </c>
      <c r="E2413" s="528"/>
      <c r="F2413" s="528"/>
      <c r="G2413" s="528" t="s">
        <v>205</v>
      </c>
      <c r="H2413"/>
    </row>
    <row r="2414" spans="1:8" x14ac:dyDescent="0.35">
      <c r="A2414" s="528" t="s">
        <v>7107</v>
      </c>
      <c r="B2414" s="528" t="s">
        <v>7108</v>
      </c>
      <c r="C2414" s="528" t="s">
        <v>7109</v>
      </c>
      <c r="D2414" s="528" t="s">
        <v>238</v>
      </c>
      <c r="E2414" s="528"/>
      <c r="F2414" s="528"/>
      <c r="G2414" s="528" t="s">
        <v>208</v>
      </c>
      <c r="H2414"/>
    </row>
    <row r="2415" spans="1:8" x14ac:dyDescent="0.35">
      <c r="A2415" s="528" t="s">
        <v>7110</v>
      </c>
      <c r="B2415" s="528" t="s">
        <v>7111</v>
      </c>
      <c r="C2415" s="528" t="s">
        <v>7112</v>
      </c>
      <c r="D2415" s="528" t="s">
        <v>251</v>
      </c>
      <c r="E2415" s="528"/>
      <c r="F2415" s="528"/>
      <c r="G2415" s="528" t="s">
        <v>205</v>
      </c>
      <c r="H2415"/>
    </row>
    <row r="2416" spans="1:8" x14ac:dyDescent="0.35">
      <c r="A2416" s="528" t="s">
        <v>7113</v>
      </c>
      <c r="B2416" s="528" t="s">
        <v>7114</v>
      </c>
      <c r="C2416" s="528" t="s">
        <v>1483</v>
      </c>
      <c r="D2416" s="528" t="s">
        <v>251</v>
      </c>
      <c r="E2416" s="528"/>
      <c r="F2416" s="528"/>
      <c r="G2416" s="528" t="s">
        <v>205</v>
      </c>
      <c r="H2416"/>
    </row>
    <row r="2417" spans="1:8" x14ac:dyDescent="0.35">
      <c r="A2417" s="528" t="s">
        <v>7115</v>
      </c>
      <c r="B2417" s="528" t="s">
        <v>7116</v>
      </c>
      <c r="C2417" s="528" t="s">
        <v>7117</v>
      </c>
      <c r="D2417" s="528" t="s">
        <v>251</v>
      </c>
      <c r="E2417" s="528"/>
      <c r="F2417" s="528"/>
      <c r="G2417" s="528" t="s">
        <v>205</v>
      </c>
      <c r="H2417"/>
    </row>
    <row r="2418" spans="1:8" x14ac:dyDescent="0.35">
      <c r="A2418" s="528" t="s">
        <v>7118</v>
      </c>
      <c r="B2418" s="528" t="s">
        <v>7119</v>
      </c>
      <c r="C2418" s="528" t="s">
        <v>7120</v>
      </c>
      <c r="D2418" s="528" t="s">
        <v>277</v>
      </c>
      <c r="E2418" s="528"/>
      <c r="F2418" s="528"/>
      <c r="G2418" s="528" t="s">
        <v>205</v>
      </c>
      <c r="H2418"/>
    </row>
    <row r="2419" spans="1:8" x14ac:dyDescent="0.35">
      <c r="A2419" s="528" t="s">
        <v>7121</v>
      </c>
      <c r="B2419" s="528" t="s">
        <v>7122</v>
      </c>
      <c r="C2419" s="528" t="s">
        <v>4738</v>
      </c>
      <c r="D2419" s="528" t="s">
        <v>251</v>
      </c>
      <c r="E2419" s="528"/>
      <c r="F2419" s="528"/>
      <c r="G2419" s="528" t="s">
        <v>205</v>
      </c>
      <c r="H2419"/>
    </row>
    <row r="2420" spans="1:8" x14ac:dyDescent="0.35">
      <c r="A2420" s="528" t="s">
        <v>7123</v>
      </c>
      <c r="B2420" s="528" t="s">
        <v>7124</v>
      </c>
      <c r="C2420" s="528" t="s">
        <v>7125</v>
      </c>
      <c r="D2420" s="528" t="s">
        <v>225</v>
      </c>
      <c r="E2420" s="528"/>
      <c r="F2420" s="528"/>
      <c r="G2420" s="528" t="s">
        <v>208</v>
      </c>
      <c r="H2420"/>
    </row>
    <row r="2421" spans="1:8" x14ac:dyDescent="0.35">
      <c r="A2421" s="528" t="s">
        <v>7126</v>
      </c>
      <c r="B2421" s="528" t="s">
        <v>7127</v>
      </c>
      <c r="C2421" s="528" t="s">
        <v>7128</v>
      </c>
      <c r="D2421" s="528" t="s">
        <v>225</v>
      </c>
      <c r="E2421" s="528"/>
      <c r="F2421" s="528"/>
      <c r="G2421" s="528" t="s">
        <v>208</v>
      </c>
      <c r="H2421"/>
    </row>
    <row r="2422" spans="1:8" x14ac:dyDescent="0.35">
      <c r="A2422" s="528" t="s">
        <v>7129</v>
      </c>
      <c r="B2422" s="528" t="s">
        <v>7130</v>
      </c>
      <c r="C2422" s="528" t="s">
        <v>7128</v>
      </c>
      <c r="D2422" s="528" t="s">
        <v>225</v>
      </c>
      <c r="E2422" s="528"/>
      <c r="F2422" s="528"/>
      <c r="G2422" s="528" t="s">
        <v>208</v>
      </c>
      <c r="H2422"/>
    </row>
    <row r="2423" spans="1:8" x14ac:dyDescent="0.35">
      <c r="A2423" s="528" t="s">
        <v>7131</v>
      </c>
      <c r="B2423" s="528" t="s">
        <v>7132</v>
      </c>
      <c r="C2423" s="528" t="s">
        <v>7133</v>
      </c>
      <c r="D2423" s="528" t="s">
        <v>225</v>
      </c>
      <c r="E2423" s="528"/>
      <c r="F2423" s="528"/>
      <c r="G2423" s="528" t="s">
        <v>205</v>
      </c>
      <c r="H2423"/>
    </row>
    <row r="2424" spans="1:8" x14ac:dyDescent="0.35">
      <c r="A2424" s="528" t="s">
        <v>7134</v>
      </c>
      <c r="B2424" s="528" t="s">
        <v>7135</v>
      </c>
      <c r="C2424" s="528" t="s">
        <v>7136</v>
      </c>
      <c r="D2424" s="528" t="s">
        <v>225</v>
      </c>
      <c r="E2424" s="528"/>
      <c r="F2424" s="528"/>
      <c r="G2424" s="528" t="s">
        <v>205</v>
      </c>
      <c r="H2424"/>
    </row>
    <row r="2425" spans="1:8" x14ac:dyDescent="0.35">
      <c r="A2425" s="528" t="s">
        <v>7137</v>
      </c>
      <c r="B2425" s="528" t="s">
        <v>7138</v>
      </c>
      <c r="C2425" s="528" t="s">
        <v>7139</v>
      </c>
      <c r="D2425" s="528" t="s">
        <v>225</v>
      </c>
      <c r="E2425" s="528"/>
      <c r="F2425" s="528"/>
      <c r="G2425" s="528" t="s">
        <v>205</v>
      </c>
      <c r="H2425"/>
    </row>
    <row r="2426" spans="1:8" x14ac:dyDescent="0.35">
      <c r="A2426" s="528" t="s">
        <v>7140</v>
      </c>
      <c r="B2426" s="528" t="s">
        <v>7141</v>
      </c>
      <c r="C2426" s="528" t="s">
        <v>7142</v>
      </c>
      <c r="D2426" s="528" t="s">
        <v>225</v>
      </c>
      <c r="E2426" s="528"/>
      <c r="F2426" s="528"/>
      <c r="G2426" s="528" t="s">
        <v>205</v>
      </c>
      <c r="H2426"/>
    </row>
    <row r="2427" spans="1:8" x14ac:dyDescent="0.35">
      <c r="A2427" s="528" t="s">
        <v>7143</v>
      </c>
      <c r="B2427" s="528" t="s">
        <v>7144</v>
      </c>
      <c r="C2427" s="528" t="s">
        <v>7145</v>
      </c>
      <c r="D2427" s="528" t="s">
        <v>225</v>
      </c>
      <c r="E2427" s="528"/>
      <c r="F2427" s="528"/>
      <c r="G2427" s="528" t="s">
        <v>205</v>
      </c>
      <c r="H2427"/>
    </row>
    <row r="2428" spans="1:8" x14ac:dyDescent="0.35">
      <c r="A2428" s="528" t="s">
        <v>7146</v>
      </c>
      <c r="B2428" s="528" t="s">
        <v>7147</v>
      </c>
      <c r="C2428" s="528" t="s">
        <v>7148</v>
      </c>
      <c r="D2428" s="528" t="s">
        <v>225</v>
      </c>
      <c r="E2428" s="528"/>
      <c r="F2428" s="528"/>
      <c r="G2428" s="528" t="s">
        <v>205</v>
      </c>
      <c r="H2428"/>
    </row>
    <row r="2429" spans="1:8" x14ac:dyDescent="0.35">
      <c r="A2429" s="528" t="s">
        <v>7149</v>
      </c>
      <c r="B2429" s="528" t="s">
        <v>7150</v>
      </c>
      <c r="C2429" s="528" t="s">
        <v>7151</v>
      </c>
      <c r="D2429" s="528" t="s">
        <v>264</v>
      </c>
      <c r="E2429" s="528"/>
      <c r="F2429" s="528"/>
      <c r="G2429" s="528" t="s">
        <v>208</v>
      </c>
      <c r="H2429"/>
    </row>
    <row r="2430" spans="1:8" x14ac:dyDescent="0.35">
      <c r="A2430" s="528" t="s">
        <v>7152</v>
      </c>
      <c r="B2430" s="528" t="s">
        <v>7153</v>
      </c>
      <c r="C2430" s="528" t="s">
        <v>7151</v>
      </c>
      <c r="D2430" s="528" t="s">
        <v>264</v>
      </c>
      <c r="E2430" s="528"/>
      <c r="F2430" s="528"/>
      <c r="G2430" s="528" t="s">
        <v>208</v>
      </c>
      <c r="H2430"/>
    </row>
    <row r="2431" spans="1:8" x14ac:dyDescent="0.35">
      <c r="A2431" s="528" t="s">
        <v>7154</v>
      </c>
      <c r="B2431" s="528" t="s">
        <v>7155</v>
      </c>
      <c r="C2431" s="528" t="s">
        <v>7156</v>
      </c>
      <c r="D2431" s="528" t="s">
        <v>225</v>
      </c>
      <c r="E2431" s="528"/>
      <c r="F2431" s="528"/>
      <c r="G2431" s="528" t="s">
        <v>205</v>
      </c>
      <c r="H2431"/>
    </row>
    <row r="2432" spans="1:8" x14ac:dyDescent="0.35">
      <c r="A2432" s="528" t="s">
        <v>7157</v>
      </c>
      <c r="B2432" s="528" t="s">
        <v>7158</v>
      </c>
      <c r="C2432" s="528" t="s">
        <v>7159</v>
      </c>
      <c r="D2432" s="528" t="s">
        <v>225</v>
      </c>
      <c r="E2432" s="528"/>
      <c r="F2432" s="528"/>
      <c r="G2432" s="528" t="s">
        <v>205</v>
      </c>
      <c r="H2432"/>
    </row>
    <row r="2433" spans="1:8" x14ac:dyDescent="0.35">
      <c r="A2433" s="528" t="s">
        <v>7160</v>
      </c>
      <c r="B2433" s="528" t="s">
        <v>7161</v>
      </c>
      <c r="C2433" s="528" t="s">
        <v>7162</v>
      </c>
      <c r="D2433" s="528" t="s">
        <v>264</v>
      </c>
      <c r="E2433" s="528"/>
      <c r="F2433" s="528"/>
      <c r="G2433" s="528" t="s">
        <v>205</v>
      </c>
      <c r="H2433"/>
    </row>
    <row r="2434" spans="1:8" x14ac:dyDescent="0.35">
      <c r="A2434" s="528" t="s">
        <v>7163</v>
      </c>
      <c r="B2434" s="528" t="s">
        <v>7164</v>
      </c>
      <c r="C2434" s="528" t="s">
        <v>7165</v>
      </c>
      <c r="D2434" s="528" t="s">
        <v>264</v>
      </c>
      <c r="E2434" s="528"/>
      <c r="F2434" s="528"/>
      <c r="G2434" s="528" t="s">
        <v>205</v>
      </c>
      <c r="H2434"/>
    </row>
    <row r="2435" spans="1:8" x14ac:dyDescent="0.35">
      <c r="A2435" s="528" t="s">
        <v>7166</v>
      </c>
      <c r="B2435" s="528" t="s">
        <v>7167</v>
      </c>
      <c r="C2435" s="528" t="s">
        <v>7168</v>
      </c>
      <c r="D2435" s="528" t="s">
        <v>225</v>
      </c>
      <c r="E2435" s="528"/>
      <c r="F2435" s="528"/>
      <c r="G2435" s="528" t="s">
        <v>205</v>
      </c>
      <c r="H2435"/>
    </row>
    <row r="2436" spans="1:8" x14ac:dyDescent="0.35">
      <c r="A2436" s="528" t="s">
        <v>7169</v>
      </c>
      <c r="B2436" s="528" t="s">
        <v>7170</v>
      </c>
      <c r="C2436" s="528" t="s">
        <v>7171</v>
      </c>
      <c r="D2436" s="528" t="s">
        <v>225</v>
      </c>
      <c r="E2436" s="528"/>
      <c r="F2436" s="528"/>
      <c r="G2436" s="528" t="s">
        <v>205</v>
      </c>
      <c r="H2436"/>
    </row>
    <row r="2437" spans="1:8" x14ac:dyDescent="0.35">
      <c r="A2437" s="528" t="s">
        <v>7172</v>
      </c>
      <c r="B2437" s="528" t="s">
        <v>7173</v>
      </c>
      <c r="C2437" s="528" t="s">
        <v>7174</v>
      </c>
      <c r="D2437" s="528" t="s">
        <v>225</v>
      </c>
      <c r="E2437" s="528"/>
      <c r="F2437" s="528"/>
      <c r="G2437" s="528" t="s">
        <v>205</v>
      </c>
      <c r="H2437"/>
    </row>
    <row r="2438" spans="1:8" x14ac:dyDescent="0.35">
      <c r="A2438" s="528" t="s">
        <v>7175</v>
      </c>
      <c r="B2438" s="528" t="s">
        <v>7176</v>
      </c>
      <c r="C2438" s="528" t="s">
        <v>7177</v>
      </c>
      <c r="D2438" s="528" t="s">
        <v>225</v>
      </c>
      <c r="E2438" s="528"/>
      <c r="F2438" s="528"/>
      <c r="G2438" s="528" t="s">
        <v>205</v>
      </c>
      <c r="H2438"/>
    </row>
    <row r="2439" spans="1:8" x14ac:dyDescent="0.35">
      <c r="A2439" s="528" t="s">
        <v>7178</v>
      </c>
      <c r="B2439" s="528" t="s">
        <v>7179</v>
      </c>
      <c r="C2439" s="528" t="s">
        <v>7180</v>
      </c>
      <c r="D2439" s="528" t="s">
        <v>225</v>
      </c>
      <c r="E2439" s="528"/>
      <c r="F2439" s="528"/>
      <c r="G2439" s="528" t="s">
        <v>205</v>
      </c>
      <c r="H2439"/>
    </row>
    <row r="2440" spans="1:8" x14ac:dyDescent="0.35">
      <c r="A2440" s="528" t="s">
        <v>7181</v>
      </c>
      <c r="B2440" s="528" t="s">
        <v>7182</v>
      </c>
      <c r="C2440" s="528" t="s">
        <v>7183</v>
      </c>
      <c r="D2440" s="528" t="s">
        <v>225</v>
      </c>
      <c r="E2440" s="528"/>
      <c r="F2440" s="528"/>
      <c r="G2440" s="528" t="s">
        <v>205</v>
      </c>
      <c r="H2440"/>
    </row>
    <row r="2441" spans="1:8" x14ac:dyDescent="0.35">
      <c r="A2441" s="528" t="s">
        <v>7184</v>
      </c>
      <c r="B2441" s="528" t="s">
        <v>7185</v>
      </c>
      <c r="C2441" s="528" t="s">
        <v>7186</v>
      </c>
      <c r="D2441" s="528" t="s">
        <v>225</v>
      </c>
      <c r="E2441" s="528"/>
      <c r="F2441" s="528"/>
      <c r="G2441" s="528" t="s">
        <v>205</v>
      </c>
      <c r="H2441"/>
    </row>
    <row r="2442" spans="1:8" x14ac:dyDescent="0.35">
      <c r="A2442" s="528" t="s">
        <v>7187</v>
      </c>
      <c r="B2442" s="528" t="s">
        <v>7188</v>
      </c>
      <c r="C2442" s="528" t="s">
        <v>7189</v>
      </c>
      <c r="D2442" s="528" t="s">
        <v>264</v>
      </c>
      <c r="E2442" s="528"/>
      <c r="F2442" s="528"/>
      <c r="G2442" s="528" t="s">
        <v>205</v>
      </c>
      <c r="H2442"/>
    </row>
    <row r="2443" spans="1:8" x14ac:dyDescent="0.35">
      <c r="A2443" s="528" t="s">
        <v>7190</v>
      </c>
      <c r="B2443" s="528" t="s">
        <v>7191</v>
      </c>
      <c r="C2443" s="528" t="s">
        <v>7192</v>
      </c>
      <c r="D2443" s="528" t="s">
        <v>225</v>
      </c>
      <c r="E2443" s="528"/>
      <c r="F2443" s="528"/>
      <c r="G2443" s="528" t="s">
        <v>205</v>
      </c>
      <c r="H2443"/>
    </row>
    <row r="2444" spans="1:8" x14ac:dyDescent="0.35">
      <c r="A2444" s="528" t="s">
        <v>7193</v>
      </c>
      <c r="B2444" s="528" t="s">
        <v>7194</v>
      </c>
      <c r="C2444" s="528" t="s">
        <v>7195</v>
      </c>
      <c r="D2444" s="528" t="s">
        <v>225</v>
      </c>
      <c r="E2444" s="528"/>
      <c r="F2444" s="528"/>
      <c r="G2444" s="528" t="s">
        <v>205</v>
      </c>
      <c r="H2444"/>
    </row>
    <row r="2445" spans="1:8" x14ac:dyDescent="0.35">
      <c r="A2445" s="528" t="s">
        <v>7196</v>
      </c>
      <c r="B2445" s="528" t="s">
        <v>7197</v>
      </c>
      <c r="C2445" s="528" t="s">
        <v>7198</v>
      </c>
      <c r="D2445" s="528" t="s">
        <v>225</v>
      </c>
      <c r="E2445" s="528"/>
      <c r="F2445" s="528"/>
      <c r="G2445" s="528" t="s">
        <v>205</v>
      </c>
      <c r="H2445"/>
    </row>
    <row r="2446" spans="1:8" x14ac:dyDescent="0.35">
      <c r="A2446" s="528" t="s">
        <v>7199</v>
      </c>
      <c r="B2446" s="528" t="s">
        <v>7200</v>
      </c>
      <c r="C2446" s="528" t="s">
        <v>7201</v>
      </c>
      <c r="D2446" s="528" t="s">
        <v>264</v>
      </c>
      <c r="E2446" s="528"/>
      <c r="F2446" s="528"/>
      <c r="G2446" s="528" t="s">
        <v>205</v>
      </c>
      <c r="H2446"/>
    </row>
    <row r="2447" spans="1:8" x14ac:dyDescent="0.35">
      <c r="A2447" s="528" t="s">
        <v>7202</v>
      </c>
      <c r="B2447" s="528" t="s">
        <v>7203</v>
      </c>
      <c r="C2447" s="528" t="s">
        <v>7204</v>
      </c>
      <c r="D2447" s="528" t="s">
        <v>264</v>
      </c>
      <c r="E2447" s="528"/>
      <c r="F2447" s="528"/>
      <c r="G2447" s="528" t="s">
        <v>205</v>
      </c>
      <c r="H2447"/>
    </row>
    <row r="2448" spans="1:8" x14ac:dyDescent="0.35">
      <c r="A2448" s="528" t="s">
        <v>7205</v>
      </c>
      <c r="B2448" s="528" t="s">
        <v>7206</v>
      </c>
      <c r="C2448" s="528" t="s">
        <v>7207</v>
      </c>
      <c r="D2448" s="528" t="s">
        <v>264</v>
      </c>
      <c r="E2448" s="528"/>
      <c r="F2448" s="528"/>
      <c r="G2448" s="528" t="s">
        <v>205</v>
      </c>
      <c r="H2448"/>
    </row>
    <row r="2449" spans="1:8" x14ac:dyDescent="0.35">
      <c r="A2449" s="528" t="s">
        <v>7208</v>
      </c>
      <c r="B2449" s="528" t="s">
        <v>7209</v>
      </c>
      <c r="C2449" s="528" t="s">
        <v>7210</v>
      </c>
      <c r="D2449" s="528" t="s">
        <v>264</v>
      </c>
      <c r="E2449" s="528"/>
      <c r="F2449" s="528"/>
      <c r="G2449" s="528" t="s">
        <v>208</v>
      </c>
      <c r="H2449"/>
    </row>
    <row r="2450" spans="1:8" x14ac:dyDescent="0.35">
      <c r="A2450" s="528" t="s">
        <v>7211</v>
      </c>
      <c r="B2450" s="528" t="s">
        <v>7212</v>
      </c>
      <c r="C2450" s="528" t="s">
        <v>7213</v>
      </c>
      <c r="D2450" s="528" t="s">
        <v>264</v>
      </c>
      <c r="E2450" s="528"/>
      <c r="F2450" s="528"/>
      <c r="G2450" s="528" t="s">
        <v>208</v>
      </c>
      <c r="H2450"/>
    </row>
    <row r="2451" spans="1:8" x14ac:dyDescent="0.35">
      <c r="A2451" s="528" t="s">
        <v>7214</v>
      </c>
      <c r="B2451" s="528" t="s">
        <v>7215</v>
      </c>
      <c r="C2451" s="528" t="s">
        <v>7216</v>
      </c>
      <c r="D2451" s="528" t="s">
        <v>264</v>
      </c>
      <c r="E2451" s="528"/>
      <c r="F2451" s="528"/>
      <c r="G2451" s="528" t="s">
        <v>208</v>
      </c>
      <c r="H2451"/>
    </row>
    <row r="2452" spans="1:8" x14ac:dyDescent="0.35">
      <c r="A2452" s="528" t="s">
        <v>7217</v>
      </c>
      <c r="B2452" s="528" t="s">
        <v>7218</v>
      </c>
      <c r="C2452" s="528" t="s">
        <v>7219</v>
      </c>
      <c r="D2452" s="528" t="s">
        <v>264</v>
      </c>
      <c r="E2452" s="528"/>
      <c r="F2452" s="528"/>
      <c r="G2452" s="528" t="s">
        <v>208</v>
      </c>
      <c r="H2452"/>
    </row>
    <row r="2453" spans="1:8" x14ac:dyDescent="0.35">
      <c r="A2453" s="528" t="s">
        <v>7220</v>
      </c>
      <c r="B2453" s="528" t="s">
        <v>7221</v>
      </c>
      <c r="C2453" s="528" t="s">
        <v>7222</v>
      </c>
      <c r="D2453" s="528" t="s">
        <v>225</v>
      </c>
      <c r="E2453" s="528"/>
      <c r="F2453" s="528"/>
      <c r="G2453" s="528" t="s">
        <v>205</v>
      </c>
      <c r="H2453"/>
    </row>
    <row r="2454" spans="1:8" x14ac:dyDescent="0.35">
      <c r="A2454" s="528" t="s">
        <v>7223</v>
      </c>
      <c r="B2454" s="528" t="s">
        <v>7224</v>
      </c>
      <c r="C2454" s="528" t="s">
        <v>7225</v>
      </c>
      <c r="D2454" s="528" t="s">
        <v>264</v>
      </c>
      <c r="E2454" s="528"/>
      <c r="F2454" s="528"/>
      <c r="G2454" s="528" t="s">
        <v>205</v>
      </c>
      <c r="H2454"/>
    </row>
    <row r="2455" spans="1:8" x14ac:dyDescent="0.35">
      <c r="A2455" s="528" t="s">
        <v>7226</v>
      </c>
      <c r="B2455" s="528" t="s">
        <v>7227</v>
      </c>
      <c r="C2455" s="528" t="s">
        <v>7228</v>
      </c>
      <c r="D2455" s="528" t="s">
        <v>264</v>
      </c>
      <c r="E2455" s="528"/>
      <c r="F2455" s="528"/>
      <c r="G2455" s="528" t="s">
        <v>205</v>
      </c>
      <c r="H2455"/>
    </row>
    <row r="2456" spans="1:8" x14ac:dyDescent="0.35">
      <c r="A2456" s="528" t="s">
        <v>7229</v>
      </c>
      <c r="B2456" s="528" t="s">
        <v>7230</v>
      </c>
      <c r="C2456" s="528" t="s">
        <v>7231</v>
      </c>
      <c r="D2456" s="528" t="s">
        <v>264</v>
      </c>
      <c r="E2456" s="528"/>
      <c r="F2456" s="528"/>
      <c r="G2456" s="528" t="s">
        <v>205</v>
      </c>
      <c r="H2456"/>
    </row>
    <row r="2457" spans="1:8" x14ac:dyDescent="0.35">
      <c r="A2457" s="528" t="s">
        <v>7232</v>
      </c>
      <c r="B2457" s="528" t="s">
        <v>7233</v>
      </c>
      <c r="C2457" s="528" t="s">
        <v>4749</v>
      </c>
      <c r="D2457" s="528" t="s">
        <v>251</v>
      </c>
      <c r="E2457" s="528"/>
      <c r="F2457" s="528"/>
      <c r="G2457" s="528" t="s">
        <v>205</v>
      </c>
      <c r="H2457"/>
    </row>
    <row r="2458" spans="1:8" x14ac:dyDescent="0.35">
      <c r="A2458" s="528" t="s">
        <v>7234</v>
      </c>
      <c r="B2458" s="528" t="s">
        <v>7235</v>
      </c>
      <c r="C2458" s="528" t="s">
        <v>1854</v>
      </c>
      <c r="D2458" s="528" t="s">
        <v>277</v>
      </c>
      <c r="E2458" s="528"/>
      <c r="F2458" s="528"/>
      <c r="G2458" s="528" t="s">
        <v>205</v>
      </c>
      <c r="H2458"/>
    </row>
    <row r="2459" spans="1:8" x14ac:dyDescent="0.35">
      <c r="A2459" s="528" t="s">
        <v>7236</v>
      </c>
      <c r="B2459" s="528" t="s">
        <v>7237</v>
      </c>
      <c r="C2459" s="528" t="s">
        <v>7238</v>
      </c>
      <c r="D2459" s="528" t="s">
        <v>264</v>
      </c>
      <c r="E2459" s="528"/>
      <c r="F2459" s="528"/>
      <c r="G2459" s="528" t="s">
        <v>205</v>
      </c>
      <c r="H2459"/>
    </row>
    <row r="2460" spans="1:8" x14ac:dyDescent="0.35">
      <c r="A2460" s="528" t="s">
        <v>7239</v>
      </c>
      <c r="B2460" s="528" t="s">
        <v>7240</v>
      </c>
      <c r="C2460" s="528" t="s">
        <v>7241</v>
      </c>
      <c r="D2460" s="528" t="s">
        <v>264</v>
      </c>
      <c r="E2460" s="528"/>
      <c r="F2460" s="528"/>
      <c r="G2460" s="528" t="s">
        <v>208</v>
      </c>
      <c r="H2460"/>
    </row>
    <row r="2461" spans="1:8" x14ac:dyDescent="0.35">
      <c r="A2461" s="528" t="s">
        <v>7242</v>
      </c>
      <c r="B2461" s="528" t="s">
        <v>7243</v>
      </c>
      <c r="C2461" s="528" t="s">
        <v>7244</v>
      </c>
      <c r="D2461" s="528" t="s">
        <v>251</v>
      </c>
      <c r="E2461" s="528"/>
      <c r="F2461" s="528"/>
      <c r="G2461" s="528" t="s">
        <v>205</v>
      </c>
      <c r="H2461"/>
    </row>
    <row r="2462" spans="1:8" x14ac:dyDescent="0.35">
      <c r="A2462" s="528" t="s">
        <v>7245</v>
      </c>
      <c r="B2462" s="528" t="s">
        <v>7246</v>
      </c>
      <c r="C2462" s="528" t="s">
        <v>7247</v>
      </c>
      <c r="D2462" s="528" t="s">
        <v>277</v>
      </c>
      <c r="E2462" s="528"/>
      <c r="F2462" s="528"/>
      <c r="G2462" s="528" t="s">
        <v>205</v>
      </c>
      <c r="H2462"/>
    </row>
    <row r="2463" spans="1:8" x14ac:dyDescent="0.35">
      <c r="A2463" s="528" t="s">
        <v>7248</v>
      </c>
      <c r="B2463" s="528" t="s">
        <v>7249</v>
      </c>
      <c r="C2463" s="528" t="s">
        <v>7250</v>
      </c>
      <c r="D2463" s="528" t="s">
        <v>277</v>
      </c>
      <c r="E2463" s="528"/>
      <c r="F2463" s="528"/>
      <c r="G2463" s="528" t="s">
        <v>208</v>
      </c>
      <c r="H2463"/>
    </row>
    <row r="2464" spans="1:8" x14ac:dyDescent="0.35">
      <c r="A2464" s="528" t="s">
        <v>7251</v>
      </c>
      <c r="B2464" s="528" t="s">
        <v>7252</v>
      </c>
      <c r="C2464" s="528" t="s">
        <v>7253</v>
      </c>
      <c r="D2464" s="528" t="s">
        <v>277</v>
      </c>
      <c r="E2464" s="528"/>
      <c r="F2464" s="528"/>
      <c r="G2464" s="528" t="s">
        <v>208</v>
      </c>
      <c r="H2464"/>
    </row>
    <row r="2465" spans="1:8" x14ac:dyDescent="0.35">
      <c r="A2465" s="528" t="s">
        <v>7254</v>
      </c>
      <c r="B2465" s="528" t="s">
        <v>7255</v>
      </c>
      <c r="C2465" s="528" t="s">
        <v>2342</v>
      </c>
      <c r="D2465" s="528" t="s">
        <v>238</v>
      </c>
      <c r="E2465" s="528"/>
      <c r="F2465" s="528"/>
      <c r="G2465" s="528" t="s">
        <v>205</v>
      </c>
      <c r="H2465"/>
    </row>
    <row r="2466" spans="1:8" x14ac:dyDescent="0.35">
      <c r="A2466" s="528" t="s">
        <v>7256</v>
      </c>
      <c r="B2466" s="528" t="s">
        <v>7257</v>
      </c>
      <c r="C2466" s="528" t="s">
        <v>1934</v>
      </c>
      <c r="D2466" s="528" t="s">
        <v>251</v>
      </c>
      <c r="E2466" s="528"/>
      <c r="F2466" s="528"/>
      <c r="G2466" s="528" t="s">
        <v>205</v>
      </c>
      <c r="H2466"/>
    </row>
    <row r="2467" spans="1:8" x14ac:dyDescent="0.35">
      <c r="A2467" s="528" t="s">
        <v>7258</v>
      </c>
      <c r="B2467" s="528" t="s">
        <v>7259</v>
      </c>
      <c r="C2467" s="528" t="s">
        <v>7260</v>
      </c>
      <c r="D2467" s="528" t="s">
        <v>251</v>
      </c>
      <c r="E2467" s="528"/>
      <c r="F2467" s="528"/>
      <c r="G2467" s="528" t="s">
        <v>205</v>
      </c>
      <c r="H2467"/>
    </row>
    <row r="2468" spans="1:8" x14ac:dyDescent="0.35">
      <c r="A2468" s="528" t="s">
        <v>7261</v>
      </c>
      <c r="B2468" s="528" t="s">
        <v>7262</v>
      </c>
      <c r="C2468" s="528" t="s">
        <v>7263</v>
      </c>
      <c r="D2468" s="528" t="s">
        <v>251</v>
      </c>
      <c r="E2468" s="528"/>
      <c r="F2468" s="528"/>
      <c r="G2468" s="528" t="s">
        <v>205</v>
      </c>
      <c r="H2468"/>
    </row>
    <row r="2469" spans="1:8" x14ac:dyDescent="0.35">
      <c r="A2469" s="528" t="s">
        <v>7264</v>
      </c>
      <c r="B2469" s="528" t="s">
        <v>7265</v>
      </c>
      <c r="C2469" s="528" t="s">
        <v>1305</v>
      </c>
      <c r="D2469" s="528" t="s">
        <v>277</v>
      </c>
      <c r="E2469" s="528"/>
      <c r="F2469" s="528"/>
      <c r="G2469" s="528" t="s">
        <v>205</v>
      </c>
      <c r="H2469"/>
    </row>
    <row r="2470" spans="1:8" x14ac:dyDescent="0.35">
      <c r="A2470" s="528" t="s">
        <v>7266</v>
      </c>
      <c r="B2470" s="528" t="s">
        <v>7267</v>
      </c>
      <c r="C2470" s="528" t="s">
        <v>4023</v>
      </c>
      <c r="D2470" s="528" t="s">
        <v>277</v>
      </c>
      <c r="E2470" s="528"/>
      <c r="F2470" s="528"/>
      <c r="G2470" s="528" t="s">
        <v>205</v>
      </c>
      <c r="H2470"/>
    </row>
    <row r="2471" spans="1:8" x14ac:dyDescent="0.35">
      <c r="A2471" s="528" t="s">
        <v>7268</v>
      </c>
      <c r="B2471" s="528" t="s">
        <v>7269</v>
      </c>
      <c r="C2471" s="528" t="s">
        <v>7270</v>
      </c>
      <c r="D2471" s="528" t="s">
        <v>264</v>
      </c>
      <c r="E2471" s="528"/>
      <c r="F2471" s="528"/>
      <c r="G2471" s="528" t="s">
        <v>208</v>
      </c>
      <c r="H2471"/>
    </row>
    <row r="2472" spans="1:8" x14ac:dyDescent="0.35">
      <c r="A2472" s="528" t="s">
        <v>7271</v>
      </c>
      <c r="B2472" s="528" t="s">
        <v>7272</v>
      </c>
      <c r="C2472" s="528" t="s">
        <v>751</v>
      </c>
      <c r="D2472" s="528" t="s">
        <v>251</v>
      </c>
      <c r="E2472" s="528"/>
      <c r="F2472" s="528"/>
      <c r="G2472" s="528" t="s">
        <v>208</v>
      </c>
      <c r="H2472"/>
    </row>
    <row r="2473" spans="1:8" x14ac:dyDescent="0.35">
      <c r="A2473" s="528" t="s">
        <v>7273</v>
      </c>
      <c r="B2473" s="528" t="s">
        <v>7274</v>
      </c>
      <c r="C2473" s="528" t="s">
        <v>7275</v>
      </c>
      <c r="D2473" s="528" t="s">
        <v>251</v>
      </c>
      <c r="E2473" s="528"/>
      <c r="F2473" s="528"/>
      <c r="G2473" s="528" t="s">
        <v>205</v>
      </c>
      <c r="H2473"/>
    </row>
    <row r="2474" spans="1:8" x14ac:dyDescent="0.35">
      <c r="A2474" s="528" t="s">
        <v>7276</v>
      </c>
      <c r="B2474" s="528" t="s">
        <v>7277</v>
      </c>
      <c r="C2474" s="528" t="s">
        <v>7278</v>
      </c>
      <c r="D2474" s="528" t="s">
        <v>251</v>
      </c>
      <c r="E2474" s="528"/>
      <c r="F2474" s="528"/>
      <c r="G2474" s="528" t="s">
        <v>205</v>
      </c>
      <c r="H2474"/>
    </row>
    <row r="2475" spans="1:8" x14ac:dyDescent="0.35">
      <c r="A2475" s="528" t="s">
        <v>7279</v>
      </c>
      <c r="B2475" s="528" t="s">
        <v>7280</v>
      </c>
      <c r="C2475" s="528" t="s">
        <v>1107</v>
      </c>
      <c r="D2475" s="528" t="s">
        <v>251</v>
      </c>
      <c r="E2475" s="528"/>
      <c r="F2475" s="528"/>
      <c r="G2475" s="528" t="s">
        <v>208</v>
      </c>
      <c r="H2475"/>
    </row>
    <row r="2476" spans="1:8" x14ac:dyDescent="0.35">
      <c r="A2476" s="528" t="s">
        <v>7281</v>
      </c>
      <c r="B2476" s="528" t="s">
        <v>7282</v>
      </c>
      <c r="C2476" s="528" t="s">
        <v>7283</v>
      </c>
      <c r="D2476" s="528" t="s">
        <v>251</v>
      </c>
      <c r="E2476" s="528"/>
      <c r="F2476" s="528"/>
      <c r="G2476" s="528" t="s">
        <v>205</v>
      </c>
      <c r="H2476"/>
    </row>
    <row r="2477" spans="1:8" x14ac:dyDescent="0.35">
      <c r="A2477" s="528" t="s">
        <v>7284</v>
      </c>
      <c r="B2477" s="528" t="s">
        <v>7285</v>
      </c>
      <c r="C2477" s="528" t="s">
        <v>7286</v>
      </c>
      <c r="D2477" s="528" t="s">
        <v>251</v>
      </c>
      <c r="E2477" s="528"/>
      <c r="F2477" s="528"/>
      <c r="G2477" s="528" t="s">
        <v>205</v>
      </c>
      <c r="H2477"/>
    </row>
    <row r="2478" spans="1:8" x14ac:dyDescent="0.35">
      <c r="A2478" s="528" t="s">
        <v>7287</v>
      </c>
      <c r="B2478" s="528" t="s">
        <v>7288</v>
      </c>
      <c r="C2478" s="528" t="s">
        <v>922</v>
      </c>
      <c r="D2478" s="528" t="s">
        <v>251</v>
      </c>
      <c r="E2478" s="528"/>
      <c r="F2478" s="528"/>
      <c r="G2478" s="528" t="s">
        <v>208</v>
      </c>
      <c r="H2478"/>
    </row>
    <row r="2479" spans="1:8" x14ac:dyDescent="0.35">
      <c r="A2479" s="528" t="s">
        <v>7289</v>
      </c>
      <c r="B2479" s="528" t="s">
        <v>7290</v>
      </c>
      <c r="C2479" s="528" t="s">
        <v>7291</v>
      </c>
      <c r="D2479" s="528" t="s">
        <v>251</v>
      </c>
      <c r="E2479" s="528"/>
      <c r="F2479" s="528"/>
      <c r="G2479" s="528" t="s">
        <v>205</v>
      </c>
      <c r="H2479"/>
    </row>
    <row r="2480" spans="1:8" x14ac:dyDescent="0.35">
      <c r="A2480" s="528" t="s">
        <v>7292</v>
      </c>
      <c r="B2480" s="528" t="s">
        <v>7293</v>
      </c>
      <c r="C2480" s="528" t="s">
        <v>7294</v>
      </c>
      <c r="D2480" s="528" t="s">
        <v>251</v>
      </c>
      <c r="E2480" s="528"/>
      <c r="F2480" s="528"/>
      <c r="G2480" s="528" t="s">
        <v>205</v>
      </c>
      <c r="H2480"/>
    </row>
    <row r="2481" spans="1:8" x14ac:dyDescent="0.35">
      <c r="A2481" s="528" t="s">
        <v>7295</v>
      </c>
      <c r="B2481" s="528" t="s">
        <v>7296</v>
      </c>
      <c r="C2481" s="528" t="s">
        <v>1377</v>
      </c>
      <c r="D2481" s="528" t="s">
        <v>251</v>
      </c>
      <c r="E2481" s="528"/>
      <c r="F2481" s="528"/>
      <c r="G2481" s="528" t="s">
        <v>208</v>
      </c>
      <c r="H2481"/>
    </row>
    <row r="2482" spans="1:8" x14ac:dyDescent="0.35">
      <c r="A2482" s="528" t="s">
        <v>7297</v>
      </c>
      <c r="B2482" s="528" t="s">
        <v>7298</v>
      </c>
      <c r="C2482" s="528" t="s">
        <v>7299</v>
      </c>
      <c r="D2482" s="528" t="s">
        <v>251</v>
      </c>
      <c r="E2482" s="528"/>
      <c r="F2482" s="528"/>
      <c r="G2482" s="528" t="s">
        <v>205</v>
      </c>
      <c r="H2482"/>
    </row>
    <row r="2483" spans="1:8" x14ac:dyDescent="0.35">
      <c r="A2483" s="528" t="s">
        <v>7300</v>
      </c>
      <c r="B2483" s="528" t="s">
        <v>7301</v>
      </c>
      <c r="C2483" s="528" t="s">
        <v>907</v>
      </c>
      <c r="D2483" s="528" t="s">
        <v>251</v>
      </c>
      <c r="E2483" s="528"/>
      <c r="F2483" s="528"/>
      <c r="G2483" s="528" t="s">
        <v>205</v>
      </c>
      <c r="H2483"/>
    </row>
    <row r="2484" spans="1:8" x14ac:dyDescent="0.35">
      <c r="A2484" s="528" t="s">
        <v>7302</v>
      </c>
      <c r="B2484" s="528" t="s">
        <v>7303</v>
      </c>
      <c r="C2484" s="528" t="s">
        <v>7304</v>
      </c>
      <c r="D2484" s="528" t="s">
        <v>277</v>
      </c>
      <c r="E2484" s="528"/>
      <c r="F2484" s="528"/>
      <c r="G2484" s="528" t="s">
        <v>205</v>
      </c>
      <c r="H2484"/>
    </row>
    <row r="2485" spans="1:8" x14ac:dyDescent="0.35">
      <c r="A2485" s="528" t="s">
        <v>7305</v>
      </c>
      <c r="B2485" s="528" t="s">
        <v>7306</v>
      </c>
      <c r="C2485" s="528" t="s">
        <v>7307</v>
      </c>
      <c r="D2485" s="528" t="s">
        <v>277</v>
      </c>
      <c r="E2485" s="528"/>
      <c r="F2485" s="528"/>
      <c r="G2485" s="528" t="s">
        <v>208</v>
      </c>
      <c r="H2485"/>
    </row>
    <row r="2486" spans="1:8" x14ac:dyDescent="0.35">
      <c r="A2486" s="528" t="s">
        <v>7308</v>
      </c>
      <c r="B2486" s="528" t="s">
        <v>7309</v>
      </c>
      <c r="C2486" s="528" t="s">
        <v>1020</v>
      </c>
      <c r="D2486" s="528" t="s">
        <v>251</v>
      </c>
      <c r="E2486" s="528"/>
      <c r="F2486" s="528"/>
      <c r="G2486" s="528" t="s">
        <v>208</v>
      </c>
      <c r="H2486"/>
    </row>
    <row r="2487" spans="1:8" x14ac:dyDescent="0.35">
      <c r="A2487" s="528" t="s">
        <v>7310</v>
      </c>
      <c r="B2487" s="528" t="s">
        <v>7311</v>
      </c>
      <c r="C2487" s="528" t="s">
        <v>7312</v>
      </c>
      <c r="D2487" s="528" t="s">
        <v>251</v>
      </c>
      <c r="E2487" s="528"/>
      <c r="F2487" s="528"/>
      <c r="G2487" s="528" t="s">
        <v>205</v>
      </c>
      <c r="H2487"/>
    </row>
    <row r="2488" spans="1:8" x14ac:dyDescent="0.35">
      <c r="A2488" s="528" t="s">
        <v>7313</v>
      </c>
      <c r="B2488" s="528" t="s">
        <v>7314</v>
      </c>
      <c r="C2488" s="528" t="s">
        <v>7315</v>
      </c>
      <c r="D2488" s="528" t="s">
        <v>251</v>
      </c>
      <c r="E2488" s="528"/>
      <c r="F2488" s="528"/>
      <c r="G2488" s="528" t="s">
        <v>205</v>
      </c>
      <c r="H2488"/>
    </row>
    <row r="2489" spans="1:8" x14ac:dyDescent="0.35">
      <c r="A2489" s="528" t="s">
        <v>7316</v>
      </c>
      <c r="B2489" s="528" t="s">
        <v>7317</v>
      </c>
      <c r="C2489" s="528" t="s">
        <v>4687</v>
      </c>
      <c r="D2489" s="528" t="s">
        <v>251</v>
      </c>
      <c r="E2489" s="528"/>
      <c r="F2489" s="528"/>
      <c r="G2489" s="528" t="s">
        <v>208</v>
      </c>
      <c r="H2489"/>
    </row>
    <row r="2490" spans="1:8" x14ac:dyDescent="0.35">
      <c r="A2490" s="528" t="s">
        <v>7318</v>
      </c>
      <c r="B2490" s="528" t="s">
        <v>7319</v>
      </c>
      <c r="C2490" s="528" t="s">
        <v>7320</v>
      </c>
      <c r="D2490" s="528" t="s">
        <v>251</v>
      </c>
      <c r="E2490" s="528"/>
      <c r="F2490" s="528"/>
      <c r="G2490" s="528" t="s">
        <v>205</v>
      </c>
      <c r="H2490"/>
    </row>
    <row r="2491" spans="1:8" x14ac:dyDescent="0.35">
      <c r="A2491" s="528" t="s">
        <v>7321</v>
      </c>
      <c r="B2491" s="528" t="s">
        <v>7322</v>
      </c>
      <c r="C2491" s="528" t="s">
        <v>7323</v>
      </c>
      <c r="D2491" s="528" t="s">
        <v>251</v>
      </c>
      <c r="E2491" s="528"/>
      <c r="F2491" s="528"/>
      <c r="G2491" s="528" t="s">
        <v>205</v>
      </c>
      <c r="H2491"/>
    </row>
    <row r="2492" spans="1:8" x14ac:dyDescent="0.35">
      <c r="A2492" s="528" t="s">
        <v>7324</v>
      </c>
      <c r="B2492" s="528" t="s">
        <v>7325</v>
      </c>
      <c r="C2492" s="528" t="s">
        <v>7326</v>
      </c>
      <c r="D2492" s="528" t="s">
        <v>277</v>
      </c>
      <c r="E2492" s="528"/>
      <c r="F2492" s="528"/>
      <c r="G2492" s="528" t="s">
        <v>208</v>
      </c>
      <c r="H2492"/>
    </row>
    <row r="2493" spans="1:8" x14ac:dyDescent="0.35">
      <c r="A2493" s="528" t="s">
        <v>7327</v>
      </c>
      <c r="B2493" s="528" t="s">
        <v>7328</v>
      </c>
      <c r="C2493" s="528" t="s">
        <v>7329</v>
      </c>
      <c r="D2493" s="528" t="s">
        <v>277</v>
      </c>
      <c r="E2493" s="528"/>
      <c r="F2493" s="528"/>
      <c r="G2493" s="528" t="s">
        <v>205</v>
      </c>
      <c r="H2493"/>
    </row>
    <row r="2494" spans="1:8" x14ac:dyDescent="0.35">
      <c r="A2494" s="528" t="s">
        <v>7330</v>
      </c>
      <c r="B2494" s="528" t="s">
        <v>7331</v>
      </c>
      <c r="C2494" s="528" t="s">
        <v>7332</v>
      </c>
      <c r="D2494" s="528" t="s">
        <v>277</v>
      </c>
      <c r="E2494" s="528"/>
      <c r="F2494" s="528"/>
      <c r="G2494" s="528" t="s">
        <v>205</v>
      </c>
      <c r="H2494"/>
    </row>
    <row r="2495" spans="1:8" x14ac:dyDescent="0.35">
      <c r="A2495" s="528" t="s">
        <v>7333</v>
      </c>
      <c r="B2495" s="528" t="s">
        <v>7334</v>
      </c>
      <c r="C2495" s="528" t="s">
        <v>7335</v>
      </c>
      <c r="D2495" s="528" t="s">
        <v>251</v>
      </c>
      <c r="E2495" s="528"/>
      <c r="F2495" s="528"/>
      <c r="G2495" s="528" t="s">
        <v>208</v>
      </c>
      <c r="H2495"/>
    </row>
    <row r="2496" spans="1:8" x14ac:dyDescent="0.35">
      <c r="A2496" s="528" t="s">
        <v>7336</v>
      </c>
      <c r="B2496" s="528" t="s">
        <v>7337</v>
      </c>
      <c r="C2496" s="528" t="s">
        <v>7338</v>
      </c>
      <c r="D2496" s="528" t="s">
        <v>251</v>
      </c>
      <c r="E2496" s="528"/>
      <c r="F2496" s="528"/>
      <c r="G2496" s="528" t="s">
        <v>208</v>
      </c>
      <c r="H2496"/>
    </row>
    <row r="2497" spans="1:8" x14ac:dyDescent="0.35">
      <c r="A2497" s="528" t="s">
        <v>7339</v>
      </c>
      <c r="B2497" s="528" t="s">
        <v>7340</v>
      </c>
      <c r="C2497" s="528" t="s">
        <v>7341</v>
      </c>
      <c r="D2497" s="528" t="s">
        <v>251</v>
      </c>
      <c r="E2497" s="528"/>
      <c r="F2497" s="528"/>
      <c r="G2497" s="528" t="s">
        <v>205</v>
      </c>
      <c r="H2497"/>
    </row>
    <row r="2498" spans="1:8" x14ac:dyDescent="0.35">
      <c r="A2498" s="528" t="s">
        <v>7342</v>
      </c>
      <c r="B2498" s="528" t="s">
        <v>7343</v>
      </c>
      <c r="C2498" s="528" t="s">
        <v>7344</v>
      </c>
      <c r="D2498" s="528" t="s">
        <v>251</v>
      </c>
      <c r="E2498" s="528"/>
      <c r="F2498" s="528"/>
      <c r="G2498" s="528" t="s">
        <v>205</v>
      </c>
      <c r="H2498"/>
    </row>
    <row r="2499" spans="1:8" x14ac:dyDescent="0.35">
      <c r="A2499" s="528" t="s">
        <v>7345</v>
      </c>
      <c r="B2499" s="528" t="s">
        <v>7346</v>
      </c>
      <c r="C2499" s="528" t="s">
        <v>7347</v>
      </c>
      <c r="D2499" s="528" t="s">
        <v>251</v>
      </c>
      <c r="E2499" s="528"/>
      <c r="F2499" s="528"/>
      <c r="G2499" s="528" t="s">
        <v>205</v>
      </c>
      <c r="H2499"/>
    </row>
    <row r="2500" spans="1:8" x14ac:dyDescent="0.35">
      <c r="A2500" s="528" t="s">
        <v>7348</v>
      </c>
      <c r="B2500" s="528" t="s">
        <v>7349</v>
      </c>
      <c r="C2500" s="528" t="s">
        <v>7350</v>
      </c>
      <c r="D2500" s="528" t="s">
        <v>251</v>
      </c>
      <c r="E2500" s="528"/>
      <c r="F2500" s="528"/>
      <c r="G2500" s="528" t="s">
        <v>205</v>
      </c>
      <c r="H2500"/>
    </row>
    <row r="2501" spans="1:8" x14ac:dyDescent="0.35">
      <c r="A2501" s="528" t="s">
        <v>7351</v>
      </c>
      <c r="B2501" s="528" t="s">
        <v>7352</v>
      </c>
      <c r="C2501" s="528" t="s">
        <v>1173</v>
      </c>
      <c r="D2501" s="528" t="s">
        <v>251</v>
      </c>
      <c r="E2501" s="528"/>
      <c r="F2501" s="528"/>
      <c r="G2501" s="528" t="s">
        <v>208</v>
      </c>
      <c r="H2501"/>
    </row>
    <row r="2502" spans="1:8" x14ac:dyDescent="0.35">
      <c r="A2502" s="528" t="s">
        <v>7353</v>
      </c>
      <c r="B2502" s="528" t="s">
        <v>7354</v>
      </c>
      <c r="C2502" s="528" t="s">
        <v>2575</v>
      </c>
      <c r="D2502" s="528" t="s">
        <v>251</v>
      </c>
      <c r="E2502" s="528"/>
      <c r="F2502" s="528"/>
      <c r="G2502" s="528" t="s">
        <v>205</v>
      </c>
      <c r="H2502"/>
    </row>
    <row r="2503" spans="1:8" x14ac:dyDescent="0.35">
      <c r="A2503" s="528" t="s">
        <v>7355</v>
      </c>
      <c r="B2503" s="528" t="s">
        <v>7356</v>
      </c>
      <c r="C2503" s="528" t="s">
        <v>5847</v>
      </c>
      <c r="D2503" s="528" t="s">
        <v>251</v>
      </c>
      <c r="E2503" s="528"/>
      <c r="F2503" s="528"/>
      <c r="G2503" s="528" t="s">
        <v>205</v>
      </c>
      <c r="H2503"/>
    </row>
    <row r="2504" spans="1:8" x14ac:dyDescent="0.35">
      <c r="A2504" s="528" t="s">
        <v>7357</v>
      </c>
      <c r="B2504" s="528" t="s">
        <v>7358</v>
      </c>
      <c r="C2504" s="528" t="s">
        <v>7359</v>
      </c>
      <c r="D2504" s="528" t="s">
        <v>251</v>
      </c>
      <c r="E2504" s="528"/>
      <c r="F2504" s="528"/>
      <c r="G2504" s="528" t="s">
        <v>208</v>
      </c>
      <c r="H2504"/>
    </row>
    <row r="2505" spans="1:8" x14ac:dyDescent="0.35">
      <c r="A2505" s="528" t="s">
        <v>7360</v>
      </c>
      <c r="B2505" s="528" t="s">
        <v>7361</v>
      </c>
      <c r="C2505" s="528" t="s">
        <v>7362</v>
      </c>
      <c r="D2505" s="528" t="s">
        <v>251</v>
      </c>
      <c r="E2505" s="528"/>
      <c r="F2505" s="528"/>
      <c r="G2505" s="528" t="s">
        <v>205</v>
      </c>
      <c r="H2505"/>
    </row>
    <row r="2506" spans="1:8" x14ac:dyDescent="0.35">
      <c r="A2506" s="528" t="s">
        <v>7363</v>
      </c>
      <c r="B2506" s="528" t="s">
        <v>7364</v>
      </c>
      <c r="C2506" s="528" t="s">
        <v>7365</v>
      </c>
      <c r="D2506" s="528" t="s">
        <v>251</v>
      </c>
      <c r="E2506" s="528"/>
      <c r="F2506" s="528"/>
      <c r="G2506" s="528" t="s">
        <v>205</v>
      </c>
      <c r="H2506"/>
    </row>
    <row r="2507" spans="1:8" x14ac:dyDescent="0.35">
      <c r="A2507" s="528" t="s">
        <v>7366</v>
      </c>
      <c r="B2507" s="528" t="s">
        <v>7367</v>
      </c>
      <c r="C2507" s="528" t="s">
        <v>7368</v>
      </c>
      <c r="D2507" s="528" t="s">
        <v>225</v>
      </c>
      <c r="E2507" s="528"/>
      <c r="F2507" s="528"/>
      <c r="G2507" s="528" t="s">
        <v>205</v>
      </c>
      <c r="H2507"/>
    </row>
    <row r="2508" spans="1:8" x14ac:dyDescent="0.35">
      <c r="A2508" s="528" t="s">
        <v>7369</v>
      </c>
      <c r="B2508" s="528" t="s">
        <v>7370</v>
      </c>
      <c r="C2508" s="528" t="s">
        <v>7371</v>
      </c>
      <c r="D2508" s="528" t="s">
        <v>225</v>
      </c>
      <c r="E2508" s="528"/>
      <c r="F2508" s="528"/>
      <c r="G2508" s="528" t="s">
        <v>205</v>
      </c>
      <c r="H2508"/>
    </row>
    <row r="2509" spans="1:8" x14ac:dyDescent="0.35">
      <c r="A2509" s="528" t="s">
        <v>7372</v>
      </c>
      <c r="B2509" s="528" t="s">
        <v>7373</v>
      </c>
      <c r="C2509" s="528" t="s">
        <v>3283</v>
      </c>
      <c r="D2509" s="528" t="s">
        <v>264</v>
      </c>
      <c r="E2509" s="528"/>
      <c r="F2509" s="528"/>
      <c r="G2509" s="528" t="s">
        <v>205</v>
      </c>
      <c r="H2509"/>
    </row>
    <row r="2510" spans="1:8" x14ac:dyDescent="0.35">
      <c r="A2510" s="528" t="s">
        <v>7374</v>
      </c>
      <c r="B2510" s="528" t="s">
        <v>7375</v>
      </c>
      <c r="C2510" s="528" t="s">
        <v>7376</v>
      </c>
      <c r="D2510" s="528" t="s">
        <v>238</v>
      </c>
      <c r="E2510" s="528"/>
      <c r="F2510" s="528"/>
      <c r="G2510" s="528" t="s">
        <v>205</v>
      </c>
      <c r="H2510"/>
    </row>
    <row r="2511" spans="1:8" x14ac:dyDescent="0.35">
      <c r="A2511" s="528" t="s">
        <v>7377</v>
      </c>
      <c r="B2511" s="528" t="s">
        <v>7378</v>
      </c>
      <c r="C2511" s="528" t="s">
        <v>7379</v>
      </c>
      <c r="D2511" s="528" t="s">
        <v>238</v>
      </c>
      <c r="E2511" s="528"/>
      <c r="F2511" s="528"/>
      <c r="G2511" s="528" t="s">
        <v>208</v>
      </c>
      <c r="H2511"/>
    </row>
    <row r="2512" spans="1:8" x14ac:dyDescent="0.35">
      <c r="A2512" s="528" t="s">
        <v>7380</v>
      </c>
      <c r="B2512" s="528" t="s">
        <v>7381</v>
      </c>
      <c r="C2512" s="528" t="s">
        <v>7382</v>
      </c>
      <c r="D2512" s="528" t="s">
        <v>277</v>
      </c>
      <c r="E2512" s="528"/>
      <c r="F2512" s="528"/>
      <c r="G2512" s="528" t="s">
        <v>208</v>
      </c>
      <c r="H2512"/>
    </row>
    <row r="2513" spans="1:8" x14ac:dyDescent="0.35">
      <c r="A2513" s="528" t="s">
        <v>7383</v>
      </c>
      <c r="B2513" s="528" t="s">
        <v>7384</v>
      </c>
      <c r="C2513" s="528" t="s">
        <v>675</v>
      </c>
      <c r="D2513" s="528" t="s">
        <v>277</v>
      </c>
      <c r="E2513" s="528"/>
      <c r="F2513" s="528"/>
      <c r="G2513" s="528" t="s">
        <v>208</v>
      </c>
      <c r="H2513"/>
    </row>
    <row r="2514" spans="1:8" x14ac:dyDescent="0.35">
      <c r="A2514" s="528" t="s">
        <v>7385</v>
      </c>
      <c r="B2514" s="528" t="s">
        <v>7386</v>
      </c>
      <c r="C2514" s="528" t="s">
        <v>7387</v>
      </c>
      <c r="D2514" s="528" t="s">
        <v>277</v>
      </c>
      <c r="E2514" s="528"/>
      <c r="F2514" s="528"/>
      <c r="G2514" s="528" t="s">
        <v>205</v>
      </c>
      <c r="H2514"/>
    </row>
    <row r="2515" spans="1:8" x14ac:dyDescent="0.35">
      <c r="A2515" s="528" t="s">
        <v>7388</v>
      </c>
      <c r="B2515" s="528" t="s">
        <v>7389</v>
      </c>
      <c r="C2515" s="528" t="s">
        <v>4472</v>
      </c>
      <c r="D2515" s="528" t="s">
        <v>277</v>
      </c>
      <c r="E2515" s="528"/>
      <c r="F2515" s="528"/>
      <c r="G2515" s="528" t="s">
        <v>205</v>
      </c>
      <c r="H2515"/>
    </row>
    <row r="2516" spans="1:8" x14ac:dyDescent="0.35">
      <c r="A2516" s="528" t="s">
        <v>7390</v>
      </c>
      <c r="B2516" s="528" t="s">
        <v>7391</v>
      </c>
      <c r="C2516" s="528" t="s">
        <v>3324</v>
      </c>
      <c r="D2516" s="528" t="s">
        <v>277</v>
      </c>
      <c r="E2516" s="528"/>
      <c r="F2516" s="528"/>
      <c r="G2516" s="528" t="s">
        <v>205</v>
      </c>
      <c r="H2516"/>
    </row>
    <row r="2517" spans="1:8" x14ac:dyDescent="0.35">
      <c r="A2517" s="528" t="s">
        <v>7392</v>
      </c>
      <c r="B2517" s="528" t="s">
        <v>7393</v>
      </c>
      <c r="C2517" s="528" t="s">
        <v>7394</v>
      </c>
      <c r="D2517" s="528" t="s">
        <v>277</v>
      </c>
      <c r="E2517" s="528"/>
      <c r="F2517" s="528"/>
      <c r="G2517" s="528" t="s">
        <v>205</v>
      </c>
      <c r="H2517"/>
    </row>
    <row r="2518" spans="1:8" x14ac:dyDescent="0.35">
      <c r="A2518" s="528" t="s">
        <v>7395</v>
      </c>
      <c r="B2518" s="528" t="s">
        <v>7396</v>
      </c>
      <c r="C2518" s="528" t="s">
        <v>7397</v>
      </c>
      <c r="D2518" s="528" t="s">
        <v>264</v>
      </c>
      <c r="E2518" s="528"/>
      <c r="F2518" s="528"/>
      <c r="G2518" s="528" t="s">
        <v>208</v>
      </c>
      <c r="H2518"/>
    </row>
    <row r="2519" spans="1:8" x14ac:dyDescent="0.35">
      <c r="A2519" s="528" t="s">
        <v>7398</v>
      </c>
      <c r="B2519" s="528" t="s">
        <v>7399</v>
      </c>
      <c r="C2519" s="528" t="s">
        <v>7400</v>
      </c>
      <c r="D2519" s="528" t="s">
        <v>264</v>
      </c>
      <c r="E2519" s="528"/>
      <c r="F2519" s="528"/>
      <c r="G2519" s="528" t="s">
        <v>205</v>
      </c>
      <c r="H2519"/>
    </row>
    <row r="2520" spans="1:8" x14ac:dyDescent="0.35">
      <c r="A2520" s="528" t="s">
        <v>7401</v>
      </c>
      <c r="B2520" s="528" t="s">
        <v>7402</v>
      </c>
      <c r="C2520" s="528" t="s">
        <v>7403</v>
      </c>
      <c r="D2520" s="528" t="s">
        <v>264</v>
      </c>
      <c r="E2520" s="528"/>
      <c r="F2520" s="528"/>
      <c r="G2520" s="528" t="s">
        <v>205</v>
      </c>
      <c r="H2520"/>
    </row>
    <row r="2521" spans="1:8" x14ac:dyDescent="0.35">
      <c r="A2521" s="528" t="s">
        <v>7404</v>
      </c>
      <c r="B2521" s="528" t="s">
        <v>7405</v>
      </c>
      <c r="C2521" s="528" t="s">
        <v>1962</v>
      </c>
      <c r="D2521" s="528" t="s">
        <v>264</v>
      </c>
      <c r="E2521" s="528"/>
      <c r="F2521" s="528"/>
      <c r="G2521" s="528" t="s">
        <v>205</v>
      </c>
      <c r="H2521"/>
    </row>
    <row r="2522" spans="1:8" x14ac:dyDescent="0.35">
      <c r="A2522" s="528" t="s">
        <v>7406</v>
      </c>
      <c r="B2522" s="528" t="s">
        <v>7407</v>
      </c>
      <c r="C2522" s="528" t="s">
        <v>1149</v>
      </c>
      <c r="D2522" s="528" t="s">
        <v>264</v>
      </c>
      <c r="E2522" s="528"/>
      <c r="F2522" s="528"/>
      <c r="G2522" s="528" t="s">
        <v>208</v>
      </c>
      <c r="H2522"/>
    </row>
    <row r="2523" spans="1:8" x14ac:dyDescent="0.35">
      <c r="A2523" s="528" t="s">
        <v>7408</v>
      </c>
      <c r="B2523" s="528" t="s">
        <v>7409</v>
      </c>
      <c r="C2523" s="528" t="s">
        <v>1536</v>
      </c>
      <c r="D2523" s="528" t="s">
        <v>277</v>
      </c>
      <c r="E2523" s="528"/>
      <c r="F2523" s="528"/>
      <c r="G2523" s="528" t="s">
        <v>208</v>
      </c>
      <c r="H2523"/>
    </row>
    <row r="2524" spans="1:8" x14ac:dyDescent="0.35">
      <c r="A2524" s="528" t="s">
        <v>7410</v>
      </c>
      <c r="B2524" s="528" t="s">
        <v>7411</v>
      </c>
      <c r="C2524" s="528" t="s">
        <v>7412</v>
      </c>
      <c r="D2524" s="528" t="s">
        <v>277</v>
      </c>
      <c r="E2524" s="528"/>
      <c r="F2524" s="528"/>
      <c r="G2524" s="528" t="s">
        <v>208</v>
      </c>
      <c r="H2524"/>
    </row>
    <row r="2525" spans="1:8" x14ac:dyDescent="0.35">
      <c r="A2525" s="528" t="s">
        <v>7413</v>
      </c>
      <c r="B2525" s="528" t="s">
        <v>7414</v>
      </c>
      <c r="C2525" s="528" t="s">
        <v>7415</v>
      </c>
      <c r="D2525" s="528" t="s">
        <v>277</v>
      </c>
      <c r="E2525" s="528"/>
      <c r="F2525" s="528"/>
      <c r="G2525" s="528" t="s">
        <v>205</v>
      </c>
      <c r="H2525"/>
    </row>
    <row r="2526" spans="1:8" x14ac:dyDescent="0.35">
      <c r="A2526" s="528" t="s">
        <v>7416</v>
      </c>
      <c r="B2526" s="528" t="s">
        <v>7417</v>
      </c>
      <c r="C2526" s="528" t="s">
        <v>7418</v>
      </c>
      <c r="D2526" s="528" t="s">
        <v>277</v>
      </c>
      <c r="E2526" s="528"/>
      <c r="F2526" s="528"/>
      <c r="G2526" s="528" t="s">
        <v>205</v>
      </c>
      <c r="H2526"/>
    </row>
    <row r="2527" spans="1:8" x14ac:dyDescent="0.35">
      <c r="A2527" s="528" t="s">
        <v>7419</v>
      </c>
      <c r="B2527" s="528" t="s">
        <v>7420</v>
      </c>
      <c r="C2527" s="528" t="s">
        <v>7421</v>
      </c>
      <c r="D2527" s="528" t="s">
        <v>277</v>
      </c>
      <c r="E2527" s="528"/>
      <c r="F2527" s="528"/>
      <c r="G2527" s="528" t="s">
        <v>208</v>
      </c>
      <c r="H2527"/>
    </row>
    <row r="2528" spans="1:8" x14ac:dyDescent="0.35">
      <c r="A2528" s="528" t="s">
        <v>7422</v>
      </c>
      <c r="B2528" s="528" t="s">
        <v>7423</v>
      </c>
      <c r="C2528" s="528" t="s">
        <v>7424</v>
      </c>
      <c r="D2528" s="528" t="s">
        <v>277</v>
      </c>
      <c r="E2528" s="528"/>
      <c r="F2528" s="528"/>
      <c r="G2528" s="528" t="s">
        <v>208</v>
      </c>
      <c r="H2528"/>
    </row>
    <row r="2529" spans="1:8" x14ac:dyDescent="0.35">
      <c r="A2529" s="528" t="s">
        <v>7425</v>
      </c>
      <c r="B2529" s="528" t="s">
        <v>7426</v>
      </c>
      <c r="C2529" s="528" t="s">
        <v>7427</v>
      </c>
      <c r="D2529" s="528" t="s">
        <v>264</v>
      </c>
      <c r="E2529" s="528"/>
      <c r="F2529" s="528"/>
      <c r="G2529" s="528" t="s">
        <v>205</v>
      </c>
      <c r="H2529"/>
    </row>
    <row r="2530" spans="1:8" x14ac:dyDescent="0.35">
      <c r="A2530" s="528" t="s">
        <v>7428</v>
      </c>
      <c r="B2530" s="528" t="s">
        <v>7429</v>
      </c>
      <c r="C2530" s="528" t="s">
        <v>5277</v>
      </c>
      <c r="D2530" s="528" t="s">
        <v>264</v>
      </c>
      <c r="E2530" s="528"/>
      <c r="F2530" s="528"/>
      <c r="G2530" s="528" t="s">
        <v>210</v>
      </c>
      <c r="H2530"/>
    </row>
    <row r="2531" spans="1:8" x14ac:dyDescent="0.35">
      <c r="A2531" s="528" t="s">
        <v>7430</v>
      </c>
      <c r="B2531" s="528" t="s">
        <v>7431</v>
      </c>
      <c r="C2531" s="528" t="s">
        <v>7432</v>
      </c>
      <c r="D2531" s="528" t="s">
        <v>277</v>
      </c>
      <c r="E2531" s="528"/>
      <c r="F2531" s="528"/>
      <c r="G2531" s="528" t="s">
        <v>208</v>
      </c>
      <c r="H2531"/>
    </row>
    <row r="2532" spans="1:8" x14ac:dyDescent="0.35">
      <c r="A2532" s="528" t="s">
        <v>7433</v>
      </c>
      <c r="B2532" s="528" t="s">
        <v>7434</v>
      </c>
      <c r="C2532" s="528" t="s">
        <v>7435</v>
      </c>
      <c r="D2532" s="528" t="s">
        <v>277</v>
      </c>
      <c r="E2532" s="528" t="s">
        <v>225</v>
      </c>
      <c r="F2532" s="528"/>
      <c r="G2532" s="528" t="s">
        <v>205</v>
      </c>
      <c r="H2532"/>
    </row>
    <row r="2533" spans="1:8" x14ac:dyDescent="0.35">
      <c r="A2533" s="528" t="s">
        <v>7436</v>
      </c>
      <c r="B2533" s="528" t="s">
        <v>7437</v>
      </c>
      <c r="C2533" s="528" t="s">
        <v>7438</v>
      </c>
      <c r="D2533" s="528" t="s">
        <v>277</v>
      </c>
      <c r="E2533" s="528" t="s">
        <v>225</v>
      </c>
      <c r="F2533" s="528"/>
      <c r="G2533" s="528" t="s">
        <v>205</v>
      </c>
      <c r="H2533"/>
    </row>
    <row r="2534" spans="1:8" x14ac:dyDescent="0.35">
      <c r="A2534" s="528" t="s">
        <v>7439</v>
      </c>
      <c r="B2534" s="528" t="s">
        <v>7440</v>
      </c>
      <c r="C2534" s="528" t="s">
        <v>1017</v>
      </c>
      <c r="D2534" s="528" t="s">
        <v>251</v>
      </c>
      <c r="E2534" s="528"/>
      <c r="F2534" s="528"/>
      <c r="G2534" s="528" t="s">
        <v>208</v>
      </c>
      <c r="H2534"/>
    </row>
    <row r="2535" spans="1:8" x14ac:dyDescent="0.35">
      <c r="A2535" s="528" t="s">
        <v>7441</v>
      </c>
      <c r="B2535" s="528" t="s">
        <v>7442</v>
      </c>
      <c r="C2535" s="528" t="s">
        <v>7443</v>
      </c>
      <c r="D2535" s="528" t="s">
        <v>264</v>
      </c>
      <c r="E2535" s="528"/>
      <c r="F2535" s="528"/>
      <c r="G2535" s="528" t="s">
        <v>208</v>
      </c>
      <c r="H2535"/>
    </row>
    <row r="2536" spans="1:8" x14ac:dyDescent="0.35">
      <c r="A2536" s="528" t="s">
        <v>7444</v>
      </c>
      <c r="B2536" s="528" t="s">
        <v>7445</v>
      </c>
      <c r="C2536" s="528" t="s">
        <v>7446</v>
      </c>
      <c r="D2536" s="528" t="s">
        <v>264</v>
      </c>
      <c r="E2536" s="528"/>
      <c r="F2536" s="528"/>
      <c r="G2536" s="528" t="s">
        <v>208</v>
      </c>
      <c r="H2536"/>
    </row>
    <row r="2537" spans="1:8" x14ac:dyDescent="0.35">
      <c r="A2537" s="528" t="s">
        <v>7447</v>
      </c>
      <c r="B2537" s="528" t="s">
        <v>7448</v>
      </c>
      <c r="C2537" s="528" t="s">
        <v>7449</v>
      </c>
      <c r="D2537" s="528" t="s">
        <v>264</v>
      </c>
      <c r="E2537" s="528"/>
      <c r="F2537" s="528"/>
      <c r="G2537" s="528" t="s">
        <v>208</v>
      </c>
      <c r="H2537"/>
    </row>
    <row r="2538" spans="1:8" x14ac:dyDescent="0.35">
      <c r="A2538" s="528" t="s">
        <v>7450</v>
      </c>
      <c r="B2538" s="528" t="s">
        <v>7451</v>
      </c>
      <c r="C2538" s="528" t="s">
        <v>846</v>
      </c>
      <c r="D2538" s="528" t="s">
        <v>277</v>
      </c>
      <c r="E2538" s="528"/>
      <c r="F2538" s="528"/>
      <c r="G2538" s="528" t="s">
        <v>208</v>
      </c>
      <c r="H2538"/>
    </row>
    <row r="2539" spans="1:8" x14ac:dyDescent="0.35">
      <c r="A2539" s="528" t="s">
        <v>7452</v>
      </c>
      <c r="B2539" s="528" t="s">
        <v>7453</v>
      </c>
      <c r="C2539" s="528" t="s">
        <v>7454</v>
      </c>
      <c r="D2539" s="528" t="s">
        <v>277</v>
      </c>
      <c r="E2539" s="528" t="s">
        <v>264</v>
      </c>
      <c r="F2539" s="528"/>
      <c r="G2539" s="528" t="s">
        <v>208</v>
      </c>
      <c r="H2539"/>
    </row>
    <row r="2540" spans="1:8" x14ac:dyDescent="0.35">
      <c r="A2540" s="528" t="s">
        <v>7455</v>
      </c>
      <c r="B2540" s="528" t="s">
        <v>7456</v>
      </c>
      <c r="C2540" s="528" t="s">
        <v>7457</v>
      </c>
      <c r="D2540" s="528" t="s">
        <v>277</v>
      </c>
      <c r="E2540" s="528"/>
      <c r="F2540" s="528"/>
      <c r="G2540" s="528" t="s">
        <v>208</v>
      </c>
      <c r="H2540"/>
    </row>
    <row r="2541" spans="1:8" x14ac:dyDescent="0.35">
      <c r="A2541" s="528" t="s">
        <v>7458</v>
      </c>
      <c r="B2541" s="528" t="s">
        <v>7459</v>
      </c>
      <c r="C2541" s="528" t="s">
        <v>7460</v>
      </c>
      <c r="D2541" s="528" t="s">
        <v>251</v>
      </c>
      <c r="E2541" s="528"/>
      <c r="F2541" s="528"/>
      <c r="G2541" s="528" t="s">
        <v>208</v>
      </c>
      <c r="H2541"/>
    </row>
    <row r="2542" spans="1:8" x14ac:dyDescent="0.35">
      <c r="A2542" s="528" t="s">
        <v>7461</v>
      </c>
      <c r="B2542" s="528" t="s">
        <v>7462</v>
      </c>
      <c r="C2542" s="528" t="s">
        <v>5756</v>
      </c>
      <c r="D2542" s="528" t="s">
        <v>277</v>
      </c>
      <c r="E2542" s="528"/>
      <c r="F2542" s="528"/>
      <c r="G2542" s="528" t="s">
        <v>208</v>
      </c>
      <c r="H2542"/>
    </row>
    <row r="2543" spans="1:8" x14ac:dyDescent="0.35">
      <c r="A2543" s="528" t="s">
        <v>7463</v>
      </c>
      <c r="B2543" s="528" t="s">
        <v>7464</v>
      </c>
      <c r="C2543" s="528" t="s">
        <v>7465</v>
      </c>
      <c r="D2543" s="528" t="s">
        <v>264</v>
      </c>
      <c r="E2543" s="528"/>
      <c r="F2543" s="528"/>
      <c r="G2543" s="528" t="s">
        <v>205</v>
      </c>
      <c r="H2543"/>
    </row>
    <row r="2544" spans="1:8" x14ac:dyDescent="0.35">
      <c r="A2544" s="528" t="s">
        <v>7466</v>
      </c>
      <c r="B2544" s="528" t="s">
        <v>7467</v>
      </c>
      <c r="C2544" s="528" t="s">
        <v>3185</v>
      </c>
      <c r="D2544" s="528" t="s">
        <v>251</v>
      </c>
      <c r="E2544" s="528"/>
      <c r="F2544" s="528"/>
      <c r="G2544" s="528" t="s">
        <v>205</v>
      </c>
      <c r="H2544"/>
    </row>
    <row r="2545" spans="1:8" x14ac:dyDescent="0.35">
      <c r="A2545" s="528" t="s">
        <v>7468</v>
      </c>
      <c r="B2545" s="528" t="s">
        <v>7469</v>
      </c>
      <c r="C2545" s="528" t="s">
        <v>7470</v>
      </c>
      <c r="D2545" s="528" t="s">
        <v>251</v>
      </c>
      <c r="E2545" s="528" t="s">
        <v>277</v>
      </c>
      <c r="F2545" s="528"/>
      <c r="G2545" s="528" t="s">
        <v>205</v>
      </c>
      <c r="H2545"/>
    </row>
    <row r="2546" spans="1:8" x14ac:dyDescent="0.35">
      <c r="A2546" s="528" t="s">
        <v>7471</v>
      </c>
      <c r="B2546" s="528" t="s">
        <v>7472</v>
      </c>
      <c r="C2546" s="528" t="s">
        <v>5699</v>
      </c>
      <c r="D2546" s="528" t="s">
        <v>277</v>
      </c>
      <c r="E2546" s="528"/>
      <c r="F2546" s="528"/>
      <c r="G2546" s="528" t="s">
        <v>205</v>
      </c>
      <c r="H2546"/>
    </row>
    <row r="2547" spans="1:8" x14ac:dyDescent="0.35">
      <c r="A2547" s="528" t="s">
        <v>7473</v>
      </c>
      <c r="B2547" s="528" t="s">
        <v>7474</v>
      </c>
      <c r="C2547" s="528" t="s">
        <v>1962</v>
      </c>
      <c r="D2547" s="528" t="s">
        <v>264</v>
      </c>
      <c r="E2547" s="528"/>
      <c r="F2547" s="528"/>
      <c r="G2547" s="528" t="s">
        <v>205</v>
      </c>
      <c r="H2547"/>
    </row>
    <row r="2548" spans="1:8" x14ac:dyDescent="0.35">
      <c r="A2548" s="528" t="s">
        <v>7475</v>
      </c>
      <c r="B2548" s="528" t="s">
        <v>7476</v>
      </c>
      <c r="C2548" s="528" t="s">
        <v>7477</v>
      </c>
      <c r="D2548" s="528" t="s">
        <v>264</v>
      </c>
      <c r="E2548" s="528"/>
      <c r="F2548" s="528"/>
      <c r="G2548" s="528" t="s">
        <v>208</v>
      </c>
      <c r="H2548"/>
    </row>
    <row r="2549" spans="1:8" x14ac:dyDescent="0.35">
      <c r="A2549" s="528" t="s">
        <v>7478</v>
      </c>
      <c r="B2549" s="528" t="s">
        <v>7479</v>
      </c>
      <c r="C2549" s="528" t="s">
        <v>7480</v>
      </c>
      <c r="D2549" s="528" t="s">
        <v>251</v>
      </c>
      <c r="E2549" s="528"/>
      <c r="F2549" s="528"/>
      <c r="G2549" s="528" t="s">
        <v>205</v>
      </c>
      <c r="H2549"/>
    </row>
    <row r="2550" spans="1:8" x14ac:dyDescent="0.35">
      <c r="A2550" s="528" t="s">
        <v>7481</v>
      </c>
      <c r="B2550" s="528" t="s">
        <v>7482</v>
      </c>
      <c r="C2550" s="528" t="s">
        <v>730</v>
      </c>
      <c r="D2550" s="528" t="s">
        <v>251</v>
      </c>
      <c r="E2550" s="528"/>
      <c r="F2550" s="528"/>
      <c r="G2550" s="528" t="s">
        <v>208</v>
      </c>
      <c r="H2550"/>
    </row>
    <row r="2551" spans="1:8" x14ac:dyDescent="0.35">
      <c r="A2551" s="528" t="s">
        <v>7483</v>
      </c>
      <c r="B2551" s="528" t="s">
        <v>7484</v>
      </c>
      <c r="C2551" s="528" t="s">
        <v>7485</v>
      </c>
      <c r="D2551" s="528" t="s">
        <v>264</v>
      </c>
      <c r="E2551" s="528"/>
      <c r="F2551" s="528"/>
      <c r="G2551" s="528" t="s">
        <v>205</v>
      </c>
      <c r="H2551"/>
    </row>
    <row r="2552" spans="1:8" x14ac:dyDescent="0.35">
      <c r="A2552" s="528" t="s">
        <v>7486</v>
      </c>
      <c r="B2552" s="528" t="s">
        <v>7487</v>
      </c>
      <c r="C2552" s="528" t="s">
        <v>7488</v>
      </c>
      <c r="D2552" s="528" t="s">
        <v>264</v>
      </c>
      <c r="E2552" s="528"/>
      <c r="F2552" s="528"/>
      <c r="G2552" s="528" t="s">
        <v>208</v>
      </c>
      <c r="H2552"/>
    </row>
    <row r="2553" spans="1:8" x14ac:dyDescent="0.35">
      <c r="A2553" s="528" t="s">
        <v>7489</v>
      </c>
      <c r="B2553" s="528" t="s">
        <v>7490</v>
      </c>
      <c r="C2553" s="528" t="s">
        <v>7491</v>
      </c>
      <c r="D2553" s="528" t="s">
        <v>264</v>
      </c>
      <c r="E2553" s="528"/>
      <c r="F2553" s="528"/>
      <c r="G2553" s="528" t="s">
        <v>208</v>
      </c>
      <c r="H2553"/>
    </row>
    <row r="2554" spans="1:8" x14ac:dyDescent="0.35">
      <c r="A2554" s="528" t="s">
        <v>7492</v>
      </c>
      <c r="B2554" s="528" t="s">
        <v>7493</v>
      </c>
      <c r="C2554" s="528" t="s">
        <v>1504</v>
      </c>
      <c r="D2554" s="528" t="s">
        <v>277</v>
      </c>
      <c r="E2554" s="528"/>
      <c r="F2554" s="528"/>
      <c r="G2554" s="528" t="s">
        <v>205</v>
      </c>
      <c r="H2554"/>
    </row>
    <row r="2555" spans="1:8" x14ac:dyDescent="0.35">
      <c r="A2555" s="528" t="s">
        <v>7494</v>
      </c>
      <c r="B2555" s="528" t="s">
        <v>7495</v>
      </c>
      <c r="C2555" s="528" t="s">
        <v>4935</v>
      </c>
      <c r="D2555" s="528" t="s">
        <v>277</v>
      </c>
      <c r="E2555" s="528"/>
      <c r="F2555" s="528"/>
      <c r="G2555" s="528" t="s">
        <v>205</v>
      </c>
      <c r="H2555"/>
    </row>
    <row r="2556" spans="1:8" x14ac:dyDescent="0.35">
      <c r="A2556" s="528" t="s">
        <v>7496</v>
      </c>
      <c r="B2556" s="528" t="s">
        <v>7497</v>
      </c>
      <c r="C2556" s="528" t="s">
        <v>7498</v>
      </c>
      <c r="D2556" s="528" t="s">
        <v>264</v>
      </c>
      <c r="E2556" s="528"/>
      <c r="F2556" s="528"/>
      <c r="G2556" s="528" t="s">
        <v>205</v>
      </c>
      <c r="H2556"/>
    </row>
    <row r="2557" spans="1:8" x14ac:dyDescent="0.35">
      <c r="A2557" s="528" t="s">
        <v>7499</v>
      </c>
      <c r="B2557" s="528" t="s">
        <v>7500</v>
      </c>
      <c r="C2557" s="528" t="s">
        <v>7501</v>
      </c>
      <c r="D2557" s="528" t="s">
        <v>264</v>
      </c>
      <c r="E2557" s="528"/>
      <c r="F2557" s="528"/>
      <c r="G2557" s="528" t="s">
        <v>205</v>
      </c>
      <c r="H2557"/>
    </row>
    <row r="2558" spans="1:8" x14ac:dyDescent="0.35">
      <c r="A2558" s="528" t="s">
        <v>7502</v>
      </c>
      <c r="B2558" s="528" t="s">
        <v>7503</v>
      </c>
      <c r="C2558" s="528" t="s">
        <v>7065</v>
      </c>
      <c r="D2558" s="528" t="s">
        <v>225</v>
      </c>
      <c r="E2558" s="528"/>
      <c r="F2558" s="528"/>
      <c r="G2558" s="528" t="s">
        <v>205</v>
      </c>
      <c r="H2558"/>
    </row>
    <row r="2559" spans="1:8" x14ac:dyDescent="0.35">
      <c r="A2559" s="528" t="s">
        <v>7504</v>
      </c>
      <c r="B2559" s="528" t="s">
        <v>7505</v>
      </c>
      <c r="C2559" s="528" t="s">
        <v>7506</v>
      </c>
      <c r="D2559" s="528" t="s">
        <v>225</v>
      </c>
      <c r="E2559" s="528"/>
      <c r="F2559" s="528"/>
      <c r="G2559" s="528" t="s">
        <v>205</v>
      </c>
      <c r="H2559"/>
    </row>
    <row r="2560" spans="1:8" x14ac:dyDescent="0.35">
      <c r="A2560" s="528" t="s">
        <v>7507</v>
      </c>
      <c r="B2560" s="528" t="s">
        <v>7508</v>
      </c>
      <c r="C2560" s="528" t="s">
        <v>7509</v>
      </c>
      <c r="D2560" s="528" t="s">
        <v>251</v>
      </c>
      <c r="E2560" s="528"/>
      <c r="F2560" s="528"/>
      <c r="G2560" s="528" t="s">
        <v>205</v>
      </c>
      <c r="H2560"/>
    </row>
    <row r="2561" spans="1:8" x14ac:dyDescent="0.35">
      <c r="A2561" s="528" t="s">
        <v>7510</v>
      </c>
      <c r="B2561" s="528" t="s">
        <v>7511</v>
      </c>
      <c r="C2561" s="528" t="s">
        <v>1297</v>
      </c>
      <c r="D2561" s="528" t="s">
        <v>251</v>
      </c>
      <c r="E2561" s="528"/>
      <c r="F2561" s="528"/>
      <c r="G2561" s="528" t="s">
        <v>205</v>
      </c>
      <c r="H2561"/>
    </row>
    <row r="2562" spans="1:8" x14ac:dyDescent="0.35">
      <c r="A2562" s="528" t="s">
        <v>7512</v>
      </c>
      <c r="B2562" s="528" t="s">
        <v>7513</v>
      </c>
      <c r="C2562" s="528" t="s">
        <v>7514</v>
      </c>
      <c r="D2562" s="528" t="s">
        <v>251</v>
      </c>
      <c r="E2562" s="528"/>
      <c r="F2562" s="528"/>
      <c r="G2562" s="528" t="s">
        <v>205</v>
      </c>
      <c r="H2562"/>
    </row>
    <row r="2563" spans="1:8" x14ac:dyDescent="0.35">
      <c r="A2563" s="528" t="s">
        <v>7515</v>
      </c>
      <c r="B2563" s="528" t="s">
        <v>7516</v>
      </c>
      <c r="C2563" s="528" t="s">
        <v>7517</v>
      </c>
      <c r="D2563" s="528" t="s">
        <v>238</v>
      </c>
      <c r="E2563" s="528"/>
      <c r="F2563" s="528"/>
      <c r="G2563" s="528" t="s">
        <v>205</v>
      </c>
      <c r="H2563"/>
    </row>
    <row r="2564" spans="1:8" x14ac:dyDescent="0.35">
      <c r="A2564" s="528" t="s">
        <v>7518</v>
      </c>
      <c r="B2564" s="528" t="s">
        <v>7519</v>
      </c>
      <c r="C2564" s="528" t="s">
        <v>7520</v>
      </c>
      <c r="D2564" s="528" t="s">
        <v>277</v>
      </c>
      <c r="E2564" s="528"/>
      <c r="F2564" s="528"/>
      <c r="G2564" s="528" t="s">
        <v>205</v>
      </c>
      <c r="H2564"/>
    </row>
    <row r="2565" spans="1:8" x14ac:dyDescent="0.35">
      <c r="A2565" s="528" t="s">
        <v>7521</v>
      </c>
      <c r="B2565" s="528" t="s">
        <v>7522</v>
      </c>
      <c r="C2565" s="528" t="s">
        <v>1226</v>
      </c>
      <c r="D2565" s="528" t="s">
        <v>264</v>
      </c>
      <c r="E2565" s="528"/>
      <c r="F2565" s="528"/>
      <c r="G2565" s="528" t="s">
        <v>205</v>
      </c>
      <c r="H2565"/>
    </row>
    <row r="2566" spans="1:8" x14ac:dyDescent="0.35">
      <c r="A2566" s="528" t="s">
        <v>7523</v>
      </c>
      <c r="B2566" s="528" t="s">
        <v>7524</v>
      </c>
      <c r="C2566" s="528" t="s">
        <v>1395</v>
      </c>
      <c r="D2566" s="528" t="s">
        <v>225</v>
      </c>
      <c r="E2566" s="528"/>
      <c r="F2566" s="528"/>
      <c r="G2566" s="528" t="s">
        <v>205</v>
      </c>
      <c r="H2566"/>
    </row>
    <row r="2567" spans="1:8" x14ac:dyDescent="0.35">
      <c r="A2567" s="528" t="s">
        <v>7525</v>
      </c>
      <c r="B2567" s="528" t="s">
        <v>7526</v>
      </c>
      <c r="C2567" s="528" t="s">
        <v>7527</v>
      </c>
      <c r="D2567" s="528" t="s">
        <v>225</v>
      </c>
      <c r="E2567" s="528"/>
      <c r="F2567" s="528"/>
      <c r="G2567" s="528" t="s">
        <v>205</v>
      </c>
      <c r="H2567"/>
    </row>
    <row r="2568" spans="1:8" x14ac:dyDescent="0.35">
      <c r="A2568" s="528" t="s">
        <v>7528</v>
      </c>
      <c r="B2568" s="528" t="s">
        <v>7529</v>
      </c>
      <c r="C2568" s="528" t="s">
        <v>2100</v>
      </c>
      <c r="D2568" s="528" t="s">
        <v>225</v>
      </c>
      <c r="E2568" s="528"/>
      <c r="F2568" s="528"/>
      <c r="G2568" s="528" t="s">
        <v>205</v>
      </c>
      <c r="H2568"/>
    </row>
    <row r="2569" spans="1:8" x14ac:dyDescent="0.35">
      <c r="A2569" s="528" t="s">
        <v>7530</v>
      </c>
      <c r="B2569" s="528" t="s">
        <v>7531</v>
      </c>
      <c r="C2569" s="528" t="s">
        <v>7532</v>
      </c>
      <c r="D2569" s="528" t="s">
        <v>238</v>
      </c>
      <c r="E2569" s="528"/>
      <c r="F2569" s="528"/>
      <c r="G2569" s="528" t="s">
        <v>205</v>
      </c>
      <c r="H2569"/>
    </row>
    <row r="2570" spans="1:8" x14ac:dyDescent="0.35">
      <c r="A2570" s="528" t="s">
        <v>7533</v>
      </c>
      <c r="B2570" s="528" t="s">
        <v>7534</v>
      </c>
      <c r="C2570" s="528" t="s">
        <v>7535</v>
      </c>
      <c r="D2570" s="528" t="s">
        <v>225</v>
      </c>
      <c r="E2570" s="528"/>
      <c r="F2570" s="528"/>
      <c r="G2570" s="528" t="s">
        <v>208</v>
      </c>
      <c r="H2570"/>
    </row>
    <row r="2571" spans="1:8" x14ac:dyDescent="0.35">
      <c r="A2571" s="528" t="s">
        <v>7536</v>
      </c>
      <c r="B2571" s="528" t="s">
        <v>7537</v>
      </c>
      <c r="C2571" s="528" t="s">
        <v>7538</v>
      </c>
      <c r="D2571" s="528" t="s">
        <v>264</v>
      </c>
      <c r="E2571" s="528"/>
      <c r="F2571" s="528"/>
      <c r="G2571" s="528" t="s">
        <v>208</v>
      </c>
      <c r="H2571"/>
    </row>
    <row r="2572" spans="1:8" x14ac:dyDescent="0.35">
      <c r="A2572" s="528" t="s">
        <v>7539</v>
      </c>
      <c r="B2572" s="528" t="s">
        <v>7540</v>
      </c>
      <c r="C2572" s="528" t="s">
        <v>7541</v>
      </c>
      <c r="D2572" s="528" t="s">
        <v>264</v>
      </c>
      <c r="E2572" s="528"/>
      <c r="F2572" s="528"/>
      <c r="G2572" s="528" t="s">
        <v>208</v>
      </c>
      <c r="H2572"/>
    </row>
    <row r="2573" spans="1:8" x14ac:dyDescent="0.35">
      <c r="A2573" s="528" t="s">
        <v>7542</v>
      </c>
      <c r="B2573" s="528" t="s">
        <v>7543</v>
      </c>
      <c r="C2573" s="528" t="s">
        <v>7544</v>
      </c>
      <c r="D2573" s="528" t="s">
        <v>264</v>
      </c>
      <c r="E2573" s="528"/>
      <c r="F2573" s="528"/>
      <c r="G2573" s="528" t="s">
        <v>208</v>
      </c>
      <c r="H2573"/>
    </row>
    <row r="2574" spans="1:8" x14ac:dyDescent="0.35">
      <c r="A2574" s="528" t="s">
        <v>7545</v>
      </c>
      <c r="B2574" s="528" t="s">
        <v>7546</v>
      </c>
      <c r="C2574" s="528" t="s">
        <v>7547</v>
      </c>
      <c r="D2574" s="528" t="s">
        <v>277</v>
      </c>
      <c r="E2574" s="528"/>
      <c r="F2574" s="528"/>
      <c r="G2574" s="528" t="s">
        <v>208</v>
      </c>
      <c r="H2574"/>
    </row>
    <row r="2575" spans="1:8" x14ac:dyDescent="0.35">
      <c r="A2575" s="528" t="s">
        <v>7548</v>
      </c>
      <c r="B2575" s="528" t="s">
        <v>7549</v>
      </c>
      <c r="C2575" s="528" t="s">
        <v>7550</v>
      </c>
      <c r="D2575" s="528" t="s">
        <v>251</v>
      </c>
      <c r="E2575" s="528"/>
      <c r="F2575" s="528"/>
      <c r="G2575" s="528" t="s">
        <v>205</v>
      </c>
      <c r="H2575"/>
    </row>
    <row r="2576" spans="1:8" x14ac:dyDescent="0.35">
      <c r="A2576" s="528" t="s">
        <v>7551</v>
      </c>
      <c r="B2576" s="528" t="s">
        <v>7552</v>
      </c>
      <c r="C2576" s="528" t="s">
        <v>3475</v>
      </c>
      <c r="D2576" s="528" t="s">
        <v>225</v>
      </c>
      <c r="E2576" s="528"/>
      <c r="F2576" s="528"/>
      <c r="G2576" s="528" t="s">
        <v>205</v>
      </c>
      <c r="H2576"/>
    </row>
    <row r="2577" spans="1:8" x14ac:dyDescent="0.35">
      <c r="A2577" s="528" t="s">
        <v>7553</v>
      </c>
      <c r="B2577" s="528" t="s">
        <v>7554</v>
      </c>
      <c r="C2577" s="528" t="s">
        <v>7555</v>
      </c>
      <c r="D2577" s="528" t="s">
        <v>264</v>
      </c>
      <c r="E2577" s="528"/>
      <c r="F2577" s="528"/>
      <c r="G2577" s="528" t="s">
        <v>205</v>
      </c>
      <c r="H2577"/>
    </row>
    <row r="2578" spans="1:8" x14ac:dyDescent="0.35">
      <c r="A2578" s="528" t="s">
        <v>7556</v>
      </c>
      <c r="B2578" s="528" t="s">
        <v>7557</v>
      </c>
      <c r="C2578" s="528" t="s">
        <v>7558</v>
      </c>
      <c r="D2578" s="528" t="s">
        <v>238</v>
      </c>
      <c r="E2578" s="528"/>
      <c r="F2578" s="528"/>
      <c r="G2578" s="528" t="s">
        <v>205</v>
      </c>
      <c r="H2578"/>
    </row>
    <row r="2579" spans="1:8" x14ac:dyDescent="0.35">
      <c r="A2579" s="528" t="s">
        <v>7559</v>
      </c>
      <c r="B2579" s="528" t="s">
        <v>7560</v>
      </c>
      <c r="C2579" s="528" t="s">
        <v>7561</v>
      </c>
      <c r="D2579" s="528" t="s">
        <v>238</v>
      </c>
      <c r="E2579" s="528"/>
      <c r="F2579" s="528"/>
      <c r="G2579" s="528" t="s">
        <v>205</v>
      </c>
      <c r="H2579"/>
    </row>
    <row r="2580" spans="1:8" x14ac:dyDescent="0.35">
      <c r="A2580" s="528" t="s">
        <v>7562</v>
      </c>
      <c r="B2580" s="528" t="s">
        <v>7563</v>
      </c>
      <c r="C2580" s="528" t="s">
        <v>7564</v>
      </c>
      <c r="D2580" s="528" t="s">
        <v>277</v>
      </c>
      <c r="E2580" s="528"/>
      <c r="F2580" s="528"/>
      <c r="G2580" s="528" t="s">
        <v>205</v>
      </c>
      <c r="H2580"/>
    </row>
    <row r="2581" spans="1:8" x14ac:dyDescent="0.35">
      <c r="A2581" s="528" t="s">
        <v>7565</v>
      </c>
      <c r="B2581" s="528" t="s">
        <v>7566</v>
      </c>
      <c r="C2581" s="528" t="s">
        <v>2778</v>
      </c>
      <c r="D2581" s="528" t="s">
        <v>251</v>
      </c>
      <c r="E2581" s="528"/>
      <c r="F2581" s="528"/>
      <c r="G2581" s="528" t="s">
        <v>205</v>
      </c>
      <c r="H2581"/>
    </row>
    <row r="2582" spans="1:8" x14ac:dyDescent="0.35">
      <c r="A2582" s="528" t="s">
        <v>7567</v>
      </c>
      <c r="B2582" s="528" t="s">
        <v>7568</v>
      </c>
      <c r="C2582" s="528" t="s">
        <v>1329</v>
      </c>
      <c r="D2582" s="528" t="s">
        <v>251</v>
      </c>
      <c r="E2582" s="528"/>
      <c r="F2582" s="528"/>
      <c r="G2582" s="528" t="s">
        <v>205</v>
      </c>
      <c r="H2582"/>
    </row>
    <row r="2583" spans="1:8" x14ac:dyDescent="0.35">
      <c r="A2583" s="528" t="s">
        <v>7569</v>
      </c>
      <c r="B2583" s="528" t="s">
        <v>7570</v>
      </c>
      <c r="C2583" s="528" t="s">
        <v>7571</v>
      </c>
      <c r="D2583" s="528" t="s">
        <v>264</v>
      </c>
      <c r="E2583" s="528" t="s">
        <v>277</v>
      </c>
      <c r="F2583" s="528"/>
      <c r="G2583" s="528" t="s">
        <v>205</v>
      </c>
      <c r="H2583"/>
    </row>
    <row r="2584" spans="1:8" x14ac:dyDescent="0.35">
      <c r="A2584" s="528" t="s">
        <v>7572</v>
      </c>
      <c r="B2584" s="528" t="s">
        <v>7573</v>
      </c>
      <c r="C2584" s="528" t="s">
        <v>2244</v>
      </c>
      <c r="D2584" s="528" t="s">
        <v>264</v>
      </c>
      <c r="E2584" s="528" t="s">
        <v>225</v>
      </c>
      <c r="F2584" s="528"/>
      <c r="G2584" s="528" t="s">
        <v>205</v>
      </c>
      <c r="H2584"/>
    </row>
    <row r="2585" spans="1:8" x14ac:dyDescent="0.35">
      <c r="A2585" s="528" t="s">
        <v>7574</v>
      </c>
      <c r="B2585" s="528" t="s">
        <v>7575</v>
      </c>
      <c r="C2585" s="528" t="s">
        <v>1695</v>
      </c>
      <c r="D2585" s="528" t="s">
        <v>264</v>
      </c>
      <c r="E2585" s="528"/>
      <c r="F2585" s="528"/>
      <c r="G2585" s="528" t="s">
        <v>205</v>
      </c>
      <c r="H2585"/>
    </row>
    <row r="2586" spans="1:8" x14ac:dyDescent="0.35">
      <c r="A2586" s="528" t="s">
        <v>7576</v>
      </c>
      <c r="B2586" s="528" t="s">
        <v>7577</v>
      </c>
      <c r="C2586" s="528" t="s">
        <v>7578</v>
      </c>
      <c r="D2586" s="528" t="s">
        <v>264</v>
      </c>
      <c r="E2586" s="528"/>
      <c r="F2586" s="528"/>
      <c r="G2586" s="528" t="s">
        <v>205</v>
      </c>
      <c r="H2586"/>
    </row>
    <row r="2587" spans="1:8" x14ac:dyDescent="0.35">
      <c r="A2587" s="528" t="s">
        <v>7579</v>
      </c>
      <c r="B2587" s="528" t="s">
        <v>7580</v>
      </c>
      <c r="C2587" s="528" t="s">
        <v>7581</v>
      </c>
      <c r="D2587" s="528" t="s">
        <v>264</v>
      </c>
      <c r="E2587" s="528"/>
      <c r="F2587" s="528"/>
      <c r="G2587" s="528" t="s">
        <v>205</v>
      </c>
      <c r="H2587"/>
    </row>
    <row r="2588" spans="1:8" x14ac:dyDescent="0.35">
      <c r="A2588" s="528" t="s">
        <v>7582</v>
      </c>
      <c r="B2588" s="528" t="s">
        <v>7583</v>
      </c>
      <c r="C2588" s="528" t="s">
        <v>1350</v>
      </c>
      <c r="D2588" s="528" t="s">
        <v>277</v>
      </c>
      <c r="E2588" s="528"/>
      <c r="F2588" s="528"/>
      <c r="G2588" s="528" t="s">
        <v>205</v>
      </c>
      <c r="H2588"/>
    </row>
    <row r="2589" spans="1:8" x14ac:dyDescent="0.35">
      <c r="A2589" s="528" t="s">
        <v>7584</v>
      </c>
      <c r="B2589" s="528" t="s">
        <v>7585</v>
      </c>
      <c r="C2589" s="528" t="s">
        <v>2773</v>
      </c>
      <c r="D2589" s="528" t="s">
        <v>277</v>
      </c>
      <c r="E2589" s="528"/>
      <c r="F2589" s="528"/>
      <c r="G2589" s="528" t="s">
        <v>205</v>
      </c>
      <c r="H2589"/>
    </row>
    <row r="2590" spans="1:8" x14ac:dyDescent="0.35">
      <c r="A2590" s="528" t="s">
        <v>7586</v>
      </c>
      <c r="B2590" s="528" t="s">
        <v>7587</v>
      </c>
      <c r="C2590" s="528" t="s">
        <v>4627</v>
      </c>
      <c r="D2590" s="528" t="s">
        <v>277</v>
      </c>
      <c r="E2590" s="528" t="s">
        <v>264</v>
      </c>
      <c r="F2590" s="528"/>
      <c r="G2590" s="528" t="s">
        <v>205</v>
      </c>
      <c r="H2590"/>
    </row>
    <row r="2591" spans="1:8" x14ac:dyDescent="0.35">
      <c r="A2591" s="528" t="s">
        <v>7588</v>
      </c>
      <c r="B2591" s="528" t="s">
        <v>7589</v>
      </c>
      <c r="C2591" s="528" t="s">
        <v>6377</v>
      </c>
      <c r="D2591" s="528" t="s">
        <v>238</v>
      </c>
      <c r="E2591" s="528"/>
      <c r="F2591" s="528"/>
      <c r="G2591" s="528" t="s">
        <v>205</v>
      </c>
      <c r="H2591"/>
    </row>
    <row r="2592" spans="1:8" x14ac:dyDescent="0.35">
      <c r="A2592" s="528" t="s">
        <v>7590</v>
      </c>
      <c r="B2592" s="528" t="s">
        <v>7591</v>
      </c>
      <c r="C2592" s="528" t="s">
        <v>7592</v>
      </c>
      <c r="D2592" s="528" t="s">
        <v>251</v>
      </c>
      <c r="E2592" s="528" t="s">
        <v>238</v>
      </c>
      <c r="F2592" s="528"/>
      <c r="G2592" s="528" t="s">
        <v>205</v>
      </c>
      <c r="H2592"/>
    </row>
    <row r="2593" spans="1:8" x14ac:dyDescent="0.35">
      <c r="A2593" s="528" t="s">
        <v>7593</v>
      </c>
      <c r="B2593" s="528" t="s">
        <v>7594</v>
      </c>
      <c r="C2593" s="528" t="s">
        <v>7595</v>
      </c>
      <c r="D2593" s="528" t="s">
        <v>251</v>
      </c>
      <c r="E2593" s="528" t="s">
        <v>225</v>
      </c>
      <c r="F2593" s="528"/>
      <c r="G2593" s="528" t="s">
        <v>205</v>
      </c>
      <c r="H2593"/>
    </row>
    <row r="2594" spans="1:8" x14ac:dyDescent="0.35">
      <c r="A2594" s="528" t="s">
        <v>7596</v>
      </c>
      <c r="B2594" s="528" t="s">
        <v>7597</v>
      </c>
      <c r="C2594" s="528" t="s">
        <v>7465</v>
      </c>
      <c r="D2594" s="528" t="s">
        <v>264</v>
      </c>
      <c r="E2594" s="528"/>
      <c r="F2594" s="528"/>
      <c r="G2594" s="528" t="s">
        <v>205</v>
      </c>
      <c r="H2594"/>
    </row>
    <row r="2595" spans="1:8" x14ac:dyDescent="0.35">
      <c r="A2595" s="528" t="s">
        <v>7598</v>
      </c>
      <c r="B2595" s="528" t="s">
        <v>7599</v>
      </c>
      <c r="C2595" s="528" t="s">
        <v>3185</v>
      </c>
      <c r="D2595" s="528" t="s">
        <v>251</v>
      </c>
      <c r="E2595" s="528"/>
      <c r="F2595" s="528"/>
      <c r="G2595" s="528" t="s">
        <v>205</v>
      </c>
      <c r="H2595"/>
    </row>
    <row r="2596" spans="1:8" x14ac:dyDescent="0.35">
      <c r="A2596" s="528" t="s">
        <v>7600</v>
      </c>
      <c r="B2596" s="528" t="s">
        <v>7601</v>
      </c>
      <c r="C2596" s="528" t="s">
        <v>4023</v>
      </c>
      <c r="D2596" s="528" t="s">
        <v>277</v>
      </c>
      <c r="E2596" s="528"/>
      <c r="F2596" s="528"/>
      <c r="G2596" s="528" t="s">
        <v>205</v>
      </c>
      <c r="H2596"/>
    </row>
    <row r="2597" spans="1:8" x14ac:dyDescent="0.35">
      <c r="A2597" s="528" t="s">
        <v>7602</v>
      </c>
      <c r="B2597" s="528" t="s">
        <v>7603</v>
      </c>
      <c r="C2597" s="528" t="s">
        <v>7604</v>
      </c>
      <c r="D2597" s="528" t="s">
        <v>264</v>
      </c>
      <c r="E2597" s="528"/>
      <c r="F2597" s="528"/>
      <c r="G2597" s="528" t="s">
        <v>205</v>
      </c>
      <c r="H2597"/>
    </row>
    <row r="2598" spans="1:8" x14ac:dyDescent="0.35">
      <c r="A2598" s="528" t="s">
        <v>7605</v>
      </c>
      <c r="B2598" s="528" t="s">
        <v>7606</v>
      </c>
      <c r="C2598" s="528" t="s">
        <v>7607</v>
      </c>
      <c r="D2598" s="528" t="s">
        <v>251</v>
      </c>
      <c r="E2598" s="528"/>
      <c r="F2598" s="528"/>
      <c r="G2598" s="528" t="s">
        <v>208</v>
      </c>
      <c r="H2598"/>
    </row>
    <row r="2599" spans="1:8" x14ac:dyDescent="0.35">
      <c r="A2599" s="528" t="s">
        <v>7608</v>
      </c>
      <c r="B2599" s="528" t="s">
        <v>7609</v>
      </c>
      <c r="C2599" s="528" t="s">
        <v>7610</v>
      </c>
      <c r="D2599" s="528" t="s">
        <v>251</v>
      </c>
      <c r="E2599" s="528" t="s">
        <v>277</v>
      </c>
      <c r="F2599" s="528"/>
      <c r="G2599" s="528" t="s">
        <v>205</v>
      </c>
      <c r="H2599"/>
    </row>
    <row r="2600" spans="1:8" x14ac:dyDescent="0.35">
      <c r="A2600" s="528" t="s">
        <v>7611</v>
      </c>
      <c r="B2600" s="528" t="s">
        <v>7612</v>
      </c>
      <c r="C2600" s="528" t="s">
        <v>5756</v>
      </c>
      <c r="D2600" s="528" t="s">
        <v>277</v>
      </c>
      <c r="E2600" s="528"/>
      <c r="F2600" s="528"/>
      <c r="G2600" s="528" t="s">
        <v>208</v>
      </c>
      <c r="H2600"/>
    </row>
    <row r="2601" spans="1:8" x14ac:dyDescent="0.35">
      <c r="A2601" s="528" t="s">
        <v>7613</v>
      </c>
      <c r="B2601" s="528" t="s">
        <v>7614</v>
      </c>
      <c r="C2601" s="528" t="s">
        <v>7532</v>
      </c>
      <c r="D2601" s="528" t="s">
        <v>238</v>
      </c>
      <c r="E2601" s="528" t="s">
        <v>264</v>
      </c>
      <c r="F2601" s="528"/>
      <c r="G2601" s="528" t="s">
        <v>205</v>
      </c>
      <c r="H2601"/>
    </row>
    <row r="2602" spans="1:8" x14ac:dyDescent="0.35">
      <c r="A2602" s="528" t="s">
        <v>7615</v>
      </c>
      <c r="B2602" s="528" t="s">
        <v>7616</v>
      </c>
      <c r="C2602" s="528" t="s">
        <v>4327</v>
      </c>
      <c r="D2602" s="528" t="s">
        <v>264</v>
      </c>
      <c r="E2602" s="528"/>
      <c r="F2602" s="528"/>
      <c r="G2602" s="528" t="s">
        <v>205</v>
      </c>
      <c r="H2602"/>
    </row>
    <row r="2603" spans="1:8" x14ac:dyDescent="0.35">
      <c r="A2603" s="528" t="s">
        <v>7617</v>
      </c>
      <c r="B2603" s="528" t="s">
        <v>7618</v>
      </c>
      <c r="C2603" s="528" t="s">
        <v>7619</v>
      </c>
      <c r="D2603" s="528" t="s">
        <v>251</v>
      </c>
      <c r="E2603" s="528"/>
      <c r="F2603" s="528"/>
      <c r="G2603" s="528" t="s">
        <v>205</v>
      </c>
      <c r="H2603"/>
    </row>
    <row r="2604" spans="1:8" x14ac:dyDescent="0.35">
      <c r="A2604" s="528" t="s">
        <v>7620</v>
      </c>
      <c r="B2604" s="528" t="s">
        <v>7621</v>
      </c>
      <c r="C2604" s="528" t="s">
        <v>7622</v>
      </c>
      <c r="D2604" s="528" t="s">
        <v>277</v>
      </c>
      <c r="E2604" s="528"/>
      <c r="F2604" s="528"/>
      <c r="G2604" s="528" t="s">
        <v>205</v>
      </c>
      <c r="H2604"/>
    </row>
    <row r="2605" spans="1:8" x14ac:dyDescent="0.35">
      <c r="A2605" s="528" t="s">
        <v>7623</v>
      </c>
      <c r="B2605" s="528" t="s">
        <v>7624</v>
      </c>
      <c r="C2605" s="528" t="s">
        <v>7625</v>
      </c>
      <c r="D2605" s="528" t="s">
        <v>251</v>
      </c>
      <c r="E2605" s="528" t="s">
        <v>225</v>
      </c>
      <c r="F2605" s="528"/>
      <c r="G2605" s="528" t="s">
        <v>205</v>
      </c>
      <c r="H2605"/>
    </row>
    <row r="2606" spans="1:8" x14ac:dyDescent="0.35">
      <c r="A2606" s="528" t="s">
        <v>7626</v>
      </c>
      <c r="B2606" s="528" t="s">
        <v>7627</v>
      </c>
      <c r="C2606" s="528" t="s">
        <v>2991</v>
      </c>
      <c r="D2606" s="528" t="s">
        <v>277</v>
      </c>
      <c r="E2606" s="528" t="s">
        <v>251</v>
      </c>
      <c r="F2606" s="528"/>
      <c r="G2606" s="528" t="s">
        <v>205</v>
      </c>
      <c r="H2606"/>
    </row>
    <row r="2607" spans="1:8" x14ac:dyDescent="0.35">
      <c r="A2607" s="528" t="s">
        <v>7628</v>
      </c>
      <c r="B2607" s="528" t="s">
        <v>7629</v>
      </c>
      <c r="C2607" s="528" t="s">
        <v>7630</v>
      </c>
      <c r="D2607" s="528" t="s">
        <v>264</v>
      </c>
      <c r="E2607" s="528"/>
      <c r="F2607" s="528"/>
      <c r="G2607" s="528" t="s">
        <v>205</v>
      </c>
      <c r="H2607"/>
    </row>
    <row r="2608" spans="1:8" x14ac:dyDescent="0.35">
      <c r="A2608" s="528" t="s">
        <v>7631</v>
      </c>
      <c r="B2608" s="528" t="s">
        <v>7632</v>
      </c>
      <c r="C2608" s="528" t="s">
        <v>7633</v>
      </c>
      <c r="D2608" s="528" t="s">
        <v>264</v>
      </c>
      <c r="E2608" s="528"/>
      <c r="F2608" s="528"/>
      <c r="G2608" s="528" t="s">
        <v>208</v>
      </c>
      <c r="H2608"/>
    </row>
    <row r="2609" spans="1:8" x14ac:dyDescent="0.35">
      <c r="A2609" s="528" t="s">
        <v>7634</v>
      </c>
      <c r="B2609" s="528" t="s">
        <v>7635</v>
      </c>
      <c r="C2609" s="528" t="s">
        <v>7636</v>
      </c>
      <c r="D2609" s="528" t="s">
        <v>251</v>
      </c>
      <c r="E2609" s="528"/>
      <c r="F2609" s="528"/>
      <c r="G2609" s="528" t="s">
        <v>205</v>
      </c>
      <c r="H2609"/>
    </row>
    <row r="2610" spans="1:8" x14ac:dyDescent="0.35">
      <c r="A2610" s="528" t="s">
        <v>7637</v>
      </c>
      <c r="B2610" s="528" t="s">
        <v>7638</v>
      </c>
      <c r="C2610" s="528" t="s">
        <v>7639</v>
      </c>
      <c r="D2610" s="528" t="s">
        <v>251</v>
      </c>
      <c r="E2610" s="528"/>
      <c r="F2610" s="528"/>
      <c r="G2610" s="528" t="s">
        <v>205</v>
      </c>
      <c r="H2610"/>
    </row>
    <row r="2611" spans="1:8" x14ac:dyDescent="0.35">
      <c r="A2611" s="528" t="s">
        <v>7640</v>
      </c>
      <c r="B2611" s="528" t="s">
        <v>7641</v>
      </c>
      <c r="C2611" s="528" t="s">
        <v>2091</v>
      </c>
      <c r="D2611" s="528" t="s">
        <v>251</v>
      </c>
      <c r="E2611" s="528"/>
      <c r="F2611" s="528"/>
      <c r="G2611" s="528" t="s">
        <v>208</v>
      </c>
      <c r="H2611"/>
    </row>
    <row r="2612" spans="1:8" x14ac:dyDescent="0.35">
      <c r="A2612" s="528" t="s">
        <v>7642</v>
      </c>
      <c r="B2612" s="528" t="s">
        <v>7643</v>
      </c>
      <c r="C2612" s="528" t="s">
        <v>7644</v>
      </c>
      <c r="D2612" s="528" t="s">
        <v>264</v>
      </c>
      <c r="E2612" s="528"/>
      <c r="F2612" s="528"/>
      <c r="G2612" s="528" t="s">
        <v>205</v>
      </c>
      <c r="H2612"/>
    </row>
    <row r="2613" spans="1:8" x14ac:dyDescent="0.35">
      <c r="A2613" s="528" t="s">
        <v>7645</v>
      </c>
      <c r="B2613" s="528" t="s">
        <v>7646</v>
      </c>
      <c r="C2613" s="528" t="s">
        <v>2208</v>
      </c>
      <c r="D2613" s="528" t="s">
        <v>225</v>
      </c>
      <c r="E2613" s="528"/>
      <c r="F2613" s="528"/>
      <c r="G2613" s="528" t="s">
        <v>205</v>
      </c>
      <c r="H2613"/>
    </row>
    <row r="2614" spans="1:8" x14ac:dyDescent="0.35">
      <c r="A2614" s="528" t="s">
        <v>7647</v>
      </c>
      <c r="B2614" s="528" t="s">
        <v>7648</v>
      </c>
      <c r="C2614" s="528" t="s">
        <v>7649</v>
      </c>
      <c r="D2614" s="528" t="s">
        <v>225</v>
      </c>
      <c r="E2614" s="528"/>
      <c r="F2614" s="528"/>
      <c r="G2614" s="528" t="s">
        <v>205</v>
      </c>
      <c r="H2614"/>
    </row>
    <row r="2615" spans="1:8" x14ac:dyDescent="0.35">
      <c r="A2615" s="528" t="s">
        <v>7650</v>
      </c>
      <c r="B2615" s="528" t="s">
        <v>7651</v>
      </c>
      <c r="C2615" s="528" t="s">
        <v>3721</v>
      </c>
      <c r="D2615" s="528" t="s">
        <v>225</v>
      </c>
      <c r="E2615" s="528"/>
      <c r="F2615" s="528"/>
      <c r="G2615" s="528" t="s">
        <v>205</v>
      </c>
      <c r="H2615"/>
    </row>
    <row r="2616" spans="1:8" x14ac:dyDescent="0.35">
      <c r="A2616" s="528" t="s">
        <v>7652</v>
      </c>
      <c r="B2616" s="528" t="s">
        <v>7653</v>
      </c>
      <c r="C2616" s="528" t="s">
        <v>7654</v>
      </c>
      <c r="D2616" s="528" t="s">
        <v>277</v>
      </c>
      <c r="E2616" s="528"/>
      <c r="F2616" s="528"/>
      <c r="G2616" s="528" t="s">
        <v>212</v>
      </c>
      <c r="H2616"/>
    </row>
    <row r="2617" spans="1:8" x14ac:dyDescent="0.35">
      <c r="A2617" s="528" t="s">
        <v>7655</v>
      </c>
      <c r="B2617" s="528" t="s">
        <v>7656</v>
      </c>
      <c r="C2617" s="528" t="s">
        <v>7657</v>
      </c>
      <c r="D2617" s="528" t="s">
        <v>277</v>
      </c>
      <c r="E2617" s="528"/>
      <c r="F2617" s="528"/>
      <c r="G2617" s="528" t="s">
        <v>214</v>
      </c>
      <c r="H2617"/>
    </row>
    <row r="2618" spans="1:8" x14ac:dyDescent="0.35">
      <c r="A2618" s="528" t="s">
        <v>7658</v>
      </c>
      <c r="B2618" s="528" t="s">
        <v>7659</v>
      </c>
      <c r="C2618" s="528" t="s">
        <v>7660</v>
      </c>
      <c r="D2618" s="528" t="s">
        <v>277</v>
      </c>
      <c r="E2618" s="528"/>
      <c r="F2618" s="528"/>
      <c r="G2618" s="528" t="s">
        <v>212</v>
      </c>
      <c r="H2618"/>
    </row>
    <row r="2619" spans="1:8" x14ac:dyDescent="0.35">
      <c r="A2619" s="528" t="s">
        <v>7661</v>
      </c>
      <c r="B2619" s="528" t="s">
        <v>7662</v>
      </c>
      <c r="C2619" s="528" t="s">
        <v>7663</v>
      </c>
      <c r="D2619" s="528" t="s">
        <v>277</v>
      </c>
      <c r="E2619" s="528"/>
      <c r="F2619" s="528"/>
      <c r="G2619" s="528" t="s">
        <v>212</v>
      </c>
      <c r="H2619"/>
    </row>
    <row r="2620" spans="1:8" x14ac:dyDescent="0.35">
      <c r="A2620" s="528" t="s">
        <v>7664</v>
      </c>
      <c r="B2620" s="528" t="s">
        <v>7665</v>
      </c>
      <c r="C2620" s="528" t="s">
        <v>7666</v>
      </c>
      <c r="D2620" s="528" t="s">
        <v>277</v>
      </c>
      <c r="E2620" s="528"/>
      <c r="F2620" s="528"/>
      <c r="G2620" s="528" t="s">
        <v>212</v>
      </c>
      <c r="H2620"/>
    </row>
    <row r="2621" spans="1:8" x14ac:dyDescent="0.35">
      <c r="A2621" s="528" t="s">
        <v>7667</v>
      </c>
      <c r="B2621" s="528" t="s">
        <v>7668</v>
      </c>
      <c r="C2621" s="528" t="s">
        <v>7669</v>
      </c>
      <c r="D2621" s="528" t="s">
        <v>277</v>
      </c>
      <c r="E2621" s="528"/>
      <c r="F2621" s="528"/>
      <c r="G2621" s="528" t="s">
        <v>208</v>
      </c>
      <c r="H2621"/>
    </row>
    <row r="2622" spans="1:8" x14ac:dyDescent="0.35">
      <c r="A2622" s="528" t="s">
        <v>7670</v>
      </c>
      <c r="B2622" s="528" t="s">
        <v>7671</v>
      </c>
      <c r="C2622" s="528" t="s">
        <v>7672</v>
      </c>
      <c r="D2622" s="528" t="s">
        <v>277</v>
      </c>
      <c r="E2622" s="528"/>
      <c r="F2622" s="528"/>
      <c r="G2622" s="528" t="s">
        <v>208</v>
      </c>
      <c r="H2622"/>
    </row>
    <row r="2623" spans="1:8" x14ac:dyDescent="0.35">
      <c r="A2623" s="528" t="s">
        <v>7673</v>
      </c>
      <c r="B2623" s="528" t="s">
        <v>7674</v>
      </c>
      <c r="C2623" s="528" t="s">
        <v>7675</v>
      </c>
      <c r="D2623" s="528" t="s">
        <v>264</v>
      </c>
      <c r="E2623" s="528"/>
      <c r="F2623" s="528"/>
      <c r="G2623" s="528" t="s">
        <v>205</v>
      </c>
      <c r="H2623"/>
    </row>
    <row r="2624" spans="1:8" x14ac:dyDescent="0.35">
      <c r="A2624" s="528" t="s">
        <v>7676</v>
      </c>
      <c r="B2624" s="528" t="s">
        <v>7677</v>
      </c>
      <c r="C2624" s="528" t="s">
        <v>7678</v>
      </c>
      <c r="D2624" s="528" t="s">
        <v>277</v>
      </c>
      <c r="E2624" s="528" t="s">
        <v>264</v>
      </c>
      <c r="F2624" s="528"/>
      <c r="G2624" s="528" t="s">
        <v>205</v>
      </c>
      <c r="H2624"/>
    </row>
    <row r="2625" spans="1:8" x14ac:dyDescent="0.35">
      <c r="A2625" s="528" t="s">
        <v>7679</v>
      </c>
      <c r="B2625" s="528" t="s">
        <v>7680</v>
      </c>
      <c r="C2625" s="528" t="s">
        <v>7681</v>
      </c>
      <c r="D2625" s="528" t="s">
        <v>264</v>
      </c>
      <c r="E2625" s="528"/>
      <c r="F2625" s="528"/>
      <c r="G2625" s="528" t="s">
        <v>205</v>
      </c>
      <c r="H2625"/>
    </row>
    <row r="2626" spans="1:8" x14ac:dyDescent="0.35">
      <c r="A2626" s="528" t="s">
        <v>7682</v>
      </c>
      <c r="B2626" s="528" t="s">
        <v>7683</v>
      </c>
      <c r="C2626" s="528" t="s">
        <v>7684</v>
      </c>
      <c r="D2626" s="528" t="s">
        <v>264</v>
      </c>
      <c r="E2626" s="528"/>
      <c r="F2626" s="528"/>
      <c r="G2626" s="528" t="s">
        <v>205</v>
      </c>
      <c r="H2626"/>
    </row>
    <row r="2627" spans="1:8" x14ac:dyDescent="0.35">
      <c r="A2627" s="528" t="s">
        <v>7685</v>
      </c>
      <c r="B2627" s="528" t="s">
        <v>7686</v>
      </c>
      <c r="C2627" s="528" t="s">
        <v>7687</v>
      </c>
      <c r="D2627" s="528" t="s">
        <v>264</v>
      </c>
      <c r="E2627" s="528"/>
      <c r="F2627" s="528"/>
      <c r="G2627" s="528" t="s">
        <v>205</v>
      </c>
      <c r="H2627"/>
    </row>
    <row r="2628" spans="1:8" x14ac:dyDescent="0.35">
      <c r="A2628" s="528" t="s">
        <v>7688</v>
      </c>
      <c r="B2628" s="528" t="s">
        <v>7689</v>
      </c>
      <c r="C2628" s="528" t="s">
        <v>7690</v>
      </c>
      <c r="D2628" s="528" t="s">
        <v>264</v>
      </c>
      <c r="E2628" s="528"/>
      <c r="F2628" s="528"/>
      <c r="G2628" s="528" t="s">
        <v>205</v>
      </c>
      <c r="H2628"/>
    </row>
    <row r="2629" spans="1:8" x14ac:dyDescent="0.35">
      <c r="A2629" s="528" t="s">
        <v>7691</v>
      </c>
      <c r="B2629" s="528" t="s">
        <v>7692</v>
      </c>
      <c r="C2629" s="528" t="s">
        <v>7693</v>
      </c>
      <c r="D2629" s="528" t="s">
        <v>264</v>
      </c>
      <c r="E2629" s="528"/>
      <c r="F2629" s="528"/>
      <c r="G2629" s="528" t="s">
        <v>205</v>
      </c>
      <c r="H2629"/>
    </row>
    <row r="2630" spans="1:8" x14ac:dyDescent="0.35">
      <c r="A2630" s="528" t="s">
        <v>7694</v>
      </c>
      <c r="B2630" s="528" t="s">
        <v>7695</v>
      </c>
      <c r="C2630" s="528" t="s">
        <v>7696</v>
      </c>
      <c r="D2630" s="528" t="s">
        <v>264</v>
      </c>
      <c r="E2630" s="528"/>
      <c r="F2630" s="528"/>
      <c r="G2630" s="528" t="s">
        <v>205</v>
      </c>
      <c r="H2630"/>
    </row>
    <row r="2631" spans="1:8" x14ac:dyDescent="0.35">
      <c r="A2631" s="528" t="s">
        <v>7697</v>
      </c>
      <c r="B2631" s="528" t="s">
        <v>7698</v>
      </c>
      <c r="C2631" s="528" t="s">
        <v>7699</v>
      </c>
      <c r="D2631" s="528" t="s">
        <v>264</v>
      </c>
      <c r="E2631" s="528"/>
      <c r="F2631" s="528"/>
      <c r="G2631" s="528" t="s">
        <v>205</v>
      </c>
      <c r="H2631"/>
    </row>
    <row r="2632" spans="1:8" x14ac:dyDescent="0.35">
      <c r="A2632" s="528" t="s">
        <v>7700</v>
      </c>
      <c r="B2632" s="528" t="s">
        <v>7701</v>
      </c>
      <c r="C2632" s="528" t="s">
        <v>7702</v>
      </c>
      <c r="D2632" s="528" t="s">
        <v>264</v>
      </c>
      <c r="E2632" s="528"/>
      <c r="F2632" s="528"/>
      <c r="G2632" s="528" t="s">
        <v>205</v>
      </c>
      <c r="H2632"/>
    </row>
    <row r="2633" spans="1:8" x14ac:dyDescent="0.35">
      <c r="A2633" s="528" t="s">
        <v>7703</v>
      </c>
      <c r="B2633" s="528" t="s">
        <v>7704</v>
      </c>
      <c r="C2633" s="528" t="s">
        <v>7705</v>
      </c>
      <c r="D2633" s="528" t="s">
        <v>264</v>
      </c>
      <c r="E2633" s="528"/>
      <c r="F2633" s="528"/>
      <c r="G2633" s="528" t="s">
        <v>205</v>
      </c>
      <c r="H2633"/>
    </row>
    <row r="2634" spans="1:8" x14ac:dyDescent="0.35">
      <c r="A2634" s="528" t="s">
        <v>7706</v>
      </c>
      <c r="B2634" s="528" t="s">
        <v>7707</v>
      </c>
      <c r="C2634" s="528" t="s">
        <v>7708</v>
      </c>
      <c r="D2634" s="528" t="s">
        <v>264</v>
      </c>
      <c r="E2634" s="528"/>
      <c r="F2634" s="528"/>
      <c r="G2634" s="528" t="s">
        <v>205</v>
      </c>
      <c r="H2634"/>
    </row>
    <row r="2635" spans="1:8" x14ac:dyDescent="0.35">
      <c r="A2635" s="528" t="s">
        <v>7709</v>
      </c>
      <c r="B2635" s="528" t="s">
        <v>7710</v>
      </c>
      <c r="C2635" s="528" t="s">
        <v>7711</v>
      </c>
      <c r="D2635" s="528" t="s">
        <v>264</v>
      </c>
      <c r="E2635" s="528"/>
      <c r="F2635" s="528"/>
      <c r="G2635" s="528" t="s">
        <v>205</v>
      </c>
      <c r="H2635"/>
    </row>
    <row r="2636" spans="1:8" x14ac:dyDescent="0.35">
      <c r="A2636" s="528" t="s">
        <v>7712</v>
      </c>
      <c r="B2636" s="528" t="s">
        <v>7713</v>
      </c>
      <c r="C2636" s="528" t="s">
        <v>1371</v>
      </c>
      <c r="D2636" s="528" t="s">
        <v>238</v>
      </c>
      <c r="E2636" s="528"/>
      <c r="F2636" s="528"/>
      <c r="G2636" s="528" t="s">
        <v>205</v>
      </c>
      <c r="H2636"/>
    </row>
    <row r="2637" spans="1:8" x14ac:dyDescent="0.35">
      <c r="A2637" s="528" t="s">
        <v>7714</v>
      </c>
      <c r="B2637" s="528" t="s">
        <v>7715</v>
      </c>
      <c r="C2637" s="528" t="s">
        <v>1792</v>
      </c>
      <c r="D2637" s="528" t="s">
        <v>277</v>
      </c>
      <c r="E2637" s="528"/>
      <c r="F2637" s="528"/>
      <c r="G2637" s="528" t="s">
        <v>208</v>
      </c>
      <c r="H2637"/>
    </row>
    <row r="2638" spans="1:8" x14ac:dyDescent="0.35">
      <c r="A2638" s="528" t="s">
        <v>7716</v>
      </c>
      <c r="B2638" s="528" t="s">
        <v>7717</v>
      </c>
      <c r="C2638" s="528" t="s">
        <v>474</v>
      </c>
      <c r="D2638" s="528" t="s">
        <v>277</v>
      </c>
      <c r="E2638" s="528"/>
      <c r="F2638" s="528"/>
      <c r="G2638" s="528" t="s">
        <v>205</v>
      </c>
      <c r="H2638"/>
    </row>
    <row r="2639" spans="1:8" x14ac:dyDescent="0.35">
      <c r="A2639" s="528" t="s">
        <v>7718</v>
      </c>
      <c r="B2639" s="528" t="s">
        <v>7719</v>
      </c>
      <c r="C2639" s="528" t="s">
        <v>1483</v>
      </c>
      <c r="D2639" s="528" t="s">
        <v>251</v>
      </c>
      <c r="E2639" s="528"/>
      <c r="F2639" s="528"/>
      <c r="G2639" s="528" t="s">
        <v>205</v>
      </c>
      <c r="H2639"/>
    </row>
    <row r="2640" spans="1:8" x14ac:dyDescent="0.35">
      <c r="A2640" s="528" t="s">
        <v>7720</v>
      </c>
      <c r="B2640" s="528" t="s">
        <v>7721</v>
      </c>
      <c r="C2640" s="528" t="s">
        <v>5462</v>
      </c>
      <c r="D2640" s="528" t="s">
        <v>225</v>
      </c>
      <c r="E2640" s="528"/>
      <c r="F2640" s="528"/>
      <c r="G2640" s="528" t="s">
        <v>205</v>
      </c>
      <c r="H2640"/>
    </row>
    <row r="2641" spans="1:8" x14ac:dyDescent="0.35">
      <c r="A2641" s="528" t="s">
        <v>7722</v>
      </c>
      <c r="B2641" s="528" t="s">
        <v>7723</v>
      </c>
      <c r="C2641" s="528" t="s">
        <v>7724</v>
      </c>
      <c r="D2641" s="528" t="s">
        <v>238</v>
      </c>
      <c r="E2641" s="528"/>
      <c r="F2641" s="528"/>
      <c r="G2641" s="528" t="s">
        <v>205</v>
      </c>
      <c r="H2641"/>
    </row>
    <row r="2642" spans="1:8" x14ac:dyDescent="0.35">
      <c r="A2642" s="528" t="s">
        <v>7725</v>
      </c>
      <c r="B2642" s="528" t="s">
        <v>7726</v>
      </c>
      <c r="C2642" s="528" t="s">
        <v>7727</v>
      </c>
      <c r="D2642" s="528" t="s">
        <v>277</v>
      </c>
      <c r="E2642" s="528"/>
      <c r="F2642" s="528"/>
      <c r="G2642" s="528" t="s">
        <v>208</v>
      </c>
      <c r="H2642"/>
    </row>
    <row r="2643" spans="1:8" x14ac:dyDescent="0.35">
      <c r="A2643" s="528" t="s">
        <v>7728</v>
      </c>
      <c r="B2643" s="528" t="s">
        <v>7729</v>
      </c>
      <c r="C2643" s="528" t="s">
        <v>1288</v>
      </c>
      <c r="D2643" s="528" t="s">
        <v>277</v>
      </c>
      <c r="E2643" s="528"/>
      <c r="F2643" s="528"/>
      <c r="G2643" s="528" t="s">
        <v>205</v>
      </c>
      <c r="H2643"/>
    </row>
    <row r="2644" spans="1:8" x14ac:dyDescent="0.35">
      <c r="A2644" s="528" t="s">
        <v>7730</v>
      </c>
      <c r="B2644" s="528" t="s">
        <v>7731</v>
      </c>
      <c r="C2644" s="528" t="s">
        <v>7732</v>
      </c>
      <c r="D2644" s="528" t="s">
        <v>225</v>
      </c>
      <c r="E2644" s="528"/>
      <c r="F2644" s="528"/>
      <c r="G2644" s="528" t="s">
        <v>208</v>
      </c>
      <c r="H2644"/>
    </row>
    <row r="2645" spans="1:8" x14ac:dyDescent="0.35">
      <c r="A2645" s="528" t="s">
        <v>7733</v>
      </c>
      <c r="B2645" s="528" t="s">
        <v>7734</v>
      </c>
      <c r="C2645" s="528" t="s">
        <v>7735</v>
      </c>
      <c r="D2645" s="528" t="s">
        <v>264</v>
      </c>
      <c r="E2645" s="528"/>
      <c r="F2645" s="528"/>
      <c r="G2645" s="528" t="s">
        <v>208</v>
      </c>
      <c r="H2645"/>
    </row>
    <row r="2646" spans="1:8" x14ac:dyDescent="0.35">
      <c r="A2646" s="528" t="s">
        <v>7736</v>
      </c>
      <c r="B2646" s="528" t="s">
        <v>7737</v>
      </c>
      <c r="C2646" s="528" t="s">
        <v>2773</v>
      </c>
      <c r="D2646" s="528" t="s">
        <v>277</v>
      </c>
      <c r="E2646" s="528"/>
      <c r="F2646" s="528"/>
      <c r="G2646" s="528" t="s">
        <v>205</v>
      </c>
      <c r="H2646"/>
    </row>
    <row r="2647" spans="1:8" x14ac:dyDescent="0.35">
      <c r="A2647" s="528" t="s">
        <v>7738</v>
      </c>
      <c r="B2647" s="528" t="s">
        <v>7739</v>
      </c>
      <c r="C2647" s="528" t="s">
        <v>7740</v>
      </c>
      <c r="D2647" s="528" t="s">
        <v>264</v>
      </c>
      <c r="E2647" s="528"/>
      <c r="F2647" s="528"/>
      <c r="G2647" s="528" t="s">
        <v>208</v>
      </c>
      <c r="H2647"/>
    </row>
    <row r="2648" spans="1:8" x14ac:dyDescent="0.35">
      <c r="A2648" s="528" t="s">
        <v>7741</v>
      </c>
      <c r="B2648" s="528" t="s">
        <v>7742</v>
      </c>
      <c r="C2648" s="528" t="s">
        <v>2423</v>
      </c>
      <c r="D2648" s="528" t="s">
        <v>277</v>
      </c>
      <c r="E2648" s="528"/>
      <c r="F2648" s="528"/>
      <c r="G2648" s="528" t="s">
        <v>208</v>
      </c>
      <c r="H2648"/>
    </row>
    <row r="2649" spans="1:8" x14ac:dyDescent="0.35">
      <c r="A2649" s="528" t="s">
        <v>7743</v>
      </c>
      <c r="B2649" s="528" t="s">
        <v>7744</v>
      </c>
      <c r="C2649" s="528" t="s">
        <v>7745</v>
      </c>
      <c r="D2649" s="528" t="s">
        <v>277</v>
      </c>
      <c r="E2649" s="528"/>
      <c r="F2649" s="528"/>
      <c r="G2649" s="528" t="s">
        <v>208</v>
      </c>
      <c r="H2649"/>
    </row>
    <row r="2650" spans="1:8" x14ac:dyDescent="0.35">
      <c r="A2650" s="528" t="s">
        <v>7746</v>
      </c>
      <c r="B2650" s="528" t="s">
        <v>7747</v>
      </c>
      <c r="C2650" s="528" t="s">
        <v>7748</v>
      </c>
      <c r="D2650" s="528" t="s">
        <v>277</v>
      </c>
      <c r="E2650" s="528"/>
      <c r="F2650" s="528"/>
      <c r="G2650" s="528" t="s">
        <v>205</v>
      </c>
      <c r="H2650"/>
    </row>
    <row r="2651" spans="1:8" x14ac:dyDescent="0.35">
      <c r="A2651" s="528" t="s">
        <v>7749</v>
      </c>
      <c r="B2651" s="528" t="s">
        <v>7750</v>
      </c>
      <c r="C2651" s="528" t="s">
        <v>7751</v>
      </c>
      <c r="D2651" s="528" t="s">
        <v>277</v>
      </c>
      <c r="E2651" s="528"/>
      <c r="F2651" s="528"/>
      <c r="G2651" s="528" t="s">
        <v>205</v>
      </c>
      <c r="H2651"/>
    </row>
    <row r="2652" spans="1:8" x14ac:dyDescent="0.35">
      <c r="A2652" s="528" t="s">
        <v>7752</v>
      </c>
      <c r="B2652" s="528" t="s">
        <v>7753</v>
      </c>
      <c r="C2652" s="528" t="s">
        <v>6351</v>
      </c>
      <c r="D2652" s="528" t="s">
        <v>225</v>
      </c>
      <c r="E2652" s="528"/>
      <c r="F2652" s="528"/>
      <c r="G2652" s="528" t="s">
        <v>208</v>
      </c>
      <c r="H2652"/>
    </row>
    <row r="2653" spans="1:8" x14ac:dyDescent="0.35">
      <c r="A2653" s="528" t="s">
        <v>7754</v>
      </c>
      <c r="B2653" s="528" t="s">
        <v>7755</v>
      </c>
      <c r="C2653" s="528" t="s">
        <v>7756</v>
      </c>
      <c r="D2653" s="528" t="s">
        <v>225</v>
      </c>
      <c r="E2653" s="528"/>
      <c r="F2653" s="528"/>
      <c r="G2653" s="528" t="s">
        <v>208</v>
      </c>
      <c r="H2653"/>
    </row>
    <row r="2654" spans="1:8" x14ac:dyDescent="0.35">
      <c r="A2654" s="528" t="s">
        <v>7757</v>
      </c>
      <c r="B2654" s="528" t="s">
        <v>7758</v>
      </c>
      <c r="C2654" s="528" t="s">
        <v>1995</v>
      </c>
      <c r="D2654" s="528" t="s">
        <v>264</v>
      </c>
      <c r="E2654" s="528"/>
      <c r="F2654" s="528"/>
      <c r="G2654" s="528" t="s">
        <v>205</v>
      </c>
      <c r="H2654"/>
    </row>
    <row r="2655" spans="1:8" x14ac:dyDescent="0.35">
      <c r="A2655" s="528" t="s">
        <v>7759</v>
      </c>
      <c r="B2655" s="528" t="s">
        <v>7760</v>
      </c>
      <c r="C2655" s="528" t="s">
        <v>7761</v>
      </c>
      <c r="D2655" s="528" t="s">
        <v>277</v>
      </c>
      <c r="E2655" s="528"/>
      <c r="F2655" s="528"/>
      <c r="G2655" s="528" t="s">
        <v>205</v>
      </c>
      <c r="H2655"/>
    </row>
    <row r="2656" spans="1:8" x14ac:dyDescent="0.35">
      <c r="A2656" s="528" t="s">
        <v>7762</v>
      </c>
      <c r="B2656" s="528" t="s">
        <v>7763</v>
      </c>
      <c r="C2656" s="528" t="s">
        <v>1407</v>
      </c>
      <c r="D2656" s="528" t="s">
        <v>225</v>
      </c>
      <c r="E2656" s="528"/>
      <c r="F2656" s="528"/>
      <c r="G2656" s="528" t="s">
        <v>205</v>
      </c>
      <c r="H2656"/>
    </row>
    <row r="2657" spans="1:8" x14ac:dyDescent="0.35">
      <c r="A2657" s="528" t="s">
        <v>7764</v>
      </c>
      <c r="B2657" s="528" t="s">
        <v>7765</v>
      </c>
      <c r="C2657" s="528" t="s">
        <v>1226</v>
      </c>
      <c r="D2657" s="528" t="s">
        <v>264</v>
      </c>
      <c r="E2657" s="528"/>
      <c r="F2657" s="528"/>
      <c r="G2657" s="528" t="s">
        <v>205</v>
      </c>
      <c r="H2657"/>
    </row>
    <row r="2658" spans="1:8" x14ac:dyDescent="0.35">
      <c r="A2658" s="528" t="s">
        <v>7766</v>
      </c>
      <c r="B2658" s="528" t="s">
        <v>7767</v>
      </c>
      <c r="C2658" s="528" t="s">
        <v>1200</v>
      </c>
      <c r="D2658" s="528" t="s">
        <v>225</v>
      </c>
      <c r="E2658" s="528"/>
      <c r="F2658" s="528"/>
      <c r="G2658" s="528" t="s">
        <v>205</v>
      </c>
      <c r="H2658"/>
    </row>
    <row r="2659" spans="1:8" x14ac:dyDescent="0.35">
      <c r="A2659" s="528" t="s">
        <v>7768</v>
      </c>
      <c r="B2659" s="528" t="s">
        <v>7769</v>
      </c>
      <c r="C2659" s="528" t="s">
        <v>7770</v>
      </c>
      <c r="D2659" s="528" t="s">
        <v>225</v>
      </c>
      <c r="E2659" s="528"/>
      <c r="F2659" s="528"/>
      <c r="G2659" s="528" t="s">
        <v>205</v>
      </c>
      <c r="H2659"/>
    </row>
    <row r="2660" spans="1:8" x14ac:dyDescent="0.35">
      <c r="A2660" s="528" t="s">
        <v>7771</v>
      </c>
      <c r="B2660" s="528" t="s">
        <v>7772</v>
      </c>
      <c r="C2660" s="528" t="s">
        <v>5397</v>
      </c>
      <c r="D2660" s="528" t="s">
        <v>264</v>
      </c>
      <c r="E2660" s="528"/>
      <c r="F2660" s="528"/>
      <c r="G2660" s="528" t="s">
        <v>205</v>
      </c>
      <c r="H2660"/>
    </row>
    <row r="2661" spans="1:8" x14ac:dyDescent="0.35">
      <c r="A2661" s="528" t="s">
        <v>7773</v>
      </c>
      <c r="B2661" s="528" t="s">
        <v>7774</v>
      </c>
      <c r="C2661" s="528" t="s">
        <v>7775</v>
      </c>
      <c r="D2661" s="528" t="s">
        <v>264</v>
      </c>
      <c r="E2661" s="528"/>
      <c r="F2661" s="528"/>
      <c r="G2661" s="528" t="s">
        <v>205</v>
      </c>
      <c r="H2661"/>
    </row>
    <row r="2662" spans="1:8" x14ac:dyDescent="0.35">
      <c r="A2662" s="528" t="s">
        <v>7776</v>
      </c>
      <c r="B2662" s="528" t="s">
        <v>7777</v>
      </c>
      <c r="C2662" s="528" t="s">
        <v>3443</v>
      </c>
      <c r="D2662" s="528" t="s">
        <v>225</v>
      </c>
      <c r="E2662" s="528"/>
      <c r="F2662" s="528"/>
      <c r="G2662" s="528" t="s">
        <v>205</v>
      </c>
      <c r="H2662"/>
    </row>
    <row r="2663" spans="1:8" x14ac:dyDescent="0.35">
      <c r="A2663" s="528" t="s">
        <v>7778</v>
      </c>
      <c r="B2663" s="528" t="s">
        <v>7779</v>
      </c>
      <c r="C2663" s="528" t="s">
        <v>1241</v>
      </c>
      <c r="D2663" s="528" t="s">
        <v>225</v>
      </c>
      <c r="E2663" s="528"/>
      <c r="F2663" s="528"/>
      <c r="G2663" s="528" t="s">
        <v>205</v>
      </c>
      <c r="H2663"/>
    </row>
    <row r="2664" spans="1:8" x14ac:dyDescent="0.35">
      <c r="A2664" s="528" t="s">
        <v>7780</v>
      </c>
      <c r="B2664" s="528" t="s">
        <v>7781</v>
      </c>
      <c r="C2664" s="528" t="s">
        <v>7782</v>
      </c>
      <c r="D2664" s="528" t="s">
        <v>277</v>
      </c>
      <c r="E2664" s="528"/>
      <c r="F2664" s="528"/>
      <c r="G2664" s="528" t="s">
        <v>205</v>
      </c>
      <c r="H2664"/>
    </row>
    <row r="2665" spans="1:8" x14ac:dyDescent="0.35">
      <c r="A2665" s="528" t="s">
        <v>7783</v>
      </c>
      <c r="B2665" s="528" t="s">
        <v>7784</v>
      </c>
      <c r="C2665" s="528" t="s">
        <v>7785</v>
      </c>
      <c r="D2665" s="528" t="s">
        <v>251</v>
      </c>
      <c r="E2665" s="528"/>
      <c r="F2665" s="528"/>
      <c r="G2665" s="528" t="s">
        <v>205</v>
      </c>
      <c r="H2665"/>
    </row>
    <row r="2666" spans="1:8" x14ac:dyDescent="0.35">
      <c r="A2666" s="528" t="s">
        <v>7786</v>
      </c>
      <c r="B2666" s="528" t="s">
        <v>7787</v>
      </c>
      <c r="C2666" s="528" t="s">
        <v>7788</v>
      </c>
      <c r="D2666" s="528" t="s">
        <v>277</v>
      </c>
      <c r="E2666" s="528"/>
      <c r="F2666" s="528"/>
      <c r="G2666" s="528" t="s">
        <v>208</v>
      </c>
      <c r="H2666"/>
    </row>
    <row r="2667" spans="1:8" x14ac:dyDescent="0.35">
      <c r="A2667" s="528" t="s">
        <v>7789</v>
      </c>
      <c r="B2667" s="528" t="s">
        <v>7790</v>
      </c>
      <c r="C2667" s="528" t="s">
        <v>1211</v>
      </c>
      <c r="D2667" s="528" t="s">
        <v>264</v>
      </c>
      <c r="E2667" s="528"/>
      <c r="F2667" s="528"/>
      <c r="G2667" s="528" t="s">
        <v>205</v>
      </c>
      <c r="H2667"/>
    </row>
    <row r="2668" spans="1:8" x14ac:dyDescent="0.35">
      <c r="A2668" s="528" t="s">
        <v>7791</v>
      </c>
      <c r="B2668" s="528" t="s">
        <v>7792</v>
      </c>
      <c r="C2668" s="528" t="s">
        <v>7793</v>
      </c>
      <c r="D2668" s="528" t="s">
        <v>251</v>
      </c>
      <c r="E2668" s="528"/>
      <c r="F2668" s="528"/>
      <c r="G2668" s="528" t="s">
        <v>208</v>
      </c>
      <c r="H2668"/>
    </row>
    <row r="2669" spans="1:8" x14ac:dyDescent="0.35">
      <c r="A2669" s="528" t="s">
        <v>7794</v>
      </c>
      <c r="B2669" s="528" t="s">
        <v>7795</v>
      </c>
      <c r="C2669" s="528" t="s">
        <v>7796</v>
      </c>
      <c r="D2669" s="528" t="s">
        <v>264</v>
      </c>
      <c r="E2669" s="528"/>
      <c r="F2669" s="528"/>
      <c r="G2669" s="528" t="s">
        <v>208</v>
      </c>
      <c r="H2669"/>
    </row>
    <row r="2670" spans="1:8" x14ac:dyDescent="0.35">
      <c r="A2670" s="528" t="s">
        <v>7797</v>
      </c>
      <c r="B2670" s="528" t="s">
        <v>7798</v>
      </c>
      <c r="C2670" s="528" t="s">
        <v>1014</v>
      </c>
      <c r="D2670" s="528" t="s">
        <v>277</v>
      </c>
      <c r="E2670" s="528"/>
      <c r="F2670" s="528"/>
      <c r="G2670" s="528" t="s">
        <v>208</v>
      </c>
      <c r="H2670"/>
    </row>
    <row r="2671" spans="1:8" x14ac:dyDescent="0.35">
      <c r="A2671" s="528" t="s">
        <v>7799</v>
      </c>
      <c r="B2671" s="528" t="s">
        <v>7800</v>
      </c>
      <c r="C2671" s="528" t="s">
        <v>7801</v>
      </c>
      <c r="D2671" s="528" t="s">
        <v>277</v>
      </c>
      <c r="E2671" s="528"/>
      <c r="F2671" s="528"/>
      <c r="G2671" s="528" t="s">
        <v>208</v>
      </c>
      <c r="H2671"/>
    </row>
    <row r="2672" spans="1:8" x14ac:dyDescent="0.35">
      <c r="A2672" s="528" t="s">
        <v>7802</v>
      </c>
      <c r="B2672" s="528" t="s">
        <v>7803</v>
      </c>
      <c r="C2672" s="528" t="s">
        <v>7804</v>
      </c>
      <c r="D2672" s="528" t="s">
        <v>277</v>
      </c>
      <c r="E2672" s="528"/>
      <c r="F2672" s="528"/>
      <c r="G2672" s="528" t="s">
        <v>208</v>
      </c>
      <c r="H2672"/>
    </row>
    <row r="2673" spans="1:8" x14ac:dyDescent="0.35">
      <c r="A2673" s="528" t="s">
        <v>7805</v>
      </c>
      <c r="B2673" s="528" t="s">
        <v>7806</v>
      </c>
      <c r="C2673" s="528" t="s">
        <v>7807</v>
      </c>
      <c r="D2673" s="528" t="s">
        <v>251</v>
      </c>
      <c r="E2673" s="528"/>
      <c r="F2673" s="528"/>
      <c r="G2673" s="528" t="s">
        <v>205</v>
      </c>
      <c r="H2673"/>
    </row>
    <row r="2674" spans="1:8" x14ac:dyDescent="0.35">
      <c r="A2674" s="528" t="s">
        <v>7808</v>
      </c>
      <c r="B2674" s="528" t="s">
        <v>7809</v>
      </c>
      <c r="C2674" s="528" t="s">
        <v>7810</v>
      </c>
      <c r="D2674" s="528" t="s">
        <v>251</v>
      </c>
      <c r="E2674" s="528"/>
      <c r="F2674" s="528"/>
      <c r="G2674" s="528" t="s">
        <v>205</v>
      </c>
      <c r="H2674"/>
    </row>
    <row r="2675" spans="1:8" x14ac:dyDescent="0.35">
      <c r="A2675" s="528" t="s">
        <v>7811</v>
      </c>
      <c r="B2675" s="528" t="s">
        <v>7812</v>
      </c>
      <c r="C2675" s="528" t="s">
        <v>7813</v>
      </c>
      <c r="D2675" s="528" t="s">
        <v>277</v>
      </c>
      <c r="E2675" s="528"/>
      <c r="F2675" s="528"/>
      <c r="G2675" s="528" t="s">
        <v>208</v>
      </c>
      <c r="H2675"/>
    </row>
    <row r="2676" spans="1:8" x14ac:dyDescent="0.35">
      <c r="A2676" s="528" t="s">
        <v>7814</v>
      </c>
      <c r="B2676" s="528" t="s">
        <v>7815</v>
      </c>
      <c r="C2676" s="528" t="s">
        <v>7816</v>
      </c>
      <c r="D2676" s="528" t="s">
        <v>277</v>
      </c>
      <c r="E2676" s="528"/>
      <c r="F2676" s="528"/>
      <c r="G2676" s="528" t="s">
        <v>208</v>
      </c>
      <c r="H2676"/>
    </row>
    <row r="2677" spans="1:8" x14ac:dyDescent="0.35">
      <c r="A2677" s="528" t="s">
        <v>7817</v>
      </c>
      <c r="B2677" s="528" t="s">
        <v>7818</v>
      </c>
      <c r="C2677" s="528" t="s">
        <v>7819</v>
      </c>
      <c r="D2677" s="528" t="s">
        <v>251</v>
      </c>
      <c r="E2677" s="528"/>
      <c r="F2677" s="528"/>
      <c r="G2677" s="528" t="s">
        <v>208</v>
      </c>
      <c r="H2677"/>
    </row>
    <row r="2678" spans="1:8" x14ac:dyDescent="0.35">
      <c r="A2678" s="528" t="s">
        <v>7820</v>
      </c>
      <c r="B2678" s="528" t="s">
        <v>7821</v>
      </c>
      <c r="C2678" s="528" t="s">
        <v>1504</v>
      </c>
      <c r="D2678" s="528" t="s">
        <v>277</v>
      </c>
      <c r="E2678" s="528"/>
      <c r="F2678" s="528"/>
      <c r="G2678" s="528" t="s">
        <v>205</v>
      </c>
      <c r="H2678"/>
    </row>
    <row r="2679" spans="1:8" x14ac:dyDescent="0.35">
      <c r="A2679" s="528" t="s">
        <v>7822</v>
      </c>
      <c r="B2679" s="528" t="s">
        <v>7823</v>
      </c>
      <c r="C2679" s="528" t="s">
        <v>7824</v>
      </c>
      <c r="D2679" s="528" t="s">
        <v>264</v>
      </c>
      <c r="E2679" s="528" t="s">
        <v>277</v>
      </c>
      <c r="F2679" s="528"/>
      <c r="G2679" s="528" t="s">
        <v>208</v>
      </c>
      <c r="H2679"/>
    </row>
    <row r="2680" spans="1:8" x14ac:dyDescent="0.35">
      <c r="A2680" s="528" t="s">
        <v>7825</v>
      </c>
      <c r="B2680" s="528" t="s">
        <v>7826</v>
      </c>
      <c r="C2680" s="528" t="s">
        <v>7827</v>
      </c>
      <c r="D2680" s="528" t="s">
        <v>264</v>
      </c>
      <c r="E2680" s="528"/>
      <c r="F2680" s="528"/>
      <c r="G2680" s="528" t="s">
        <v>208</v>
      </c>
      <c r="H2680"/>
    </row>
    <row r="2681" spans="1:8" x14ac:dyDescent="0.35">
      <c r="A2681" s="528" t="s">
        <v>7828</v>
      </c>
      <c r="B2681" s="528" t="s">
        <v>7829</v>
      </c>
      <c r="C2681" s="528" t="s">
        <v>1188</v>
      </c>
      <c r="D2681" s="528" t="s">
        <v>264</v>
      </c>
      <c r="E2681" s="528"/>
      <c r="F2681" s="528"/>
      <c r="G2681" s="528" t="s">
        <v>205</v>
      </c>
      <c r="H2681"/>
    </row>
    <row r="2682" spans="1:8" x14ac:dyDescent="0.35">
      <c r="A2682" s="528" t="s">
        <v>7830</v>
      </c>
      <c r="B2682" s="528" t="s">
        <v>7831</v>
      </c>
      <c r="C2682" s="528" t="s">
        <v>7832</v>
      </c>
      <c r="D2682" s="528" t="s">
        <v>251</v>
      </c>
      <c r="E2682" s="528"/>
      <c r="F2682" s="528"/>
      <c r="G2682" s="528" t="s">
        <v>208</v>
      </c>
      <c r="H2682"/>
    </row>
    <row r="2683" spans="1:8" x14ac:dyDescent="0.35">
      <c r="A2683" s="528" t="s">
        <v>7833</v>
      </c>
      <c r="B2683" s="528" t="s">
        <v>7834</v>
      </c>
      <c r="C2683" s="528" t="s">
        <v>7835</v>
      </c>
      <c r="D2683" s="528" t="s">
        <v>225</v>
      </c>
      <c r="E2683" s="528"/>
      <c r="F2683" s="528"/>
      <c r="G2683" s="528" t="s">
        <v>208</v>
      </c>
      <c r="H2683"/>
    </row>
    <row r="2684" spans="1:8" x14ac:dyDescent="0.35">
      <c r="A2684" s="528" t="s">
        <v>7836</v>
      </c>
      <c r="B2684" s="528" t="s">
        <v>7837</v>
      </c>
      <c r="C2684" s="528" t="s">
        <v>7838</v>
      </c>
      <c r="D2684" s="528" t="s">
        <v>238</v>
      </c>
      <c r="E2684" s="528"/>
      <c r="F2684" s="528"/>
      <c r="G2684" s="528" t="s">
        <v>205</v>
      </c>
      <c r="H2684"/>
    </row>
    <row r="2685" spans="1:8" x14ac:dyDescent="0.35">
      <c r="A2685" s="528" t="s">
        <v>7839</v>
      </c>
      <c r="B2685" s="528" t="s">
        <v>7840</v>
      </c>
      <c r="C2685" s="528" t="s">
        <v>4651</v>
      </c>
      <c r="D2685" s="528" t="s">
        <v>238</v>
      </c>
      <c r="E2685" s="528"/>
      <c r="F2685" s="528"/>
      <c r="G2685" s="528" t="s">
        <v>205</v>
      </c>
      <c r="H2685"/>
    </row>
    <row r="2686" spans="1:8" x14ac:dyDescent="0.35">
      <c r="A2686" s="528" t="s">
        <v>7841</v>
      </c>
      <c r="B2686" s="528" t="s">
        <v>7842</v>
      </c>
      <c r="C2686" s="528" t="s">
        <v>1948</v>
      </c>
      <c r="D2686" s="528" t="s">
        <v>238</v>
      </c>
      <c r="E2686" s="528"/>
      <c r="F2686" s="528"/>
      <c r="G2686" s="528" t="s">
        <v>205</v>
      </c>
      <c r="H2686"/>
    </row>
    <row r="2687" spans="1:8" x14ac:dyDescent="0.35">
      <c r="A2687" s="528" t="s">
        <v>7843</v>
      </c>
      <c r="B2687" s="528" t="s">
        <v>7844</v>
      </c>
      <c r="C2687" s="528" t="s">
        <v>4484</v>
      </c>
      <c r="D2687" s="528" t="s">
        <v>238</v>
      </c>
      <c r="E2687" s="528"/>
      <c r="F2687" s="528"/>
      <c r="G2687" s="528" t="s">
        <v>205</v>
      </c>
      <c r="H2687"/>
    </row>
    <row r="2688" spans="1:8" x14ac:dyDescent="0.35">
      <c r="A2688" s="528" t="s">
        <v>7845</v>
      </c>
      <c r="B2688" s="528" t="s">
        <v>7846</v>
      </c>
      <c r="C2688" s="528" t="s">
        <v>4648</v>
      </c>
      <c r="D2688" s="528" t="s">
        <v>238</v>
      </c>
      <c r="E2688" s="528"/>
      <c r="F2688" s="528"/>
      <c r="G2688" s="528" t="s">
        <v>205</v>
      </c>
      <c r="H2688"/>
    </row>
    <row r="2689" spans="1:8" x14ac:dyDescent="0.35">
      <c r="A2689" s="528" t="s">
        <v>7847</v>
      </c>
      <c r="B2689" s="528" t="s">
        <v>7848</v>
      </c>
      <c r="C2689" s="528" t="s">
        <v>7849</v>
      </c>
      <c r="D2689" s="528" t="s">
        <v>264</v>
      </c>
      <c r="E2689" s="528"/>
      <c r="F2689" s="528"/>
      <c r="G2689" s="528" t="s">
        <v>205</v>
      </c>
      <c r="H2689"/>
    </row>
    <row r="2690" spans="1:8" x14ac:dyDescent="0.35">
      <c r="A2690" s="528" t="s">
        <v>7850</v>
      </c>
      <c r="B2690" s="528" t="s">
        <v>7851</v>
      </c>
      <c r="C2690" s="528" t="s">
        <v>1305</v>
      </c>
      <c r="D2690" s="528" t="s">
        <v>277</v>
      </c>
      <c r="E2690" s="528"/>
      <c r="F2690" s="528"/>
      <c r="G2690" s="528" t="s">
        <v>205</v>
      </c>
      <c r="H2690"/>
    </row>
    <row r="2691" spans="1:8" x14ac:dyDescent="0.35">
      <c r="A2691" s="528" t="s">
        <v>7852</v>
      </c>
      <c r="B2691" s="528" t="s">
        <v>7853</v>
      </c>
      <c r="C2691" s="528" t="s">
        <v>7854</v>
      </c>
      <c r="D2691" s="528" t="s">
        <v>264</v>
      </c>
      <c r="E2691" s="528"/>
      <c r="F2691" s="528"/>
      <c r="G2691" s="528" t="s">
        <v>205</v>
      </c>
      <c r="H2691"/>
    </row>
    <row r="2692" spans="1:8" x14ac:dyDescent="0.35">
      <c r="A2692" s="528" t="s">
        <v>7855</v>
      </c>
      <c r="B2692" s="528" t="s">
        <v>7856</v>
      </c>
      <c r="C2692" s="528" t="s">
        <v>7857</v>
      </c>
      <c r="D2692" s="528" t="s">
        <v>277</v>
      </c>
      <c r="E2692" s="528"/>
      <c r="F2692" s="528"/>
      <c r="G2692" s="528" t="s">
        <v>205</v>
      </c>
      <c r="H2692"/>
    </row>
    <row r="2693" spans="1:8" x14ac:dyDescent="0.35">
      <c r="A2693" s="528" t="s">
        <v>7858</v>
      </c>
      <c r="B2693" s="528" t="s">
        <v>7859</v>
      </c>
      <c r="C2693" s="528" t="s">
        <v>5298</v>
      </c>
      <c r="D2693" s="528" t="s">
        <v>277</v>
      </c>
      <c r="E2693" s="528"/>
      <c r="F2693" s="528"/>
      <c r="G2693" s="528" t="s">
        <v>205</v>
      </c>
      <c r="H2693"/>
    </row>
    <row r="2694" spans="1:8" x14ac:dyDescent="0.35">
      <c r="A2694" s="528" t="s">
        <v>7860</v>
      </c>
      <c r="B2694" s="528" t="s">
        <v>7861</v>
      </c>
      <c r="C2694" s="528" t="s">
        <v>7862</v>
      </c>
      <c r="D2694" s="528" t="s">
        <v>264</v>
      </c>
      <c r="E2694" s="528"/>
      <c r="F2694" s="528"/>
      <c r="G2694" s="528" t="s">
        <v>205</v>
      </c>
      <c r="H2694"/>
    </row>
    <row r="2695" spans="1:8" x14ac:dyDescent="0.35">
      <c r="A2695" s="528" t="s">
        <v>7863</v>
      </c>
      <c r="B2695" s="528" t="s">
        <v>7864</v>
      </c>
      <c r="C2695" s="528" t="s">
        <v>1483</v>
      </c>
      <c r="D2695" s="528" t="s">
        <v>251</v>
      </c>
      <c r="E2695" s="528"/>
      <c r="F2695" s="528"/>
      <c r="G2695" s="528" t="s">
        <v>205</v>
      </c>
      <c r="H2695"/>
    </row>
    <row r="2696" spans="1:8" x14ac:dyDescent="0.35">
      <c r="A2696" s="528" t="s">
        <v>7865</v>
      </c>
      <c r="B2696" s="528" t="s">
        <v>7866</v>
      </c>
      <c r="C2696" s="528" t="s">
        <v>7867</v>
      </c>
      <c r="D2696" s="528" t="s">
        <v>277</v>
      </c>
      <c r="E2696" s="528"/>
      <c r="F2696" s="528"/>
      <c r="G2696" s="528" t="s">
        <v>205</v>
      </c>
      <c r="H2696"/>
    </row>
    <row r="2697" spans="1:8" x14ac:dyDescent="0.35">
      <c r="A2697" s="528" t="s">
        <v>7868</v>
      </c>
      <c r="B2697" s="528" t="s">
        <v>7869</v>
      </c>
      <c r="C2697" s="528" t="s">
        <v>7870</v>
      </c>
      <c r="D2697" s="528" t="s">
        <v>277</v>
      </c>
      <c r="E2697" s="528"/>
      <c r="F2697" s="528"/>
      <c r="G2697" s="528" t="s">
        <v>205</v>
      </c>
      <c r="H2697"/>
    </row>
    <row r="2698" spans="1:8" x14ac:dyDescent="0.35">
      <c r="A2698" s="528" t="s">
        <v>7871</v>
      </c>
      <c r="B2698" s="528" t="s">
        <v>7872</v>
      </c>
      <c r="C2698" s="528" t="s">
        <v>7873</v>
      </c>
      <c r="D2698" s="528" t="s">
        <v>277</v>
      </c>
      <c r="E2698" s="528"/>
      <c r="F2698" s="528"/>
      <c r="G2698" s="528" t="s">
        <v>205</v>
      </c>
      <c r="H2698"/>
    </row>
    <row r="2699" spans="1:8" x14ac:dyDescent="0.35">
      <c r="A2699" s="528" t="s">
        <v>7874</v>
      </c>
      <c r="B2699" s="528" t="s">
        <v>7875</v>
      </c>
      <c r="C2699" s="528" t="s">
        <v>1962</v>
      </c>
      <c r="D2699" s="528" t="s">
        <v>264</v>
      </c>
      <c r="E2699" s="528"/>
      <c r="F2699" s="528"/>
      <c r="G2699" s="528" t="s">
        <v>205</v>
      </c>
      <c r="H2699"/>
    </row>
    <row r="2700" spans="1:8" x14ac:dyDescent="0.35">
      <c r="A2700" s="528" t="s">
        <v>7876</v>
      </c>
      <c r="B2700" s="528" t="s">
        <v>7877</v>
      </c>
      <c r="C2700" s="528" t="s">
        <v>1291</v>
      </c>
      <c r="D2700" s="528" t="s">
        <v>264</v>
      </c>
      <c r="E2700" s="528"/>
      <c r="F2700" s="528"/>
      <c r="G2700" s="528" t="s">
        <v>205</v>
      </c>
      <c r="H2700"/>
    </row>
    <row r="2701" spans="1:8" x14ac:dyDescent="0.35">
      <c r="A2701" s="528" t="s">
        <v>7878</v>
      </c>
      <c r="B2701" s="528" t="s">
        <v>7879</v>
      </c>
      <c r="C2701" s="528" t="s">
        <v>3158</v>
      </c>
      <c r="D2701" s="528" t="s">
        <v>277</v>
      </c>
      <c r="E2701" s="528"/>
      <c r="F2701" s="528"/>
      <c r="G2701" s="528" t="s">
        <v>205</v>
      </c>
      <c r="H2701"/>
    </row>
    <row r="2702" spans="1:8" x14ac:dyDescent="0.35">
      <c r="A2702" s="528" t="s">
        <v>7880</v>
      </c>
      <c r="B2702" s="528" t="s">
        <v>7881</v>
      </c>
      <c r="C2702" s="528" t="s">
        <v>1825</v>
      </c>
      <c r="D2702" s="528" t="s">
        <v>264</v>
      </c>
      <c r="E2702" s="528"/>
      <c r="F2702" s="528"/>
      <c r="G2702" s="528" t="s">
        <v>205</v>
      </c>
      <c r="H2702"/>
    </row>
    <row r="2703" spans="1:8" x14ac:dyDescent="0.35">
      <c r="A2703" s="528" t="s">
        <v>7882</v>
      </c>
      <c r="B2703" s="528" t="s">
        <v>7883</v>
      </c>
      <c r="C2703" s="528" t="s">
        <v>1350</v>
      </c>
      <c r="D2703" s="528" t="s">
        <v>277</v>
      </c>
      <c r="E2703" s="528"/>
      <c r="F2703" s="528"/>
      <c r="G2703" s="528" t="s">
        <v>205</v>
      </c>
      <c r="H2703"/>
    </row>
    <row r="2704" spans="1:8" x14ac:dyDescent="0.35">
      <c r="A2704" s="528" t="s">
        <v>7884</v>
      </c>
      <c r="B2704" s="528" t="s">
        <v>7885</v>
      </c>
      <c r="C2704" s="528" t="s">
        <v>7886</v>
      </c>
      <c r="D2704" s="528" t="s">
        <v>277</v>
      </c>
      <c r="E2704" s="528"/>
      <c r="F2704" s="528"/>
      <c r="G2704" s="528" t="s">
        <v>205</v>
      </c>
      <c r="H2704"/>
    </row>
    <row r="2705" spans="1:8" x14ac:dyDescent="0.35">
      <c r="A2705" s="528" t="s">
        <v>7887</v>
      </c>
      <c r="B2705" s="528" t="s">
        <v>7888</v>
      </c>
      <c r="C2705" s="528" t="s">
        <v>7889</v>
      </c>
      <c r="D2705" s="528" t="s">
        <v>264</v>
      </c>
      <c r="E2705" s="528"/>
      <c r="F2705" s="528"/>
      <c r="G2705" s="528" t="s">
        <v>205</v>
      </c>
      <c r="H2705"/>
    </row>
    <row r="2706" spans="1:8" x14ac:dyDescent="0.35">
      <c r="A2706" s="528" t="s">
        <v>7890</v>
      </c>
      <c r="B2706" s="528" t="s">
        <v>7891</v>
      </c>
      <c r="C2706" s="528" t="s">
        <v>7892</v>
      </c>
      <c r="D2706" s="528" t="s">
        <v>238</v>
      </c>
      <c r="E2706" s="528"/>
      <c r="F2706" s="528"/>
      <c r="G2706" s="528" t="s">
        <v>205</v>
      </c>
      <c r="H2706"/>
    </row>
    <row r="2707" spans="1:8" x14ac:dyDescent="0.35">
      <c r="A2707" s="528" t="s">
        <v>7893</v>
      </c>
      <c r="B2707" s="528" t="s">
        <v>7894</v>
      </c>
      <c r="C2707" s="528" t="s">
        <v>7895</v>
      </c>
      <c r="D2707" s="528" t="s">
        <v>238</v>
      </c>
      <c r="E2707" s="528"/>
      <c r="F2707" s="528"/>
      <c r="G2707" s="528" t="s">
        <v>205</v>
      </c>
      <c r="H2707"/>
    </row>
    <row r="2708" spans="1:8" x14ac:dyDescent="0.35">
      <c r="A2708" s="528" t="s">
        <v>7896</v>
      </c>
      <c r="B2708" s="528" t="s">
        <v>7897</v>
      </c>
      <c r="C2708" s="528" t="s">
        <v>5306</v>
      </c>
      <c r="D2708" s="528" t="s">
        <v>264</v>
      </c>
      <c r="E2708" s="528"/>
      <c r="F2708" s="528"/>
      <c r="G2708" s="528" t="s">
        <v>205</v>
      </c>
      <c r="H2708"/>
    </row>
    <row r="2709" spans="1:8" x14ac:dyDescent="0.35">
      <c r="A2709" s="528" t="s">
        <v>7898</v>
      </c>
      <c r="B2709" s="528" t="s">
        <v>7899</v>
      </c>
      <c r="C2709" s="528" t="s">
        <v>7900</v>
      </c>
      <c r="D2709" s="528" t="s">
        <v>264</v>
      </c>
      <c r="E2709" s="528"/>
      <c r="F2709" s="528"/>
      <c r="G2709" s="528" t="s">
        <v>205</v>
      </c>
      <c r="H2709"/>
    </row>
    <row r="2710" spans="1:8" x14ac:dyDescent="0.35">
      <c r="A2710" s="528" t="s">
        <v>7901</v>
      </c>
      <c r="B2710" s="528" t="s">
        <v>7902</v>
      </c>
      <c r="C2710" s="528" t="s">
        <v>7903</v>
      </c>
      <c r="D2710" s="528" t="s">
        <v>251</v>
      </c>
      <c r="E2710" s="528"/>
      <c r="F2710" s="528"/>
      <c r="G2710" s="528" t="s">
        <v>208</v>
      </c>
      <c r="H2710"/>
    </row>
    <row r="2711" spans="1:8" x14ac:dyDescent="0.35">
      <c r="A2711" s="528" t="s">
        <v>7904</v>
      </c>
      <c r="B2711" s="528" t="s">
        <v>7905</v>
      </c>
      <c r="C2711" s="528" t="s">
        <v>7906</v>
      </c>
      <c r="D2711" s="528" t="s">
        <v>251</v>
      </c>
      <c r="E2711" s="528"/>
      <c r="F2711" s="528"/>
      <c r="G2711" s="528" t="s">
        <v>208</v>
      </c>
      <c r="H2711"/>
    </row>
    <row r="2712" spans="1:8" x14ac:dyDescent="0.35">
      <c r="A2712" s="528" t="s">
        <v>7907</v>
      </c>
      <c r="B2712" s="528" t="s">
        <v>7908</v>
      </c>
      <c r="C2712" s="528" t="s">
        <v>7909</v>
      </c>
      <c r="D2712" s="528" t="s">
        <v>251</v>
      </c>
      <c r="E2712" s="528"/>
      <c r="F2712" s="528"/>
      <c r="G2712" s="528" t="s">
        <v>208</v>
      </c>
      <c r="H2712"/>
    </row>
    <row r="2713" spans="1:8" x14ac:dyDescent="0.35">
      <c r="A2713" s="528" t="s">
        <v>7910</v>
      </c>
      <c r="B2713" s="528" t="s">
        <v>7911</v>
      </c>
      <c r="C2713" s="528" t="s">
        <v>7912</v>
      </c>
      <c r="D2713" s="528" t="s">
        <v>251</v>
      </c>
      <c r="E2713" s="528"/>
      <c r="F2713" s="528"/>
      <c r="G2713" s="528" t="s">
        <v>208</v>
      </c>
      <c r="H2713"/>
    </row>
    <row r="2714" spans="1:8" x14ac:dyDescent="0.35">
      <c r="A2714" s="528" t="s">
        <v>7913</v>
      </c>
      <c r="B2714" s="528" t="s">
        <v>7914</v>
      </c>
      <c r="C2714" s="528" t="s">
        <v>7915</v>
      </c>
      <c r="D2714" s="528" t="s">
        <v>251</v>
      </c>
      <c r="E2714" s="528"/>
      <c r="F2714" s="528"/>
      <c r="G2714" s="528" t="s">
        <v>208</v>
      </c>
      <c r="H2714"/>
    </row>
    <row r="2715" spans="1:8" x14ac:dyDescent="0.35">
      <c r="A2715" s="528" t="s">
        <v>7916</v>
      </c>
      <c r="B2715" s="528" t="s">
        <v>7917</v>
      </c>
      <c r="C2715" s="528" t="s">
        <v>1377</v>
      </c>
      <c r="D2715" s="528" t="s">
        <v>251</v>
      </c>
      <c r="E2715" s="528"/>
      <c r="F2715" s="528"/>
      <c r="G2715" s="528" t="s">
        <v>208</v>
      </c>
      <c r="H2715"/>
    </row>
    <row r="2716" spans="1:8" x14ac:dyDescent="0.35">
      <c r="A2716" s="528" t="s">
        <v>7918</v>
      </c>
      <c r="B2716" s="528" t="s">
        <v>7919</v>
      </c>
      <c r="C2716" s="528" t="s">
        <v>7920</v>
      </c>
      <c r="D2716" s="528" t="s">
        <v>251</v>
      </c>
      <c r="E2716" s="528"/>
      <c r="F2716" s="528"/>
      <c r="G2716" s="528" t="s">
        <v>208</v>
      </c>
      <c r="H2716"/>
    </row>
    <row r="2717" spans="1:8" x14ac:dyDescent="0.35">
      <c r="A2717" s="528" t="s">
        <v>7921</v>
      </c>
      <c r="B2717" s="528" t="s">
        <v>7922</v>
      </c>
      <c r="C2717" s="528" t="s">
        <v>7923</v>
      </c>
      <c r="D2717" s="528" t="s">
        <v>251</v>
      </c>
      <c r="E2717" s="528"/>
      <c r="F2717" s="528"/>
      <c r="G2717" s="528" t="s">
        <v>208</v>
      </c>
      <c r="H2717"/>
    </row>
    <row r="2718" spans="1:8" x14ac:dyDescent="0.35">
      <c r="A2718" s="528" t="s">
        <v>7924</v>
      </c>
      <c r="B2718" s="528" t="s">
        <v>7925</v>
      </c>
      <c r="C2718" s="528" t="s">
        <v>1020</v>
      </c>
      <c r="D2718" s="528" t="s">
        <v>251</v>
      </c>
      <c r="E2718" s="528"/>
      <c r="F2718" s="528"/>
      <c r="G2718" s="528" t="s">
        <v>208</v>
      </c>
      <c r="H2718"/>
    </row>
    <row r="2719" spans="1:8" x14ac:dyDescent="0.35">
      <c r="A2719" s="528" t="s">
        <v>7926</v>
      </c>
      <c r="B2719" s="528" t="s">
        <v>7927</v>
      </c>
      <c r="C2719" s="528" t="s">
        <v>1934</v>
      </c>
      <c r="D2719" s="528" t="s">
        <v>251</v>
      </c>
      <c r="E2719" s="528"/>
      <c r="F2719" s="528"/>
      <c r="G2719" s="528" t="s">
        <v>205</v>
      </c>
      <c r="H2719"/>
    </row>
    <row r="2720" spans="1:8" x14ac:dyDescent="0.35">
      <c r="A2720" s="528" t="s">
        <v>7928</v>
      </c>
      <c r="B2720" s="528" t="s">
        <v>7929</v>
      </c>
      <c r="C2720" s="528" t="s">
        <v>7930</v>
      </c>
      <c r="D2720" s="528" t="s">
        <v>251</v>
      </c>
      <c r="E2720" s="528"/>
      <c r="F2720" s="528"/>
      <c r="G2720" s="528" t="s">
        <v>205</v>
      </c>
      <c r="H2720"/>
    </row>
    <row r="2721" spans="1:8" x14ac:dyDescent="0.35">
      <c r="A2721" s="528" t="s">
        <v>7931</v>
      </c>
      <c r="B2721" s="528" t="s">
        <v>7932</v>
      </c>
      <c r="C2721" s="528" t="s">
        <v>7933</v>
      </c>
      <c r="D2721" s="528" t="s">
        <v>277</v>
      </c>
      <c r="E2721" s="528"/>
      <c r="F2721" s="528"/>
      <c r="G2721" s="528" t="s">
        <v>208</v>
      </c>
      <c r="H2721"/>
    </row>
    <row r="2722" spans="1:8" x14ac:dyDescent="0.35">
      <c r="A2722" s="528" t="s">
        <v>7934</v>
      </c>
      <c r="B2722" s="528" t="s">
        <v>7935</v>
      </c>
      <c r="C2722" s="528" t="s">
        <v>7936</v>
      </c>
      <c r="D2722" s="528" t="s">
        <v>277</v>
      </c>
      <c r="E2722" s="528"/>
      <c r="F2722" s="528"/>
      <c r="G2722" s="528" t="s">
        <v>205</v>
      </c>
      <c r="H2722"/>
    </row>
    <row r="2723" spans="1:8" x14ac:dyDescent="0.35">
      <c r="A2723" s="528" t="s">
        <v>7937</v>
      </c>
      <c r="B2723" s="528" t="s">
        <v>7938</v>
      </c>
      <c r="C2723" s="528" t="s">
        <v>7939</v>
      </c>
      <c r="D2723" s="528" t="s">
        <v>264</v>
      </c>
      <c r="E2723" s="528"/>
      <c r="F2723" s="528"/>
      <c r="G2723" s="528" t="s">
        <v>208</v>
      </c>
      <c r="H2723"/>
    </row>
    <row r="2724" spans="1:8" x14ac:dyDescent="0.35">
      <c r="A2724" s="528" t="s">
        <v>7940</v>
      </c>
      <c r="B2724" s="528" t="s">
        <v>7941</v>
      </c>
      <c r="C2724" s="528" t="s">
        <v>7942</v>
      </c>
      <c r="D2724" s="528" t="s">
        <v>264</v>
      </c>
      <c r="E2724" s="528"/>
      <c r="F2724" s="528"/>
      <c r="G2724" s="528" t="s">
        <v>205</v>
      </c>
      <c r="H2724"/>
    </row>
    <row r="2725" spans="1:8" x14ac:dyDescent="0.35">
      <c r="A2725" s="528" t="s">
        <v>7943</v>
      </c>
      <c r="B2725" s="528" t="s">
        <v>7944</v>
      </c>
      <c r="C2725" s="528" t="s">
        <v>7945</v>
      </c>
      <c r="D2725" s="528" t="s">
        <v>264</v>
      </c>
      <c r="E2725" s="528"/>
      <c r="F2725" s="528"/>
      <c r="G2725" s="528" t="s">
        <v>208</v>
      </c>
      <c r="H2725"/>
    </row>
    <row r="2726" spans="1:8" x14ac:dyDescent="0.35">
      <c r="A2726" s="528" t="s">
        <v>7946</v>
      </c>
      <c r="B2726" s="528" t="s">
        <v>7947</v>
      </c>
      <c r="C2726" s="528" t="s">
        <v>7948</v>
      </c>
      <c r="D2726" s="528" t="s">
        <v>264</v>
      </c>
      <c r="E2726" s="528"/>
      <c r="F2726" s="528"/>
      <c r="G2726" s="528" t="s">
        <v>205</v>
      </c>
      <c r="H2726"/>
    </row>
    <row r="2727" spans="1:8" x14ac:dyDescent="0.35">
      <c r="A2727" s="528" t="s">
        <v>7949</v>
      </c>
      <c r="B2727" s="528" t="s">
        <v>7950</v>
      </c>
      <c r="C2727" s="528" t="s">
        <v>7951</v>
      </c>
      <c r="D2727" s="528" t="s">
        <v>238</v>
      </c>
      <c r="E2727" s="528"/>
      <c r="F2727" s="528"/>
      <c r="G2727" s="528" t="s">
        <v>205</v>
      </c>
      <c r="H2727"/>
    </row>
    <row r="2728" spans="1:8" x14ac:dyDescent="0.35">
      <c r="A2728" s="528" t="s">
        <v>7952</v>
      </c>
      <c r="B2728" s="528" t="s">
        <v>7953</v>
      </c>
      <c r="C2728" s="528" t="s">
        <v>1131</v>
      </c>
      <c r="D2728" s="528" t="s">
        <v>277</v>
      </c>
      <c r="E2728" s="528"/>
      <c r="F2728" s="528"/>
      <c r="G2728" s="528" t="s">
        <v>205</v>
      </c>
      <c r="H2728"/>
    </row>
    <row r="2729" spans="1:8" x14ac:dyDescent="0.35">
      <c r="A2729" s="528" t="s">
        <v>7954</v>
      </c>
      <c r="B2729" s="528" t="s">
        <v>7955</v>
      </c>
      <c r="C2729" s="528" t="s">
        <v>7956</v>
      </c>
      <c r="D2729" s="528" t="s">
        <v>277</v>
      </c>
      <c r="E2729" s="528"/>
      <c r="F2729" s="528"/>
      <c r="G2729" s="528" t="s">
        <v>205</v>
      </c>
      <c r="H2729"/>
    </row>
    <row r="2730" spans="1:8" x14ac:dyDescent="0.35">
      <c r="A2730" s="528" t="s">
        <v>7957</v>
      </c>
      <c r="B2730" s="528" t="s">
        <v>7958</v>
      </c>
      <c r="C2730" s="528" t="s">
        <v>7959</v>
      </c>
      <c r="D2730" s="528" t="s">
        <v>238</v>
      </c>
      <c r="E2730" s="528"/>
      <c r="F2730" s="528"/>
      <c r="G2730" s="528" t="s">
        <v>208</v>
      </c>
      <c r="H2730"/>
    </row>
    <row r="2731" spans="1:8" x14ac:dyDescent="0.35">
      <c r="A2731" s="528" t="s">
        <v>7960</v>
      </c>
      <c r="B2731" s="528" t="s">
        <v>7961</v>
      </c>
      <c r="C2731" s="528" t="s">
        <v>7962</v>
      </c>
      <c r="D2731" s="528" t="s">
        <v>238</v>
      </c>
      <c r="E2731" s="528"/>
      <c r="F2731" s="528"/>
      <c r="G2731" s="528" t="s">
        <v>205</v>
      </c>
      <c r="H2731"/>
    </row>
    <row r="2732" spans="1:8" x14ac:dyDescent="0.35">
      <c r="A2732" s="528" t="s">
        <v>7963</v>
      </c>
      <c r="B2732" s="528" t="s">
        <v>7964</v>
      </c>
      <c r="C2732" s="528" t="s">
        <v>7965</v>
      </c>
      <c r="D2732" s="528" t="s">
        <v>238</v>
      </c>
      <c r="E2732" s="528"/>
      <c r="F2732" s="528"/>
      <c r="G2732" s="528" t="s">
        <v>208</v>
      </c>
      <c r="H2732"/>
    </row>
    <row r="2733" spans="1:8" x14ac:dyDescent="0.35">
      <c r="A2733" s="528" t="s">
        <v>7966</v>
      </c>
      <c r="B2733" s="528" t="s">
        <v>7967</v>
      </c>
      <c r="C2733" s="528" t="s">
        <v>7968</v>
      </c>
      <c r="D2733" s="528" t="s">
        <v>238</v>
      </c>
      <c r="E2733" s="528"/>
      <c r="F2733" s="528"/>
      <c r="G2733" s="528" t="s">
        <v>205</v>
      </c>
      <c r="H2733"/>
    </row>
    <row r="2734" spans="1:8" x14ac:dyDescent="0.35">
      <c r="A2734" s="528" t="s">
        <v>7969</v>
      </c>
      <c r="B2734" s="528" t="s">
        <v>7970</v>
      </c>
      <c r="C2734" s="528" t="s">
        <v>7971</v>
      </c>
      <c r="D2734" s="528" t="s">
        <v>264</v>
      </c>
      <c r="E2734" s="528"/>
      <c r="F2734" s="528"/>
      <c r="G2734" s="528" t="s">
        <v>205</v>
      </c>
      <c r="H2734"/>
    </row>
    <row r="2735" spans="1:8" x14ac:dyDescent="0.35">
      <c r="A2735" s="528" t="s">
        <v>7972</v>
      </c>
      <c r="B2735" s="528" t="s">
        <v>7973</v>
      </c>
      <c r="C2735" s="528" t="s">
        <v>3283</v>
      </c>
      <c r="D2735" s="528" t="s">
        <v>264</v>
      </c>
      <c r="E2735" s="528"/>
      <c r="F2735" s="528"/>
      <c r="G2735" s="528" t="s">
        <v>205</v>
      </c>
      <c r="H2735"/>
    </row>
    <row r="2736" spans="1:8" x14ac:dyDescent="0.35">
      <c r="A2736" s="528" t="s">
        <v>7974</v>
      </c>
      <c r="B2736" s="528" t="s">
        <v>7975</v>
      </c>
      <c r="C2736" s="528" t="s">
        <v>7976</v>
      </c>
      <c r="D2736" s="528" t="s">
        <v>264</v>
      </c>
      <c r="E2736" s="528"/>
      <c r="F2736" s="528"/>
      <c r="G2736" s="528" t="s">
        <v>208</v>
      </c>
      <c r="H2736"/>
    </row>
    <row r="2737" spans="1:8" x14ac:dyDescent="0.35">
      <c r="A2737" s="528" t="s">
        <v>7977</v>
      </c>
      <c r="B2737" s="528" t="s">
        <v>7978</v>
      </c>
      <c r="C2737" s="528" t="s">
        <v>7979</v>
      </c>
      <c r="D2737" s="528" t="s">
        <v>264</v>
      </c>
      <c r="E2737" s="528"/>
      <c r="F2737" s="528"/>
      <c r="G2737" s="528" t="s">
        <v>208</v>
      </c>
      <c r="H2737"/>
    </row>
    <row r="2738" spans="1:8" x14ac:dyDescent="0.35">
      <c r="A2738" s="528" t="s">
        <v>7980</v>
      </c>
      <c r="B2738" s="528" t="s">
        <v>7981</v>
      </c>
      <c r="C2738" s="528" t="s">
        <v>7982</v>
      </c>
      <c r="D2738" s="528" t="s">
        <v>277</v>
      </c>
      <c r="E2738" s="528"/>
      <c r="F2738" s="528"/>
      <c r="G2738" s="528" t="s">
        <v>208</v>
      </c>
      <c r="H2738"/>
    </row>
    <row r="2739" spans="1:8" x14ac:dyDescent="0.35">
      <c r="A2739" s="528" t="s">
        <v>7983</v>
      </c>
      <c r="B2739" s="528" t="s">
        <v>7984</v>
      </c>
      <c r="C2739" s="528" t="s">
        <v>1504</v>
      </c>
      <c r="D2739" s="528" t="s">
        <v>277</v>
      </c>
      <c r="E2739" s="528"/>
      <c r="F2739" s="528"/>
      <c r="G2739" s="528" t="s">
        <v>205</v>
      </c>
      <c r="H2739"/>
    </row>
    <row r="2740" spans="1:8" x14ac:dyDescent="0.35">
      <c r="A2740" s="528" t="s">
        <v>7985</v>
      </c>
      <c r="B2740" s="528" t="s">
        <v>7986</v>
      </c>
      <c r="C2740" s="528" t="s">
        <v>7987</v>
      </c>
      <c r="D2740" s="528" t="s">
        <v>277</v>
      </c>
      <c r="E2740" s="528"/>
      <c r="F2740" s="528"/>
      <c r="G2740" s="528" t="s">
        <v>214</v>
      </c>
      <c r="H2740"/>
    </row>
    <row r="2741" spans="1:8" x14ac:dyDescent="0.35">
      <c r="A2741" s="528" t="s">
        <v>7988</v>
      </c>
      <c r="B2741" s="528" t="s">
        <v>7989</v>
      </c>
      <c r="C2741" s="528" t="s">
        <v>7990</v>
      </c>
      <c r="D2741" s="528" t="s">
        <v>277</v>
      </c>
      <c r="E2741" s="528"/>
      <c r="F2741" s="528"/>
      <c r="G2741" s="528" t="s">
        <v>214</v>
      </c>
      <c r="H2741"/>
    </row>
    <row r="2742" spans="1:8" x14ac:dyDescent="0.35">
      <c r="A2742" s="528" t="s">
        <v>7991</v>
      </c>
      <c r="B2742" s="528" t="s">
        <v>7992</v>
      </c>
      <c r="C2742" s="528" t="s">
        <v>7993</v>
      </c>
      <c r="D2742" s="528" t="s">
        <v>264</v>
      </c>
      <c r="E2742" s="528"/>
      <c r="F2742" s="528"/>
      <c r="G2742" s="528" t="s">
        <v>210</v>
      </c>
      <c r="H2742"/>
    </row>
    <row r="2743" spans="1:8" x14ac:dyDescent="0.35">
      <c r="A2743" s="528" t="s">
        <v>7994</v>
      </c>
      <c r="B2743" s="528" t="s">
        <v>7995</v>
      </c>
      <c r="C2743" s="528" t="s">
        <v>7996</v>
      </c>
      <c r="D2743" s="528" t="s">
        <v>251</v>
      </c>
      <c r="E2743" s="528"/>
      <c r="F2743" s="528"/>
      <c r="G2743" s="528" t="s">
        <v>208</v>
      </c>
      <c r="H2743"/>
    </row>
    <row r="2744" spans="1:8" x14ac:dyDescent="0.35">
      <c r="A2744" s="528" t="s">
        <v>7997</v>
      </c>
      <c r="B2744" s="528" t="s">
        <v>7998</v>
      </c>
      <c r="C2744" s="528" t="s">
        <v>7999</v>
      </c>
      <c r="D2744" s="528" t="s">
        <v>251</v>
      </c>
      <c r="E2744" s="528"/>
      <c r="F2744" s="528"/>
      <c r="G2744" s="528" t="s">
        <v>205</v>
      </c>
      <c r="H2744"/>
    </row>
    <row r="2745" spans="1:8" x14ac:dyDescent="0.35">
      <c r="A2745" s="528" t="s">
        <v>8000</v>
      </c>
      <c r="B2745" s="528" t="s">
        <v>8001</v>
      </c>
      <c r="C2745" s="528" t="s">
        <v>8002</v>
      </c>
      <c r="D2745" s="528" t="s">
        <v>251</v>
      </c>
      <c r="E2745" s="528"/>
      <c r="F2745" s="528"/>
      <c r="G2745" s="528" t="s">
        <v>208</v>
      </c>
      <c r="H2745"/>
    </row>
    <row r="2746" spans="1:8" x14ac:dyDescent="0.35">
      <c r="A2746" s="528" t="s">
        <v>8003</v>
      </c>
      <c r="B2746" s="528" t="s">
        <v>8004</v>
      </c>
      <c r="C2746" s="528" t="s">
        <v>5262</v>
      </c>
      <c r="D2746" s="528" t="s">
        <v>251</v>
      </c>
      <c r="E2746" s="528"/>
      <c r="F2746" s="528"/>
      <c r="G2746" s="528" t="s">
        <v>205</v>
      </c>
      <c r="H2746"/>
    </row>
    <row r="2747" spans="1:8" x14ac:dyDescent="0.35">
      <c r="A2747" s="528" t="s">
        <v>8005</v>
      </c>
      <c r="B2747" s="528" t="s">
        <v>8006</v>
      </c>
      <c r="C2747" s="528" t="s">
        <v>8007</v>
      </c>
      <c r="D2747" s="528" t="s">
        <v>251</v>
      </c>
      <c r="E2747" s="528"/>
      <c r="F2747" s="528"/>
      <c r="G2747" s="528" t="s">
        <v>208</v>
      </c>
      <c r="H2747"/>
    </row>
    <row r="2748" spans="1:8" x14ac:dyDescent="0.35">
      <c r="A2748" s="528" t="s">
        <v>8008</v>
      </c>
      <c r="B2748" s="528" t="s">
        <v>8009</v>
      </c>
      <c r="C2748" s="528" t="s">
        <v>1839</v>
      </c>
      <c r="D2748" s="528" t="s">
        <v>251</v>
      </c>
      <c r="E2748" s="528"/>
      <c r="F2748" s="528"/>
      <c r="G2748" s="528" t="s">
        <v>205</v>
      </c>
      <c r="H2748"/>
    </row>
    <row r="2749" spans="1:8" x14ac:dyDescent="0.35">
      <c r="A2749" s="528" t="s">
        <v>8010</v>
      </c>
      <c r="B2749" s="528" t="s">
        <v>8011</v>
      </c>
      <c r="C2749" s="528" t="s">
        <v>8012</v>
      </c>
      <c r="D2749" s="528" t="s">
        <v>251</v>
      </c>
      <c r="E2749" s="528"/>
      <c r="F2749" s="528"/>
      <c r="G2749" s="528" t="s">
        <v>208</v>
      </c>
      <c r="H2749"/>
    </row>
    <row r="2750" spans="1:8" x14ac:dyDescent="0.35">
      <c r="A2750" s="528" t="s">
        <v>8013</v>
      </c>
      <c r="B2750" s="528" t="s">
        <v>8014</v>
      </c>
      <c r="C2750" s="528" t="s">
        <v>2307</v>
      </c>
      <c r="D2750" s="528" t="s">
        <v>251</v>
      </c>
      <c r="E2750" s="528"/>
      <c r="F2750" s="528"/>
      <c r="G2750" s="528" t="s">
        <v>205</v>
      </c>
      <c r="H2750"/>
    </row>
    <row r="2751" spans="1:8" x14ac:dyDescent="0.35">
      <c r="A2751" s="528" t="s">
        <v>8015</v>
      </c>
      <c r="B2751" s="528" t="s">
        <v>8016</v>
      </c>
      <c r="C2751" s="528" t="s">
        <v>8017</v>
      </c>
      <c r="D2751" s="528" t="s">
        <v>251</v>
      </c>
      <c r="E2751" s="528"/>
      <c r="F2751" s="528"/>
      <c r="G2751" s="528" t="s">
        <v>208</v>
      </c>
      <c r="H2751"/>
    </row>
    <row r="2752" spans="1:8" x14ac:dyDescent="0.35">
      <c r="A2752" s="528" t="s">
        <v>8018</v>
      </c>
      <c r="B2752" s="528" t="s">
        <v>8019</v>
      </c>
      <c r="C2752" s="528" t="s">
        <v>8020</v>
      </c>
      <c r="D2752" s="528" t="s">
        <v>251</v>
      </c>
      <c r="E2752" s="528"/>
      <c r="F2752" s="528"/>
      <c r="G2752" s="528" t="s">
        <v>208</v>
      </c>
      <c r="H2752"/>
    </row>
    <row r="2753" spans="1:8" x14ac:dyDescent="0.35">
      <c r="A2753" s="528" t="s">
        <v>8021</v>
      </c>
      <c r="B2753" s="528" t="s">
        <v>8022</v>
      </c>
      <c r="C2753" s="528" t="s">
        <v>8023</v>
      </c>
      <c r="D2753" s="528" t="s">
        <v>251</v>
      </c>
      <c r="E2753" s="528"/>
      <c r="F2753" s="528"/>
      <c r="G2753" s="528" t="s">
        <v>205</v>
      </c>
      <c r="H2753"/>
    </row>
    <row r="2754" spans="1:8" x14ac:dyDescent="0.35">
      <c r="A2754" s="528" t="s">
        <v>8024</v>
      </c>
      <c r="B2754" s="528" t="s">
        <v>8025</v>
      </c>
      <c r="C2754" s="528" t="s">
        <v>8026</v>
      </c>
      <c r="D2754" s="528" t="s">
        <v>251</v>
      </c>
      <c r="E2754" s="528"/>
      <c r="F2754" s="528"/>
      <c r="G2754" s="528" t="s">
        <v>205</v>
      </c>
      <c r="H2754"/>
    </row>
    <row r="2755" spans="1:8" x14ac:dyDescent="0.35">
      <c r="A2755" s="528" t="s">
        <v>8027</v>
      </c>
      <c r="B2755" s="528" t="s">
        <v>8028</v>
      </c>
      <c r="C2755" s="528" t="s">
        <v>8029</v>
      </c>
      <c r="D2755" s="528" t="s">
        <v>277</v>
      </c>
      <c r="E2755" s="528"/>
      <c r="F2755" s="528"/>
      <c r="G2755" s="528" t="s">
        <v>205</v>
      </c>
      <c r="H2755"/>
    </row>
    <row r="2756" spans="1:8" x14ac:dyDescent="0.35">
      <c r="A2756" s="528" t="s">
        <v>8030</v>
      </c>
      <c r="B2756" s="528" t="s">
        <v>8031</v>
      </c>
      <c r="C2756" s="528" t="s">
        <v>8032</v>
      </c>
      <c r="D2756" s="528" t="s">
        <v>277</v>
      </c>
      <c r="E2756" s="528"/>
      <c r="F2756" s="528"/>
      <c r="G2756" s="528" t="s">
        <v>205</v>
      </c>
      <c r="H2756"/>
    </row>
    <row r="2757" spans="1:8" x14ac:dyDescent="0.35">
      <c r="A2757" s="528" t="s">
        <v>8033</v>
      </c>
      <c r="B2757" s="528" t="s">
        <v>8034</v>
      </c>
      <c r="C2757" s="528" t="s">
        <v>3069</v>
      </c>
      <c r="D2757" s="528" t="s">
        <v>264</v>
      </c>
      <c r="E2757" s="528"/>
      <c r="F2757" s="528"/>
      <c r="G2757" s="528" t="s">
        <v>208</v>
      </c>
      <c r="H2757"/>
    </row>
    <row r="2758" spans="1:8" x14ac:dyDescent="0.35">
      <c r="A2758" s="528" t="s">
        <v>8035</v>
      </c>
      <c r="B2758" s="528" t="s">
        <v>8036</v>
      </c>
      <c r="C2758" s="528" t="s">
        <v>3085</v>
      </c>
      <c r="D2758" s="528" t="s">
        <v>264</v>
      </c>
      <c r="E2758" s="528"/>
      <c r="F2758" s="528"/>
      <c r="G2758" s="528" t="s">
        <v>208</v>
      </c>
      <c r="H2758"/>
    </row>
    <row r="2759" spans="1:8" x14ac:dyDescent="0.35">
      <c r="A2759" s="528" t="s">
        <v>8037</v>
      </c>
      <c r="B2759" s="528" t="s">
        <v>8038</v>
      </c>
      <c r="C2759" s="528" t="s">
        <v>1264</v>
      </c>
      <c r="D2759" s="528" t="s">
        <v>264</v>
      </c>
      <c r="E2759" s="528"/>
      <c r="F2759" s="528"/>
      <c r="G2759" s="528" t="s">
        <v>205</v>
      </c>
      <c r="H2759"/>
    </row>
    <row r="2760" spans="1:8" x14ac:dyDescent="0.35">
      <c r="A2760" s="528" t="s">
        <v>8039</v>
      </c>
      <c r="B2760" s="528" t="s">
        <v>8040</v>
      </c>
      <c r="C2760" s="528" t="s">
        <v>8041</v>
      </c>
      <c r="D2760" s="528" t="s">
        <v>251</v>
      </c>
      <c r="E2760" s="528"/>
      <c r="F2760" s="528"/>
      <c r="G2760" s="528" t="s">
        <v>205</v>
      </c>
      <c r="H2760"/>
    </row>
    <row r="2761" spans="1:8" x14ac:dyDescent="0.35">
      <c r="A2761" s="528" t="s">
        <v>8042</v>
      </c>
      <c r="B2761" s="528" t="s">
        <v>8043</v>
      </c>
      <c r="C2761" s="528" t="s">
        <v>8044</v>
      </c>
      <c r="D2761" s="528" t="s">
        <v>251</v>
      </c>
      <c r="E2761" s="528"/>
      <c r="F2761" s="528"/>
      <c r="G2761" s="528" t="s">
        <v>205</v>
      </c>
      <c r="H2761"/>
    </row>
    <row r="2762" spans="1:8" x14ac:dyDescent="0.35">
      <c r="A2762" s="528" t="s">
        <v>8045</v>
      </c>
      <c r="B2762" s="528" t="s">
        <v>8046</v>
      </c>
      <c r="C2762" s="528" t="s">
        <v>8047</v>
      </c>
      <c r="D2762" s="528" t="s">
        <v>251</v>
      </c>
      <c r="E2762" s="528"/>
      <c r="F2762" s="528"/>
      <c r="G2762" s="528" t="s">
        <v>208</v>
      </c>
      <c r="H2762"/>
    </row>
    <row r="2763" spans="1:8" x14ac:dyDescent="0.35">
      <c r="A2763" s="528" t="s">
        <v>8048</v>
      </c>
      <c r="B2763" s="528" t="s">
        <v>8049</v>
      </c>
      <c r="C2763" s="528" t="s">
        <v>8050</v>
      </c>
      <c r="D2763" s="528" t="s">
        <v>251</v>
      </c>
      <c r="E2763" s="528"/>
      <c r="F2763" s="528"/>
      <c r="G2763" s="528" t="s">
        <v>208</v>
      </c>
      <c r="H2763"/>
    </row>
    <row r="2764" spans="1:8" x14ac:dyDescent="0.35">
      <c r="A2764" s="528" t="s">
        <v>8051</v>
      </c>
      <c r="B2764" s="528" t="s">
        <v>8052</v>
      </c>
      <c r="C2764" s="528" t="s">
        <v>8053</v>
      </c>
      <c r="D2764" s="528" t="s">
        <v>251</v>
      </c>
      <c r="E2764" s="528"/>
      <c r="F2764" s="528"/>
      <c r="G2764" s="528" t="s">
        <v>205</v>
      </c>
      <c r="H2764"/>
    </row>
    <row r="2765" spans="1:8" x14ac:dyDescent="0.35">
      <c r="A2765" s="528" t="s">
        <v>8054</v>
      </c>
      <c r="B2765" s="528" t="s">
        <v>8055</v>
      </c>
      <c r="C2765" s="528" t="s">
        <v>8056</v>
      </c>
      <c r="D2765" s="528" t="s">
        <v>251</v>
      </c>
      <c r="E2765" s="528"/>
      <c r="F2765" s="528"/>
      <c r="G2765" s="528" t="s">
        <v>205</v>
      </c>
      <c r="H2765"/>
    </row>
    <row r="2766" spans="1:8" x14ac:dyDescent="0.35">
      <c r="A2766" s="528" t="s">
        <v>8057</v>
      </c>
      <c r="B2766" s="528" t="s">
        <v>8058</v>
      </c>
      <c r="C2766" s="528" t="s">
        <v>8059</v>
      </c>
      <c r="D2766" s="528" t="s">
        <v>251</v>
      </c>
      <c r="E2766" s="528"/>
      <c r="F2766" s="528"/>
      <c r="G2766" s="528" t="s">
        <v>205</v>
      </c>
      <c r="H2766"/>
    </row>
    <row r="2767" spans="1:8" x14ac:dyDescent="0.35">
      <c r="A2767" s="528" t="s">
        <v>8060</v>
      </c>
      <c r="B2767" s="528" t="s">
        <v>8061</v>
      </c>
      <c r="C2767" s="528" t="s">
        <v>8062</v>
      </c>
      <c r="D2767" s="528" t="s">
        <v>251</v>
      </c>
      <c r="E2767" s="528"/>
      <c r="F2767" s="528"/>
      <c r="G2767" s="528" t="s">
        <v>205</v>
      </c>
      <c r="H2767"/>
    </row>
    <row r="2768" spans="1:8" x14ac:dyDescent="0.35">
      <c r="A2768" s="528" t="s">
        <v>8063</v>
      </c>
      <c r="B2768" s="528" t="s">
        <v>8064</v>
      </c>
      <c r="C2768" s="528" t="s">
        <v>8065</v>
      </c>
      <c r="D2768" s="528" t="s">
        <v>251</v>
      </c>
      <c r="E2768" s="528"/>
      <c r="F2768" s="528"/>
      <c r="G2768" s="528" t="s">
        <v>205</v>
      </c>
      <c r="H2768"/>
    </row>
    <row r="2769" spans="1:8" x14ac:dyDescent="0.35">
      <c r="A2769" s="528" t="s">
        <v>8066</v>
      </c>
      <c r="B2769" s="528" t="s">
        <v>8067</v>
      </c>
      <c r="C2769" s="528" t="s">
        <v>8068</v>
      </c>
      <c r="D2769" s="528" t="s">
        <v>251</v>
      </c>
      <c r="E2769" s="528"/>
      <c r="F2769" s="528"/>
      <c r="G2769" s="528" t="s">
        <v>208</v>
      </c>
      <c r="H2769"/>
    </row>
    <row r="2770" spans="1:8" x14ac:dyDescent="0.35">
      <c r="A2770" s="528" t="s">
        <v>8069</v>
      </c>
      <c r="B2770" s="528" t="s">
        <v>8070</v>
      </c>
      <c r="C2770" s="528" t="s">
        <v>8071</v>
      </c>
      <c r="D2770" s="528" t="s">
        <v>251</v>
      </c>
      <c r="E2770" s="528"/>
      <c r="F2770" s="528"/>
      <c r="G2770" s="528" t="s">
        <v>208</v>
      </c>
      <c r="H2770"/>
    </row>
    <row r="2771" spans="1:8" x14ac:dyDescent="0.35">
      <c r="A2771" s="528" t="s">
        <v>8072</v>
      </c>
      <c r="B2771" s="528" t="s">
        <v>8073</v>
      </c>
      <c r="C2771" s="528" t="s">
        <v>8074</v>
      </c>
      <c r="D2771" s="528" t="s">
        <v>251</v>
      </c>
      <c r="E2771" s="528"/>
      <c r="F2771" s="528"/>
      <c r="G2771" s="528" t="s">
        <v>208</v>
      </c>
      <c r="H2771"/>
    </row>
    <row r="2772" spans="1:8" x14ac:dyDescent="0.35">
      <c r="A2772" s="528" t="s">
        <v>8075</v>
      </c>
      <c r="B2772" s="528" t="s">
        <v>8076</v>
      </c>
      <c r="C2772" s="528" t="s">
        <v>8077</v>
      </c>
      <c r="D2772" s="528" t="s">
        <v>251</v>
      </c>
      <c r="E2772" s="528"/>
      <c r="F2772" s="528"/>
      <c r="G2772" s="528" t="s">
        <v>205</v>
      </c>
      <c r="H2772"/>
    </row>
    <row r="2773" spans="1:8" x14ac:dyDescent="0.35">
      <c r="A2773" s="528" t="s">
        <v>8078</v>
      </c>
      <c r="B2773" s="528" t="s">
        <v>8079</v>
      </c>
      <c r="C2773" s="528" t="s">
        <v>8080</v>
      </c>
      <c r="D2773" s="528" t="s">
        <v>251</v>
      </c>
      <c r="E2773" s="528" t="s">
        <v>264</v>
      </c>
      <c r="F2773" s="528"/>
      <c r="G2773" s="528" t="s">
        <v>205</v>
      </c>
      <c r="H2773"/>
    </row>
    <row r="2774" spans="1:8" x14ac:dyDescent="0.35">
      <c r="A2774" s="528" t="s">
        <v>8081</v>
      </c>
      <c r="B2774" s="528" t="s">
        <v>8082</v>
      </c>
      <c r="C2774" s="528" t="s">
        <v>8083</v>
      </c>
      <c r="D2774" s="528" t="s">
        <v>277</v>
      </c>
      <c r="E2774" s="528"/>
      <c r="F2774" s="528"/>
      <c r="G2774" s="528" t="s">
        <v>205</v>
      </c>
      <c r="H2774"/>
    </row>
    <row r="2775" spans="1:8" x14ac:dyDescent="0.35">
      <c r="A2775" s="528" t="s">
        <v>8084</v>
      </c>
      <c r="B2775" s="528" t="s">
        <v>8085</v>
      </c>
      <c r="C2775" s="528" t="s">
        <v>8086</v>
      </c>
      <c r="D2775" s="528" t="s">
        <v>251</v>
      </c>
      <c r="E2775" s="528"/>
      <c r="F2775" s="528"/>
      <c r="G2775" s="528" t="s">
        <v>205</v>
      </c>
      <c r="H2775"/>
    </row>
    <row r="2776" spans="1:8" x14ac:dyDescent="0.35">
      <c r="A2776" s="528" t="s">
        <v>8087</v>
      </c>
      <c r="B2776" s="528" t="s">
        <v>8088</v>
      </c>
      <c r="C2776" s="528" t="s">
        <v>8089</v>
      </c>
      <c r="D2776" s="528" t="s">
        <v>251</v>
      </c>
      <c r="E2776" s="528"/>
      <c r="F2776" s="528"/>
      <c r="G2776" s="528" t="s">
        <v>205</v>
      </c>
      <c r="H2776"/>
    </row>
    <row r="2777" spans="1:8" x14ac:dyDescent="0.35">
      <c r="A2777" s="528" t="s">
        <v>8090</v>
      </c>
      <c r="B2777" s="528" t="s">
        <v>8091</v>
      </c>
      <c r="C2777" s="528" t="s">
        <v>8092</v>
      </c>
      <c r="D2777" s="528" t="s">
        <v>251</v>
      </c>
      <c r="E2777" s="528"/>
      <c r="F2777" s="528"/>
      <c r="G2777" s="528" t="s">
        <v>205</v>
      </c>
      <c r="H2777"/>
    </row>
    <row r="2778" spans="1:8" x14ac:dyDescent="0.35">
      <c r="A2778" s="528" t="s">
        <v>8093</v>
      </c>
      <c r="B2778" s="528" t="s">
        <v>8094</v>
      </c>
      <c r="C2778" s="528" t="s">
        <v>8095</v>
      </c>
      <c r="D2778" s="528" t="s">
        <v>238</v>
      </c>
      <c r="E2778" s="528"/>
      <c r="F2778" s="528"/>
      <c r="G2778" s="528" t="s">
        <v>205</v>
      </c>
      <c r="H2778"/>
    </row>
    <row r="2779" spans="1:8" x14ac:dyDescent="0.35">
      <c r="A2779" s="528" t="s">
        <v>8096</v>
      </c>
      <c r="B2779" s="528" t="s">
        <v>8097</v>
      </c>
      <c r="C2779" s="528" t="s">
        <v>8098</v>
      </c>
      <c r="D2779" s="528" t="s">
        <v>238</v>
      </c>
      <c r="E2779" s="528"/>
      <c r="F2779" s="528"/>
      <c r="G2779" s="528" t="s">
        <v>205</v>
      </c>
      <c r="H2779"/>
    </row>
    <row r="2780" spans="1:8" x14ac:dyDescent="0.35">
      <c r="A2780" s="528" t="s">
        <v>8099</v>
      </c>
      <c r="B2780" s="528" t="s">
        <v>8100</v>
      </c>
      <c r="C2780" s="528" t="s">
        <v>8101</v>
      </c>
      <c r="D2780" s="528" t="s">
        <v>238</v>
      </c>
      <c r="E2780" s="528"/>
      <c r="F2780" s="528"/>
      <c r="G2780" s="528" t="s">
        <v>205</v>
      </c>
      <c r="H2780"/>
    </row>
    <row r="2781" spans="1:8" x14ac:dyDescent="0.35">
      <c r="A2781" s="528" t="s">
        <v>8102</v>
      </c>
      <c r="B2781" s="528" t="s">
        <v>8103</v>
      </c>
      <c r="C2781" s="528" t="s">
        <v>8104</v>
      </c>
      <c r="D2781" s="528" t="s">
        <v>238</v>
      </c>
      <c r="E2781" s="528"/>
      <c r="F2781" s="528"/>
      <c r="G2781" s="528" t="s">
        <v>208</v>
      </c>
      <c r="H2781"/>
    </row>
    <row r="2782" spans="1:8" x14ac:dyDescent="0.35">
      <c r="A2782" s="528" t="s">
        <v>8105</v>
      </c>
      <c r="B2782" s="528" t="s">
        <v>8106</v>
      </c>
      <c r="C2782" s="528" t="s">
        <v>8107</v>
      </c>
      <c r="D2782" s="528" t="s">
        <v>225</v>
      </c>
      <c r="E2782" s="528"/>
      <c r="F2782" s="528"/>
      <c r="G2782" s="528" t="s">
        <v>205</v>
      </c>
      <c r="H2782"/>
    </row>
    <row r="2783" spans="1:8" x14ac:dyDescent="0.35">
      <c r="A2783" s="528" t="s">
        <v>8108</v>
      </c>
      <c r="B2783" s="528" t="s">
        <v>8109</v>
      </c>
      <c r="C2783" s="528" t="s">
        <v>8110</v>
      </c>
      <c r="D2783" s="528" t="s">
        <v>238</v>
      </c>
      <c r="E2783" s="528"/>
      <c r="F2783" s="528"/>
      <c r="G2783" s="528" t="s">
        <v>205</v>
      </c>
      <c r="H2783"/>
    </row>
    <row r="2784" spans="1:8" x14ac:dyDescent="0.35">
      <c r="A2784" s="528" t="s">
        <v>8111</v>
      </c>
      <c r="B2784" s="528" t="s">
        <v>8112</v>
      </c>
      <c r="C2784" s="528" t="s">
        <v>8113</v>
      </c>
      <c r="D2784" s="528" t="s">
        <v>264</v>
      </c>
      <c r="E2784" s="528"/>
      <c r="F2784" s="528"/>
      <c r="G2784" s="528" t="s">
        <v>205</v>
      </c>
      <c r="H2784"/>
    </row>
    <row r="2785" spans="1:8" x14ac:dyDescent="0.35">
      <c r="A2785" s="528" t="s">
        <v>8114</v>
      </c>
      <c r="B2785" s="528" t="s">
        <v>8115</v>
      </c>
      <c r="C2785" s="528" t="s">
        <v>8116</v>
      </c>
      <c r="D2785" s="528" t="s">
        <v>277</v>
      </c>
      <c r="E2785" s="528"/>
      <c r="F2785" s="528"/>
      <c r="G2785" s="528" t="s">
        <v>208</v>
      </c>
      <c r="H2785"/>
    </row>
    <row r="2786" spans="1:8" x14ac:dyDescent="0.35">
      <c r="A2786" s="528" t="s">
        <v>8117</v>
      </c>
      <c r="B2786" s="528" t="s">
        <v>8118</v>
      </c>
      <c r="C2786" s="528" t="s">
        <v>8119</v>
      </c>
      <c r="D2786" s="528" t="s">
        <v>264</v>
      </c>
      <c r="E2786" s="528"/>
      <c r="F2786" s="528"/>
      <c r="G2786" s="528" t="s">
        <v>205</v>
      </c>
      <c r="H2786"/>
    </row>
    <row r="2787" spans="1:8" x14ac:dyDescent="0.35">
      <c r="A2787" s="528" t="s">
        <v>8120</v>
      </c>
      <c r="B2787" s="528" t="s">
        <v>8121</v>
      </c>
      <c r="C2787" s="528" t="s">
        <v>8122</v>
      </c>
      <c r="D2787" s="528" t="s">
        <v>277</v>
      </c>
      <c r="E2787" s="528"/>
      <c r="F2787" s="528"/>
      <c r="G2787" s="528" t="s">
        <v>208</v>
      </c>
      <c r="H2787"/>
    </row>
    <row r="2788" spans="1:8" x14ac:dyDescent="0.35">
      <c r="A2788" s="528" t="s">
        <v>8123</v>
      </c>
      <c r="B2788" s="528" t="s">
        <v>8124</v>
      </c>
      <c r="C2788" s="528" t="s">
        <v>8125</v>
      </c>
      <c r="D2788" s="528" t="s">
        <v>277</v>
      </c>
      <c r="E2788" s="528"/>
      <c r="F2788" s="528"/>
      <c r="G2788" s="528" t="s">
        <v>212</v>
      </c>
      <c r="H2788"/>
    </row>
    <row r="2789" spans="1:8" x14ac:dyDescent="0.35">
      <c r="A2789" s="528" t="s">
        <v>8126</v>
      </c>
      <c r="B2789" s="528" t="s">
        <v>8127</v>
      </c>
      <c r="C2789" s="528" t="s">
        <v>8128</v>
      </c>
      <c r="D2789" s="528" t="s">
        <v>277</v>
      </c>
      <c r="E2789" s="528"/>
      <c r="F2789" s="528"/>
      <c r="G2789" s="528" t="s">
        <v>208</v>
      </c>
      <c r="H2789"/>
    </row>
    <row r="2790" spans="1:8" x14ac:dyDescent="0.35">
      <c r="A2790" s="528" t="s">
        <v>8129</v>
      </c>
      <c r="B2790" s="528" t="s">
        <v>8130</v>
      </c>
      <c r="C2790" s="528" t="s">
        <v>8131</v>
      </c>
      <c r="D2790" s="528" t="s">
        <v>277</v>
      </c>
      <c r="E2790" s="528"/>
      <c r="F2790" s="528"/>
      <c r="G2790" s="528" t="s">
        <v>208</v>
      </c>
      <c r="H2790"/>
    </row>
    <row r="2791" spans="1:8" x14ac:dyDescent="0.35">
      <c r="A2791" s="528" t="s">
        <v>8132</v>
      </c>
      <c r="B2791" s="528" t="s">
        <v>8133</v>
      </c>
      <c r="C2791" s="528" t="s">
        <v>8134</v>
      </c>
      <c r="D2791" s="528" t="s">
        <v>251</v>
      </c>
      <c r="E2791" s="528"/>
      <c r="F2791" s="528"/>
      <c r="G2791" s="528" t="s">
        <v>208</v>
      </c>
      <c r="H2791"/>
    </row>
    <row r="2792" spans="1:8" x14ac:dyDescent="0.35">
      <c r="A2792" s="528" t="s">
        <v>8135</v>
      </c>
      <c r="B2792" s="528" t="s">
        <v>8136</v>
      </c>
      <c r="C2792" s="528" t="s">
        <v>8137</v>
      </c>
      <c r="D2792" s="528" t="s">
        <v>277</v>
      </c>
      <c r="E2792" s="528"/>
      <c r="F2792" s="528"/>
      <c r="G2792" s="528" t="s">
        <v>208</v>
      </c>
      <c r="H2792"/>
    </row>
    <row r="2793" spans="1:8" x14ac:dyDescent="0.35">
      <c r="A2793" s="528" t="s">
        <v>8138</v>
      </c>
      <c r="B2793" s="528" t="s">
        <v>8139</v>
      </c>
      <c r="C2793" s="528" t="s">
        <v>8140</v>
      </c>
      <c r="D2793" s="528" t="s">
        <v>277</v>
      </c>
      <c r="E2793" s="528"/>
      <c r="F2793" s="528"/>
      <c r="G2793" s="528" t="s">
        <v>208</v>
      </c>
      <c r="H2793"/>
    </row>
    <row r="2794" spans="1:8" x14ac:dyDescent="0.35">
      <c r="A2794" s="528" t="s">
        <v>8141</v>
      </c>
      <c r="B2794" s="528" t="s">
        <v>8142</v>
      </c>
      <c r="C2794" s="528" t="s">
        <v>8143</v>
      </c>
      <c r="D2794" s="528" t="s">
        <v>264</v>
      </c>
      <c r="E2794" s="528"/>
      <c r="F2794" s="528"/>
      <c r="G2794" s="528" t="s">
        <v>205</v>
      </c>
      <c r="H2794"/>
    </row>
    <row r="2795" spans="1:8" x14ac:dyDescent="0.35">
      <c r="A2795" s="528" t="s">
        <v>8144</v>
      </c>
      <c r="B2795" s="528" t="s">
        <v>8145</v>
      </c>
      <c r="C2795" s="528" t="s">
        <v>8146</v>
      </c>
      <c r="D2795" s="528" t="s">
        <v>277</v>
      </c>
      <c r="E2795" s="528"/>
      <c r="F2795" s="528"/>
      <c r="G2795" s="528" t="s">
        <v>205</v>
      </c>
      <c r="H2795"/>
    </row>
    <row r="2796" spans="1:8" x14ac:dyDescent="0.35">
      <c r="A2796" s="528" t="s">
        <v>8147</v>
      </c>
      <c r="B2796" s="528" t="s">
        <v>8148</v>
      </c>
      <c r="C2796" s="528" t="s">
        <v>8149</v>
      </c>
      <c r="D2796" s="528" t="s">
        <v>277</v>
      </c>
      <c r="E2796" s="528"/>
      <c r="F2796" s="528"/>
      <c r="G2796" s="528" t="s">
        <v>205</v>
      </c>
      <c r="H2796"/>
    </row>
    <row r="2797" spans="1:8" x14ac:dyDescent="0.35">
      <c r="A2797" s="528" t="s">
        <v>8150</v>
      </c>
      <c r="B2797" s="528" t="s">
        <v>8151</v>
      </c>
      <c r="C2797" s="528" t="s">
        <v>8152</v>
      </c>
      <c r="D2797" s="528" t="s">
        <v>225</v>
      </c>
      <c r="E2797" s="528" t="s">
        <v>264</v>
      </c>
      <c r="F2797" s="528"/>
      <c r="G2797" s="528" t="s">
        <v>205</v>
      </c>
      <c r="H2797"/>
    </row>
    <row r="2798" spans="1:8" x14ac:dyDescent="0.35">
      <c r="A2798" s="528" t="s">
        <v>8153</v>
      </c>
      <c r="B2798" s="528" t="s">
        <v>8154</v>
      </c>
      <c r="C2798" s="528" t="s">
        <v>8155</v>
      </c>
      <c r="D2798" s="528" t="s">
        <v>225</v>
      </c>
      <c r="E2798" s="528"/>
      <c r="F2798" s="528"/>
      <c r="G2798" s="528" t="s">
        <v>205</v>
      </c>
      <c r="H2798"/>
    </row>
    <row r="2799" spans="1:8" x14ac:dyDescent="0.35">
      <c r="A2799" s="528" t="s">
        <v>8156</v>
      </c>
      <c r="B2799" s="528" t="s">
        <v>8157</v>
      </c>
      <c r="C2799" s="528" t="s">
        <v>8158</v>
      </c>
      <c r="D2799" s="528" t="s">
        <v>264</v>
      </c>
      <c r="E2799" s="528"/>
      <c r="F2799" s="528"/>
      <c r="G2799" s="528" t="s">
        <v>205</v>
      </c>
      <c r="H2799"/>
    </row>
    <row r="2800" spans="1:8" x14ac:dyDescent="0.35">
      <c r="A2800" s="528" t="s">
        <v>8159</v>
      </c>
      <c r="B2800" s="528" t="s">
        <v>8160</v>
      </c>
      <c r="C2800" s="528" t="s">
        <v>8161</v>
      </c>
      <c r="D2800" s="528" t="s">
        <v>251</v>
      </c>
      <c r="E2800" s="528"/>
      <c r="F2800" s="528"/>
      <c r="G2800" s="528" t="s">
        <v>205</v>
      </c>
      <c r="H2800"/>
    </row>
    <row r="2801" spans="1:8" x14ac:dyDescent="0.35">
      <c r="A2801" s="528" t="s">
        <v>8162</v>
      </c>
      <c r="B2801" s="528" t="s">
        <v>8163</v>
      </c>
      <c r="C2801" s="528" t="s">
        <v>5053</v>
      </c>
      <c r="D2801" s="528" t="s">
        <v>225</v>
      </c>
      <c r="E2801" s="528"/>
      <c r="F2801" s="528"/>
      <c r="G2801" s="528" t="s">
        <v>205</v>
      </c>
      <c r="H2801"/>
    </row>
    <row r="2802" spans="1:8" x14ac:dyDescent="0.35">
      <c r="A2802" s="528" t="s">
        <v>8164</v>
      </c>
      <c r="B2802" s="528" t="s">
        <v>8165</v>
      </c>
      <c r="C2802" s="528" t="s">
        <v>6799</v>
      </c>
      <c r="D2802" s="528" t="s">
        <v>238</v>
      </c>
      <c r="E2802" s="528"/>
      <c r="F2802" s="528"/>
      <c r="G2802" s="528" t="s">
        <v>205</v>
      </c>
      <c r="H2802"/>
    </row>
    <row r="2803" spans="1:8" x14ac:dyDescent="0.35">
      <c r="A2803" s="528" t="s">
        <v>8166</v>
      </c>
      <c r="B2803" s="528" t="s">
        <v>8167</v>
      </c>
      <c r="C2803" s="528" t="s">
        <v>8168</v>
      </c>
      <c r="D2803" s="528" t="s">
        <v>251</v>
      </c>
      <c r="E2803" s="528"/>
      <c r="F2803" s="528"/>
      <c r="G2803" s="528" t="s">
        <v>205</v>
      </c>
      <c r="H2803"/>
    </row>
    <row r="2804" spans="1:8" x14ac:dyDescent="0.35">
      <c r="A2804" s="528" t="s">
        <v>8169</v>
      </c>
      <c r="B2804" s="528" t="s">
        <v>8170</v>
      </c>
      <c r="C2804" s="528" t="s">
        <v>8171</v>
      </c>
      <c r="D2804" s="528" t="s">
        <v>251</v>
      </c>
      <c r="E2804" s="528"/>
      <c r="F2804" s="528"/>
      <c r="G2804" s="528" t="s">
        <v>205</v>
      </c>
      <c r="H2804"/>
    </row>
    <row r="2805" spans="1:8" x14ac:dyDescent="0.35">
      <c r="A2805" s="528" t="s">
        <v>8172</v>
      </c>
      <c r="B2805" s="528" t="s">
        <v>8173</v>
      </c>
      <c r="C2805" s="528" t="s">
        <v>8174</v>
      </c>
      <c r="D2805" s="528" t="s">
        <v>251</v>
      </c>
      <c r="E2805" s="528"/>
      <c r="F2805" s="528"/>
      <c r="G2805" s="528" t="s">
        <v>205</v>
      </c>
      <c r="H2805"/>
    </row>
    <row r="2806" spans="1:8" x14ac:dyDescent="0.35">
      <c r="A2806" s="528" t="s">
        <v>8175</v>
      </c>
      <c r="B2806" s="528" t="s">
        <v>8176</v>
      </c>
      <c r="C2806" s="528" t="s">
        <v>8177</v>
      </c>
      <c r="D2806" s="528" t="s">
        <v>264</v>
      </c>
      <c r="E2806" s="528"/>
      <c r="F2806" s="528"/>
      <c r="G2806" s="528" t="s">
        <v>205</v>
      </c>
      <c r="H2806"/>
    </row>
    <row r="2807" spans="1:8" x14ac:dyDescent="0.35">
      <c r="A2807" s="528" t="s">
        <v>8178</v>
      </c>
      <c r="B2807" s="528" t="s">
        <v>8179</v>
      </c>
      <c r="C2807" s="528" t="s">
        <v>5050</v>
      </c>
      <c r="D2807" s="528" t="s">
        <v>225</v>
      </c>
      <c r="E2807" s="528"/>
      <c r="F2807" s="528"/>
      <c r="G2807" s="528" t="s">
        <v>205</v>
      </c>
      <c r="H2807"/>
    </row>
    <row r="2808" spans="1:8" x14ac:dyDescent="0.35">
      <c r="A2808" s="528" t="s">
        <v>8180</v>
      </c>
      <c r="B2808" s="528" t="s">
        <v>8181</v>
      </c>
      <c r="C2808" s="528" t="s">
        <v>8182</v>
      </c>
      <c r="D2808" s="528" t="s">
        <v>251</v>
      </c>
      <c r="E2808" s="528"/>
      <c r="F2808" s="528"/>
      <c r="G2808" s="528" t="s">
        <v>205</v>
      </c>
      <c r="H2808"/>
    </row>
    <row r="2809" spans="1:8" x14ac:dyDescent="0.35">
      <c r="A2809" s="528" t="s">
        <v>8183</v>
      </c>
      <c r="B2809" s="528" t="s">
        <v>8184</v>
      </c>
      <c r="C2809" s="528" t="s">
        <v>8185</v>
      </c>
      <c r="D2809" s="528" t="s">
        <v>251</v>
      </c>
      <c r="E2809" s="528"/>
      <c r="F2809" s="528"/>
      <c r="G2809" s="528" t="s">
        <v>205</v>
      </c>
      <c r="H2809"/>
    </row>
    <row r="2810" spans="1:8" x14ac:dyDescent="0.35">
      <c r="A2810" s="528" t="s">
        <v>8186</v>
      </c>
      <c r="B2810" s="528" t="s">
        <v>8187</v>
      </c>
      <c r="C2810" s="528" t="s">
        <v>8188</v>
      </c>
      <c r="D2810" s="528" t="s">
        <v>251</v>
      </c>
      <c r="E2810" s="528"/>
      <c r="F2810" s="528"/>
      <c r="G2810" s="528" t="s">
        <v>205</v>
      </c>
      <c r="H2810"/>
    </row>
    <row r="2811" spans="1:8" x14ac:dyDescent="0.35">
      <c r="A2811" s="528" t="s">
        <v>8189</v>
      </c>
      <c r="B2811" s="528" t="s">
        <v>8190</v>
      </c>
      <c r="C2811" s="528" t="s">
        <v>8191</v>
      </c>
      <c r="D2811" s="528" t="s">
        <v>251</v>
      </c>
      <c r="E2811" s="528"/>
      <c r="F2811" s="528"/>
      <c r="G2811" s="528" t="s">
        <v>205</v>
      </c>
      <c r="H2811"/>
    </row>
    <row r="2812" spans="1:8" x14ac:dyDescent="0.35">
      <c r="A2812" s="528" t="s">
        <v>8192</v>
      </c>
      <c r="B2812" s="528" t="s">
        <v>8193</v>
      </c>
      <c r="C2812" s="528" t="s">
        <v>8194</v>
      </c>
      <c r="D2812" s="528" t="s">
        <v>251</v>
      </c>
      <c r="E2812" s="528"/>
      <c r="F2812" s="528"/>
      <c r="G2812" s="528" t="s">
        <v>205</v>
      </c>
      <c r="H2812"/>
    </row>
    <row r="2813" spans="1:8" x14ac:dyDescent="0.35">
      <c r="A2813" s="528" t="s">
        <v>8195</v>
      </c>
      <c r="B2813" s="528" t="s">
        <v>8196</v>
      </c>
      <c r="C2813" s="528" t="s">
        <v>8197</v>
      </c>
      <c r="D2813" s="528" t="s">
        <v>277</v>
      </c>
      <c r="E2813" s="528"/>
      <c r="F2813" s="528"/>
      <c r="G2813" s="528" t="s">
        <v>205</v>
      </c>
      <c r="H2813"/>
    </row>
    <row r="2814" spans="1:8" x14ac:dyDescent="0.35">
      <c r="A2814" s="528" t="s">
        <v>8198</v>
      </c>
      <c r="B2814" s="528" t="s">
        <v>8199</v>
      </c>
      <c r="C2814" s="528" t="s">
        <v>8200</v>
      </c>
      <c r="D2814" s="528" t="s">
        <v>225</v>
      </c>
      <c r="E2814" s="528"/>
      <c r="F2814" s="528"/>
      <c r="G2814" s="528" t="s">
        <v>205</v>
      </c>
      <c r="H2814"/>
    </row>
    <row r="2815" spans="1:8" x14ac:dyDescent="0.35">
      <c r="A2815" s="528" t="s">
        <v>8201</v>
      </c>
      <c r="B2815" s="528" t="s">
        <v>8202</v>
      </c>
      <c r="C2815" s="528" t="s">
        <v>8203</v>
      </c>
      <c r="D2815" s="528" t="s">
        <v>225</v>
      </c>
      <c r="E2815" s="528"/>
      <c r="F2815" s="528"/>
      <c r="G2815" s="528" t="s">
        <v>205</v>
      </c>
      <c r="H2815"/>
    </row>
    <row r="2816" spans="1:8" x14ac:dyDescent="0.35">
      <c r="A2816" s="528" t="s">
        <v>8204</v>
      </c>
      <c r="B2816" s="528" t="s">
        <v>8205</v>
      </c>
      <c r="C2816" s="528" t="s">
        <v>8206</v>
      </c>
      <c r="D2816" s="528" t="s">
        <v>264</v>
      </c>
      <c r="E2816" s="528"/>
      <c r="F2816" s="528"/>
      <c r="G2816" s="528" t="s">
        <v>205</v>
      </c>
      <c r="H2816"/>
    </row>
    <row r="2817" spans="1:8" x14ac:dyDescent="0.35">
      <c r="A2817" s="528" t="s">
        <v>8207</v>
      </c>
      <c r="B2817" s="528" t="s">
        <v>8208</v>
      </c>
      <c r="C2817" s="528" t="s">
        <v>8209</v>
      </c>
      <c r="D2817" s="528" t="s">
        <v>264</v>
      </c>
      <c r="E2817" s="528"/>
      <c r="F2817" s="528"/>
      <c r="G2817" s="528" t="s">
        <v>205</v>
      </c>
      <c r="H2817"/>
    </row>
    <row r="2818" spans="1:8" x14ac:dyDescent="0.35">
      <c r="A2818" s="528" t="s">
        <v>8210</v>
      </c>
      <c r="B2818" s="528" t="s">
        <v>8211</v>
      </c>
      <c r="C2818" s="528" t="s">
        <v>8212</v>
      </c>
      <c r="D2818" s="528" t="s">
        <v>277</v>
      </c>
      <c r="E2818" s="528"/>
      <c r="F2818" s="528"/>
      <c r="G2818" s="528" t="s">
        <v>205</v>
      </c>
      <c r="H2818"/>
    </row>
    <row r="2819" spans="1:8" x14ac:dyDescent="0.35">
      <c r="A2819" s="528" t="s">
        <v>8213</v>
      </c>
      <c r="B2819" s="528" t="s">
        <v>8214</v>
      </c>
      <c r="C2819" s="528" t="s">
        <v>8215</v>
      </c>
      <c r="D2819" s="528" t="s">
        <v>264</v>
      </c>
      <c r="E2819" s="528"/>
      <c r="F2819" s="528"/>
      <c r="G2819" s="528" t="s">
        <v>205</v>
      </c>
      <c r="H2819"/>
    </row>
    <row r="2820" spans="1:8" x14ac:dyDescent="0.35">
      <c r="A2820" s="528" t="s">
        <v>8216</v>
      </c>
      <c r="B2820" s="528" t="s">
        <v>8217</v>
      </c>
      <c r="C2820" s="528" t="s">
        <v>8218</v>
      </c>
      <c r="D2820" s="528" t="s">
        <v>264</v>
      </c>
      <c r="E2820" s="528"/>
      <c r="F2820" s="528"/>
      <c r="G2820" s="528" t="s">
        <v>205</v>
      </c>
      <c r="H2820"/>
    </row>
    <row r="2821" spans="1:8" x14ac:dyDescent="0.35">
      <c r="A2821" s="528" t="s">
        <v>8219</v>
      </c>
      <c r="B2821" s="528" t="s">
        <v>8220</v>
      </c>
      <c r="C2821" s="528" t="s">
        <v>8221</v>
      </c>
      <c r="D2821" s="528" t="s">
        <v>277</v>
      </c>
      <c r="E2821" s="528"/>
      <c r="F2821" s="528"/>
      <c r="G2821" s="528" t="s">
        <v>205</v>
      </c>
      <c r="H2821"/>
    </row>
    <row r="2822" spans="1:8" x14ac:dyDescent="0.35">
      <c r="A2822" s="528" t="s">
        <v>8222</v>
      </c>
      <c r="B2822" s="528" t="s">
        <v>8223</v>
      </c>
      <c r="C2822" s="528" t="s">
        <v>8224</v>
      </c>
      <c r="D2822" s="528" t="s">
        <v>264</v>
      </c>
      <c r="E2822" s="528"/>
      <c r="F2822" s="528"/>
      <c r="G2822" s="528" t="s">
        <v>205</v>
      </c>
      <c r="H2822"/>
    </row>
    <row r="2823" spans="1:8" x14ac:dyDescent="0.35">
      <c r="A2823" s="528" t="s">
        <v>8225</v>
      </c>
      <c r="B2823" s="528" t="s">
        <v>8226</v>
      </c>
      <c r="C2823" s="528" t="s">
        <v>8227</v>
      </c>
      <c r="D2823" s="528" t="s">
        <v>264</v>
      </c>
      <c r="E2823" s="528"/>
      <c r="F2823" s="528"/>
      <c r="G2823" s="528" t="s">
        <v>205</v>
      </c>
      <c r="H2823"/>
    </row>
    <row r="2824" spans="1:8" x14ac:dyDescent="0.35">
      <c r="A2824" s="528" t="s">
        <v>8228</v>
      </c>
      <c r="B2824" s="528" t="s">
        <v>8229</v>
      </c>
      <c r="C2824" s="528" t="s">
        <v>8230</v>
      </c>
      <c r="D2824" s="528" t="s">
        <v>264</v>
      </c>
      <c r="E2824" s="528"/>
      <c r="F2824" s="528"/>
      <c r="G2824" s="528" t="s">
        <v>205</v>
      </c>
      <c r="H2824"/>
    </row>
    <row r="2825" spans="1:8" x14ac:dyDescent="0.35">
      <c r="A2825" s="528" t="s">
        <v>8231</v>
      </c>
      <c r="B2825" s="528" t="s">
        <v>8232</v>
      </c>
      <c r="C2825" s="528" t="s">
        <v>3085</v>
      </c>
      <c r="D2825" s="528" t="s">
        <v>264</v>
      </c>
      <c r="E2825" s="528"/>
      <c r="F2825" s="528"/>
      <c r="G2825" s="528" t="s">
        <v>208</v>
      </c>
      <c r="H2825"/>
    </row>
    <row r="2826" spans="1:8" x14ac:dyDescent="0.35">
      <c r="A2826" s="528" t="s">
        <v>8233</v>
      </c>
      <c r="B2826" s="528" t="s">
        <v>8234</v>
      </c>
      <c r="C2826" s="528" t="s">
        <v>8235</v>
      </c>
      <c r="D2826" s="528" t="s">
        <v>277</v>
      </c>
      <c r="E2826" s="528"/>
      <c r="F2826" s="528"/>
      <c r="G2826" s="528" t="s">
        <v>208</v>
      </c>
      <c r="H2826"/>
    </row>
    <row r="2827" spans="1:8" x14ac:dyDescent="0.35">
      <c r="A2827" s="528" t="s">
        <v>8236</v>
      </c>
      <c r="B2827" s="528" t="s">
        <v>8237</v>
      </c>
      <c r="C2827" s="528" t="s">
        <v>8238</v>
      </c>
      <c r="D2827" s="528" t="s">
        <v>225</v>
      </c>
      <c r="E2827" s="528"/>
      <c r="F2827" s="528"/>
      <c r="G2827" s="528" t="s">
        <v>205</v>
      </c>
      <c r="H2827"/>
    </row>
    <row r="2828" spans="1:8" x14ac:dyDescent="0.35">
      <c r="A2828" s="528" t="s">
        <v>8239</v>
      </c>
      <c r="B2828" s="528" t="s">
        <v>8240</v>
      </c>
      <c r="C2828" s="528" t="s">
        <v>1407</v>
      </c>
      <c r="D2828" s="528" t="s">
        <v>225</v>
      </c>
      <c r="E2828" s="528"/>
      <c r="F2828" s="528"/>
      <c r="G2828" s="528" t="s">
        <v>205</v>
      </c>
      <c r="H2828"/>
    </row>
    <row r="2829" spans="1:8" x14ac:dyDescent="0.35">
      <c r="A2829" s="528" t="s">
        <v>8241</v>
      </c>
      <c r="B2829" s="528" t="s">
        <v>8242</v>
      </c>
      <c r="C2829" s="528" t="s">
        <v>1395</v>
      </c>
      <c r="D2829" s="528" t="s">
        <v>225</v>
      </c>
      <c r="E2829" s="528"/>
      <c r="F2829" s="528"/>
      <c r="G2829" s="528" t="s">
        <v>205</v>
      </c>
      <c r="H2829"/>
    </row>
    <row r="2830" spans="1:8" x14ac:dyDescent="0.35">
      <c r="A2830" s="528" t="s">
        <v>8243</v>
      </c>
      <c r="B2830" s="528" t="s">
        <v>8244</v>
      </c>
      <c r="C2830" s="528" t="s">
        <v>2912</v>
      </c>
      <c r="D2830" s="528" t="s">
        <v>225</v>
      </c>
      <c r="E2830" s="528"/>
      <c r="F2830" s="528"/>
      <c r="G2830" s="528" t="s">
        <v>205</v>
      </c>
      <c r="H2830"/>
    </row>
    <row r="2831" spans="1:8" x14ac:dyDescent="0.35">
      <c r="A2831" s="528" t="s">
        <v>8245</v>
      </c>
      <c r="B2831" s="528" t="s">
        <v>8246</v>
      </c>
      <c r="C2831" s="528" t="s">
        <v>8247</v>
      </c>
      <c r="D2831" s="528" t="s">
        <v>225</v>
      </c>
      <c r="E2831" s="528"/>
      <c r="F2831" s="528"/>
      <c r="G2831" s="528" t="s">
        <v>205</v>
      </c>
      <c r="H2831"/>
    </row>
    <row r="2832" spans="1:8" x14ac:dyDescent="0.35">
      <c r="A2832" s="528" t="s">
        <v>8248</v>
      </c>
      <c r="B2832" s="528" t="s">
        <v>8249</v>
      </c>
      <c r="C2832" s="528" t="s">
        <v>8250</v>
      </c>
      <c r="D2832" s="528" t="s">
        <v>225</v>
      </c>
      <c r="E2832" s="528"/>
      <c r="F2832" s="528"/>
      <c r="G2832" s="528" t="s">
        <v>205</v>
      </c>
      <c r="H2832"/>
    </row>
    <row r="2833" spans="1:8" x14ac:dyDescent="0.35">
      <c r="A2833" s="528" t="s">
        <v>8251</v>
      </c>
      <c r="B2833" s="528" t="s">
        <v>8252</v>
      </c>
      <c r="C2833" s="528" t="s">
        <v>5969</v>
      </c>
      <c r="D2833" s="528" t="s">
        <v>225</v>
      </c>
      <c r="E2833" s="528"/>
      <c r="F2833" s="528"/>
      <c r="G2833" s="528" t="s">
        <v>205</v>
      </c>
      <c r="H2833"/>
    </row>
    <row r="2834" spans="1:8" x14ac:dyDescent="0.35">
      <c r="A2834" s="528" t="s">
        <v>8253</v>
      </c>
      <c r="B2834" s="528" t="s">
        <v>8254</v>
      </c>
      <c r="C2834" s="528" t="s">
        <v>8255</v>
      </c>
      <c r="D2834" s="528" t="s">
        <v>251</v>
      </c>
      <c r="E2834" s="528"/>
      <c r="F2834" s="528"/>
      <c r="G2834" s="528" t="s">
        <v>205</v>
      </c>
      <c r="H2834"/>
    </row>
    <row r="2835" spans="1:8" x14ac:dyDescent="0.35">
      <c r="A2835" s="528" t="s">
        <v>8256</v>
      </c>
      <c r="B2835" s="528" t="s">
        <v>8257</v>
      </c>
      <c r="C2835" s="528" t="s">
        <v>3489</v>
      </c>
      <c r="D2835" s="528" t="s">
        <v>251</v>
      </c>
      <c r="E2835" s="528"/>
      <c r="F2835" s="528"/>
      <c r="G2835" s="528" t="s">
        <v>205</v>
      </c>
      <c r="H2835"/>
    </row>
    <row r="2836" spans="1:8" x14ac:dyDescent="0.35">
      <c r="A2836" s="528" t="s">
        <v>8258</v>
      </c>
      <c r="B2836" s="528" t="s">
        <v>8259</v>
      </c>
      <c r="C2836" s="528" t="s">
        <v>8260</v>
      </c>
      <c r="D2836" s="528" t="s">
        <v>251</v>
      </c>
      <c r="E2836" s="528"/>
      <c r="F2836" s="528"/>
      <c r="G2836" s="528" t="s">
        <v>212</v>
      </c>
      <c r="H2836"/>
    </row>
    <row r="2837" spans="1:8" x14ac:dyDescent="0.35">
      <c r="A2837" s="528" t="s">
        <v>8261</v>
      </c>
      <c r="B2837" s="528" t="s">
        <v>8262</v>
      </c>
      <c r="C2837" s="528" t="s">
        <v>8263</v>
      </c>
      <c r="D2837" s="528" t="s">
        <v>251</v>
      </c>
      <c r="E2837" s="528"/>
      <c r="F2837" s="528"/>
      <c r="G2837" s="528" t="s">
        <v>205</v>
      </c>
      <c r="H2837"/>
    </row>
    <row r="2838" spans="1:8" x14ac:dyDescent="0.35">
      <c r="A2838" s="528" t="s">
        <v>8264</v>
      </c>
      <c r="B2838" s="528" t="s">
        <v>8265</v>
      </c>
      <c r="C2838" s="528" t="s">
        <v>4857</v>
      </c>
      <c r="D2838" s="528" t="s">
        <v>251</v>
      </c>
      <c r="E2838" s="528"/>
      <c r="F2838" s="528"/>
      <c r="G2838" s="528" t="s">
        <v>208</v>
      </c>
      <c r="H2838"/>
    </row>
    <row r="2839" spans="1:8" x14ac:dyDescent="0.35">
      <c r="A2839" s="528" t="s">
        <v>8266</v>
      </c>
      <c r="B2839" s="528" t="s">
        <v>8267</v>
      </c>
      <c r="C2839" s="528" t="s">
        <v>8268</v>
      </c>
      <c r="D2839" s="528" t="s">
        <v>225</v>
      </c>
      <c r="E2839" s="528"/>
      <c r="F2839" s="528"/>
      <c r="G2839" s="528" t="s">
        <v>205</v>
      </c>
      <c r="H2839"/>
    </row>
    <row r="2840" spans="1:8" x14ac:dyDescent="0.35">
      <c r="A2840" s="528" t="s">
        <v>8269</v>
      </c>
      <c r="B2840" s="528" t="s">
        <v>8270</v>
      </c>
      <c r="C2840" s="528" t="s">
        <v>8271</v>
      </c>
      <c r="D2840" s="528" t="s">
        <v>264</v>
      </c>
      <c r="E2840" s="528" t="s">
        <v>277</v>
      </c>
      <c r="F2840" s="528"/>
      <c r="G2840" s="528" t="s">
        <v>208</v>
      </c>
      <c r="H2840"/>
    </row>
    <row r="2841" spans="1:8" x14ac:dyDescent="0.35">
      <c r="A2841" s="528" t="s">
        <v>8272</v>
      </c>
      <c r="B2841" s="528" t="s">
        <v>8273</v>
      </c>
      <c r="C2841" s="528" t="s">
        <v>3158</v>
      </c>
      <c r="D2841" s="528" t="s">
        <v>277</v>
      </c>
      <c r="E2841" s="528"/>
      <c r="F2841" s="528"/>
      <c r="G2841" s="528" t="s">
        <v>205</v>
      </c>
      <c r="H2841"/>
    </row>
    <row r="2842" spans="1:8" x14ac:dyDescent="0.35">
      <c r="A2842" s="528" t="s">
        <v>8274</v>
      </c>
      <c r="B2842" s="528" t="s">
        <v>8275</v>
      </c>
      <c r="C2842" s="528" t="s">
        <v>1371</v>
      </c>
      <c r="D2842" s="528" t="s">
        <v>238</v>
      </c>
      <c r="E2842" s="528"/>
      <c r="F2842" s="528"/>
      <c r="G2842" s="528" t="s">
        <v>205</v>
      </c>
      <c r="H2842"/>
    </row>
    <row r="2843" spans="1:8" x14ac:dyDescent="0.35">
      <c r="A2843" s="528" t="s">
        <v>8276</v>
      </c>
      <c r="B2843" s="528" t="s">
        <v>8277</v>
      </c>
      <c r="C2843" s="528" t="s">
        <v>8278</v>
      </c>
      <c r="D2843" s="528" t="s">
        <v>225</v>
      </c>
      <c r="E2843" s="528"/>
      <c r="F2843" s="528"/>
      <c r="G2843" s="528" t="s">
        <v>205</v>
      </c>
      <c r="H2843"/>
    </row>
    <row r="2844" spans="1:8" x14ac:dyDescent="0.35">
      <c r="A2844" s="528" t="s">
        <v>8279</v>
      </c>
      <c r="B2844" s="528" t="s">
        <v>8280</v>
      </c>
      <c r="C2844" s="528" t="s">
        <v>1962</v>
      </c>
      <c r="D2844" s="528" t="s">
        <v>264</v>
      </c>
      <c r="E2844" s="528"/>
      <c r="F2844" s="528"/>
      <c r="G2844" s="528" t="s">
        <v>205</v>
      </c>
      <c r="H2844"/>
    </row>
    <row r="2845" spans="1:8" x14ac:dyDescent="0.35">
      <c r="A2845" s="528" t="s">
        <v>8281</v>
      </c>
      <c r="B2845" s="528" t="s">
        <v>8282</v>
      </c>
      <c r="C2845" s="528" t="s">
        <v>8283</v>
      </c>
      <c r="D2845" s="528" t="s">
        <v>277</v>
      </c>
      <c r="E2845" s="528"/>
      <c r="F2845" s="528"/>
      <c r="G2845" s="528" t="s">
        <v>208</v>
      </c>
      <c r="H2845"/>
    </row>
    <row r="2846" spans="1:8" x14ac:dyDescent="0.35">
      <c r="A2846" s="528" t="s">
        <v>8284</v>
      </c>
      <c r="B2846" s="528" t="s">
        <v>8285</v>
      </c>
      <c r="C2846" s="528" t="s">
        <v>8286</v>
      </c>
      <c r="D2846" s="528" t="s">
        <v>251</v>
      </c>
      <c r="E2846" s="528"/>
      <c r="F2846" s="528"/>
      <c r="G2846" s="528" t="s">
        <v>205</v>
      </c>
      <c r="H2846"/>
    </row>
    <row r="2847" spans="1:8" x14ac:dyDescent="0.35">
      <c r="A2847" s="528" t="s">
        <v>8287</v>
      </c>
      <c r="B2847" s="528" t="s">
        <v>8288</v>
      </c>
      <c r="C2847" s="528" t="s">
        <v>1948</v>
      </c>
      <c r="D2847" s="528" t="s">
        <v>238</v>
      </c>
      <c r="E2847" s="528"/>
      <c r="F2847" s="528"/>
      <c r="G2847" s="528" t="s">
        <v>205</v>
      </c>
      <c r="H2847"/>
    </row>
    <row r="2848" spans="1:8" x14ac:dyDescent="0.35">
      <c r="A2848" s="528" t="s">
        <v>8289</v>
      </c>
      <c r="B2848" s="528" t="s">
        <v>8290</v>
      </c>
      <c r="C2848" s="528" t="s">
        <v>3872</v>
      </c>
      <c r="D2848" s="528" t="s">
        <v>225</v>
      </c>
      <c r="E2848" s="528"/>
      <c r="F2848" s="528"/>
      <c r="G2848" s="528" t="s">
        <v>205</v>
      </c>
      <c r="H2848"/>
    </row>
    <row r="2849" spans="1:8" x14ac:dyDescent="0.35">
      <c r="A2849" s="528" t="s">
        <v>8291</v>
      </c>
      <c r="B2849" s="528" t="s">
        <v>8292</v>
      </c>
      <c r="C2849" s="528" t="s">
        <v>8293</v>
      </c>
      <c r="D2849" s="528" t="s">
        <v>277</v>
      </c>
      <c r="E2849" s="528" t="s">
        <v>264</v>
      </c>
      <c r="F2849" s="528"/>
      <c r="G2849" s="528" t="s">
        <v>205</v>
      </c>
      <c r="H2849"/>
    </row>
    <row r="2850" spans="1:8" x14ac:dyDescent="0.35">
      <c r="A2850" s="528" t="s">
        <v>8294</v>
      </c>
      <c r="B2850" s="528" t="s">
        <v>8295</v>
      </c>
      <c r="C2850" s="528" t="s">
        <v>8296</v>
      </c>
      <c r="D2850" s="528" t="s">
        <v>264</v>
      </c>
      <c r="E2850" s="528"/>
      <c r="F2850" s="528"/>
      <c r="G2850" s="528" t="s">
        <v>210</v>
      </c>
      <c r="H2850"/>
    </row>
    <row r="2851" spans="1:8" x14ac:dyDescent="0.35">
      <c r="A2851" s="528" t="s">
        <v>8297</v>
      </c>
      <c r="B2851" s="528" t="s">
        <v>8298</v>
      </c>
      <c r="C2851" s="528" t="s">
        <v>8299</v>
      </c>
      <c r="D2851" s="528" t="s">
        <v>251</v>
      </c>
      <c r="E2851" s="528"/>
      <c r="F2851" s="528"/>
      <c r="G2851" s="528" t="s">
        <v>208</v>
      </c>
      <c r="H2851"/>
    </row>
    <row r="2852" spans="1:8" x14ac:dyDescent="0.35">
      <c r="A2852" s="528" t="s">
        <v>8300</v>
      </c>
      <c r="B2852" s="528" t="s">
        <v>8301</v>
      </c>
      <c r="C2852" s="528" t="s">
        <v>8302</v>
      </c>
      <c r="D2852" s="528" t="s">
        <v>251</v>
      </c>
      <c r="E2852" s="528"/>
      <c r="F2852" s="528"/>
      <c r="G2852" s="528" t="s">
        <v>208</v>
      </c>
      <c r="H2852"/>
    </row>
    <row r="2853" spans="1:8" x14ac:dyDescent="0.35">
      <c r="A2853" s="528" t="s">
        <v>8303</v>
      </c>
      <c r="B2853" s="528" t="s">
        <v>8304</v>
      </c>
      <c r="C2853" s="528" t="s">
        <v>675</v>
      </c>
      <c r="D2853" s="528" t="s">
        <v>277</v>
      </c>
      <c r="E2853" s="528"/>
      <c r="F2853" s="528"/>
      <c r="G2853" s="528" t="s">
        <v>208</v>
      </c>
      <c r="H2853"/>
    </row>
    <row r="2854" spans="1:8" x14ac:dyDescent="0.35">
      <c r="A2854" s="528" t="s">
        <v>8305</v>
      </c>
      <c r="B2854" s="528" t="s">
        <v>8306</v>
      </c>
      <c r="C2854" s="528" t="s">
        <v>2917</v>
      </c>
      <c r="D2854" s="528" t="s">
        <v>277</v>
      </c>
      <c r="E2854" s="528"/>
      <c r="F2854" s="528"/>
      <c r="G2854" s="528" t="s">
        <v>208</v>
      </c>
      <c r="H2854"/>
    </row>
    <row r="2855" spans="1:8" x14ac:dyDescent="0.35">
      <c r="A2855" s="528" t="s">
        <v>8307</v>
      </c>
      <c r="B2855" s="528" t="s">
        <v>8308</v>
      </c>
      <c r="C2855" s="528" t="s">
        <v>8309</v>
      </c>
      <c r="D2855" s="528" t="s">
        <v>225</v>
      </c>
      <c r="E2855" s="528"/>
      <c r="F2855" s="528"/>
      <c r="G2855" s="528" t="s">
        <v>208</v>
      </c>
      <c r="H2855"/>
    </row>
    <row r="2856" spans="1:8" x14ac:dyDescent="0.35">
      <c r="A2856" s="528" t="s">
        <v>8310</v>
      </c>
      <c r="B2856" s="528" t="s">
        <v>8311</v>
      </c>
      <c r="C2856" s="528" t="s">
        <v>8312</v>
      </c>
      <c r="D2856" s="528" t="s">
        <v>225</v>
      </c>
      <c r="E2856" s="528"/>
      <c r="F2856" s="528"/>
      <c r="G2856" s="528" t="s">
        <v>208</v>
      </c>
      <c r="H2856"/>
    </row>
    <row r="2857" spans="1:8" x14ac:dyDescent="0.35">
      <c r="A2857" s="528" t="s">
        <v>8313</v>
      </c>
      <c r="B2857" s="528" t="s">
        <v>8314</v>
      </c>
      <c r="C2857" s="528" t="s">
        <v>8315</v>
      </c>
      <c r="D2857" s="528" t="s">
        <v>264</v>
      </c>
      <c r="E2857" s="528"/>
      <c r="F2857" s="528"/>
      <c r="G2857" s="528" t="s">
        <v>208</v>
      </c>
      <c r="H2857"/>
    </row>
    <row r="2858" spans="1:8" x14ac:dyDescent="0.35">
      <c r="A2858" s="528" t="s">
        <v>8316</v>
      </c>
      <c r="B2858" s="528" t="s">
        <v>8317</v>
      </c>
      <c r="C2858" s="528" t="s">
        <v>1983</v>
      </c>
      <c r="D2858" s="528" t="s">
        <v>225</v>
      </c>
      <c r="E2858" s="528"/>
      <c r="F2858" s="528"/>
      <c r="G2858" s="528" t="s">
        <v>208</v>
      </c>
      <c r="H2858"/>
    </row>
    <row r="2859" spans="1:8" x14ac:dyDescent="0.35">
      <c r="A2859" s="528" t="s">
        <v>8318</v>
      </c>
      <c r="B2859" s="528" t="s">
        <v>8319</v>
      </c>
      <c r="C2859" s="528" t="s">
        <v>8320</v>
      </c>
      <c r="D2859" s="528" t="s">
        <v>264</v>
      </c>
      <c r="E2859" s="528"/>
      <c r="F2859" s="528"/>
      <c r="G2859" s="528" t="s">
        <v>208</v>
      </c>
      <c r="H2859"/>
    </row>
    <row r="2860" spans="1:8" x14ac:dyDescent="0.35">
      <c r="A2860" s="528" t="s">
        <v>8321</v>
      </c>
      <c r="B2860" s="528" t="s">
        <v>8322</v>
      </c>
      <c r="C2860" s="528" t="s">
        <v>1486</v>
      </c>
      <c r="D2860" s="528" t="s">
        <v>225</v>
      </c>
      <c r="E2860" s="528"/>
      <c r="F2860" s="528"/>
      <c r="G2860" s="528" t="s">
        <v>208</v>
      </c>
      <c r="H2860"/>
    </row>
    <row r="2861" spans="1:8" x14ac:dyDescent="0.35">
      <c r="A2861" s="528" t="s">
        <v>8323</v>
      </c>
      <c r="B2861" s="528" t="s">
        <v>8324</v>
      </c>
      <c r="C2861" s="528" t="s">
        <v>3478</v>
      </c>
      <c r="D2861" s="528" t="s">
        <v>264</v>
      </c>
      <c r="E2861" s="528" t="s">
        <v>277</v>
      </c>
      <c r="F2861" s="528"/>
      <c r="G2861" s="528" t="s">
        <v>205</v>
      </c>
      <c r="H2861"/>
    </row>
    <row r="2862" spans="1:8" x14ac:dyDescent="0.35">
      <c r="A2862" s="528" t="s">
        <v>8325</v>
      </c>
      <c r="B2862" s="528" t="s">
        <v>8326</v>
      </c>
      <c r="C2862" s="528" t="s">
        <v>8327</v>
      </c>
      <c r="D2862" s="528" t="s">
        <v>225</v>
      </c>
      <c r="E2862" s="528"/>
      <c r="F2862" s="528"/>
      <c r="G2862" s="528" t="s">
        <v>205</v>
      </c>
      <c r="H2862"/>
    </row>
    <row r="2863" spans="1:8" x14ac:dyDescent="0.35">
      <c r="A2863" s="528" t="s">
        <v>8328</v>
      </c>
      <c r="B2863" s="528" t="s">
        <v>8329</v>
      </c>
      <c r="C2863" s="528" t="s">
        <v>8330</v>
      </c>
      <c r="D2863" s="528" t="s">
        <v>225</v>
      </c>
      <c r="E2863" s="528"/>
      <c r="F2863" s="528"/>
      <c r="G2863" s="528" t="s">
        <v>205</v>
      </c>
      <c r="H2863"/>
    </row>
    <row r="2864" spans="1:8" x14ac:dyDescent="0.35">
      <c r="A2864" s="528" t="s">
        <v>8331</v>
      </c>
      <c r="B2864" s="528" t="s">
        <v>8332</v>
      </c>
      <c r="C2864" s="528" t="s">
        <v>1695</v>
      </c>
      <c r="D2864" s="528" t="s">
        <v>264</v>
      </c>
      <c r="E2864" s="528"/>
      <c r="F2864" s="528"/>
      <c r="G2864" s="528" t="s">
        <v>205</v>
      </c>
      <c r="H2864"/>
    </row>
    <row r="2865" spans="1:8" x14ac:dyDescent="0.35">
      <c r="A2865" s="528" t="s">
        <v>8333</v>
      </c>
      <c r="B2865" s="528" t="s">
        <v>8334</v>
      </c>
      <c r="C2865" s="528" t="s">
        <v>4105</v>
      </c>
      <c r="D2865" s="528" t="s">
        <v>225</v>
      </c>
      <c r="E2865" s="528"/>
      <c r="F2865" s="528"/>
      <c r="G2865" s="528" t="s">
        <v>205</v>
      </c>
      <c r="H2865"/>
    </row>
    <row r="2866" spans="1:8" x14ac:dyDescent="0.35">
      <c r="A2866" s="528" t="s">
        <v>8335</v>
      </c>
      <c r="B2866" s="528" t="s">
        <v>8336</v>
      </c>
      <c r="C2866" s="528" t="s">
        <v>8337</v>
      </c>
      <c r="D2866" s="528" t="s">
        <v>264</v>
      </c>
      <c r="E2866" s="528"/>
      <c r="F2866" s="528"/>
      <c r="G2866" s="528" t="s">
        <v>210</v>
      </c>
      <c r="H2866"/>
    </row>
    <row r="2867" spans="1:8" x14ac:dyDescent="0.35">
      <c r="A2867" s="528" t="s">
        <v>8338</v>
      </c>
      <c r="B2867" s="528" t="s">
        <v>8339</v>
      </c>
      <c r="C2867" s="528" t="s">
        <v>8340</v>
      </c>
      <c r="D2867" s="528" t="s">
        <v>264</v>
      </c>
      <c r="E2867" s="528"/>
      <c r="F2867" s="528"/>
      <c r="G2867" s="528" t="s">
        <v>205</v>
      </c>
      <c r="H2867"/>
    </row>
    <row r="2868" spans="1:8" x14ac:dyDescent="0.35">
      <c r="A2868" s="528" t="s">
        <v>8341</v>
      </c>
      <c r="B2868" s="528" t="s">
        <v>8342</v>
      </c>
      <c r="C2868" s="528" t="s">
        <v>1208</v>
      </c>
      <c r="D2868" s="528" t="s">
        <v>277</v>
      </c>
      <c r="E2868" s="528"/>
      <c r="F2868" s="528"/>
      <c r="G2868" s="528" t="s">
        <v>205</v>
      </c>
      <c r="H2868"/>
    </row>
    <row r="2869" spans="1:8" x14ac:dyDescent="0.35">
      <c r="A2869" s="528" t="s">
        <v>8343</v>
      </c>
      <c r="B2869" s="528" t="s">
        <v>8344</v>
      </c>
      <c r="C2869" s="528" t="s">
        <v>8345</v>
      </c>
      <c r="D2869" s="528" t="s">
        <v>277</v>
      </c>
      <c r="E2869" s="528"/>
      <c r="F2869" s="528"/>
      <c r="G2869" s="528" t="s">
        <v>205</v>
      </c>
      <c r="H2869"/>
    </row>
    <row r="2870" spans="1:8" x14ac:dyDescent="0.35">
      <c r="A2870" s="528" t="s">
        <v>8346</v>
      </c>
      <c r="B2870" s="528" t="s">
        <v>8347</v>
      </c>
      <c r="C2870" s="528" t="s">
        <v>8348</v>
      </c>
      <c r="D2870" s="528" t="s">
        <v>277</v>
      </c>
      <c r="E2870" s="528" t="s">
        <v>264</v>
      </c>
      <c r="F2870" s="528"/>
      <c r="G2870" s="528" t="s">
        <v>205</v>
      </c>
      <c r="H2870"/>
    </row>
    <row r="2871" spans="1:8" x14ac:dyDescent="0.35">
      <c r="A2871" s="528" t="s">
        <v>8349</v>
      </c>
      <c r="B2871" s="528" t="s">
        <v>8350</v>
      </c>
      <c r="C2871" s="528" t="s">
        <v>6415</v>
      </c>
      <c r="D2871" s="528" t="s">
        <v>225</v>
      </c>
      <c r="E2871" s="528"/>
      <c r="F2871" s="528"/>
      <c r="G2871" s="528" t="s">
        <v>205</v>
      </c>
      <c r="H2871"/>
    </row>
    <row r="2872" spans="1:8" x14ac:dyDescent="0.35">
      <c r="A2872" s="528" t="s">
        <v>8351</v>
      </c>
      <c r="B2872" s="528" t="s">
        <v>8352</v>
      </c>
      <c r="C2872" s="528" t="s">
        <v>1413</v>
      </c>
      <c r="D2872" s="528" t="s">
        <v>225</v>
      </c>
      <c r="E2872" s="528"/>
      <c r="F2872" s="528"/>
      <c r="G2872" s="528" t="s">
        <v>208</v>
      </c>
      <c r="H2872"/>
    </row>
    <row r="2873" spans="1:8" x14ac:dyDescent="0.35">
      <c r="A2873" s="528" t="s">
        <v>8353</v>
      </c>
      <c r="B2873" s="528" t="s">
        <v>8354</v>
      </c>
      <c r="C2873" s="528" t="s">
        <v>1317</v>
      </c>
      <c r="D2873" s="528" t="s">
        <v>277</v>
      </c>
      <c r="E2873" s="528"/>
      <c r="F2873" s="528"/>
      <c r="G2873" s="528" t="s">
        <v>205</v>
      </c>
      <c r="H2873"/>
    </row>
    <row r="2874" spans="1:8" x14ac:dyDescent="0.35">
      <c r="A2874" s="528" t="s">
        <v>8355</v>
      </c>
      <c r="B2874" s="528" t="s">
        <v>8356</v>
      </c>
      <c r="C2874" s="528" t="s">
        <v>3446</v>
      </c>
      <c r="D2874" s="528" t="s">
        <v>225</v>
      </c>
      <c r="E2874" s="528"/>
      <c r="F2874" s="528"/>
      <c r="G2874" s="528" t="s">
        <v>205</v>
      </c>
      <c r="H2874"/>
    </row>
    <row r="2875" spans="1:8" x14ac:dyDescent="0.35">
      <c r="A2875" s="528" t="s">
        <v>8357</v>
      </c>
      <c r="B2875" s="528" t="s">
        <v>8358</v>
      </c>
      <c r="C2875" s="528" t="s">
        <v>1211</v>
      </c>
      <c r="D2875" s="528" t="s">
        <v>264</v>
      </c>
      <c r="E2875" s="528"/>
      <c r="F2875" s="528"/>
      <c r="G2875" s="528" t="s">
        <v>205</v>
      </c>
      <c r="H2875"/>
    </row>
    <row r="2876" spans="1:8" x14ac:dyDescent="0.35">
      <c r="A2876" s="528" t="s">
        <v>8359</v>
      </c>
      <c r="B2876" s="528" t="s">
        <v>8360</v>
      </c>
      <c r="C2876" s="528" t="s">
        <v>1745</v>
      </c>
      <c r="D2876" s="528" t="s">
        <v>225</v>
      </c>
      <c r="E2876" s="528"/>
      <c r="F2876" s="528"/>
      <c r="G2876" s="528" t="s">
        <v>205</v>
      </c>
      <c r="H2876"/>
    </row>
    <row r="2877" spans="1:8" x14ac:dyDescent="0.35">
      <c r="A2877" s="528" t="s">
        <v>8361</v>
      </c>
      <c r="B2877" s="528" t="s">
        <v>8362</v>
      </c>
      <c r="C2877" s="528" t="s">
        <v>8363</v>
      </c>
      <c r="D2877" s="528" t="s">
        <v>225</v>
      </c>
      <c r="E2877" s="528"/>
      <c r="F2877" s="528"/>
      <c r="G2877" s="528" t="s">
        <v>205</v>
      </c>
      <c r="H2877"/>
    </row>
    <row r="2878" spans="1:8" x14ac:dyDescent="0.35">
      <c r="A2878" s="528" t="s">
        <v>8364</v>
      </c>
      <c r="B2878" s="528" t="s">
        <v>8365</v>
      </c>
      <c r="C2878" s="528" t="s">
        <v>6826</v>
      </c>
      <c r="D2878" s="528" t="s">
        <v>238</v>
      </c>
      <c r="E2878" s="528" t="s">
        <v>225</v>
      </c>
      <c r="F2878" s="528"/>
      <c r="G2878" s="528" t="s">
        <v>205</v>
      </c>
      <c r="H2878"/>
    </row>
    <row r="2879" spans="1:8" x14ac:dyDescent="0.35">
      <c r="A2879" s="528" t="s">
        <v>8366</v>
      </c>
      <c r="B2879" s="528" t="s">
        <v>8367</v>
      </c>
      <c r="C2879" s="528" t="s">
        <v>8368</v>
      </c>
      <c r="D2879" s="528" t="s">
        <v>225</v>
      </c>
      <c r="E2879" s="528"/>
      <c r="F2879" s="528"/>
      <c r="G2879" s="528" t="s">
        <v>205</v>
      </c>
      <c r="H2879"/>
    </row>
    <row r="2880" spans="1:8" x14ac:dyDescent="0.35">
      <c r="A2880" s="528" t="s">
        <v>8369</v>
      </c>
      <c r="B2880" s="528" t="s">
        <v>8370</v>
      </c>
      <c r="C2880" s="528" t="s">
        <v>3721</v>
      </c>
      <c r="D2880" s="528" t="s">
        <v>225</v>
      </c>
      <c r="E2880" s="528"/>
      <c r="F2880" s="528"/>
      <c r="G2880" s="528" t="s">
        <v>205</v>
      </c>
      <c r="H2880"/>
    </row>
    <row r="2881" spans="1:8" x14ac:dyDescent="0.35">
      <c r="A2881" s="528" t="s">
        <v>8371</v>
      </c>
      <c r="B2881" s="528" t="s">
        <v>8372</v>
      </c>
      <c r="C2881" s="528" t="s">
        <v>8373</v>
      </c>
      <c r="D2881" s="528" t="s">
        <v>225</v>
      </c>
      <c r="E2881" s="528"/>
      <c r="F2881" s="528"/>
      <c r="G2881" s="528" t="s">
        <v>205</v>
      </c>
      <c r="H2881"/>
    </row>
    <row r="2882" spans="1:8" x14ac:dyDescent="0.35">
      <c r="A2882" s="528" t="s">
        <v>8374</v>
      </c>
      <c r="B2882" s="528" t="s">
        <v>8375</v>
      </c>
      <c r="C2882" s="528" t="s">
        <v>8376</v>
      </c>
      <c r="D2882" s="528" t="s">
        <v>225</v>
      </c>
      <c r="E2882" s="528"/>
      <c r="F2882" s="528"/>
      <c r="G2882" s="528" t="s">
        <v>205</v>
      </c>
      <c r="H2882"/>
    </row>
    <row r="2883" spans="1:8" x14ac:dyDescent="0.35">
      <c r="A2883" s="528" t="s">
        <v>8377</v>
      </c>
      <c r="B2883" s="528" t="s">
        <v>8378</v>
      </c>
      <c r="C2883" s="528" t="s">
        <v>474</v>
      </c>
      <c r="D2883" s="528" t="s">
        <v>277</v>
      </c>
      <c r="E2883" s="528"/>
      <c r="F2883" s="528"/>
      <c r="G2883" s="528" t="s">
        <v>205</v>
      </c>
      <c r="H2883"/>
    </row>
    <row r="2884" spans="1:8" x14ac:dyDescent="0.35">
      <c r="A2884" s="528" t="s">
        <v>8379</v>
      </c>
      <c r="B2884" s="528" t="s">
        <v>8380</v>
      </c>
      <c r="C2884" s="528" t="s">
        <v>432</v>
      </c>
      <c r="D2884" s="528" t="s">
        <v>277</v>
      </c>
      <c r="E2884" s="528"/>
      <c r="F2884" s="528"/>
      <c r="G2884" s="528" t="s">
        <v>205</v>
      </c>
      <c r="H2884"/>
    </row>
    <row r="2885" spans="1:8" x14ac:dyDescent="0.35">
      <c r="A2885" s="528" t="s">
        <v>8381</v>
      </c>
      <c r="B2885" s="528" t="s">
        <v>8382</v>
      </c>
      <c r="C2885" s="528" t="s">
        <v>1185</v>
      </c>
      <c r="D2885" s="528" t="s">
        <v>225</v>
      </c>
      <c r="E2885" s="528"/>
      <c r="F2885" s="528"/>
      <c r="G2885" s="528" t="s">
        <v>205</v>
      </c>
      <c r="H2885"/>
    </row>
    <row r="2886" spans="1:8" x14ac:dyDescent="0.35">
      <c r="A2886" s="528" t="s">
        <v>8383</v>
      </c>
      <c r="B2886" s="528" t="s">
        <v>8384</v>
      </c>
      <c r="C2886" s="528" t="s">
        <v>1182</v>
      </c>
      <c r="D2886" s="528" t="s">
        <v>225</v>
      </c>
      <c r="E2886" s="528"/>
      <c r="F2886" s="528"/>
      <c r="G2886" s="528" t="s">
        <v>205</v>
      </c>
      <c r="H2886"/>
    </row>
    <row r="2887" spans="1:8" x14ac:dyDescent="0.35">
      <c r="A2887" s="528" t="s">
        <v>8385</v>
      </c>
      <c r="B2887" s="528" t="s">
        <v>8386</v>
      </c>
      <c r="C2887" s="528" t="s">
        <v>8387</v>
      </c>
      <c r="D2887" s="528" t="s">
        <v>264</v>
      </c>
      <c r="E2887" s="528"/>
      <c r="F2887" s="528"/>
      <c r="G2887" s="528" t="s">
        <v>205</v>
      </c>
      <c r="H2887"/>
    </row>
    <row r="2888" spans="1:8" x14ac:dyDescent="0.35">
      <c r="A2888" s="528" t="s">
        <v>8388</v>
      </c>
      <c r="B2888" s="528" t="s">
        <v>8389</v>
      </c>
      <c r="C2888" s="528" t="s">
        <v>1188</v>
      </c>
      <c r="D2888" s="528" t="s">
        <v>264</v>
      </c>
      <c r="E2888" s="528"/>
      <c r="F2888" s="528"/>
      <c r="G2888" s="528" t="s">
        <v>205</v>
      </c>
      <c r="H2888"/>
    </row>
    <row r="2889" spans="1:8" x14ac:dyDescent="0.35">
      <c r="A2889" s="528" t="s">
        <v>8390</v>
      </c>
      <c r="B2889" s="528" t="s">
        <v>8391</v>
      </c>
      <c r="C2889" s="528" t="s">
        <v>1191</v>
      </c>
      <c r="D2889" s="528" t="s">
        <v>264</v>
      </c>
      <c r="E2889" s="528"/>
      <c r="F2889" s="528"/>
      <c r="G2889" s="528" t="s">
        <v>205</v>
      </c>
      <c r="H2889"/>
    </row>
    <row r="2890" spans="1:8" x14ac:dyDescent="0.35">
      <c r="A2890" s="528" t="s">
        <v>8392</v>
      </c>
      <c r="B2890" s="528" t="s">
        <v>8393</v>
      </c>
      <c r="C2890" s="528" t="s">
        <v>8394</v>
      </c>
      <c r="D2890" s="528" t="s">
        <v>225</v>
      </c>
      <c r="E2890" s="528"/>
      <c r="F2890" s="528"/>
      <c r="G2890" s="528" t="s">
        <v>205</v>
      </c>
      <c r="H2890"/>
    </row>
    <row r="2891" spans="1:8" x14ac:dyDescent="0.35">
      <c r="A2891" s="528" t="s">
        <v>8395</v>
      </c>
      <c r="B2891" s="528" t="s">
        <v>8396</v>
      </c>
      <c r="C2891" s="528" t="s">
        <v>8397</v>
      </c>
      <c r="D2891" s="528" t="s">
        <v>225</v>
      </c>
      <c r="E2891" s="528"/>
      <c r="F2891" s="528"/>
      <c r="G2891" s="528" t="s">
        <v>205</v>
      </c>
      <c r="H2891"/>
    </row>
    <row r="2892" spans="1:8" x14ac:dyDescent="0.35">
      <c r="A2892" s="528" t="s">
        <v>8398</v>
      </c>
      <c r="B2892" s="528" t="s">
        <v>8399</v>
      </c>
      <c r="C2892" s="528" t="s">
        <v>8400</v>
      </c>
      <c r="D2892" s="528" t="s">
        <v>225</v>
      </c>
      <c r="E2892" s="528"/>
      <c r="F2892" s="528"/>
      <c r="G2892" s="528" t="s">
        <v>205</v>
      </c>
      <c r="H2892"/>
    </row>
    <row r="2893" spans="1:8" x14ac:dyDescent="0.35">
      <c r="A2893" s="528" t="s">
        <v>8401</v>
      </c>
      <c r="B2893" s="528" t="s">
        <v>8402</v>
      </c>
      <c r="C2893" s="528" t="s">
        <v>8403</v>
      </c>
      <c r="D2893" s="528" t="s">
        <v>277</v>
      </c>
      <c r="E2893" s="528"/>
      <c r="F2893" s="528"/>
      <c r="G2893" s="528" t="s">
        <v>205</v>
      </c>
      <c r="H2893"/>
    </row>
    <row r="2894" spans="1:8" x14ac:dyDescent="0.35">
      <c r="A2894" s="528" t="s">
        <v>8404</v>
      </c>
      <c r="B2894" s="528" t="s">
        <v>8405</v>
      </c>
      <c r="C2894" s="528" t="s">
        <v>8406</v>
      </c>
      <c r="D2894" s="528" t="s">
        <v>238</v>
      </c>
      <c r="E2894" s="528"/>
      <c r="F2894" s="528"/>
      <c r="G2894" s="528" t="s">
        <v>205</v>
      </c>
      <c r="H2894"/>
    </row>
    <row r="2895" spans="1:8" x14ac:dyDescent="0.35">
      <c r="A2895" s="528" t="s">
        <v>8407</v>
      </c>
      <c r="B2895" s="528" t="s">
        <v>8408</v>
      </c>
      <c r="C2895" s="528" t="s">
        <v>486</v>
      </c>
      <c r="D2895" s="528" t="s">
        <v>238</v>
      </c>
      <c r="E2895" s="528"/>
      <c r="F2895" s="528"/>
      <c r="G2895" s="528" t="s">
        <v>205</v>
      </c>
      <c r="H2895"/>
    </row>
    <row r="2896" spans="1:8" x14ac:dyDescent="0.35">
      <c r="A2896" s="528" t="s">
        <v>8409</v>
      </c>
      <c r="B2896" s="528" t="s">
        <v>8410</v>
      </c>
      <c r="C2896" s="528" t="s">
        <v>8411</v>
      </c>
      <c r="D2896" s="528" t="s">
        <v>238</v>
      </c>
      <c r="E2896" s="528"/>
      <c r="F2896" s="528"/>
      <c r="G2896" s="528" t="s">
        <v>205</v>
      </c>
      <c r="H2896"/>
    </row>
    <row r="2897" spans="1:8" x14ac:dyDescent="0.35">
      <c r="A2897" s="528" t="s">
        <v>8412</v>
      </c>
      <c r="B2897" s="528" t="s">
        <v>8413</v>
      </c>
      <c r="C2897" s="528" t="s">
        <v>8414</v>
      </c>
      <c r="D2897" s="528" t="s">
        <v>251</v>
      </c>
      <c r="E2897" s="528"/>
      <c r="F2897" s="528"/>
      <c r="G2897" s="528" t="s">
        <v>205</v>
      </c>
      <c r="H2897"/>
    </row>
    <row r="2898" spans="1:8" x14ac:dyDescent="0.35">
      <c r="A2898" s="528" t="s">
        <v>8415</v>
      </c>
      <c r="B2898" s="528" t="s">
        <v>8416</v>
      </c>
      <c r="C2898" s="528" t="s">
        <v>1317</v>
      </c>
      <c r="D2898" s="528" t="s">
        <v>277</v>
      </c>
      <c r="E2898" s="528"/>
      <c r="F2898" s="528"/>
      <c r="G2898" s="528" t="s">
        <v>205</v>
      </c>
      <c r="H2898"/>
    </row>
    <row r="2899" spans="1:8" x14ac:dyDescent="0.35">
      <c r="A2899" s="528" t="s">
        <v>8417</v>
      </c>
      <c r="B2899" s="528" t="s">
        <v>8418</v>
      </c>
      <c r="C2899" s="528" t="s">
        <v>8419</v>
      </c>
      <c r="D2899" s="528" t="s">
        <v>238</v>
      </c>
      <c r="E2899" s="528"/>
      <c r="F2899" s="528"/>
      <c r="G2899" s="528" t="s">
        <v>205</v>
      </c>
      <c r="H2899"/>
    </row>
    <row r="2900" spans="1:8" x14ac:dyDescent="0.35">
      <c r="A2900" s="528" t="s">
        <v>8420</v>
      </c>
      <c r="B2900" s="528" t="s">
        <v>8421</v>
      </c>
      <c r="C2900" s="528" t="s">
        <v>1962</v>
      </c>
      <c r="D2900" s="528" t="s">
        <v>264</v>
      </c>
      <c r="E2900" s="528"/>
      <c r="F2900" s="528"/>
      <c r="G2900" s="528" t="s">
        <v>205</v>
      </c>
      <c r="H2900"/>
    </row>
    <row r="2901" spans="1:8" x14ac:dyDescent="0.35">
      <c r="A2901" s="528" t="s">
        <v>8422</v>
      </c>
      <c r="B2901" s="528" t="s">
        <v>8423</v>
      </c>
      <c r="C2901" s="528" t="s">
        <v>822</v>
      </c>
      <c r="D2901" s="528" t="s">
        <v>277</v>
      </c>
      <c r="E2901" s="528"/>
      <c r="F2901" s="528"/>
      <c r="G2901" s="528" t="s">
        <v>205</v>
      </c>
      <c r="H2901"/>
    </row>
    <row r="2902" spans="1:8" x14ac:dyDescent="0.35">
      <c r="A2902" s="528" t="s">
        <v>8424</v>
      </c>
      <c r="B2902" s="528" t="s">
        <v>8425</v>
      </c>
      <c r="C2902" s="528" t="s">
        <v>8426</v>
      </c>
      <c r="D2902" s="528" t="s">
        <v>264</v>
      </c>
      <c r="E2902" s="528"/>
      <c r="F2902" s="528"/>
      <c r="G2902" s="528" t="s">
        <v>205</v>
      </c>
      <c r="H2902"/>
    </row>
    <row r="2903" spans="1:8" x14ac:dyDescent="0.35">
      <c r="A2903" s="528" t="s">
        <v>8427</v>
      </c>
      <c r="B2903" s="528" t="s">
        <v>8428</v>
      </c>
      <c r="C2903" s="528" t="s">
        <v>8400</v>
      </c>
      <c r="D2903" s="528" t="s">
        <v>225</v>
      </c>
      <c r="E2903" s="528"/>
      <c r="F2903" s="528"/>
      <c r="G2903" s="528" t="s">
        <v>205</v>
      </c>
      <c r="H2903"/>
    </row>
    <row r="2904" spans="1:8" x14ac:dyDescent="0.35">
      <c r="A2904" s="528" t="s">
        <v>8429</v>
      </c>
      <c r="B2904" s="528" t="s">
        <v>8430</v>
      </c>
      <c r="C2904" s="528" t="s">
        <v>8431</v>
      </c>
      <c r="D2904" s="528" t="s">
        <v>225</v>
      </c>
      <c r="E2904" s="528"/>
      <c r="F2904" s="528"/>
      <c r="G2904" s="528" t="s">
        <v>205</v>
      </c>
      <c r="H2904"/>
    </row>
    <row r="2905" spans="1:8" x14ac:dyDescent="0.35">
      <c r="A2905" s="528" t="s">
        <v>8432</v>
      </c>
      <c r="B2905" s="528" t="s">
        <v>8433</v>
      </c>
      <c r="C2905" s="528" t="s">
        <v>8434</v>
      </c>
      <c r="D2905" s="528" t="s">
        <v>225</v>
      </c>
      <c r="E2905" s="528"/>
      <c r="F2905" s="528"/>
      <c r="G2905" s="528" t="s">
        <v>205</v>
      </c>
      <c r="H2905"/>
    </row>
    <row r="2906" spans="1:8" x14ac:dyDescent="0.35">
      <c r="A2906" s="528" t="s">
        <v>8435</v>
      </c>
      <c r="B2906" s="528" t="s">
        <v>8436</v>
      </c>
      <c r="C2906" s="528" t="s">
        <v>8437</v>
      </c>
      <c r="D2906" s="528" t="s">
        <v>225</v>
      </c>
      <c r="E2906" s="528"/>
      <c r="F2906" s="528"/>
      <c r="G2906" s="528" t="s">
        <v>205</v>
      </c>
      <c r="H2906"/>
    </row>
    <row r="2907" spans="1:8" x14ac:dyDescent="0.35">
      <c r="A2907" s="528" t="s">
        <v>8438</v>
      </c>
      <c r="B2907" s="528" t="s">
        <v>8439</v>
      </c>
      <c r="C2907" s="528" t="s">
        <v>8440</v>
      </c>
      <c r="D2907" s="528" t="s">
        <v>264</v>
      </c>
      <c r="E2907" s="528"/>
      <c r="F2907" s="528"/>
      <c r="G2907" s="528" t="s">
        <v>205</v>
      </c>
      <c r="H2907"/>
    </row>
    <row r="2908" spans="1:8" x14ac:dyDescent="0.35">
      <c r="A2908" s="528" t="s">
        <v>8441</v>
      </c>
      <c r="B2908" s="528" t="s">
        <v>8442</v>
      </c>
      <c r="C2908" s="528" t="s">
        <v>8443</v>
      </c>
      <c r="D2908" s="528" t="s">
        <v>238</v>
      </c>
      <c r="E2908" s="528"/>
      <c r="F2908" s="528"/>
      <c r="G2908" s="528" t="s">
        <v>208</v>
      </c>
      <c r="H2908"/>
    </row>
    <row r="2909" spans="1:8" x14ac:dyDescent="0.35">
      <c r="A2909" s="528" t="s">
        <v>8444</v>
      </c>
      <c r="B2909" s="528" t="s">
        <v>8445</v>
      </c>
      <c r="C2909" s="528" t="s">
        <v>8446</v>
      </c>
      <c r="D2909" s="528" t="s">
        <v>264</v>
      </c>
      <c r="E2909" s="528"/>
      <c r="F2909" s="528"/>
      <c r="G2909" s="528" t="s">
        <v>208</v>
      </c>
      <c r="H2909"/>
    </row>
    <row r="2910" spans="1:8" x14ac:dyDescent="0.35">
      <c r="A2910" s="528" t="s">
        <v>8447</v>
      </c>
      <c r="B2910" s="528" t="s">
        <v>8448</v>
      </c>
      <c r="C2910" s="528" t="s">
        <v>8449</v>
      </c>
      <c r="D2910" s="528" t="s">
        <v>251</v>
      </c>
      <c r="E2910" s="528"/>
      <c r="F2910" s="528"/>
      <c r="G2910" s="528" t="s">
        <v>208</v>
      </c>
      <c r="H2910"/>
    </row>
    <row r="2911" spans="1:8" x14ac:dyDescent="0.35">
      <c r="A2911" s="528" t="s">
        <v>8450</v>
      </c>
      <c r="B2911" s="528" t="s">
        <v>8451</v>
      </c>
      <c r="C2911" s="528" t="s">
        <v>8452</v>
      </c>
      <c r="D2911" s="528" t="s">
        <v>277</v>
      </c>
      <c r="E2911" s="528"/>
      <c r="F2911" s="528"/>
      <c r="G2911" s="528" t="s">
        <v>208</v>
      </c>
      <c r="H2911"/>
    </row>
    <row r="2912" spans="1:8" x14ac:dyDescent="0.35">
      <c r="A2912" s="528" t="s">
        <v>8453</v>
      </c>
      <c r="B2912" s="528" t="s">
        <v>8454</v>
      </c>
      <c r="C2912" s="528" t="s">
        <v>8455</v>
      </c>
      <c r="D2912" s="528" t="s">
        <v>277</v>
      </c>
      <c r="E2912" s="528"/>
      <c r="F2912" s="528"/>
      <c r="G2912" s="528" t="s">
        <v>208</v>
      </c>
      <c r="H2912"/>
    </row>
    <row r="2913" spans="1:8" x14ac:dyDescent="0.35">
      <c r="A2913" s="528" t="s">
        <v>8456</v>
      </c>
      <c r="B2913" s="528" t="s">
        <v>8457</v>
      </c>
      <c r="C2913" s="528" t="s">
        <v>8458</v>
      </c>
      <c r="D2913" s="528" t="s">
        <v>225</v>
      </c>
      <c r="E2913" s="528"/>
      <c r="F2913" s="528"/>
      <c r="G2913" s="528" t="s">
        <v>205</v>
      </c>
      <c r="H2913"/>
    </row>
    <row r="2914" spans="1:8" x14ac:dyDescent="0.35">
      <c r="A2914" s="528" t="s">
        <v>8459</v>
      </c>
      <c r="B2914" s="528" t="s">
        <v>8460</v>
      </c>
      <c r="C2914" s="528" t="s">
        <v>8461</v>
      </c>
      <c r="D2914" s="528" t="s">
        <v>225</v>
      </c>
      <c r="E2914" s="528"/>
      <c r="F2914" s="528"/>
      <c r="G2914" s="528" t="s">
        <v>205</v>
      </c>
      <c r="H2914"/>
    </row>
    <row r="2915" spans="1:8" x14ac:dyDescent="0.35">
      <c r="A2915" s="528" t="s">
        <v>8462</v>
      </c>
      <c r="B2915" s="528" t="s">
        <v>8463</v>
      </c>
      <c r="C2915" s="528" t="s">
        <v>8464</v>
      </c>
      <c r="D2915" s="528" t="s">
        <v>225</v>
      </c>
      <c r="E2915" s="528"/>
      <c r="F2915" s="528"/>
      <c r="G2915" s="528" t="s">
        <v>208</v>
      </c>
      <c r="H2915"/>
    </row>
    <row r="2916" spans="1:8" x14ac:dyDescent="0.35">
      <c r="A2916" s="528" t="s">
        <v>8465</v>
      </c>
      <c r="B2916" s="528" t="s">
        <v>8466</v>
      </c>
      <c r="C2916" s="528" t="s">
        <v>8467</v>
      </c>
      <c r="D2916" s="528" t="s">
        <v>251</v>
      </c>
      <c r="E2916" s="528"/>
      <c r="F2916" s="528"/>
      <c r="G2916" s="528" t="s">
        <v>208</v>
      </c>
      <c r="H2916"/>
    </row>
    <row r="2917" spans="1:8" x14ac:dyDescent="0.35">
      <c r="A2917" s="528" t="s">
        <v>8468</v>
      </c>
      <c r="B2917" s="528" t="s">
        <v>8469</v>
      </c>
      <c r="C2917" s="528" t="s">
        <v>8470</v>
      </c>
      <c r="D2917" s="528" t="s">
        <v>251</v>
      </c>
      <c r="E2917" s="528"/>
      <c r="F2917" s="528"/>
      <c r="G2917" s="528" t="s">
        <v>205</v>
      </c>
      <c r="H2917"/>
    </row>
    <row r="2918" spans="1:8" x14ac:dyDescent="0.35">
      <c r="A2918" s="528" t="s">
        <v>8471</v>
      </c>
      <c r="B2918" s="528" t="s">
        <v>8472</v>
      </c>
      <c r="C2918" s="528" t="s">
        <v>1305</v>
      </c>
      <c r="D2918" s="528" t="s">
        <v>277</v>
      </c>
      <c r="E2918" s="528"/>
      <c r="F2918" s="528"/>
      <c r="G2918" s="528" t="s">
        <v>205</v>
      </c>
      <c r="H2918"/>
    </row>
    <row r="2919" spans="1:8" x14ac:dyDescent="0.35">
      <c r="A2919" s="528" t="s">
        <v>8473</v>
      </c>
      <c r="B2919" s="528" t="s">
        <v>8474</v>
      </c>
      <c r="C2919" s="528" t="s">
        <v>6826</v>
      </c>
      <c r="D2919" s="528" t="s">
        <v>238</v>
      </c>
      <c r="E2919" s="528"/>
      <c r="F2919" s="528"/>
      <c r="G2919" s="528" t="s">
        <v>205</v>
      </c>
      <c r="H2919"/>
    </row>
    <row r="2920" spans="1:8" x14ac:dyDescent="0.35">
      <c r="A2920" s="528" t="s">
        <v>8475</v>
      </c>
      <c r="B2920" s="528" t="s">
        <v>8476</v>
      </c>
      <c r="C2920" s="528" t="s">
        <v>8477</v>
      </c>
      <c r="D2920" s="528" t="s">
        <v>264</v>
      </c>
      <c r="E2920" s="528"/>
      <c r="F2920" s="528"/>
      <c r="G2920" s="528" t="s">
        <v>205</v>
      </c>
      <c r="H2920"/>
    </row>
    <row r="2921" spans="1:8" x14ac:dyDescent="0.35">
      <c r="A2921" s="528" t="s">
        <v>8478</v>
      </c>
      <c r="B2921" s="528" t="s">
        <v>8479</v>
      </c>
      <c r="C2921" s="528" t="s">
        <v>8480</v>
      </c>
      <c r="D2921" s="528" t="s">
        <v>225</v>
      </c>
      <c r="E2921" s="528"/>
      <c r="F2921" s="528"/>
      <c r="G2921" s="528" t="s">
        <v>205</v>
      </c>
      <c r="H2921"/>
    </row>
    <row r="2922" spans="1:8" x14ac:dyDescent="0.35">
      <c r="A2922" s="528" t="s">
        <v>8481</v>
      </c>
      <c r="B2922" s="528" t="s">
        <v>8482</v>
      </c>
      <c r="C2922" s="528" t="s">
        <v>3869</v>
      </c>
      <c r="D2922" s="528" t="s">
        <v>225</v>
      </c>
      <c r="E2922" s="528"/>
      <c r="F2922" s="528"/>
      <c r="G2922" s="528" t="s">
        <v>205</v>
      </c>
      <c r="H2922"/>
    </row>
    <row r="2923" spans="1:8" x14ac:dyDescent="0.35">
      <c r="A2923" s="528" t="s">
        <v>8483</v>
      </c>
      <c r="B2923" s="528" t="s">
        <v>8484</v>
      </c>
      <c r="C2923" s="528" t="s">
        <v>8485</v>
      </c>
      <c r="D2923" s="528" t="s">
        <v>264</v>
      </c>
      <c r="E2923" s="528"/>
      <c r="F2923" s="528"/>
      <c r="G2923" s="528" t="s">
        <v>205</v>
      </c>
      <c r="H2923"/>
    </row>
    <row r="2924" spans="1:8" x14ac:dyDescent="0.35">
      <c r="A2924" s="528" t="s">
        <v>8486</v>
      </c>
      <c r="B2924" s="528" t="s">
        <v>8487</v>
      </c>
      <c r="C2924" s="528" t="s">
        <v>8488</v>
      </c>
      <c r="D2924" s="528" t="s">
        <v>264</v>
      </c>
      <c r="E2924" s="528"/>
      <c r="F2924" s="528"/>
      <c r="G2924" s="528" t="s">
        <v>205</v>
      </c>
      <c r="H2924"/>
    </row>
    <row r="2925" spans="1:8" x14ac:dyDescent="0.35">
      <c r="A2925" s="528" t="s">
        <v>8489</v>
      </c>
      <c r="B2925" s="528" t="s">
        <v>8490</v>
      </c>
      <c r="C2925" s="528" t="s">
        <v>8491</v>
      </c>
      <c r="D2925" s="528" t="s">
        <v>264</v>
      </c>
      <c r="E2925" s="528"/>
      <c r="F2925" s="528"/>
      <c r="G2925" s="528" t="s">
        <v>210</v>
      </c>
      <c r="H2925"/>
    </row>
    <row r="2926" spans="1:8" x14ac:dyDescent="0.35">
      <c r="A2926" s="528" t="s">
        <v>8492</v>
      </c>
      <c r="B2926" s="528" t="s">
        <v>8493</v>
      </c>
      <c r="C2926" s="528" t="s">
        <v>1504</v>
      </c>
      <c r="D2926" s="528" t="s">
        <v>277</v>
      </c>
      <c r="E2926" s="528"/>
      <c r="F2926" s="528"/>
      <c r="G2926" s="528" t="s">
        <v>205</v>
      </c>
      <c r="H2926"/>
    </row>
    <row r="2927" spans="1:8" x14ac:dyDescent="0.35">
      <c r="A2927" s="528" t="s">
        <v>8494</v>
      </c>
      <c r="B2927" s="528" t="s">
        <v>8495</v>
      </c>
      <c r="C2927" s="528" t="s">
        <v>8496</v>
      </c>
      <c r="D2927" s="528" t="s">
        <v>238</v>
      </c>
      <c r="E2927" s="528"/>
      <c r="F2927" s="528"/>
      <c r="G2927" s="528" t="s">
        <v>205</v>
      </c>
      <c r="H2927"/>
    </row>
    <row r="2928" spans="1:8" x14ac:dyDescent="0.35">
      <c r="A2928" s="528" t="s">
        <v>8497</v>
      </c>
      <c r="B2928" s="528" t="s">
        <v>8498</v>
      </c>
      <c r="C2928" s="528" t="s">
        <v>8499</v>
      </c>
      <c r="D2928" s="528" t="s">
        <v>277</v>
      </c>
      <c r="E2928" s="528"/>
      <c r="F2928" s="528"/>
      <c r="G2928" s="528" t="s">
        <v>205</v>
      </c>
      <c r="H2928"/>
    </row>
    <row r="2929" spans="1:8" x14ac:dyDescent="0.35">
      <c r="A2929" s="528" t="s">
        <v>8500</v>
      </c>
      <c r="B2929" s="528" t="s">
        <v>8501</v>
      </c>
      <c r="C2929" s="528" t="s">
        <v>2598</v>
      </c>
      <c r="D2929" s="528" t="s">
        <v>277</v>
      </c>
      <c r="E2929" s="528"/>
      <c r="F2929" s="528"/>
      <c r="G2929" s="528" t="s">
        <v>205</v>
      </c>
      <c r="H2929"/>
    </row>
    <row r="2930" spans="1:8" x14ac:dyDescent="0.35">
      <c r="A2930" s="528" t="s">
        <v>8502</v>
      </c>
      <c r="B2930" s="528" t="s">
        <v>8503</v>
      </c>
      <c r="C2930" s="528" t="s">
        <v>8504</v>
      </c>
      <c r="D2930" s="528" t="s">
        <v>251</v>
      </c>
      <c r="E2930" s="528"/>
      <c r="F2930" s="528"/>
      <c r="G2930" s="528" t="s">
        <v>208</v>
      </c>
      <c r="H2930"/>
    </row>
    <row r="2931" spans="1:8" x14ac:dyDescent="0.35">
      <c r="A2931" s="528" t="s">
        <v>8505</v>
      </c>
      <c r="B2931" s="528" t="s">
        <v>8506</v>
      </c>
      <c r="C2931" s="528" t="s">
        <v>1845</v>
      </c>
      <c r="D2931" s="528" t="s">
        <v>251</v>
      </c>
      <c r="E2931" s="528"/>
      <c r="F2931" s="528"/>
      <c r="G2931" s="528" t="s">
        <v>205</v>
      </c>
      <c r="H2931"/>
    </row>
    <row r="2932" spans="1:8" x14ac:dyDescent="0.35">
      <c r="A2932" s="528" t="s">
        <v>8507</v>
      </c>
      <c r="B2932" s="528" t="s">
        <v>8508</v>
      </c>
      <c r="C2932" s="528" t="s">
        <v>486</v>
      </c>
      <c r="D2932" s="528" t="s">
        <v>238</v>
      </c>
      <c r="E2932" s="528"/>
      <c r="F2932" s="528"/>
      <c r="G2932" s="528" t="s">
        <v>205</v>
      </c>
      <c r="H2932"/>
    </row>
    <row r="2933" spans="1:8" x14ac:dyDescent="0.35">
      <c r="A2933" s="528" t="s">
        <v>8509</v>
      </c>
      <c r="B2933" s="528" t="s">
        <v>8510</v>
      </c>
      <c r="C2933" s="528" t="s">
        <v>8511</v>
      </c>
      <c r="D2933" s="528" t="s">
        <v>277</v>
      </c>
      <c r="E2933" s="528"/>
      <c r="F2933" s="528"/>
      <c r="G2933" s="528" t="s">
        <v>205</v>
      </c>
      <c r="H2933"/>
    </row>
    <row r="2934" spans="1:8" x14ac:dyDescent="0.35">
      <c r="A2934" s="528" t="s">
        <v>8512</v>
      </c>
      <c r="B2934" s="528" t="s">
        <v>8513</v>
      </c>
      <c r="C2934" s="528" t="s">
        <v>474</v>
      </c>
      <c r="D2934" s="528" t="s">
        <v>277</v>
      </c>
      <c r="E2934" s="528"/>
      <c r="F2934" s="528"/>
      <c r="G2934" s="528" t="s">
        <v>205</v>
      </c>
      <c r="H2934"/>
    </row>
    <row r="2935" spans="1:8" x14ac:dyDescent="0.35">
      <c r="A2935" s="528" t="s">
        <v>8514</v>
      </c>
      <c r="B2935" s="528" t="s">
        <v>8515</v>
      </c>
      <c r="C2935" s="528" t="s">
        <v>8516</v>
      </c>
      <c r="D2935" s="528" t="s">
        <v>251</v>
      </c>
      <c r="E2935" s="528"/>
      <c r="F2935" s="528"/>
      <c r="G2935" s="528" t="s">
        <v>205</v>
      </c>
      <c r="H2935"/>
    </row>
    <row r="2936" spans="1:8" x14ac:dyDescent="0.35">
      <c r="A2936" s="528" t="s">
        <v>8517</v>
      </c>
      <c r="B2936" s="528" t="s">
        <v>8518</v>
      </c>
      <c r="C2936" s="528" t="s">
        <v>5646</v>
      </c>
      <c r="D2936" s="528" t="s">
        <v>264</v>
      </c>
      <c r="E2936" s="528"/>
      <c r="F2936" s="528"/>
      <c r="G2936" s="528" t="s">
        <v>205</v>
      </c>
      <c r="H2936"/>
    </row>
    <row r="2937" spans="1:8" x14ac:dyDescent="0.35">
      <c r="A2937" s="528" t="s">
        <v>8519</v>
      </c>
      <c r="B2937" s="528" t="s">
        <v>8520</v>
      </c>
      <c r="C2937" s="528" t="s">
        <v>423</v>
      </c>
      <c r="D2937" s="528" t="s">
        <v>264</v>
      </c>
      <c r="E2937" s="528"/>
      <c r="F2937" s="528"/>
      <c r="G2937" s="528" t="s">
        <v>205</v>
      </c>
      <c r="H2937"/>
    </row>
    <row r="2938" spans="1:8" x14ac:dyDescent="0.35">
      <c r="A2938" s="528" t="s">
        <v>8521</v>
      </c>
      <c r="B2938" s="528" t="s">
        <v>8522</v>
      </c>
      <c r="C2938" s="528" t="s">
        <v>8523</v>
      </c>
      <c r="D2938" s="528" t="s">
        <v>277</v>
      </c>
      <c r="E2938" s="528"/>
      <c r="F2938" s="528"/>
      <c r="G2938" s="528" t="s">
        <v>208</v>
      </c>
      <c r="H2938"/>
    </row>
    <row r="2939" spans="1:8" x14ac:dyDescent="0.35">
      <c r="A2939" s="528" t="s">
        <v>8524</v>
      </c>
      <c r="B2939" s="528" t="s">
        <v>8525</v>
      </c>
      <c r="C2939" s="528" t="s">
        <v>8526</v>
      </c>
      <c r="D2939" s="528" t="s">
        <v>277</v>
      </c>
      <c r="E2939" s="528"/>
      <c r="F2939" s="528"/>
      <c r="G2939" s="528" t="s">
        <v>208</v>
      </c>
      <c r="H2939"/>
    </row>
    <row r="2940" spans="1:8" x14ac:dyDescent="0.35">
      <c r="A2940" s="528" t="s">
        <v>8527</v>
      </c>
      <c r="B2940" s="528" t="s">
        <v>8528</v>
      </c>
      <c r="C2940" s="528" t="s">
        <v>8529</v>
      </c>
      <c r="D2940" s="528" t="s">
        <v>277</v>
      </c>
      <c r="E2940" s="528"/>
      <c r="F2940" s="528"/>
      <c r="G2940" s="528" t="s">
        <v>208</v>
      </c>
      <c r="H2940"/>
    </row>
    <row r="2941" spans="1:8" x14ac:dyDescent="0.35">
      <c r="A2941" s="528" t="s">
        <v>8530</v>
      </c>
      <c r="B2941" s="528" t="s">
        <v>8531</v>
      </c>
      <c r="C2941" s="528" t="s">
        <v>1264</v>
      </c>
      <c r="D2941" s="528" t="s">
        <v>277</v>
      </c>
      <c r="E2941" s="528"/>
      <c r="F2941" s="528"/>
      <c r="G2941" s="528" t="s">
        <v>205</v>
      </c>
      <c r="H2941"/>
    </row>
    <row r="2942" spans="1:8" x14ac:dyDescent="0.35">
      <c r="A2942" s="528" t="s">
        <v>8532</v>
      </c>
      <c r="B2942" s="528" t="s">
        <v>8533</v>
      </c>
      <c r="C2942" s="528" t="s">
        <v>8534</v>
      </c>
      <c r="D2942" s="528" t="s">
        <v>225</v>
      </c>
      <c r="E2942" s="528"/>
      <c r="F2942" s="528"/>
      <c r="G2942" s="528" t="s">
        <v>205</v>
      </c>
      <c r="H2942"/>
    </row>
    <row r="2943" spans="1:8" x14ac:dyDescent="0.35">
      <c r="A2943" s="528" t="s">
        <v>8535</v>
      </c>
      <c r="B2943" s="528" t="s">
        <v>8536</v>
      </c>
      <c r="C2943" s="528" t="s">
        <v>8537</v>
      </c>
      <c r="D2943" s="528" t="s">
        <v>264</v>
      </c>
      <c r="E2943" s="528"/>
      <c r="F2943" s="528"/>
      <c r="G2943" s="528" t="s">
        <v>205</v>
      </c>
      <c r="H2943"/>
    </row>
    <row r="2944" spans="1:8" x14ac:dyDescent="0.35">
      <c r="A2944" s="528" t="s">
        <v>8538</v>
      </c>
      <c r="B2944" s="528" t="s">
        <v>8539</v>
      </c>
      <c r="C2944" s="528" t="s">
        <v>8540</v>
      </c>
      <c r="D2944" s="528" t="s">
        <v>277</v>
      </c>
      <c r="E2944" s="528"/>
      <c r="F2944" s="528"/>
      <c r="G2944" s="528" t="s">
        <v>208</v>
      </c>
      <c r="H2944"/>
    </row>
    <row r="2945" spans="1:8" x14ac:dyDescent="0.35">
      <c r="A2945" s="528" t="s">
        <v>8541</v>
      </c>
      <c r="B2945" s="528" t="s">
        <v>8542</v>
      </c>
      <c r="C2945" s="528" t="s">
        <v>624</v>
      </c>
      <c r="D2945" s="528" t="s">
        <v>277</v>
      </c>
      <c r="E2945" s="528"/>
      <c r="F2945" s="528"/>
      <c r="G2945" s="528" t="s">
        <v>205</v>
      </c>
      <c r="H2945"/>
    </row>
    <row r="2946" spans="1:8" x14ac:dyDescent="0.35">
      <c r="A2946" s="528" t="s">
        <v>8543</v>
      </c>
      <c r="B2946" s="528" t="s">
        <v>8544</v>
      </c>
      <c r="C2946" s="528" t="s">
        <v>8545</v>
      </c>
      <c r="D2946" s="528" t="s">
        <v>264</v>
      </c>
      <c r="E2946" s="528"/>
      <c r="F2946" s="528"/>
      <c r="G2946" s="528" t="s">
        <v>205</v>
      </c>
      <c r="H2946"/>
    </row>
    <row r="2947" spans="1:8" x14ac:dyDescent="0.35">
      <c r="A2947" s="528" t="s">
        <v>8546</v>
      </c>
      <c r="B2947" s="528" t="s">
        <v>8547</v>
      </c>
      <c r="C2947" s="528" t="s">
        <v>8548</v>
      </c>
      <c r="D2947" s="528" t="s">
        <v>225</v>
      </c>
      <c r="E2947" s="528" t="s">
        <v>264</v>
      </c>
      <c r="F2947" s="528"/>
      <c r="G2947" s="528" t="s">
        <v>205</v>
      </c>
      <c r="H2947"/>
    </row>
    <row r="2948" spans="1:8" x14ac:dyDescent="0.35">
      <c r="A2948" s="528" t="s">
        <v>8549</v>
      </c>
      <c r="B2948" s="528" t="s">
        <v>8550</v>
      </c>
      <c r="C2948" s="528" t="s">
        <v>8551</v>
      </c>
      <c r="D2948" s="528" t="s">
        <v>264</v>
      </c>
      <c r="E2948" s="528"/>
      <c r="F2948" s="528"/>
      <c r="G2948" s="528" t="s">
        <v>205</v>
      </c>
      <c r="H2948"/>
    </row>
    <row r="2949" spans="1:8" x14ac:dyDescent="0.35">
      <c r="A2949" s="528" t="s">
        <v>8552</v>
      </c>
      <c r="B2949" s="528" t="s">
        <v>8553</v>
      </c>
      <c r="C2949" s="528" t="s">
        <v>8554</v>
      </c>
      <c r="D2949" s="528" t="s">
        <v>225</v>
      </c>
      <c r="E2949" s="528"/>
      <c r="F2949" s="528"/>
      <c r="G2949" s="528" t="s">
        <v>205</v>
      </c>
      <c r="H2949"/>
    </row>
    <row r="2950" spans="1:8" x14ac:dyDescent="0.35">
      <c r="A2950" s="528" t="s">
        <v>8555</v>
      </c>
      <c r="B2950" s="528" t="s">
        <v>8556</v>
      </c>
      <c r="C2950" s="528" t="s">
        <v>8557</v>
      </c>
      <c r="D2950" s="528" t="s">
        <v>277</v>
      </c>
      <c r="E2950" s="528"/>
      <c r="F2950" s="528"/>
      <c r="G2950" s="528" t="s">
        <v>205</v>
      </c>
      <c r="H2950"/>
    </row>
    <row r="2951" spans="1:8" x14ac:dyDescent="0.35">
      <c r="A2951" s="528" t="s">
        <v>8558</v>
      </c>
      <c r="B2951" s="528" t="s">
        <v>8559</v>
      </c>
      <c r="C2951" s="528" t="s">
        <v>8560</v>
      </c>
      <c r="D2951" s="528" t="s">
        <v>264</v>
      </c>
      <c r="E2951" s="528"/>
      <c r="F2951" s="528"/>
      <c r="G2951" s="528" t="s">
        <v>210</v>
      </c>
      <c r="H2951"/>
    </row>
    <row r="2952" spans="1:8" x14ac:dyDescent="0.35">
      <c r="A2952" s="528" t="s">
        <v>8561</v>
      </c>
      <c r="B2952" s="528" t="s">
        <v>8562</v>
      </c>
      <c r="C2952" s="528" t="s">
        <v>8563</v>
      </c>
      <c r="D2952" s="528" t="s">
        <v>264</v>
      </c>
      <c r="E2952" s="528"/>
      <c r="F2952" s="528"/>
      <c r="G2952" s="528" t="s">
        <v>205</v>
      </c>
      <c r="H2952"/>
    </row>
    <row r="2953" spans="1:8" x14ac:dyDescent="0.35">
      <c r="A2953" s="528" t="s">
        <v>8564</v>
      </c>
      <c r="B2953" s="528" t="s">
        <v>8565</v>
      </c>
      <c r="C2953" s="528" t="s">
        <v>4173</v>
      </c>
      <c r="D2953" s="528" t="s">
        <v>264</v>
      </c>
      <c r="E2953" s="528"/>
      <c r="F2953" s="528"/>
      <c r="G2953" s="528" t="s">
        <v>208</v>
      </c>
      <c r="H2953"/>
    </row>
    <row r="2954" spans="1:8" x14ac:dyDescent="0.35">
      <c r="A2954" s="528" t="s">
        <v>8566</v>
      </c>
      <c r="B2954" s="528" t="s">
        <v>8567</v>
      </c>
      <c r="C2954" s="528" t="s">
        <v>8568</v>
      </c>
      <c r="D2954" s="528" t="s">
        <v>277</v>
      </c>
      <c r="E2954" s="528"/>
      <c r="F2954" s="528"/>
      <c r="G2954" s="528" t="s">
        <v>205</v>
      </c>
      <c r="H2954"/>
    </row>
    <row r="2955" spans="1:8" x14ac:dyDescent="0.35">
      <c r="A2955" s="528" t="s">
        <v>8569</v>
      </c>
      <c r="B2955" s="528" t="s">
        <v>8570</v>
      </c>
      <c r="C2955" s="528" t="s">
        <v>8571</v>
      </c>
      <c r="D2955" s="528" t="s">
        <v>277</v>
      </c>
      <c r="E2955" s="528"/>
      <c r="F2955" s="528"/>
      <c r="G2955" s="528" t="s">
        <v>205</v>
      </c>
      <c r="H2955"/>
    </row>
    <row r="2956" spans="1:8" x14ac:dyDescent="0.35">
      <c r="A2956" s="528" t="s">
        <v>8572</v>
      </c>
      <c r="B2956" s="528" t="s">
        <v>8573</v>
      </c>
      <c r="C2956" s="528" t="s">
        <v>8574</v>
      </c>
      <c r="D2956" s="528" t="s">
        <v>277</v>
      </c>
      <c r="E2956" s="528"/>
      <c r="F2956" s="528"/>
      <c r="G2956" s="528" t="s">
        <v>205</v>
      </c>
      <c r="H2956"/>
    </row>
    <row r="2957" spans="1:8" x14ac:dyDescent="0.35">
      <c r="A2957" s="528" t="s">
        <v>8575</v>
      </c>
      <c r="B2957" s="528" t="s">
        <v>8576</v>
      </c>
      <c r="C2957" s="528" t="s">
        <v>8577</v>
      </c>
      <c r="D2957" s="528" t="s">
        <v>277</v>
      </c>
      <c r="E2957" s="528"/>
      <c r="F2957" s="528"/>
      <c r="G2957" s="528" t="s">
        <v>205</v>
      </c>
      <c r="H2957"/>
    </row>
    <row r="2958" spans="1:8" x14ac:dyDescent="0.35">
      <c r="A2958" s="528" t="s">
        <v>8578</v>
      </c>
      <c r="B2958" s="528" t="s">
        <v>8579</v>
      </c>
      <c r="C2958" s="528" t="s">
        <v>8529</v>
      </c>
      <c r="D2958" s="528" t="s">
        <v>277</v>
      </c>
      <c r="E2958" s="528"/>
      <c r="F2958" s="528"/>
      <c r="G2958" s="528" t="s">
        <v>208</v>
      </c>
      <c r="H2958"/>
    </row>
    <row r="2959" spans="1:8" x14ac:dyDescent="0.35">
      <c r="A2959" s="528" t="s">
        <v>8580</v>
      </c>
      <c r="B2959" s="528" t="s">
        <v>8581</v>
      </c>
      <c r="C2959" s="528" t="s">
        <v>8582</v>
      </c>
      <c r="D2959" s="528" t="s">
        <v>277</v>
      </c>
      <c r="E2959" s="528"/>
      <c r="F2959" s="528"/>
      <c r="G2959" s="528" t="s">
        <v>208</v>
      </c>
      <c r="H2959"/>
    </row>
    <row r="2960" spans="1:8" x14ac:dyDescent="0.35">
      <c r="A2960" s="528" t="s">
        <v>8583</v>
      </c>
      <c r="B2960" s="528" t="s">
        <v>8584</v>
      </c>
      <c r="C2960" s="528" t="s">
        <v>8585</v>
      </c>
      <c r="D2960" s="528" t="s">
        <v>264</v>
      </c>
      <c r="E2960" s="528"/>
      <c r="F2960" s="528"/>
      <c r="G2960" s="528" t="s">
        <v>205</v>
      </c>
      <c r="H2960"/>
    </row>
    <row r="2961" spans="1:8" x14ac:dyDescent="0.35">
      <c r="A2961" s="528" t="s">
        <v>8586</v>
      </c>
      <c r="B2961" s="528" t="s">
        <v>8587</v>
      </c>
      <c r="C2961" s="528" t="s">
        <v>1695</v>
      </c>
      <c r="D2961" s="528" t="s">
        <v>264</v>
      </c>
      <c r="E2961" s="528"/>
      <c r="F2961" s="528"/>
      <c r="G2961" s="528" t="s">
        <v>205</v>
      </c>
      <c r="H2961"/>
    </row>
    <row r="2962" spans="1:8" x14ac:dyDescent="0.35">
      <c r="A2962" s="528" t="s">
        <v>8588</v>
      </c>
      <c r="B2962" s="528" t="s">
        <v>8589</v>
      </c>
      <c r="C2962" s="528" t="s">
        <v>8590</v>
      </c>
      <c r="D2962" s="528" t="s">
        <v>251</v>
      </c>
      <c r="E2962" s="528"/>
      <c r="F2962" s="528"/>
      <c r="G2962" s="528" t="s">
        <v>205</v>
      </c>
      <c r="H2962"/>
    </row>
    <row r="2963" spans="1:8" x14ac:dyDescent="0.35">
      <c r="A2963" s="528" t="s">
        <v>8591</v>
      </c>
      <c r="B2963" s="528" t="s">
        <v>8592</v>
      </c>
      <c r="C2963" s="528" t="s">
        <v>8593</v>
      </c>
      <c r="D2963" s="528" t="s">
        <v>225</v>
      </c>
      <c r="E2963" s="528"/>
      <c r="F2963" s="528"/>
      <c r="G2963" s="528" t="s">
        <v>205</v>
      </c>
      <c r="H2963"/>
    </row>
    <row r="2964" spans="1:8" x14ac:dyDescent="0.35">
      <c r="A2964" s="528" t="s">
        <v>8594</v>
      </c>
      <c r="B2964" s="528" t="s">
        <v>8595</v>
      </c>
      <c r="C2964" s="528" t="s">
        <v>8596</v>
      </c>
      <c r="D2964" s="528" t="s">
        <v>264</v>
      </c>
      <c r="E2964" s="528"/>
      <c r="F2964" s="528"/>
      <c r="G2964" s="528" t="s">
        <v>205</v>
      </c>
      <c r="H2964"/>
    </row>
    <row r="2965" spans="1:8" x14ac:dyDescent="0.35">
      <c r="A2965" s="528" t="s">
        <v>8597</v>
      </c>
      <c r="B2965" s="528" t="s">
        <v>8598</v>
      </c>
      <c r="C2965" s="528" t="s">
        <v>8599</v>
      </c>
      <c r="D2965" s="528" t="s">
        <v>264</v>
      </c>
      <c r="E2965" s="528"/>
      <c r="F2965" s="528"/>
      <c r="G2965" s="528" t="s">
        <v>205</v>
      </c>
      <c r="H2965"/>
    </row>
    <row r="2966" spans="1:8" x14ac:dyDescent="0.35">
      <c r="A2966" s="528" t="s">
        <v>8600</v>
      </c>
      <c r="B2966" s="528" t="s">
        <v>8601</v>
      </c>
      <c r="C2966" s="528" t="s">
        <v>8602</v>
      </c>
      <c r="D2966" s="528" t="s">
        <v>277</v>
      </c>
      <c r="E2966" s="528"/>
      <c r="F2966" s="528"/>
      <c r="G2966" s="528" t="s">
        <v>205</v>
      </c>
      <c r="H2966"/>
    </row>
    <row r="2967" spans="1:8" x14ac:dyDescent="0.35">
      <c r="A2967" s="528" t="s">
        <v>8603</v>
      </c>
      <c r="B2967" s="528" t="s">
        <v>8604</v>
      </c>
      <c r="C2967" s="528" t="s">
        <v>8605</v>
      </c>
      <c r="D2967" s="528" t="s">
        <v>251</v>
      </c>
      <c r="E2967" s="528"/>
      <c r="F2967" s="528"/>
      <c r="G2967" s="528" t="s">
        <v>205</v>
      </c>
      <c r="H2967"/>
    </row>
    <row r="2968" spans="1:8" x14ac:dyDescent="0.35">
      <c r="A2968" s="528" t="s">
        <v>8606</v>
      </c>
      <c r="B2968" s="528" t="s">
        <v>8607</v>
      </c>
      <c r="C2968" s="528" t="s">
        <v>5425</v>
      </c>
      <c r="D2968" s="528" t="s">
        <v>238</v>
      </c>
      <c r="E2968" s="528"/>
      <c r="F2968" s="528"/>
      <c r="G2968" s="528" t="s">
        <v>205</v>
      </c>
      <c r="H2968"/>
    </row>
    <row r="2969" spans="1:8" x14ac:dyDescent="0.35">
      <c r="A2969" s="528" t="s">
        <v>8608</v>
      </c>
      <c r="B2969" s="528" t="s">
        <v>8609</v>
      </c>
      <c r="C2969" s="528" t="s">
        <v>8610</v>
      </c>
      <c r="D2969" s="528" t="s">
        <v>264</v>
      </c>
      <c r="E2969" s="528"/>
      <c r="F2969" s="528"/>
      <c r="G2969" s="528" t="s">
        <v>205</v>
      </c>
      <c r="H2969"/>
    </row>
    <row r="2970" spans="1:8" x14ac:dyDescent="0.35">
      <c r="A2970" s="528" t="s">
        <v>8611</v>
      </c>
      <c r="B2970" s="528" t="s">
        <v>8612</v>
      </c>
      <c r="C2970" s="528" t="s">
        <v>8613</v>
      </c>
      <c r="D2970" s="528" t="s">
        <v>251</v>
      </c>
      <c r="E2970" s="528" t="s">
        <v>277</v>
      </c>
      <c r="F2970" s="528"/>
      <c r="G2970" s="528" t="s">
        <v>205</v>
      </c>
      <c r="H2970"/>
    </row>
    <row r="2971" spans="1:8" x14ac:dyDescent="0.35">
      <c r="A2971" s="528" t="s">
        <v>8614</v>
      </c>
      <c r="B2971" s="528" t="s">
        <v>8615</v>
      </c>
      <c r="C2971" s="528" t="s">
        <v>8616</v>
      </c>
      <c r="D2971" s="528" t="s">
        <v>251</v>
      </c>
      <c r="E2971" s="528"/>
      <c r="F2971" s="528"/>
      <c r="G2971" s="528" t="s">
        <v>205</v>
      </c>
      <c r="H2971"/>
    </row>
    <row r="2972" spans="1:8" x14ac:dyDescent="0.35">
      <c r="A2972" s="528" t="s">
        <v>8617</v>
      </c>
      <c r="B2972" s="528" t="s">
        <v>8618</v>
      </c>
      <c r="C2972" s="528" t="s">
        <v>8619</v>
      </c>
      <c r="D2972" s="528" t="s">
        <v>225</v>
      </c>
      <c r="E2972" s="528"/>
      <c r="F2972" s="528"/>
      <c r="G2972" s="528" t="s">
        <v>205</v>
      </c>
      <c r="H2972"/>
    </row>
    <row r="2973" spans="1:8" x14ac:dyDescent="0.35">
      <c r="A2973" s="528" t="s">
        <v>8620</v>
      </c>
      <c r="B2973" s="528" t="s">
        <v>8621</v>
      </c>
      <c r="C2973" s="528" t="s">
        <v>8622</v>
      </c>
      <c r="D2973" s="528" t="s">
        <v>251</v>
      </c>
      <c r="E2973" s="528"/>
      <c r="F2973" s="528"/>
      <c r="G2973" s="528" t="s">
        <v>205</v>
      </c>
      <c r="H2973"/>
    </row>
    <row r="2974" spans="1:8" x14ac:dyDescent="0.35">
      <c r="A2974" s="528" t="s">
        <v>8623</v>
      </c>
      <c r="B2974" s="528" t="s">
        <v>8624</v>
      </c>
      <c r="C2974" s="528" t="s">
        <v>8625</v>
      </c>
      <c r="D2974" s="528" t="s">
        <v>238</v>
      </c>
      <c r="E2974" s="528"/>
      <c r="F2974" s="528"/>
      <c r="G2974" s="528" t="s">
        <v>208</v>
      </c>
      <c r="H2974"/>
    </row>
    <row r="2975" spans="1:8" x14ac:dyDescent="0.35">
      <c r="A2975" s="528" t="s">
        <v>8626</v>
      </c>
      <c r="B2975" s="528" t="s">
        <v>8627</v>
      </c>
      <c r="C2975" s="528" t="s">
        <v>8628</v>
      </c>
      <c r="D2975" s="528" t="s">
        <v>238</v>
      </c>
      <c r="E2975" s="528"/>
      <c r="F2975" s="528"/>
      <c r="G2975" s="528" t="s">
        <v>205</v>
      </c>
      <c r="H2975"/>
    </row>
    <row r="2976" spans="1:8" x14ac:dyDescent="0.35">
      <c r="A2976" s="528" t="s">
        <v>8629</v>
      </c>
      <c r="B2976" s="528" t="s">
        <v>8630</v>
      </c>
      <c r="C2976" s="528" t="s">
        <v>8631</v>
      </c>
      <c r="D2976" s="528" t="s">
        <v>277</v>
      </c>
      <c r="E2976" s="528"/>
      <c r="F2976" s="528"/>
      <c r="G2976" s="528" t="s">
        <v>205</v>
      </c>
      <c r="H2976"/>
    </row>
    <row r="2977" spans="1:8" x14ac:dyDescent="0.35">
      <c r="A2977" s="528" t="s">
        <v>8632</v>
      </c>
      <c r="B2977" s="528" t="s">
        <v>8633</v>
      </c>
      <c r="C2977" s="528" t="s">
        <v>8634</v>
      </c>
      <c r="D2977" s="528" t="s">
        <v>264</v>
      </c>
      <c r="E2977" s="528"/>
      <c r="F2977" s="528"/>
      <c r="G2977" s="528" t="s">
        <v>205</v>
      </c>
      <c r="H2977"/>
    </row>
    <row r="2978" spans="1:8" x14ac:dyDescent="0.35">
      <c r="A2978" s="528" t="s">
        <v>8635</v>
      </c>
      <c r="B2978" s="528" t="s">
        <v>8636</v>
      </c>
      <c r="C2978" s="528" t="s">
        <v>8637</v>
      </c>
      <c r="D2978" s="528" t="s">
        <v>251</v>
      </c>
      <c r="E2978" s="528"/>
      <c r="F2978" s="528"/>
      <c r="G2978" s="528" t="s">
        <v>205</v>
      </c>
      <c r="H2978"/>
    </row>
    <row r="2979" spans="1:8" x14ac:dyDescent="0.35">
      <c r="A2979" s="528" t="s">
        <v>8638</v>
      </c>
      <c r="B2979" s="528" t="s">
        <v>8639</v>
      </c>
      <c r="C2979" s="528" t="s">
        <v>8640</v>
      </c>
      <c r="D2979" s="528" t="s">
        <v>264</v>
      </c>
      <c r="E2979" s="528"/>
      <c r="F2979" s="528"/>
      <c r="G2979" s="528" t="s">
        <v>205</v>
      </c>
      <c r="H2979"/>
    </row>
    <row r="2980" spans="1:8" x14ac:dyDescent="0.35">
      <c r="A2980" s="528" t="s">
        <v>8641</v>
      </c>
      <c r="B2980" s="528" t="s">
        <v>8642</v>
      </c>
      <c r="C2980" s="528" t="s">
        <v>1155</v>
      </c>
      <c r="D2980" s="528" t="s">
        <v>251</v>
      </c>
      <c r="E2980" s="528"/>
      <c r="F2980" s="528"/>
      <c r="G2980" s="528" t="s">
        <v>205</v>
      </c>
      <c r="H2980"/>
    </row>
    <row r="2981" spans="1:8" x14ac:dyDescent="0.35">
      <c r="A2981" s="528" t="s">
        <v>8643</v>
      </c>
      <c r="B2981" s="528" t="s">
        <v>8644</v>
      </c>
      <c r="C2981" s="528" t="s">
        <v>8645</v>
      </c>
      <c r="D2981" s="528" t="s">
        <v>277</v>
      </c>
      <c r="E2981" s="528"/>
      <c r="F2981" s="528"/>
      <c r="G2981" s="528" t="s">
        <v>205</v>
      </c>
      <c r="H2981"/>
    </row>
    <row r="2982" spans="1:8" x14ac:dyDescent="0.35">
      <c r="A2982" s="528" t="s">
        <v>8646</v>
      </c>
      <c r="B2982" s="528" t="s">
        <v>8647</v>
      </c>
      <c r="C2982" s="528" t="s">
        <v>8648</v>
      </c>
      <c r="D2982" s="528" t="s">
        <v>277</v>
      </c>
      <c r="E2982" s="528"/>
      <c r="F2982" s="528"/>
      <c r="G2982" s="528" t="s">
        <v>205</v>
      </c>
      <c r="H2982"/>
    </row>
    <row r="2983" spans="1:8" x14ac:dyDescent="0.35">
      <c r="A2983" s="528" t="s">
        <v>8649</v>
      </c>
      <c r="B2983" s="528" t="s">
        <v>8650</v>
      </c>
      <c r="C2983" s="528" t="s">
        <v>3289</v>
      </c>
      <c r="D2983" s="528" t="s">
        <v>251</v>
      </c>
      <c r="E2983" s="528"/>
      <c r="F2983" s="528"/>
      <c r="G2983" s="528" t="s">
        <v>205</v>
      </c>
      <c r="H2983"/>
    </row>
    <row r="2984" spans="1:8" x14ac:dyDescent="0.35">
      <c r="A2984" s="528" t="s">
        <v>8651</v>
      </c>
      <c r="B2984" s="528" t="s">
        <v>8652</v>
      </c>
      <c r="C2984" s="528" t="s">
        <v>8653</v>
      </c>
      <c r="D2984" s="528" t="s">
        <v>277</v>
      </c>
      <c r="E2984" s="528"/>
      <c r="F2984" s="528"/>
      <c r="G2984" s="528" t="s">
        <v>205</v>
      </c>
      <c r="H2984"/>
    </row>
    <row r="2985" spans="1:8" x14ac:dyDescent="0.35">
      <c r="A2985" s="528" t="s">
        <v>8654</v>
      </c>
      <c r="B2985" s="528" t="s">
        <v>8655</v>
      </c>
      <c r="C2985" s="528" t="s">
        <v>8656</v>
      </c>
      <c r="D2985" s="528" t="s">
        <v>277</v>
      </c>
      <c r="E2985" s="528"/>
      <c r="F2985" s="528"/>
      <c r="G2985" s="528" t="s">
        <v>205</v>
      </c>
      <c r="H2985"/>
    </row>
    <row r="2986" spans="1:8" x14ac:dyDescent="0.35">
      <c r="A2986" s="528" t="s">
        <v>8657</v>
      </c>
      <c r="B2986" s="528" t="s">
        <v>8658</v>
      </c>
      <c r="C2986" s="528" t="s">
        <v>8659</v>
      </c>
      <c r="D2986" s="528" t="s">
        <v>238</v>
      </c>
      <c r="E2986" s="528"/>
      <c r="F2986" s="528"/>
      <c r="G2986" s="528" t="s">
        <v>205</v>
      </c>
      <c r="H2986"/>
    </row>
    <row r="2987" spans="1:8" x14ac:dyDescent="0.35">
      <c r="A2987" s="528" t="s">
        <v>8660</v>
      </c>
      <c r="B2987" s="528" t="s">
        <v>8661</v>
      </c>
      <c r="C2987" s="528" t="s">
        <v>8662</v>
      </c>
      <c r="D2987" s="528" t="s">
        <v>251</v>
      </c>
      <c r="E2987" s="528"/>
      <c r="F2987" s="528"/>
      <c r="G2987" s="528" t="s">
        <v>208</v>
      </c>
      <c r="H2987"/>
    </row>
    <row r="2988" spans="1:8" x14ac:dyDescent="0.35">
      <c r="A2988" s="528" t="s">
        <v>8663</v>
      </c>
      <c r="B2988" s="528" t="s">
        <v>8664</v>
      </c>
      <c r="C2988" s="528" t="s">
        <v>8665</v>
      </c>
      <c r="D2988" s="528" t="s">
        <v>251</v>
      </c>
      <c r="E2988" s="528"/>
      <c r="F2988" s="528"/>
      <c r="G2988" s="528" t="s">
        <v>205</v>
      </c>
      <c r="H2988"/>
    </row>
    <row r="2989" spans="1:8" x14ac:dyDescent="0.35">
      <c r="A2989" s="528" t="s">
        <v>8666</v>
      </c>
      <c r="B2989" s="528" t="s">
        <v>8667</v>
      </c>
      <c r="C2989" s="528" t="s">
        <v>8668</v>
      </c>
      <c r="D2989" s="528" t="s">
        <v>251</v>
      </c>
      <c r="E2989" s="528" t="s">
        <v>238</v>
      </c>
      <c r="F2989" s="528"/>
      <c r="G2989" s="528" t="s">
        <v>205</v>
      </c>
      <c r="H2989"/>
    </row>
    <row r="2990" spans="1:8" x14ac:dyDescent="0.35">
      <c r="A2990" s="528" t="s">
        <v>8669</v>
      </c>
      <c r="B2990" s="528" t="s">
        <v>8670</v>
      </c>
      <c r="C2990" s="528" t="s">
        <v>7038</v>
      </c>
      <c r="D2990" s="528" t="s">
        <v>277</v>
      </c>
      <c r="E2990" s="528"/>
      <c r="F2990" s="528"/>
      <c r="G2990" s="528" t="s">
        <v>205</v>
      </c>
      <c r="H2990"/>
    </row>
    <row r="2991" spans="1:8" x14ac:dyDescent="0.35">
      <c r="A2991" s="528" t="s">
        <v>8671</v>
      </c>
      <c r="B2991" s="528" t="s">
        <v>8672</v>
      </c>
      <c r="C2991" s="528" t="s">
        <v>8673</v>
      </c>
      <c r="D2991" s="528" t="s">
        <v>251</v>
      </c>
      <c r="E2991" s="528"/>
      <c r="F2991" s="528"/>
      <c r="G2991" s="528" t="s">
        <v>208</v>
      </c>
      <c r="H2991"/>
    </row>
    <row r="2992" spans="1:8" x14ac:dyDescent="0.35">
      <c r="A2992" s="528" t="s">
        <v>8674</v>
      </c>
      <c r="B2992" s="528" t="s">
        <v>8675</v>
      </c>
      <c r="C2992" s="528" t="s">
        <v>8676</v>
      </c>
      <c r="D2992" s="528" t="s">
        <v>251</v>
      </c>
      <c r="E2992" s="528"/>
      <c r="F2992" s="528"/>
      <c r="G2992" s="528" t="s">
        <v>208</v>
      </c>
      <c r="H2992"/>
    </row>
    <row r="2993" spans="1:8" x14ac:dyDescent="0.35">
      <c r="A2993" s="528" t="s">
        <v>8677</v>
      </c>
      <c r="B2993" s="528" t="s">
        <v>8678</v>
      </c>
      <c r="C2993" s="528" t="s">
        <v>474</v>
      </c>
      <c r="D2993" s="528" t="s">
        <v>277</v>
      </c>
      <c r="E2993" s="528"/>
      <c r="F2993" s="528"/>
      <c r="G2993" s="528" t="s">
        <v>205</v>
      </c>
      <c r="H2993"/>
    </row>
    <row r="2994" spans="1:8" x14ac:dyDescent="0.35">
      <c r="A2994" s="528" t="s">
        <v>8679</v>
      </c>
      <c r="B2994" s="528" t="s">
        <v>8680</v>
      </c>
      <c r="C2994" s="528" t="s">
        <v>8681</v>
      </c>
      <c r="D2994" s="528" t="s">
        <v>251</v>
      </c>
      <c r="E2994" s="528"/>
      <c r="F2994" s="528"/>
      <c r="G2994" s="528" t="s">
        <v>205</v>
      </c>
      <c r="H2994"/>
    </row>
    <row r="2995" spans="1:8" x14ac:dyDescent="0.35">
      <c r="A2995" s="528" t="s">
        <v>8682</v>
      </c>
      <c r="B2995" s="528" t="s">
        <v>8683</v>
      </c>
      <c r="C2995" s="528" t="s">
        <v>1374</v>
      </c>
      <c r="D2995" s="528" t="s">
        <v>238</v>
      </c>
      <c r="E2995" s="528"/>
      <c r="F2995" s="528"/>
      <c r="G2995" s="528" t="s">
        <v>205</v>
      </c>
      <c r="H2995"/>
    </row>
    <row r="2996" spans="1:8" x14ac:dyDescent="0.35">
      <c r="A2996" s="528" t="s">
        <v>8684</v>
      </c>
      <c r="B2996" s="528" t="s">
        <v>8685</v>
      </c>
      <c r="C2996" s="528" t="s">
        <v>1264</v>
      </c>
      <c r="D2996" s="528" t="s">
        <v>264</v>
      </c>
      <c r="E2996" s="528"/>
      <c r="F2996" s="528"/>
      <c r="G2996" s="528" t="s">
        <v>205</v>
      </c>
      <c r="H2996"/>
    </row>
    <row r="2997" spans="1:8" x14ac:dyDescent="0.35">
      <c r="A2997" s="528" t="s">
        <v>8686</v>
      </c>
      <c r="B2997" s="528" t="s">
        <v>8687</v>
      </c>
      <c r="C2997" s="528" t="s">
        <v>8688</v>
      </c>
      <c r="D2997" s="528" t="s">
        <v>225</v>
      </c>
      <c r="E2997" s="528"/>
      <c r="F2997" s="528"/>
      <c r="G2997" s="528" t="s">
        <v>205</v>
      </c>
      <c r="H2997"/>
    </row>
    <row r="2998" spans="1:8" x14ac:dyDescent="0.35">
      <c r="A2998" s="528" t="s">
        <v>8689</v>
      </c>
      <c r="B2998" s="528" t="s">
        <v>8690</v>
      </c>
      <c r="C2998" s="528" t="s">
        <v>1504</v>
      </c>
      <c r="D2998" s="528" t="s">
        <v>277</v>
      </c>
      <c r="E2998" s="528"/>
      <c r="F2998" s="528"/>
      <c r="G2998" s="528" t="s">
        <v>205</v>
      </c>
      <c r="H2998"/>
    </row>
    <row r="2999" spans="1:8" x14ac:dyDescent="0.35">
      <c r="A2999" s="528" t="s">
        <v>8691</v>
      </c>
      <c r="B2999" s="528" t="s">
        <v>8692</v>
      </c>
      <c r="C2999" s="528" t="s">
        <v>8693</v>
      </c>
      <c r="D2999" s="528" t="s">
        <v>264</v>
      </c>
      <c r="E2999" s="528"/>
      <c r="F2999" s="528"/>
      <c r="G2999" s="528" t="s">
        <v>205</v>
      </c>
      <c r="H2999"/>
    </row>
    <row r="3000" spans="1:8" x14ac:dyDescent="0.35">
      <c r="A3000" s="528" t="s">
        <v>8694</v>
      </c>
      <c r="B3000" s="528" t="s">
        <v>8695</v>
      </c>
      <c r="C3000" s="528" t="s">
        <v>8696</v>
      </c>
      <c r="D3000" s="528" t="s">
        <v>277</v>
      </c>
      <c r="E3000" s="528"/>
      <c r="F3000" s="528"/>
      <c r="G3000" s="528" t="s">
        <v>205</v>
      </c>
      <c r="H3000"/>
    </row>
    <row r="3001" spans="1:8" x14ac:dyDescent="0.35">
      <c r="A3001" s="528" t="s">
        <v>8697</v>
      </c>
      <c r="B3001" s="528" t="s">
        <v>8698</v>
      </c>
      <c r="C3001" s="528" t="s">
        <v>8699</v>
      </c>
      <c r="D3001" s="528" t="s">
        <v>264</v>
      </c>
      <c r="E3001" s="528"/>
      <c r="F3001" s="528"/>
      <c r="G3001" s="528" t="s">
        <v>205</v>
      </c>
      <c r="H3001"/>
    </row>
    <row r="3002" spans="1:8" x14ac:dyDescent="0.35">
      <c r="A3002" s="528" t="s">
        <v>8700</v>
      </c>
      <c r="B3002" s="528" t="s">
        <v>8701</v>
      </c>
      <c r="C3002" s="528" t="s">
        <v>8702</v>
      </c>
      <c r="D3002" s="528" t="s">
        <v>277</v>
      </c>
      <c r="E3002" s="528"/>
      <c r="F3002" s="528"/>
      <c r="G3002" s="528" t="s">
        <v>205</v>
      </c>
      <c r="H3002"/>
    </row>
    <row r="3003" spans="1:8" x14ac:dyDescent="0.35">
      <c r="A3003" s="528" t="s">
        <v>8703</v>
      </c>
      <c r="B3003" s="528" t="s">
        <v>8704</v>
      </c>
      <c r="C3003" s="528" t="s">
        <v>8705</v>
      </c>
      <c r="D3003" s="528" t="s">
        <v>277</v>
      </c>
      <c r="E3003" s="528"/>
      <c r="F3003" s="528"/>
      <c r="G3003" s="528" t="s">
        <v>205</v>
      </c>
      <c r="H3003"/>
    </row>
    <row r="3004" spans="1:8" x14ac:dyDescent="0.35">
      <c r="A3004" s="528" t="s">
        <v>8706</v>
      </c>
      <c r="B3004" s="528" t="s">
        <v>8707</v>
      </c>
      <c r="C3004" s="528" t="s">
        <v>8708</v>
      </c>
      <c r="D3004" s="528" t="s">
        <v>277</v>
      </c>
      <c r="E3004" s="528"/>
      <c r="F3004" s="528"/>
      <c r="G3004" s="528" t="s">
        <v>205</v>
      </c>
      <c r="H3004"/>
    </row>
    <row r="3005" spans="1:8" x14ac:dyDescent="0.35">
      <c r="A3005" s="528" t="s">
        <v>8709</v>
      </c>
      <c r="B3005" s="528" t="s">
        <v>8710</v>
      </c>
      <c r="C3005" s="528" t="s">
        <v>8711</v>
      </c>
      <c r="D3005" s="528" t="s">
        <v>264</v>
      </c>
      <c r="E3005" s="528"/>
      <c r="F3005" s="528"/>
      <c r="G3005" s="528" t="s">
        <v>205</v>
      </c>
      <c r="H3005"/>
    </row>
    <row r="3006" spans="1:8" x14ac:dyDescent="0.35">
      <c r="A3006" s="528" t="s">
        <v>8712</v>
      </c>
      <c r="B3006" s="528" t="s">
        <v>8713</v>
      </c>
      <c r="C3006" s="528" t="s">
        <v>8714</v>
      </c>
      <c r="D3006" s="528" t="s">
        <v>251</v>
      </c>
      <c r="E3006" s="528"/>
      <c r="F3006" s="528"/>
      <c r="G3006" s="528" t="s">
        <v>205</v>
      </c>
      <c r="H3006"/>
    </row>
    <row r="3007" spans="1:8" x14ac:dyDescent="0.35">
      <c r="A3007" s="528" t="s">
        <v>8715</v>
      </c>
      <c r="B3007" s="528" t="s">
        <v>8716</v>
      </c>
      <c r="C3007" s="528" t="s">
        <v>8717</v>
      </c>
      <c r="D3007" s="528" t="s">
        <v>225</v>
      </c>
      <c r="E3007" s="528"/>
      <c r="F3007" s="528"/>
      <c r="G3007" s="528" t="s">
        <v>214</v>
      </c>
      <c r="H3007"/>
    </row>
    <row r="3008" spans="1:8" x14ac:dyDescent="0.35">
      <c r="A3008" s="528" t="s">
        <v>8718</v>
      </c>
      <c r="B3008" s="528" t="s">
        <v>8719</v>
      </c>
      <c r="C3008" s="528" t="s">
        <v>8720</v>
      </c>
      <c r="D3008" s="528" t="s">
        <v>277</v>
      </c>
      <c r="E3008" s="528"/>
      <c r="F3008" s="528"/>
      <c r="G3008" s="528" t="s">
        <v>214</v>
      </c>
      <c r="H3008"/>
    </row>
    <row r="3009" spans="1:8" x14ac:dyDescent="0.35">
      <c r="A3009" s="528" t="s">
        <v>8721</v>
      </c>
      <c r="B3009" s="528" t="s">
        <v>8722</v>
      </c>
      <c r="C3009" s="528" t="s">
        <v>8723</v>
      </c>
      <c r="D3009" s="528" t="s">
        <v>264</v>
      </c>
      <c r="E3009" s="528"/>
      <c r="F3009" s="528"/>
      <c r="G3009" s="528" t="s">
        <v>208</v>
      </c>
      <c r="H3009"/>
    </row>
    <row r="3010" spans="1:8" x14ac:dyDescent="0.35">
      <c r="A3010" s="528" t="s">
        <v>8724</v>
      </c>
      <c r="B3010" s="528" t="s">
        <v>8725</v>
      </c>
      <c r="C3010" s="528" t="s">
        <v>8726</v>
      </c>
      <c r="D3010" s="528" t="s">
        <v>277</v>
      </c>
      <c r="E3010" s="528"/>
      <c r="F3010" s="528"/>
      <c r="G3010" s="528" t="s">
        <v>205</v>
      </c>
      <c r="H3010"/>
    </row>
    <row r="3011" spans="1:8" x14ac:dyDescent="0.35">
      <c r="A3011" s="528" t="s">
        <v>8727</v>
      </c>
      <c r="B3011" s="528" t="s">
        <v>8728</v>
      </c>
      <c r="C3011" s="528" t="s">
        <v>8729</v>
      </c>
      <c r="D3011" s="528" t="s">
        <v>264</v>
      </c>
      <c r="E3011" s="528"/>
      <c r="F3011" s="528"/>
      <c r="G3011" s="528" t="s">
        <v>205</v>
      </c>
      <c r="H3011"/>
    </row>
    <row r="3012" spans="1:8" x14ac:dyDescent="0.35">
      <c r="A3012" s="528" t="s">
        <v>8730</v>
      </c>
      <c r="B3012" s="528" t="s">
        <v>8731</v>
      </c>
      <c r="C3012" s="528" t="s">
        <v>8732</v>
      </c>
      <c r="D3012" s="528" t="s">
        <v>264</v>
      </c>
      <c r="E3012" s="528"/>
      <c r="F3012" s="528"/>
      <c r="G3012" s="528" t="s">
        <v>205</v>
      </c>
      <c r="H3012"/>
    </row>
    <row r="3013" spans="1:8" x14ac:dyDescent="0.35">
      <c r="A3013" s="528" t="s">
        <v>8733</v>
      </c>
      <c r="B3013" s="528" t="s">
        <v>8734</v>
      </c>
      <c r="C3013" s="528" t="s">
        <v>8735</v>
      </c>
      <c r="D3013" s="528" t="s">
        <v>277</v>
      </c>
      <c r="E3013" s="528"/>
      <c r="F3013" s="528"/>
      <c r="G3013" s="528" t="s">
        <v>205</v>
      </c>
      <c r="H3013"/>
    </row>
    <row r="3014" spans="1:8" x14ac:dyDescent="0.35">
      <c r="A3014" s="528" t="s">
        <v>8736</v>
      </c>
      <c r="B3014" s="528" t="s">
        <v>8737</v>
      </c>
      <c r="C3014" s="528" t="s">
        <v>8738</v>
      </c>
      <c r="D3014" s="528" t="s">
        <v>264</v>
      </c>
      <c r="E3014" s="528"/>
      <c r="F3014" s="528"/>
      <c r="G3014" s="528" t="s">
        <v>208</v>
      </c>
      <c r="H3014"/>
    </row>
    <row r="3015" spans="1:8" x14ac:dyDescent="0.35">
      <c r="A3015" s="528" t="s">
        <v>8739</v>
      </c>
      <c r="B3015" s="528" t="s">
        <v>8740</v>
      </c>
      <c r="C3015" s="528" t="s">
        <v>8741</v>
      </c>
      <c r="D3015" s="528" t="s">
        <v>277</v>
      </c>
      <c r="E3015" s="528"/>
      <c r="F3015" s="528"/>
      <c r="G3015" s="528" t="s">
        <v>205</v>
      </c>
      <c r="H3015"/>
    </row>
    <row r="3016" spans="1:8" x14ac:dyDescent="0.35">
      <c r="A3016" s="528" t="s">
        <v>8742</v>
      </c>
      <c r="B3016" s="528" t="s">
        <v>8743</v>
      </c>
      <c r="C3016" s="528" t="s">
        <v>8744</v>
      </c>
      <c r="D3016" s="528" t="s">
        <v>225</v>
      </c>
      <c r="E3016" s="528"/>
      <c r="F3016" s="528"/>
      <c r="G3016" s="528" t="s">
        <v>205</v>
      </c>
      <c r="H3016"/>
    </row>
    <row r="3017" spans="1:8" x14ac:dyDescent="0.35">
      <c r="A3017" s="528" t="s">
        <v>8745</v>
      </c>
      <c r="B3017" s="528" t="s">
        <v>8746</v>
      </c>
      <c r="C3017" s="528" t="s">
        <v>8747</v>
      </c>
      <c r="D3017" s="528" t="s">
        <v>225</v>
      </c>
      <c r="E3017" s="528"/>
      <c r="F3017" s="528"/>
      <c r="G3017" s="528" t="s">
        <v>205</v>
      </c>
      <c r="H3017"/>
    </row>
    <row r="3018" spans="1:8" x14ac:dyDescent="0.35">
      <c r="A3018" s="528" t="s">
        <v>8748</v>
      </c>
      <c r="B3018" s="528" t="s">
        <v>8749</v>
      </c>
      <c r="C3018" s="528" t="s">
        <v>2912</v>
      </c>
      <c r="D3018" s="528" t="s">
        <v>225</v>
      </c>
      <c r="E3018" s="528"/>
      <c r="F3018" s="528"/>
      <c r="G3018" s="528" t="s">
        <v>205</v>
      </c>
      <c r="H3018"/>
    </row>
    <row r="3019" spans="1:8" x14ac:dyDescent="0.35">
      <c r="A3019" s="528" t="s">
        <v>8750</v>
      </c>
      <c r="B3019" s="528" t="s">
        <v>8751</v>
      </c>
      <c r="C3019" s="528" t="s">
        <v>1200</v>
      </c>
      <c r="D3019" s="528" t="s">
        <v>225</v>
      </c>
      <c r="E3019" s="528"/>
      <c r="F3019" s="528"/>
      <c r="G3019" s="528" t="s">
        <v>205</v>
      </c>
      <c r="H3019"/>
    </row>
    <row r="3020" spans="1:8" x14ac:dyDescent="0.35">
      <c r="A3020" s="528" t="s">
        <v>8752</v>
      </c>
      <c r="B3020" s="528" t="s">
        <v>8753</v>
      </c>
      <c r="C3020" s="528" t="s">
        <v>8754</v>
      </c>
      <c r="D3020" s="528" t="s">
        <v>277</v>
      </c>
      <c r="E3020" s="528"/>
      <c r="F3020" s="528"/>
      <c r="G3020" s="528" t="s">
        <v>208</v>
      </c>
      <c r="H3020"/>
    </row>
    <row r="3021" spans="1:8" x14ac:dyDescent="0.35">
      <c r="A3021" s="528" t="s">
        <v>8755</v>
      </c>
      <c r="B3021" s="528" t="s">
        <v>8756</v>
      </c>
      <c r="C3021" s="528" t="s">
        <v>1014</v>
      </c>
      <c r="D3021" s="528" t="s">
        <v>277</v>
      </c>
      <c r="E3021" s="528"/>
      <c r="F3021" s="528"/>
      <c r="G3021" s="528" t="s">
        <v>208</v>
      </c>
      <c r="H3021"/>
    </row>
    <row r="3022" spans="1:8" x14ac:dyDescent="0.35">
      <c r="A3022" s="528" t="s">
        <v>8757</v>
      </c>
      <c r="B3022" s="528" t="s">
        <v>8758</v>
      </c>
      <c r="C3022" s="528" t="s">
        <v>8759</v>
      </c>
      <c r="D3022" s="528" t="s">
        <v>264</v>
      </c>
      <c r="E3022" s="528"/>
      <c r="F3022" s="528"/>
      <c r="G3022" s="528" t="s">
        <v>208</v>
      </c>
      <c r="H3022"/>
    </row>
    <row r="3023" spans="1:8" x14ac:dyDescent="0.35">
      <c r="A3023" s="528" t="s">
        <v>8760</v>
      </c>
      <c r="B3023" s="528" t="s">
        <v>8761</v>
      </c>
      <c r="C3023" s="528" t="s">
        <v>8762</v>
      </c>
      <c r="D3023" s="528" t="s">
        <v>277</v>
      </c>
      <c r="E3023" s="528"/>
      <c r="F3023" s="528"/>
      <c r="G3023" s="528" t="s">
        <v>208</v>
      </c>
      <c r="H3023"/>
    </row>
    <row r="3024" spans="1:8" x14ac:dyDescent="0.35">
      <c r="A3024" s="528" t="s">
        <v>8763</v>
      </c>
      <c r="B3024" s="528" t="s">
        <v>8764</v>
      </c>
      <c r="C3024" s="528" t="s">
        <v>8765</v>
      </c>
      <c r="D3024" s="528" t="s">
        <v>264</v>
      </c>
      <c r="E3024" s="528" t="s">
        <v>277</v>
      </c>
      <c r="F3024" s="528"/>
      <c r="G3024" s="528" t="s">
        <v>208</v>
      </c>
      <c r="H3024"/>
    </row>
    <row r="3025" spans="1:8" x14ac:dyDescent="0.35">
      <c r="A3025" s="528" t="s">
        <v>8766</v>
      </c>
      <c r="B3025" s="528" t="s">
        <v>8767</v>
      </c>
      <c r="C3025" s="528" t="s">
        <v>8768</v>
      </c>
      <c r="D3025" s="528" t="s">
        <v>277</v>
      </c>
      <c r="E3025" s="528"/>
      <c r="F3025" s="528"/>
      <c r="G3025" s="528" t="s">
        <v>208</v>
      </c>
      <c r="H3025"/>
    </row>
    <row r="3026" spans="1:8" x14ac:dyDescent="0.35">
      <c r="A3026" s="528" t="s">
        <v>8769</v>
      </c>
      <c r="B3026" s="528" t="s">
        <v>8770</v>
      </c>
      <c r="C3026" s="528" t="s">
        <v>8771</v>
      </c>
      <c r="D3026" s="528" t="s">
        <v>277</v>
      </c>
      <c r="E3026" s="528" t="s">
        <v>264</v>
      </c>
      <c r="F3026" s="528"/>
      <c r="G3026" s="528" t="s">
        <v>208</v>
      </c>
      <c r="H3026"/>
    </row>
    <row r="3027" spans="1:8" x14ac:dyDescent="0.35">
      <c r="A3027" s="528" t="s">
        <v>8772</v>
      </c>
      <c r="B3027" s="528" t="s">
        <v>8773</v>
      </c>
      <c r="C3027" s="528" t="s">
        <v>4818</v>
      </c>
      <c r="D3027" s="528" t="s">
        <v>277</v>
      </c>
      <c r="E3027" s="528" t="s">
        <v>264</v>
      </c>
      <c r="F3027" s="528"/>
      <c r="G3027" s="528" t="s">
        <v>208</v>
      </c>
      <c r="H3027"/>
    </row>
    <row r="3028" spans="1:8" x14ac:dyDescent="0.35">
      <c r="A3028" s="528" t="s">
        <v>8774</v>
      </c>
      <c r="B3028" s="528" t="s">
        <v>8775</v>
      </c>
      <c r="C3028" s="528" t="s">
        <v>8776</v>
      </c>
      <c r="D3028" s="528" t="s">
        <v>264</v>
      </c>
      <c r="E3028" s="528"/>
      <c r="F3028" s="528"/>
      <c r="G3028" s="528" t="s">
        <v>208</v>
      </c>
      <c r="H3028"/>
    </row>
    <row r="3029" spans="1:8" x14ac:dyDescent="0.35">
      <c r="A3029" s="528" t="s">
        <v>8777</v>
      </c>
      <c r="B3029" s="528" t="s">
        <v>8778</v>
      </c>
      <c r="C3029" s="528" t="s">
        <v>8779</v>
      </c>
      <c r="D3029" s="528" t="s">
        <v>238</v>
      </c>
      <c r="E3029" s="528"/>
      <c r="F3029" s="528"/>
      <c r="G3029" s="528" t="s">
        <v>208</v>
      </c>
      <c r="H3029"/>
    </row>
    <row r="3030" spans="1:8" x14ac:dyDescent="0.35">
      <c r="A3030" s="528" t="s">
        <v>8780</v>
      </c>
      <c r="B3030" s="528" t="s">
        <v>8781</v>
      </c>
      <c r="C3030" s="528" t="s">
        <v>8782</v>
      </c>
      <c r="D3030" s="528" t="s">
        <v>264</v>
      </c>
      <c r="E3030" s="528" t="s">
        <v>277</v>
      </c>
      <c r="F3030" s="528"/>
      <c r="G3030" s="528" t="s">
        <v>208</v>
      </c>
      <c r="H3030"/>
    </row>
    <row r="3031" spans="1:8" x14ac:dyDescent="0.35">
      <c r="A3031" s="528" t="s">
        <v>8783</v>
      </c>
      <c r="B3031" s="528" t="s">
        <v>8784</v>
      </c>
      <c r="C3031" s="528" t="s">
        <v>8785</v>
      </c>
      <c r="D3031" s="528" t="s">
        <v>251</v>
      </c>
      <c r="E3031" s="528"/>
      <c r="F3031" s="528"/>
      <c r="G3031" s="528" t="s">
        <v>205</v>
      </c>
      <c r="H3031"/>
    </row>
    <row r="3032" spans="1:8" x14ac:dyDescent="0.35">
      <c r="A3032" s="528" t="s">
        <v>8786</v>
      </c>
      <c r="B3032" s="528" t="s">
        <v>8787</v>
      </c>
      <c r="C3032" s="528" t="s">
        <v>1341</v>
      </c>
      <c r="D3032" s="528" t="s">
        <v>277</v>
      </c>
      <c r="E3032" s="528"/>
      <c r="F3032" s="528"/>
      <c r="G3032" s="528" t="s">
        <v>205</v>
      </c>
      <c r="H3032"/>
    </row>
    <row r="3033" spans="1:8" x14ac:dyDescent="0.35">
      <c r="A3033" s="528" t="s">
        <v>8788</v>
      </c>
      <c r="B3033" s="528" t="s">
        <v>8789</v>
      </c>
      <c r="C3033" s="528" t="s">
        <v>1504</v>
      </c>
      <c r="D3033" s="528" t="s">
        <v>277</v>
      </c>
      <c r="E3033" s="528"/>
      <c r="F3033" s="528"/>
      <c r="G3033" s="528" t="s">
        <v>205</v>
      </c>
      <c r="H3033"/>
    </row>
    <row r="3034" spans="1:8" x14ac:dyDescent="0.35">
      <c r="A3034" s="528" t="s">
        <v>8790</v>
      </c>
      <c r="B3034" s="528" t="s">
        <v>8791</v>
      </c>
      <c r="C3034" s="528" t="s">
        <v>8792</v>
      </c>
      <c r="D3034" s="528" t="s">
        <v>264</v>
      </c>
      <c r="E3034" s="528"/>
      <c r="F3034" s="528"/>
      <c r="G3034" s="528" t="s">
        <v>205</v>
      </c>
      <c r="H3034"/>
    </row>
    <row r="3035" spans="1:8" x14ac:dyDescent="0.35">
      <c r="A3035" s="528" t="s">
        <v>8793</v>
      </c>
      <c r="B3035" s="528" t="s">
        <v>8794</v>
      </c>
      <c r="C3035" s="528" t="s">
        <v>8795</v>
      </c>
      <c r="D3035" s="528" t="s">
        <v>225</v>
      </c>
      <c r="E3035" s="528"/>
      <c r="F3035" s="528"/>
      <c r="G3035" s="528" t="s">
        <v>208</v>
      </c>
      <c r="H3035"/>
    </row>
    <row r="3036" spans="1:8" x14ac:dyDescent="0.35">
      <c r="A3036" s="528" t="s">
        <v>8796</v>
      </c>
      <c r="B3036" s="528" t="s">
        <v>8797</v>
      </c>
      <c r="C3036" s="528" t="s">
        <v>8798</v>
      </c>
      <c r="D3036" s="528" t="s">
        <v>225</v>
      </c>
      <c r="E3036" s="528"/>
      <c r="F3036" s="528"/>
      <c r="G3036" s="528" t="s">
        <v>208</v>
      </c>
      <c r="H3036"/>
    </row>
    <row r="3037" spans="1:8" x14ac:dyDescent="0.35">
      <c r="A3037" s="528" t="s">
        <v>8799</v>
      </c>
      <c r="B3037" s="528" t="s">
        <v>8800</v>
      </c>
      <c r="C3037" s="528" t="s">
        <v>3330</v>
      </c>
      <c r="D3037" s="528" t="s">
        <v>225</v>
      </c>
      <c r="E3037" s="528"/>
      <c r="F3037" s="528"/>
      <c r="G3037" s="528" t="s">
        <v>208</v>
      </c>
      <c r="H3037"/>
    </row>
    <row r="3038" spans="1:8" x14ac:dyDescent="0.35">
      <c r="A3038" s="528" t="s">
        <v>8801</v>
      </c>
      <c r="B3038" s="528" t="s">
        <v>8802</v>
      </c>
      <c r="C3038" s="528" t="s">
        <v>8803</v>
      </c>
      <c r="D3038" s="528" t="s">
        <v>264</v>
      </c>
      <c r="E3038" s="528"/>
      <c r="F3038" s="528"/>
      <c r="G3038" s="528" t="s">
        <v>205</v>
      </c>
      <c r="H3038"/>
    </row>
    <row r="3039" spans="1:8" x14ac:dyDescent="0.35">
      <c r="A3039" s="528" t="s">
        <v>8804</v>
      </c>
      <c r="B3039" s="528" t="s">
        <v>8805</v>
      </c>
      <c r="C3039" s="528" t="s">
        <v>1848</v>
      </c>
      <c r="D3039" s="528" t="s">
        <v>251</v>
      </c>
      <c r="E3039" s="528"/>
      <c r="F3039" s="528"/>
      <c r="G3039" s="528" t="s">
        <v>205</v>
      </c>
      <c r="H3039"/>
    </row>
    <row r="3040" spans="1:8" x14ac:dyDescent="0.35">
      <c r="A3040" s="528" t="s">
        <v>8806</v>
      </c>
      <c r="B3040" s="528" t="s">
        <v>8807</v>
      </c>
      <c r="C3040" s="528" t="s">
        <v>8808</v>
      </c>
      <c r="D3040" s="528" t="s">
        <v>251</v>
      </c>
      <c r="E3040" s="528"/>
      <c r="F3040" s="528"/>
      <c r="G3040" s="528" t="s">
        <v>205</v>
      </c>
      <c r="H3040"/>
    </row>
    <row r="3041" spans="1:8" x14ac:dyDescent="0.35">
      <c r="A3041" s="528" t="s">
        <v>8809</v>
      </c>
      <c r="B3041" s="528" t="s">
        <v>8810</v>
      </c>
      <c r="C3041" s="528" t="s">
        <v>1288</v>
      </c>
      <c r="D3041" s="528" t="s">
        <v>277</v>
      </c>
      <c r="E3041" s="528"/>
      <c r="F3041" s="528"/>
      <c r="G3041" s="528" t="s">
        <v>205</v>
      </c>
      <c r="H3041"/>
    </row>
    <row r="3042" spans="1:8" x14ac:dyDescent="0.35">
      <c r="A3042" s="528" t="s">
        <v>8811</v>
      </c>
      <c r="B3042" s="528" t="s">
        <v>8812</v>
      </c>
      <c r="C3042" s="528" t="s">
        <v>8813</v>
      </c>
      <c r="D3042" s="528" t="s">
        <v>264</v>
      </c>
      <c r="E3042" s="528"/>
      <c r="F3042" s="528"/>
      <c r="G3042" s="528" t="s">
        <v>205</v>
      </c>
      <c r="H3042"/>
    </row>
    <row r="3043" spans="1:8" x14ac:dyDescent="0.35">
      <c r="A3043" s="528" t="s">
        <v>8814</v>
      </c>
      <c r="B3043" s="528" t="s">
        <v>8815</v>
      </c>
      <c r="C3043" s="528" t="s">
        <v>1533</v>
      </c>
      <c r="D3043" s="528" t="s">
        <v>277</v>
      </c>
      <c r="E3043" s="528"/>
      <c r="F3043" s="528"/>
      <c r="G3043" s="528" t="s">
        <v>205</v>
      </c>
      <c r="H3043"/>
    </row>
    <row r="3044" spans="1:8" x14ac:dyDescent="0.35">
      <c r="A3044" s="528" t="s">
        <v>8816</v>
      </c>
      <c r="B3044" s="528" t="s">
        <v>8817</v>
      </c>
      <c r="C3044" s="528" t="s">
        <v>8818</v>
      </c>
      <c r="D3044" s="528" t="s">
        <v>277</v>
      </c>
      <c r="E3044" s="528"/>
      <c r="F3044" s="528"/>
      <c r="G3044" s="528" t="s">
        <v>205</v>
      </c>
      <c r="H3044"/>
    </row>
    <row r="3045" spans="1:8" x14ac:dyDescent="0.35">
      <c r="A3045" s="528" t="s">
        <v>8819</v>
      </c>
      <c r="B3045" s="528" t="s">
        <v>8820</v>
      </c>
      <c r="C3045" s="528" t="s">
        <v>8821</v>
      </c>
      <c r="D3045" s="528" t="s">
        <v>277</v>
      </c>
      <c r="E3045" s="528"/>
      <c r="F3045" s="528"/>
      <c r="G3045" s="528" t="s">
        <v>205</v>
      </c>
      <c r="H3045"/>
    </row>
    <row r="3046" spans="1:8" x14ac:dyDescent="0.35">
      <c r="A3046" s="528" t="s">
        <v>8822</v>
      </c>
      <c r="B3046" s="528" t="s">
        <v>8823</v>
      </c>
      <c r="C3046" s="528" t="s">
        <v>8824</v>
      </c>
      <c r="D3046" s="528" t="s">
        <v>277</v>
      </c>
      <c r="E3046" s="528"/>
      <c r="F3046" s="528"/>
      <c r="G3046" s="528" t="s">
        <v>208</v>
      </c>
      <c r="H3046"/>
    </row>
    <row r="3047" spans="1:8" x14ac:dyDescent="0.35">
      <c r="A3047" s="528" t="s">
        <v>8825</v>
      </c>
      <c r="B3047" s="528" t="s">
        <v>8826</v>
      </c>
      <c r="C3047" s="528" t="s">
        <v>8827</v>
      </c>
      <c r="D3047" s="528" t="s">
        <v>238</v>
      </c>
      <c r="E3047" s="528"/>
      <c r="F3047" s="528"/>
      <c r="G3047" s="528" t="s">
        <v>208</v>
      </c>
      <c r="H3047"/>
    </row>
    <row r="3048" spans="1:8" x14ac:dyDescent="0.35">
      <c r="A3048" s="528" t="s">
        <v>8828</v>
      </c>
      <c r="B3048" s="528" t="s">
        <v>8829</v>
      </c>
      <c r="C3048" s="528" t="s">
        <v>8830</v>
      </c>
      <c r="D3048" s="528" t="s">
        <v>277</v>
      </c>
      <c r="E3048" s="528"/>
      <c r="F3048" s="528"/>
      <c r="G3048" s="528" t="s">
        <v>208</v>
      </c>
      <c r="H3048"/>
    </row>
    <row r="3049" spans="1:8" x14ac:dyDescent="0.35">
      <c r="A3049" s="528" t="s">
        <v>8831</v>
      </c>
      <c r="B3049" s="528" t="s">
        <v>8832</v>
      </c>
      <c r="C3049" s="528" t="s">
        <v>8833</v>
      </c>
      <c r="D3049" s="528" t="s">
        <v>277</v>
      </c>
      <c r="E3049" s="528"/>
      <c r="F3049" s="528"/>
      <c r="G3049" s="528" t="s">
        <v>208</v>
      </c>
      <c r="H3049"/>
    </row>
    <row r="3050" spans="1:8" x14ac:dyDescent="0.35">
      <c r="A3050" s="528" t="s">
        <v>8834</v>
      </c>
      <c r="B3050" s="528" t="s">
        <v>8835</v>
      </c>
      <c r="C3050" s="528" t="s">
        <v>8836</v>
      </c>
      <c r="D3050" s="528" t="s">
        <v>251</v>
      </c>
      <c r="E3050" s="528"/>
      <c r="F3050" s="528"/>
      <c r="G3050" s="528" t="s">
        <v>208</v>
      </c>
      <c r="H3050"/>
    </row>
    <row r="3051" spans="1:8" x14ac:dyDescent="0.35">
      <c r="A3051" s="528" t="s">
        <v>8837</v>
      </c>
      <c r="B3051" s="528" t="s">
        <v>8838</v>
      </c>
      <c r="C3051" s="528" t="s">
        <v>693</v>
      </c>
      <c r="D3051" s="528" t="s">
        <v>264</v>
      </c>
      <c r="E3051" s="528"/>
      <c r="F3051" s="528"/>
      <c r="G3051" s="528" t="s">
        <v>208</v>
      </c>
      <c r="H3051"/>
    </row>
    <row r="3052" spans="1:8" x14ac:dyDescent="0.35">
      <c r="A3052" s="528" t="s">
        <v>8839</v>
      </c>
      <c r="B3052" s="528" t="s">
        <v>8840</v>
      </c>
      <c r="C3052" s="528" t="s">
        <v>8841</v>
      </c>
      <c r="D3052" s="528" t="s">
        <v>251</v>
      </c>
      <c r="E3052" s="528"/>
      <c r="F3052" s="528"/>
      <c r="G3052" s="528" t="s">
        <v>208</v>
      </c>
      <c r="H3052"/>
    </row>
    <row r="3053" spans="1:8" x14ac:dyDescent="0.35">
      <c r="A3053" s="528" t="s">
        <v>8842</v>
      </c>
      <c r="B3053" s="528" t="s">
        <v>8843</v>
      </c>
      <c r="C3053" s="528" t="s">
        <v>8844</v>
      </c>
      <c r="D3053" s="528" t="s">
        <v>225</v>
      </c>
      <c r="E3053" s="528"/>
      <c r="F3053" s="528"/>
      <c r="G3053" s="528" t="s">
        <v>208</v>
      </c>
      <c r="H3053"/>
    </row>
    <row r="3054" spans="1:8" x14ac:dyDescent="0.35">
      <c r="A3054" s="528" t="s">
        <v>8845</v>
      </c>
      <c r="B3054" s="528" t="s">
        <v>8846</v>
      </c>
      <c r="C3054" s="528" t="s">
        <v>8847</v>
      </c>
      <c r="D3054" s="528" t="s">
        <v>225</v>
      </c>
      <c r="E3054" s="528"/>
      <c r="F3054" s="528"/>
      <c r="G3054" s="528" t="s">
        <v>208</v>
      </c>
      <c r="H3054"/>
    </row>
    <row r="3055" spans="1:8" x14ac:dyDescent="0.35">
      <c r="A3055" s="528" t="s">
        <v>8848</v>
      </c>
      <c r="B3055" s="528" t="s">
        <v>8849</v>
      </c>
      <c r="C3055" s="528" t="s">
        <v>8850</v>
      </c>
      <c r="D3055" s="528" t="s">
        <v>264</v>
      </c>
      <c r="E3055" s="528"/>
      <c r="F3055" s="528"/>
      <c r="G3055" s="528" t="s">
        <v>205</v>
      </c>
      <c r="H3055"/>
    </row>
    <row r="3056" spans="1:8" x14ac:dyDescent="0.35">
      <c r="A3056" s="528" t="s">
        <v>8851</v>
      </c>
      <c r="B3056" s="528" t="s">
        <v>8852</v>
      </c>
      <c r="C3056" s="528" t="s">
        <v>2613</v>
      </c>
      <c r="D3056" s="528" t="s">
        <v>238</v>
      </c>
      <c r="E3056" s="528"/>
      <c r="F3056" s="528"/>
      <c r="G3056" s="528" t="s">
        <v>205</v>
      </c>
      <c r="H3056"/>
    </row>
    <row r="3057" spans="1:8" x14ac:dyDescent="0.35">
      <c r="A3057" s="528" t="s">
        <v>8853</v>
      </c>
      <c r="B3057" s="528" t="s">
        <v>8854</v>
      </c>
      <c r="C3057" s="528" t="s">
        <v>1477</v>
      </c>
      <c r="D3057" s="528" t="s">
        <v>264</v>
      </c>
      <c r="E3057" s="528"/>
      <c r="F3057" s="528"/>
      <c r="G3057" s="528" t="s">
        <v>205</v>
      </c>
      <c r="H3057"/>
    </row>
    <row r="3058" spans="1:8" x14ac:dyDescent="0.35">
      <c r="A3058" s="528" t="s">
        <v>8855</v>
      </c>
      <c r="B3058" s="528" t="s">
        <v>8856</v>
      </c>
      <c r="C3058" s="528" t="s">
        <v>8857</v>
      </c>
      <c r="D3058" s="528" t="s">
        <v>251</v>
      </c>
      <c r="E3058" s="528"/>
      <c r="F3058" s="528"/>
      <c r="G3058" s="528" t="s">
        <v>205</v>
      </c>
      <c r="H3058"/>
    </row>
    <row r="3059" spans="1:8" x14ac:dyDescent="0.35">
      <c r="A3059" s="528" t="s">
        <v>8858</v>
      </c>
      <c r="B3059" s="528" t="s">
        <v>8859</v>
      </c>
      <c r="C3059" s="528" t="s">
        <v>5748</v>
      </c>
      <c r="D3059" s="528" t="s">
        <v>225</v>
      </c>
      <c r="E3059" s="528"/>
      <c r="F3059" s="528"/>
      <c r="G3059" s="528" t="s">
        <v>205</v>
      </c>
      <c r="H3059"/>
    </row>
    <row r="3060" spans="1:8" x14ac:dyDescent="0.35">
      <c r="A3060" s="528" t="s">
        <v>8860</v>
      </c>
      <c r="B3060" s="528" t="s">
        <v>8861</v>
      </c>
      <c r="C3060" s="528" t="s">
        <v>8862</v>
      </c>
      <c r="D3060" s="528" t="s">
        <v>225</v>
      </c>
      <c r="E3060" s="528"/>
      <c r="F3060" s="528"/>
      <c r="G3060" s="528" t="s">
        <v>205</v>
      </c>
      <c r="H3060"/>
    </row>
    <row r="3061" spans="1:8" x14ac:dyDescent="0.35">
      <c r="A3061" s="528" t="s">
        <v>8863</v>
      </c>
      <c r="B3061" s="528" t="s">
        <v>8864</v>
      </c>
      <c r="C3061" s="528" t="s">
        <v>8865</v>
      </c>
      <c r="D3061" s="528" t="s">
        <v>251</v>
      </c>
      <c r="E3061" s="528"/>
      <c r="F3061" s="528"/>
      <c r="G3061" s="528" t="s">
        <v>205</v>
      </c>
      <c r="H3061"/>
    </row>
    <row r="3062" spans="1:8" x14ac:dyDescent="0.35">
      <c r="A3062" s="528" t="s">
        <v>8866</v>
      </c>
      <c r="B3062" s="528" t="s">
        <v>8867</v>
      </c>
      <c r="C3062" s="528" t="s">
        <v>1792</v>
      </c>
      <c r="D3062" s="528" t="s">
        <v>277</v>
      </c>
      <c r="E3062" s="528"/>
      <c r="F3062" s="528"/>
      <c r="G3062" s="528" t="s">
        <v>208</v>
      </c>
      <c r="H3062"/>
    </row>
    <row r="3063" spans="1:8" x14ac:dyDescent="0.35">
      <c r="A3063" s="528" t="s">
        <v>8868</v>
      </c>
      <c r="B3063" s="528" t="s">
        <v>8869</v>
      </c>
      <c r="C3063" s="528" t="s">
        <v>8870</v>
      </c>
      <c r="D3063" s="528" t="s">
        <v>277</v>
      </c>
      <c r="E3063" s="528"/>
      <c r="F3063" s="528"/>
      <c r="G3063" s="528" t="s">
        <v>208</v>
      </c>
      <c r="H3063"/>
    </row>
    <row r="3064" spans="1:8" x14ac:dyDescent="0.35">
      <c r="A3064" s="528" t="s">
        <v>8871</v>
      </c>
      <c r="B3064" s="528" t="s">
        <v>8872</v>
      </c>
      <c r="C3064" s="528" t="s">
        <v>8873</v>
      </c>
      <c r="D3064" s="528" t="s">
        <v>264</v>
      </c>
      <c r="E3064" s="528"/>
      <c r="F3064" s="528"/>
      <c r="G3064" s="528" t="s">
        <v>208</v>
      </c>
      <c r="H3064"/>
    </row>
    <row r="3065" spans="1:8" x14ac:dyDescent="0.35">
      <c r="A3065" s="528" t="s">
        <v>8874</v>
      </c>
      <c r="B3065" s="528" t="s">
        <v>8875</v>
      </c>
      <c r="C3065" s="528" t="s">
        <v>8876</v>
      </c>
      <c r="D3065" s="528" t="s">
        <v>264</v>
      </c>
      <c r="E3065" s="528"/>
      <c r="F3065" s="528"/>
      <c r="G3065" s="528" t="s">
        <v>210</v>
      </c>
      <c r="H3065"/>
    </row>
    <row r="3066" spans="1:8" x14ac:dyDescent="0.35">
      <c r="A3066" s="528" t="s">
        <v>8877</v>
      </c>
      <c r="B3066" s="528" t="s">
        <v>8878</v>
      </c>
      <c r="C3066" s="528" t="s">
        <v>8879</v>
      </c>
      <c r="D3066" s="528" t="s">
        <v>277</v>
      </c>
      <c r="E3066" s="528"/>
      <c r="F3066" s="528"/>
      <c r="G3066" s="528" t="s">
        <v>205</v>
      </c>
      <c r="H3066"/>
    </row>
    <row r="3067" spans="1:8" x14ac:dyDescent="0.35">
      <c r="A3067" s="528" t="s">
        <v>8880</v>
      </c>
      <c r="B3067" s="528" t="s">
        <v>8881</v>
      </c>
      <c r="C3067" s="528" t="s">
        <v>1188</v>
      </c>
      <c r="D3067" s="528" t="s">
        <v>264</v>
      </c>
      <c r="E3067" s="528"/>
      <c r="F3067" s="528"/>
      <c r="G3067" s="528" t="s">
        <v>205</v>
      </c>
      <c r="H3067"/>
    </row>
    <row r="3068" spans="1:8" x14ac:dyDescent="0.35">
      <c r="A3068" s="528" t="s">
        <v>8882</v>
      </c>
      <c r="B3068" s="528" t="s">
        <v>8883</v>
      </c>
      <c r="C3068" s="528" t="s">
        <v>8884</v>
      </c>
      <c r="D3068" s="528" t="s">
        <v>264</v>
      </c>
      <c r="E3068" s="528"/>
      <c r="F3068" s="528"/>
      <c r="G3068" s="528" t="s">
        <v>208</v>
      </c>
      <c r="H3068"/>
    </row>
    <row r="3069" spans="1:8" x14ac:dyDescent="0.35">
      <c r="A3069" s="528" t="s">
        <v>8885</v>
      </c>
      <c r="B3069" s="528" t="s">
        <v>8886</v>
      </c>
      <c r="C3069" s="528" t="s">
        <v>8887</v>
      </c>
      <c r="D3069" s="528" t="s">
        <v>277</v>
      </c>
      <c r="E3069" s="528"/>
      <c r="F3069" s="528"/>
      <c r="G3069" s="528" t="s">
        <v>205</v>
      </c>
      <c r="H3069"/>
    </row>
    <row r="3070" spans="1:8" x14ac:dyDescent="0.35">
      <c r="A3070" s="528" t="s">
        <v>8888</v>
      </c>
      <c r="B3070" s="528" t="s">
        <v>8889</v>
      </c>
      <c r="C3070" s="528" t="s">
        <v>8890</v>
      </c>
      <c r="D3070" s="528" t="s">
        <v>264</v>
      </c>
      <c r="E3070" s="528"/>
      <c r="F3070" s="528"/>
      <c r="G3070" s="528" t="s">
        <v>205</v>
      </c>
      <c r="H3070"/>
    </row>
    <row r="3071" spans="1:8" x14ac:dyDescent="0.35">
      <c r="A3071" s="528" t="s">
        <v>8891</v>
      </c>
      <c r="B3071" s="528" t="s">
        <v>8892</v>
      </c>
      <c r="C3071" s="528" t="s">
        <v>3610</v>
      </c>
      <c r="D3071" s="528" t="s">
        <v>264</v>
      </c>
      <c r="E3071" s="528"/>
      <c r="F3071" s="528"/>
      <c r="G3071" s="528" t="s">
        <v>210</v>
      </c>
      <c r="H3071"/>
    </row>
    <row r="3072" spans="1:8" x14ac:dyDescent="0.35">
      <c r="A3072" s="528" t="s">
        <v>8893</v>
      </c>
      <c r="B3072" s="528" t="s">
        <v>8894</v>
      </c>
      <c r="C3072" s="528" t="s">
        <v>8895</v>
      </c>
      <c r="D3072" s="528" t="s">
        <v>251</v>
      </c>
      <c r="E3072" s="528"/>
      <c r="F3072" s="528"/>
      <c r="G3072" s="528" t="s">
        <v>205</v>
      </c>
      <c r="H3072"/>
    </row>
    <row r="3073" spans="1:8" x14ac:dyDescent="0.35">
      <c r="A3073" s="528" t="s">
        <v>8896</v>
      </c>
      <c r="B3073" s="528" t="s">
        <v>8897</v>
      </c>
      <c r="C3073" s="528" t="s">
        <v>8898</v>
      </c>
      <c r="D3073" s="528" t="s">
        <v>251</v>
      </c>
      <c r="E3073" s="528"/>
      <c r="F3073" s="528"/>
      <c r="G3073" s="528" t="s">
        <v>205</v>
      </c>
      <c r="H3073"/>
    </row>
    <row r="3074" spans="1:8" x14ac:dyDescent="0.35">
      <c r="A3074" s="528" t="s">
        <v>8899</v>
      </c>
      <c r="B3074" s="528" t="s">
        <v>8900</v>
      </c>
      <c r="C3074" s="528" t="s">
        <v>8901</v>
      </c>
      <c r="D3074" s="528" t="s">
        <v>251</v>
      </c>
      <c r="E3074" s="528"/>
      <c r="F3074" s="528"/>
      <c r="G3074" s="528" t="s">
        <v>205</v>
      </c>
      <c r="H3074"/>
    </row>
    <row r="3075" spans="1:8" x14ac:dyDescent="0.35">
      <c r="A3075" s="528" t="s">
        <v>8902</v>
      </c>
      <c r="B3075" s="528" t="s">
        <v>8903</v>
      </c>
      <c r="C3075" s="528" t="s">
        <v>8904</v>
      </c>
      <c r="D3075" s="528" t="s">
        <v>225</v>
      </c>
      <c r="E3075" s="528"/>
      <c r="F3075" s="528"/>
      <c r="G3075" s="528" t="s">
        <v>205</v>
      </c>
      <c r="H3075"/>
    </row>
    <row r="3076" spans="1:8" x14ac:dyDescent="0.35">
      <c r="A3076" s="528" t="s">
        <v>8905</v>
      </c>
      <c r="B3076" s="528" t="s">
        <v>8906</v>
      </c>
      <c r="C3076" s="528" t="s">
        <v>8907</v>
      </c>
      <c r="D3076" s="528" t="s">
        <v>238</v>
      </c>
      <c r="E3076" s="528"/>
      <c r="F3076" s="528"/>
      <c r="G3076" s="528" t="s">
        <v>205</v>
      </c>
      <c r="H3076"/>
    </row>
    <row r="3077" spans="1:8" x14ac:dyDescent="0.35">
      <c r="A3077" s="528" t="s">
        <v>8908</v>
      </c>
      <c r="B3077" s="528" t="s">
        <v>8909</v>
      </c>
      <c r="C3077" s="528" t="s">
        <v>2652</v>
      </c>
      <c r="D3077" s="528" t="s">
        <v>251</v>
      </c>
      <c r="E3077" s="528"/>
      <c r="F3077" s="528"/>
      <c r="G3077" s="528" t="s">
        <v>205</v>
      </c>
      <c r="H3077"/>
    </row>
    <row r="3078" spans="1:8" x14ac:dyDescent="0.35">
      <c r="A3078" s="528" t="s">
        <v>8910</v>
      </c>
      <c r="B3078" s="528" t="s">
        <v>8911</v>
      </c>
      <c r="C3078" s="528" t="s">
        <v>8912</v>
      </c>
      <c r="D3078" s="528" t="s">
        <v>264</v>
      </c>
      <c r="E3078" s="528"/>
      <c r="F3078" s="528"/>
      <c r="G3078" s="528" t="s">
        <v>205</v>
      </c>
      <c r="H3078"/>
    </row>
    <row r="3079" spans="1:8" x14ac:dyDescent="0.35">
      <c r="A3079" s="528" t="s">
        <v>8913</v>
      </c>
      <c r="B3079" s="528" t="s">
        <v>8914</v>
      </c>
      <c r="C3079" s="528" t="s">
        <v>1533</v>
      </c>
      <c r="D3079" s="528" t="s">
        <v>277</v>
      </c>
      <c r="E3079" s="528"/>
      <c r="F3079" s="528"/>
      <c r="G3079" s="528" t="s">
        <v>205</v>
      </c>
      <c r="H3079"/>
    </row>
    <row r="3080" spans="1:8" x14ac:dyDescent="0.35">
      <c r="A3080" s="528" t="s">
        <v>8915</v>
      </c>
      <c r="B3080" s="528" t="s">
        <v>8916</v>
      </c>
      <c r="C3080" s="528" t="s">
        <v>8917</v>
      </c>
      <c r="D3080" s="528" t="s">
        <v>251</v>
      </c>
      <c r="E3080" s="528"/>
      <c r="F3080" s="528"/>
      <c r="G3080" s="528" t="s">
        <v>208</v>
      </c>
      <c r="H3080"/>
    </row>
    <row r="3081" spans="1:8" x14ac:dyDescent="0.35">
      <c r="A3081" s="528" t="s">
        <v>8918</v>
      </c>
      <c r="B3081" s="528" t="s">
        <v>8919</v>
      </c>
      <c r="C3081" s="528" t="s">
        <v>8920</v>
      </c>
      <c r="D3081" s="528" t="s">
        <v>277</v>
      </c>
      <c r="E3081" s="528"/>
      <c r="F3081" s="528"/>
      <c r="G3081" s="528" t="s">
        <v>208</v>
      </c>
      <c r="H3081"/>
    </row>
    <row r="3082" spans="1:8" x14ac:dyDescent="0.35">
      <c r="A3082" s="528" t="s">
        <v>8921</v>
      </c>
      <c r="B3082" s="528" t="s">
        <v>8922</v>
      </c>
      <c r="C3082" s="528" t="s">
        <v>8923</v>
      </c>
      <c r="D3082" s="528" t="s">
        <v>277</v>
      </c>
      <c r="E3082" s="528"/>
      <c r="F3082" s="528"/>
      <c r="G3082" s="528" t="s">
        <v>205</v>
      </c>
      <c r="H3082"/>
    </row>
    <row r="3083" spans="1:8" x14ac:dyDescent="0.35">
      <c r="A3083" s="528" t="s">
        <v>8924</v>
      </c>
      <c r="B3083" s="528" t="s">
        <v>8925</v>
      </c>
      <c r="C3083" s="528" t="s">
        <v>2658</v>
      </c>
      <c r="D3083" s="528" t="s">
        <v>277</v>
      </c>
      <c r="E3083" s="528"/>
      <c r="F3083" s="528"/>
      <c r="G3083" s="528" t="s">
        <v>205</v>
      </c>
      <c r="H3083"/>
    </row>
    <row r="3084" spans="1:8" x14ac:dyDescent="0.35">
      <c r="A3084" s="528" t="s">
        <v>8926</v>
      </c>
      <c r="B3084" s="528" t="s">
        <v>8927</v>
      </c>
      <c r="C3084" s="528" t="s">
        <v>8928</v>
      </c>
      <c r="D3084" s="528" t="s">
        <v>277</v>
      </c>
      <c r="E3084" s="528"/>
      <c r="F3084" s="528"/>
      <c r="G3084" s="528" t="s">
        <v>205</v>
      </c>
      <c r="H3084"/>
    </row>
    <row r="3085" spans="1:8" x14ac:dyDescent="0.35">
      <c r="A3085" s="528" t="s">
        <v>8929</v>
      </c>
      <c r="B3085" s="528" t="s">
        <v>8930</v>
      </c>
      <c r="C3085" s="528" t="s">
        <v>3898</v>
      </c>
      <c r="D3085" s="528" t="s">
        <v>277</v>
      </c>
      <c r="E3085" s="528"/>
      <c r="F3085" s="528"/>
      <c r="G3085" s="528" t="s">
        <v>205</v>
      </c>
      <c r="H3085"/>
    </row>
    <row r="3086" spans="1:8" x14ac:dyDescent="0.35">
      <c r="A3086" s="528" t="s">
        <v>8931</v>
      </c>
      <c r="B3086" s="528" t="s">
        <v>8932</v>
      </c>
      <c r="C3086" s="528" t="s">
        <v>8933</v>
      </c>
      <c r="D3086" s="528" t="s">
        <v>277</v>
      </c>
      <c r="E3086" s="528" t="s">
        <v>264</v>
      </c>
      <c r="F3086" s="528"/>
      <c r="G3086" s="528" t="s">
        <v>205</v>
      </c>
      <c r="H3086"/>
    </row>
    <row r="3087" spans="1:8" x14ac:dyDescent="0.35">
      <c r="A3087" s="528" t="s">
        <v>8934</v>
      </c>
      <c r="B3087" s="528" t="s">
        <v>8935</v>
      </c>
      <c r="C3087" s="528" t="s">
        <v>819</v>
      </c>
      <c r="D3087" s="528" t="s">
        <v>264</v>
      </c>
      <c r="E3087" s="528"/>
      <c r="F3087" s="528"/>
      <c r="G3087" s="528" t="s">
        <v>205</v>
      </c>
      <c r="H3087"/>
    </row>
    <row r="3088" spans="1:8" x14ac:dyDescent="0.35">
      <c r="A3088" s="528" t="s">
        <v>8936</v>
      </c>
      <c r="B3088" s="528" t="s">
        <v>8937</v>
      </c>
      <c r="C3088" s="528" t="s">
        <v>8938</v>
      </c>
      <c r="D3088" s="528" t="s">
        <v>277</v>
      </c>
      <c r="E3088" s="528"/>
      <c r="F3088" s="528"/>
      <c r="G3088" s="528" t="s">
        <v>205</v>
      </c>
      <c r="H3088"/>
    </row>
    <row r="3089" spans="1:8" x14ac:dyDescent="0.35">
      <c r="A3089" s="528" t="s">
        <v>8939</v>
      </c>
      <c r="B3089" s="528" t="s">
        <v>8940</v>
      </c>
      <c r="C3089" s="528" t="s">
        <v>8941</v>
      </c>
      <c r="D3089" s="528" t="s">
        <v>225</v>
      </c>
      <c r="E3089" s="528"/>
      <c r="F3089" s="528"/>
      <c r="G3089" s="528" t="s">
        <v>205</v>
      </c>
      <c r="H3089"/>
    </row>
    <row r="3090" spans="1:8" x14ac:dyDescent="0.35">
      <c r="A3090" s="528" t="s">
        <v>8942</v>
      </c>
      <c r="B3090" s="528" t="s">
        <v>8943</v>
      </c>
      <c r="C3090" s="528" t="s">
        <v>7457</v>
      </c>
      <c r="D3090" s="528" t="s">
        <v>277</v>
      </c>
      <c r="E3090" s="528"/>
      <c r="F3090" s="528"/>
      <c r="G3090" s="528" t="s">
        <v>208</v>
      </c>
      <c r="H3090"/>
    </row>
    <row r="3091" spans="1:8" x14ac:dyDescent="0.35">
      <c r="A3091" s="528" t="s">
        <v>8944</v>
      </c>
      <c r="B3091" s="528" t="s">
        <v>8945</v>
      </c>
      <c r="C3091" s="528" t="s">
        <v>8946</v>
      </c>
      <c r="D3091" s="528" t="s">
        <v>277</v>
      </c>
      <c r="E3091" s="528"/>
      <c r="F3091" s="528"/>
      <c r="G3091" s="528" t="s">
        <v>205</v>
      </c>
      <c r="H3091"/>
    </row>
    <row r="3092" spans="1:8" x14ac:dyDescent="0.35">
      <c r="A3092" s="528" t="s">
        <v>8947</v>
      </c>
      <c r="B3092" s="528" t="s">
        <v>8948</v>
      </c>
      <c r="C3092" s="528" t="s">
        <v>2283</v>
      </c>
      <c r="D3092" s="528" t="s">
        <v>277</v>
      </c>
      <c r="E3092" s="528"/>
      <c r="F3092" s="528"/>
      <c r="G3092" s="528" t="s">
        <v>208</v>
      </c>
      <c r="H3092"/>
    </row>
    <row r="3093" spans="1:8" x14ac:dyDescent="0.35">
      <c r="A3093" s="528" t="s">
        <v>8949</v>
      </c>
      <c r="B3093" s="528" t="s">
        <v>8950</v>
      </c>
      <c r="C3093" s="528" t="s">
        <v>8951</v>
      </c>
      <c r="D3093" s="528" t="s">
        <v>277</v>
      </c>
      <c r="E3093" s="528"/>
      <c r="F3093" s="528"/>
      <c r="G3093" s="528" t="s">
        <v>205</v>
      </c>
      <c r="H3093"/>
    </row>
    <row r="3094" spans="1:8" x14ac:dyDescent="0.35">
      <c r="A3094" s="528" t="s">
        <v>8952</v>
      </c>
      <c r="B3094" s="528" t="s">
        <v>8953</v>
      </c>
      <c r="C3094" s="528" t="s">
        <v>8954</v>
      </c>
      <c r="D3094" s="528" t="s">
        <v>277</v>
      </c>
      <c r="E3094" s="528"/>
      <c r="F3094" s="528"/>
      <c r="G3094" s="528" t="s">
        <v>205</v>
      </c>
      <c r="H3094"/>
    </row>
    <row r="3095" spans="1:8" x14ac:dyDescent="0.35">
      <c r="A3095" s="528" t="s">
        <v>8955</v>
      </c>
      <c r="B3095" s="528" t="s">
        <v>8956</v>
      </c>
      <c r="C3095" s="528" t="s">
        <v>7480</v>
      </c>
      <c r="D3095" s="528" t="s">
        <v>251</v>
      </c>
      <c r="E3095" s="528"/>
      <c r="F3095" s="528"/>
      <c r="G3095" s="528" t="s">
        <v>205</v>
      </c>
      <c r="H3095"/>
    </row>
    <row r="3096" spans="1:8" x14ac:dyDescent="0.35">
      <c r="A3096" s="528" t="s">
        <v>8957</v>
      </c>
      <c r="B3096" s="528" t="s">
        <v>8958</v>
      </c>
      <c r="C3096" s="528" t="s">
        <v>8959</v>
      </c>
      <c r="D3096" s="528" t="s">
        <v>225</v>
      </c>
      <c r="E3096" s="528"/>
      <c r="F3096" s="528"/>
      <c r="G3096" s="528" t="s">
        <v>208</v>
      </c>
      <c r="H3096"/>
    </row>
    <row r="3097" spans="1:8" x14ac:dyDescent="0.35">
      <c r="A3097" s="528" t="s">
        <v>8960</v>
      </c>
      <c r="B3097" s="528" t="s">
        <v>8961</v>
      </c>
      <c r="C3097" s="528" t="s">
        <v>5938</v>
      </c>
      <c r="D3097" s="528" t="s">
        <v>225</v>
      </c>
      <c r="E3097" s="528"/>
      <c r="F3097" s="528"/>
      <c r="G3097" s="528" t="s">
        <v>208</v>
      </c>
      <c r="H3097"/>
    </row>
    <row r="3098" spans="1:8" x14ac:dyDescent="0.35">
      <c r="A3098" s="528" t="s">
        <v>8962</v>
      </c>
      <c r="B3098" s="528" t="s">
        <v>8963</v>
      </c>
      <c r="C3098" s="528" t="s">
        <v>1317</v>
      </c>
      <c r="D3098" s="528" t="s">
        <v>277</v>
      </c>
      <c r="E3098" s="528"/>
      <c r="F3098" s="528"/>
      <c r="G3098" s="528" t="s">
        <v>205</v>
      </c>
      <c r="H3098"/>
    </row>
    <row r="3099" spans="1:8" x14ac:dyDescent="0.35">
      <c r="A3099" s="528" t="s">
        <v>8964</v>
      </c>
      <c r="B3099" s="528" t="s">
        <v>8965</v>
      </c>
      <c r="C3099" s="528" t="s">
        <v>1317</v>
      </c>
      <c r="D3099" s="528" t="s">
        <v>277</v>
      </c>
      <c r="E3099" s="528"/>
      <c r="F3099" s="528"/>
      <c r="G3099" s="528" t="s">
        <v>205</v>
      </c>
      <c r="H3099"/>
    </row>
    <row r="3100" spans="1:8" x14ac:dyDescent="0.35">
      <c r="A3100" s="528" t="s">
        <v>8966</v>
      </c>
      <c r="B3100" s="528" t="s">
        <v>8967</v>
      </c>
      <c r="C3100" s="528" t="s">
        <v>8968</v>
      </c>
      <c r="D3100" s="528" t="s">
        <v>277</v>
      </c>
      <c r="E3100" s="528"/>
      <c r="F3100" s="528"/>
      <c r="G3100" s="528" t="s">
        <v>205</v>
      </c>
      <c r="H3100"/>
    </row>
    <row r="3101" spans="1:8" x14ac:dyDescent="0.35">
      <c r="A3101" s="528" t="s">
        <v>8969</v>
      </c>
      <c r="B3101" s="528" t="s">
        <v>8970</v>
      </c>
      <c r="C3101" s="528" t="s">
        <v>1706</v>
      </c>
      <c r="D3101" s="528" t="s">
        <v>238</v>
      </c>
      <c r="E3101" s="528"/>
      <c r="F3101" s="528"/>
      <c r="G3101" s="528" t="s">
        <v>205</v>
      </c>
      <c r="H3101"/>
    </row>
    <row r="3102" spans="1:8" x14ac:dyDescent="0.35">
      <c r="A3102" s="528" t="s">
        <v>8971</v>
      </c>
      <c r="B3102" s="528" t="s">
        <v>8972</v>
      </c>
      <c r="C3102" s="528" t="s">
        <v>8973</v>
      </c>
      <c r="D3102" s="528" t="s">
        <v>251</v>
      </c>
      <c r="E3102" s="528"/>
      <c r="F3102" s="528"/>
      <c r="G3102" s="528" t="s">
        <v>208</v>
      </c>
      <c r="H3102"/>
    </row>
    <row r="3103" spans="1:8" x14ac:dyDescent="0.35">
      <c r="A3103" s="528" t="s">
        <v>8974</v>
      </c>
      <c r="B3103" s="528" t="s">
        <v>8975</v>
      </c>
      <c r="C3103" s="528" t="s">
        <v>8976</v>
      </c>
      <c r="D3103" s="528" t="s">
        <v>251</v>
      </c>
      <c r="E3103" s="528"/>
      <c r="F3103" s="528"/>
      <c r="G3103" s="528" t="s">
        <v>205</v>
      </c>
      <c r="H3103"/>
    </row>
    <row r="3104" spans="1:8" x14ac:dyDescent="0.35">
      <c r="A3104" s="528" t="s">
        <v>8977</v>
      </c>
      <c r="B3104" s="528" t="s">
        <v>8978</v>
      </c>
      <c r="C3104" s="528" t="s">
        <v>8979</v>
      </c>
      <c r="D3104" s="528" t="s">
        <v>277</v>
      </c>
      <c r="E3104" s="528"/>
      <c r="F3104" s="528"/>
      <c r="G3104" s="528" t="s">
        <v>205</v>
      </c>
      <c r="H3104"/>
    </row>
    <row r="3105" spans="1:8" x14ac:dyDescent="0.35">
      <c r="A3105" s="528" t="s">
        <v>8980</v>
      </c>
      <c r="B3105" s="528" t="s">
        <v>8981</v>
      </c>
      <c r="C3105" s="528" t="s">
        <v>8982</v>
      </c>
      <c r="D3105" s="528" t="s">
        <v>264</v>
      </c>
      <c r="E3105" s="528"/>
      <c r="F3105" s="528"/>
      <c r="G3105" s="528" t="s">
        <v>205</v>
      </c>
      <c r="H3105"/>
    </row>
    <row r="3106" spans="1:8" x14ac:dyDescent="0.35">
      <c r="A3106" s="528" t="s">
        <v>8983</v>
      </c>
      <c r="B3106" s="528" t="s">
        <v>8984</v>
      </c>
      <c r="C3106" s="528" t="s">
        <v>1211</v>
      </c>
      <c r="D3106" s="528" t="s">
        <v>264</v>
      </c>
      <c r="E3106" s="528"/>
      <c r="F3106" s="528"/>
      <c r="G3106" s="528" t="s">
        <v>205</v>
      </c>
      <c r="H3106"/>
    </row>
    <row r="3107" spans="1:8" x14ac:dyDescent="0.35">
      <c r="A3107" s="528" t="s">
        <v>8985</v>
      </c>
      <c r="B3107" s="528" t="s">
        <v>8986</v>
      </c>
      <c r="C3107" s="528" t="s">
        <v>3235</v>
      </c>
      <c r="D3107" s="528" t="s">
        <v>251</v>
      </c>
      <c r="E3107" s="528"/>
      <c r="F3107" s="528"/>
      <c r="G3107" s="528" t="s">
        <v>205</v>
      </c>
      <c r="H3107"/>
    </row>
    <row r="3108" spans="1:8" x14ac:dyDescent="0.35">
      <c r="A3108" s="528" t="s">
        <v>8987</v>
      </c>
      <c r="B3108" s="528" t="s">
        <v>8988</v>
      </c>
      <c r="C3108" s="528" t="s">
        <v>1149</v>
      </c>
      <c r="D3108" s="528" t="s">
        <v>264</v>
      </c>
      <c r="E3108" s="528"/>
      <c r="F3108" s="528"/>
      <c r="G3108" s="528" t="s">
        <v>208</v>
      </c>
      <c r="H3108"/>
    </row>
    <row r="3109" spans="1:8" x14ac:dyDescent="0.35">
      <c r="A3109" s="528" t="s">
        <v>8989</v>
      </c>
      <c r="B3109" s="528" t="s">
        <v>8990</v>
      </c>
      <c r="C3109" s="528" t="s">
        <v>8991</v>
      </c>
      <c r="D3109" s="528" t="s">
        <v>264</v>
      </c>
      <c r="E3109" s="528"/>
      <c r="F3109" s="528"/>
      <c r="G3109" s="528" t="s">
        <v>205</v>
      </c>
      <c r="H3109"/>
    </row>
    <row r="3110" spans="1:8" x14ac:dyDescent="0.35">
      <c r="A3110" s="528" t="s">
        <v>8992</v>
      </c>
      <c r="B3110" s="528" t="s">
        <v>8993</v>
      </c>
      <c r="C3110" s="528" t="s">
        <v>7933</v>
      </c>
      <c r="D3110" s="528" t="s">
        <v>277</v>
      </c>
      <c r="E3110" s="528"/>
      <c r="F3110" s="528"/>
      <c r="G3110" s="528" t="s">
        <v>208</v>
      </c>
      <c r="H3110"/>
    </row>
    <row r="3111" spans="1:8" x14ac:dyDescent="0.35">
      <c r="A3111" s="528" t="s">
        <v>8994</v>
      </c>
      <c r="B3111" s="528" t="s">
        <v>8995</v>
      </c>
      <c r="C3111" s="528" t="s">
        <v>1711</v>
      </c>
      <c r="D3111" s="528" t="s">
        <v>238</v>
      </c>
      <c r="E3111" s="528"/>
      <c r="F3111" s="528"/>
      <c r="G3111" s="528" t="s">
        <v>205</v>
      </c>
      <c r="H3111"/>
    </row>
    <row r="3112" spans="1:8" x14ac:dyDescent="0.35">
      <c r="A3112" s="528" t="s">
        <v>8996</v>
      </c>
      <c r="B3112" s="528" t="s">
        <v>8997</v>
      </c>
      <c r="C3112" s="528" t="s">
        <v>8998</v>
      </c>
      <c r="D3112" s="528" t="s">
        <v>238</v>
      </c>
      <c r="E3112" s="528"/>
      <c r="F3112" s="528"/>
      <c r="G3112" s="528" t="s">
        <v>205</v>
      </c>
      <c r="H3112"/>
    </row>
    <row r="3113" spans="1:8" x14ac:dyDescent="0.35">
      <c r="A3113" s="528" t="s">
        <v>8999</v>
      </c>
      <c r="B3113" s="528" t="s">
        <v>9000</v>
      </c>
      <c r="C3113" s="528" t="s">
        <v>1014</v>
      </c>
      <c r="D3113" s="528" t="s">
        <v>277</v>
      </c>
      <c r="E3113" s="528"/>
      <c r="F3113" s="528"/>
      <c r="G3113" s="528" t="s">
        <v>208</v>
      </c>
      <c r="H3113"/>
    </row>
    <row r="3114" spans="1:8" x14ac:dyDescent="0.35">
      <c r="A3114" s="528" t="s">
        <v>9001</v>
      </c>
      <c r="B3114" s="528" t="s">
        <v>9002</v>
      </c>
      <c r="C3114" s="528" t="s">
        <v>4636</v>
      </c>
      <c r="D3114" s="528" t="s">
        <v>225</v>
      </c>
      <c r="E3114" s="528"/>
      <c r="F3114" s="528"/>
      <c r="G3114" s="528" t="s">
        <v>208</v>
      </c>
      <c r="H3114"/>
    </row>
    <row r="3115" spans="1:8" x14ac:dyDescent="0.35">
      <c r="A3115" s="528" t="s">
        <v>9003</v>
      </c>
      <c r="B3115" s="528" t="s">
        <v>9004</v>
      </c>
      <c r="C3115" s="528" t="s">
        <v>3573</v>
      </c>
      <c r="D3115" s="528" t="s">
        <v>264</v>
      </c>
      <c r="E3115" s="528"/>
      <c r="F3115" s="528"/>
      <c r="G3115" s="528" t="s">
        <v>208</v>
      </c>
      <c r="H3115"/>
    </row>
    <row r="3116" spans="1:8" x14ac:dyDescent="0.35">
      <c r="A3116" s="528" t="s">
        <v>9005</v>
      </c>
      <c r="B3116" s="528" t="s">
        <v>9006</v>
      </c>
      <c r="C3116" s="528" t="s">
        <v>4475</v>
      </c>
      <c r="D3116" s="528" t="s">
        <v>225</v>
      </c>
      <c r="E3116" s="528"/>
      <c r="F3116" s="528"/>
      <c r="G3116" s="528" t="s">
        <v>208</v>
      </c>
      <c r="H3116"/>
    </row>
    <row r="3117" spans="1:8" x14ac:dyDescent="0.35">
      <c r="A3117" s="528" t="s">
        <v>9007</v>
      </c>
      <c r="B3117" s="528" t="s">
        <v>9008</v>
      </c>
      <c r="C3117" s="528" t="s">
        <v>985</v>
      </c>
      <c r="D3117" s="528" t="s">
        <v>264</v>
      </c>
      <c r="E3117" s="528"/>
      <c r="F3117" s="528"/>
      <c r="G3117" s="528" t="s">
        <v>208</v>
      </c>
      <c r="H3117"/>
    </row>
    <row r="3118" spans="1:8" x14ac:dyDescent="0.35">
      <c r="A3118" s="528" t="s">
        <v>9009</v>
      </c>
      <c r="B3118" s="528" t="s">
        <v>9010</v>
      </c>
      <c r="C3118" s="528" t="s">
        <v>4061</v>
      </c>
      <c r="D3118" s="528" t="s">
        <v>277</v>
      </c>
      <c r="E3118" s="528"/>
      <c r="F3118" s="528"/>
      <c r="G3118" s="528" t="s">
        <v>208</v>
      </c>
      <c r="H3118"/>
    </row>
    <row r="3119" spans="1:8" x14ac:dyDescent="0.35">
      <c r="A3119" s="528" t="s">
        <v>9011</v>
      </c>
      <c r="B3119" s="528" t="s">
        <v>9012</v>
      </c>
      <c r="C3119" s="528" t="s">
        <v>3953</v>
      </c>
      <c r="D3119" s="528" t="s">
        <v>251</v>
      </c>
      <c r="E3119" s="528"/>
      <c r="F3119" s="528"/>
      <c r="G3119" s="528" t="s">
        <v>205</v>
      </c>
      <c r="H3119"/>
    </row>
    <row r="3120" spans="1:8" x14ac:dyDescent="0.35">
      <c r="A3120" s="528" t="s">
        <v>9013</v>
      </c>
      <c r="B3120" s="528" t="s">
        <v>9014</v>
      </c>
      <c r="C3120" s="528" t="s">
        <v>9015</v>
      </c>
      <c r="D3120" s="528" t="s">
        <v>251</v>
      </c>
      <c r="E3120" s="528"/>
      <c r="F3120" s="528"/>
      <c r="G3120" s="528" t="s">
        <v>208</v>
      </c>
      <c r="H3120"/>
    </row>
    <row r="3121" spans="1:8" x14ac:dyDescent="0.35">
      <c r="A3121" s="528" t="s">
        <v>9016</v>
      </c>
      <c r="B3121" s="528" t="s">
        <v>9017</v>
      </c>
      <c r="C3121" s="528" t="s">
        <v>9018</v>
      </c>
      <c r="D3121" s="528" t="s">
        <v>264</v>
      </c>
      <c r="E3121" s="528"/>
      <c r="F3121" s="528"/>
      <c r="G3121" s="528" t="s">
        <v>208</v>
      </c>
      <c r="H3121"/>
    </row>
    <row r="3122" spans="1:8" x14ac:dyDescent="0.35">
      <c r="A3122" s="528" t="s">
        <v>9019</v>
      </c>
      <c r="B3122" s="528" t="s">
        <v>9020</v>
      </c>
      <c r="C3122" s="528" t="s">
        <v>9021</v>
      </c>
      <c r="D3122" s="528" t="s">
        <v>264</v>
      </c>
      <c r="E3122" s="528"/>
      <c r="F3122" s="528"/>
      <c r="G3122" s="528" t="s">
        <v>210</v>
      </c>
      <c r="H3122"/>
    </row>
    <row r="3123" spans="1:8" x14ac:dyDescent="0.35">
      <c r="A3123" s="528" t="s">
        <v>9022</v>
      </c>
      <c r="B3123" s="528" t="s">
        <v>9023</v>
      </c>
      <c r="C3123" s="528" t="s">
        <v>9024</v>
      </c>
      <c r="D3123" s="528" t="s">
        <v>264</v>
      </c>
      <c r="E3123" s="528"/>
      <c r="F3123" s="528"/>
      <c r="G3123" s="528" t="s">
        <v>205</v>
      </c>
      <c r="H3123"/>
    </row>
    <row r="3124" spans="1:8" x14ac:dyDescent="0.35">
      <c r="A3124" s="528" t="s">
        <v>9025</v>
      </c>
      <c r="B3124" s="528" t="s">
        <v>9026</v>
      </c>
      <c r="C3124" s="528" t="s">
        <v>9027</v>
      </c>
      <c r="D3124" s="528" t="s">
        <v>264</v>
      </c>
      <c r="E3124" s="528"/>
      <c r="F3124" s="528"/>
      <c r="G3124" s="528" t="s">
        <v>205</v>
      </c>
      <c r="H3124"/>
    </row>
    <row r="3125" spans="1:8" x14ac:dyDescent="0.35">
      <c r="A3125" s="528" t="s">
        <v>9028</v>
      </c>
      <c r="B3125" s="528" t="s">
        <v>9029</v>
      </c>
      <c r="C3125" s="528" t="s">
        <v>9030</v>
      </c>
      <c r="D3125" s="528" t="s">
        <v>251</v>
      </c>
      <c r="E3125" s="528"/>
      <c r="F3125" s="528"/>
      <c r="G3125" s="528" t="s">
        <v>212</v>
      </c>
      <c r="H3125"/>
    </row>
    <row r="3126" spans="1:8" x14ac:dyDescent="0.35">
      <c r="A3126" s="528" t="s">
        <v>9031</v>
      </c>
      <c r="B3126" s="528" t="s">
        <v>9032</v>
      </c>
      <c r="C3126" s="528" t="s">
        <v>9033</v>
      </c>
      <c r="D3126" s="528" t="s">
        <v>251</v>
      </c>
      <c r="E3126" s="528"/>
      <c r="F3126" s="528"/>
      <c r="G3126" s="528" t="s">
        <v>212</v>
      </c>
      <c r="H3126"/>
    </row>
    <row r="3127" spans="1:8" x14ac:dyDescent="0.35">
      <c r="A3127" s="528" t="s">
        <v>9034</v>
      </c>
      <c r="B3127" s="528" t="s">
        <v>9035</v>
      </c>
      <c r="C3127" s="528" t="s">
        <v>9036</v>
      </c>
      <c r="D3127" s="528" t="s">
        <v>251</v>
      </c>
      <c r="E3127" s="528"/>
      <c r="F3127" s="528"/>
      <c r="G3127" s="528" t="s">
        <v>212</v>
      </c>
      <c r="H3127"/>
    </row>
    <row r="3128" spans="1:8" x14ac:dyDescent="0.35">
      <c r="A3128" s="528" t="s">
        <v>9037</v>
      </c>
      <c r="B3128" s="528" t="s">
        <v>9038</v>
      </c>
      <c r="C3128" s="528" t="s">
        <v>9039</v>
      </c>
      <c r="D3128" s="528" t="s">
        <v>264</v>
      </c>
      <c r="E3128" s="528"/>
      <c r="F3128" s="528"/>
      <c r="G3128" s="528" t="s">
        <v>210</v>
      </c>
      <c r="H3128"/>
    </row>
    <row r="3129" spans="1:8" x14ac:dyDescent="0.35">
      <c r="A3129" s="528" t="s">
        <v>9040</v>
      </c>
      <c r="B3129" s="528" t="s">
        <v>9041</v>
      </c>
      <c r="C3129" s="528" t="s">
        <v>6866</v>
      </c>
      <c r="D3129" s="528" t="s">
        <v>264</v>
      </c>
      <c r="E3129" s="528"/>
      <c r="F3129" s="528"/>
      <c r="G3129" s="528" t="s">
        <v>205</v>
      </c>
      <c r="H3129"/>
    </row>
    <row r="3130" spans="1:8" x14ac:dyDescent="0.35">
      <c r="A3130" s="528" t="s">
        <v>9042</v>
      </c>
      <c r="B3130" s="528" t="s">
        <v>9043</v>
      </c>
      <c r="C3130" s="528" t="s">
        <v>9044</v>
      </c>
      <c r="D3130" s="528" t="s">
        <v>277</v>
      </c>
      <c r="E3130" s="528"/>
      <c r="F3130" s="528"/>
      <c r="G3130" s="528" t="s">
        <v>208</v>
      </c>
      <c r="H3130"/>
    </row>
    <row r="3131" spans="1:8" x14ac:dyDescent="0.35">
      <c r="A3131" s="528" t="s">
        <v>9045</v>
      </c>
      <c r="B3131" s="528" t="s">
        <v>9046</v>
      </c>
      <c r="C3131" s="528" t="s">
        <v>9047</v>
      </c>
      <c r="D3131" s="528" t="s">
        <v>264</v>
      </c>
      <c r="E3131" s="528"/>
      <c r="F3131" s="528"/>
      <c r="G3131" s="528" t="s">
        <v>208</v>
      </c>
      <c r="H3131"/>
    </row>
    <row r="3132" spans="1:8" x14ac:dyDescent="0.35">
      <c r="A3132" s="528" t="s">
        <v>9048</v>
      </c>
      <c r="B3132" s="528" t="s">
        <v>9049</v>
      </c>
      <c r="C3132" s="528" t="s">
        <v>1477</v>
      </c>
      <c r="D3132" s="528" t="s">
        <v>264</v>
      </c>
      <c r="E3132" s="528"/>
      <c r="F3132" s="528"/>
      <c r="G3132" s="528" t="s">
        <v>205</v>
      </c>
      <c r="H3132"/>
    </row>
    <row r="3133" spans="1:8" x14ac:dyDescent="0.35">
      <c r="A3133" s="528" t="s">
        <v>9050</v>
      </c>
      <c r="B3133" s="528" t="s">
        <v>9051</v>
      </c>
      <c r="C3133" s="528" t="s">
        <v>4744</v>
      </c>
      <c r="D3133" s="528" t="s">
        <v>251</v>
      </c>
      <c r="E3133" s="528"/>
      <c r="F3133" s="528"/>
      <c r="G3133" s="528" t="s">
        <v>205</v>
      </c>
      <c r="H3133"/>
    </row>
    <row r="3134" spans="1:8" x14ac:dyDescent="0.35">
      <c r="A3134" s="528" t="s">
        <v>9052</v>
      </c>
      <c r="B3134" s="528" t="s">
        <v>9053</v>
      </c>
      <c r="C3134" s="528" t="s">
        <v>9054</v>
      </c>
      <c r="D3134" s="528" t="s">
        <v>264</v>
      </c>
      <c r="E3134" s="528" t="s">
        <v>277</v>
      </c>
      <c r="F3134" s="528"/>
      <c r="G3134" s="528" t="s">
        <v>205</v>
      </c>
      <c r="H3134"/>
    </row>
    <row r="3135" spans="1:8" x14ac:dyDescent="0.35">
      <c r="A3135" s="528" t="s">
        <v>9055</v>
      </c>
      <c r="B3135" s="528" t="s">
        <v>9056</v>
      </c>
      <c r="C3135" s="528" t="s">
        <v>8551</v>
      </c>
      <c r="D3135" s="528" t="s">
        <v>264</v>
      </c>
      <c r="E3135" s="528"/>
      <c r="F3135" s="528"/>
      <c r="G3135" s="528" t="s">
        <v>205</v>
      </c>
      <c r="H3135"/>
    </row>
    <row r="3136" spans="1:8" x14ac:dyDescent="0.35">
      <c r="A3136" s="528" t="s">
        <v>9057</v>
      </c>
      <c r="B3136" s="528" t="s">
        <v>9058</v>
      </c>
      <c r="C3136" s="528" t="s">
        <v>9059</v>
      </c>
      <c r="D3136" s="528" t="s">
        <v>264</v>
      </c>
      <c r="E3136" s="528"/>
      <c r="F3136" s="528"/>
      <c r="G3136" s="528" t="s">
        <v>205</v>
      </c>
      <c r="H3136"/>
    </row>
    <row r="3137" spans="1:8" x14ac:dyDescent="0.35">
      <c r="A3137" s="528" t="s">
        <v>9060</v>
      </c>
      <c r="B3137" s="528" t="s">
        <v>9061</v>
      </c>
      <c r="C3137" s="528" t="s">
        <v>9062</v>
      </c>
      <c r="D3137" s="528" t="s">
        <v>264</v>
      </c>
      <c r="E3137" s="528"/>
      <c r="F3137" s="528"/>
      <c r="G3137" s="528" t="s">
        <v>208</v>
      </c>
      <c r="H3137"/>
    </row>
    <row r="3138" spans="1:8" x14ac:dyDescent="0.35">
      <c r="A3138" s="528" t="s">
        <v>9063</v>
      </c>
      <c r="B3138" s="528" t="s">
        <v>9064</v>
      </c>
      <c r="C3138" s="528" t="s">
        <v>9065</v>
      </c>
      <c r="D3138" s="528" t="s">
        <v>264</v>
      </c>
      <c r="E3138" s="528"/>
      <c r="F3138" s="528"/>
      <c r="G3138" s="528" t="s">
        <v>208</v>
      </c>
      <c r="H3138"/>
    </row>
    <row r="3139" spans="1:8" x14ac:dyDescent="0.35">
      <c r="A3139" s="528" t="s">
        <v>9066</v>
      </c>
      <c r="B3139" s="528" t="s">
        <v>9067</v>
      </c>
      <c r="C3139" s="528" t="s">
        <v>9068</v>
      </c>
      <c r="D3139" s="528" t="s">
        <v>251</v>
      </c>
      <c r="E3139" s="528"/>
      <c r="F3139" s="528"/>
      <c r="G3139" s="528" t="s">
        <v>208</v>
      </c>
      <c r="H3139"/>
    </row>
    <row r="3140" spans="1:8" x14ac:dyDescent="0.35">
      <c r="A3140" s="528" t="s">
        <v>9069</v>
      </c>
      <c r="B3140" s="528" t="s">
        <v>9070</v>
      </c>
      <c r="C3140" s="528" t="s">
        <v>9071</v>
      </c>
      <c r="D3140" s="528" t="s">
        <v>264</v>
      </c>
      <c r="E3140" s="528"/>
      <c r="F3140" s="528"/>
      <c r="G3140" s="528" t="s">
        <v>210</v>
      </c>
      <c r="H3140"/>
    </row>
    <row r="3141" spans="1:8" x14ac:dyDescent="0.35">
      <c r="A3141" s="528" t="s">
        <v>9072</v>
      </c>
      <c r="B3141" s="528" t="s">
        <v>9073</v>
      </c>
      <c r="C3141" s="528" t="s">
        <v>7993</v>
      </c>
      <c r="D3141" s="528" t="s">
        <v>264</v>
      </c>
      <c r="E3141" s="528"/>
      <c r="F3141" s="528"/>
      <c r="G3141" s="528" t="s">
        <v>210</v>
      </c>
      <c r="H3141"/>
    </row>
    <row r="3142" spans="1:8" x14ac:dyDescent="0.35">
      <c r="A3142" s="528" t="s">
        <v>9074</v>
      </c>
      <c r="B3142" s="528" t="s">
        <v>9075</v>
      </c>
      <c r="C3142" s="528" t="s">
        <v>1377</v>
      </c>
      <c r="D3142" s="528" t="s">
        <v>251</v>
      </c>
      <c r="E3142" s="528"/>
      <c r="F3142" s="528"/>
      <c r="G3142" s="528" t="s">
        <v>208</v>
      </c>
      <c r="H3142"/>
    </row>
    <row r="3143" spans="1:8" x14ac:dyDescent="0.35">
      <c r="A3143" s="528" t="s">
        <v>9076</v>
      </c>
      <c r="B3143" s="528" t="s">
        <v>9077</v>
      </c>
      <c r="C3143" s="528" t="s">
        <v>9078</v>
      </c>
      <c r="D3143" s="528" t="s">
        <v>251</v>
      </c>
      <c r="E3143" s="528"/>
      <c r="F3143" s="528"/>
      <c r="G3143" s="528" t="s">
        <v>208</v>
      </c>
      <c r="H3143"/>
    </row>
    <row r="3144" spans="1:8" x14ac:dyDescent="0.35">
      <c r="A3144" s="528" t="s">
        <v>9079</v>
      </c>
      <c r="B3144" s="528" t="s">
        <v>9080</v>
      </c>
      <c r="C3144" s="528" t="s">
        <v>1695</v>
      </c>
      <c r="D3144" s="528" t="s">
        <v>264</v>
      </c>
      <c r="E3144" s="528"/>
      <c r="F3144" s="528"/>
      <c r="G3144" s="528" t="s">
        <v>205</v>
      </c>
      <c r="H3144"/>
    </row>
    <row r="3145" spans="1:8" x14ac:dyDescent="0.35">
      <c r="A3145" s="528" t="s">
        <v>9081</v>
      </c>
      <c r="B3145" s="528" t="s">
        <v>9082</v>
      </c>
      <c r="C3145" s="528" t="s">
        <v>8320</v>
      </c>
      <c r="D3145" s="528" t="s">
        <v>264</v>
      </c>
      <c r="E3145" s="528"/>
      <c r="F3145" s="528"/>
      <c r="G3145" s="528" t="s">
        <v>208</v>
      </c>
      <c r="H3145"/>
    </row>
    <row r="3146" spans="1:8" x14ac:dyDescent="0.35">
      <c r="A3146" s="528" t="s">
        <v>9083</v>
      </c>
      <c r="B3146" s="528" t="s">
        <v>9084</v>
      </c>
      <c r="C3146" s="528" t="s">
        <v>8485</v>
      </c>
      <c r="D3146" s="528" t="s">
        <v>264</v>
      </c>
      <c r="E3146" s="528"/>
      <c r="F3146" s="528"/>
      <c r="G3146" s="528" t="s">
        <v>205</v>
      </c>
      <c r="H3146"/>
    </row>
    <row r="3147" spans="1:8" x14ac:dyDescent="0.35">
      <c r="A3147" s="528" t="s">
        <v>9085</v>
      </c>
      <c r="B3147" s="528" t="s">
        <v>9086</v>
      </c>
      <c r="C3147" s="528" t="s">
        <v>9087</v>
      </c>
      <c r="D3147" s="528" t="s">
        <v>277</v>
      </c>
      <c r="E3147" s="528"/>
      <c r="F3147" s="528"/>
      <c r="G3147" s="528" t="s">
        <v>208</v>
      </c>
      <c r="H3147"/>
    </row>
    <row r="3148" spans="1:8" x14ac:dyDescent="0.35">
      <c r="A3148" s="528" t="s">
        <v>9088</v>
      </c>
      <c r="B3148" s="528" t="s">
        <v>9089</v>
      </c>
      <c r="C3148" s="528" t="s">
        <v>9090</v>
      </c>
      <c r="D3148" s="528" t="s">
        <v>251</v>
      </c>
      <c r="E3148" s="528"/>
      <c r="F3148" s="528"/>
      <c r="G3148" s="528" t="s">
        <v>208</v>
      </c>
      <c r="H3148"/>
    </row>
    <row r="3149" spans="1:8" x14ac:dyDescent="0.35">
      <c r="A3149" s="528" t="s">
        <v>9091</v>
      </c>
      <c r="B3149" s="528" t="s">
        <v>9092</v>
      </c>
      <c r="C3149" s="528" t="s">
        <v>9093</v>
      </c>
      <c r="D3149" s="528" t="s">
        <v>277</v>
      </c>
      <c r="E3149" s="528"/>
      <c r="F3149" s="528"/>
      <c r="G3149" s="528" t="s">
        <v>208</v>
      </c>
      <c r="H3149"/>
    </row>
    <row r="3150" spans="1:8" x14ac:dyDescent="0.35">
      <c r="A3150" s="528" t="s">
        <v>9094</v>
      </c>
      <c r="B3150" s="528" t="s">
        <v>9095</v>
      </c>
      <c r="C3150" s="528" t="s">
        <v>9096</v>
      </c>
      <c r="D3150" s="528" t="s">
        <v>251</v>
      </c>
      <c r="E3150" s="528"/>
      <c r="F3150" s="528"/>
      <c r="G3150" s="528" t="s">
        <v>208</v>
      </c>
      <c r="H3150"/>
    </row>
    <row r="3151" spans="1:8" x14ac:dyDescent="0.35">
      <c r="A3151" s="528" t="s">
        <v>9097</v>
      </c>
      <c r="B3151" s="528" t="s">
        <v>9098</v>
      </c>
      <c r="C3151" s="528" t="s">
        <v>9099</v>
      </c>
      <c r="D3151" s="528" t="s">
        <v>251</v>
      </c>
      <c r="E3151" s="528"/>
      <c r="F3151" s="528"/>
      <c r="G3151" s="528" t="s">
        <v>208</v>
      </c>
      <c r="H3151"/>
    </row>
    <row r="3152" spans="1:8" x14ac:dyDescent="0.35">
      <c r="A3152" s="528" t="s">
        <v>9100</v>
      </c>
      <c r="B3152" s="528" t="s">
        <v>9101</v>
      </c>
      <c r="C3152" s="528" t="s">
        <v>9102</v>
      </c>
      <c r="D3152" s="528" t="s">
        <v>251</v>
      </c>
      <c r="E3152" s="528"/>
      <c r="F3152" s="528"/>
      <c r="G3152" s="528" t="s">
        <v>208</v>
      </c>
      <c r="H3152"/>
    </row>
    <row r="3153" spans="1:8" x14ac:dyDescent="0.35">
      <c r="A3153" s="528" t="s">
        <v>9103</v>
      </c>
      <c r="B3153" s="528" t="s">
        <v>9104</v>
      </c>
      <c r="C3153" s="528" t="s">
        <v>9105</v>
      </c>
      <c r="D3153" s="528" t="s">
        <v>277</v>
      </c>
      <c r="E3153" s="528"/>
      <c r="F3153" s="528"/>
      <c r="G3153" s="528" t="s">
        <v>208</v>
      </c>
      <c r="H3153"/>
    </row>
    <row r="3154" spans="1:8" x14ac:dyDescent="0.35">
      <c r="A3154" s="528" t="s">
        <v>9106</v>
      </c>
      <c r="B3154" s="528" t="s">
        <v>9107</v>
      </c>
      <c r="C3154" s="528" t="s">
        <v>9108</v>
      </c>
      <c r="D3154" s="528" t="s">
        <v>277</v>
      </c>
      <c r="E3154" s="528"/>
      <c r="F3154" s="528"/>
      <c r="G3154" s="528" t="s">
        <v>205</v>
      </c>
      <c r="H3154"/>
    </row>
    <row r="3155" spans="1:8" x14ac:dyDescent="0.35">
      <c r="A3155" s="528" t="s">
        <v>9109</v>
      </c>
      <c r="B3155" s="528" t="s">
        <v>9110</v>
      </c>
      <c r="C3155" s="528" t="s">
        <v>9111</v>
      </c>
      <c r="D3155" s="528" t="s">
        <v>238</v>
      </c>
      <c r="E3155" s="528"/>
      <c r="F3155" s="528"/>
      <c r="G3155" s="528" t="s">
        <v>208</v>
      </c>
      <c r="H3155"/>
    </row>
    <row r="3156" spans="1:8" x14ac:dyDescent="0.35">
      <c r="A3156" s="528" t="s">
        <v>9112</v>
      </c>
      <c r="B3156" s="528" t="s">
        <v>9113</v>
      </c>
      <c r="C3156" s="528" t="s">
        <v>9114</v>
      </c>
      <c r="D3156" s="528" t="s">
        <v>238</v>
      </c>
      <c r="E3156" s="528"/>
      <c r="F3156" s="528"/>
      <c r="G3156" s="528" t="s">
        <v>205</v>
      </c>
      <c r="H3156"/>
    </row>
    <row r="3157" spans="1:8" x14ac:dyDescent="0.35">
      <c r="A3157" s="528" t="s">
        <v>9115</v>
      </c>
      <c r="B3157" s="528" t="s">
        <v>9116</v>
      </c>
      <c r="C3157" s="528" t="s">
        <v>9117</v>
      </c>
      <c r="D3157" s="528" t="s">
        <v>238</v>
      </c>
      <c r="E3157" s="528"/>
      <c r="F3157" s="528"/>
      <c r="G3157" s="528" t="s">
        <v>205</v>
      </c>
      <c r="H3157"/>
    </row>
    <row r="3158" spans="1:8" x14ac:dyDescent="0.35">
      <c r="A3158" s="528" t="s">
        <v>9118</v>
      </c>
      <c r="B3158" s="528" t="s">
        <v>9119</v>
      </c>
      <c r="C3158" s="528" t="s">
        <v>1241</v>
      </c>
      <c r="D3158" s="528" t="s">
        <v>225</v>
      </c>
      <c r="E3158" s="528"/>
      <c r="F3158" s="528"/>
      <c r="G3158" s="528" t="s">
        <v>205</v>
      </c>
      <c r="H3158"/>
    </row>
    <row r="3159" spans="1:8" x14ac:dyDescent="0.35">
      <c r="A3159" s="528" t="s">
        <v>9120</v>
      </c>
      <c r="B3159" s="528" t="s">
        <v>9121</v>
      </c>
      <c r="C3159" s="528" t="s">
        <v>3478</v>
      </c>
      <c r="D3159" s="528" t="s">
        <v>225</v>
      </c>
      <c r="E3159" s="528"/>
      <c r="F3159" s="528"/>
      <c r="G3159" s="528" t="s">
        <v>205</v>
      </c>
      <c r="H3159"/>
    </row>
    <row r="3160" spans="1:8" x14ac:dyDescent="0.35">
      <c r="A3160" s="528" t="s">
        <v>9122</v>
      </c>
      <c r="B3160" s="528" t="s">
        <v>9123</v>
      </c>
      <c r="C3160" s="528" t="s">
        <v>9124</v>
      </c>
      <c r="D3160" s="528" t="s">
        <v>277</v>
      </c>
      <c r="E3160" s="528"/>
      <c r="F3160" s="528"/>
      <c r="G3160" s="528" t="s">
        <v>208</v>
      </c>
      <c r="H3160"/>
    </row>
    <row r="3161" spans="1:8" x14ac:dyDescent="0.35">
      <c r="A3161" s="528" t="s">
        <v>9125</v>
      </c>
      <c r="B3161" s="528" t="s">
        <v>9126</v>
      </c>
      <c r="C3161" s="528" t="s">
        <v>9127</v>
      </c>
      <c r="D3161" s="528" t="s">
        <v>264</v>
      </c>
      <c r="E3161" s="528"/>
      <c r="F3161" s="528"/>
      <c r="G3161" s="528" t="s">
        <v>208</v>
      </c>
      <c r="H3161"/>
    </row>
    <row r="3162" spans="1:8" x14ac:dyDescent="0.35">
      <c r="A3162" s="528" t="s">
        <v>9128</v>
      </c>
      <c r="B3162" s="528" t="s">
        <v>9129</v>
      </c>
      <c r="C3162" s="528" t="s">
        <v>9130</v>
      </c>
      <c r="D3162" s="528" t="s">
        <v>277</v>
      </c>
      <c r="E3162" s="528"/>
      <c r="F3162" s="528"/>
      <c r="G3162" s="528" t="s">
        <v>205</v>
      </c>
      <c r="H3162"/>
    </row>
    <row r="3163" spans="1:8" x14ac:dyDescent="0.35">
      <c r="A3163" s="528" t="s">
        <v>9131</v>
      </c>
      <c r="B3163" s="528" t="s">
        <v>9132</v>
      </c>
      <c r="C3163" s="528" t="s">
        <v>9133</v>
      </c>
      <c r="D3163" s="528" t="s">
        <v>277</v>
      </c>
      <c r="E3163" s="528"/>
      <c r="F3163" s="528"/>
      <c r="G3163" s="528" t="s">
        <v>205</v>
      </c>
      <c r="H3163"/>
    </row>
    <row r="3164" spans="1:8" x14ac:dyDescent="0.35">
      <c r="A3164" s="528" t="s">
        <v>9134</v>
      </c>
      <c r="B3164" s="528" t="s">
        <v>9135</v>
      </c>
      <c r="C3164" s="528" t="s">
        <v>9136</v>
      </c>
      <c r="D3164" s="528" t="s">
        <v>277</v>
      </c>
      <c r="E3164" s="528"/>
      <c r="F3164" s="528"/>
      <c r="G3164" s="528" t="s">
        <v>214</v>
      </c>
      <c r="H3164"/>
    </row>
    <row r="3165" spans="1:8" x14ac:dyDescent="0.35">
      <c r="A3165" s="528" t="s">
        <v>9137</v>
      </c>
      <c r="B3165" s="528" t="s">
        <v>9138</v>
      </c>
      <c r="C3165" s="528" t="s">
        <v>9139</v>
      </c>
      <c r="D3165" s="528" t="s">
        <v>277</v>
      </c>
      <c r="E3165" s="528"/>
      <c r="F3165" s="528"/>
      <c r="G3165" s="528" t="s">
        <v>205</v>
      </c>
      <c r="H3165"/>
    </row>
    <row r="3166" spans="1:8" x14ac:dyDescent="0.35">
      <c r="A3166" s="528" t="s">
        <v>9140</v>
      </c>
      <c r="B3166" s="528" t="s">
        <v>9141</v>
      </c>
      <c r="C3166" s="528" t="s">
        <v>9142</v>
      </c>
      <c r="D3166" s="528" t="s">
        <v>277</v>
      </c>
      <c r="E3166" s="528"/>
      <c r="F3166" s="528"/>
      <c r="G3166" s="528" t="s">
        <v>205</v>
      </c>
      <c r="H3166"/>
    </row>
    <row r="3167" spans="1:8" x14ac:dyDescent="0.35">
      <c r="A3167" s="528" t="s">
        <v>9143</v>
      </c>
      <c r="B3167" s="528" t="s">
        <v>9144</v>
      </c>
      <c r="C3167" s="528" t="s">
        <v>9145</v>
      </c>
      <c r="D3167" s="528" t="s">
        <v>277</v>
      </c>
      <c r="E3167" s="528"/>
      <c r="F3167" s="528"/>
      <c r="G3167" s="528" t="s">
        <v>208</v>
      </c>
      <c r="H3167"/>
    </row>
    <row r="3168" spans="1:8" x14ac:dyDescent="0.35">
      <c r="A3168" s="528" t="s">
        <v>9146</v>
      </c>
      <c r="B3168" s="528" t="s">
        <v>9147</v>
      </c>
      <c r="C3168" s="528" t="s">
        <v>9148</v>
      </c>
      <c r="D3168" s="528" t="s">
        <v>264</v>
      </c>
      <c r="E3168" s="528"/>
      <c r="F3168" s="528"/>
      <c r="G3168" s="528" t="s">
        <v>205</v>
      </c>
      <c r="H3168"/>
    </row>
    <row r="3169" spans="1:8" x14ac:dyDescent="0.35">
      <c r="A3169" s="528" t="s">
        <v>9149</v>
      </c>
      <c r="B3169" s="528" t="s">
        <v>9150</v>
      </c>
      <c r="C3169" s="528" t="s">
        <v>9151</v>
      </c>
      <c r="D3169" s="528" t="s">
        <v>264</v>
      </c>
      <c r="E3169" s="528"/>
      <c r="F3169" s="528"/>
      <c r="G3169" s="528" t="s">
        <v>208</v>
      </c>
      <c r="H3169"/>
    </row>
    <row r="3170" spans="1:8" x14ac:dyDescent="0.35">
      <c r="A3170" s="528" t="s">
        <v>9152</v>
      </c>
      <c r="B3170" s="528" t="s">
        <v>9153</v>
      </c>
      <c r="C3170" s="528" t="s">
        <v>9154</v>
      </c>
      <c r="D3170" s="528" t="s">
        <v>277</v>
      </c>
      <c r="E3170" s="528"/>
      <c r="F3170" s="528"/>
      <c r="G3170" s="528" t="s">
        <v>205</v>
      </c>
      <c r="H3170"/>
    </row>
    <row r="3171" spans="1:8" x14ac:dyDescent="0.35">
      <c r="A3171" s="528" t="s">
        <v>9155</v>
      </c>
      <c r="B3171" s="528" t="s">
        <v>9156</v>
      </c>
      <c r="C3171" s="528" t="s">
        <v>9157</v>
      </c>
      <c r="D3171" s="528" t="s">
        <v>277</v>
      </c>
      <c r="E3171" s="528"/>
      <c r="F3171" s="528"/>
      <c r="G3171" s="528" t="s">
        <v>205</v>
      </c>
      <c r="H3171"/>
    </row>
    <row r="3172" spans="1:8" x14ac:dyDescent="0.35">
      <c r="A3172" s="528" t="s">
        <v>9158</v>
      </c>
      <c r="B3172" s="528" t="s">
        <v>9159</v>
      </c>
      <c r="C3172" s="528" t="s">
        <v>9160</v>
      </c>
      <c r="D3172" s="528" t="s">
        <v>264</v>
      </c>
      <c r="E3172" s="528"/>
      <c r="F3172" s="528"/>
      <c r="G3172" s="528" t="s">
        <v>214</v>
      </c>
      <c r="H3172"/>
    </row>
    <row r="3173" spans="1:8" x14ac:dyDescent="0.35">
      <c r="A3173" s="528" t="s">
        <v>9161</v>
      </c>
      <c r="B3173" s="528" t="s">
        <v>9162</v>
      </c>
      <c r="C3173" s="528" t="s">
        <v>9163</v>
      </c>
      <c r="D3173" s="528" t="s">
        <v>264</v>
      </c>
      <c r="E3173" s="528"/>
      <c r="F3173" s="528"/>
      <c r="G3173" s="528" t="s">
        <v>214</v>
      </c>
      <c r="H3173"/>
    </row>
    <row r="3174" spans="1:8" x14ac:dyDescent="0.35">
      <c r="A3174" s="528" t="s">
        <v>9164</v>
      </c>
      <c r="B3174" s="528" t="s">
        <v>9165</v>
      </c>
      <c r="C3174" s="528" t="s">
        <v>9166</v>
      </c>
      <c r="D3174" s="528" t="s">
        <v>277</v>
      </c>
      <c r="E3174" s="528"/>
      <c r="F3174" s="528"/>
      <c r="G3174" s="528" t="s">
        <v>205</v>
      </c>
      <c r="H3174"/>
    </row>
    <row r="3175" spans="1:8" x14ac:dyDescent="0.35">
      <c r="A3175" s="528" t="s">
        <v>9167</v>
      </c>
      <c r="B3175" s="528" t="s">
        <v>9168</v>
      </c>
      <c r="C3175" s="528" t="s">
        <v>9169</v>
      </c>
      <c r="D3175" s="528" t="s">
        <v>225</v>
      </c>
      <c r="E3175" s="528"/>
      <c r="F3175" s="528"/>
      <c r="G3175" s="528" t="s">
        <v>208</v>
      </c>
      <c r="H3175"/>
    </row>
    <row r="3176" spans="1:8" x14ac:dyDescent="0.35">
      <c r="A3176" s="528" t="s">
        <v>9170</v>
      </c>
      <c r="B3176" s="528" t="s">
        <v>9171</v>
      </c>
      <c r="C3176" s="528" t="s">
        <v>9172</v>
      </c>
      <c r="D3176" s="528" t="s">
        <v>277</v>
      </c>
      <c r="E3176" s="528"/>
      <c r="F3176" s="528"/>
      <c r="G3176" s="528" t="s">
        <v>205</v>
      </c>
      <c r="H3176"/>
    </row>
    <row r="3177" spans="1:8" x14ac:dyDescent="0.35">
      <c r="A3177" s="528" t="s">
        <v>9173</v>
      </c>
      <c r="B3177" s="528" t="s">
        <v>9174</v>
      </c>
      <c r="C3177" s="528" t="s">
        <v>9175</v>
      </c>
      <c r="D3177" s="528" t="s">
        <v>277</v>
      </c>
      <c r="E3177" s="528"/>
      <c r="F3177" s="528"/>
      <c r="G3177" s="528" t="s">
        <v>205</v>
      </c>
      <c r="H3177"/>
    </row>
    <row r="3178" spans="1:8" x14ac:dyDescent="0.35">
      <c r="A3178" s="528" t="s">
        <v>9176</v>
      </c>
      <c r="B3178" s="528" t="s">
        <v>9177</v>
      </c>
      <c r="C3178" s="528" t="s">
        <v>9178</v>
      </c>
      <c r="D3178" s="528" t="s">
        <v>264</v>
      </c>
      <c r="E3178" s="528"/>
      <c r="F3178" s="528"/>
      <c r="G3178" s="528" t="s">
        <v>205</v>
      </c>
      <c r="H3178"/>
    </row>
    <row r="3179" spans="1:8" x14ac:dyDescent="0.35">
      <c r="A3179" s="528" t="s">
        <v>9179</v>
      </c>
      <c r="B3179" s="528" t="s">
        <v>9180</v>
      </c>
      <c r="C3179" s="528" t="s">
        <v>9181</v>
      </c>
      <c r="D3179" s="528" t="s">
        <v>264</v>
      </c>
      <c r="E3179" s="528"/>
      <c r="F3179" s="528"/>
      <c r="G3179" s="528" t="s">
        <v>214</v>
      </c>
      <c r="H3179"/>
    </row>
    <row r="3180" spans="1:8" x14ac:dyDescent="0.35">
      <c r="A3180" s="528" t="s">
        <v>9182</v>
      </c>
      <c r="B3180" s="528" t="s">
        <v>9183</v>
      </c>
      <c r="C3180" s="528" t="s">
        <v>9184</v>
      </c>
      <c r="D3180" s="528" t="s">
        <v>264</v>
      </c>
      <c r="E3180" s="528"/>
      <c r="F3180" s="528"/>
      <c r="G3180" s="528" t="s">
        <v>208</v>
      </c>
      <c r="H3180"/>
    </row>
    <row r="3181" spans="1:8" x14ac:dyDescent="0.35">
      <c r="A3181" s="528" t="s">
        <v>9185</v>
      </c>
      <c r="B3181" s="528" t="s">
        <v>9186</v>
      </c>
      <c r="C3181" s="528" t="s">
        <v>9187</v>
      </c>
      <c r="D3181" s="528" t="s">
        <v>225</v>
      </c>
      <c r="E3181" s="528"/>
      <c r="F3181" s="528"/>
      <c r="G3181" s="528" t="s">
        <v>205</v>
      </c>
      <c r="H3181"/>
    </row>
    <row r="3182" spans="1:8" x14ac:dyDescent="0.35">
      <c r="A3182" s="528" t="s">
        <v>9188</v>
      </c>
      <c r="B3182" s="528" t="s">
        <v>9189</v>
      </c>
      <c r="C3182" s="528" t="s">
        <v>9190</v>
      </c>
      <c r="D3182" s="528" t="s">
        <v>277</v>
      </c>
      <c r="E3182" s="528"/>
      <c r="F3182" s="528"/>
      <c r="G3182" s="528" t="s">
        <v>205</v>
      </c>
      <c r="H3182"/>
    </row>
    <row r="3183" spans="1:8" x14ac:dyDescent="0.35">
      <c r="A3183" s="528" t="s">
        <v>9191</v>
      </c>
      <c r="B3183" s="528" t="s">
        <v>9192</v>
      </c>
      <c r="C3183" s="528" t="s">
        <v>9193</v>
      </c>
      <c r="D3183" s="528" t="s">
        <v>277</v>
      </c>
      <c r="E3183" s="528"/>
      <c r="F3183" s="528"/>
      <c r="G3183" s="528" t="s">
        <v>205</v>
      </c>
      <c r="H3183"/>
    </row>
    <row r="3184" spans="1:8" x14ac:dyDescent="0.35">
      <c r="A3184" s="528" t="s">
        <v>9194</v>
      </c>
      <c r="B3184" s="528" t="s">
        <v>9195</v>
      </c>
      <c r="C3184" s="528" t="s">
        <v>5622</v>
      </c>
      <c r="D3184" s="528" t="s">
        <v>264</v>
      </c>
      <c r="E3184" s="528" t="s">
        <v>225</v>
      </c>
      <c r="F3184" s="528"/>
      <c r="G3184" s="528" t="s">
        <v>205</v>
      </c>
      <c r="H3184"/>
    </row>
    <row r="3185" spans="1:8" x14ac:dyDescent="0.35">
      <c r="A3185" s="528" t="s">
        <v>9196</v>
      </c>
      <c r="B3185" s="528" t="s">
        <v>9197</v>
      </c>
      <c r="C3185" s="528" t="s">
        <v>9198</v>
      </c>
      <c r="D3185" s="528" t="s">
        <v>225</v>
      </c>
      <c r="E3185" s="528"/>
      <c r="F3185" s="528"/>
      <c r="G3185" s="528" t="s">
        <v>205</v>
      </c>
      <c r="H3185"/>
    </row>
    <row r="3186" spans="1:8" x14ac:dyDescent="0.35">
      <c r="A3186" s="528" t="s">
        <v>9199</v>
      </c>
      <c r="B3186" s="528" t="s">
        <v>9200</v>
      </c>
      <c r="C3186" s="528" t="s">
        <v>9201</v>
      </c>
      <c r="D3186" s="528" t="s">
        <v>225</v>
      </c>
      <c r="E3186" s="528"/>
      <c r="F3186" s="528"/>
      <c r="G3186" s="528" t="s">
        <v>205</v>
      </c>
      <c r="H3186"/>
    </row>
    <row r="3187" spans="1:8" x14ac:dyDescent="0.35">
      <c r="A3187" s="528" t="s">
        <v>9202</v>
      </c>
      <c r="B3187" s="528" t="s">
        <v>9203</v>
      </c>
      <c r="C3187" s="528" t="s">
        <v>9204</v>
      </c>
      <c r="D3187" s="528" t="s">
        <v>225</v>
      </c>
      <c r="E3187" s="528"/>
      <c r="F3187" s="528"/>
      <c r="G3187" s="528" t="s">
        <v>205</v>
      </c>
      <c r="H3187"/>
    </row>
    <row r="3188" spans="1:8" x14ac:dyDescent="0.35">
      <c r="A3188" s="528" t="s">
        <v>9205</v>
      </c>
      <c r="B3188" s="528" t="s">
        <v>9206</v>
      </c>
      <c r="C3188" s="528" t="s">
        <v>8400</v>
      </c>
      <c r="D3188" s="528" t="s">
        <v>225</v>
      </c>
      <c r="E3188" s="528"/>
      <c r="F3188" s="528"/>
      <c r="G3188" s="528" t="s">
        <v>205</v>
      </c>
      <c r="H3188"/>
    </row>
    <row r="3189" spans="1:8" x14ac:dyDescent="0.35">
      <c r="A3189" s="528" t="s">
        <v>9207</v>
      </c>
      <c r="B3189" s="528" t="s">
        <v>9208</v>
      </c>
      <c r="C3189" s="528" t="s">
        <v>9209</v>
      </c>
      <c r="D3189" s="528" t="s">
        <v>225</v>
      </c>
      <c r="E3189" s="528"/>
      <c r="F3189" s="528"/>
      <c r="G3189" s="528" t="s">
        <v>205</v>
      </c>
      <c r="H3189"/>
    </row>
    <row r="3190" spans="1:8" x14ac:dyDescent="0.35">
      <c r="A3190" s="528" t="s">
        <v>9210</v>
      </c>
      <c r="B3190" s="528" t="s">
        <v>9211</v>
      </c>
      <c r="C3190" s="528" t="s">
        <v>9212</v>
      </c>
      <c r="D3190" s="528" t="s">
        <v>251</v>
      </c>
      <c r="E3190" s="528"/>
      <c r="F3190" s="528"/>
      <c r="G3190" s="528" t="s">
        <v>205</v>
      </c>
      <c r="H3190"/>
    </row>
    <row r="3191" spans="1:8" x14ac:dyDescent="0.35">
      <c r="A3191" s="528" t="s">
        <v>9213</v>
      </c>
      <c r="B3191" s="528" t="s">
        <v>9214</v>
      </c>
      <c r="C3191" s="528" t="s">
        <v>9215</v>
      </c>
      <c r="D3191" s="528" t="s">
        <v>264</v>
      </c>
      <c r="E3191" s="528"/>
      <c r="F3191" s="528"/>
      <c r="G3191" s="528" t="s">
        <v>205</v>
      </c>
      <c r="H3191"/>
    </row>
    <row r="3192" spans="1:8" x14ac:dyDescent="0.35">
      <c r="A3192" s="528" t="s">
        <v>9216</v>
      </c>
      <c r="B3192" s="528" t="s">
        <v>9217</v>
      </c>
      <c r="C3192" s="528" t="s">
        <v>9218</v>
      </c>
      <c r="D3192" s="528" t="s">
        <v>264</v>
      </c>
      <c r="E3192" s="528" t="s">
        <v>225</v>
      </c>
      <c r="F3192" s="528"/>
      <c r="G3192" s="528" t="s">
        <v>205</v>
      </c>
      <c r="H3192"/>
    </row>
    <row r="3193" spans="1:8" x14ac:dyDescent="0.35">
      <c r="A3193" s="528" t="s">
        <v>9219</v>
      </c>
      <c r="B3193" s="528" t="s">
        <v>9220</v>
      </c>
      <c r="C3193" s="528" t="s">
        <v>9221</v>
      </c>
      <c r="D3193" s="528" t="s">
        <v>264</v>
      </c>
      <c r="E3193" s="528"/>
      <c r="F3193" s="528"/>
      <c r="G3193" s="528" t="s">
        <v>205</v>
      </c>
      <c r="H3193"/>
    </row>
    <row r="3194" spans="1:8" x14ac:dyDescent="0.35">
      <c r="A3194" s="528" t="s">
        <v>9222</v>
      </c>
      <c r="B3194" s="528" t="s">
        <v>9223</v>
      </c>
      <c r="C3194" s="528" t="s">
        <v>5205</v>
      </c>
      <c r="D3194" s="528" t="s">
        <v>225</v>
      </c>
      <c r="E3194" s="528"/>
      <c r="F3194" s="528"/>
      <c r="G3194" s="528" t="s">
        <v>205</v>
      </c>
      <c r="H3194"/>
    </row>
    <row r="3195" spans="1:8" x14ac:dyDescent="0.35">
      <c r="A3195" s="528" t="s">
        <v>9224</v>
      </c>
      <c r="B3195" s="528" t="s">
        <v>9225</v>
      </c>
      <c r="C3195" s="528" t="s">
        <v>9226</v>
      </c>
      <c r="D3195" s="528" t="s">
        <v>225</v>
      </c>
      <c r="E3195" s="528"/>
      <c r="F3195" s="528"/>
      <c r="G3195" s="528" t="s">
        <v>205</v>
      </c>
      <c r="H3195"/>
    </row>
    <row r="3196" spans="1:8" x14ac:dyDescent="0.35">
      <c r="A3196" s="528" t="s">
        <v>9227</v>
      </c>
      <c r="B3196" s="528" t="s">
        <v>9228</v>
      </c>
      <c r="C3196" s="528" t="s">
        <v>9229</v>
      </c>
      <c r="D3196" s="528" t="s">
        <v>225</v>
      </c>
      <c r="E3196" s="528"/>
      <c r="F3196" s="528"/>
      <c r="G3196" s="528" t="s">
        <v>205</v>
      </c>
      <c r="H3196"/>
    </row>
    <row r="3197" spans="1:8" x14ac:dyDescent="0.35">
      <c r="A3197" s="528" t="s">
        <v>9230</v>
      </c>
      <c r="B3197" s="528" t="s">
        <v>9231</v>
      </c>
      <c r="C3197" s="528" t="s">
        <v>9232</v>
      </c>
      <c r="D3197" s="528" t="s">
        <v>225</v>
      </c>
      <c r="E3197" s="528"/>
      <c r="F3197" s="528"/>
      <c r="G3197" s="528" t="s">
        <v>205</v>
      </c>
      <c r="H3197"/>
    </row>
    <row r="3198" spans="1:8" x14ac:dyDescent="0.35">
      <c r="A3198" s="528" t="s">
        <v>9233</v>
      </c>
      <c r="B3198" s="528" t="s">
        <v>9234</v>
      </c>
      <c r="C3198" s="528" t="s">
        <v>9235</v>
      </c>
      <c r="D3198" s="528" t="s">
        <v>251</v>
      </c>
      <c r="E3198" s="528"/>
      <c r="F3198" s="528"/>
      <c r="G3198" s="528" t="s">
        <v>205</v>
      </c>
      <c r="H3198"/>
    </row>
    <row r="3199" spans="1:8" x14ac:dyDescent="0.35">
      <c r="A3199" s="528" t="s">
        <v>9236</v>
      </c>
      <c r="B3199" s="528" t="s">
        <v>9237</v>
      </c>
      <c r="C3199" s="528" t="s">
        <v>9238</v>
      </c>
      <c r="D3199" s="528" t="s">
        <v>225</v>
      </c>
      <c r="E3199" s="528"/>
      <c r="F3199" s="528"/>
      <c r="G3199" s="528" t="s">
        <v>205</v>
      </c>
      <c r="H3199"/>
    </row>
    <row r="3200" spans="1:8" x14ac:dyDescent="0.35">
      <c r="A3200" s="528" t="s">
        <v>9239</v>
      </c>
      <c r="B3200" s="528" t="s">
        <v>9240</v>
      </c>
      <c r="C3200" s="528" t="s">
        <v>9241</v>
      </c>
      <c r="D3200" s="528" t="s">
        <v>225</v>
      </c>
      <c r="E3200" s="528"/>
      <c r="F3200" s="528"/>
      <c r="G3200" s="528" t="s">
        <v>205</v>
      </c>
      <c r="H3200"/>
    </row>
    <row r="3201" spans="1:8" x14ac:dyDescent="0.35">
      <c r="A3201" s="528" t="s">
        <v>9242</v>
      </c>
      <c r="B3201" s="528" t="s">
        <v>9243</v>
      </c>
      <c r="C3201" s="528" t="s">
        <v>9244</v>
      </c>
      <c r="D3201" s="528" t="s">
        <v>238</v>
      </c>
      <c r="E3201" s="528"/>
      <c r="F3201" s="528"/>
      <c r="G3201" s="528" t="s">
        <v>205</v>
      </c>
      <c r="H3201"/>
    </row>
    <row r="3202" spans="1:8" x14ac:dyDescent="0.35">
      <c r="A3202" s="528" t="s">
        <v>9245</v>
      </c>
      <c r="B3202" s="528" t="s">
        <v>9246</v>
      </c>
      <c r="C3202" s="528" t="s">
        <v>9247</v>
      </c>
      <c r="D3202" s="528" t="s">
        <v>238</v>
      </c>
      <c r="E3202" s="528"/>
      <c r="F3202" s="528"/>
      <c r="G3202" s="528" t="s">
        <v>205</v>
      </c>
      <c r="H3202"/>
    </row>
    <row r="3203" spans="1:8" x14ac:dyDescent="0.35">
      <c r="A3203" s="528" t="s">
        <v>9248</v>
      </c>
      <c r="B3203" s="528" t="s">
        <v>9249</v>
      </c>
      <c r="C3203" s="528" t="s">
        <v>9250</v>
      </c>
      <c r="D3203" s="528" t="s">
        <v>225</v>
      </c>
      <c r="E3203" s="528"/>
      <c r="F3203" s="528"/>
      <c r="G3203" s="528" t="s">
        <v>205</v>
      </c>
      <c r="H3203"/>
    </row>
    <row r="3204" spans="1:8" x14ac:dyDescent="0.35">
      <c r="A3204" s="528" t="s">
        <v>9251</v>
      </c>
      <c r="B3204" s="528" t="s">
        <v>9252</v>
      </c>
      <c r="C3204" s="528" t="s">
        <v>9253</v>
      </c>
      <c r="D3204" s="528" t="s">
        <v>251</v>
      </c>
      <c r="E3204" s="528"/>
      <c r="F3204" s="528"/>
      <c r="G3204" s="528" t="s">
        <v>205</v>
      </c>
      <c r="H3204"/>
    </row>
    <row r="3205" spans="1:8" x14ac:dyDescent="0.35">
      <c r="A3205" s="528" t="s">
        <v>9254</v>
      </c>
      <c r="B3205" s="528" t="s">
        <v>9255</v>
      </c>
      <c r="C3205" s="528" t="s">
        <v>9256</v>
      </c>
      <c r="D3205" s="528" t="s">
        <v>251</v>
      </c>
      <c r="E3205" s="528"/>
      <c r="F3205" s="528"/>
      <c r="G3205" s="528" t="s">
        <v>205</v>
      </c>
      <c r="H3205"/>
    </row>
    <row r="3206" spans="1:8" x14ac:dyDescent="0.35">
      <c r="A3206" s="528" t="s">
        <v>9257</v>
      </c>
      <c r="B3206" s="528" t="s">
        <v>9258</v>
      </c>
      <c r="C3206" s="528" t="s">
        <v>9259</v>
      </c>
      <c r="D3206" s="528" t="s">
        <v>251</v>
      </c>
      <c r="E3206" s="528"/>
      <c r="F3206" s="528"/>
      <c r="G3206" s="528" t="s">
        <v>205</v>
      </c>
      <c r="H3206"/>
    </row>
    <row r="3207" spans="1:8" x14ac:dyDescent="0.35">
      <c r="A3207" s="528" t="s">
        <v>9260</v>
      </c>
      <c r="B3207" s="528" t="s">
        <v>9261</v>
      </c>
      <c r="C3207" s="528" t="s">
        <v>5800</v>
      </c>
      <c r="D3207" s="528" t="s">
        <v>225</v>
      </c>
      <c r="E3207" s="528"/>
      <c r="F3207" s="528"/>
      <c r="G3207" s="528" t="s">
        <v>205</v>
      </c>
      <c r="H3207"/>
    </row>
    <row r="3208" spans="1:8" x14ac:dyDescent="0.35">
      <c r="A3208" s="528" t="s">
        <v>9262</v>
      </c>
      <c r="B3208" s="528" t="s">
        <v>9263</v>
      </c>
      <c r="C3208" s="528" t="s">
        <v>9264</v>
      </c>
      <c r="D3208" s="528" t="s">
        <v>264</v>
      </c>
      <c r="E3208" s="528"/>
      <c r="F3208" s="528"/>
      <c r="G3208" s="528" t="s">
        <v>205</v>
      </c>
      <c r="H3208"/>
    </row>
    <row r="3209" spans="1:8" x14ac:dyDescent="0.35">
      <c r="A3209" s="528" t="s">
        <v>9265</v>
      </c>
      <c r="B3209" s="528" t="s">
        <v>9266</v>
      </c>
      <c r="C3209" s="528" t="s">
        <v>9267</v>
      </c>
      <c r="D3209" s="528" t="s">
        <v>264</v>
      </c>
      <c r="E3209" s="528" t="s">
        <v>277</v>
      </c>
      <c r="F3209" s="528"/>
      <c r="G3209" s="528" t="s">
        <v>205</v>
      </c>
      <c r="H3209"/>
    </row>
    <row r="3210" spans="1:8" x14ac:dyDescent="0.35">
      <c r="A3210" s="528" t="s">
        <v>9268</v>
      </c>
      <c r="B3210" s="528" t="s">
        <v>9269</v>
      </c>
      <c r="C3210" s="528" t="s">
        <v>5208</v>
      </c>
      <c r="D3210" s="528" t="s">
        <v>225</v>
      </c>
      <c r="E3210" s="528"/>
      <c r="F3210" s="528"/>
      <c r="G3210" s="528" t="s">
        <v>205</v>
      </c>
      <c r="H3210"/>
    </row>
    <row r="3211" spans="1:8" x14ac:dyDescent="0.35">
      <c r="A3211" s="528" t="s">
        <v>9270</v>
      </c>
      <c r="B3211" s="528" t="s">
        <v>9271</v>
      </c>
      <c r="C3211" s="528" t="s">
        <v>9272</v>
      </c>
      <c r="D3211" s="528" t="s">
        <v>277</v>
      </c>
      <c r="E3211" s="528"/>
      <c r="F3211" s="528"/>
      <c r="G3211" s="528" t="s">
        <v>205</v>
      </c>
      <c r="H3211"/>
    </row>
    <row r="3212" spans="1:8" x14ac:dyDescent="0.35">
      <c r="A3212" s="528" t="s">
        <v>9273</v>
      </c>
      <c r="B3212" s="528" t="s">
        <v>9274</v>
      </c>
      <c r="C3212" s="528" t="s">
        <v>9275</v>
      </c>
      <c r="D3212" s="528" t="s">
        <v>251</v>
      </c>
      <c r="E3212" s="528"/>
      <c r="F3212" s="528"/>
      <c r="G3212" s="528" t="s">
        <v>205</v>
      </c>
      <c r="H3212"/>
    </row>
    <row r="3213" spans="1:8" x14ac:dyDescent="0.35">
      <c r="A3213" s="528" t="s">
        <v>9276</v>
      </c>
      <c r="B3213" s="528" t="s">
        <v>9277</v>
      </c>
      <c r="C3213" s="528" t="s">
        <v>9278</v>
      </c>
      <c r="D3213" s="528" t="s">
        <v>251</v>
      </c>
      <c r="E3213" s="528"/>
      <c r="F3213" s="528"/>
      <c r="G3213" s="528" t="s">
        <v>205</v>
      </c>
      <c r="H3213"/>
    </row>
    <row r="3214" spans="1:8" x14ac:dyDescent="0.35">
      <c r="A3214" s="528" t="s">
        <v>9279</v>
      </c>
      <c r="B3214" s="528" t="s">
        <v>9280</v>
      </c>
      <c r="C3214" s="528" t="s">
        <v>9281</v>
      </c>
      <c r="D3214" s="528" t="s">
        <v>251</v>
      </c>
      <c r="E3214" s="528"/>
      <c r="F3214" s="528"/>
      <c r="G3214" s="528" t="s">
        <v>205</v>
      </c>
      <c r="H3214"/>
    </row>
    <row r="3215" spans="1:8" x14ac:dyDescent="0.35">
      <c r="A3215" s="528" t="s">
        <v>9282</v>
      </c>
      <c r="B3215" s="528" t="s">
        <v>9283</v>
      </c>
      <c r="C3215" s="528" t="s">
        <v>9284</v>
      </c>
      <c r="D3215" s="528" t="s">
        <v>251</v>
      </c>
      <c r="E3215" s="528"/>
      <c r="F3215" s="528"/>
      <c r="G3215" s="528" t="s">
        <v>205</v>
      </c>
      <c r="H3215"/>
    </row>
    <row r="3216" spans="1:8" x14ac:dyDescent="0.35">
      <c r="A3216" s="528" t="s">
        <v>9285</v>
      </c>
      <c r="B3216" s="528" t="s">
        <v>9286</v>
      </c>
      <c r="C3216" s="528" t="s">
        <v>9287</v>
      </c>
      <c r="D3216" s="528" t="s">
        <v>225</v>
      </c>
      <c r="E3216" s="528"/>
      <c r="F3216" s="528"/>
      <c r="G3216" s="528" t="s">
        <v>205</v>
      </c>
      <c r="H3216"/>
    </row>
    <row r="3217" spans="1:8" x14ac:dyDescent="0.35">
      <c r="A3217" s="528" t="s">
        <v>9288</v>
      </c>
      <c r="B3217" s="528" t="s">
        <v>9289</v>
      </c>
      <c r="C3217" s="528" t="s">
        <v>9290</v>
      </c>
      <c r="D3217" s="528" t="s">
        <v>264</v>
      </c>
      <c r="E3217" s="528" t="s">
        <v>251</v>
      </c>
      <c r="F3217" s="528"/>
      <c r="G3217" s="528" t="s">
        <v>205</v>
      </c>
      <c r="H3217"/>
    </row>
    <row r="3218" spans="1:8" x14ac:dyDescent="0.35">
      <c r="A3218" s="528" t="s">
        <v>9291</v>
      </c>
      <c r="B3218" s="528" t="s">
        <v>9292</v>
      </c>
      <c r="C3218" s="528" t="s">
        <v>9293</v>
      </c>
      <c r="D3218" s="528" t="s">
        <v>264</v>
      </c>
      <c r="E3218" s="528"/>
      <c r="F3218" s="528"/>
      <c r="G3218" s="528" t="s">
        <v>205</v>
      </c>
      <c r="H3218"/>
    </row>
    <row r="3219" spans="1:8" x14ac:dyDescent="0.35">
      <c r="A3219" s="528" t="s">
        <v>9294</v>
      </c>
      <c r="B3219" s="528" t="s">
        <v>9295</v>
      </c>
      <c r="C3219" s="528" t="s">
        <v>5219</v>
      </c>
      <c r="D3219" s="528" t="s">
        <v>225</v>
      </c>
      <c r="E3219" s="528"/>
      <c r="F3219" s="528"/>
      <c r="G3219" s="528" t="s">
        <v>205</v>
      </c>
      <c r="H3219"/>
    </row>
    <row r="3220" spans="1:8" x14ac:dyDescent="0.35">
      <c r="A3220" s="528" t="s">
        <v>9296</v>
      </c>
      <c r="B3220" s="528" t="s">
        <v>9297</v>
      </c>
      <c r="C3220" s="528" t="s">
        <v>9298</v>
      </c>
      <c r="D3220" s="528" t="s">
        <v>251</v>
      </c>
      <c r="E3220" s="528"/>
      <c r="F3220" s="528"/>
      <c r="G3220" s="528" t="s">
        <v>205</v>
      </c>
      <c r="H3220"/>
    </row>
    <row r="3221" spans="1:8" x14ac:dyDescent="0.35">
      <c r="A3221" s="528" t="s">
        <v>9299</v>
      </c>
      <c r="B3221" s="528" t="s">
        <v>9300</v>
      </c>
      <c r="C3221" s="528" t="s">
        <v>9301</v>
      </c>
      <c r="D3221" s="528" t="s">
        <v>277</v>
      </c>
      <c r="E3221" s="528"/>
      <c r="F3221" s="528"/>
      <c r="G3221" s="528" t="s">
        <v>205</v>
      </c>
      <c r="H3221"/>
    </row>
    <row r="3222" spans="1:8" x14ac:dyDescent="0.35">
      <c r="A3222" s="528" t="s">
        <v>9302</v>
      </c>
      <c r="B3222" s="528" t="s">
        <v>9303</v>
      </c>
      <c r="C3222" s="528" t="s">
        <v>2882</v>
      </c>
      <c r="D3222" s="528" t="s">
        <v>251</v>
      </c>
      <c r="E3222" s="528"/>
      <c r="F3222" s="528"/>
      <c r="G3222" s="528" t="s">
        <v>205</v>
      </c>
      <c r="H3222"/>
    </row>
    <row r="3223" spans="1:8" x14ac:dyDescent="0.35">
      <c r="A3223" s="528" t="s">
        <v>9304</v>
      </c>
      <c r="B3223" s="528" t="s">
        <v>9305</v>
      </c>
      <c r="C3223" s="528" t="s">
        <v>9306</v>
      </c>
      <c r="D3223" s="528" t="s">
        <v>277</v>
      </c>
      <c r="E3223" s="528"/>
      <c r="F3223" s="528"/>
      <c r="G3223" s="528" t="s">
        <v>205</v>
      </c>
      <c r="H3223"/>
    </row>
    <row r="3224" spans="1:8" x14ac:dyDescent="0.35">
      <c r="A3224" s="528" t="s">
        <v>9307</v>
      </c>
      <c r="B3224" s="528" t="s">
        <v>9308</v>
      </c>
      <c r="C3224" s="528" t="s">
        <v>9309</v>
      </c>
      <c r="D3224" s="528" t="s">
        <v>277</v>
      </c>
      <c r="E3224" s="528"/>
      <c r="F3224" s="528"/>
      <c r="G3224" s="528" t="s">
        <v>205</v>
      </c>
      <c r="H3224"/>
    </row>
    <row r="3225" spans="1:8" x14ac:dyDescent="0.35">
      <c r="A3225" s="528" t="s">
        <v>9310</v>
      </c>
      <c r="B3225" s="528" t="s">
        <v>9311</v>
      </c>
      <c r="C3225" s="528" t="s">
        <v>9312</v>
      </c>
      <c r="D3225" s="528" t="s">
        <v>251</v>
      </c>
      <c r="E3225" s="528"/>
      <c r="F3225" s="528"/>
      <c r="G3225" s="528" t="s">
        <v>205</v>
      </c>
      <c r="H3225"/>
    </row>
    <row r="3226" spans="1:8" x14ac:dyDescent="0.35">
      <c r="A3226" s="528" t="s">
        <v>9313</v>
      </c>
      <c r="B3226" s="528" t="s">
        <v>9314</v>
      </c>
      <c r="C3226" s="528" t="s">
        <v>9315</v>
      </c>
      <c r="D3226" s="528" t="s">
        <v>225</v>
      </c>
      <c r="E3226" s="528"/>
      <c r="F3226" s="528"/>
      <c r="G3226" s="528" t="s">
        <v>205</v>
      </c>
      <c r="H3226"/>
    </row>
    <row r="3227" spans="1:8" x14ac:dyDescent="0.35">
      <c r="A3227" s="528" t="s">
        <v>9316</v>
      </c>
      <c r="B3227" s="528" t="s">
        <v>9317</v>
      </c>
      <c r="C3227" s="528" t="s">
        <v>9318</v>
      </c>
      <c r="D3227" s="528" t="s">
        <v>225</v>
      </c>
      <c r="E3227" s="528"/>
      <c r="F3227" s="528"/>
      <c r="G3227" s="528" t="s">
        <v>205</v>
      </c>
      <c r="H3227"/>
    </row>
    <row r="3228" spans="1:8" x14ac:dyDescent="0.35">
      <c r="A3228" s="528" t="s">
        <v>9319</v>
      </c>
      <c r="B3228" s="528" t="s">
        <v>9320</v>
      </c>
      <c r="C3228" s="528" t="s">
        <v>9321</v>
      </c>
      <c r="D3228" s="528" t="s">
        <v>225</v>
      </c>
      <c r="E3228" s="528"/>
      <c r="F3228" s="528"/>
      <c r="G3228" s="528" t="s">
        <v>205</v>
      </c>
      <c r="H3228"/>
    </row>
    <row r="3229" spans="1:8" x14ac:dyDescent="0.35">
      <c r="A3229" s="528" t="s">
        <v>9322</v>
      </c>
      <c r="B3229" s="528" t="s">
        <v>9323</v>
      </c>
      <c r="C3229" s="528" t="s">
        <v>9324</v>
      </c>
      <c r="D3229" s="528" t="s">
        <v>225</v>
      </c>
      <c r="E3229" s="528"/>
      <c r="F3229" s="528"/>
      <c r="G3229" s="528" t="s">
        <v>205</v>
      </c>
      <c r="H3229"/>
    </row>
    <row r="3230" spans="1:8" x14ac:dyDescent="0.35">
      <c r="A3230" s="528" t="s">
        <v>9325</v>
      </c>
      <c r="B3230" s="528" t="s">
        <v>9326</v>
      </c>
      <c r="C3230" s="528" t="s">
        <v>9327</v>
      </c>
      <c r="D3230" s="528" t="s">
        <v>251</v>
      </c>
      <c r="E3230" s="528"/>
      <c r="F3230" s="528"/>
      <c r="G3230" s="528" t="s">
        <v>205</v>
      </c>
      <c r="H3230"/>
    </row>
    <row r="3231" spans="1:8" x14ac:dyDescent="0.35">
      <c r="A3231" s="528" t="s">
        <v>9328</v>
      </c>
      <c r="B3231" s="528" t="s">
        <v>9329</v>
      </c>
      <c r="C3231" s="528" t="s">
        <v>9330</v>
      </c>
      <c r="D3231" s="528" t="s">
        <v>225</v>
      </c>
      <c r="E3231" s="528"/>
      <c r="F3231" s="528"/>
      <c r="G3231" s="528" t="s">
        <v>205</v>
      </c>
      <c r="H3231"/>
    </row>
    <row r="3232" spans="1:8" x14ac:dyDescent="0.35">
      <c r="A3232" s="528" t="s">
        <v>9331</v>
      </c>
      <c r="B3232" s="528" t="s">
        <v>9332</v>
      </c>
      <c r="C3232" s="528" t="s">
        <v>9333</v>
      </c>
      <c r="D3232" s="528" t="s">
        <v>277</v>
      </c>
      <c r="E3232" s="528"/>
      <c r="F3232" s="528"/>
      <c r="G3232" s="528" t="s">
        <v>205</v>
      </c>
      <c r="H3232"/>
    </row>
    <row r="3233" spans="1:8" x14ac:dyDescent="0.35">
      <c r="A3233" s="528" t="s">
        <v>9334</v>
      </c>
      <c r="B3233" s="528" t="s">
        <v>9335</v>
      </c>
      <c r="C3233" s="528" t="s">
        <v>9336</v>
      </c>
      <c r="D3233" s="528" t="s">
        <v>238</v>
      </c>
      <c r="E3233" s="528"/>
      <c r="F3233" s="528"/>
      <c r="G3233" s="528" t="s">
        <v>205</v>
      </c>
      <c r="H3233"/>
    </row>
    <row r="3234" spans="1:8" x14ac:dyDescent="0.35">
      <c r="A3234" s="528" t="s">
        <v>9337</v>
      </c>
      <c r="B3234" s="528" t="s">
        <v>9338</v>
      </c>
      <c r="C3234" s="528" t="s">
        <v>9339</v>
      </c>
      <c r="D3234" s="528" t="s">
        <v>264</v>
      </c>
      <c r="E3234" s="528"/>
      <c r="F3234" s="528"/>
      <c r="G3234" s="528" t="s">
        <v>205</v>
      </c>
      <c r="H3234"/>
    </row>
    <row r="3235" spans="1:8" x14ac:dyDescent="0.35">
      <c r="A3235" s="528" t="s">
        <v>9340</v>
      </c>
      <c r="B3235" s="528" t="s">
        <v>9341</v>
      </c>
      <c r="C3235" s="528" t="s">
        <v>9342</v>
      </c>
      <c r="D3235" s="528" t="s">
        <v>225</v>
      </c>
      <c r="E3235" s="528"/>
      <c r="F3235" s="528"/>
      <c r="G3235" s="528" t="s">
        <v>205</v>
      </c>
      <c r="H3235"/>
    </row>
    <row r="3236" spans="1:8" x14ac:dyDescent="0.35">
      <c r="A3236" s="528" t="s">
        <v>9343</v>
      </c>
      <c r="B3236" s="528" t="s">
        <v>9344</v>
      </c>
      <c r="C3236" s="528" t="s">
        <v>9345</v>
      </c>
      <c r="D3236" s="528" t="s">
        <v>225</v>
      </c>
      <c r="E3236" s="528"/>
      <c r="F3236" s="528"/>
      <c r="G3236" s="528" t="s">
        <v>205</v>
      </c>
      <c r="H3236"/>
    </row>
    <row r="3237" spans="1:8" x14ac:dyDescent="0.35">
      <c r="A3237" s="528" t="s">
        <v>9346</v>
      </c>
      <c r="B3237" s="528" t="s">
        <v>9347</v>
      </c>
      <c r="C3237" s="528" t="s">
        <v>9348</v>
      </c>
      <c r="D3237" s="528" t="s">
        <v>225</v>
      </c>
      <c r="E3237" s="528"/>
      <c r="F3237" s="528"/>
      <c r="G3237" s="528" t="s">
        <v>205</v>
      </c>
      <c r="H3237"/>
    </row>
    <row r="3238" spans="1:8" x14ac:dyDescent="0.35">
      <c r="A3238" s="528" t="s">
        <v>9349</v>
      </c>
      <c r="B3238" s="528" t="s">
        <v>9350</v>
      </c>
      <c r="C3238" s="528" t="s">
        <v>9351</v>
      </c>
      <c r="D3238" s="528" t="s">
        <v>264</v>
      </c>
      <c r="E3238" s="528"/>
      <c r="F3238" s="528"/>
      <c r="G3238" s="528" t="s">
        <v>205</v>
      </c>
      <c r="H3238"/>
    </row>
    <row r="3239" spans="1:8" x14ac:dyDescent="0.35">
      <c r="A3239" s="528" t="s">
        <v>9352</v>
      </c>
      <c r="B3239" s="528" t="s">
        <v>9353</v>
      </c>
      <c r="C3239" s="528" t="s">
        <v>9354</v>
      </c>
      <c r="D3239" s="528" t="s">
        <v>225</v>
      </c>
      <c r="E3239" s="528"/>
      <c r="F3239" s="528"/>
      <c r="G3239" s="528" t="s">
        <v>205</v>
      </c>
      <c r="H3239"/>
    </row>
    <row r="3240" spans="1:8" x14ac:dyDescent="0.35">
      <c r="A3240" s="528" t="s">
        <v>9355</v>
      </c>
      <c r="B3240" s="528" t="s">
        <v>9356</v>
      </c>
      <c r="C3240" s="528" t="s">
        <v>9357</v>
      </c>
      <c r="D3240" s="528" t="s">
        <v>251</v>
      </c>
      <c r="E3240" s="528"/>
      <c r="F3240" s="528"/>
      <c r="G3240" s="528" t="s">
        <v>205</v>
      </c>
      <c r="H3240"/>
    </row>
    <row r="3241" spans="1:8" x14ac:dyDescent="0.35">
      <c r="A3241" s="528" t="s">
        <v>9358</v>
      </c>
      <c r="B3241" s="528" t="s">
        <v>9359</v>
      </c>
      <c r="C3241" s="528" t="s">
        <v>9360</v>
      </c>
      <c r="D3241" s="528" t="s">
        <v>251</v>
      </c>
      <c r="E3241" s="528"/>
      <c r="F3241" s="528"/>
      <c r="G3241" s="528" t="s">
        <v>205</v>
      </c>
      <c r="H3241"/>
    </row>
    <row r="3242" spans="1:8" x14ac:dyDescent="0.35">
      <c r="A3242" s="528" t="s">
        <v>9361</v>
      </c>
      <c r="B3242" s="528" t="s">
        <v>9362</v>
      </c>
      <c r="C3242" s="528" t="s">
        <v>9363</v>
      </c>
      <c r="D3242" s="528" t="s">
        <v>225</v>
      </c>
      <c r="E3242" s="528"/>
      <c r="F3242" s="528"/>
      <c r="G3242" s="528" t="s">
        <v>205</v>
      </c>
      <c r="H3242"/>
    </row>
    <row r="3243" spans="1:8" x14ac:dyDescent="0.35">
      <c r="A3243" s="528" t="s">
        <v>9364</v>
      </c>
      <c r="B3243" s="528" t="s">
        <v>9365</v>
      </c>
      <c r="C3243" s="528" t="s">
        <v>9366</v>
      </c>
      <c r="D3243" s="528" t="s">
        <v>251</v>
      </c>
      <c r="E3243" s="528"/>
      <c r="F3243" s="528"/>
      <c r="G3243" s="528" t="s">
        <v>205</v>
      </c>
      <c r="H3243"/>
    </row>
    <row r="3244" spans="1:8" x14ac:dyDescent="0.35">
      <c r="A3244" s="528" t="s">
        <v>9367</v>
      </c>
      <c r="B3244" s="528" t="s">
        <v>9368</v>
      </c>
      <c r="C3244" s="528" t="s">
        <v>9369</v>
      </c>
      <c r="D3244" s="528" t="s">
        <v>264</v>
      </c>
      <c r="E3244" s="528"/>
      <c r="F3244" s="528"/>
      <c r="G3244" s="528" t="s">
        <v>205</v>
      </c>
      <c r="H3244"/>
    </row>
    <row r="3245" spans="1:8" x14ac:dyDescent="0.35">
      <c r="A3245" s="528" t="s">
        <v>9370</v>
      </c>
      <c r="B3245" s="528" t="s">
        <v>9371</v>
      </c>
      <c r="C3245" s="528" t="s">
        <v>9372</v>
      </c>
      <c r="D3245" s="528" t="s">
        <v>264</v>
      </c>
      <c r="E3245" s="528"/>
      <c r="F3245" s="528"/>
      <c r="G3245" s="528" t="s">
        <v>205</v>
      </c>
      <c r="H3245"/>
    </row>
    <row r="3246" spans="1:8" x14ac:dyDescent="0.35">
      <c r="A3246" s="528" t="s">
        <v>9373</v>
      </c>
      <c r="B3246" s="528" t="s">
        <v>9374</v>
      </c>
      <c r="C3246" s="528" t="s">
        <v>9375</v>
      </c>
      <c r="D3246" s="528" t="s">
        <v>225</v>
      </c>
      <c r="E3246" s="528"/>
      <c r="F3246" s="528"/>
      <c r="G3246" s="528" t="s">
        <v>205</v>
      </c>
      <c r="H3246"/>
    </row>
    <row r="3247" spans="1:8" x14ac:dyDescent="0.35">
      <c r="A3247" s="528" t="s">
        <v>9376</v>
      </c>
      <c r="B3247" s="528" t="s">
        <v>9377</v>
      </c>
      <c r="C3247" s="528" t="s">
        <v>9378</v>
      </c>
      <c r="D3247" s="528" t="s">
        <v>264</v>
      </c>
      <c r="E3247" s="528"/>
      <c r="F3247" s="528"/>
      <c r="G3247" s="528" t="s">
        <v>205</v>
      </c>
      <c r="H3247"/>
    </row>
    <row r="3248" spans="1:8" x14ac:dyDescent="0.35">
      <c r="A3248" s="528" t="s">
        <v>9379</v>
      </c>
      <c r="B3248" s="528" t="s">
        <v>9380</v>
      </c>
      <c r="C3248" s="528" t="s">
        <v>9381</v>
      </c>
      <c r="D3248" s="528" t="s">
        <v>251</v>
      </c>
      <c r="E3248" s="528"/>
      <c r="F3248" s="528"/>
      <c r="G3248" s="528" t="s">
        <v>205</v>
      </c>
      <c r="H3248"/>
    </row>
    <row r="3249" spans="1:8" x14ac:dyDescent="0.35">
      <c r="A3249" s="528" t="s">
        <v>9382</v>
      </c>
      <c r="B3249" s="528" t="s">
        <v>9383</v>
      </c>
      <c r="C3249" s="528" t="s">
        <v>9384</v>
      </c>
      <c r="D3249" s="528" t="s">
        <v>225</v>
      </c>
      <c r="E3249" s="528"/>
      <c r="F3249" s="528"/>
      <c r="G3249" s="528" t="s">
        <v>205</v>
      </c>
      <c r="H3249"/>
    </row>
    <row r="3250" spans="1:8" x14ac:dyDescent="0.35">
      <c r="A3250" s="528" t="s">
        <v>9385</v>
      </c>
      <c r="B3250" s="528" t="s">
        <v>9386</v>
      </c>
      <c r="C3250" s="528" t="s">
        <v>9387</v>
      </c>
      <c r="D3250" s="528" t="s">
        <v>225</v>
      </c>
      <c r="E3250" s="528"/>
      <c r="F3250" s="528"/>
      <c r="G3250" s="528" t="s">
        <v>205</v>
      </c>
      <c r="H3250"/>
    </row>
    <row r="3251" spans="1:8" x14ac:dyDescent="0.35">
      <c r="A3251" s="528" t="s">
        <v>9388</v>
      </c>
      <c r="B3251" s="528" t="s">
        <v>9389</v>
      </c>
      <c r="C3251" s="528" t="s">
        <v>9390</v>
      </c>
      <c r="D3251" s="528" t="s">
        <v>225</v>
      </c>
      <c r="E3251" s="528"/>
      <c r="F3251" s="528"/>
      <c r="G3251" s="528" t="s">
        <v>205</v>
      </c>
      <c r="H3251"/>
    </row>
    <row r="3252" spans="1:8" x14ac:dyDescent="0.35">
      <c r="A3252" s="528" t="s">
        <v>9391</v>
      </c>
      <c r="B3252" s="528" t="s">
        <v>9392</v>
      </c>
      <c r="C3252" s="528" t="s">
        <v>9393</v>
      </c>
      <c r="D3252" s="528" t="s">
        <v>251</v>
      </c>
      <c r="E3252" s="528"/>
      <c r="F3252" s="528"/>
      <c r="G3252" s="528" t="s">
        <v>205</v>
      </c>
      <c r="H3252"/>
    </row>
    <row r="3253" spans="1:8" x14ac:dyDescent="0.35">
      <c r="A3253" s="528" t="s">
        <v>9394</v>
      </c>
      <c r="B3253" s="528" t="s">
        <v>9395</v>
      </c>
      <c r="C3253" s="528" t="s">
        <v>9396</v>
      </c>
      <c r="D3253" s="528" t="s">
        <v>225</v>
      </c>
      <c r="E3253" s="528"/>
      <c r="F3253" s="528"/>
      <c r="G3253" s="528" t="s">
        <v>205</v>
      </c>
      <c r="H3253"/>
    </row>
    <row r="3254" spans="1:8" x14ac:dyDescent="0.35">
      <c r="A3254" s="528" t="s">
        <v>9397</v>
      </c>
      <c r="B3254" s="528" t="s">
        <v>9398</v>
      </c>
      <c r="C3254" s="528" t="s">
        <v>9399</v>
      </c>
      <c r="D3254" s="528" t="s">
        <v>251</v>
      </c>
      <c r="E3254" s="528"/>
      <c r="F3254" s="528"/>
      <c r="G3254" s="528" t="s">
        <v>205</v>
      </c>
      <c r="H3254"/>
    </row>
    <row r="3255" spans="1:8" x14ac:dyDescent="0.35">
      <c r="A3255" s="528" t="s">
        <v>9400</v>
      </c>
      <c r="B3255" s="528" t="s">
        <v>9401</v>
      </c>
      <c r="C3255" s="528" t="s">
        <v>9402</v>
      </c>
      <c r="D3255" s="528" t="s">
        <v>251</v>
      </c>
      <c r="E3255" s="528"/>
      <c r="F3255" s="528"/>
      <c r="G3255" s="528" t="s">
        <v>205</v>
      </c>
      <c r="H3255"/>
    </row>
    <row r="3256" spans="1:8" x14ac:dyDescent="0.35">
      <c r="A3256" s="528" t="s">
        <v>9403</v>
      </c>
      <c r="B3256" s="528" t="s">
        <v>9404</v>
      </c>
      <c r="C3256" s="528" t="s">
        <v>9405</v>
      </c>
      <c r="D3256" s="528" t="s">
        <v>277</v>
      </c>
      <c r="E3256" s="528"/>
      <c r="F3256" s="528"/>
      <c r="G3256" s="528" t="s">
        <v>205</v>
      </c>
      <c r="H3256"/>
    </row>
    <row r="3257" spans="1:8" x14ac:dyDescent="0.35">
      <c r="A3257" s="528" t="s">
        <v>9406</v>
      </c>
      <c r="B3257" s="528" t="s">
        <v>9407</v>
      </c>
      <c r="C3257" s="528" t="s">
        <v>9408</v>
      </c>
      <c r="D3257" s="528" t="s">
        <v>264</v>
      </c>
      <c r="E3257" s="528"/>
      <c r="F3257" s="528"/>
      <c r="G3257" s="528" t="s">
        <v>205</v>
      </c>
      <c r="H3257"/>
    </row>
    <row r="3258" spans="1:8" x14ac:dyDescent="0.35">
      <c r="A3258" s="528" t="s">
        <v>9409</v>
      </c>
      <c r="B3258" s="528" t="s">
        <v>9410</v>
      </c>
      <c r="C3258" s="528" t="s">
        <v>9411</v>
      </c>
      <c r="D3258" s="528" t="s">
        <v>264</v>
      </c>
      <c r="E3258" s="528"/>
      <c r="F3258" s="528"/>
      <c r="G3258" s="528" t="s">
        <v>205</v>
      </c>
      <c r="H3258"/>
    </row>
    <row r="3259" spans="1:8" x14ac:dyDescent="0.35">
      <c r="A3259" s="528" t="s">
        <v>9412</v>
      </c>
      <c r="B3259" s="528" t="s">
        <v>9413</v>
      </c>
      <c r="C3259" s="528" t="s">
        <v>9414</v>
      </c>
      <c r="D3259" s="528" t="s">
        <v>277</v>
      </c>
      <c r="E3259" s="528"/>
      <c r="F3259" s="528"/>
      <c r="G3259" s="528" t="s">
        <v>205</v>
      </c>
      <c r="H3259"/>
    </row>
    <row r="3260" spans="1:8" x14ac:dyDescent="0.35">
      <c r="A3260" s="528" t="s">
        <v>9415</v>
      </c>
      <c r="B3260" s="528" t="s">
        <v>9416</v>
      </c>
      <c r="C3260" s="528" t="s">
        <v>9417</v>
      </c>
      <c r="D3260" s="528" t="s">
        <v>264</v>
      </c>
      <c r="E3260" s="528"/>
      <c r="F3260" s="528"/>
      <c r="G3260" s="528" t="s">
        <v>205</v>
      </c>
      <c r="H3260"/>
    </row>
    <row r="3261" spans="1:8" x14ac:dyDescent="0.35">
      <c r="A3261" s="528" t="s">
        <v>9418</v>
      </c>
      <c r="B3261" s="528" t="s">
        <v>9419</v>
      </c>
      <c r="C3261" s="528" t="s">
        <v>9420</v>
      </c>
      <c r="D3261" s="528" t="s">
        <v>264</v>
      </c>
      <c r="E3261" s="528"/>
      <c r="F3261" s="528"/>
      <c r="G3261" s="528" t="s">
        <v>205</v>
      </c>
      <c r="H3261"/>
    </row>
    <row r="3262" spans="1:8" x14ac:dyDescent="0.35">
      <c r="A3262" s="528" t="s">
        <v>9421</v>
      </c>
      <c r="B3262" s="528" t="s">
        <v>9422</v>
      </c>
      <c r="C3262" s="528" t="s">
        <v>9423</v>
      </c>
      <c r="D3262" s="528" t="s">
        <v>277</v>
      </c>
      <c r="E3262" s="528"/>
      <c r="F3262" s="528"/>
      <c r="G3262" s="528" t="s">
        <v>208</v>
      </c>
      <c r="H3262"/>
    </row>
    <row r="3263" spans="1:8" x14ac:dyDescent="0.35">
      <c r="A3263" s="528" t="s">
        <v>9424</v>
      </c>
      <c r="B3263" s="528" t="s">
        <v>9425</v>
      </c>
      <c r="C3263" s="528" t="s">
        <v>9426</v>
      </c>
      <c r="D3263" s="528" t="s">
        <v>264</v>
      </c>
      <c r="E3263" s="528"/>
      <c r="F3263" s="528"/>
      <c r="G3263" s="528" t="s">
        <v>208</v>
      </c>
      <c r="H3263"/>
    </row>
    <row r="3264" spans="1:8" x14ac:dyDescent="0.35">
      <c r="A3264" s="528" t="s">
        <v>9427</v>
      </c>
      <c r="B3264" s="528" t="s">
        <v>9428</v>
      </c>
      <c r="C3264" s="528" t="s">
        <v>9429</v>
      </c>
      <c r="D3264" s="528" t="s">
        <v>277</v>
      </c>
      <c r="E3264" s="528"/>
      <c r="F3264" s="528"/>
      <c r="G3264" s="528" t="s">
        <v>205</v>
      </c>
      <c r="H3264"/>
    </row>
    <row r="3265" spans="1:8" x14ac:dyDescent="0.35">
      <c r="A3265" s="528" t="s">
        <v>9430</v>
      </c>
      <c r="B3265" s="528" t="s">
        <v>9431</v>
      </c>
      <c r="C3265" s="528" t="s">
        <v>9432</v>
      </c>
      <c r="D3265" s="528" t="s">
        <v>277</v>
      </c>
      <c r="E3265" s="528"/>
      <c r="F3265" s="528"/>
      <c r="G3265" s="528" t="s">
        <v>205</v>
      </c>
      <c r="H3265"/>
    </row>
    <row r="3266" spans="1:8" x14ac:dyDescent="0.35">
      <c r="A3266" s="528" t="s">
        <v>9433</v>
      </c>
      <c r="B3266" s="528" t="s">
        <v>9434</v>
      </c>
      <c r="C3266" s="528" t="s">
        <v>9435</v>
      </c>
      <c r="D3266" s="528" t="s">
        <v>277</v>
      </c>
      <c r="E3266" s="528"/>
      <c r="F3266" s="528"/>
      <c r="G3266" s="528" t="s">
        <v>205</v>
      </c>
      <c r="H3266"/>
    </row>
    <row r="3267" spans="1:8" x14ac:dyDescent="0.35">
      <c r="A3267" s="528" t="s">
        <v>9436</v>
      </c>
      <c r="B3267" s="528" t="s">
        <v>9437</v>
      </c>
      <c r="C3267" s="528" t="s">
        <v>9438</v>
      </c>
      <c r="D3267" s="528" t="s">
        <v>277</v>
      </c>
      <c r="E3267" s="528"/>
      <c r="F3267" s="528"/>
      <c r="G3267" s="528" t="s">
        <v>205</v>
      </c>
      <c r="H3267"/>
    </row>
    <row r="3268" spans="1:8" x14ac:dyDescent="0.35">
      <c r="A3268" s="528" t="s">
        <v>9439</v>
      </c>
      <c r="B3268" s="528" t="s">
        <v>9440</v>
      </c>
      <c r="C3268" s="528" t="s">
        <v>9441</v>
      </c>
      <c r="D3268" s="528" t="s">
        <v>277</v>
      </c>
      <c r="E3268" s="528"/>
      <c r="F3268" s="528"/>
      <c r="G3268" s="528" t="s">
        <v>205</v>
      </c>
      <c r="H3268"/>
    </row>
    <row r="3269" spans="1:8" x14ac:dyDescent="0.35">
      <c r="A3269" s="528" t="s">
        <v>9442</v>
      </c>
      <c r="B3269" s="528" t="s">
        <v>9443</v>
      </c>
      <c r="C3269" s="528" t="s">
        <v>9444</v>
      </c>
      <c r="D3269" s="528" t="s">
        <v>277</v>
      </c>
      <c r="E3269" s="528"/>
      <c r="F3269" s="528"/>
      <c r="G3269" s="528" t="s">
        <v>205</v>
      </c>
      <c r="H3269"/>
    </row>
    <row r="3270" spans="1:8" x14ac:dyDescent="0.35">
      <c r="A3270" s="528" t="s">
        <v>9445</v>
      </c>
      <c r="B3270" s="528" t="s">
        <v>9446</v>
      </c>
      <c r="C3270" s="528" t="s">
        <v>9447</v>
      </c>
      <c r="D3270" s="528" t="s">
        <v>277</v>
      </c>
      <c r="E3270" s="528"/>
      <c r="F3270" s="528"/>
      <c r="G3270" s="528" t="s">
        <v>205</v>
      </c>
      <c r="H3270"/>
    </row>
    <row r="3271" spans="1:8" x14ac:dyDescent="0.35">
      <c r="A3271" s="528" t="s">
        <v>9448</v>
      </c>
      <c r="B3271" s="528" t="s">
        <v>9449</v>
      </c>
      <c r="C3271" s="528" t="s">
        <v>9450</v>
      </c>
      <c r="D3271" s="528" t="s">
        <v>277</v>
      </c>
      <c r="E3271" s="528"/>
      <c r="F3271" s="528"/>
      <c r="G3271" s="528" t="s">
        <v>205</v>
      </c>
      <c r="H3271"/>
    </row>
    <row r="3272" spans="1:8" x14ac:dyDescent="0.35">
      <c r="A3272" s="528" t="s">
        <v>9451</v>
      </c>
      <c r="B3272" s="528" t="s">
        <v>9452</v>
      </c>
      <c r="C3272" s="528" t="s">
        <v>9453</v>
      </c>
      <c r="D3272" s="528" t="s">
        <v>277</v>
      </c>
      <c r="E3272" s="528"/>
      <c r="F3272" s="528"/>
      <c r="G3272" s="528" t="s">
        <v>205</v>
      </c>
      <c r="H3272"/>
    </row>
    <row r="3273" spans="1:8" x14ac:dyDescent="0.35">
      <c r="A3273" s="528" t="s">
        <v>9454</v>
      </c>
      <c r="B3273" s="528" t="s">
        <v>9455</v>
      </c>
      <c r="C3273" s="528" t="s">
        <v>9456</v>
      </c>
      <c r="D3273" s="528" t="s">
        <v>277</v>
      </c>
      <c r="E3273" s="528"/>
      <c r="F3273" s="528"/>
      <c r="G3273" s="528" t="s">
        <v>205</v>
      </c>
      <c r="H3273"/>
    </row>
    <row r="3274" spans="1:8" x14ac:dyDescent="0.35">
      <c r="A3274" s="528" t="s">
        <v>9457</v>
      </c>
      <c r="B3274" s="528" t="s">
        <v>9458</v>
      </c>
      <c r="C3274" s="528" t="s">
        <v>9459</v>
      </c>
      <c r="D3274" s="528" t="s">
        <v>225</v>
      </c>
      <c r="E3274" s="528"/>
      <c r="F3274" s="528"/>
      <c r="G3274" s="528" t="s">
        <v>205</v>
      </c>
      <c r="H3274"/>
    </row>
    <row r="3275" spans="1:8" x14ac:dyDescent="0.35">
      <c r="A3275" s="528" t="s">
        <v>9460</v>
      </c>
      <c r="B3275" s="528" t="s">
        <v>9461</v>
      </c>
      <c r="C3275" s="528" t="s">
        <v>9462</v>
      </c>
      <c r="D3275" s="528" t="s">
        <v>277</v>
      </c>
      <c r="E3275" s="528"/>
      <c r="F3275" s="528"/>
      <c r="G3275" s="528" t="s">
        <v>205</v>
      </c>
      <c r="H3275"/>
    </row>
    <row r="3276" spans="1:8" x14ac:dyDescent="0.35">
      <c r="A3276" s="528" t="s">
        <v>9463</v>
      </c>
      <c r="B3276" s="528" t="s">
        <v>9464</v>
      </c>
      <c r="C3276" s="528" t="s">
        <v>9465</v>
      </c>
      <c r="D3276" s="528" t="s">
        <v>277</v>
      </c>
      <c r="E3276" s="528"/>
      <c r="F3276" s="528"/>
      <c r="G3276" s="528" t="s">
        <v>205</v>
      </c>
      <c r="H3276"/>
    </row>
    <row r="3277" spans="1:8" x14ac:dyDescent="0.35">
      <c r="A3277" s="528" t="s">
        <v>9466</v>
      </c>
      <c r="B3277" s="528" t="s">
        <v>9467</v>
      </c>
      <c r="C3277" s="528" t="s">
        <v>9468</v>
      </c>
      <c r="D3277" s="528" t="s">
        <v>277</v>
      </c>
      <c r="E3277" s="528"/>
      <c r="F3277" s="528"/>
      <c r="G3277" s="528" t="s">
        <v>205</v>
      </c>
      <c r="H3277"/>
    </row>
    <row r="3278" spans="1:8" x14ac:dyDescent="0.35">
      <c r="A3278" s="528" t="s">
        <v>9469</v>
      </c>
      <c r="B3278" s="528" t="s">
        <v>9470</v>
      </c>
      <c r="C3278" s="528" t="s">
        <v>9471</v>
      </c>
      <c r="D3278" s="528" t="s">
        <v>277</v>
      </c>
      <c r="E3278" s="528"/>
      <c r="F3278" s="528"/>
      <c r="G3278" s="528" t="s">
        <v>205</v>
      </c>
      <c r="H3278"/>
    </row>
    <row r="3279" spans="1:8" x14ac:dyDescent="0.35">
      <c r="A3279" s="528" t="s">
        <v>9472</v>
      </c>
      <c r="B3279" s="528" t="s">
        <v>9473</v>
      </c>
      <c r="C3279" s="528" t="s">
        <v>9474</v>
      </c>
      <c r="D3279" s="528" t="s">
        <v>277</v>
      </c>
      <c r="E3279" s="528"/>
      <c r="F3279" s="528"/>
      <c r="G3279" s="528" t="s">
        <v>205</v>
      </c>
      <c r="H3279"/>
    </row>
    <row r="3280" spans="1:8" x14ac:dyDescent="0.35">
      <c r="A3280" s="528" t="s">
        <v>9475</v>
      </c>
      <c r="B3280" s="528" t="s">
        <v>9476</v>
      </c>
      <c r="C3280" s="528" t="s">
        <v>9477</v>
      </c>
      <c r="D3280" s="528" t="s">
        <v>277</v>
      </c>
      <c r="E3280" s="528"/>
      <c r="F3280" s="528"/>
      <c r="G3280" s="528" t="s">
        <v>205</v>
      </c>
      <c r="H3280"/>
    </row>
    <row r="3281" spans="1:8" x14ac:dyDescent="0.35">
      <c r="A3281" s="528" t="s">
        <v>9478</v>
      </c>
      <c r="B3281" s="528" t="s">
        <v>9479</v>
      </c>
      <c r="C3281" s="528" t="s">
        <v>9480</v>
      </c>
      <c r="D3281" s="528" t="s">
        <v>277</v>
      </c>
      <c r="E3281" s="528"/>
      <c r="F3281" s="528"/>
      <c r="G3281" s="528" t="s">
        <v>205</v>
      </c>
      <c r="H3281"/>
    </row>
    <row r="3282" spans="1:8" x14ac:dyDescent="0.35">
      <c r="A3282" s="528" t="s">
        <v>9481</v>
      </c>
      <c r="B3282" s="528" t="s">
        <v>9482</v>
      </c>
      <c r="C3282" s="528" t="s">
        <v>9483</v>
      </c>
      <c r="D3282" s="528" t="s">
        <v>277</v>
      </c>
      <c r="E3282" s="528"/>
      <c r="F3282" s="528"/>
      <c r="G3282" s="528" t="s">
        <v>205</v>
      </c>
      <c r="H3282"/>
    </row>
    <row r="3283" spans="1:8" x14ac:dyDescent="0.35">
      <c r="A3283" s="528" t="s">
        <v>9484</v>
      </c>
      <c r="B3283" s="528" t="s">
        <v>9485</v>
      </c>
      <c r="C3283" s="528" t="s">
        <v>9486</v>
      </c>
      <c r="D3283" s="528" t="s">
        <v>277</v>
      </c>
      <c r="E3283" s="528"/>
      <c r="F3283" s="528"/>
      <c r="G3283" s="528" t="s">
        <v>205</v>
      </c>
      <c r="H3283"/>
    </row>
    <row r="3284" spans="1:8" x14ac:dyDescent="0.35">
      <c r="A3284" s="528" t="s">
        <v>9487</v>
      </c>
      <c r="B3284" s="528" t="s">
        <v>9488</v>
      </c>
      <c r="C3284" s="528" t="s">
        <v>9489</v>
      </c>
      <c r="D3284" s="528" t="s">
        <v>277</v>
      </c>
      <c r="E3284" s="528"/>
      <c r="F3284" s="528"/>
      <c r="G3284" s="528" t="s">
        <v>205</v>
      </c>
      <c r="H3284"/>
    </row>
    <row r="3285" spans="1:8" x14ac:dyDescent="0.35">
      <c r="A3285" s="528" t="s">
        <v>9490</v>
      </c>
      <c r="B3285" s="528" t="s">
        <v>9491</v>
      </c>
      <c r="C3285" s="528" t="s">
        <v>9492</v>
      </c>
      <c r="D3285" s="528" t="s">
        <v>277</v>
      </c>
      <c r="E3285" s="528"/>
      <c r="F3285" s="528"/>
      <c r="G3285" s="528" t="s">
        <v>205</v>
      </c>
      <c r="H3285"/>
    </row>
    <row r="3286" spans="1:8" x14ac:dyDescent="0.35">
      <c r="A3286" s="528" t="s">
        <v>9493</v>
      </c>
      <c r="B3286" s="528" t="s">
        <v>9494</v>
      </c>
      <c r="C3286" s="528" t="s">
        <v>9495</v>
      </c>
      <c r="D3286" s="528" t="s">
        <v>277</v>
      </c>
      <c r="E3286" s="528"/>
      <c r="F3286" s="528"/>
      <c r="G3286" s="528" t="s">
        <v>205</v>
      </c>
      <c r="H3286"/>
    </row>
    <row r="3287" spans="1:8" x14ac:dyDescent="0.35">
      <c r="A3287" s="528" t="s">
        <v>9496</v>
      </c>
      <c r="B3287" s="528" t="s">
        <v>9497</v>
      </c>
      <c r="C3287" s="528" t="s">
        <v>9498</v>
      </c>
      <c r="D3287" s="528" t="s">
        <v>277</v>
      </c>
      <c r="E3287" s="528"/>
      <c r="F3287" s="528"/>
      <c r="G3287" s="528" t="s">
        <v>205</v>
      </c>
      <c r="H3287"/>
    </row>
    <row r="3288" spans="1:8" x14ac:dyDescent="0.35">
      <c r="A3288" s="528" t="s">
        <v>9499</v>
      </c>
      <c r="B3288" s="528" t="s">
        <v>9500</v>
      </c>
      <c r="C3288" s="528" t="s">
        <v>9501</v>
      </c>
      <c r="D3288" s="528" t="s">
        <v>277</v>
      </c>
      <c r="E3288" s="528"/>
      <c r="F3288" s="528"/>
      <c r="G3288" s="528" t="s">
        <v>205</v>
      </c>
      <c r="H3288"/>
    </row>
    <row r="3289" spans="1:8" x14ac:dyDescent="0.35">
      <c r="A3289" s="528" t="s">
        <v>9502</v>
      </c>
      <c r="B3289" s="528" t="s">
        <v>9503</v>
      </c>
      <c r="C3289" s="528" t="s">
        <v>9504</v>
      </c>
      <c r="D3289" s="528" t="s">
        <v>277</v>
      </c>
      <c r="E3289" s="528"/>
      <c r="F3289" s="528"/>
      <c r="G3289" s="528" t="s">
        <v>205</v>
      </c>
      <c r="H3289"/>
    </row>
    <row r="3290" spans="1:8" x14ac:dyDescent="0.35">
      <c r="A3290" s="528" t="s">
        <v>9505</v>
      </c>
      <c r="B3290" s="528" t="s">
        <v>9506</v>
      </c>
      <c r="C3290" s="528" t="s">
        <v>9507</v>
      </c>
      <c r="D3290" s="528" t="s">
        <v>277</v>
      </c>
      <c r="E3290" s="528"/>
      <c r="F3290" s="528"/>
      <c r="G3290" s="528" t="s">
        <v>205</v>
      </c>
      <c r="H3290"/>
    </row>
    <row r="3291" spans="1:8" x14ac:dyDescent="0.35">
      <c r="A3291" s="528" t="s">
        <v>9508</v>
      </c>
      <c r="B3291" s="528" t="s">
        <v>9509</v>
      </c>
      <c r="C3291" s="528" t="s">
        <v>9510</v>
      </c>
      <c r="D3291" s="528" t="s">
        <v>277</v>
      </c>
      <c r="E3291" s="528"/>
      <c r="F3291" s="528"/>
      <c r="G3291" s="528" t="s">
        <v>205</v>
      </c>
      <c r="H3291"/>
    </row>
    <row r="3292" spans="1:8" x14ac:dyDescent="0.35">
      <c r="A3292" s="528" t="s">
        <v>9511</v>
      </c>
      <c r="B3292" s="528" t="s">
        <v>9512</v>
      </c>
      <c r="C3292" s="528" t="s">
        <v>9513</v>
      </c>
      <c r="D3292" s="528" t="s">
        <v>277</v>
      </c>
      <c r="E3292" s="528"/>
      <c r="F3292" s="528"/>
      <c r="G3292" s="528" t="s">
        <v>205</v>
      </c>
      <c r="H3292"/>
    </row>
    <row r="3293" spans="1:8" x14ac:dyDescent="0.35">
      <c r="A3293" s="528" t="s">
        <v>9514</v>
      </c>
      <c r="B3293" s="528" t="s">
        <v>9515</v>
      </c>
      <c r="C3293" s="528" t="s">
        <v>9516</v>
      </c>
      <c r="D3293" s="528" t="s">
        <v>277</v>
      </c>
      <c r="E3293" s="528"/>
      <c r="F3293" s="528"/>
      <c r="G3293" s="528" t="s">
        <v>214</v>
      </c>
      <c r="H3293"/>
    </row>
    <row r="3294" spans="1:8" x14ac:dyDescent="0.35">
      <c r="A3294" s="528" t="s">
        <v>9517</v>
      </c>
      <c r="B3294" s="528" t="s">
        <v>9518</v>
      </c>
      <c r="C3294" s="528" t="s">
        <v>9519</v>
      </c>
      <c r="D3294" s="528" t="s">
        <v>277</v>
      </c>
      <c r="E3294" s="528"/>
      <c r="F3294" s="528"/>
      <c r="G3294" s="528" t="s">
        <v>214</v>
      </c>
      <c r="H3294"/>
    </row>
    <row r="3295" spans="1:8" x14ac:dyDescent="0.35">
      <c r="A3295" s="528" t="s">
        <v>9520</v>
      </c>
      <c r="B3295" s="528" t="s">
        <v>9521</v>
      </c>
      <c r="C3295" s="528" t="s">
        <v>9522</v>
      </c>
      <c r="D3295" s="528" t="s">
        <v>277</v>
      </c>
      <c r="E3295" s="528"/>
      <c r="F3295" s="528"/>
      <c r="G3295" s="528" t="s">
        <v>205</v>
      </c>
      <c r="H3295"/>
    </row>
    <row r="3296" spans="1:8" x14ac:dyDescent="0.35">
      <c r="A3296" s="528" t="s">
        <v>9523</v>
      </c>
      <c r="B3296" s="528" t="s">
        <v>9524</v>
      </c>
      <c r="C3296" s="528" t="s">
        <v>9525</v>
      </c>
      <c r="D3296" s="528" t="s">
        <v>277</v>
      </c>
      <c r="E3296" s="528"/>
      <c r="F3296" s="528"/>
      <c r="G3296" s="528" t="s">
        <v>205</v>
      </c>
      <c r="H3296"/>
    </row>
    <row r="3297" spans="1:8" x14ac:dyDescent="0.35">
      <c r="A3297" s="528" t="s">
        <v>9526</v>
      </c>
      <c r="B3297" s="528" t="s">
        <v>9527</v>
      </c>
      <c r="C3297" s="528" t="s">
        <v>9528</v>
      </c>
      <c r="D3297" s="528" t="s">
        <v>277</v>
      </c>
      <c r="E3297" s="528"/>
      <c r="F3297" s="528"/>
      <c r="G3297" s="528" t="s">
        <v>205</v>
      </c>
      <c r="H3297"/>
    </row>
    <row r="3298" spans="1:8" x14ac:dyDescent="0.35">
      <c r="A3298" s="528" t="s">
        <v>9529</v>
      </c>
      <c r="B3298" s="528" t="s">
        <v>9530</v>
      </c>
      <c r="C3298" s="528" t="s">
        <v>9531</v>
      </c>
      <c r="D3298" s="528" t="s">
        <v>277</v>
      </c>
      <c r="E3298" s="528"/>
      <c r="F3298" s="528"/>
      <c r="G3298" s="528" t="s">
        <v>205</v>
      </c>
      <c r="H3298"/>
    </row>
    <row r="3299" spans="1:8" x14ac:dyDescent="0.35">
      <c r="A3299" s="528" t="s">
        <v>9532</v>
      </c>
      <c r="B3299" s="528" t="s">
        <v>9533</v>
      </c>
      <c r="C3299" s="528" t="s">
        <v>9534</v>
      </c>
      <c r="D3299" s="528" t="s">
        <v>277</v>
      </c>
      <c r="E3299" s="528"/>
      <c r="F3299" s="528"/>
      <c r="G3299" s="528" t="s">
        <v>205</v>
      </c>
      <c r="H3299"/>
    </row>
    <row r="3300" spans="1:8" x14ac:dyDescent="0.35">
      <c r="A3300" s="528" t="s">
        <v>9535</v>
      </c>
      <c r="B3300" s="528" t="s">
        <v>9536</v>
      </c>
      <c r="C3300" s="528" t="s">
        <v>9537</v>
      </c>
      <c r="D3300" s="528" t="s">
        <v>277</v>
      </c>
      <c r="E3300" s="528"/>
      <c r="F3300" s="528"/>
      <c r="G3300" s="528" t="s">
        <v>205</v>
      </c>
      <c r="H3300"/>
    </row>
    <row r="3301" spans="1:8" x14ac:dyDescent="0.35">
      <c r="A3301" s="528" t="s">
        <v>9538</v>
      </c>
      <c r="B3301" s="528" t="s">
        <v>9539</v>
      </c>
      <c r="C3301" s="528" t="s">
        <v>9540</v>
      </c>
      <c r="D3301" s="528" t="s">
        <v>264</v>
      </c>
      <c r="E3301" s="528"/>
      <c r="F3301" s="528"/>
      <c r="G3301" s="528" t="s">
        <v>205</v>
      </c>
      <c r="H3301"/>
    </row>
    <row r="3302" spans="1:8" x14ac:dyDescent="0.35">
      <c r="A3302" s="528" t="s">
        <v>9541</v>
      </c>
      <c r="B3302" s="528" t="s">
        <v>9542</v>
      </c>
      <c r="C3302" s="528" t="s">
        <v>9543</v>
      </c>
      <c r="D3302" s="528" t="s">
        <v>264</v>
      </c>
      <c r="E3302" s="528"/>
      <c r="F3302" s="528"/>
      <c r="G3302" s="528" t="s">
        <v>208</v>
      </c>
      <c r="H3302"/>
    </row>
    <row r="3303" spans="1:8" x14ac:dyDescent="0.35">
      <c r="A3303" s="528" t="s">
        <v>9544</v>
      </c>
      <c r="B3303" s="528" t="s">
        <v>9545</v>
      </c>
      <c r="C3303" s="528" t="s">
        <v>9546</v>
      </c>
      <c r="D3303" s="528" t="s">
        <v>264</v>
      </c>
      <c r="E3303" s="528"/>
      <c r="F3303" s="528"/>
      <c r="G3303" s="528" t="s">
        <v>208</v>
      </c>
      <c r="H3303"/>
    </row>
    <row r="3304" spans="1:8" x14ac:dyDescent="0.35">
      <c r="A3304" s="528" t="s">
        <v>9547</v>
      </c>
      <c r="B3304" s="528" t="s">
        <v>9548</v>
      </c>
      <c r="C3304" s="528" t="s">
        <v>9549</v>
      </c>
      <c r="D3304" s="528" t="s">
        <v>277</v>
      </c>
      <c r="E3304" s="528"/>
      <c r="F3304" s="528"/>
      <c r="G3304" s="528" t="s">
        <v>208</v>
      </c>
      <c r="H3304"/>
    </row>
    <row r="3305" spans="1:8" x14ac:dyDescent="0.35">
      <c r="A3305" s="528" t="s">
        <v>9550</v>
      </c>
      <c r="B3305" s="528" t="s">
        <v>9551</v>
      </c>
      <c r="C3305" s="528" t="s">
        <v>9552</v>
      </c>
      <c r="D3305" s="528" t="s">
        <v>225</v>
      </c>
      <c r="E3305" s="528"/>
      <c r="F3305" s="528"/>
      <c r="G3305" s="528" t="s">
        <v>208</v>
      </c>
      <c r="H3305"/>
    </row>
    <row r="3306" spans="1:8" x14ac:dyDescent="0.35">
      <c r="A3306" s="528" t="s">
        <v>9553</v>
      </c>
      <c r="B3306" s="528" t="s">
        <v>9554</v>
      </c>
      <c r="C3306" s="528" t="s">
        <v>9555</v>
      </c>
      <c r="D3306" s="528" t="s">
        <v>264</v>
      </c>
      <c r="E3306" s="528"/>
      <c r="F3306" s="528"/>
      <c r="G3306" s="528" t="s">
        <v>205</v>
      </c>
      <c r="H3306"/>
    </row>
    <row r="3307" spans="1:8" x14ac:dyDescent="0.35">
      <c r="A3307" s="528" t="s">
        <v>9556</v>
      </c>
      <c r="B3307" s="528" t="s">
        <v>9557</v>
      </c>
      <c r="C3307" s="528" t="s">
        <v>9558</v>
      </c>
      <c r="D3307" s="528" t="s">
        <v>264</v>
      </c>
      <c r="E3307" s="528"/>
      <c r="F3307" s="528"/>
      <c r="G3307" s="528" t="s">
        <v>205</v>
      </c>
      <c r="H3307"/>
    </row>
    <row r="3308" spans="1:8" x14ac:dyDescent="0.35">
      <c r="A3308" s="528" t="s">
        <v>9559</v>
      </c>
      <c r="B3308" s="528" t="s">
        <v>9560</v>
      </c>
      <c r="C3308" s="528" t="s">
        <v>9561</v>
      </c>
      <c r="D3308" s="528" t="s">
        <v>264</v>
      </c>
      <c r="E3308" s="528"/>
      <c r="F3308" s="528"/>
      <c r="G3308" s="528" t="s">
        <v>208</v>
      </c>
      <c r="H3308"/>
    </row>
    <row r="3309" spans="1:8" x14ac:dyDescent="0.35">
      <c r="A3309" s="528" t="s">
        <v>9562</v>
      </c>
      <c r="B3309" s="528" t="s">
        <v>9563</v>
      </c>
      <c r="C3309" s="528" t="s">
        <v>9564</v>
      </c>
      <c r="D3309" s="528" t="s">
        <v>264</v>
      </c>
      <c r="E3309" s="528"/>
      <c r="F3309" s="528"/>
      <c r="G3309" s="528" t="s">
        <v>205</v>
      </c>
      <c r="H3309"/>
    </row>
    <row r="3310" spans="1:8" x14ac:dyDescent="0.35">
      <c r="A3310" s="528" t="s">
        <v>9565</v>
      </c>
      <c r="B3310" s="528" t="s">
        <v>9566</v>
      </c>
      <c r="C3310" s="528" t="s">
        <v>9567</v>
      </c>
      <c r="D3310" s="528" t="s">
        <v>264</v>
      </c>
      <c r="E3310" s="528"/>
      <c r="F3310" s="528"/>
      <c r="G3310" s="528" t="s">
        <v>205</v>
      </c>
      <c r="H3310"/>
    </row>
    <row r="3311" spans="1:8" x14ac:dyDescent="0.35">
      <c r="A3311" s="528" t="s">
        <v>9568</v>
      </c>
      <c r="B3311" s="528" t="s">
        <v>9569</v>
      </c>
      <c r="C3311" s="528" t="s">
        <v>9570</v>
      </c>
      <c r="D3311" s="528" t="s">
        <v>264</v>
      </c>
      <c r="E3311" s="528"/>
      <c r="F3311" s="528"/>
      <c r="G3311" s="528" t="s">
        <v>208</v>
      </c>
      <c r="H3311"/>
    </row>
    <row r="3312" spans="1:8" x14ac:dyDescent="0.35">
      <c r="A3312" s="528" t="s">
        <v>9571</v>
      </c>
      <c r="B3312" s="528" t="s">
        <v>9572</v>
      </c>
      <c r="C3312" s="528" t="s">
        <v>9573</v>
      </c>
      <c r="D3312" s="528" t="s">
        <v>277</v>
      </c>
      <c r="E3312" s="528"/>
      <c r="F3312" s="528"/>
      <c r="G3312" s="528" t="s">
        <v>208</v>
      </c>
      <c r="H3312"/>
    </row>
    <row r="3313" spans="1:8" x14ac:dyDescent="0.35">
      <c r="A3313" s="528" t="s">
        <v>9574</v>
      </c>
      <c r="B3313" s="528" t="s">
        <v>9575</v>
      </c>
      <c r="C3313" s="528" t="s">
        <v>9576</v>
      </c>
      <c r="D3313" s="528" t="s">
        <v>277</v>
      </c>
      <c r="E3313" s="528"/>
      <c r="F3313" s="528"/>
      <c r="G3313" s="528" t="s">
        <v>205</v>
      </c>
      <c r="H3313"/>
    </row>
    <row r="3314" spans="1:8" x14ac:dyDescent="0.35">
      <c r="A3314" s="528" t="s">
        <v>9577</v>
      </c>
      <c r="B3314" s="528" t="s">
        <v>9578</v>
      </c>
      <c r="C3314" s="528" t="s">
        <v>9579</v>
      </c>
      <c r="D3314" s="528" t="s">
        <v>277</v>
      </c>
      <c r="E3314" s="528"/>
      <c r="F3314" s="528"/>
      <c r="G3314" s="528" t="s">
        <v>205</v>
      </c>
      <c r="H3314"/>
    </row>
    <row r="3315" spans="1:8" x14ac:dyDescent="0.35">
      <c r="A3315" s="528" t="s">
        <v>9580</v>
      </c>
      <c r="B3315" s="528" t="s">
        <v>9581</v>
      </c>
      <c r="C3315" s="528" t="s">
        <v>9582</v>
      </c>
      <c r="D3315" s="528" t="s">
        <v>277</v>
      </c>
      <c r="E3315" s="528"/>
      <c r="F3315" s="528"/>
      <c r="G3315" s="528" t="s">
        <v>208</v>
      </c>
      <c r="H3315"/>
    </row>
    <row r="3316" spans="1:8" x14ac:dyDescent="0.35">
      <c r="A3316" s="528" t="s">
        <v>9583</v>
      </c>
      <c r="B3316" s="528" t="s">
        <v>9584</v>
      </c>
      <c r="C3316" s="528" t="s">
        <v>9585</v>
      </c>
      <c r="D3316" s="528" t="s">
        <v>264</v>
      </c>
      <c r="E3316" s="528"/>
      <c r="F3316" s="528"/>
      <c r="G3316" s="528" t="s">
        <v>208</v>
      </c>
      <c r="H3316"/>
    </row>
    <row r="3317" spans="1:8" x14ac:dyDescent="0.35">
      <c r="A3317" s="528" t="s">
        <v>9586</v>
      </c>
      <c r="B3317" s="528" t="s">
        <v>9587</v>
      </c>
      <c r="C3317" s="528" t="s">
        <v>4687</v>
      </c>
      <c r="D3317" s="528" t="s">
        <v>251</v>
      </c>
      <c r="E3317" s="528"/>
      <c r="F3317" s="528"/>
      <c r="G3317" s="528" t="s">
        <v>208</v>
      </c>
      <c r="H3317"/>
    </row>
    <row r="3318" spans="1:8" x14ac:dyDescent="0.35">
      <c r="A3318" s="528" t="s">
        <v>9588</v>
      </c>
      <c r="B3318" s="528" t="s">
        <v>9589</v>
      </c>
      <c r="C3318" s="528" t="s">
        <v>9590</v>
      </c>
      <c r="D3318" s="528" t="s">
        <v>264</v>
      </c>
      <c r="E3318" s="528"/>
      <c r="F3318" s="528"/>
      <c r="G3318" s="528" t="s">
        <v>205</v>
      </c>
      <c r="H3318"/>
    </row>
    <row r="3319" spans="1:8" x14ac:dyDescent="0.35">
      <c r="A3319" s="528" t="s">
        <v>9591</v>
      </c>
      <c r="B3319" s="528" t="s">
        <v>9592</v>
      </c>
      <c r="C3319" s="528" t="s">
        <v>9593</v>
      </c>
      <c r="D3319" s="528" t="s">
        <v>277</v>
      </c>
      <c r="E3319" s="528"/>
      <c r="F3319" s="528"/>
      <c r="G3319" s="528" t="s">
        <v>205</v>
      </c>
      <c r="H3319"/>
    </row>
    <row r="3320" spans="1:8" x14ac:dyDescent="0.35">
      <c r="A3320" s="528" t="s">
        <v>9594</v>
      </c>
      <c r="B3320" s="528" t="s">
        <v>9595</v>
      </c>
      <c r="C3320" s="528" t="s">
        <v>9596</v>
      </c>
      <c r="D3320" s="528" t="s">
        <v>277</v>
      </c>
      <c r="E3320" s="528"/>
      <c r="F3320" s="528"/>
      <c r="G3320" s="528" t="s">
        <v>205</v>
      </c>
      <c r="H3320"/>
    </row>
    <row r="3321" spans="1:8" x14ac:dyDescent="0.35">
      <c r="A3321" s="528" t="s">
        <v>9597</v>
      </c>
      <c r="B3321" s="528" t="s">
        <v>9598</v>
      </c>
      <c r="C3321" s="528" t="s">
        <v>9599</v>
      </c>
      <c r="D3321" s="528" t="s">
        <v>264</v>
      </c>
      <c r="E3321" s="528"/>
      <c r="F3321" s="528"/>
      <c r="G3321" s="528" t="s">
        <v>205</v>
      </c>
      <c r="H3321"/>
    </row>
    <row r="3322" spans="1:8" x14ac:dyDescent="0.35">
      <c r="A3322" s="528" t="s">
        <v>9600</v>
      </c>
      <c r="B3322" s="528" t="s">
        <v>9601</v>
      </c>
      <c r="C3322" s="528" t="s">
        <v>9602</v>
      </c>
      <c r="D3322" s="528" t="s">
        <v>264</v>
      </c>
      <c r="E3322" s="528"/>
      <c r="F3322" s="528"/>
      <c r="G3322" s="528" t="s">
        <v>205</v>
      </c>
      <c r="H3322"/>
    </row>
    <row r="3323" spans="1:8" x14ac:dyDescent="0.35">
      <c r="A3323" s="528" t="s">
        <v>9603</v>
      </c>
      <c r="B3323" s="528" t="s">
        <v>9604</v>
      </c>
      <c r="C3323" s="528" t="s">
        <v>9605</v>
      </c>
      <c r="D3323" s="528" t="s">
        <v>277</v>
      </c>
      <c r="E3323" s="528"/>
      <c r="F3323" s="528"/>
      <c r="G3323" s="528" t="s">
        <v>214</v>
      </c>
      <c r="H3323"/>
    </row>
    <row r="3324" spans="1:8" x14ac:dyDescent="0.35">
      <c r="A3324" s="528" t="s">
        <v>9606</v>
      </c>
      <c r="B3324" s="528" t="s">
        <v>9607</v>
      </c>
      <c r="C3324" s="528" t="s">
        <v>9608</v>
      </c>
      <c r="D3324" s="528" t="s">
        <v>277</v>
      </c>
      <c r="E3324" s="528"/>
      <c r="F3324" s="528"/>
      <c r="G3324" s="528" t="s">
        <v>205</v>
      </c>
      <c r="H3324"/>
    </row>
    <row r="3325" spans="1:8" x14ac:dyDescent="0.35">
      <c r="A3325" s="528" t="s">
        <v>9609</v>
      </c>
      <c r="B3325" s="528" t="s">
        <v>9610</v>
      </c>
      <c r="C3325" s="528" t="s">
        <v>9611</v>
      </c>
      <c r="D3325" s="528" t="s">
        <v>277</v>
      </c>
      <c r="E3325" s="528"/>
      <c r="F3325" s="528"/>
      <c r="G3325" s="528" t="s">
        <v>208</v>
      </c>
      <c r="H3325"/>
    </row>
    <row r="3326" spans="1:8" x14ac:dyDescent="0.35">
      <c r="A3326" s="528" t="s">
        <v>9612</v>
      </c>
      <c r="B3326" s="528" t="s">
        <v>9613</v>
      </c>
      <c r="C3326" s="528" t="s">
        <v>9614</v>
      </c>
      <c r="D3326" s="528" t="s">
        <v>277</v>
      </c>
      <c r="E3326" s="528"/>
      <c r="F3326" s="528"/>
      <c r="G3326" s="528" t="s">
        <v>214</v>
      </c>
      <c r="H3326"/>
    </row>
    <row r="3327" spans="1:8" x14ac:dyDescent="0.35">
      <c r="A3327" s="528" t="s">
        <v>9615</v>
      </c>
      <c r="B3327" s="528" t="s">
        <v>9616</v>
      </c>
      <c r="C3327" s="528" t="s">
        <v>9617</v>
      </c>
      <c r="D3327" s="528" t="s">
        <v>277</v>
      </c>
      <c r="E3327" s="528"/>
      <c r="F3327" s="528"/>
      <c r="G3327" s="528" t="s">
        <v>214</v>
      </c>
      <c r="H3327"/>
    </row>
    <row r="3328" spans="1:8" x14ac:dyDescent="0.35">
      <c r="A3328" s="528" t="s">
        <v>9618</v>
      </c>
      <c r="B3328" s="528" t="s">
        <v>9619</v>
      </c>
      <c r="C3328" s="528" t="s">
        <v>9620</v>
      </c>
      <c r="D3328" s="528" t="s">
        <v>277</v>
      </c>
      <c r="E3328" s="528"/>
      <c r="F3328" s="528"/>
      <c r="G3328" s="528" t="s">
        <v>214</v>
      </c>
      <c r="H3328"/>
    </row>
    <row r="3329" spans="1:8" x14ac:dyDescent="0.35">
      <c r="A3329" s="528" t="s">
        <v>9621</v>
      </c>
      <c r="B3329" s="528" t="s">
        <v>9622</v>
      </c>
      <c r="C3329" s="528" t="s">
        <v>9623</v>
      </c>
      <c r="D3329" s="528" t="s">
        <v>264</v>
      </c>
      <c r="E3329" s="528"/>
      <c r="F3329" s="528"/>
      <c r="G3329" s="528" t="s">
        <v>205</v>
      </c>
      <c r="H3329"/>
    </row>
    <row r="3330" spans="1:8" x14ac:dyDescent="0.35">
      <c r="A3330" s="528" t="s">
        <v>9624</v>
      </c>
      <c r="B3330" s="528" t="s">
        <v>9625</v>
      </c>
      <c r="C3330" s="528" t="s">
        <v>9626</v>
      </c>
      <c r="D3330" s="528" t="s">
        <v>264</v>
      </c>
      <c r="E3330" s="528"/>
      <c r="F3330" s="528"/>
      <c r="G3330" s="528" t="s">
        <v>205</v>
      </c>
      <c r="H3330"/>
    </row>
    <row r="3331" spans="1:8" x14ac:dyDescent="0.35">
      <c r="A3331" s="528" t="s">
        <v>9627</v>
      </c>
      <c r="B3331" s="528" t="s">
        <v>9628</v>
      </c>
      <c r="C3331" s="528" t="s">
        <v>9629</v>
      </c>
      <c r="D3331" s="528" t="s">
        <v>264</v>
      </c>
      <c r="E3331" s="528"/>
      <c r="F3331" s="528"/>
      <c r="G3331" s="528" t="s">
        <v>205</v>
      </c>
      <c r="H3331"/>
    </row>
    <row r="3332" spans="1:8" x14ac:dyDescent="0.35">
      <c r="A3332" s="528" t="s">
        <v>9630</v>
      </c>
      <c r="B3332" s="528" t="s">
        <v>9631</v>
      </c>
      <c r="C3332" s="528" t="s">
        <v>9632</v>
      </c>
      <c r="D3332" s="528" t="s">
        <v>264</v>
      </c>
      <c r="E3332" s="528"/>
      <c r="F3332" s="528"/>
      <c r="G3332" s="528" t="s">
        <v>205</v>
      </c>
      <c r="H3332"/>
    </row>
    <row r="3333" spans="1:8" x14ac:dyDescent="0.35">
      <c r="A3333" s="528" t="s">
        <v>9633</v>
      </c>
      <c r="B3333" s="528" t="s">
        <v>9634</v>
      </c>
      <c r="C3333" s="528" t="s">
        <v>9635</v>
      </c>
      <c r="D3333" s="528" t="s">
        <v>264</v>
      </c>
      <c r="E3333" s="528"/>
      <c r="F3333" s="528"/>
      <c r="G3333" s="528" t="s">
        <v>205</v>
      </c>
      <c r="H3333"/>
    </row>
    <row r="3334" spans="1:8" x14ac:dyDescent="0.35">
      <c r="A3334" s="528" t="s">
        <v>9636</v>
      </c>
      <c r="B3334" s="528" t="s">
        <v>9637</v>
      </c>
      <c r="C3334" s="528" t="s">
        <v>9638</v>
      </c>
      <c r="D3334" s="528" t="s">
        <v>264</v>
      </c>
      <c r="E3334" s="528"/>
      <c r="F3334" s="528"/>
      <c r="G3334" s="528" t="s">
        <v>205</v>
      </c>
      <c r="H3334"/>
    </row>
    <row r="3335" spans="1:8" x14ac:dyDescent="0.35">
      <c r="A3335" s="528" t="s">
        <v>9639</v>
      </c>
      <c r="B3335" s="528" t="s">
        <v>9640</v>
      </c>
      <c r="C3335" s="528" t="s">
        <v>9641</v>
      </c>
      <c r="D3335" s="528" t="s">
        <v>264</v>
      </c>
      <c r="E3335" s="528"/>
      <c r="F3335" s="528"/>
      <c r="G3335" s="528" t="s">
        <v>205</v>
      </c>
      <c r="H3335"/>
    </row>
    <row r="3336" spans="1:8" x14ac:dyDescent="0.35">
      <c r="A3336" s="528" t="s">
        <v>9642</v>
      </c>
      <c r="B3336" s="528" t="s">
        <v>9643</v>
      </c>
      <c r="C3336" s="528" t="s">
        <v>9644</v>
      </c>
      <c r="D3336" s="528" t="s">
        <v>264</v>
      </c>
      <c r="E3336" s="528"/>
      <c r="F3336" s="528"/>
      <c r="G3336" s="528" t="s">
        <v>205</v>
      </c>
      <c r="H3336"/>
    </row>
    <row r="3337" spans="1:8" x14ac:dyDescent="0.35">
      <c r="A3337" s="528" t="s">
        <v>9645</v>
      </c>
      <c r="B3337" s="528" t="s">
        <v>9646</v>
      </c>
      <c r="C3337" s="528" t="s">
        <v>9647</v>
      </c>
      <c r="D3337" s="528" t="s">
        <v>251</v>
      </c>
      <c r="E3337" s="528"/>
      <c r="F3337" s="528"/>
      <c r="G3337" s="528" t="s">
        <v>205</v>
      </c>
      <c r="H3337"/>
    </row>
    <row r="3338" spans="1:8" x14ac:dyDescent="0.35">
      <c r="A3338" s="528" t="s">
        <v>9648</v>
      </c>
      <c r="B3338" s="528" t="s">
        <v>9649</v>
      </c>
      <c r="C3338" s="528" t="s">
        <v>9650</v>
      </c>
      <c r="D3338" s="528" t="s">
        <v>251</v>
      </c>
      <c r="E3338" s="528"/>
      <c r="F3338" s="528"/>
      <c r="G3338" s="528" t="s">
        <v>205</v>
      </c>
      <c r="H3338"/>
    </row>
    <row r="3339" spans="1:8" x14ac:dyDescent="0.35">
      <c r="A3339" s="528" t="s">
        <v>9651</v>
      </c>
      <c r="B3339" s="528" t="s">
        <v>9652</v>
      </c>
      <c r="C3339" s="528" t="s">
        <v>9653</v>
      </c>
      <c r="D3339" s="528" t="s">
        <v>264</v>
      </c>
      <c r="E3339" s="528"/>
      <c r="F3339" s="528"/>
      <c r="G3339" s="528" t="s">
        <v>208</v>
      </c>
      <c r="H3339"/>
    </row>
    <row r="3340" spans="1:8" x14ac:dyDescent="0.35">
      <c r="A3340" s="528" t="s">
        <v>9654</v>
      </c>
      <c r="B3340" s="528" t="s">
        <v>9655</v>
      </c>
      <c r="C3340" s="528" t="s">
        <v>9656</v>
      </c>
      <c r="D3340" s="528" t="s">
        <v>277</v>
      </c>
      <c r="E3340" s="528"/>
      <c r="F3340" s="528"/>
      <c r="G3340" s="528" t="s">
        <v>208</v>
      </c>
      <c r="H3340"/>
    </row>
    <row r="3341" spans="1:8" x14ac:dyDescent="0.35">
      <c r="A3341" s="528" t="s">
        <v>9657</v>
      </c>
      <c r="B3341" s="528" t="s">
        <v>9658</v>
      </c>
      <c r="C3341" s="528" t="s">
        <v>9659</v>
      </c>
      <c r="D3341" s="528" t="s">
        <v>277</v>
      </c>
      <c r="E3341" s="528"/>
      <c r="F3341" s="528"/>
      <c r="G3341" s="528" t="s">
        <v>205</v>
      </c>
      <c r="H3341"/>
    </row>
    <row r="3342" spans="1:8" x14ac:dyDescent="0.35">
      <c r="A3342" s="528" t="s">
        <v>9660</v>
      </c>
      <c r="B3342" s="528" t="s">
        <v>9661</v>
      </c>
      <c r="C3342" s="528" t="s">
        <v>9662</v>
      </c>
      <c r="D3342" s="528" t="s">
        <v>277</v>
      </c>
      <c r="E3342" s="528"/>
      <c r="F3342" s="528"/>
      <c r="G3342" s="528" t="s">
        <v>205</v>
      </c>
      <c r="H3342"/>
    </row>
    <row r="3343" spans="1:8" x14ac:dyDescent="0.35">
      <c r="A3343" s="528" t="s">
        <v>9663</v>
      </c>
      <c r="B3343" s="528" t="s">
        <v>9664</v>
      </c>
      <c r="C3343" s="528" t="s">
        <v>9665</v>
      </c>
      <c r="D3343" s="528" t="s">
        <v>277</v>
      </c>
      <c r="E3343" s="528"/>
      <c r="F3343" s="528"/>
      <c r="G3343" s="528" t="s">
        <v>205</v>
      </c>
      <c r="H3343"/>
    </row>
    <row r="3344" spans="1:8" x14ac:dyDescent="0.35">
      <c r="A3344" s="528" t="s">
        <v>9666</v>
      </c>
      <c r="B3344" s="528" t="s">
        <v>9667</v>
      </c>
      <c r="C3344" s="528" t="s">
        <v>9668</v>
      </c>
      <c r="D3344" s="528" t="s">
        <v>277</v>
      </c>
      <c r="E3344" s="528"/>
      <c r="F3344" s="528"/>
      <c r="G3344" s="528" t="s">
        <v>208</v>
      </c>
      <c r="H3344"/>
    </row>
    <row r="3345" spans="1:8" x14ac:dyDescent="0.35">
      <c r="A3345" s="528" t="s">
        <v>9669</v>
      </c>
      <c r="B3345" s="528" t="s">
        <v>9670</v>
      </c>
      <c r="C3345" s="528" t="s">
        <v>9671</v>
      </c>
      <c r="D3345" s="528" t="s">
        <v>277</v>
      </c>
      <c r="E3345" s="528"/>
      <c r="F3345" s="528"/>
      <c r="G3345" s="528" t="s">
        <v>208</v>
      </c>
      <c r="H3345"/>
    </row>
    <row r="3346" spans="1:8" x14ac:dyDescent="0.35">
      <c r="A3346" s="528" t="s">
        <v>9672</v>
      </c>
      <c r="B3346" s="528" t="s">
        <v>9673</v>
      </c>
      <c r="C3346" s="528" t="s">
        <v>9674</v>
      </c>
      <c r="D3346" s="528" t="s">
        <v>277</v>
      </c>
      <c r="E3346" s="528"/>
      <c r="F3346" s="528"/>
      <c r="G3346" s="528" t="s">
        <v>208</v>
      </c>
      <c r="H3346"/>
    </row>
    <row r="3347" spans="1:8" x14ac:dyDescent="0.35">
      <c r="A3347" s="528" t="s">
        <v>9675</v>
      </c>
      <c r="B3347" s="528" t="s">
        <v>9676</v>
      </c>
      <c r="C3347" s="528" t="s">
        <v>9677</v>
      </c>
      <c r="D3347" s="528" t="s">
        <v>225</v>
      </c>
      <c r="E3347" s="528"/>
      <c r="F3347" s="528"/>
      <c r="G3347" s="528" t="s">
        <v>205</v>
      </c>
      <c r="H3347"/>
    </row>
    <row r="3348" spans="1:8" x14ac:dyDescent="0.35">
      <c r="A3348" s="528" t="s">
        <v>9678</v>
      </c>
      <c r="B3348" s="528" t="s">
        <v>9679</v>
      </c>
      <c r="C3348" s="528" t="s">
        <v>9680</v>
      </c>
      <c r="D3348" s="528" t="s">
        <v>225</v>
      </c>
      <c r="E3348" s="528"/>
      <c r="F3348" s="528"/>
      <c r="G3348" s="528" t="s">
        <v>205</v>
      </c>
      <c r="H3348"/>
    </row>
    <row r="3349" spans="1:8" x14ac:dyDescent="0.35">
      <c r="A3349" s="528" t="s">
        <v>9681</v>
      </c>
      <c r="B3349" s="528" t="s">
        <v>9682</v>
      </c>
      <c r="C3349" s="528" t="s">
        <v>9683</v>
      </c>
      <c r="D3349" s="528" t="s">
        <v>225</v>
      </c>
      <c r="E3349" s="528"/>
      <c r="F3349" s="528"/>
      <c r="G3349" s="528" t="s">
        <v>205</v>
      </c>
      <c r="H3349"/>
    </row>
    <row r="3350" spans="1:8" x14ac:dyDescent="0.35">
      <c r="A3350" s="528" t="s">
        <v>9684</v>
      </c>
      <c r="B3350" s="528" t="s">
        <v>9685</v>
      </c>
      <c r="C3350" s="528" t="s">
        <v>9686</v>
      </c>
      <c r="D3350" s="528" t="s">
        <v>277</v>
      </c>
      <c r="E3350" s="528"/>
      <c r="F3350" s="528"/>
      <c r="G3350" s="528" t="s">
        <v>205</v>
      </c>
      <c r="H3350"/>
    </row>
    <row r="3351" spans="1:8" x14ac:dyDescent="0.35">
      <c r="A3351" s="528" t="s">
        <v>9687</v>
      </c>
      <c r="B3351" s="528" t="s">
        <v>9688</v>
      </c>
      <c r="C3351" s="528" t="s">
        <v>9689</v>
      </c>
      <c r="D3351" s="528" t="s">
        <v>277</v>
      </c>
      <c r="E3351" s="528"/>
      <c r="F3351" s="528"/>
      <c r="G3351" s="528" t="s">
        <v>208</v>
      </c>
      <c r="H3351"/>
    </row>
    <row r="3352" spans="1:8" x14ac:dyDescent="0.35">
      <c r="A3352" s="528" t="s">
        <v>9690</v>
      </c>
      <c r="B3352" s="528" t="s">
        <v>9691</v>
      </c>
      <c r="C3352" s="528" t="s">
        <v>9692</v>
      </c>
      <c r="D3352" s="528" t="s">
        <v>277</v>
      </c>
      <c r="E3352" s="528"/>
      <c r="F3352" s="528"/>
      <c r="G3352" s="528" t="s">
        <v>205</v>
      </c>
      <c r="H3352"/>
    </row>
    <row r="3353" spans="1:8" x14ac:dyDescent="0.35">
      <c r="A3353" s="528" t="s">
        <v>9693</v>
      </c>
      <c r="B3353" s="528" t="s">
        <v>9694</v>
      </c>
      <c r="C3353" s="528" t="s">
        <v>9695</v>
      </c>
      <c r="D3353" s="528" t="s">
        <v>277</v>
      </c>
      <c r="E3353" s="528"/>
      <c r="F3353" s="528"/>
      <c r="G3353" s="528" t="s">
        <v>214</v>
      </c>
      <c r="H3353"/>
    </row>
    <row r="3354" spans="1:8" x14ac:dyDescent="0.35">
      <c r="A3354" s="528" t="s">
        <v>9696</v>
      </c>
      <c r="B3354" s="528" t="s">
        <v>9697</v>
      </c>
      <c r="C3354" s="528" t="s">
        <v>9698</v>
      </c>
      <c r="D3354" s="528" t="s">
        <v>277</v>
      </c>
      <c r="E3354" s="528"/>
      <c r="F3354" s="528"/>
      <c r="G3354" s="528" t="s">
        <v>205</v>
      </c>
      <c r="H3354"/>
    </row>
    <row r="3355" spans="1:8" x14ac:dyDescent="0.35">
      <c r="A3355" s="528" t="s">
        <v>9699</v>
      </c>
      <c r="B3355" s="528" t="s">
        <v>9700</v>
      </c>
      <c r="C3355" s="528" t="s">
        <v>9701</v>
      </c>
      <c r="D3355" s="528" t="s">
        <v>264</v>
      </c>
      <c r="E3355" s="528"/>
      <c r="F3355" s="528"/>
      <c r="G3355" s="528" t="s">
        <v>205</v>
      </c>
      <c r="H3355"/>
    </row>
    <row r="3356" spans="1:8" x14ac:dyDescent="0.35">
      <c r="A3356" s="528" t="s">
        <v>9702</v>
      </c>
      <c r="B3356" s="528" t="s">
        <v>9703</v>
      </c>
      <c r="C3356" s="528" t="s">
        <v>9704</v>
      </c>
      <c r="D3356" s="528" t="s">
        <v>264</v>
      </c>
      <c r="E3356" s="528"/>
      <c r="F3356" s="528"/>
      <c r="G3356" s="528" t="s">
        <v>205</v>
      </c>
      <c r="H3356"/>
    </row>
    <row r="3357" spans="1:8" x14ac:dyDescent="0.35">
      <c r="A3357" s="528" t="s">
        <v>9705</v>
      </c>
      <c r="B3357" s="528" t="s">
        <v>9706</v>
      </c>
      <c r="C3357" s="528" t="s">
        <v>9707</v>
      </c>
      <c r="D3357" s="528" t="s">
        <v>264</v>
      </c>
      <c r="E3357" s="528"/>
      <c r="F3357" s="528"/>
      <c r="G3357" s="528" t="s">
        <v>205</v>
      </c>
      <c r="H3357"/>
    </row>
    <row r="3358" spans="1:8" x14ac:dyDescent="0.35">
      <c r="A3358" s="528" t="s">
        <v>9708</v>
      </c>
      <c r="B3358" s="528" t="s">
        <v>9709</v>
      </c>
      <c r="C3358" s="528" t="s">
        <v>9707</v>
      </c>
      <c r="D3358" s="528" t="s">
        <v>264</v>
      </c>
      <c r="E3358" s="528"/>
      <c r="F3358" s="528"/>
      <c r="G3358" s="528" t="s">
        <v>214</v>
      </c>
      <c r="H3358"/>
    </row>
    <row r="3359" spans="1:8" x14ac:dyDescent="0.35">
      <c r="A3359" s="528" t="s">
        <v>9710</v>
      </c>
      <c r="B3359" s="528" t="s">
        <v>9711</v>
      </c>
      <c r="C3359" s="528" t="s">
        <v>9712</v>
      </c>
      <c r="D3359" s="528" t="s">
        <v>264</v>
      </c>
      <c r="E3359" s="528"/>
      <c r="F3359" s="528"/>
      <c r="G3359" s="528" t="s">
        <v>214</v>
      </c>
      <c r="H3359"/>
    </row>
    <row r="3360" spans="1:8" x14ac:dyDescent="0.35">
      <c r="A3360" s="528" t="s">
        <v>9713</v>
      </c>
      <c r="B3360" s="528" t="s">
        <v>9714</v>
      </c>
      <c r="C3360" s="528" t="s">
        <v>9715</v>
      </c>
      <c r="D3360" s="528" t="s">
        <v>277</v>
      </c>
      <c r="E3360" s="528"/>
      <c r="F3360" s="528"/>
      <c r="G3360" s="528" t="s">
        <v>214</v>
      </c>
      <c r="H3360"/>
    </row>
    <row r="3361" spans="1:8" x14ac:dyDescent="0.35">
      <c r="A3361" s="528" t="s">
        <v>9716</v>
      </c>
      <c r="B3361" s="528" t="s">
        <v>9717</v>
      </c>
      <c r="C3361" s="528" t="s">
        <v>9718</v>
      </c>
      <c r="D3361" s="528" t="s">
        <v>277</v>
      </c>
      <c r="E3361" s="528"/>
      <c r="F3361" s="528"/>
      <c r="G3361" s="528" t="s">
        <v>208</v>
      </c>
      <c r="H3361"/>
    </row>
    <row r="3362" spans="1:8" x14ac:dyDescent="0.35">
      <c r="A3362" s="528" t="s">
        <v>9719</v>
      </c>
      <c r="B3362" s="528" t="s">
        <v>9720</v>
      </c>
      <c r="C3362" s="528" t="s">
        <v>9721</v>
      </c>
      <c r="D3362" s="528" t="s">
        <v>264</v>
      </c>
      <c r="E3362" s="528"/>
      <c r="F3362" s="528"/>
      <c r="G3362" s="528" t="s">
        <v>205</v>
      </c>
      <c r="H3362"/>
    </row>
    <row r="3363" spans="1:8" x14ac:dyDescent="0.35">
      <c r="A3363" s="528" t="s">
        <v>9722</v>
      </c>
      <c r="B3363" s="528" t="s">
        <v>9723</v>
      </c>
      <c r="C3363" s="528" t="s">
        <v>9724</v>
      </c>
      <c r="D3363" s="528" t="s">
        <v>264</v>
      </c>
      <c r="E3363" s="528"/>
      <c r="F3363" s="528"/>
      <c r="G3363" s="528" t="s">
        <v>205</v>
      </c>
      <c r="H3363"/>
    </row>
    <row r="3364" spans="1:8" x14ac:dyDescent="0.35">
      <c r="A3364" s="528" t="s">
        <v>9725</v>
      </c>
      <c r="B3364" s="528" t="s">
        <v>9726</v>
      </c>
      <c r="C3364" s="528" t="s">
        <v>9727</v>
      </c>
      <c r="D3364" s="528" t="s">
        <v>264</v>
      </c>
      <c r="E3364" s="528"/>
      <c r="F3364" s="528"/>
      <c r="G3364" s="528" t="s">
        <v>205</v>
      </c>
      <c r="H3364"/>
    </row>
    <row r="3365" spans="1:8" x14ac:dyDescent="0.35">
      <c r="A3365" s="528" t="s">
        <v>9728</v>
      </c>
      <c r="B3365" s="528" t="s">
        <v>9729</v>
      </c>
      <c r="C3365" s="528" t="s">
        <v>9730</v>
      </c>
      <c r="D3365" s="528" t="s">
        <v>264</v>
      </c>
      <c r="E3365" s="528"/>
      <c r="F3365" s="528"/>
      <c r="G3365" s="528" t="s">
        <v>205</v>
      </c>
      <c r="H3365"/>
    </row>
    <row r="3366" spans="1:8" x14ac:dyDescent="0.35">
      <c r="A3366" s="528" t="s">
        <v>9731</v>
      </c>
      <c r="B3366" s="528" t="s">
        <v>9732</v>
      </c>
      <c r="C3366" s="528" t="s">
        <v>9733</v>
      </c>
      <c r="D3366" s="528" t="s">
        <v>264</v>
      </c>
      <c r="E3366" s="528"/>
      <c r="F3366" s="528"/>
      <c r="G3366" s="528" t="s">
        <v>205</v>
      </c>
      <c r="H3366"/>
    </row>
    <row r="3367" spans="1:8" x14ac:dyDescent="0.35">
      <c r="A3367" s="528" t="s">
        <v>9734</v>
      </c>
      <c r="B3367" s="528" t="s">
        <v>9735</v>
      </c>
      <c r="C3367" s="528" t="s">
        <v>9736</v>
      </c>
      <c r="D3367" s="528" t="s">
        <v>264</v>
      </c>
      <c r="E3367" s="528"/>
      <c r="F3367" s="528"/>
      <c r="G3367" s="528" t="s">
        <v>205</v>
      </c>
      <c r="H3367"/>
    </row>
    <row r="3368" spans="1:8" x14ac:dyDescent="0.35">
      <c r="A3368" s="528" t="s">
        <v>9737</v>
      </c>
      <c r="B3368" s="528" t="s">
        <v>9738</v>
      </c>
      <c r="C3368" s="528" t="s">
        <v>9739</v>
      </c>
      <c r="D3368" s="528" t="s">
        <v>264</v>
      </c>
      <c r="E3368" s="528"/>
      <c r="F3368" s="528"/>
      <c r="G3368" s="528" t="s">
        <v>214</v>
      </c>
      <c r="H3368"/>
    </row>
    <row r="3369" spans="1:8" x14ac:dyDescent="0.35">
      <c r="A3369" s="528" t="s">
        <v>9740</v>
      </c>
      <c r="B3369" s="528" t="s">
        <v>9741</v>
      </c>
      <c r="C3369" s="528" t="s">
        <v>9742</v>
      </c>
      <c r="D3369" s="528" t="s">
        <v>264</v>
      </c>
      <c r="E3369" s="528"/>
      <c r="F3369" s="528"/>
      <c r="G3369" s="528" t="s">
        <v>208</v>
      </c>
      <c r="H3369"/>
    </row>
    <row r="3370" spans="1:8" x14ac:dyDescent="0.35">
      <c r="A3370" s="528" t="s">
        <v>9743</v>
      </c>
      <c r="B3370" s="528" t="s">
        <v>9744</v>
      </c>
      <c r="C3370" s="528" t="s">
        <v>858</v>
      </c>
      <c r="D3370" s="528" t="s">
        <v>264</v>
      </c>
      <c r="E3370" s="528"/>
      <c r="F3370" s="528"/>
      <c r="G3370" s="528" t="s">
        <v>205</v>
      </c>
      <c r="H3370"/>
    </row>
    <row r="3371" spans="1:8" x14ac:dyDescent="0.35">
      <c r="A3371" s="528" t="s">
        <v>9745</v>
      </c>
      <c r="B3371" s="528" t="s">
        <v>9746</v>
      </c>
      <c r="C3371" s="528" t="s">
        <v>9747</v>
      </c>
      <c r="D3371" s="528" t="s">
        <v>277</v>
      </c>
      <c r="E3371" s="528"/>
      <c r="F3371" s="528"/>
      <c r="G3371" s="528" t="s">
        <v>208</v>
      </c>
      <c r="H3371"/>
    </row>
    <row r="3372" spans="1:8" x14ac:dyDescent="0.35">
      <c r="A3372" s="528" t="s">
        <v>9748</v>
      </c>
      <c r="B3372" s="528" t="s">
        <v>9749</v>
      </c>
      <c r="C3372" s="528" t="s">
        <v>9750</v>
      </c>
      <c r="D3372" s="528" t="s">
        <v>277</v>
      </c>
      <c r="E3372" s="528"/>
      <c r="F3372" s="528"/>
      <c r="G3372" s="528" t="s">
        <v>214</v>
      </c>
      <c r="H3372"/>
    </row>
    <row r="3373" spans="1:8" x14ac:dyDescent="0.35">
      <c r="A3373" s="528" t="s">
        <v>9751</v>
      </c>
      <c r="B3373" s="528" t="s">
        <v>9752</v>
      </c>
      <c r="C3373" s="528" t="s">
        <v>9753</v>
      </c>
      <c r="D3373" s="528" t="s">
        <v>264</v>
      </c>
      <c r="E3373" s="528"/>
      <c r="F3373" s="528"/>
      <c r="G3373" s="528" t="s">
        <v>208</v>
      </c>
      <c r="H3373"/>
    </row>
    <row r="3374" spans="1:8" x14ac:dyDescent="0.35">
      <c r="A3374" s="528" t="s">
        <v>9754</v>
      </c>
      <c r="B3374" s="528" t="s">
        <v>9755</v>
      </c>
      <c r="C3374" s="528" t="s">
        <v>9756</v>
      </c>
      <c r="D3374" s="528" t="s">
        <v>264</v>
      </c>
      <c r="E3374" s="528"/>
      <c r="F3374" s="528"/>
      <c r="G3374" s="528" t="s">
        <v>208</v>
      </c>
      <c r="H3374"/>
    </row>
    <row r="3375" spans="1:8" x14ac:dyDescent="0.35">
      <c r="A3375" s="528" t="s">
        <v>9757</v>
      </c>
      <c r="B3375" s="528" t="s">
        <v>9758</v>
      </c>
      <c r="C3375" s="528" t="s">
        <v>9759</v>
      </c>
      <c r="D3375" s="528" t="s">
        <v>225</v>
      </c>
      <c r="E3375" s="528"/>
      <c r="F3375" s="528"/>
      <c r="G3375" s="528" t="s">
        <v>208</v>
      </c>
      <c r="H3375"/>
    </row>
    <row r="3376" spans="1:8" x14ac:dyDescent="0.35">
      <c r="A3376" s="528" t="s">
        <v>9760</v>
      </c>
      <c r="B3376" s="528" t="s">
        <v>9761</v>
      </c>
      <c r="C3376" s="528" t="s">
        <v>9762</v>
      </c>
      <c r="D3376" s="528" t="s">
        <v>277</v>
      </c>
      <c r="E3376" s="528"/>
      <c r="F3376" s="528"/>
      <c r="G3376" s="528" t="s">
        <v>205</v>
      </c>
      <c r="H3376"/>
    </row>
    <row r="3377" spans="1:8" x14ac:dyDescent="0.35">
      <c r="A3377" s="528" t="s">
        <v>9763</v>
      </c>
      <c r="B3377" s="528" t="s">
        <v>9764</v>
      </c>
      <c r="C3377" s="528" t="s">
        <v>9765</v>
      </c>
      <c r="D3377" s="528" t="s">
        <v>264</v>
      </c>
      <c r="E3377" s="528"/>
      <c r="F3377" s="528"/>
      <c r="G3377" s="528" t="s">
        <v>205</v>
      </c>
      <c r="H3377"/>
    </row>
    <row r="3378" spans="1:8" x14ac:dyDescent="0.35">
      <c r="A3378" s="528" t="s">
        <v>9766</v>
      </c>
      <c r="B3378" s="528" t="s">
        <v>9767</v>
      </c>
      <c r="C3378" s="528" t="s">
        <v>9768</v>
      </c>
      <c r="D3378" s="528" t="s">
        <v>264</v>
      </c>
      <c r="E3378" s="528"/>
      <c r="F3378" s="528"/>
      <c r="G3378" s="528" t="s">
        <v>205</v>
      </c>
      <c r="H3378"/>
    </row>
    <row r="3379" spans="1:8" x14ac:dyDescent="0.35">
      <c r="A3379" s="528" t="s">
        <v>9769</v>
      </c>
      <c r="B3379" s="528" t="s">
        <v>9770</v>
      </c>
      <c r="C3379" s="528" t="s">
        <v>5969</v>
      </c>
      <c r="D3379" s="528" t="s">
        <v>225</v>
      </c>
      <c r="E3379" s="528"/>
      <c r="F3379" s="528"/>
      <c r="G3379" s="528" t="s">
        <v>205</v>
      </c>
      <c r="H3379"/>
    </row>
    <row r="3380" spans="1:8" x14ac:dyDescent="0.35">
      <c r="A3380" s="528" t="s">
        <v>9771</v>
      </c>
      <c r="B3380" s="528" t="s">
        <v>9772</v>
      </c>
      <c r="C3380" s="528" t="s">
        <v>9773</v>
      </c>
      <c r="D3380" s="528" t="s">
        <v>225</v>
      </c>
      <c r="E3380" s="528"/>
      <c r="F3380" s="528"/>
      <c r="G3380" s="528" t="s">
        <v>205</v>
      </c>
      <c r="H3380"/>
    </row>
    <row r="3381" spans="1:8" x14ac:dyDescent="0.35">
      <c r="A3381" s="528" t="s">
        <v>9774</v>
      </c>
      <c r="B3381" s="528" t="s">
        <v>9775</v>
      </c>
      <c r="C3381" s="528" t="s">
        <v>9776</v>
      </c>
      <c r="D3381" s="528" t="s">
        <v>225</v>
      </c>
      <c r="E3381" s="528"/>
      <c r="F3381" s="528"/>
      <c r="G3381" s="528" t="s">
        <v>205</v>
      </c>
      <c r="H3381"/>
    </row>
    <row r="3382" spans="1:8" x14ac:dyDescent="0.35">
      <c r="A3382" s="528" t="s">
        <v>9777</v>
      </c>
      <c r="B3382" s="528" t="s">
        <v>9778</v>
      </c>
      <c r="C3382" s="528" t="s">
        <v>9779</v>
      </c>
      <c r="D3382" s="528" t="s">
        <v>251</v>
      </c>
      <c r="E3382" s="528"/>
      <c r="F3382" s="528"/>
      <c r="G3382" s="528" t="s">
        <v>208</v>
      </c>
      <c r="H3382"/>
    </row>
    <row r="3383" spans="1:8" x14ac:dyDescent="0.35">
      <c r="A3383" s="528" t="s">
        <v>9780</v>
      </c>
      <c r="B3383" s="528" t="s">
        <v>9781</v>
      </c>
      <c r="C3383" s="528" t="s">
        <v>9782</v>
      </c>
      <c r="D3383" s="528" t="s">
        <v>277</v>
      </c>
      <c r="E3383" s="528"/>
      <c r="F3383" s="528"/>
      <c r="G3383" s="528" t="s">
        <v>205</v>
      </c>
      <c r="H3383"/>
    </row>
    <row r="3384" spans="1:8" x14ac:dyDescent="0.35">
      <c r="A3384" s="528" t="s">
        <v>9783</v>
      </c>
      <c r="B3384" s="528" t="s">
        <v>9784</v>
      </c>
      <c r="C3384" s="528" t="s">
        <v>9785</v>
      </c>
      <c r="D3384" s="528" t="s">
        <v>277</v>
      </c>
      <c r="E3384" s="528"/>
      <c r="F3384" s="528"/>
      <c r="G3384" s="528" t="s">
        <v>205</v>
      </c>
      <c r="H3384"/>
    </row>
    <row r="3385" spans="1:8" x14ac:dyDescent="0.35">
      <c r="A3385" s="528" t="s">
        <v>9786</v>
      </c>
      <c r="B3385" s="528" t="s">
        <v>9787</v>
      </c>
      <c r="C3385" s="528" t="s">
        <v>8545</v>
      </c>
      <c r="D3385" s="528" t="s">
        <v>264</v>
      </c>
      <c r="E3385" s="528"/>
      <c r="F3385" s="528"/>
      <c r="G3385" s="528" t="s">
        <v>205</v>
      </c>
      <c r="H3385"/>
    </row>
    <row r="3386" spans="1:8" x14ac:dyDescent="0.35">
      <c r="A3386" s="528" t="s">
        <v>9788</v>
      </c>
      <c r="B3386" s="528" t="s">
        <v>9789</v>
      </c>
      <c r="C3386" s="528" t="s">
        <v>9790</v>
      </c>
      <c r="D3386" s="528" t="s">
        <v>251</v>
      </c>
      <c r="E3386" s="528"/>
      <c r="F3386" s="528"/>
      <c r="G3386" s="528" t="s">
        <v>208</v>
      </c>
      <c r="H3386"/>
    </row>
    <row r="3387" spans="1:8" x14ac:dyDescent="0.35">
      <c r="A3387" s="528" t="s">
        <v>9791</v>
      </c>
      <c r="B3387" s="528" t="s">
        <v>9792</v>
      </c>
      <c r="C3387" s="528" t="s">
        <v>9793</v>
      </c>
      <c r="D3387" s="528" t="s">
        <v>251</v>
      </c>
      <c r="E3387" s="528"/>
      <c r="F3387" s="528"/>
      <c r="G3387" s="528" t="s">
        <v>208</v>
      </c>
      <c r="H3387"/>
    </row>
    <row r="3388" spans="1:8" x14ac:dyDescent="0.35">
      <c r="A3388" s="528" t="s">
        <v>9794</v>
      </c>
      <c r="B3388" s="528" t="s">
        <v>9795</v>
      </c>
      <c r="C3388" s="528" t="s">
        <v>9796</v>
      </c>
      <c r="D3388" s="528" t="s">
        <v>225</v>
      </c>
      <c r="E3388" s="528"/>
      <c r="F3388" s="528"/>
      <c r="G3388" s="528" t="s">
        <v>205</v>
      </c>
      <c r="H3388"/>
    </row>
    <row r="3389" spans="1:8" x14ac:dyDescent="0.35">
      <c r="A3389" s="528" t="s">
        <v>9797</v>
      </c>
      <c r="B3389" s="528" t="s">
        <v>9798</v>
      </c>
      <c r="C3389" s="528" t="s">
        <v>9799</v>
      </c>
      <c r="D3389" s="528" t="s">
        <v>225</v>
      </c>
      <c r="E3389" s="528"/>
      <c r="F3389" s="528"/>
      <c r="G3389" s="528" t="s">
        <v>205</v>
      </c>
      <c r="H3389"/>
    </row>
    <row r="3390" spans="1:8" x14ac:dyDescent="0.35">
      <c r="A3390" s="528" t="s">
        <v>9800</v>
      </c>
      <c r="B3390" s="528" t="s">
        <v>9801</v>
      </c>
      <c r="C3390" s="528" t="s">
        <v>9802</v>
      </c>
      <c r="D3390" s="528" t="s">
        <v>264</v>
      </c>
      <c r="E3390" s="528"/>
      <c r="F3390" s="528"/>
      <c r="G3390" s="528" t="s">
        <v>208</v>
      </c>
      <c r="H3390"/>
    </row>
    <row r="3391" spans="1:8" x14ac:dyDescent="0.35">
      <c r="A3391" s="528" t="s">
        <v>9803</v>
      </c>
      <c r="B3391" s="528" t="s">
        <v>9804</v>
      </c>
      <c r="C3391" s="528" t="s">
        <v>9805</v>
      </c>
      <c r="D3391" s="528" t="s">
        <v>225</v>
      </c>
      <c r="E3391" s="528"/>
      <c r="F3391" s="528"/>
      <c r="G3391" s="528" t="s">
        <v>205</v>
      </c>
      <c r="H3391"/>
    </row>
    <row r="3392" spans="1:8" x14ac:dyDescent="0.35">
      <c r="A3392" s="528" t="s">
        <v>9806</v>
      </c>
      <c r="B3392" s="528" t="s">
        <v>9807</v>
      </c>
      <c r="C3392" s="528" t="s">
        <v>9808</v>
      </c>
      <c r="D3392" s="528" t="s">
        <v>277</v>
      </c>
      <c r="E3392" s="528"/>
      <c r="F3392" s="528"/>
      <c r="G3392" s="528" t="s">
        <v>205</v>
      </c>
      <c r="H3392"/>
    </row>
    <row r="3393" spans="1:8" x14ac:dyDescent="0.35">
      <c r="A3393" s="528" t="s">
        <v>9809</v>
      </c>
      <c r="B3393" s="528" t="s">
        <v>9810</v>
      </c>
      <c r="C3393" s="528" t="s">
        <v>9811</v>
      </c>
      <c r="D3393" s="528" t="s">
        <v>251</v>
      </c>
      <c r="E3393" s="528"/>
      <c r="F3393" s="528"/>
      <c r="G3393" s="528" t="s">
        <v>205</v>
      </c>
      <c r="H3393"/>
    </row>
    <row r="3394" spans="1:8" x14ac:dyDescent="0.35">
      <c r="A3394" s="528" t="s">
        <v>9812</v>
      </c>
      <c r="B3394" s="528" t="s">
        <v>9813</v>
      </c>
      <c r="C3394" s="528" t="s">
        <v>9814</v>
      </c>
      <c r="D3394" s="528" t="s">
        <v>251</v>
      </c>
      <c r="E3394" s="528"/>
      <c r="F3394" s="528"/>
      <c r="G3394" s="528" t="s">
        <v>205</v>
      </c>
      <c r="H3394"/>
    </row>
    <row r="3395" spans="1:8" x14ac:dyDescent="0.35">
      <c r="A3395" s="528" t="s">
        <v>9815</v>
      </c>
      <c r="B3395" s="528" t="s">
        <v>9816</v>
      </c>
      <c r="C3395" s="528" t="s">
        <v>9817</v>
      </c>
      <c r="D3395" s="528" t="s">
        <v>264</v>
      </c>
      <c r="E3395" s="528"/>
      <c r="F3395" s="528"/>
      <c r="G3395" s="528" t="s">
        <v>205</v>
      </c>
      <c r="H3395"/>
    </row>
    <row r="3396" spans="1:8" x14ac:dyDescent="0.35">
      <c r="A3396" s="528" t="s">
        <v>9818</v>
      </c>
      <c r="B3396" s="528" t="s">
        <v>9819</v>
      </c>
      <c r="C3396" s="528" t="s">
        <v>1825</v>
      </c>
      <c r="D3396" s="528" t="s">
        <v>277</v>
      </c>
      <c r="E3396" s="528"/>
      <c r="F3396" s="528"/>
      <c r="G3396" s="528" t="s">
        <v>205</v>
      </c>
      <c r="H3396"/>
    </row>
    <row r="3397" spans="1:8" x14ac:dyDescent="0.35">
      <c r="A3397" s="528" t="s">
        <v>9820</v>
      </c>
      <c r="B3397" s="528" t="s">
        <v>9821</v>
      </c>
      <c r="C3397" s="528" t="s">
        <v>4707</v>
      </c>
      <c r="D3397" s="528" t="s">
        <v>264</v>
      </c>
      <c r="E3397" s="528"/>
      <c r="F3397" s="528"/>
      <c r="G3397" s="528" t="s">
        <v>205</v>
      </c>
      <c r="H3397"/>
    </row>
    <row r="3398" spans="1:8" x14ac:dyDescent="0.35">
      <c r="A3398" s="528" t="s">
        <v>9822</v>
      </c>
      <c r="B3398" s="528" t="s">
        <v>9823</v>
      </c>
      <c r="C3398" s="528" t="s">
        <v>4710</v>
      </c>
      <c r="D3398" s="528" t="s">
        <v>264</v>
      </c>
      <c r="E3398" s="528"/>
      <c r="F3398" s="528"/>
      <c r="G3398" s="528" t="s">
        <v>205</v>
      </c>
      <c r="H3398"/>
    </row>
    <row r="3399" spans="1:8" x14ac:dyDescent="0.35">
      <c r="A3399" s="528" t="s">
        <v>9824</v>
      </c>
      <c r="B3399" s="528" t="s">
        <v>9825</v>
      </c>
      <c r="C3399" s="528" t="s">
        <v>2047</v>
      </c>
      <c r="D3399" s="528" t="s">
        <v>264</v>
      </c>
      <c r="E3399" s="528" t="s">
        <v>277</v>
      </c>
      <c r="F3399" s="528"/>
      <c r="G3399" s="528" t="s">
        <v>205</v>
      </c>
      <c r="H3399"/>
    </row>
    <row r="3400" spans="1:8" x14ac:dyDescent="0.35">
      <c r="A3400" s="528" t="s">
        <v>9826</v>
      </c>
      <c r="B3400" s="528" t="s">
        <v>9827</v>
      </c>
      <c r="C3400" s="528" t="s">
        <v>1828</v>
      </c>
      <c r="D3400" s="528" t="s">
        <v>277</v>
      </c>
      <c r="E3400" s="528"/>
      <c r="F3400" s="528"/>
      <c r="G3400" s="528" t="s">
        <v>205</v>
      </c>
      <c r="H3400"/>
    </row>
    <row r="3401" spans="1:8" x14ac:dyDescent="0.35">
      <c r="A3401" s="528" t="s">
        <v>9828</v>
      </c>
      <c r="B3401" s="528" t="s">
        <v>9829</v>
      </c>
      <c r="C3401" s="528" t="s">
        <v>9830</v>
      </c>
      <c r="D3401" s="528" t="s">
        <v>238</v>
      </c>
      <c r="E3401" s="528"/>
      <c r="F3401" s="528"/>
      <c r="G3401" s="528" t="s">
        <v>208</v>
      </c>
      <c r="H3401"/>
    </row>
    <row r="3402" spans="1:8" x14ac:dyDescent="0.35">
      <c r="A3402" s="528" t="s">
        <v>9831</v>
      </c>
      <c r="B3402" s="528" t="s">
        <v>9832</v>
      </c>
      <c r="C3402" s="528" t="s">
        <v>9833</v>
      </c>
      <c r="D3402" s="528" t="s">
        <v>238</v>
      </c>
      <c r="E3402" s="528"/>
      <c r="F3402" s="528"/>
      <c r="G3402" s="528" t="s">
        <v>205</v>
      </c>
      <c r="H3402"/>
    </row>
    <row r="3403" spans="1:8" x14ac:dyDescent="0.35">
      <c r="A3403" s="528" t="s">
        <v>9834</v>
      </c>
      <c r="B3403" s="528" t="s">
        <v>9835</v>
      </c>
      <c r="C3403" s="528" t="s">
        <v>9836</v>
      </c>
      <c r="D3403" s="528" t="s">
        <v>238</v>
      </c>
      <c r="E3403" s="528"/>
      <c r="F3403" s="528"/>
      <c r="G3403" s="528" t="s">
        <v>205</v>
      </c>
      <c r="H3403"/>
    </row>
    <row r="3404" spans="1:8" x14ac:dyDescent="0.35">
      <c r="A3404" s="528" t="s">
        <v>9837</v>
      </c>
      <c r="B3404" s="528" t="s">
        <v>9838</v>
      </c>
      <c r="C3404" s="528" t="s">
        <v>9839</v>
      </c>
      <c r="D3404" s="528" t="s">
        <v>238</v>
      </c>
      <c r="E3404" s="528"/>
      <c r="F3404" s="528"/>
      <c r="G3404" s="528" t="s">
        <v>205</v>
      </c>
      <c r="H3404"/>
    </row>
    <row r="3405" spans="1:8" x14ac:dyDescent="0.35">
      <c r="A3405" s="528" t="s">
        <v>9840</v>
      </c>
      <c r="B3405" s="528" t="s">
        <v>9841</v>
      </c>
      <c r="C3405" s="528" t="s">
        <v>4950</v>
      </c>
      <c r="D3405" s="528" t="s">
        <v>277</v>
      </c>
      <c r="E3405" s="528"/>
      <c r="F3405" s="528"/>
      <c r="G3405" s="528" t="s">
        <v>205</v>
      </c>
      <c r="H3405"/>
    </row>
    <row r="3406" spans="1:8" x14ac:dyDescent="0.35">
      <c r="A3406" s="528" t="s">
        <v>9842</v>
      </c>
      <c r="B3406" s="528" t="s">
        <v>9843</v>
      </c>
      <c r="C3406" s="528" t="s">
        <v>9844</v>
      </c>
      <c r="D3406" s="528" t="s">
        <v>238</v>
      </c>
      <c r="E3406" s="528"/>
      <c r="F3406" s="528"/>
      <c r="G3406" s="528" t="s">
        <v>205</v>
      </c>
      <c r="H3406"/>
    </row>
    <row r="3407" spans="1:8" x14ac:dyDescent="0.35">
      <c r="A3407" s="528" t="s">
        <v>9845</v>
      </c>
      <c r="B3407" s="528" t="s">
        <v>9846</v>
      </c>
      <c r="C3407" s="528" t="s">
        <v>1149</v>
      </c>
      <c r="D3407" s="528" t="s">
        <v>264</v>
      </c>
      <c r="E3407" s="528"/>
      <c r="F3407" s="528"/>
      <c r="G3407" s="528" t="s">
        <v>208</v>
      </c>
      <c r="H3407"/>
    </row>
    <row r="3408" spans="1:8" x14ac:dyDescent="0.35">
      <c r="A3408" s="528" t="s">
        <v>9847</v>
      </c>
      <c r="B3408" s="528" t="s">
        <v>9848</v>
      </c>
      <c r="C3408" s="528" t="s">
        <v>1585</v>
      </c>
      <c r="D3408" s="528" t="s">
        <v>277</v>
      </c>
      <c r="E3408" s="528"/>
      <c r="F3408" s="528"/>
      <c r="G3408" s="528" t="s">
        <v>205</v>
      </c>
      <c r="H3408"/>
    </row>
    <row r="3409" spans="1:8" x14ac:dyDescent="0.35">
      <c r="A3409" s="528" t="s">
        <v>9849</v>
      </c>
      <c r="B3409" s="528" t="s">
        <v>9850</v>
      </c>
      <c r="C3409" s="528" t="s">
        <v>9851</v>
      </c>
      <c r="D3409" s="528" t="s">
        <v>264</v>
      </c>
      <c r="E3409" s="528"/>
      <c r="F3409" s="528"/>
      <c r="G3409" s="528" t="s">
        <v>205</v>
      </c>
      <c r="H3409"/>
    </row>
    <row r="3410" spans="1:8" x14ac:dyDescent="0.35">
      <c r="A3410" s="528" t="s">
        <v>9852</v>
      </c>
      <c r="B3410" s="528" t="s">
        <v>9853</v>
      </c>
      <c r="C3410" s="528" t="s">
        <v>2983</v>
      </c>
      <c r="D3410" s="528" t="s">
        <v>277</v>
      </c>
      <c r="E3410" s="528"/>
      <c r="F3410" s="528"/>
      <c r="G3410" s="528" t="s">
        <v>205</v>
      </c>
      <c r="H3410"/>
    </row>
    <row r="3411" spans="1:8" x14ac:dyDescent="0.35">
      <c r="A3411" s="528" t="s">
        <v>9854</v>
      </c>
      <c r="B3411" s="528" t="s">
        <v>9855</v>
      </c>
      <c r="C3411" s="528" t="s">
        <v>9856</v>
      </c>
      <c r="D3411" s="528" t="s">
        <v>277</v>
      </c>
      <c r="E3411" s="528"/>
      <c r="F3411" s="528"/>
      <c r="G3411" s="528" t="s">
        <v>208</v>
      </c>
      <c r="H3411"/>
    </row>
    <row r="3412" spans="1:8" x14ac:dyDescent="0.35">
      <c r="A3412" s="528" t="s">
        <v>9857</v>
      </c>
      <c r="B3412" s="528" t="s">
        <v>9858</v>
      </c>
      <c r="C3412" s="528" t="s">
        <v>9859</v>
      </c>
      <c r="D3412" s="528" t="s">
        <v>277</v>
      </c>
      <c r="E3412" s="528"/>
      <c r="F3412" s="528"/>
      <c r="G3412" s="528" t="s">
        <v>208</v>
      </c>
      <c r="H3412"/>
    </row>
    <row r="3413" spans="1:8" x14ac:dyDescent="0.35">
      <c r="A3413" s="528" t="s">
        <v>9860</v>
      </c>
      <c r="B3413" s="528" t="s">
        <v>9861</v>
      </c>
      <c r="C3413" s="528" t="s">
        <v>2959</v>
      </c>
      <c r="D3413" s="528" t="s">
        <v>264</v>
      </c>
      <c r="E3413" s="528"/>
      <c r="F3413" s="528"/>
      <c r="G3413" s="528" t="s">
        <v>208</v>
      </c>
      <c r="H3413"/>
    </row>
    <row r="3414" spans="1:8" x14ac:dyDescent="0.35">
      <c r="A3414" s="528" t="s">
        <v>9862</v>
      </c>
      <c r="B3414" s="528" t="s">
        <v>9863</v>
      </c>
      <c r="C3414" s="528" t="s">
        <v>9864</v>
      </c>
      <c r="D3414" s="528" t="s">
        <v>264</v>
      </c>
      <c r="E3414" s="528" t="s">
        <v>277</v>
      </c>
      <c r="F3414" s="528"/>
      <c r="G3414" s="528" t="s">
        <v>205</v>
      </c>
      <c r="H3414"/>
    </row>
    <row r="3415" spans="1:8" x14ac:dyDescent="0.35">
      <c r="A3415" s="528" t="s">
        <v>9865</v>
      </c>
      <c r="B3415" s="528" t="s">
        <v>9866</v>
      </c>
      <c r="C3415" s="528" t="s">
        <v>9867</v>
      </c>
      <c r="D3415" s="528" t="s">
        <v>251</v>
      </c>
      <c r="E3415" s="528"/>
      <c r="F3415" s="528"/>
      <c r="G3415" s="528" t="s">
        <v>205</v>
      </c>
      <c r="H3415"/>
    </row>
    <row r="3416" spans="1:8" x14ac:dyDescent="0.35">
      <c r="A3416" s="528" t="s">
        <v>9868</v>
      </c>
      <c r="B3416" s="528" t="s">
        <v>9869</v>
      </c>
      <c r="C3416" s="528" t="s">
        <v>4023</v>
      </c>
      <c r="D3416" s="528" t="s">
        <v>277</v>
      </c>
      <c r="E3416" s="528"/>
      <c r="F3416" s="528"/>
      <c r="G3416" s="528" t="s">
        <v>205</v>
      </c>
      <c r="H3416"/>
    </row>
    <row r="3417" spans="1:8" x14ac:dyDescent="0.35">
      <c r="A3417" s="528" t="s">
        <v>9870</v>
      </c>
      <c r="B3417" s="528" t="s">
        <v>9871</v>
      </c>
      <c r="C3417" s="528" t="s">
        <v>9872</v>
      </c>
      <c r="D3417" s="528" t="s">
        <v>277</v>
      </c>
      <c r="E3417" s="528"/>
      <c r="F3417" s="528"/>
      <c r="G3417" s="528" t="s">
        <v>208</v>
      </c>
      <c r="H3417"/>
    </row>
    <row r="3418" spans="1:8" x14ac:dyDescent="0.35">
      <c r="A3418" s="528" t="s">
        <v>9873</v>
      </c>
      <c r="B3418" s="528" t="s">
        <v>9874</v>
      </c>
      <c r="C3418" s="528" t="s">
        <v>922</v>
      </c>
      <c r="D3418" s="528" t="s">
        <v>251</v>
      </c>
      <c r="E3418" s="528"/>
      <c r="F3418" s="528"/>
      <c r="G3418" s="528" t="s">
        <v>208</v>
      </c>
      <c r="H3418"/>
    </row>
    <row r="3419" spans="1:8" x14ac:dyDescent="0.35">
      <c r="A3419" s="528" t="s">
        <v>9875</v>
      </c>
      <c r="B3419" s="528" t="s">
        <v>9876</v>
      </c>
      <c r="C3419" s="528" t="s">
        <v>5415</v>
      </c>
      <c r="D3419" s="528" t="s">
        <v>238</v>
      </c>
      <c r="E3419" s="528"/>
      <c r="F3419" s="528"/>
      <c r="G3419" s="528" t="s">
        <v>212</v>
      </c>
      <c r="H3419"/>
    </row>
    <row r="3420" spans="1:8" x14ac:dyDescent="0.35">
      <c r="A3420" s="528" t="s">
        <v>9877</v>
      </c>
      <c r="B3420" s="528" t="s">
        <v>9878</v>
      </c>
      <c r="C3420" s="528" t="s">
        <v>9879</v>
      </c>
      <c r="D3420" s="528" t="s">
        <v>251</v>
      </c>
      <c r="E3420" s="528" t="s">
        <v>238</v>
      </c>
      <c r="F3420" s="528"/>
      <c r="G3420" s="528" t="s">
        <v>208</v>
      </c>
      <c r="H3420"/>
    </row>
    <row r="3421" spans="1:8" x14ac:dyDescent="0.35">
      <c r="A3421" s="528" t="s">
        <v>9880</v>
      </c>
      <c r="B3421" s="528" t="s">
        <v>9881</v>
      </c>
      <c r="C3421" s="528" t="s">
        <v>5457</v>
      </c>
      <c r="D3421" s="528" t="s">
        <v>277</v>
      </c>
      <c r="E3421" s="528" t="s">
        <v>264</v>
      </c>
      <c r="F3421" s="528"/>
      <c r="G3421" s="528" t="s">
        <v>205</v>
      </c>
      <c r="H3421"/>
    </row>
    <row r="3422" spans="1:8" x14ac:dyDescent="0.35">
      <c r="A3422" s="528" t="s">
        <v>9882</v>
      </c>
      <c r="B3422" s="528" t="s">
        <v>9883</v>
      </c>
      <c r="C3422" s="528" t="s">
        <v>9884</v>
      </c>
      <c r="D3422" s="528" t="s">
        <v>277</v>
      </c>
      <c r="E3422" s="528" t="s">
        <v>264</v>
      </c>
      <c r="F3422" s="528"/>
      <c r="G3422" s="528" t="s">
        <v>208</v>
      </c>
      <c r="H3422"/>
    </row>
    <row r="3423" spans="1:8" x14ac:dyDescent="0.35">
      <c r="A3423" s="528" t="s">
        <v>9885</v>
      </c>
      <c r="B3423" s="528" t="s">
        <v>9886</v>
      </c>
      <c r="C3423" s="528" t="s">
        <v>9887</v>
      </c>
      <c r="D3423" s="528" t="s">
        <v>251</v>
      </c>
      <c r="E3423" s="528"/>
      <c r="F3423" s="528"/>
      <c r="G3423" s="528" t="s">
        <v>208</v>
      </c>
      <c r="H3423"/>
    </row>
    <row r="3424" spans="1:8" x14ac:dyDescent="0.35">
      <c r="A3424" s="528" t="s">
        <v>9888</v>
      </c>
      <c r="B3424" s="528" t="s">
        <v>9889</v>
      </c>
      <c r="C3424" s="528" t="s">
        <v>9890</v>
      </c>
      <c r="D3424" s="528" t="s">
        <v>251</v>
      </c>
      <c r="E3424" s="528"/>
      <c r="F3424" s="528"/>
      <c r="G3424" s="528" t="s">
        <v>208</v>
      </c>
      <c r="H3424"/>
    </row>
    <row r="3425" spans="1:8" x14ac:dyDescent="0.35">
      <c r="A3425" s="528" t="s">
        <v>9891</v>
      </c>
      <c r="B3425" s="528" t="s">
        <v>9892</v>
      </c>
      <c r="C3425" s="528" t="s">
        <v>2855</v>
      </c>
      <c r="D3425" s="528" t="s">
        <v>251</v>
      </c>
      <c r="E3425" s="528"/>
      <c r="F3425" s="528"/>
      <c r="G3425" s="528" t="s">
        <v>208</v>
      </c>
      <c r="H3425"/>
    </row>
    <row r="3426" spans="1:8" x14ac:dyDescent="0.35">
      <c r="A3426" s="528" t="s">
        <v>9893</v>
      </c>
      <c r="B3426" s="528" t="s">
        <v>9894</v>
      </c>
      <c r="C3426" s="528" t="s">
        <v>9895</v>
      </c>
      <c r="D3426" s="528" t="s">
        <v>251</v>
      </c>
      <c r="E3426" s="528"/>
      <c r="F3426" s="528"/>
      <c r="G3426" s="528" t="s">
        <v>208</v>
      </c>
      <c r="H3426"/>
    </row>
    <row r="3427" spans="1:8" x14ac:dyDescent="0.35">
      <c r="A3427" s="528" t="s">
        <v>9896</v>
      </c>
      <c r="B3427" s="528" t="s">
        <v>9897</v>
      </c>
      <c r="C3427" s="528" t="s">
        <v>4235</v>
      </c>
      <c r="D3427" s="528" t="s">
        <v>264</v>
      </c>
      <c r="E3427" s="528"/>
      <c r="F3427" s="528"/>
      <c r="G3427" s="528" t="s">
        <v>208</v>
      </c>
      <c r="H3427"/>
    </row>
    <row r="3428" spans="1:8" x14ac:dyDescent="0.35">
      <c r="A3428" s="528" t="s">
        <v>9898</v>
      </c>
      <c r="B3428" s="528" t="s">
        <v>9899</v>
      </c>
      <c r="C3428" s="528" t="s">
        <v>1892</v>
      </c>
      <c r="D3428" s="528" t="s">
        <v>238</v>
      </c>
      <c r="E3428" s="528"/>
      <c r="F3428" s="528"/>
      <c r="G3428" s="528" t="s">
        <v>208</v>
      </c>
      <c r="H3428"/>
    </row>
    <row r="3429" spans="1:8" x14ac:dyDescent="0.35">
      <c r="A3429" s="528" t="s">
        <v>9900</v>
      </c>
      <c r="B3429" s="528" t="s">
        <v>9901</v>
      </c>
      <c r="C3429" s="528" t="s">
        <v>9902</v>
      </c>
      <c r="D3429" s="528" t="s">
        <v>238</v>
      </c>
      <c r="E3429" s="528"/>
      <c r="F3429" s="528"/>
      <c r="G3429" s="528" t="s">
        <v>208</v>
      </c>
      <c r="H3429"/>
    </row>
    <row r="3430" spans="1:8" x14ac:dyDescent="0.35">
      <c r="A3430" s="528" t="s">
        <v>9903</v>
      </c>
      <c r="B3430" s="528" t="s">
        <v>9904</v>
      </c>
      <c r="C3430" s="528" t="s">
        <v>9905</v>
      </c>
      <c r="D3430" s="528" t="s">
        <v>238</v>
      </c>
      <c r="E3430" s="528"/>
      <c r="F3430" s="528"/>
      <c r="G3430" s="528" t="s">
        <v>208</v>
      </c>
      <c r="H3430"/>
    </row>
    <row r="3431" spans="1:8" x14ac:dyDescent="0.35">
      <c r="A3431" s="528" t="s">
        <v>9906</v>
      </c>
      <c r="B3431" s="528" t="s">
        <v>9907</v>
      </c>
      <c r="C3431" s="528" t="s">
        <v>1854</v>
      </c>
      <c r="D3431" s="528" t="s">
        <v>277</v>
      </c>
      <c r="E3431" s="528"/>
      <c r="F3431" s="528"/>
      <c r="G3431" s="528" t="s">
        <v>205</v>
      </c>
      <c r="H3431"/>
    </row>
    <row r="3432" spans="1:8" x14ac:dyDescent="0.35">
      <c r="A3432" s="528" t="s">
        <v>9908</v>
      </c>
      <c r="B3432" s="528" t="s">
        <v>9909</v>
      </c>
      <c r="C3432" s="528" t="s">
        <v>2443</v>
      </c>
      <c r="D3432" s="528" t="s">
        <v>277</v>
      </c>
      <c r="E3432" s="528"/>
      <c r="F3432" s="528"/>
      <c r="G3432" s="528" t="s">
        <v>208</v>
      </c>
      <c r="H3432"/>
    </row>
    <row r="3433" spans="1:8" x14ac:dyDescent="0.35">
      <c r="A3433" s="528" t="s">
        <v>9910</v>
      </c>
      <c r="B3433" s="528" t="s">
        <v>9911</v>
      </c>
      <c r="C3433" s="528" t="s">
        <v>9912</v>
      </c>
      <c r="D3433" s="528" t="s">
        <v>264</v>
      </c>
      <c r="E3433" s="528"/>
      <c r="F3433" s="528"/>
      <c r="G3433" s="528" t="s">
        <v>205</v>
      </c>
      <c r="H3433"/>
    </row>
    <row r="3434" spans="1:8" x14ac:dyDescent="0.35">
      <c r="A3434" s="528" t="s">
        <v>9913</v>
      </c>
      <c r="B3434" s="528" t="s">
        <v>9914</v>
      </c>
      <c r="C3434" s="528" t="s">
        <v>9915</v>
      </c>
      <c r="D3434" s="528" t="s">
        <v>264</v>
      </c>
      <c r="E3434" s="528"/>
      <c r="F3434" s="528"/>
      <c r="G3434" s="528" t="s">
        <v>208</v>
      </c>
      <c r="H3434"/>
    </row>
    <row r="3435" spans="1:8" x14ac:dyDescent="0.35">
      <c r="A3435" s="528" t="s">
        <v>9916</v>
      </c>
      <c r="B3435" s="528" t="s">
        <v>9917</v>
      </c>
      <c r="C3435" s="528" t="s">
        <v>5151</v>
      </c>
      <c r="D3435" s="528" t="s">
        <v>277</v>
      </c>
      <c r="E3435" s="528"/>
      <c r="F3435" s="528"/>
      <c r="G3435" s="528" t="s">
        <v>208</v>
      </c>
      <c r="H3435"/>
    </row>
    <row r="3436" spans="1:8" x14ac:dyDescent="0.35">
      <c r="A3436" s="528" t="s">
        <v>9918</v>
      </c>
      <c r="B3436" s="528" t="s">
        <v>9919</v>
      </c>
      <c r="C3436" s="528" t="s">
        <v>9920</v>
      </c>
      <c r="D3436" s="528" t="s">
        <v>277</v>
      </c>
      <c r="E3436" s="528"/>
      <c r="F3436" s="528"/>
      <c r="G3436" s="528" t="s">
        <v>208</v>
      </c>
      <c r="H3436"/>
    </row>
    <row r="3437" spans="1:8" x14ac:dyDescent="0.35">
      <c r="A3437" s="528" t="s">
        <v>9921</v>
      </c>
      <c r="B3437" s="528" t="s">
        <v>9922</v>
      </c>
      <c r="C3437" s="528" t="s">
        <v>9923</v>
      </c>
      <c r="D3437" s="528" t="s">
        <v>277</v>
      </c>
      <c r="E3437" s="528"/>
      <c r="F3437" s="528"/>
      <c r="G3437" s="528" t="s">
        <v>208</v>
      </c>
      <c r="H3437"/>
    </row>
    <row r="3438" spans="1:8" x14ac:dyDescent="0.35">
      <c r="A3438" s="528" t="s">
        <v>9924</v>
      </c>
      <c r="B3438" s="528" t="s">
        <v>9925</v>
      </c>
      <c r="C3438" s="528" t="s">
        <v>9926</v>
      </c>
      <c r="D3438" s="528" t="s">
        <v>277</v>
      </c>
      <c r="E3438" s="528"/>
      <c r="F3438" s="528"/>
      <c r="G3438" s="528" t="s">
        <v>208</v>
      </c>
      <c r="H3438"/>
    </row>
    <row r="3439" spans="1:8" x14ac:dyDescent="0.35">
      <c r="A3439" s="528" t="s">
        <v>9927</v>
      </c>
      <c r="B3439" s="528" t="s">
        <v>9928</v>
      </c>
      <c r="C3439" s="528" t="s">
        <v>1014</v>
      </c>
      <c r="D3439" s="528" t="s">
        <v>277</v>
      </c>
      <c r="E3439" s="528"/>
      <c r="F3439" s="528"/>
      <c r="G3439" s="528" t="s">
        <v>208</v>
      </c>
      <c r="H3439"/>
    </row>
    <row r="3440" spans="1:8" x14ac:dyDescent="0.35">
      <c r="A3440" s="528" t="s">
        <v>9929</v>
      </c>
      <c r="B3440" s="528" t="s">
        <v>9930</v>
      </c>
      <c r="C3440" s="528" t="s">
        <v>1152</v>
      </c>
      <c r="D3440" s="528" t="s">
        <v>225</v>
      </c>
      <c r="E3440" s="528"/>
      <c r="F3440" s="528"/>
      <c r="G3440" s="528" t="s">
        <v>208</v>
      </c>
      <c r="H3440"/>
    </row>
    <row r="3441" spans="1:8" x14ac:dyDescent="0.35">
      <c r="A3441" s="528" t="s">
        <v>9931</v>
      </c>
      <c r="B3441" s="528" t="s">
        <v>9932</v>
      </c>
      <c r="C3441" s="528" t="s">
        <v>9933</v>
      </c>
      <c r="D3441" s="528" t="s">
        <v>238</v>
      </c>
      <c r="E3441" s="528"/>
      <c r="F3441" s="528"/>
      <c r="G3441" s="528" t="s">
        <v>212</v>
      </c>
      <c r="H3441"/>
    </row>
    <row r="3442" spans="1:8" x14ac:dyDescent="0.35">
      <c r="A3442" s="528" t="s">
        <v>9934</v>
      </c>
      <c r="B3442" s="528" t="s">
        <v>9935</v>
      </c>
      <c r="C3442" s="528" t="s">
        <v>9936</v>
      </c>
      <c r="D3442" s="528" t="s">
        <v>277</v>
      </c>
      <c r="E3442" s="528"/>
      <c r="F3442" s="528"/>
      <c r="G3442" s="528" t="s">
        <v>208</v>
      </c>
      <c r="H3442"/>
    </row>
    <row r="3443" spans="1:8" x14ac:dyDescent="0.35">
      <c r="A3443" s="528" t="s">
        <v>9937</v>
      </c>
      <c r="B3443" s="528" t="s">
        <v>9938</v>
      </c>
      <c r="C3443" s="528" t="s">
        <v>9939</v>
      </c>
      <c r="D3443" s="528" t="s">
        <v>277</v>
      </c>
      <c r="E3443" s="528"/>
      <c r="F3443" s="528"/>
      <c r="G3443" s="528" t="s">
        <v>212</v>
      </c>
      <c r="H3443"/>
    </row>
    <row r="3444" spans="1:8" x14ac:dyDescent="0.35">
      <c r="A3444" s="528" t="s">
        <v>9940</v>
      </c>
      <c r="B3444" s="528" t="s">
        <v>9941</v>
      </c>
      <c r="C3444" s="528" t="s">
        <v>4431</v>
      </c>
      <c r="D3444" s="528" t="s">
        <v>277</v>
      </c>
      <c r="E3444" s="528"/>
      <c r="F3444" s="528"/>
      <c r="G3444" s="528" t="s">
        <v>208</v>
      </c>
      <c r="H3444"/>
    </row>
    <row r="3445" spans="1:8" x14ac:dyDescent="0.35">
      <c r="A3445" s="528" t="s">
        <v>9942</v>
      </c>
      <c r="B3445" s="528" t="s">
        <v>9943</v>
      </c>
      <c r="C3445" s="528" t="s">
        <v>2283</v>
      </c>
      <c r="D3445" s="528" t="s">
        <v>277</v>
      </c>
      <c r="E3445" s="528"/>
      <c r="F3445" s="528"/>
      <c r="G3445" s="528" t="s">
        <v>208</v>
      </c>
      <c r="H3445"/>
    </row>
    <row r="3446" spans="1:8" x14ac:dyDescent="0.35">
      <c r="A3446" s="528" t="s">
        <v>9944</v>
      </c>
      <c r="B3446" s="528" t="s">
        <v>9945</v>
      </c>
      <c r="C3446" s="528" t="s">
        <v>2376</v>
      </c>
      <c r="D3446" s="528" t="s">
        <v>277</v>
      </c>
      <c r="E3446" s="528"/>
      <c r="F3446" s="528"/>
      <c r="G3446" s="528" t="s">
        <v>205</v>
      </c>
      <c r="H3446"/>
    </row>
    <row r="3447" spans="1:8" x14ac:dyDescent="0.35">
      <c r="A3447" s="528" t="s">
        <v>9946</v>
      </c>
      <c r="B3447" s="528" t="s">
        <v>9947</v>
      </c>
      <c r="C3447" s="528" t="s">
        <v>9948</v>
      </c>
      <c r="D3447" s="528" t="s">
        <v>277</v>
      </c>
      <c r="E3447" s="528"/>
      <c r="F3447" s="528"/>
      <c r="G3447" s="528" t="s">
        <v>212</v>
      </c>
      <c r="H3447"/>
    </row>
    <row r="3448" spans="1:8" x14ac:dyDescent="0.35">
      <c r="A3448" s="528" t="s">
        <v>9949</v>
      </c>
      <c r="B3448" s="528" t="s">
        <v>9950</v>
      </c>
      <c r="C3448" s="528" t="s">
        <v>2396</v>
      </c>
      <c r="D3448" s="528" t="s">
        <v>277</v>
      </c>
      <c r="E3448" s="528"/>
      <c r="F3448" s="528"/>
      <c r="G3448" s="528" t="s">
        <v>212</v>
      </c>
      <c r="H3448"/>
    </row>
    <row r="3449" spans="1:8" x14ac:dyDescent="0.35">
      <c r="A3449" s="528" t="s">
        <v>9951</v>
      </c>
      <c r="B3449" s="528" t="s">
        <v>9952</v>
      </c>
      <c r="C3449" s="528" t="s">
        <v>9953</v>
      </c>
      <c r="D3449" s="528" t="s">
        <v>277</v>
      </c>
      <c r="E3449" s="528"/>
      <c r="F3449" s="528"/>
      <c r="G3449" s="528" t="s">
        <v>212</v>
      </c>
      <c r="H3449"/>
    </row>
    <row r="3450" spans="1:8" x14ac:dyDescent="0.35">
      <c r="A3450" s="528" t="s">
        <v>9954</v>
      </c>
      <c r="B3450" s="528" t="s">
        <v>9955</v>
      </c>
      <c r="C3450" s="528" t="s">
        <v>9956</v>
      </c>
      <c r="D3450" s="528" t="s">
        <v>277</v>
      </c>
      <c r="E3450" s="528"/>
      <c r="F3450" s="528"/>
      <c r="G3450" s="528" t="s">
        <v>212</v>
      </c>
      <c r="H3450"/>
    </row>
    <row r="3451" spans="1:8" x14ac:dyDescent="0.35">
      <c r="A3451" s="528" t="s">
        <v>9957</v>
      </c>
      <c r="B3451" s="528" t="s">
        <v>9958</v>
      </c>
      <c r="C3451" s="528" t="s">
        <v>2521</v>
      </c>
      <c r="D3451" s="528" t="s">
        <v>277</v>
      </c>
      <c r="E3451" s="528"/>
      <c r="F3451" s="528"/>
      <c r="G3451" s="528" t="s">
        <v>212</v>
      </c>
      <c r="H3451"/>
    </row>
    <row r="3452" spans="1:8" x14ac:dyDescent="0.35">
      <c r="A3452" s="528" t="s">
        <v>9959</v>
      </c>
      <c r="B3452" s="528" t="s">
        <v>9960</v>
      </c>
      <c r="C3452" s="528" t="s">
        <v>2420</v>
      </c>
      <c r="D3452" s="528" t="s">
        <v>277</v>
      </c>
      <c r="E3452" s="528"/>
      <c r="F3452" s="528"/>
      <c r="G3452" s="528" t="s">
        <v>205</v>
      </c>
      <c r="H3452"/>
    </row>
    <row r="3453" spans="1:8" x14ac:dyDescent="0.35">
      <c r="A3453" s="528" t="s">
        <v>9961</v>
      </c>
      <c r="B3453" s="528" t="s">
        <v>9962</v>
      </c>
      <c r="C3453" s="528" t="s">
        <v>9963</v>
      </c>
      <c r="D3453" s="528" t="s">
        <v>277</v>
      </c>
      <c r="E3453" s="528"/>
      <c r="F3453" s="528"/>
      <c r="G3453" s="528" t="s">
        <v>208</v>
      </c>
      <c r="H3453"/>
    </row>
    <row r="3454" spans="1:8" x14ac:dyDescent="0.35">
      <c r="A3454" s="528" t="s">
        <v>9964</v>
      </c>
      <c r="B3454" s="528" t="s">
        <v>9965</v>
      </c>
      <c r="C3454" s="528" t="s">
        <v>3856</v>
      </c>
      <c r="D3454" s="528" t="s">
        <v>264</v>
      </c>
      <c r="E3454" s="528"/>
      <c r="F3454" s="528"/>
      <c r="G3454" s="528" t="s">
        <v>205</v>
      </c>
      <c r="H3454"/>
    </row>
    <row r="3455" spans="1:8" x14ac:dyDescent="0.35">
      <c r="A3455" s="528" t="s">
        <v>9966</v>
      </c>
      <c r="B3455" s="528" t="s">
        <v>9967</v>
      </c>
      <c r="C3455" s="528" t="s">
        <v>9968</v>
      </c>
      <c r="D3455" s="528" t="s">
        <v>277</v>
      </c>
      <c r="E3455" s="528"/>
      <c r="F3455" s="528"/>
      <c r="G3455" s="528" t="s">
        <v>214</v>
      </c>
      <c r="H3455"/>
    </row>
    <row r="3456" spans="1:8" x14ac:dyDescent="0.35">
      <c r="A3456" s="528" t="s">
        <v>9969</v>
      </c>
      <c r="B3456" s="528" t="s">
        <v>9970</v>
      </c>
      <c r="C3456" s="528" t="s">
        <v>9971</v>
      </c>
      <c r="D3456" s="528" t="s">
        <v>277</v>
      </c>
      <c r="E3456" s="528"/>
      <c r="F3456" s="528"/>
      <c r="G3456" s="528" t="s">
        <v>208</v>
      </c>
      <c r="H3456"/>
    </row>
    <row r="3457" spans="1:8" x14ac:dyDescent="0.35">
      <c r="A3457" s="528" t="s">
        <v>9972</v>
      </c>
      <c r="B3457" s="528" t="s">
        <v>9973</v>
      </c>
      <c r="C3457" s="528" t="s">
        <v>9974</v>
      </c>
      <c r="D3457" s="528" t="s">
        <v>277</v>
      </c>
      <c r="E3457" s="528"/>
      <c r="F3457" s="528"/>
      <c r="G3457" s="528" t="s">
        <v>212</v>
      </c>
      <c r="H3457"/>
    </row>
    <row r="3458" spans="1:8" x14ac:dyDescent="0.35">
      <c r="A3458" s="528" t="s">
        <v>9975</v>
      </c>
      <c r="B3458" s="528" t="s">
        <v>9976</v>
      </c>
      <c r="C3458" s="528" t="s">
        <v>9977</v>
      </c>
      <c r="D3458" s="528" t="s">
        <v>277</v>
      </c>
      <c r="E3458" s="528"/>
      <c r="F3458" s="528"/>
      <c r="G3458" s="528" t="s">
        <v>208</v>
      </c>
      <c r="H3458"/>
    </row>
    <row r="3459" spans="1:8" x14ac:dyDescent="0.35">
      <c r="A3459" s="528" t="s">
        <v>9978</v>
      </c>
      <c r="B3459" s="528" t="s">
        <v>9979</v>
      </c>
      <c r="C3459" s="528" t="s">
        <v>9980</v>
      </c>
      <c r="D3459" s="528" t="s">
        <v>264</v>
      </c>
      <c r="E3459" s="528"/>
      <c r="F3459" s="528"/>
      <c r="G3459" s="528" t="s">
        <v>205</v>
      </c>
      <c r="H3459"/>
    </row>
    <row r="3460" spans="1:8" x14ac:dyDescent="0.35">
      <c r="A3460" s="528" t="s">
        <v>9981</v>
      </c>
      <c r="B3460" s="528" t="s">
        <v>9982</v>
      </c>
      <c r="C3460" s="528" t="s">
        <v>9983</v>
      </c>
      <c r="D3460" s="528" t="s">
        <v>264</v>
      </c>
      <c r="E3460" s="528"/>
      <c r="F3460" s="528"/>
      <c r="G3460" s="528" t="s">
        <v>208</v>
      </c>
      <c r="H3460"/>
    </row>
    <row r="3461" spans="1:8" x14ac:dyDescent="0.35">
      <c r="A3461" s="528" t="s">
        <v>9984</v>
      </c>
      <c r="B3461" s="528" t="s">
        <v>9985</v>
      </c>
      <c r="C3461" s="528" t="s">
        <v>9986</v>
      </c>
      <c r="D3461" s="528" t="s">
        <v>225</v>
      </c>
      <c r="E3461" s="528"/>
      <c r="F3461" s="528"/>
      <c r="G3461" s="528" t="s">
        <v>205</v>
      </c>
      <c r="H3461"/>
    </row>
    <row r="3462" spans="1:8" x14ac:dyDescent="0.35">
      <c r="A3462" s="528" t="s">
        <v>9987</v>
      </c>
      <c r="B3462" s="528" t="s">
        <v>9988</v>
      </c>
      <c r="C3462" s="528" t="s">
        <v>9989</v>
      </c>
      <c r="D3462" s="528" t="s">
        <v>225</v>
      </c>
      <c r="E3462" s="528"/>
      <c r="F3462" s="528"/>
      <c r="G3462" s="528" t="s">
        <v>205</v>
      </c>
      <c r="H3462"/>
    </row>
    <row r="3463" spans="1:8" x14ac:dyDescent="0.35">
      <c r="A3463" s="528" t="s">
        <v>9990</v>
      </c>
      <c r="B3463" s="528" t="s">
        <v>9991</v>
      </c>
      <c r="C3463" s="528" t="s">
        <v>9992</v>
      </c>
      <c r="D3463" s="528" t="s">
        <v>225</v>
      </c>
      <c r="E3463" s="528"/>
      <c r="F3463" s="528"/>
      <c r="G3463" s="528" t="s">
        <v>205</v>
      </c>
      <c r="H3463"/>
    </row>
    <row r="3464" spans="1:8" x14ac:dyDescent="0.35">
      <c r="A3464" s="528" t="s">
        <v>9993</v>
      </c>
      <c r="B3464" s="528" t="s">
        <v>9994</v>
      </c>
      <c r="C3464" s="528" t="s">
        <v>9995</v>
      </c>
      <c r="D3464" s="528" t="s">
        <v>251</v>
      </c>
      <c r="E3464" s="528"/>
      <c r="F3464" s="528"/>
      <c r="G3464" s="528" t="s">
        <v>205</v>
      </c>
      <c r="H3464"/>
    </row>
    <row r="3465" spans="1:8" x14ac:dyDescent="0.35">
      <c r="A3465" s="528" t="s">
        <v>9996</v>
      </c>
      <c r="B3465" s="528" t="s">
        <v>9997</v>
      </c>
      <c r="C3465" s="528" t="s">
        <v>9998</v>
      </c>
      <c r="D3465" s="528" t="s">
        <v>225</v>
      </c>
      <c r="E3465" s="528"/>
      <c r="F3465" s="528"/>
      <c r="G3465" s="528" t="s">
        <v>205</v>
      </c>
      <c r="H3465"/>
    </row>
    <row r="3466" spans="1:8" x14ac:dyDescent="0.35">
      <c r="A3466" s="528" t="s">
        <v>9999</v>
      </c>
      <c r="B3466" s="528" t="s">
        <v>10000</v>
      </c>
      <c r="C3466" s="528" t="s">
        <v>8263</v>
      </c>
      <c r="D3466" s="528" t="s">
        <v>251</v>
      </c>
      <c r="E3466" s="528"/>
      <c r="F3466" s="528"/>
      <c r="G3466" s="528" t="s">
        <v>205</v>
      </c>
      <c r="H3466"/>
    </row>
    <row r="3467" spans="1:8" x14ac:dyDescent="0.35">
      <c r="A3467" s="528" t="s">
        <v>10001</v>
      </c>
      <c r="B3467" s="528" t="s">
        <v>10002</v>
      </c>
      <c r="C3467" s="528" t="s">
        <v>10003</v>
      </c>
      <c r="D3467" s="528" t="s">
        <v>251</v>
      </c>
      <c r="E3467" s="528"/>
      <c r="F3467" s="528"/>
      <c r="G3467" s="528" t="s">
        <v>208</v>
      </c>
      <c r="H3467"/>
    </row>
    <row r="3468" spans="1:8" x14ac:dyDescent="0.35">
      <c r="A3468" s="528" t="s">
        <v>10004</v>
      </c>
      <c r="B3468" s="528" t="s">
        <v>10005</v>
      </c>
      <c r="C3468" s="528" t="s">
        <v>10006</v>
      </c>
      <c r="D3468" s="528" t="s">
        <v>238</v>
      </c>
      <c r="E3468" s="528"/>
      <c r="F3468" s="528"/>
      <c r="G3468" s="528" t="s">
        <v>208</v>
      </c>
      <c r="H3468"/>
    </row>
    <row r="3469" spans="1:8" x14ac:dyDescent="0.35">
      <c r="A3469" s="528" t="s">
        <v>10007</v>
      </c>
      <c r="B3469" s="528" t="s">
        <v>10008</v>
      </c>
      <c r="C3469" s="528" t="s">
        <v>1720</v>
      </c>
      <c r="D3469" s="528" t="s">
        <v>264</v>
      </c>
      <c r="E3469" s="528" t="s">
        <v>277</v>
      </c>
      <c r="F3469" s="528"/>
      <c r="G3469" s="528" t="s">
        <v>208</v>
      </c>
      <c r="H3469"/>
    </row>
    <row r="3470" spans="1:8" x14ac:dyDescent="0.35">
      <c r="A3470" s="528" t="s">
        <v>10009</v>
      </c>
      <c r="B3470" s="528" t="s">
        <v>10010</v>
      </c>
      <c r="C3470" s="528" t="s">
        <v>1362</v>
      </c>
      <c r="D3470" s="528" t="s">
        <v>251</v>
      </c>
      <c r="E3470" s="528"/>
      <c r="F3470" s="528"/>
      <c r="G3470" s="528" t="s">
        <v>205</v>
      </c>
      <c r="H3470"/>
    </row>
    <row r="3471" spans="1:8" x14ac:dyDescent="0.35">
      <c r="A3471" s="528" t="s">
        <v>10011</v>
      </c>
      <c r="B3471" s="528" t="s">
        <v>10012</v>
      </c>
      <c r="C3471" s="528" t="s">
        <v>2495</v>
      </c>
      <c r="D3471" s="528" t="s">
        <v>264</v>
      </c>
      <c r="E3471" s="528"/>
      <c r="F3471" s="528"/>
      <c r="G3471" s="528" t="s">
        <v>208</v>
      </c>
      <c r="H3471"/>
    </row>
    <row r="3472" spans="1:8" x14ac:dyDescent="0.35">
      <c r="A3472" s="528" t="s">
        <v>10013</v>
      </c>
      <c r="B3472" s="528" t="s">
        <v>10014</v>
      </c>
      <c r="C3472" s="528" t="s">
        <v>10015</v>
      </c>
      <c r="D3472" s="528" t="s">
        <v>277</v>
      </c>
      <c r="E3472" s="528"/>
      <c r="F3472" s="528"/>
      <c r="G3472" s="528" t="s">
        <v>212</v>
      </c>
      <c r="H3472"/>
    </row>
    <row r="3473" spans="1:8" x14ac:dyDescent="0.35">
      <c r="A3473" s="528" t="s">
        <v>10016</v>
      </c>
      <c r="B3473" s="528" t="s">
        <v>10017</v>
      </c>
      <c r="C3473" s="528" t="s">
        <v>5142</v>
      </c>
      <c r="D3473" s="528" t="s">
        <v>277</v>
      </c>
      <c r="E3473" s="528"/>
      <c r="F3473" s="528"/>
      <c r="G3473" s="528" t="s">
        <v>205</v>
      </c>
      <c r="H3473"/>
    </row>
    <row r="3474" spans="1:8" x14ac:dyDescent="0.35">
      <c r="A3474" s="528" t="s">
        <v>10018</v>
      </c>
      <c r="B3474" s="528" t="s">
        <v>10019</v>
      </c>
      <c r="C3474" s="528" t="s">
        <v>10020</v>
      </c>
      <c r="D3474" s="528" t="s">
        <v>277</v>
      </c>
      <c r="E3474" s="528"/>
      <c r="F3474" s="528"/>
      <c r="G3474" s="528" t="s">
        <v>208</v>
      </c>
      <c r="H3474"/>
    </row>
    <row r="3475" spans="1:8" x14ac:dyDescent="0.35">
      <c r="A3475" s="528" t="s">
        <v>10021</v>
      </c>
      <c r="B3475" s="528" t="s">
        <v>10022</v>
      </c>
      <c r="C3475" s="528" t="s">
        <v>10023</v>
      </c>
      <c r="D3475" s="528" t="s">
        <v>277</v>
      </c>
      <c r="E3475" s="528"/>
      <c r="F3475" s="528"/>
      <c r="G3475" s="528" t="s">
        <v>208</v>
      </c>
      <c r="H3475"/>
    </row>
    <row r="3476" spans="1:8" x14ac:dyDescent="0.35">
      <c r="A3476" s="528" t="s">
        <v>10024</v>
      </c>
      <c r="B3476" s="528" t="s">
        <v>10025</v>
      </c>
      <c r="C3476" s="528" t="s">
        <v>10026</v>
      </c>
      <c r="D3476" s="528" t="s">
        <v>277</v>
      </c>
      <c r="E3476" s="528"/>
      <c r="F3476" s="528"/>
      <c r="G3476" s="528" t="s">
        <v>214</v>
      </c>
      <c r="H3476"/>
    </row>
    <row r="3477" spans="1:8" x14ac:dyDescent="0.35">
      <c r="A3477" s="528" t="s">
        <v>10027</v>
      </c>
      <c r="B3477" s="528" t="s">
        <v>10028</v>
      </c>
      <c r="C3477" s="528" t="s">
        <v>7801</v>
      </c>
      <c r="D3477" s="528" t="s">
        <v>277</v>
      </c>
      <c r="E3477" s="528"/>
      <c r="F3477" s="528"/>
      <c r="G3477" s="528" t="s">
        <v>208</v>
      </c>
      <c r="H3477"/>
    </row>
    <row r="3478" spans="1:8" x14ac:dyDescent="0.35">
      <c r="A3478" s="528" t="s">
        <v>10029</v>
      </c>
      <c r="B3478" s="528" t="s">
        <v>10030</v>
      </c>
      <c r="C3478" s="528" t="s">
        <v>10031</v>
      </c>
      <c r="D3478" s="528" t="s">
        <v>277</v>
      </c>
      <c r="E3478" s="528"/>
      <c r="F3478" s="528"/>
      <c r="G3478" s="528" t="s">
        <v>208</v>
      </c>
      <c r="H3478"/>
    </row>
    <row r="3479" spans="1:8" x14ac:dyDescent="0.35">
      <c r="A3479" s="528" t="s">
        <v>10032</v>
      </c>
      <c r="B3479" s="528" t="s">
        <v>10033</v>
      </c>
      <c r="C3479" s="528" t="s">
        <v>5162</v>
      </c>
      <c r="D3479" s="528" t="s">
        <v>225</v>
      </c>
      <c r="E3479" s="528"/>
      <c r="F3479" s="528"/>
      <c r="G3479" s="528" t="s">
        <v>205</v>
      </c>
      <c r="H3479"/>
    </row>
    <row r="3480" spans="1:8" x14ac:dyDescent="0.35">
      <c r="A3480" s="528" t="s">
        <v>10034</v>
      </c>
      <c r="B3480" s="528" t="s">
        <v>10035</v>
      </c>
      <c r="C3480" s="528" t="s">
        <v>7835</v>
      </c>
      <c r="D3480" s="528" t="s">
        <v>225</v>
      </c>
      <c r="E3480" s="528"/>
      <c r="F3480" s="528"/>
      <c r="G3480" s="528" t="s">
        <v>208</v>
      </c>
      <c r="H3480"/>
    </row>
    <row r="3481" spans="1:8" x14ac:dyDescent="0.35">
      <c r="A3481" s="528" t="s">
        <v>10036</v>
      </c>
      <c r="B3481" s="528" t="s">
        <v>10037</v>
      </c>
      <c r="C3481" s="528" t="s">
        <v>10038</v>
      </c>
      <c r="D3481" s="528" t="s">
        <v>264</v>
      </c>
      <c r="E3481" s="528"/>
      <c r="F3481" s="528"/>
      <c r="G3481" s="528" t="s">
        <v>208</v>
      </c>
      <c r="H3481"/>
    </row>
    <row r="3482" spans="1:8" x14ac:dyDescent="0.35">
      <c r="A3482" s="528" t="s">
        <v>10039</v>
      </c>
      <c r="B3482" s="528" t="s">
        <v>10040</v>
      </c>
      <c r="C3482" s="528" t="s">
        <v>10041</v>
      </c>
      <c r="D3482" s="528" t="s">
        <v>238</v>
      </c>
      <c r="E3482" s="528" t="s">
        <v>277</v>
      </c>
      <c r="F3482" s="528"/>
      <c r="G3482" s="528" t="s">
        <v>205</v>
      </c>
      <c r="H3482"/>
    </row>
    <row r="3483" spans="1:8" x14ac:dyDescent="0.35">
      <c r="A3483" s="528" t="s">
        <v>10042</v>
      </c>
      <c r="B3483" s="528" t="s">
        <v>10043</v>
      </c>
      <c r="C3483" s="528" t="s">
        <v>10044</v>
      </c>
      <c r="D3483" s="528" t="s">
        <v>277</v>
      </c>
      <c r="E3483" s="528"/>
      <c r="F3483" s="528"/>
      <c r="G3483" s="528" t="s">
        <v>205</v>
      </c>
      <c r="H3483"/>
    </row>
    <row r="3484" spans="1:8" x14ac:dyDescent="0.35">
      <c r="A3484" s="528" t="s">
        <v>10045</v>
      </c>
      <c r="B3484" s="528" t="s">
        <v>10046</v>
      </c>
      <c r="C3484" s="528" t="s">
        <v>10047</v>
      </c>
      <c r="D3484" s="528" t="s">
        <v>277</v>
      </c>
      <c r="E3484" s="528"/>
      <c r="F3484" s="528"/>
      <c r="G3484" s="528" t="s">
        <v>205</v>
      </c>
      <c r="H3484"/>
    </row>
    <row r="3485" spans="1:8" x14ac:dyDescent="0.35">
      <c r="A3485" s="528" t="s">
        <v>10048</v>
      </c>
      <c r="B3485" s="528" t="s">
        <v>10049</v>
      </c>
      <c r="C3485" s="528" t="s">
        <v>10050</v>
      </c>
      <c r="D3485" s="528" t="s">
        <v>251</v>
      </c>
      <c r="E3485" s="528"/>
      <c r="F3485" s="528"/>
      <c r="G3485" s="528" t="s">
        <v>205</v>
      </c>
      <c r="H3485"/>
    </row>
    <row r="3486" spans="1:8" x14ac:dyDescent="0.35">
      <c r="A3486" s="528" t="s">
        <v>10051</v>
      </c>
      <c r="B3486" s="528" t="s">
        <v>10052</v>
      </c>
      <c r="C3486" s="528" t="s">
        <v>10053</v>
      </c>
      <c r="D3486" s="528" t="s">
        <v>251</v>
      </c>
      <c r="E3486" s="528"/>
      <c r="F3486" s="528"/>
      <c r="G3486" s="528" t="s">
        <v>205</v>
      </c>
      <c r="H3486"/>
    </row>
    <row r="3487" spans="1:8" x14ac:dyDescent="0.35">
      <c r="A3487" s="528" t="s">
        <v>10054</v>
      </c>
      <c r="B3487" s="528" t="s">
        <v>10055</v>
      </c>
      <c r="C3487" s="528" t="s">
        <v>10056</v>
      </c>
      <c r="D3487" s="528" t="s">
        <v>277</v>
      </c>
      <c r="E3487" s="528"/>
      <c r="F3487" s="528"/>
      <c r="G3487" s="528" t="s">
        <v>205</v>
      </c>
      <c r="H3487"/>
    </row>
    <row r="3488" spans="1:8" x14ac:dyDescent="0.35">
      <c r="A3488" s="528" t="s">
        <v>10057</v>
      </c>
      <c r="B3488" s="528" t="s">
        <v>10058</v>
      </c>
      <c r="C3488" s="528" t="s">
        <v>10059</v>
      </c>
      <c r="D3488" s="528" t="s">
        <v>264</v>
      </c>
      <c r="E3488" s="528"/>
      <c r="F3488" s="528"/>
      <c r="G3488" s="528" t="s">
        <v>205</v>
      </c>
      <c r="H3488"/>
    </row>
    <row r="3489" spans="1:8" x14ac:dyDescent="0.35">
      <c r="A3489" s="528" t="s">
        <v>10060</v>
      </c>
      <c r="B3489" s="528" t="s">
        <v>10061</v>
      </c>
      <c r="C3489" s="528" t="s">
        <v>10062</v>
      </c>
      <c r="D3489" s="528" t="s">
        <v>264</v>
      </c>
      <c r="E3489" s="528"/>
      <c r="F3489" s="528"/>
      <c r="G3489" s="528" t="s">
        <v>208</v>
      </c>
      <c r="H3489"/>
    </row>
    <row r="3490" spans="1:8" x14ac:dyDescent="0.35">
      <c r="A3490" s="528" t="s">
        <v>10063</v>
      </c>
      <c r="B3490" s="528" t="s">
        <v>10064</v>
      </c>
      <c r="C3490" s="528" t="s">
        <v>10065</v>
      </c>
      <c r="D3490" s="528" t="s">
        <v>264</v>
      </c>
      <c r="E3490" s="528"/>
      <c r="F3490" s="528"/>
      <c r="G3490" s="528" t="s">
        <v>205</v>
      </c>
      <c r="H3490"/>
    </row>
    <row r="3491" spans="1:8" x14ac:dyDescent="0.35">
      <c r="A3491" s="528" t="s">
        <v>10066</v>
      </c>
      <c r="B3491" s="528" t="s">
        <v>10067</v>
      </c>
      <c r="C3491" s="528" t="s">
        <v>10068</v>
      </c>
      <c r="D3491" s="528" t="s">
        <v>264</v>
      </c>
      <c r="E3491" s="528"/>
      <c r="F3491" s="528"/>
      <c r="G3491" s="528" t="s">
        <v>208</v>
      </c>
      <c r="H3491"/>
    </row>
    <row r="3492" spans="1:8" x14ac:dyDescent="0.35">
      <c r="A3492" s="528" t="s">
        <v>10069</v>
      </c>
      <c r="B3492" s="528" t="s">
        <v>10070</v>
      </c>
      <c r="C3492" s="528" t="s">
        <v>1948</v>
      </c>
      <c r="D3492" s="528" t="s">
        <v>238</v>
      </c>
      <c r="E3492" s="528"/>
      <c r="F3492" s="528"/>
      <c r="G3492" s="528" t="s">
        <v>205</v>
      </c>
      <c r="H3492"/>
    </row>
    <row r="3493" spans="1:8" x14ac:dyDescent="0.35">
      <c r="A3493" s="528" t="s">
        <v>10071</v>
      </c>
      <c r="B3493" s="528" t="s">
        <v>10072</v>
      </c>
      <c r="C3493" s="528" t="s">
        <v>3203</v>
      </c>
      <c r="D3493" s="528" t="s">
        <v>238</v>
      </c>
      <c r="E3493" s="528"/>
      <c r="F3493" s="528"/>
      <c r="G3493" s="528" t="s">
        <v>208</v>
      </c>
      <c r="H3493"/>
    </row>
    <row r="3494" spans="1:8" x14ac:dyDescent="0.35">
      <c r="A3494" s="528" t="s">
        <v>10073</v>
      </c>
      <c r="B3494" s="528" t="s">
        <v>10074</v>
      </c>
      <c r="C3494" s="528" t="s">
        <v>2652</v>
      </c>
      <c r="D3494" s="528" t="s">
        <v>251</v>
      </c>
      <c r="E3494" s="528"/>
      <c r="F3494" s="528"/>
      <c r="G3494" s="528" t="s">
        <v>205</v>
      </c>
      <c r="H3494"/>
    </row>
    <row r="3495" spans="1:8" x14ac:dyDescent="0.35">
      <c r="A3495" s="528" t="s">
        <v>10075</v>
      </c>
      <c r="B3495" s="528" t="s">
        <v>10076</v>
      </c>
      <c r="C3495" s="528" t="s">
        <v>10077</v>
      </c>
      <c r="D3495" s="528" t="s">
        <v>238</v>
      </c>
      <c r="E3495" s="528"/>
      <c r="F3495" s="528"/>
      <c r="G3495" s="528" t="s">
        <v>205</v>
      </c>
      <c r="H3495"/>
    </row>
    <row r="3496" spans="1:8" x14ac:dyDescent="0.35">
      <c r="A3496" s="528" t="s">
        <v>10078</v>
      </c>
      <c r="B3496" s="528" t="s">
        <v>10079</v>
      </c>
      <c r="C3496" s="528" t="s">
        <v>8449</v>
      </c>
      <c r="D3496" s="528" t="s">
        <v>251</v>
      </c>
      <c r="E3496" s="528"/>
      <c r="F3496" s="528"/>
      <c r="G3496" s="528" t="s">
        <v>208</v>
      </c>
      <c r="H3496"/>
    </row>
    <row r="3497" spans="1:8" x14ac:dyDescent="0.35">
      <c r="A3497" s="528" t="s">
        <v>10080</v>
      </c>
      <c r="B3497" s="528" t="s">
        <v>10081</v>
      </c>
      <c r="C3497" s="528" t="s">
        <v>10082</v>
      </c>
      <c r="D3497" s="528" t="s">
        <v>251</v>
      </c>
      <c r="E3497" s="528"/>
      <c r="F3497" s="528"/>
      <c r="G3497" s="528" t="s">
        <v>208</v>
      </c>
      <c r="H3497"/>
    </row>
    <row r="3498" spans="1:8" x14ac:dyDescent="0.35">
      <c r="A3498" s="528" t="s">
        <v>10083</v>
      </c>
      <c r="B3498" s="528" t="s">
        <v>10084</v>
      </c>
      <c r="C3498" s="528" t="s">
        <v>10085</v>
      </c>
      <c r="D3498" s="528" t="s">
        <v>251</v>
      </c>
      <c r="E3498" s="528"/>
      <c r="F3498" s="528"/>
      <c r="G3498" s="528" t="s">
        <v>208</v>
      </c>
      <c r="H3498"/>
    </row>
    <row r="3499" spans="1:8" x14ac:dyDescent="0.35">
      <c r="A3499" s="528" t="s">
        <v>10086</v>
      </c>
      <c r="B3499" s="528" t="s">
        <v>10087</v>
      </c>
      <c r="C3499" s="528" t="s">
        <v>5442</v>
      </c>
      <c r="D3499" s="528" t="s">
        <v>251</v>
      </c>
      <c r="E3499" s="528"/>
      <c r="F3499" s="528"/>
      <c r="G3499" s="528" t="s">
        <v>212</v>
      </c>
      <c r="H3499"/>
    </row>
    <row r="3500" spans="1:8" x14ac:dyDescent="0.35">
      <c r="A3500" s="528" t="s">
        <v>10088</v>
      </c>
      <c r="B3500" s="528" t="s">
        <v>10089</v>
      </c>
      <c r="C3500" s="528" t="s">
        <v>10090</v>
      </c>
      <c r="D3500" s="528" t="s">
        <v>238</v>
      </c>
      <c r="E3500" s="528"/>
      <c r="F3500" s="528"/>
      <c r="G3500" s="528" t="s">
        <v>208</v>
      </c>
      <c r="H3500"/>
    </row>
    <row r="3501" spans="1:8" x14ac:dyDescent="0.35">
      <c r="A3501" s="528" t="s">
        <v>10091</v>
      </c>
      <c r="B3501" s="528" t="s">
        <v>10092</v>
      </c>
      <c r="C3501" s="528" t="s">
        <v>10093</v>
      </c>
      <c r="D3501" s="528" t="s">
        <v>264</v>
      </c>
      <c r="E3501" s="528"/>
      <c r="F3501" s="528"/>
      <c r="G3501" s="528" t="s">
        <v>205</v>
      </c>
      <c r="H3501"/>
    </row>
    <row r="3502" spans="1:8" x14ac:dyDescent="0.35">
      <c r="A3502" s="528" t="s">
        <v>10094</v>
      </c>
      <c r="B3502" s="528" t="s">
        <v>10095</v>
      </c>
      <c r="C3502" s="528" t="s">
        <v>10096</v>
      </c>
      <c r="D3502" s="528" t="s">
        <v>264</v>
      </c>
      <c r="E3502" s="528"/>
      <c r="F3502" s="528"/>
      <c r="G3502" s="528" t="s">
        <v>210</v>
      </c>
      <c r="H3502"/>
    </row>
    <row r="3503" spans="1:8" x14ac:dyDescent="0.35">
      <c r="A3503" s="528" t="s">
        <v>10097</v>
      </c>
      <c r="B3503" s="528" t="s">
        <v>10098</v>
      </c>
      <c r="C3503" s="528" t="s">
        <v>10099</v>
      </c>
      <c r="D3503" s="528" t="s">
        <v>277</v>
      </c>
      <c r="E3503" s="528"/>
      <c r="F3503" s="528"/>
      <c r="G3503" s="528" t="s">
        <v>208</v>
      </c>
      <c r="H3503"/>
    </row>
    <row r="3504" spans="1:8" x14ac:dyDescent="0.35">
      <c r="A3504" s="528" t="s">
        <v>10100</v>
      </c>
      <c r="B3504" s="528" t="s">
        <v>10101</v>
      </c>
      <c r="C3504" s="528" t="s">
        <v>10102</v>
      </c>
      <c r="D3504" s="528" t="s">
        <v>238</v>
      </c>
      <c r="E3504" s="528"/>
      <c r="F3504" s="528"/>
      <c r="G3504" s="528" t="s">
        <v>208</v>
      </c>
      <c r="H3504"/>
    </row>
    <row r="3505" spans="1:8" x14ac:dyDescent="0.35">
      <c r="A3505" s="528" t="s">
        <v>10103</v>
      </c>
      <c r="B3505" s="528" t="s">
        <v>10104</v>
      </c>
      <c r="C3505" s="528" t="s">
        <v>10105</v>
      </c>
      <c r="D3505" s="528" t="s">
        <v>238</v>
      </c>
      <c r="E3505" s="528"/>
      <c r="F3505" s="528"/>
      <c r="G3505" s="528" t="s">
        <v>208</v>
      </c>
      <c r="H3505"/>
    </row>
    <row r="3506" spans="1:8" x14ac:dyDescent="0.35">
      <c r="A3506" s="528" t="s">
        <v>10106</v>
      </c>
      <c r="B3506" s="528" t="s">
        <v>10107</v>
      </c>
      <c r="C3506" s="528" t="s">
        <v>10108</v>
      </c>
      <c r="D3506" s="528" t="s">
        <v>238</v>
      </c>
      <c r="E3506" s="528"/>
      <c r="F3506" s="528"/>
      <c r="G3506" s="528" t="s">
        <v>208</v>
      </c>
      <c r="H3506"/>
    </row>
    <row r="3507" spans="1:8" x14ac:dyDescent="0.35">
      <c r="A3507" s="528" t="s">
        <v>10109</v>
      </c>
      <c r="B3507" s="528" t="s">
        <v>10110</v>
      </c>
      <c r="C3507" s="528" t="s">
        <v>5253</v>
      </c>
      <c r="D3507" s="528" t="s">
        <v>238</v>
      </c>
      <c r="E3507" s="528"/>
      <c r="F3507" s="528"/>
      <c r="G3507" s="528" t="s">
        <v>208</v>
      </c>
      <c r="H3507"/>
    </row>
    <row r="3508" spans="1:8" x14ac:dyDescent="0.35">
      <c r="A3508" s="528" t="s">
        <v>10111</v>
      </c>
      <c r="B3508" s="528" t="s">
        <v>10112</v>
      </c>
      <c r="C3508" s="528" t="s">
        <v>10113</v>
      </c>
      <c r="D3508" s="528" t="s">
        <v>238</v>
      </c>
      <c r="E3508" s="528"/>
      <c r="F3508" s="528"/>
      <c r="G3508" s="528" t="s">
        <v>208</v>
      </c>
      <c r="H3508"/>
    </row>
    <row r="3509" spans="1:8" x14ac:dyDescent="0.35">
      <c r="A3509" s="528" t="s">
        <v>10114</v>
      </c>
      <c r="B3509" s="528" t="s">
        <v>10115</v>
      </c>
      <c r="C3509" s="528" t="s">
        <v>5133</v>
      </c>
      <c r="D3509" s="528" t="s">
        <v>238</v>
      </c>
      <c r="E3509" s="528"/>
      <c r="F3509" s="528"/>
      <c r="G3509" s="528" t="s">
        <v>208</v>
      </c>
      <c r="H3509"/>
    </row>
    <row r="3510" spans="1:8" x14ac:dyDescent="0.35">
      <c r="A3510" s="528" t="s">
        <v>10116</v>
      </c>
      <c r="B3510" s="528" t="s">
        <v>10117</v>
      </c>
      <c r="C3510" s="528" t="s">
        <v>10118</v>
      </c>
      <c r="D3510" s="528" t="s">
        <v>238</v>
      </c>
      <c r="E3510" s="528"/>
      <c r="F3510" s="528"/>
      <c r="G3510" s="528" t="s">
        <v>208</v>
      </c>
      <c r="H3510"/>
    </row>
    <row r="3511" spans="1:8" x14ac:dyDescent="0.35">
      <c r="A3511" s="528" t="s">
        <v>10119</v>
      </c>
      <c r="B3511" s="528" t="s">
        <v>10120</v>
      </c>
      <c r="C3511" s="528" t="s">
        <v>10121</v>
      </c>
      <c r="D3511" s="528" t="s">
        <v>251</v>
      </c>
      <c r="E3511" s="528" t="s">
        <v>225</v>
      </c>
      <c r="F3511" s="528"/>
      <c r="G3511" s="528" t="s">
        <v>205</v>
      </c>
      <c r="H3511"/>
    </row>
    <row r="3512" spans="1:8" x14ac:dyDescent="0.35">
      <c r="A3512" s="528" t="s">
        <v>10122</v>
      </c>
      <c r="B3512" s="528" t="s">
        <v>10123</v>
      </c>
      <c r="C3512" s="528" t="s">
        <v>10124</v>
      </c>
      <c r="D3512" s="528" t="s">
        <v>251</v>
      </c>
      <c r="E3512" s="528"/>
      <c r="F3512" s="528"/>
      <c r="G3512" s="528" t="s">
        <v>205</v>
      </c>
      <c r="H3512"/>
    </row>
    <row r="3513" spans="1:8" x14ac:dyDescent="0.35">
      <c r="A3513" s="528" t="s">
        <v>10125</v>
      </c>
      <c r="B3513" s="528" t="s">
        <v>10126</v>
      </c>
      <c r="C3513" s="528" t="s">
        <v>10127</v>
      </c>
      <c r="D3513" s="528" t="s">
        <v>251</v>
      </c>
      <c r="E3513" s="528" t="s">
        <v>277</v>
      </c>
      <c r="F3513" s="528"/>
      <c r="G3513" s="528" t="s">
        <v>205</v>
      </c>
      <c r="H3513"/>
    </row>
    <row r="3514" spans="1:8" x14ac:dyDescent="0.35">
      <c r="A3514" s="528" t="s">
        <v>10128</v>
      </c>
      <c r="B3514" s="528" t="s">
        <v>10129</v>
      </c>
      <c r="C3514" s="528" t="s">
        <v>10130</v>
      </c>
      <c r="D3514" s="528" t="s">
        <v>251</v>
      </c>
      <c r="E3514" s="528"/>
      <c r="F3514" s="528"/>
      <c r="G3514" s="528" t="s">
        <v>205</v>
      </c>
      <c r="H3514"/>
    </row>
    <row r="3515" spans="1:8" x14ac:dyDescent="0.35">
      <c r="A3515" s="528" t="s">
        <v>10131</v>
      </c>
      <c r="B3515" s="528" t="s">
        <v>10132</v>
      </c>
      <c r="C3515" s="528" t="s">
        <v>3033</v>
      </c>
      <c r="D3515" s="528" t="s">
        <v>238</v>
      </c>
      <c r="E3515" s="528"/>
      <c r="F3515" s="528"/>
      <c r="G3515" s="528" t="s">
        <v>205</v>
      </c>
      <c r="H3515"/>
    </row>
    <row r="3516" spans="1:8" x14ac:dyDescent="0.35">
      <c r="A3516" s="528" t="s">
        <v>10133</v>
      </c>
      <c r="B3516" s="528" t="s">
        <v>10134</v>
      </c>
      <c r="C3516" s="528" t="s">
        <v>1536</v>
      </c>
      <c r="D3516" s="528" t="s">
        <v>277</v>
      </c>
      <c r="E3516" s="528"/>
      <c r="F3516" s="528"/>
      <c r="G3516" s="528" t="s">
        <v>208</v>
      </c>
      <c r="H3516"/>
    </row>
    <row r="3517" spans="1:8" x14ac:dyDescent="0.35">
      <c r="A3517" s="528" t="s">
        <v>10135</v>
      </c>
      <c r="B3517" s="528" t="s">
        <v>10136</v>
      </c>
      <c r="C3517" s="528" t="s">
        <v>10137</v>
      </c>
      <c r="D3517" s="528" t="s">
        <v>238</v>
      </c>
      <c r="E3517" s="528"/>
      <c r="F3517" s="528"/>
      <c r="G3517" s="528" t="s">
        <v>205</v>
      </c>
      <c r="H3517"/>
    </row>
    <row r="3518" spans="1:8" x14ac:dyDescent="0.35">
      <c r="A3518" s="528" t="s">
        <v>10138</v>
      </c>
      <c r="B3518" s="528" t="s">
        <v>10139</v>
      </c>
      <c r="C3518" s="528" t="s">
        <v>10140</v>
      </c>
      <c r="D3518" s="528" t="s">
        <v>238</v>
      </c>
      <c r="E3518" s="528"/>
      <c r="F3518" s="528"/>
      <c r="G3518" s="528" t="s">
        <v>205</v>
      </c>
      <c r="H3518"/>
    </row>
    <row r="3519" spans="1:8" x14ac:dyDescent="0.35">
      <c r="A3519" s="528" t="s">
        <v>10141</v>
      </c>
      <c r="B3519" s="528" t="s">
        <v>10142</v>
      </c>
      <c r="C3519" s="528" t="s">
        <v>10143</v>
      </c>
      <c r="D3519" s="528" t="s">
        <v>238</v>
      </c>
      <c r="E3519" s="528"/>
      <c r="F3519" s="528"/>
      <c r="G3519" s="528" t="s">
        <v>205</v>
      </c>
      <c r="H3519"/>
    </row>
    <row r="3520" spans="1:8" x14ac:dyDescent="0.35">
      <c r="A3520" s="528" t="s">
        <v>10144</v>
      </c>
      <c r="B3520" s="528" t="s">
        <v>10145</v>
      </c>
      <c r="C3520" s="528" t="s">
        <v>3856</v>
      </c>
      <c r="D3520" s="528" t="s">
        <v>264</v>
      </c>
      <c r="E3520" s="528"/>
      <c r="F3520" s="528"/>
      <c r="G3520" s="528" t="s">
        <v>205</v>
      </c>
      <c r="H3520"/>
    </row>
    <row r="3521" spans="1:8" x14ac:dyDescent="0.35">
      <c r="A3521" s="528" t="s">
        <v>10146</v>
      </c>
      <c r="B3521" s="528" t="s">
        <v>10147</v>
      </c>
      <c r="C3521" s="528" t="s">
        <v>4701</v>
      </c>
      <c r="D3521" s="528" t="s">
        <v>264</v>
      </c>
      <c r="E3521" s="528"/>
      <c r="F3521" s="528"/>
      <c r="G3521" s="528" t="s">
        <v>208</v>
      </c>
      <c r="H3521"/>
    </row>
    <row r="3522" spans="1:8" x14ac:dyDescent="0.35">
      <c r="A3522" s="528" t="s">
        <v>10148</v>
      </c>
      <c r="B3522" s="528" t="s">
        <v>10149</v>
      </c>
      <c r="C3522" s="528" t="s">
        <v>10150</v>
      </c>
      <c r="D3522" s="528" t="s">
        <v>264</v>
      </c>
      <c r="E3522" s="528"/>
      <c r="F3522" s="528"/>
      <c r="G3522" s="528" t="s">
        <v>208</v>
      </c>
      <c r="H3522"/>
    </row>
    <row r="3523" spans="1:8" x14ac:dyDescent="0.35">
      <c r="A3523" s="528" t="s">
        <v>10151</v>
      </c>
      <c r="B3523" s="528" t="s">
        <v>10152</v>
      </c>
      <c r="C3523" s="528" t="s">
        <v>10153</v>
      </c>
      <c r="D3523" s="528" t="s">
        <v>264</v>
      </c>
      <c r="E3523" s="528"/>
      <c r="F3523" s="528"/>
      <c r="G3523" s="528" t="s">
        <v>205</v>
      </c>
      <c r="H3523"/>
    </row>
    <row r="3524" spans="1:8" x14ac:dyDescent="0.35">
      <c r="A3524" s="528" t="s">
        <v>10154</v>
      </c>
      <c r="B3524" s="528" t="s">
        <v>10155</v>
      </c>
      <c r="C3524" s="528" t="s">
        <v>10156</v>
      </c>
      <c r="D3524" s="528" t="s">
        <v>277</v>
      </c>
      <c r="E3524" s="528"/>
      <c r="F3524" s="528"/>
      <c r="G3524" s="528" t="s">
        <v>208</v>
      </c>
      <c r="H3524"/>
    </row>
    <row r="3525" spans="1:8" x14ac:dyDescent="0.35">
      <c r="A3525" s="528" t="s">
        <v>10157</v>
      </c>
      <c r="B3525" s="528" t="s">
        <v>10158</v>
      </c>
      <c r="C3525" s="528" t="s">
        <v>10159</v>
      </c>
      <c r="D3525" s="528" t="s">
        <v>277</v>
      </c>
      <c r="E3525" s="528"/>
      <c r="F3525" s="528"/>
      <c r="G3525" s="528" t="s">
        <v>208</v>
      </c>
      <c r="H3525"/>
    </row>
    <row r="3526" spans="1:8" x14ac:dyDescent="0.35">
      <c r="A3526" s="528" t="s">
        <v>10160</v>
      </c>
      <c r="B3526" s="528" t="s">
        <v>10161</v>
      </c>
      <c r="C3526" s="528" t="s">
        <v>10162</v>
      </c>
      <c r="D3526" s="528" t="s">
        <v>238</v>
      </c>
      <c r="E3526" s="528"/>
      <c r="F3526" s="528"/>
      <c r="G3526" s="528" t="s">
        <v>208</v>
      </c>
      <c r="H3526"/>
    </row>
    <row r="3527" spans="1:8" x14ac:dyDescent="0.35">
      <c r="A3527" s="528" t="s">
        <v>10163</v>
      </c>
      <c r="B3527" s="528" t="s">
        <v>10164</v>
      </c>
      <c r="C3527" s="528" t="s">
        <v>8271</v>
      </c>
      <c r="D3527" s="528" t="s">
        <v>264</v>
      </c>
      <c r="E3527" s="528" t="s">
        <v>277</v>
      </c>
      <c r="F3527" s="528"/>
      <c r="G3527" s="528" t="s">
        <v>208</v>
      </c>
      <c r="H3527"/>
    </row>
    <row r="3528" spans="1:8" x14ac:dyDescent="0.35">
      <c r="A3528" s="528" t="s">
        <v>10165</v>
      </c>
      <c r="B3528" s="528" t="s">
        <v>10166</v>
      </c>
      <c r="C3528" s="528" t="s">
        <v>10167</v>
      </c>
      <c r="D3528" s="528" t="s">
        <v>277</v>
      </c>
      <c r="E3528" s="528" t="s">
        <v>264</v>
      </c>
      <c r="F3528" s="528"/>
      <c r="G3528" s="528" t="s">
        <v>208</v>
      </c>
      <c r="H3528"/>
    </row>
    <row r="3529" spans="1:8" x14ac:dyDescent="0.35">
      <c r="A3529" s="528" t="s">
        <v>10168</v>
      </c>
      <c r="B3529" s="528" t="s">
        <v>10169</v>
      </c>
      <c r="C3529" s="528" t="s">
        <v>10170</v>
      </c>
      <c r="D3529" s="528" t="s">
        <v>277</v>
      </c>
      <c r="E3529" s="528"/>
      <c r="F3529" s="528"/>
      <c r="G3529" s="528" t="s">
        <v>208</v>
      </c>
      <c r="H3529"/>
    </row>
    <row r="3530" spans="1:8" x14ac:dyDescent="0.35">
      <c r="A3530" s="528" t="s">
        <v>10171</v>
      </c>
      <c r="B3530" s="528" t="s">
        <v>10172</v>
      </c>
      <c r="C3530" s="528" t="s">
        <v>6220</v>
      </c>
      <c r="D3530" s="528" t="s">
        <v>277</v>
      </c>
      <c r="E3530" s="528"/>
      <c r="F3530" s="528"/>
      <c r="G3530" s="528" t="s">
        <v>208</v>
      </c>
      <c r="H3530"/>
    </row>
    <row r="3531" spans="1:8" x14ac:dyDescent="0.35">
      <c r="A3531" s="528" t="s">
        <v>10173</v>
      </c>
      <c r="B3531" s="528" t="s">
        <v>10174</v>
      </c>
      <c r="C3531" s="528" t="s">
        <v>10175</v>
      </c>
      <c r="D3531" s="528" t="s">
        <v>277</v>
      </c>
      <c r="E3531" s="528"/>
      <c r="F3531" s="528"/>
      <c r="G3531" s="528" t="s">
        <v>208</v>
      </c>
      <c r="H3531"/>
    </row>
    <row r="3532" spans="1:8" x14ac:dyDescent="0.35">
      <c r="A3532" s="528" t="s">
        <v>10176</v>
      </c>
      <c r="B3532" s="528" t="s">
        <v>10177</v>
      </c>
      <c r="C3532" s="528" t="s">
        <v>1317</v>
      </c>
      <c r="D3532" s="528" t="s">
        <v>277</v>
      </c>
      <c r="E3532" s="528"/>
      <c r="F3532" s="528"/>
      <c r="G3532" s="528" t="s">
        <v>205</v>
      </c>
      <c r="H3532"/>
    </row>
    <row r="3533" spans="1:8" x14ac:dyDescent="0.35">
      <c r="A3533" s="528" t="s">
        <v>10178</v>
      </c>
      <c r="B3533" s="528" t="s">
        <v>10179</v>
      </c>
      <c r="C3533" s="528" t="s">
        <v>10180</v>
      </c>
      <c r="D3533" s="528" t="s">
        <v>238</v>
      </c>
      <c r="E3533" s="528" t="s">
        <v>225</v>
      </c>
      <c r="F3533" s="528"/>
      <c r="G3533" s="528" t="s">
        <v>205</v>
      </c>
      <c r="H3533"/>
    </row>
    <row r="3534" spans="1:8" x14ac:dyDescent="0.35">
      <c r="A3534" s="528" t="s">
        <v>10181</v>
      </c>
      <c r="B3534" s="528" t="s">
        <v>10182</v>
      </c>
      <c r="C3534" s="528" t="s">
        <v>5002</v>
      </c>
      <c r="D3534" s="528" t="s">
        <v>277</v>
      </c>
      <c r="E3534" s="528"/>
      <c r="F3534" s="528"/>
      <c r="G3534" s="528" t="s">
        <v>205</v>
      </c>
      <c r="H3534"/>
    </row>
    <row r="3535" spans="1:8" x14ac:dyDescent="0.35">
      <c r="A3535" s="528" t="s">
        <v>10183</v>
      </c>
      <c r="B3535" s="528" t="s">
        <v>10184</v>
      </c>
      <c r="C3535" s="528" t="s">
        <v>10185</v>
      </c>
      <c r="D3535" s="528" t="s">
        <v>251</v>
      </c>
      <c r="E3535" s="528"/>
      <c r="F3535" s="528"/>
      <c r="G3535" s="528" t="s">
        <v>208</v>
      </c>
      <c r="H3535"/>
    </row>
    <row r="3536" spans="1:8" x14ac:dyDescent="0.35">
      <c r="A3536" s="528" t="s">
        <v>10186</v>
      </c>
      <c r="B3536" s="528" t="s">
        <v>10187</v>
      </c>
      <c r="C3536" s="528" t="s">
        <v>2368</v>
      </c>
      <c r="D3536" s="528" t="s">
        <v>238</v>
      </c>
      <c r="E3536" s="528"/>
      <c r="F3536" s="528"/>
      <c r="G3536" s="528" t="s">
        <v>205</v>
      </c>
      <c r="H3536"/>
    </row>
    <row r="3537" spans="1:8" x14ac:dyDescent="0.35">
      <c r="A3537" s="528" t="s">
        <v>10188</v>
      </c>
      <c r="B3537" s="528" t="s">
        <v>10189</v>
      </c>
      <c r="C3537" s="528" t="s">
        <v>10190</v>
      </c>
      <c r="D3537" s="528" t="s">
        <v>251</v>
      </c>
      <c r="E3537" s="528"/>
      <c r="F3537" s="528"/>
      <c r="G3537" s="528" t="s">
        <v>208</v>
      </c>
      <c r="H3537"/>
    </row>
    <row r="3538" spans="1:8" x14ac:dyDescent="0.35">
      <c r="A3538" s="528" t="s">
        <v>10191</v>
      </c>
      <c r="B3538" s="528" t="s">
        <v>10192</v>
      </c>
      <c r="C3538" s="528" t="s">
        <v>10193</v>
      </c>
      <c r="D3538" s="528" t="s">
        <v>251</v>
      </c>
      <c r="E3538" s="528"/>
      <c r="F3538" s="528"/>
      <c r="G3538" s="528" t="s">
        <v>208</v>
      </c>
      <c r="H3538"/>
    </row>
    <row r="3539" spans="1:8" x14ac:dyDescent="0.35">
      <c r="A3539" s="528" t="s">
        <v>10194</v>
      </c>
      <c r="B3539" s="528" t="s">
        <v>10195</v>
      </c>
      <c r="C3539" s="528" t="s">
        <v>751</v>
      </c>
      <c r="D3539" s="528" t="s">
        <v>251</v>
      </c>
      <c r="E3539" s="528"/>
      <c r="F3539" s="528"/>
      <c r="G3539" s="528" t="s">
        <v>208</v>
      </c>
      <c r="H3539"/>
    </row>
    <row r="3540" spans="1:8" x14ac:dyDescent="0.35">
      <c r="A3540" s="528" t="s">
        <v>10196</v>
      </c>
      <c r="B3540" s="528" t="s">
        <v>10197</v>
      </c>
      <c r="C3540" s="528" t="s">
        <v>6635</v>
      </c>
      <c r="D3540" s="528" t="s">
        <v>277</v>
      </c>
      <c r="E3540" s="528"/>
      <c r="F3540" s="528"/>
      <c r="G3540" s="528" t="s">
        <v>205</v>
      </c>
      <c r="H3540"/>
    </row>
    <row r="3541" spans="1:8" x14ac:dyDescent="0.35">
      <c r="A3541" s="528" t="s">
        <v>10198</v>
      </c>
      <c r="B3541" s="528" t="s">
        <v>10199</v>
      </c>
      <c r="C3541" s="528" t="s">
        <v>10200</v>
      </c>
      <c r="D3541" s="528" t="s">
        <v>251</v>
      </c>
      <c r="E3541" s="528"/>
      <c r="F3541" s="528"/>
      <c r="G3541" s="528" t="s">
        <v>205</v>
      </c>
      <c r="H3541"/>
    </row>
    <row r="3542" spans="1:8" x14ac:dyDescent="0.35">
      <c r="A3542" s="528" t="s">
        <v>10201</v>
      </c>
      <c r="B3542" s="528" t="s">
        <v>10202</v>
      </c>
      <c r="C3542" s="528" t="s">
        <v>10203</v>
      </c>
      <c r="D3542" s="528" t="s">
        <v>264</v>
      </c>
      <c r="E3542" s="528"/>
      <c r="F3542" s="528"/>
      <c r="G3542" s="528" t="s">
        <v>205</v>
      </c>
      <c r="H3542"/>
    </row>
    <row r="3543" spans="1:8" x14ac:dyDescent="0.35">
      <c r="A3543" s="528" t="s">
        <v>10204</v>
      </c>
      <c r="B3543" s="528" t="s">
        <v>10205</v>
      </c>
      <c r="C3543" s="528" t="s">
        <v>7724</v>
      </c>
      <c r="D3543" s="528" t="s">
        <v>238</v>
      </c>
      <c r="E3543" s="528"/>
      <c r="F3543" s="528"/>
      <c r="G3543" s="528" t="s">
        <v>205</v>
      </c>
      <c r="H3543"/>
    </row>
    <row r="3544" spans="1:8" x14ac:dyDescent="0.35">
      <c r="A3544" s="528" t="s">
        <v>10206</v>
      </c>
      <c r="B3544" s="528" t="s">
        <v>10207</v>
      </c>
      <c r="C3544" s="528" t="s">
        <v>10208</v>
      </c>
      <c r="D3544" s="528" t="s">
        <v>277</v>
      </c>
      <c r="E3544" s="528"/>
      <c r="F3544" s="528"/>
      <c r="G3544" s="528" t="s">
        <v>205</v>
      </c>
      <c r="H3544"/>
    </row>
    <row r="3545" spans="1:8" x14ac:dyDescent="0.35">
      <c r="A3545" s="528" t="s">
        <v>10209</v>
      </c>
      <c r="B3545" s="528" t="s">
        <v>10210</v>
      </c>
      <c r="C3545" s="528" t="s">
        <v>10211</v>
      </c>
      <c r="D3545" s="528" t="s">
        <v>264</v>
      </c>
      <c r="E3545" s="528"/>
      <c r="F3545" s="528"/>
      <c r="G3545" s="528" t="s">
        <v>208</v>
      </c>
      <c r="H3545"/>
    </row>
    <row r="3546" spans="1:8" x14ac:dyDescent="0.35">
      <c r="A3546" s="528" t="s">
        <v>10212</v>
      </c>
      <c r="B3546" s="528" t="s">
        <v>10213</v>
      </c>
      <c r="C3546" s="528" t="s">
        <v>10214</v>
      </c>
      <c r="D3546" s="528" t="s">
        <v>264</v>
      </c>
      <c r="E3546" s="528"/>
      <c r="F3546" s="528"/>
      <c r="G3546" s="528" t="s">
        <v>208</v>
      </c>
      <c r="H3546"/>
    </row>
    <row r="3547" spans="1:8" x14ac:dyDescent="0.35">
      <c r="A3547" s="528" t="s">
        <v>10215</v>
      </c>
      <c r="B3547" s="528" t="s">
        <v>10216</v>
      </c>
      <c r="C3547" s="528" t="s">
        <v>10217</v>
      </c>
      <c r="D3547" s="528" t="s">
        <v>264</v>
      </c>
      <c r="E3547" s="528"/>
      <c r="F3547" s="528"/>
      <c r="G3547" s="528" t="s">
        <v>205</v>
      </c>
      <c r="H3547"/>
    </row>
    <row r="3548" spans="1:8" x14ac:dyDescent="0.35">
      <c r="A3548" s="528" t="s">
        <v>10218</v>
      </c>
      <c r="B3548" s="528" t="s">
        <v>10219</v>
      </c>
      <c r="C3548" s="528" t="s">
        <v>10220</v>
      </c>
      <c r="D3548" s="528" t="s">
        <v>264</v>
      </c>
      <c r="E3548" s="528"/>
      <c r="F3548" s="528"/>
      <c r="G3548" s="528" t="s">
        <v>205</v>
      </c>
      <c r="H3548"/>
    </row>
    <row r="3549" spans="1:8" x14ac:dyDescent="0.35">
      <c r="A3549" s="528" t="s">
        <v>10221</v>
      </c>
      <c r="B3549" s="528" t="s">
        <v>10222</v>
      </c>
      <c r="C3549" s="528" t="s">
        <v>1317</v>
      </c>
      <c r="D3549" s="528" t="s">
        <v>277</v>
      </c>
      <c r="E3549" s="528"/>
      <c r="F3549" s="528"/>
      <c r="G3549" s="528" t="s">
        <v>205</v>
      </c>
      <c r="H3549"/>
    </row>
    <row r="3550" spans="1:8" x14ac:dyDescent="0.35">
      <c r="A3550" s="528" t="s">
        <v>10223</v>
      </c>
      <c r="B3550" s="528" t="s">
        <v>10224</v>
      </c>
      <c r="C3550" s="528" t="s">
        <v>10225</v>
      </c>
      <c r="D3550" s="528" t="s">
        <v>277</v>
      </c>
      <c r="E3550" s="528"/>
      <c r="F3550" s="528"/>
      <c r="G3550" s="528" t="s">
        <v>208</v>
      </c>
      <c r="H3550"/>
    </row>
    <row r="3551" spans="1:8" x14ac:dyDescent="0.35">
      <c r="A3551" s="528" t="s">
        <v>10226</v>
      </c>
      <c r="B3551" s="528" t="s">
        <v>10227</v>
      </c>
      <c r="C3551" s="528" t="s">
        <v>1371</v>
      </c>
      <c r="D3551" s="528" t="s">
        <v>238</v>
      </c>
      <c r="E3551" s="528"/>
      <c r="F3551" s="528"/>
      <c r="G3551" s="528" t="s">
        <v>205</v>
      </c>
      <c r="H3551"/>
    </row>
    <row r="3552" spans="1:8" x14ac:dyDescent="0.35">
      <c r="A3552" s="528" t="s">
        <v>10228</v>
      </c>
      <c r="B3552" s="528" t="s">
        <v>10229</v>
      </c>
      <c r="C3552" s="528" t="s">
        <v>10230</v>
      </c>
      <c r="D3552" s="528" t="s">
        <v>238</v>
      </c>
      <c r="E3552" s="528"/>
      <c r="F3552" s="528"/>
      <c r="G3552" s="528" t="s">
        <v>208</v>
      </c>
      <c r="H3552"/>
    </row>
    <row r="3553" spans="1:8" x14ac:dyDescent="0.35">
      <c r="A3553" s="528" t="s">
        <v>10231</v>
      </c>
      <c r="B3553" s="528" t="s">
        <v>10232</v>
      </c>
      <c r="C3553" s="528" t="s">
        <v>10233</v>
      </c>
      <c r="D3553" s="528" t="s">
        <v>277</v>
      </c>
      <c r="E3553" s="528"/>
      <c r="F3553" s="528"/>
      <c r="G3553" s="528" t="s">
        <v>205</v>
      </c>
      <c r="H3553"/>
    </row>
    <row r="3554" spans="1:8" x14ac:dyDescent="0.35">
      <c r="A3554" s="528" t="s">
        <v>10234</v>
      </c>
      <c r="B3554" s="528" t="s">
        <v>10235</v>
      </c>
      <c r="C3554" s="528" t="s">
        <v>10236</v>
      </c>
      <c r="D3554" s="528" t="s">
        <v>277</v>
      </c>
      <c r="E3554" s="528"/>
      <c r="F3554" s="528"/>
      <c r="G3554" s="528" t="s">
        <v>208</v>
      </c>
      <c r="H3554"/>
    </row>
    <row r="3555" spans="1:8" x14ac:dyDescent="0.35">
      <c r="A3555" s="528" t="s">
        <v>10237</v>
      </c>
      <c r="B3555" s="528" t="s">
        <v>10238</v>
      </c>
      <c r="C3555" s="528" t="s">
        <v>1533</v>
      </c>
      <c r="D3555" s="528" t="s">
        <v>277</v>
      </c>
      <c r="E3555" s="528"/>
      <c r="F3555" s="528"/>
      <c r="G3555" s="528" t="s">
        <v>205</v>
      </c>
      <c r="H3555"/>
    </row>
    <row r="3556" spans="1:8" x14ac:dyDescent="0.35">
      <c r="A3556" s="528" t="s">
        <v>10239</v>
      </c>
      <c r="B3556" s="528" t="s">
        <v>10240</v>
      </c>
      <c r="C3556" s="528" t="s">
        <v>1377</v>
      </c>
      <c r="D3556" s="528" t="s">
        <v>251</v>
      </c>
      <c r="E3556" s="528"/>
      <c r="F3556" s="528"/>
      <c r="G3556" s="528" t="s">
        <v>208</v>
      </c>
      <c r="H3556"/>
    </row>
    <row r="3557" spans="1:8" x14ac:dyDescent="0.35">
      <c r="A3557" s="528" t="s">
        <v>10241</v>
      </c>
      <c r="B3557" s="528" t="s">
        <v>10242</v>
      </c>
      <c r="C3557" s="528" t="s">
        <v>10243</v>
      </c>
      <c r="D3557" s="528" t="s">
        <v>251</v>
      </c>
      <c r="E3557" s="528"/>
      <c r="F3557" s="528"/>
      <c r="G3557" s="528" t="s">
        <v>208</v>
      </c>
      <c r="H3557"/>
    </row>
    <row r="3558" spans="1:8" x14ac:dyDescent="0.35">
      <c r="A3558" s="528" t="s">
        <v>10244</v>
      </c>
      <c r="B3558" s="528" t="s">
        <v>10245</v>
      </c>
      <c r="C3558" s="528" t="s">
        <v>4857</v>
      </c>
      <c r="D3558" s="528" t="s">
        <v>251</v>
      </c>
      <c r="E3558" s="528"/>
      <c r="F3558" s="528"/>
      <c r="G3558" s="528" t="s">
        <v>208</v>
      </c>
      <c r="H3558"/>
    </row>
    <row r="3559" spans="1:8" x14ac:dyDescent="0.35">
      <c r="A3559" s="528" t="s">
        <v>10246</v>
      </c>
      <c r="B3559" s="528" t="s">
        <v>10247</v>
      </c>
      <c r="C3559" s="528" t="s">
        <v>1017</v>
      </c>
      <c r="D3559" s="528" t="s">
        <v>251</v>
      </c>
      <c r="E3559" s="528"/>
      <c r="F3559" s="528"/>
      <c r="G3559" s="528" t="s">
        <v>208</v>
      </c>
      <c r="H3559"/>
    </row>
    <row r="3560" spans="1:8" x14ac:dyDescent="0.35">
      <c r="A3560" s="528" t="s">
        <v>10248</v>
      </c>
      <c r="B3560" s="528" t="s">
        <v>10249</v>
      </c>
      <c r="C3560" s="528" t="s">
        <v>10250</v>
      </c>
      <c r="D3560" s="528" t="s">
        <v>251</v>
      </c>
      <c r="E3560" s="528"/>
      <c r="F3560" s="528"/>
      <c r="G3560" s="528" t="s">
        <v>208</v>
      </c>
      <c r="H3560"/>
    </row>
    <row r="3561" spans="1:8" x14ac:dyDescent="0.35">
      <c r="A3561" s="528" t="s">
        <v>10251</v>
      </c>
      <c r="B3561" s="528" t="s">
        <v>10252</v>
      </c>
      <c r="C3561" s="528" t="s">
        <v>10253</v>
      </c>
      <c r="D3561" s="528" t="s">
        <v>251</v>
      </c>
      <c r="E3561" s="528"/>
      <c r="F3561" s="528"/>
      <c r="G3561" s="528" t="s">
        <v>208</v>
      </c>
      <c r="H3561"/>
    </row>
    <row r="3562" spans="1:8" x14ac:dyDescent="0.35">
      <c r="A3562" s="528" t="s">
        <v>10254</v>
      </c>
      <c r="B3562" s="528" t="s">
        <v>10255</v>
      </c>
      <c r="C3562" s="528" t="s">
        <v>10256</v>
      </c>
      <c r="D3562" s="528" t="s">
        <v>251</v>
      </c>
      <c r="E3562" s="528"/>
      <c r="F3562" s="528"/>
      <c r="G3562" s="528" t="s">
        <v>212</v>
      </c>
      <c r="H3562"/>
    </row>
    <row r="3563" spans="1:8" x14ac:dyDescent="0.35">
      <c r="A3563" s="528" t="s">
        <v>10257</v>
      </c>
      <c r="B3563" s="528" t="s">
        <v>10258</v>
      </c>
      <c r="C3563" s="528" t="s">
        <v>10259</v>
      </c>
      <c r="D3563" s="528" t="s">
        <v>251</v>
      </c>
      <c r="E3563" s="528"/>
      <c r="F3563" s="528"/>
      <c r="G3563" s="528" t="s">
        <v>205</v>
      </c>
      <c r="H3563"/>
    </row>
    <row r="3564" spans="1:8" x14ac:dyDescent="0.35">
      <c r="A3564" s="528" t="s">
        <v>10260</v>
      </c>
      <c r="B3564" s="528" t="s">
        <v>10261</v>
      </c>
      <c r="C3564" s="528" t="s">
        <v>10262</v>
      </c>
      <c r="D3564" s="528" t="s">
        <v>251</v>
      </c>
      <c r="E3564" s="528"/>
      <c r="F3564" s="528"/>
      <c r="G3564" s="528" t="s">
        <v>205</v>
      </c>
      <c r="H3564"/>
    </row>
    <row r="3565" spans="1:8" x14ac:dyDescent="0.35">
      <c r="A3565" s="528" t="s">
        <v>10263</v>
      </c>
      <c r="B3565" s="528" t="s">
        <v>10264</v>
      </c>
      <c r="C3565" s="528" t="s">
        <v>10265</v>
      </c>
      <c r="D3565" s="528" t="s">
        <v>251</v>
      </c>
      <c r="E3565" s="528"/>
      <c r="F3565" s="528"/>
      <c r="G3565" s="528" t="s">
        <v>205</v>
      </c>
      <c r="H3565"/>
    </row>
    <row r="3566" spans="1:8" x14ac:dyDescent="0.35">
      <c r="A3566" s="528" t="s">
        <v>10266</v>
      </c>
      <c r="B3566" s="528" t="s">
        <v>10267</v>
      </c>
      <c r="C3566" s="528" t="s">
        <v>10268</v>
      </c>
      <c r="D3566" s="528" t="s">
        <v>251</v>
      </c>
      <c r="E3566" s="528" t="s">
        <v>277</v>
      </c>
      <c r="F3566" s="528"/>
      <c r="G3566" s="528" t="s">
        <v>205</v>
      </c>
      <c r="H3566"/>
    </row>
    <row r="3567" spans="1:8" x14ac:dyDescent="0.35">
      <c r="A3567" s="528" t="s">
        <v>10269</v>
      </c>
      <c r="B3567" s="528" t="s">
        <v>10270</v>
      </c>
      <c r="C3567" s="528" t="s">
        <v>10271</v>
      </c>
      <c r="D3567" s="528" t="s">
        <v>251</v>
      </c>
      <c r="E3567" s="528"/>
      <c r="F3567" s="528"/>
      <c r="G3567" s="528" t="s">
        <v>208</v>
      </c>
      <c r="H3567"/>
    </row>
    <row r="3568" spans="1:8" x14ac:dyDescent="0.35">
      <c r="A3568" s="528" t="s">
        <v>10272</v>
      </c>
      <c r="B3568" s="528" t="s">
        <v>10273</v>
      </c>
      <c r="C3568" s="528" t="s">
        <v>10274</v>
      </c>
      <c r="D3568" s="528" t="s">
        <v>251</v>
      </c>
      <c r="E3568" s="528"/>
      <c r="F3568" s="528"/>
      <c r="G3568" s="528" t="s">
        <v>208</v>
      </c>
      <c r="H3568"/>
    </row>
    <row r="3569" spans="1:8" x14ac:dyDescent="0.35">
      <c r="A3569" s="528" t="s">
        <v>10275</v>
      </c>
      <c r="B3569" s="528" t="s">
        <v>10276</v>
      </c>
      <c r="C3569" s="528" t="s">
        <v>10277</v>
      </c>
      <c r="D3569" s="528" t="s">
        <v>251</v>
      </c>
      <c r="E3569" s="528"/>
      <c r="F3569" s="528"/>
      <c r="G3569" s="528" t="s">
        <v>208</v>
      </c>
      <c r="H3569"/>
    </row>
    <row r="3570" spans="1:8" x14ac:dyDescent="0.35">
      <c r="A3570" s="528" t="s">
        <v>10278</v>
      </c>
      <c r="B3570" s="528" t="s">
        <v>10279</v>
      </c>
      <c r="C3570" s="528" t="s">
        <v>10280</v>
      </c>
      <c r="D3570" s="528" t="s">
        <v>251</v>
      </c>
      <c r="E3570" s="528" t="s">
        <v>277</v>
      </c>
      <c r="F3570" s="528"/>
      <c r="G3570" s="528" t="s">
        <v>208</v>
      </c>
      <c r="H3570"/>
    </row>
    <row r="3571" spans="1:8" x14ac:dyDescent="0.35">
      <c r="A3571" s="528" t="s">
        <v>10281</v>
      </c>
      <c r="B3571" s="528" t="s">
        <v>10282</v>
      </c>
      <c r="C3571" s="528" t="s">
        <v>10283</v>
      </c>
      <c r="D3571" s="528" t="s">
        <v>277</v>
      </c>
      <c r="E3571" s="528"/>
      <c r="F3571" s="528"/>
      <c r="G3571" s="528" t="s">
        <v>208</v>
      </c>
      <c r="H3571"/>
    </row>
    <row r="3572" spans="1:8" x14ac:dyDescent="0.35">
      <c r="A3572" s="528" t="s">
        <v>10284</v>
      </c>
      <c r="B3572" s="528" t="s">
        <v>10285</v>
      </c>
      <c r="C3572" s="528" t="s">
        <v>1350</v>
      </c>
      <c r="D3572" s="528" t="s">
        <v>277</v>
      </c>
      <c r="E3572" s="528"/>
      <c r="F3572" s="528"/>
      <c r="G3572" s="528" t="s">
        <v>205</v>
      </c>
      <c r="H3572"/>
    </row>
    <row r="3573" spans="1:8" x14ac:dyDescent="0.35">
      <c r="A3573" s="528" t="s">
        <v>10286</v>
      </c>
      <c r="B3573" s="528" t="s">
        <v>10287</v>
      </c>
      <c r="C3573" s="528" t="s">
        <v>10288</v>
      </c>
      <c r="D3573" s="528" t="s">
        <v>264</v>
      </c>
      <c r="E3573" s="528"/>
      <c r="F3573" s="528"/>
      <c r="G3573" s="528" t="s">
        <v>205</v>
      </c>
      <c r="H3573"/>
    </row>
    <row r="3574" spans="1:8" x14ac:dyDescent="0.35">
      <c r="A3574" s="528" t="s">
        <v>10289</v>
      </c>
      <c r="B3574" s="528" t="s">
        <v>10290</v>
      </c>
      <c r="C3574" s="528" t="s">
        <v>10093</v>
      </c>
      <c r="D3574" s="528" t="s">
        <v>264</v>
      </c>
      <c r="E3574" s="528"/>
      <c r="F3574" s="528"/>
      <c r="G3574" s="528" t="s">
        <v>210</v>
      </c>
      <c r="H3574"/>
    </row>
    <row r="3575" spans="1:8" x14ac:dyDescent="0.35">
      <c r="A3575" s="528" t="s">
        <v>10291</v>
      </c>
      <c r="B3575" s="528" t="s">
        <v>10292</v>
      </c>
      <c r="C3575" s="528" t="s">
        <v>10096</v>
      </c>
      <c r="D3575" s="528" t="s">
        <v>264</v>
      </c>
      <c r="E3575" s="528"/>
      <c r="F3575" s="528"/>
      <c r="G3575" s="528" t="s">
        <v>210</v>
      </c>
      <c r="H3575"/>
    </row>
    <row r="3576" spans="1:8" x14ac:dyDescent="0.35">
      <c r="A3576" s="528" t="s">
        <v>10293</v>
      </c>
      <c r="B3576" s="528" t="s">
        <v>10294</v>
      </c>
      <c r="C3576" s="528" t="s">
        <v>10295</v>
      </c>
      <c r="D3576" s="528" t="s">
        <v>264</v>
      </c>
      <c r="E3576" s="528"/>
      <c r="F3576" s="528"/>
      <c r="G3576" s="528" t="s">
        <v>210</v>
      </c>
      <c r="H3576"/>
    </row>
    <row r="3577" spans="1:8" x14ac:dyDescent="0.35">
      <c r="A3577" s="528" t="s">
        <v>10296</v>
      </c>
      <c r="B3577" s="528" t="s">
        <v>10297</v>
      </c>
      <c r="C3577" s="528" t="s">
        <v>10298</v>
      </c>
      <c r="D3577" s="528" t="s">
        <v>264</v>
      </c>
      <c r="E3577" s="528"/>
      <c r="F3577" s="528"/>
      <c r="G3577" s="528" t="s">
        <v>210</v>
      </c>
      <c r="H3577"/>
    </row>
    <row r="3578" spans="1:8" x14ac:dyDescent="0.35">
      <c r="A3578" s="528" t="s">
        <v>10299</v>
      </c>
      <c r="B3578" s="528" t="s">
        <v>10300</v>
      </c>
      <c r="C3578" s="528" t="s">
        <v>10301</v>
      </c>
      <c r="D3578" s="528" t="s">
        <v>264</v>
      </c>
      <c r="E3578" s="528"/>
      <c r="F3578" s="528"/>
      <c r="G3578" s="528" t="s">
        <v>210</v>
      </c>
      <c r="H3578"/>
    </row>
    <row r="3579" spans="1:8" x14ac:dyDescent="0.35">
      <c r="A3579" s="528" t="s">
        <v>10302</v>
      </c>
      <c r="B3579" s="528" t="s">
        <v>10303</v>
      </c>
      <c r="C3579" s="528" t="s">
        <v>10099</v>
      </c>
      <c r="D3579" s="528" t="s">
        <v>277</v>
      </c>
      <c r="E3579" s="528"/>
      <c r="F3579" s="528"/>
      <c r="G3579" s="528" t="s">
        <v>208</v>
      </c>
      <c r="H3579"/>
    </row>
    <row r="3580" spans="1:8" x14ac:dyDescent="0.35">
      <c r="A3580" s="528" t="s">
        <v>10304</v>
      </c>
      <c r="B3580" s="528" t="s">
        <v>10305</v>
      </c>
      <c r="C3580" s="528" t="s">
        <v>10306</v>
      </c>
      <c r="D3580" s="528" t="s">
        <v>264</v>
      </c>
      <c r="E3580" s="528"/>
      <c r="F3580" s="528"/>
      <c r="G3580" s="528" t="s">
        <v>208</v>
      </c>
      <c r="H3580"/>
    </row>
    <row r="3581" spans="1:8" x14ac:dyDescent="0.35">
      <c r="A3581" s="528" t="s">
        <v>10307</v>
      </c>
      <c r="B3581" s="528" t="s">
        <v>10308</v>
      </c>
      <c r="C3581" s="528" t="s">
        <v>3286</v>
      </c>
      <c r="D3581" s="528" t="s">
        <v>225</v>
      </c>
      <c r="E3581" s="528"/>
      <c r="F3581" s="528"/>
      <c r="G3581" s="528" t="s">
        <v>205</v>
      </c>
      <c r="H3581"/>
    </row>
    <row r="3582" spans="1:8" x14ac:dyDescent="0.35">
      <c r="A3582" s="528" t="s">
        <v>10309</v>
      </c>
      <c r="B3582" s="528" t="s">
        <v>10310</v>
      </c>
      <c r="C3582" s="528" t="s">
        <v>10311</v>
      </c>
      <c r="D3582" s="528" t="s">
        <v>225</v>
      </c>
      <c r="E3582" s="528"/>
      <c r="F3582" s="528"/>
      <c r="G3582" s="528" t="s">
        <v>208</v>
      </c>
      <c r="H3582"/>
    </row>
    <row r="3583" spans="1:8" x14ac:dyDescent="0.35">
      <c r="A3583" s="528" t="s">
        <v>10312</v>
      </c>
      <c r="B3583" s="528" t="s">
        <v>10313</v>
      </c>
      <c r="C3583" s="528" t="s">
        <v>7604</v>
      </c>
      <c r="D3583" s="528" t="s">
        <v>264</v>
      </c>
      <c r="E3583" s="528"/>
      <c r="F3583" s="528"/>
      <c r="G3583" s="528" t="s">
        <v>205</v>
      </c>
      <c r="H3583"/>
    </row>
    <row r="3584" spans="1:8" x14ac:dyDescent="0.35">
      <c r="A3584" s="528" t="s">
        <v>10314</v>
      </c>
      <c r="B3584" s="528" t="s">
        <v>10315</v>
      </c>
      <c r="C3584" s="528" t="s">
        <v>10316</v>
      </c>
      <c r="D3584" s="528" t="s">
        <v>264</v>
      </c>
      <c r="E3584" s="528"/>
      <c r="F3584" s="528"/>
      <c r="G3584" s="528" t="s">
        <v>208</v>
      </c>
      <c r="H3584"/>
    </row>
    <row r="3585" spans="1:8" x14ac:dyDescent="0.35">
      <c r="A3585" s="528" t="s">
        <v>10317</v>
      </c>
      <c r="B3585" s="528" t="s">
        <v>10318</v>
      </c>
      <c r="C3585" s="528" t="s">
        <v>4023</v>
      </c>
      <c r="D3585" s="528" t="s">
        <v>277</v>
      </c>
      <c r="E3585" s="528"/>
      <c r="F3585" s="528"/>
      <c r="G3585" s="528" t="s">
        <v>205</v>
      </c>
      <c r="H3585"/>
    </row>
    <row r="3586" spans="1:8" x14ac:dyDescent="0.35">
      <c r="A3586" s="528" t="s">
        <v>10319</v>
      </c>
      <c r="B3586" s="528" t="s">
        <v>10320</v>
      </c>
      <c r="C3586" s="528" t="s">
        <v>4848</v>
      </c>
      <c r="D3586" s="528" t="s">
        <v>277</v>
      </c>
      <c r="E3586" s="528"/>
      <c r="F3586" s="528"/>
      <c r="G3586" s="528" t="s">
        <v>208</v>
      </c>
      <c r="H3586"/>
    </row>
    <row r="3587" spans="1:8" x14ac:dyDescent="0.35">
      <c r="A3587" s="528" t="s">
        <v>10321</v>
      </c>
      <c r="B3587" s="528" t="s">
        <v>10322</v>
      </c>
      <c r="C3587" s="528" t="s">
        <v>9585</v>
      </c>
      <c r="D3587" s="528" t="s">
        <v>264</v>
      </c>
      <c r="E3587" s="528"/>
      <c r="F3587" s="528"/>
      <c r="G3587" s="528" t="s">
        <v>208</v>
      </c>
      <c r="H3587"/>
    </row>
    <row r="3588" spans="1:8" x14ac:dyDescent="0.35">
      <c r="A3588" s="528" t="s">
        <v>10323</v>
      </c>
      <c r="B3588" s="528" t="s">
        <v>10324</v>
      </c>
      <c r="C3588" s="528" t="s">
        <v>10325</v>
      </c>
      <c r="D3588" s="528" t="s">
        <v>251</v>
      </c>
      <c r="E3588" s="528"/>
      <c r="F3588" s="528"/>
      <c r="G3588" s="528" t="s">
        <v>208</v>
      </c>
      <c r="H3588"/>
    </row>
    <row r="3589" spans="1:8" x14ac:dyDescent="0.35">
      <c r="A3589" s="528" t="s">
        <v>10326</v>
      </c>
      <c r="B3589" s="528" t="s">
        <v>10327</v>
      </c>
      <c r="C3589" s="528" t="s">
        <v>1020</v>
      </c>
      <c r="D3589" s="528" t="s">
        <v>251</v>
      </c>
      <c r="E3589" s="528"/>
      <c r="F3589" s="528"/>
      <c r="G3589" s="528" t="s">
        <v>208</v>
      </c>
      <c r="H3589"/>
    </row>
    <row r="3590" spans="1:8" x14ac:dyDescent="0.35">
      <c r="A3590" s="528" t="s">
        <v>10328</v>
      </c>
      <c r="B3590" s="528" t="s">
        <v>10329</v>
      </c>
      <c r="C3590" s="528" t="s">
        <v>2661</v>
      </c>
      <c r="D3590" s="528" t="s">
        <v>238</v>
      </c>
      <c r="E3590" s="528"/>
      <c r="F3590" s="528"/>
      <c r="G3590" s="528" t="s">
        <v>208</v>
      </c>
      <c r="H3590"/>
    </row>
    <row r="3591" spans="1:8" x14ac:dyDescent="0.35">
      <c r="A3591" s="528" t="s">
        <v>10330</v>
      </c>
      <c r="B3591" s="528" t="s">
        <v>10331</v>
      </c>
      <c r="C3591" s="528" t="s">
        <v>2674</v>
      </c>
      <c r="D3591" s="528" t="s">
        <v>238</v>
      </c>
      <c r="E3591" s="528"/>
      <c r="F3591" s="528"/>
      <c r="G3591" s="528" t="s">
        <v>208</v>
      </c>
      <c r="H3591"/>
    </row>
    <row r="3592" spans="1:8" x14ac:dyDescent="0.35">
      <c r="A3592" s="528" t="s">
        <v>10332</v>
      </c>
      <c r="B3592" s="528" t="s">
        <v>10333</v>
      </c>
      <c r="C3592" s="528" t="s">
        <v>6538</v>
      </c>
      <c r="D3592" s="528" t="s">
        <v>251</v>
      </c>
      <c r="E3592" s="528"/>
      <c r="F3592" s="528"/>
      <c r="G3592" s="528" t="s">
        <v>208</v>
      </c>
      <c r="H3592"/>
    </row>
    <row r="3593" spans="1:8" x14ac:dyDescent="0.35">
      <c r="A3593" s="528" t="s">
        <v>10334</v>
      </c>
      <c r="B3593" s="528" t="s">
        <v>10335</v>
      </c>
      <c r="C3593" s="528" t="s">
        <v>2855</v>
      </c>
      <c r="D3593" s="528" t="s">
        <v>251</v>
      </c>
      <c r="E3593" s="528"/>
      <c r="F3593" s="528"/>
      <c r="G3593" s="528" t="s">
        <v>208</v>
      </c>
      <c r="H3593"/>
    </row>
    <row r="3594" spans="1:8" x14ac:dyDescent="0.35">
      <c r="A3594" s="528" t="s">
        <v>10336</v>
      </c>
      <c r="B3594" s="528" t="s">
        <v>10337</v>
      </c>
      <c r="C3594" s="528" t="s">
        <v>994</v>
      </c>
      <c r="D3594" s="528" t="s">
        <v>251</v>
      </c>
      <c r="E3594" s="528"/>
      <c r="F3594" s="528"/>
      <c r="G3594" s="528" t="s">
        <v>208</v>
      </c>
      <c r="H3594"/>
    </row>
    <row r="3595" spans="1:8" x14ac:dyDescent="0.35">
      <c r="A3595" s="528" t="s">
        <v>10338</v>
      </c>
      <c r="B3595" s="528" t="s">
        <v>10339</v>
      </c>
      <c r="C3595" s="528" t="s">
        <v>3304</v>
      </c>
      <c r="D3595" s="528" t="s">
        <v>251</v>
      </c>
      <c r="E3595" s="528"/>
      <c r="F3595" s="528"/>
      <c r="G3595" s="528" t="s">
        <v>208</v>
      </c>
      <c r="H3595"/>
    </row>
    <row r="3596" spans="1:8" x14ac:dyDescent="0.35">
      <c r="A3596" s="528" t="s">
        <v>10340</v>
      </c>
      <c r="B3596" s="528" t="s">
        <v>10341</v>
      </c>
      <c r="C3596" s="528" t="s">
        <v>1173</v>
      </c>
      <c r="D3596" s="528" t="s">
        <v>251</v>
      </c>
      <c r="E3596" s="528"/>
      <c r="F3596" s="528"/>
      <c r="G3596" s="528" t="s">
        <v>208</v>
      </c>
      <c r="H3596"/>
    </row>
    <row r="3597" spans="1:8" x14ac:dyDescent="0.35">
      <c r="A3597" s="528" t="s">
        <v>10342</v>
      </c>
      <c r="B3597" s="528" t="s">
        <v>10343</v>
      </c>
      <c r="C3597" s="528" t="s">
        <v>8007</v>
      </c>
      <c r="D3597" s="528" t="s">
        <v>251</v>
      </c>
      <c r="E3597" s="528"/>
      <c r="F3597" s="528"/>
      <c r="G3597" s="528" t="s">
        <v>208</v>
      </c>
      <c r="H3597"/>
    </row>
    <row r="3598" spans="1:8" x14ac:dyDescent="0.35">
      <c r="A3598" s="528" t="s">
        <v>10344</v>
      </c>
      <c r="B3598" s="528" t="s">
        <v>10345</v>
      </c>
      <c r="C3598" s="528" t="s">
        <v>10346</v>
      </c>
      <c r="D3598" s="528" t="s">
        <v>251</v>
      </c>
      <c r="E3598" s="528"/>
      <c r="F3598" s="528"/>
      <c r="G3598" s="528" t="s">
        <v>208</v>
      </c>
      <c r="H3598"/>
    </row>
    <row r="3599" spans="1:8" x14ac:dyDescent="0.35">
      <c r="A3599" s="528" t="s">
        <v>10347</v>
      </c>
      <c r="B3599" s="528" t="s">
        <v>10348</v>
      </c>
      <c r="C3599" s="528" t="s">
        <v>10349</v>
      </c>
      <c r="D3599" s="528" t="s">
        <v>251</v>
      </c>
      <c r="E3599" s="528"/>
      <c r="F3599" s="528"/>
      <c r="G3599" s="528" t="s">
        <v>208</v>
      </c>
      <c r="H3599"/>
    </row>
    <row r="3600" spans="1:8" x14ac:dyDescent="0.35">
      <c r="A3600" s="528" t="s">
        <v>10350</v>
      </c>
      <c r="B3600" s="528" t="s">
        <v>10351</v>
      </c>
      <c r="C3600" s="528" t="s">
        <v>922</v>
      </c>
      <c r="D3600" s="528" t="s">
        <v>251</v>
      </c>
      <c r="E3600" s="528"/>
      <c r="F3600" s="528"/>
      <c r="G3600" s="528" t="s">
        <v>208</v>
      </c>
      <c r="H3600"/>
    </row>
    <row r="3601" spans="1:8" x14ac:dyDescent="0.35">
      <c r="A3601" s="528" t="s">
        <v>10352</v>
      </c>
      <c r="B3601" s="528" t="s">
        <v>10353</v>
      </c>
      <c r="C3601" s="528" t="s">
        <v>10354</v>
      </c>
      <c r="D3601" s="528" t="s">
        <v>264</v>
      </c>
      <c r="E3601" s="528"/>
      <c r="F3601" s="528"/>
      <c r="G3601" s="528" t="s">
        <v>205</v>
      </c>
      <c r="H3601"/>
    </row>
    <row r="3602" spans="1:8" x14ac:dyDescent="0.35">
      <c r="A3602" s="528" t="s">
        <v>10355</v>
      </c>
      <c r="B3602" s="528" t="s">
        <v>10356</v>
      </c>
      <c r="C3602" s="528" t="s">
        <v>10099</v>
      </c>
      <c r="D3602" s="528" t="s">
        <v>277</v>
      </c>
      <c r="E3602" s="528"/>
      <c r="F3602" s="528"/>
      <c r="G3602" s="528" t="s">
        <v>208</v>
      </c>
      <c r="H3602"/>
    </row>
    <row r="3603" spans="1:8" x14ac:dyDescent="0.35">
      <c r="A3603" s="528" t="s">
        <v>10357</v>
      </c>
      <c r="B3603" s="528" t="s">
        <v>10358</v>
      </c>
      <c r="C3603" s="528" t="s">
        <v>10359</v>
      </c>
      <c r="D3603" s="528" t="s">
        <v>264</v>
      </c>
      <c r="E3603" s="528"/>
      <c r="F3603" s="528"/>
      <c r="G3603" s="528" t="s">
        <v>208</v>
      </c>
      <c r="H3603"/>
    </row>
    <row r="3604" spans="1:8" x14ac:dyDescent="0.35">
      <c r="A3604" s="528" t="s">
        <v>10360</v>
      </c>
      <c r="B3604" s="528" t="s">
        <v>10361</v>
      </c>
      <c r="C3604" s="528" t="s">
        <v>10362</v>
      </c>
      <c r="D3604" s="528" t="s">
        <v>264</v>
      </c>
      <c r="E3604" s="528"/>
      <c r="F3604" s="528"/>
      <c r="G3604" s="528" t="s">
        <v>208</v>
      </c>
      <c r="H3604"/>
    </row>
    <row r="3605" spans="1:8" x14ac:dyDescent="0.35">
      <c r="A3605" s="528" t="s">
        <v>10363</v>
      </c>
      <c r="B3605" s="528" t="s">
        <v>10364</v>
      </c>
      <c r="C3605" s="528" t="s">
        <v>3386</v>
      </c>
      <c r="D3605" s="528" t="s">
        <v>264</v>
      </c>
      <c r="E3605" s="528"/>
      <c r="F3605" s="528"/>
      <c r="G3605" s="528" t="s">
        <v>205</v>
      </c>
      <c r="H3605"/>
    </row>
    <row r="3606" spans="1:8" x14ac:dyDescent="0.35">
      <c r="A3606" s="528" t="s">
        <v>10365</v>
      </c>
      <c r="B3606" s="528" t="s">
        <v>10366</v>
      </c>
      <c r="C3606" s="528" t="s">
        <v>10367</v>
      </c>
      <c r="D3606" s="528" t="s">
        <v>238</v>
      </c>
      <c r="E3606" s="528"/>
      <c r="F3606" s="528"/>
      <c r="G3606" s="528" t="s">
        <v>205</v>
      </c>
      <c r="H3606"/>
    </row>
    <row r="3607" spans="1:8" x14ac:dyDescent="0.35">
      <c r="A3607" s="528" t="s">
        <v>10368</v>
      </c>
      <c r="B3607" s="528" t="s">
        <v>10369</v>
      </c>
      <c r="C3607" s="528" t="s">
        <v>10370</v>
      </c>
      <c r="D3607" s="528" t="s">
        <v>251</v>
      </c>
      <c r="E3607" s="528"/>
      <c r="F3607" s="528"/>
      <c r="G3607" s="528" t="s">
        <v>205</v>
      </c>
      <c r="H3607"/>
    </row>
    <row r="3608" spans="1:8" x14ac:dyDescent="0.35">
      <c r="A3608" s="528" t="s">
        <v>10371</v>
      </c>
      <c r="B3608" s="528" t="s">
        <v>10372</v>
      </c>
      <c r="C3608" s="528" t="s">
        <v>10373</v>
      </c>
      <c r="D3608" s="528" t="s">
        <v>251</v>
      </c>
      <c r="E3608" s="528"/>
      <c r="F3608" s="528"/>
      <c r="G3608" s="528" t="s">
        <v>208</v>
      </c>
      <c r="H3608"/>
    </row>
    <row r="3609" spans="1:8" x14ac:dyDescent="0.35">
      <c r="A3609" s="528" t="s">
        <v>10374</v>
      </c>
      <c r="B3609" s="528" t="s">
        <v>10375</v>
      </c>
      <c r="C3609" s="528" t="s">
        <v>8017</v>
      </c>
      <c r="D3609" s="528" t="s">
        <v>251</v>
      </c>
      <c r="E3609" s="528"/>
      <c r="F3609" s="528"/>
      <c r="G3609" s="528" t="s">
        <v>208</v>
      </c>
      <c r="H3609"/>
    </row>
    <row r="3610" spans="1:8" x14ac:dyDescent="0.35">
      <c r="A3610" s="528" t="s">
        <v>10376</v>
      </c>
      <c r="B3610" s="528" t="s">
        <v>10377</v>
      </c>
      <c r="C3610" s="528" t="s">
        <v>10378</v>
      </c>
      <c r="D3610" s="528" t="s">
        <v>251</v>
      </c>
      <c r="E3610" s="528"/>
      <c r="F3610" s="528"/>
      <c r="G3610" s="528" t="s">
        <v>208</v>
      </c>
      <c r="H3610"/>
    </row>
    <row r="3611" spans="1:8" x14ac:dyDescent="0.35">
      <c r="A3611" s="528" t="s">
        <v>10379</v>
      </c>
      <c r="B3611" s="528" t="s">
        <v>10380</v>
      </c>
      <c r="C3611" s="528" t="s">
        <v>10381</v>
      </c>
      <c r="D3611" s="528" t="s">
        <v>251</v>
      </c>
      <c r="E3611" s="528"/>
      <c r="F3611" s="528"/>
      <c r="G3611" s="528" t="s">
        <v>208</v>
      </c>
      <c r="H3611"/>
    </row>
    <row r="3612" spans="1:8" x14ac:dyDescent="0.35">
      <c r="A3612" s="528" t="s">
        <v>10382</v>
      </c>
      <c r="B3612" s="528" t="s">
        <v>10383</v>
      </c>
      <c r="C3612" s="528" t="s">
        <v>10384</v>
      </c>
      <c r="D3612" s="528" t="s">
        <v>251</v>
      </c>
      <c r="E3612" s="528"/>
      <c r="F3612" s="528"/>
      <c r="G3612" s="528" t="s">
        <v>208</v>
      </c>
      <c r="H3612"/>
    </row>
    <row r="3613" spans="1:8" x14ac:dyDescent="0.35">
      <c r="A3613" s="528" t="s">
        <v>10385</v>
      </c>
      <c r="B3613" s="528" t="s">
        <v>10386</v>
      </c>
      <c r="C3613" s="528" t="s">
        <v>2109</v>
      </c>
      <c r="D3613" s="528" t="s">
        <v>251</v>
      </c>
      <c r="E3613" s="528"/>
      <c r="F3613" s="528"/>
      <c r="G3613" s="528" t="s">
        <v>208</v>
      </c>
      <c r="H3613"/>
    </row>
    <row r="3614" spans="1:8" x14ac:dyDescent="0.35">
      <c r="A3614" s="528" t="s">
        <v>10387</v>
      </c>
      <c r="B3614" s="528" t="s">
        <v>10388</v>
      </c>
      <c r="C3614" s="528" t="s">
        <v>1845</v>
      </c>
      <c r="D3614" s="528" t="s">
        <v>251</v>
      </c>
      <c r="E3614" s="528"/>
      <c r="F3614" s="528"/>
      <c r="G3614" s="528" t="s">
        <v>205</v>
      </c>
      <c r="H3614"/>
    </row>
    <row r="3615" spans="1:8" x14ac:dyDescent="0.35">
      <c r="A3615" s="528" t="s">
        <v>10389</v>
      </c>
      <c r="B3615" s="528" t="s">
        <v>10390</v>
      </c>
      <c r="C3615" s="528" t="s">
        <v>10391</v>
      </c>
      <c r="D3615" s="528" t="s">
        <v>277</v>
      </c>
      <c r="E3615" s="528" t="s">
        <v>225</v>
      </c>
      <c r="F3615" s="528"/>
      <c r="G3615" s="528" t="s">
        <v>208</v>
      </c>
      <c r="H3615"/>
    </row>
    <row r="3616" spans="1:8" x14ac:dyDescent="0.35">
      <c r="A3616" s="528" t="s">
        <v>10392</v>
      </c>
      <c r="B3616" s="528" t="s">
        <v>10393</v>
      </c>
      <c r="C3616" s="528" t="s">
        <v>10394</v>
      </c>
      <c r="D3616" s="528" t="s">
        <v>277</v>
      </c>
      <c r="E3616" s="528" t="s">
        <v>225</v>
      </c>
      <c r="F3616" s="528"/>
      <c r="G3616" s="528" t="s">
        <v>208</v>
      </c>
      <c r="H3616"/>
    </row>
    <row r="3617" spans="1:8" x14ac:dyDescent="0.35">
      <c r="A3617" s="528" t="s">
        <v>10395</v>
      </c>
      <c r="B3617" s="528" t="s">
        <v>10396</v>
      </c>
      <c r="C3617" s="528" t="s">
        <v>10397</v>
      </c>
      <c r="D3617" s="528" t="s">
        <v>277</v>
      </c>
      <c r="E3617" s="528" t="s">
        <v>225</v>
      </c>
      <c r="F3617" s="528"/>
      <c r="G3617" s="528" t="s">
        <v>205</v>
      </c>
      <c r="H3617"/>
    </row>
    <row r="3618" spans="1:8" x14ac:dyDescent="0.35">
      <c r="A3618" s="528" t="s">
        <v>10398</v>
      </c>
      <c r="B3618" s="528" t="s">
        <v>10399</v>
      </c>
      <c r="C3618" s="528" t="s">
        <v>10400</v>
      </c>
      <c r="D3618" s="528" t="s">
        <v>277</v>
      </c>
      <c r="E3618" s="528" t="s">
        <v>225</v>
      </c>
      <c r="F3618" s="528"/>
      <c r="G3618" s="528" t="s">
        <v>212</v>
      </c>
      <c r="H3618"/>
    </row>
    <row r="3619" spans="1:8" x14ac:dyDescent="0.35">
      <c r="A3619" s="528" t="s">
        <v>10401</v>
      </c>
      <c r="B3619" s="528" t="s">
        <v>10402</v>
      </c>
      <c r="C3619" s="528" t="s">
        <v>10403</v>
      </c>
      <c r="D3619" s="528" t="s">
        <v>251</v>
      </c>
      <c r="E3619" s="528"/>
      <c r="F3619" s="528"/>
      <c r="G3619" s="528" t="s">
        <v>208</v>
      </c>
      <c r="H3619"/>
    </row>
    <row r="3620" spans="1:8" x14ac:dyDescent="0.35">
      <c r="A3620" s="528" t="s">
        <v>10404</v>
      </c>
      <c r="B3620" s="528" t="s">
        <v>10405</v>
      </c>
      <c r="C3620" s="528" t="s">
        <v>931</v>
      </c>
      <c r="D3620" s="528" t="s">
        <v>251</v>
      </c>
      <c r="E3620" s="528"/>
      <c r="F3620" s="528"/>
      <c r="G3620" s="528" t="s">
        <v>208</v>
      </c>
      <c r="H3620"/>
    </row>
    <row r="3621" spans="1:8" x14ac:dyDescent="0.35">
      <c r="A3621" s="528" t="s">
        <v>10406</v>
      </c>
      <c r="B3621" s="528" t="s">
        <v>10407</v>
      </c>
      <c r="C3621" s="528" t="s">
        <v>3478</v>
      </c>
      <c r="D3621" s="528" t="s">
        <v>225</v>
      </c>
      <c r="E3621" s="528"/>
      <c r="F3621" s="528"/>
      <c r="G3621" s="528" t="s">
        <v>205</v>
      </c>
      <c r="H3621"/>
    </row>
    <row r="3622" spans="1:8" x14ac:dyDescent="0.35">
      <c r="A3622" s="528" t="s">
        <v>10408</v>
      </c>
      <c r="B3622" s="528" t="s">
        <v>10409</v>
      </c>
      <c r="C3622" s="528" t="s">
        <v>10410</v>
      </c>
      <c r="D3622" s="528" t="s">
        <v>277</v>
      </c>
      <c r="E3622" s="528"/>
      <c r="F3622" s="528"/>
      <c r="G3622" s="528" t="s">
        <v>205</v>
      </c>
      <c r="H3622"/>
    </row>
    <row r="3623" spans="1:8" x14ac:dyDescent="0.35">
      <c r="A3623" s="528" t="s">
        <v>10411</v>
      </c>
      <c r="B3623" s="528" t="s">
        <v>10412</v>
      </c>
      <c r="C3623" s="528" t="s">
        <v>10413</v>
      </c>
      <c r="D3623" s="528" t="s">
        <v>225</v>
      </c>
      <c r="E3623" s="528"/>
      <c r="F3623" s="528"/>
      <c r="G3623" s="528" t="s">
        <v>205</v>
      </c>
      <c r="H3623"/>
    </row>
    <row r="3624" spans="1:8" x14ac:dyDescent="0.35">
      <c r="A3624" s="528" t="s">
        <v>10414</v>
      </c>
      <c r="B3624" s="528" t="s">
        <v>10415</v>
      </c>
      <c r="C3624" s="528" t="s">
        <v>10416</v>
      </c>
      <c r="D3624" s="528" t="s">
        <v>264</v>
      </c>
      <c r="E3624" s="528"/>
      <c r="F3624" s="528"/>
      <c r="G3624" s="528" t="s">
        <v>208</v>
      </c>
      <c r="H3624"/>
    </row>
    <row r="3625" spans="1:8" x14ac:dyDescent="0.35">
      <c r="A3625" s="528" t="s">
        <v>10417</v>
      </c>
      <c r="B3625" s="528" t="s">
        <v>10418</v>
      </c>
      <c r="C3625" s="528" t="s">
        <v>10419</v>
      </c>
      <c r="D3625" s="528" t="s">
        <v>277</v>
      </c>
      <c r="E3625" s="528"/>
      <c r="F3625" s="528"/>
      <c r="G3625" s="528" t="s">
        <v>208</v>
      </c>
      <c r="H3625"/>
    </row>
    <row r="3626" spans="1:8" x14ac:dyDescent="0.35">
      <c r="A3626" s="528" t="s">
        <v>10420</v>
      </c>
      <c r="B3626" s="528" t="s">
        <v>10421</v>
      </c>
      <c r="C3626" s="528" t="s">
        <v>10422</v>
      </c>
      <c r="D3626" s="528" t="s">
        <v>277</v>
      </c>
      <c r="E3626" s="528" t="s">
        <v>264</v>
      </c>
      <c r="F3626" s="528"/>
      <c r="G3626" s="528" t="s">
        <v>205</v>
      </c>
      <c r="H3626"/>
    </row>
    <row r="3627" spans="1:8" x14ac:dyDescent="0.35">
      <c r="A3627" s="528" t="s">
        <v>10423</v>
      </c>
      <c r="B3627" s="528" t="s">
        <v>10424</v>
      </c>
      <c r="C3627" s="528" t="s">
        <v>10425</v>
      </c>
      <c r="D3627" s="528" t="s">
        <v>277</v>
      </c>
      <c r="E3627" s="528"/>
      <c r="F3627" s="528"/>
      <c r="G3627" s="528" t="s">
        <v>208</v>
      </c>
      <c r="H3627"/>
    </row>
    <row r="3628" spans="1:8" x14ac:dyDescent="0.35">
      <c r="A3628" s="528" t="s">
        <v>10426</v>
      </c>
      <c r="B3628" s="528" t="s">
        <v>10427</v>
      </c>
      <c r="C3628" s="528" t="s">
        <v>10428</v>
      </c>
      <c r="D3628" s="528" t="s">
        <v>225</v>
      </c>
      <c r="E3628" s="528"/>
      <c r="F3628" s="528"/>
      <c r="G3628" s="528" t="s">
        <v>208</v>
      </c>
      <c r="H3628"/>
    </row>
    <row r="3629" spans="1:8" x14ac:dyDescent="0.35">
      <c r="A3629" s="528" t="s">
        <v>10429</v>
      </c>
      <c r="B3629" s="528" t="s">
        <v>10430</v>
      </c>
      <c r="C3629" s="528" t="s">
        <v>10431</v>
      </c>
      <c r="D3629" s="528" t="s">
        <v>251</v>
      </c>
      <c r="E3629" s="528"/>
      <c r="F3629" s="528"/>
      <c r="G3629" s="528" t="s">
        <v>208</v>
      </c>
      <c r="H3629"/>
    </row>
    <row r="3630" spans="1:8" x14ac:dyDescent="0.35">
      <c r="A3630" s="528" t="s">
        <v>10432</v>
      </c>
      <c r="B3630" s="528" t="s">
        <v>10433</v>
      </c>
      <c r="C3630" s="528" t="s">
        <v>10434</v>
      </c>
      <c r="D3630" s="528" t="s">
        <v>251</v>
      </c>
      <c r="E3630" s="528"/>
      <c r="F3630" s="528"/>
      <c r="G3630" s="528" t="s">
        <v>208</v>
      </c>
      <c r="H3630"/>
    </row>
    <row r="3631" spans="1:8" x14ac:dyDescent="0.35">
      <c r="A3631" s="528" t="s">
        <v>10435</v>
      </c>
      <c r="B3631" s="528" t="s">
        <v>10436</v>
      </c>
      <c r="C3631" s="528" t="s">
        <v>2478</v>
      </c>
      <c r="D3631" s="528" t="s">
        <v>264</v>
      </c>
      <c r="E3631" s="528"/>
      <c r="F3631" s="528"/>
      <c r="G3631" s="528" t="s">
        <v>208</v>
      </c>
      <c r="H3631"/>
    </row>
    <row r="3632" spans="1:8" x14ac:dyDescent="0.35">
      <c r="A3632" s="528" t="s">
        <v>10437</v>
      </c>
      <c r="B3632" s="528" t="s">
        <v>10438</v>
      </c>
      <c r="C3632" s="528" t="s">
        <v>2222</v>
      </c>
      <c r="D3632" s="528" t="s">
        <v>277</v>
      </c>
      <c r="E3632" s="528"/>
      <c r="F3632" s="528"/>
      <c r="G3632" s="528" t="s">
        <v>208</v>
      </c>
      <c r="H3632"/>
    </row>
    <row r="3633" spans="1:8" x14ac:dyDescent="0.35">
      <c r="A3633" s="528" t="s">
        <v>10439</v>
      </c>
      <c r="B3633" s="528" t="s">
        <v>10440</v>
      </c>
      <c r="C3633" s="528" t="s">
        <v>10441</v>
      </c>
      <c r="D3633" s="528" t="s">
        <v>264</v>
      </c>
      <c r="E3633" s="528"/>
      <c r="F3633" s="528"/>
      <c r="G3633" s="528" t="s">
        <v>210</v>
      </c>
      <c r="H3633"/>
    </row>
    <row r="3634" spans="1:8" x14ac:dyDescent="0.35">
      <c r="A3634" s="528" t="s">
        <v>10442</v>
      </c>
      <c r="B3634" s="528" t="s">
        <v>10443</v>
      </c>
      <c r="C3634" s="528" t="s">
        <v>10444</v>
      </c>
      <c r="D3634" s="528" t="s">
        <v>264</v>
      </c>
      <c r="E3634" s="528"/>
      <c r="F3634" s="528"/>
      <c r="G3634" s="528" t="s">
        <v>210</v>
      </c>
      <c r="H3634"/>
    </row>
    <row r="3635" spans="1:8" x14ac:dyDescent="0.35">
      <c r="A3635" s="528" t="s">
        <v>10445</v>
      </c>
      <c r="B3635" s="528" t="s">
        <v>10446</v>
      </c>
      <c r="C3635" s="528" t="s">
        <v>10447</v>
      </c>
      <c r="D3635" s="528" t="s">
        <v>264</v>
      </c>
      <c r="E3635" s="528"/>
      <c r="F3635" s="528"/>
      <c r="G3635" s="528" t="s">
        <v>210</v>
      </c>
      <c r="H3635"/>
    </row>
    <row r="3636" spans="1:8" x14ac:dyDescent="0.35">
      <c r="A3636" s="528" t="s">
        <v>10448</v>
      </c>
      <c r="B3636" s="528" t="s">
        <v>10449</v>
      </c>
      <c r="C3636" s="528" t="s">
        <v>10450</v>
      </c>
      <c r="D3636" s="528" t="s">
        <v>264</v>
      </c>
      <c r="E3636" s="528"/>
      <c r="F3636" s="528"/>
      <c r="G3636" s="528" t="s">
        <v>210</v>
      </c>
      <c r="H3636"/>
    </row>
    <row r="3637" spans="1:8" x14ac:dyDescent="0.35">
      <c r="A3637" s="528" t="s">
        <v>10451</v>
      </c>
      <c r="B3637" s="528" t="s">
        <v>10452</v>
      </c>
      <c r="C3637" s="528" t="s">
        <v>10453</v>
      </c>
      <c r="D3637" s="528" t="s">
        <v>264</v>
      </c>
      <c r="E3637" s="528"/>
      <c r="F3637" s="528"/>
      <c r="G3637" s="528" t="s">
        <v>210</v>
      </c>
      <c r="H3637"/>
    </row>
    <row r="3638" spans="1:8" x14ac:dyDescent="0.35">
      <c r="A3638" s="528" t="s">
        <v>10454</v>
      </c>
      <c r="B3638" s="528" t="s">
        <v>10455</v>
      </c>
      <c r="C3638" s="528" t="s">
        <v>10456</v>
      </c>
      <c r="D3638" s="528" t="s">
        <v>264</v>
      </c>
      <c r="E3638" s="528"/>
      <c r="F3638" s="528"/>
      <c r="G3638" s="528" t="s">
        <v>210</v>
      </c>
      <c r="H3638"/>
    </row>
    <row r="3639" spans="1:8" x14ac:dyDescent="0.35">
      <c r="A3639" s="528" t="s">
        <v>10457</v>
      </c>
      <c r="B3639" s="528" t="s">
        <v>10458</v>
      </c>
      <c r="C3639" s="528" t="s">
        <v>10459</v>
      </c>
      <c r="D3639" s="528" t="s">
        <v>264</v>
      </c>
      <c r="E3639" s="528"/>
      <c r="F3639" s="528"/>
      <c r="G3639" s="528" t="s">
        <v>210</v>
      </c>
      <c r="H3639"/>
    </row>
    <row r="3640" spans="1:8" x14ac:dyDescent="0.35">
      <c r="A3640" s="528" t="s">
        <v>10460</v>
      </c>
      <c r="B3640" s="528" t="s">
        <v>10461</v>
      </c>
      <c r="C3640" s="528" t="s">
        <v>10462</v>
      </c>
      <c r="D3640" s="528" t="s">
        <v>264</v>
      </c>
      <c r="E3640" s="528"/>
      <c r="F3640" s="528"/>
      <c r="G3640" s="528" t="s">
        <v>210</v>
      </c>
      <c r="H3640"/>
    </row>
    <row r="3641" spans="1:8" x14ac:dyDescent="0.35">
      <c r="A3641" s="528" t="s">
        <v>10463</v>
      </c>
      <c r="B3641" s="528" t="s">
        <v>10464</v>
      </c>
      <c r="C3641" s="528" t="s">
        <v>10465</v>
      </c>
      <c r="D3641" s="528" t="s">
        <v>264</v>
      </c>
      <c r="E3641" s="528"/>
      <c r="F3641" s="528"/>
      <c r="G3641" s="528" t="s">
        <v>210</v>
      </c>
      <c r="H3641"/>
    </row>
    <row r="3642" spans="1:8" x14ac:dyDescent="0.35">
      <c r="A3642" s="528" t="s">
        <v>10466</v>
      </c>
      <c r="B3642" s="528" t="s">
        <v>10467</v>
      </c>
      <c r="C3642" s="528" t="s">
        <v>10468</v>
      </c>
      <c r="D3642" s="528" t="s">
        <v>264</v>
      </c>
      <c r="E3642" s="528"/>
      <c r="F3642" s="528"/>
      <c r="G3642" s="528" t="s">
        <v>210</v>
      </c>
      <c r="H3642"/>
    </row>
    <row r="3643" spans="1:8" x14ac:dyDescent="0.35">
      <c r="A3643" s="528" t="s">
        <v>10469</v>
      </c>
      <c r="B3643" s="528" t="s">
        <v>10470</v>
      </c>
      <c r="C3643" s="528" t="s">
        <v>10471</v>
      </c>
      <c r="D3643" s="528" t="s">
        <v>264</v>
      </c>
      <c r="E3643" s="528"/>
      <c r="F3643" s="528"/>
      <c r="G3643" s="528" t="s">
        <v>210</v>
      </c>
      <c r="H3643"/>
    </row>
    <row r="3644" spans="1:8" x14ac:dyDescent="0.35">
      <c r="A3644" s="528" t="s">
        <v>10472</v>
      </c>
      <c r="B3644" s="528" t="s">
        <v>10473</v>
      </c>
      <c r="C3644" s="528" t="s">
        <v>10474</v>
      </c>
      <c r="D3644" s="528" t="s">
        <v>264</v>
      </c>
      <c r="E3644" s="528"/>
      <c r="F3644" s="528"/>
      <c r="G3644" s="528" t="s">
        <v>210</v>
      </c>
      <c r="H3644"/>
    </row>
    <row r="3645" spans="1:8" x14ac:dyDescent="0.35">
      <c r="A3645" s="528" t="s">
        <v>10475</v>
      </c>
      <c r="B3645" s="528" t="s">
        <v>10476</v>
      </c>
      <c r="C3645" s="528" t="s">
        <v>10477</v>
      </c>
      <c r="D3645" s="528" t="s">
        <v>264</v>
      </c>
      <c r="E3645" s="528"/>
      <c r="F3645" s="528"/>
      <c r="G3645" s="528" t="s">
        <v>210</v>
      </c>
      <c r="H3645"/>
    </row>
    <row r="3646" spans="1:8" x14ac:dyDescent="0.35">
      <c r="A3646" s="528" t="s">
        <v>10478</v>
      </c>
      <c r="B3646" s="528" t="s">
        <v>10479</v>
      </c>
      <c r="C3646" s="528" t="s">
        <v>10480</v>
      </c>
      <c r="D3646" s="528" t="s">
        <v>264</v>
      </c>
      <c r="E3646" s="528"/>
      <c r="F3646" s="528"/>
      <c r="G3646" s="528" t="s">
        <v>210</v>
      </c>
      <c r="H3646"/>
    </row>
    <row r="3647" spans="1:8" x14ac:dyDescent="0.35">
      <c r="A3647" s="528" t="s">
        <v>10481</v>
      </c>
      <c r="B3647" s="528" t="s">
        <v>10482</v>
      </c>
      <c r="C3647" s="528" t="s">
        <v>10483</v>
      </c>
      <c r="D3647" s="528" t="s">
        <v>225</v>
      </c>
      <c r="E3647" s="528"/>
      <c r="F3647" s="528"/>
      <c r="G3647" s="528" t="s">
        <v>208</v>
      </c>
      <c r="H3647"/>
    </row>
    <row r="3648" spans="1:8" x14ac:dyDescent="0.35">
      <c r="A3648" s="528" t="s">
        <v>10484</v>
      </c>
      <c r="B3648" s="528" t="s">
        <v>10485</v>
      </c>
      <c r="C3648" s="528" t="s">
        <v>10486</v>
      </c>
      <c r="D3648" s="528" t="s">
        <v>225</v>
      </c>
      <c r="E3648" s="528"/>
      <c r="F3648" s="528"/>
      <c r="G3648" s="528" t="s">
        <v>208</v>
      </c>
      <c r="H3648"/>
    </row>
    <row r="3649" spans="1:8" x14ac:dyDescent="0.35">
      <c r="A3649" s="528" t="s">
        <v>10487</v>
      </c>
      <c r="B3649" s="528" t="s">
        <v>10488</v>
      </c>
      <c r="C3649" s="528" t="s">
        <v>10489</v>
      </c>
      <c r="D3649" s="528" t="s">
        <v>264</v>
      </c>
      <c r="E3649" s="528"/>
      <c r="F3649" s="528"/>
      <c r="G3649" s="528" t="s">
        <v>208</v>
      </c>
      <c r="H3649"/>
    </row>
    <row r="3650" spans="1:8" x14ac:dyDescent="0.35">
      <c r="A3650" s="528" t="s">
        <v>10490</v>
      </c>
      <c r="B3650" s="528" t="s">
        <v>10491</v>
      </c>
      <c r="C3650" s="528" t="s">
        <v>10492</v>
      </c>
      <c r="D3650" s="528" t="s">
        <v>264</v>
      </c>
      <c r="E3650" s="528"/>
      <c r="F3650" s="528"/>
      <c r="G3650" s="528" t="s">
        <v>208</v>
      </c>
      <c r="H3650"/>
    </row>
    <row r="3651" spans="1:8" x14ac:dyDescent="0.35">
      <c r="A3651" s="528" t="s">
        <v>10493</v>
      </c>
      <c r="B3651" s="528" t="s">
        <v>10494</v>
      </c>
      <c r="C3651" s="528" t="s">
        <v>10495</v>
      </c>
      <c r="D3651" s="528" t="s">
        <v>264</v>
      </c>
      <c r="E3651" s="528"/>
      <c r="F3651" s="528"/>
      <c r="G3651" s="528" t="s">
        <v>208</v>
      </c>
      <c r="H3651"/>
    </row>
    <row r="3652" spans="1:8" x14ac:dyDescent="0.35">
      <c r="A3652" s="528" t="s">
        <v>10496</v>
      </c>
      <c r="B3652" s="528" t="s">
        <v>10497</v>
      </c>
      <c r="C3652" s="528" t="s">
        <v>10498</v>
      </c>
      <c r="D3652" s="528" t="s">
        <v>264</v>
      </c>
      <c r="E3652" s="528"/>
      <c r="F3652" s="528"/>
      <c r="G3652" s="528" t="s">
        <v>208</v>
      </c>
      <c r="H3652"/>
    </row>
    <row r="3653" spans="1:8" x14ac:dyDescent="0.35">
      <c r="A3653" s="528" t="s">
        <v>10499</v>
      </c>
      <c r="B3653" s="528" t="s">
        <v>10500</v>
      </c>
      <c r="C3653" s="528" t="s">
        <v>10501</v>
      </c>
      <c r="D3653" s="528" t="s">
        <v>277</v>
      </c>
      <c r="E3653" s="528"/>
      <c r="F3653" s="528"/>
      <c r="G3653" s="528" t="s">
        <v>208</v>
      </c>
      <c r="H3653"/>
    </row>
    <row r="3654" spans="1:8" x14ac:dyDescent="0.35">
      <c r="A3654" s="528" t="s">
        <v>10502</v>
      </c>
      <c r="B3654" s="528" t="s">
        <v>10503</v>
      </c>
      <c r="C3654" s="528" t="s">
        <v>10504</v>
      </c>
      <c r="D3654" s="528" t="s">
        <v>277</v>
      </c>
      <c r="E3654" s="528"/>
      <c r="F3654" s="528"/>
      <c r="G3654" s="528" t="s">
        <v>212</v>
      </c>
      <c r="H3654"/>
    </row>
    <row r="3655" spans="1:8" x14ac:dyDescent="0.35">
      <c r="A3655" s="528" t="s">
        <v>10505</v>
      </c>
      <c r="B3655" s="528" t="s">
        <v>10506</v>
      </c>
      <c r="C3655" s="528" t="s">
        <v>10507</v>
      </c>
      <c r="D3655" s="528" t="s">
        <v>264</v>
      </c>
      <c r="E3655" s="528"/>
      <c r="F3655" s="528"/>
      <c r="G3655" s="528" t="s">
        <v>210</v>
      </c>
      <c r="H3655"/>
    </row>
    <row r="3656" spans="1:8" x14ac:dyDescent="0.35">
      <c r="A3656" s="528" t="s">
        <v>10508</v>
      </c>
      <c r="B3656" s="528" t="s">
        <v>10509</v>
      </c>
      <c r="C3656" s="528" t="s">
        <v>10510</v>
      </c>
      <c r="D3656" s="528" t="s">
        <v>264</v>
      </c>
      <c r="E3656" s="528"/>
      <c r="F3656" s="528"/>
      <c r="G3656" s="528" t="s">
        <v>210</v>
      </c>
      <c r="H3656"/>
    </row>
    <row r="3657" spans="1:8" x14ac:dyDescent="0.35">
      <c r="A3657" s="528" t="s">
        <v>10511</v>
      </c>
      <c r="B3657" s="528" t="s">
        <v>10512</v>
      </c>
      <c r="C3657" s="528" t="s">
        <v>10513</v>
      </c>
      <c r="D3657" s="528" t="s">
        <v>264</v>
      </c>
      <c r="E3657" s="528"/>
      <c r="F3657" s="528"/>
      <c r="G3657" s="528" t="s">
        <v>210</v>
      </c>
      <c r="H3657"/>
    </row>
    <row r="3658" spans="1:8" x14ac:dyDescent="0.35">
      <c r="A3658" s="528" t="s">
        <v>10514</v>
      </c>
      <c r="B3658" s="528" t="s">
        <v>10515</v>
      </c>
      <c r="C3658" s="528" t="s">
        <v>10516</v>
      </c>
      <c r="D3658" s="528" t="s">
        <v>264</v>
      </c>
      <c r="E3658" s="528"/>
      <c r="F3658" s="528"/>
      <c r="G3658" s="528" t="s">
        <v>210</v>
      </c>
      <c r="H3658"/>
    </row>
    <row r="3659" spans="1:8" x14ac:dyDescent="0.35">
      <c r="A3659" s="528" t="s">
        <v>10517</v>
      </c>
      <c r="B3659" s="528" t="s">
        <v>10518</v>
      </c>
      <c r="C3659" s="528" t="s">
        <v>10519</v>
      </c>
      <c r="D3659" s="528" t="s">
        <v>264</v>
      </c>
      <c r="E3659" s="528"/>
      <c r="F3659" s="528"/>
      <c r="G3659" s="528" t="s">
        <v>210</v>
      </c>
      <c r="H3659"/>
    </row>
    <row r="3660" spans="1:8" x14ac:dyDescent="0.35">
      <c r="A3660" s="528" t="s">
        <v>10520</v>
      </c>
      <c r="B3660" s="528" t="s">
        <v>10521</v>
      </c>
      <c r="C3660" s="528" t="s">
        <v>10522</v>
      </c>
      <c r="D3660" s="528" t="s">
        <v>251</v>
      </c>
      <c r="E3660" s="528"/>
      <c r="F3660" s="528"/>
      <c r="G3660" s="528" t="s">
        <v>212</v>
      </c>
      <c r="H3660"/>
    </row>
    <row r="3661" spans="1:8" x14ac:dyDescent="0.35">
      <c r="A3661" s="528" t="s">
        <v>10523</v>
      </c>
      <c r="B3661" s="528" t="s">
        <v>10524</v>
      </c>
      <c r="C3661" s="528" t="s">
        <v>3336</v>
      </c>
      <c r="D3661" s="528" t="s">
        <v>277</v>
      </c>
      <c r="E3661" s="528"/>
      <c r="F3661" s="528"/>
      <c r="G3661" s="528" t="s">
        <v>208</v>
      </c>
      <c r="H3661"/>
    </row>
    <row r="3662" spans="1:8" x14ac:dyDescent="0.35">
      <c r="A3662" s="528" t="s">
        <v>10525</v>
      </c>
      <c r="B3662" s="528" t="s">
        <v>10526</v>
      </c>
      <c r="C3662" s="528" t="s">
        <v>3333</v>
      </c>
      <c r="D3662" s="528" t="s">
        <v>264</v>
      </c>
      <c r="E3662" s="528"/>
      <c r="F3662" s="528"/>
      <c r="G3662" s="528" t="s">
        <v>208</v>
      </c>
      <c r="H3662"/>
    </row>
    <row r="3663" spans="1:8" x14ac:dyDescent="0.35">
      <c r="A3663" s="528" t="s">
        <v>10527</v>
      </c>
      <c r="B3663" s="528" t="s">
        <v>10528</v>
      </c>
      <c r="C3663" s="528" t="s">
        <v>10529</v>
      </c>
      <c r="D3663" s="528" t="s">
        <v>264</v>
      </c>
      <c r="E3663" s="528"/>
      <c r="F3663" s="528"/>
      <c r="G3663" s="528" t="s">
        <v>210</v>
      </c>
      <c r="H3663"/>
    </row>
    <row r="3664" spans="1:8" x14ac:dyDescent="0.35">
      <c r="A3664" s="528" t="s">
        <v>10530</v>
      </c>
      <c r="B3664" s="528" t="s">
        <v>10531</v>
      </c>
      <c r="C3664" s="528" t="s">
        <v>10532</v>
      </c>
      <c r="D3664" s="528" t="s">
        <v>277</v>
      </c>
      <c r="E3664" s="528"/>
      <c r="F3664" s="528"/>
      <c r="G3664" s="528" t="s">
        <v>208</v>
      </c>
      <c r="H3664"/>
    </row>
    <row r="3665" spans="1:8" x14ac:dyDescent="0.35">
      <c r="A3665" s="528" t="s">
        <v>10533</v>
      </c>
      <c r="B3665" s="528" t="s">
        <v>10534</v>
      </c>
      <c r="C3665" s="528" t="s">
        <v>10535</v>
      </c>
      <c r="D3665" s="528" t="s">
        <v>277</v>
      </c>
      <c r="E3665" s="528"/>
      <c r="F3665" s="528"/>
      <c r="G3665" s="528" t="s">
        <v>208</v>
      </c>
      <c r="H3665"/>
    </row>
    <row r="3666" spans="1:8" x14ac:dyDescent="0.35">
      <c r="A3666" s="528" t="s">
        <v>10536</v>
      </c>
      <c r="B3666" s="528" t="s">
        <v>10537</v>
      </c>
      <c r="C3666" s="528" t="s">
        <v>10538</v>
      </c>
      <c r="D3666" s="528" t="s">
        <v>277</v>
      </c>
      <c r="E3666" s="528" t="s">
        <v>264</v>
      </c>
      <c r="F3666" s="528"/>
      <c r="G3666" s="528" t="s">
        <v>212</v>
      </c>
      <c r="H3666"/>
    </row>
    <row r="3667" spans="1:8" x14ac:dyDescent="0.35">
      <c r="A3667" s="528" t="s">
        <v>10539</v>
      </c>
      <c r="B3667" s="528" t="s">
        <v>10540</v>
      </c>
      <c r="C3667" s="528" t="s">
        <v>10541</v>
      </c>
      <c r="D3667" s="528" t="s">
        <v>277</v>
      </c>
      <c r="E3667" s="528" t="s">
        <v>264</v>
      </c>
      <c r="F3667" s="528"/>
      <c r="G3667" s="528" t="s">
        <v>212</v>
      </c>
      <c r="H3667"/>
    </row>
    <row r="3668" spans="1:8" x14ac:dyDescent="0.35">
      <c r="A3668" s="528" t="s">
        <v>10542</v>
      </c>
      <c r="B3668" s="528" t="s">
        <v>10543</v>
      </c>
      <c r="C3668" s="528" t="s">
        <v>756</v>
      </c>
      <c r="D3668" s="528" t="s">
        <v>277</v>
      </c>
      <c r="E3668" s="528"/>
      <c r="F3668" s="528"/>
      <c r="G3668" s="528" t="s">
        <v>212</v>
      </c>
      <c r="H3668"/>
    </row>
    <row r="3669" spans="1:8" x14ac:dyDescent="0.35">
      <c r="A3669" s="528" t="s">
        <v>10544</v>
      </c>
      <c r="B3669" s="528" t="s">
        <v>10545</v>
      </c>
      <c r="C3669" s="528" t="s">
        <v>10546</v>
      </c>
      <c r="D3669" s="528" t="s">
        <v>277</v>
      </c>
      <c r="E3669" s="528"/>
      <c r="F3669" s="528"/>
      <c r="G3669" s="528" t="s">
        <v>212</v>
      </c>
      <c r="H3669"/>
    </row>
    <row r="3670" spans="1:8" x14ac:dyDescent="0.35">
      <c r="A3670" s="528" t="s">
        <v>10547</v>
      </c>
      <c r="B3670" s="528" t="s">
        <v>10548</v>
      </c>
      <c r="C3670" s="528" t="s">
        <v>7849</v>
      </c>
      <c r="D3670" s="528" t="s">
        <v>264</v>
      </c>
      <c r="E3670" s="528"/>
      <c r="F3670" s="528"/>
      <c r="G3670" s="528" t="s">
        <v>205</v>
      </c>
      <c r="H3670"/>
    </row>
    <row r="3671" spans="1:8" x14ac:dyDescent="0.35">
      <c r="A3671" s="528" t="s">
        <v>10549</v>
      </c>
      <c r="B3671" s="528" t="s">
        <v>10550</v>
      </c>
      <c r="C3671" s="528" t="s">
        <v>10551</v>
      </c>
      <c r="D3671" s="528" t="s">
        <v>264</v>
      </c>
      <c r="E3671" s="528"/>
      <c r="F3671" s="528"/>
      <c r="G3671" s="528" t="s">
        <v>205</v>
      </c>
      <c r="H3671"/>
    </row>
    <row r="3672" spans="1:8" x14ac:dyDescent="0.35">
      <c r="A3672" s="528" t="s">
        <v>10552</v>
      </c>
      <c r="B3672" s="528" t="s">
        <v>10553</v>
      </c>
      <c r="C3672" s="528" t="s">
        <v>10554</v>
      </c>
      <c r="D3672" s="528" t="s">
        <v>277</v>
      </c>
      <c r="E3672" s="528"/>
      <c r="F3672" s="528"/>
      <c r="G3672" s="528" t="s">
        <v>212</v>
      </c>
      <c r="H3672"/>
    </row>
    <row r="3673" spans="1:8" x14ac:dyDescent="0.35">
      <c r="A3673" s="528" t="s">
        <v>10555</v>
      </c>
      <c r="B3673" s="528" t="s">
        <v>10556</v>
      </c>
      <c r="C3673" s="528" t="s">
        <v>10557</v>
      </c>
      <c r="D3673" s="528" t="s">
        <v>264</v>
      </c>
      <c r="E3673" s="528"/>
      <c r="F3673" s="528"/>
      <c r="G3673" s="528" t="s">
        <v>210</v>
      </c>
      <c r="H3673"/>
    </row>
    <row r="3674" spans="1:8" x14ac:dyDescent="0.35">
      <c r="A3674" s="528" t="s">
        <v>10558</v>
      </c>
      <c r="B3674" s="528" t="s">
        <v>10559</v>
      </c>
      <c r="C3674" s="528" t="s">
        <v>10560</v>
      </c>
      <c r="D3674" s="528" t="s">
        <v>264</v>
      </c>
      <c r="E3674" s="528"/>
      <c r="F3674" s="528"/>
      <c r="G3674" s="528" t="s">
        <v>210</v>
      </c>
      <c r="H3674"/>
    </row>
    <row r="3675" spans="1:8" x14ac:dyDescent="0.35">
      <c r="A3675" s="528" t="s">
        <v>10561</v>
      </c>
      <c r="B3675" s="528" t="s">
        <v>10562</v>
      </c>
      <c r="C3675" s="528" t="s">
        <v>10563</v>
      </c>
      <c r="D3675" s="528" t="s">
        <v>264</v>
      </c>
      <c r="E3675" s="528"/>
      <c r="F3675" s="528"/>
      <c r="G3675" s="528" t="s">
        <v>210</v>
      </c>
      <c r="H3675"/>
    </row>
    <row r="3676" spans="1:8" x14ac:dyDescent="0.35">
      <c r="A3676" s="528" t="s">
        <v>10564</v>
      </c>
      <c r="B3676" s="528" t="s">
        <v>10565</v>
      </c>
      <c r="C3676" s="528" t="s">
        <v>10566</v>
      </c>
      <c r="D3676" s="528" t="s">
        <v>264</v>
      </c>
      <c r="E3676" s="528"/>
      <c r="F3676" s="528"/>
      <c r="G3676" s="528" t="s">
        <v>210</v>
      </c>
      <c r="H3676"/>
    </row>
    <row r="3677" spans="1:8" x14ac:dyDescent="0.35">
      <c r="A3677" s="528" t="s">
        <v>10567</v>
      </c>
      <c r="B3677" s="528" t="s">
        <v>10568</v>
      </c>
      <c r="C3677" s="528" t="s">
        <v>28347</v>
      </c>
      <c r="D3677" s="528" t="s">
        <v>264</v>
      </c>
      <c r="E3677" s="528"/>
      <c r="F3677" s="528"/>
      <c r="G3677" s="528" t="s">
        <v>205</v>
      </c>
      <c r="H3677"/>
    </row>
    <row r="3678" spans="1:8" x14ac:dyDescent="0.35">
      <c r="A3678" s="528" t="s">
        <v>10569</v>
      </c>
      <c r="B3678" s="528" t="s">
        <v>10570</v>
      </c>
      <c r="C3678" s="528" t="s">
        <v>10571</v>
      </c>
      <c r="D3678" s="528" t="s">
        <v>251</v>
      </c>
      <c r="E3678" s="528"/>
      <c r="F3678" s="528"/>
      <c r="G3678" s="528" t="s">
        <v>205</v>
      </c>
      <c r="H3678"/>
    </row>
    <row r="3679" spans="1:8" x14ac:dyDescent="0.35">
      <c r="A3679" s="528" t="s">
        <v>10572</v>
      </c>
      <c r="B3679" s="528" t="s">
        <v>10573</v>
      </c>
      <c r="C3679" s="528" t="s">
        <v>10574</v>
      </c>
      <c r="D3679" s="528" t="s">
        <v>264</v>
      </c>
      <c r="E3679" s="528"/>
      <c r="F3679" s="528"/>
      <c r="G3679" s="528" t="s">
        <v>205</v>
      </c>
      <c r="H3679"/>
    </row>
    <row r="3680" spans="1:8" x14ac:dyDescent="0.35">
      <c r="A3680" s="528" t="s">
        <v>10575</v>
      </c>
      <c r="B3680" s="528" t="s">
        <v>10576</v>
      </c>
      <c r="C3680" s="528" t="s">
        <v>7804</v>
      </c>
      <c r="D3680" s="528" t="s">
        <v>264</v>
      </c>
      <c r="E3680" s="528" t="s">
        <v>277</v>
      </c>
      <c r="F3680" s="528"/>
      <c r="G3680" s="528" t="s">
        <v>208</v>
      </c>
      <c r="H3680"/>
    </row>
    <row r="3681" spans="1:8" x14ac:dyDescent="0.35">
      <c r="A3681" s="528" t="s">
        <v>10577</v>
      </c>
      <c r="B3681" s="528" t="s">
        <v>10578</v>
      </c>
      <c r="C3681" s="528" t="s">
        <v>10579</v>
      </c>
      <c r="D3681" s="528" t="s">
        <v>277</v>
      </c>
      <c r="E3681" s="528"/>
      <c r="F3681" s="528"/>
      <c r="G3681" s="528" t="s">
        <v>208</v>
      </c>
      <c r="H3681"/>
    </row>
    <row r="3682" spans="1:8" x14ac:dyDescent="0.35">
      <c r="A3682" s="528" t="s">
        <v>10580</v>
      </c>
      <c r="B3682" s="528" t="s">
        <v>10581</v>
      </c>
      <c r="C3682" s="528" t="s">
        <v>10582</v>
      </c>
      <c r="D3682" s="528" t="s">
        <v>277</v>
      </c>
      <c r="E3682" s="528"/>
      <c r="F3682" s="528"/>
      <c r="G3682" s="528" t="s">
        <v>208</v>
      </c>
      <c r="H3682"/>
    </row>
    <row r="3683" spans="1:8" x14ac:dyDescent="0.35">
      <c r="A3683" s="528" t="s">
        <v>10583</v>
      </c>
      <c r="B3683" s="528" t="s">
        <v>10584</v>
      </c>
      <c r="C3683" s="528" t="s">
        <v>10585</v>
      </c>
      <c r="D3683" s="528" t="s">
        <v>277</v>
      </c>
      <c r="E3683" s="528"/>
      <c r="F3683" s="528"/>
      <c r="G3683" s="528" t="s">
        <v>208</v>
      </c>
      <c r="H3683"/>
    </row>
    <row r="3684" spans="1:8" x14ac:dyDescent="0.35">
      <c r="A3684" s="528" t="s">
        <v>10586</v>
      </c>
      <c r="B3684" s="528" t="s">
        <v>10587</v>
      </c>
      <c r="C3684" s="528" t="s">
        <v>10588</v>
      </c>
      <c r="D3684" s="528" t="s">
        <v>251</v>
      </c>
      <c r="E3684" s="528"/>
      <c r="F3684" s="528"/>
      <c r="G3684" s="528" t="s">
        <v>208</v>
      </c>
      <c r="H3684"/>
    </row>
    <row r="3685" spans="1:8" x14ac:dyDescent="0.35">
      <c r="A3685" s="528" t="s">
        <v>10589</v>
      </c>
      <c r="B3685" s="528" t="s">
        <v>10590</v>
      </c>
      <c r="C3685" s="528" t="s">
        <v>10591</v>
      </c>
      <c r="D3685" s="528" t="s">
        <v>251</v>
      </c>
      <c r="E3685" s="528"/>
      <c r="F3685" s="528"/>
      <c r="G3685" s="528" t="s">
        <v>208</v>
      </c>
      <c r="H3685"/>
    </row>
    <row r="3686" spans="1:8" x14ac:dyDescent="0.35">
      <c r="A3686" s="528" t="s">
        <v>10592</v>
      </c>
      <c r="B3686" s="528" t="s">
        <v>10593</v>
      </c>
      <c r="C3686" s="528" t="s">
        <v>10594</v>
      </c>
      <c r="D3686" s="528" t="s">
        <v>251</v>
      </c>
      <c r="E3686" s="528"/>
      <c r="F3686" s="528"/>
      <c r="G3686" s="528" t="s">
        <v>208</v>
      </c>
      <c r="H3686"/>
    </row>
    <row r="3687" spans="1:8" x14ac:dyDescent="0.35">
      <c r="A3687" s="528" t="s">
        <v>10595</v>
      </c>
      <c r="B3687" s="528" t="s">
        <v>10596</v>
      </c>
      <c r="C3687" s="528" t="s">
        <v>10597</v>
      </c>
      <c r="D3687" s="528" t="s">
        <v>251</v>
      </c>
      <c r="E3687" s="528"/>
      <c r="F3687" s="528"/>
      <c r="G3687" s="528" t="s">
        <v>208</v>
      </c>
      <c r="H3687"/>
    </row>
    <row r="3688" spans="1:8" x14ac:dyDescent="0.35">
      <c r="A3688" s="528" t="s">
        <v>10598</v>
      </c>
      <c r="B3688" s="528" t="s">
        <v>10599</v>
      </c>
      <c r="C3688" s="528" t="s">
        <v>10600</v>
      </c>
      <c r="D3688" s="528" t="s">
        <v>277</v>
      </c>
      <c r="E3688" s="528"/>
      <c r="F3688" s="528"/>
      <c r="G3688" s="528" t="s">
        <v>208</v>
      </c>
      <c r="H3688"/>
    </row>
    <row r="3689" spans="1:8" x14ac:dyDescent="0.35">
      <c r="A3689" s="528" t="s">
        <v>10601</v>
      </c>
      <c r="B3689" s="528" t="s">
        <v>10602</v>
      </c>
      <c r="C3689" s="528" t="s">
        <v>10603</v>
      </c>
      <c r="D3689" s="528" t="s">
        <v>251</v>
      </c>
      <c r="E3689" s="528"/>
      <c r="F3689" s="528"/>
      <c r="G3689" s="528" t="s">
        <v>208</v>
      </c>
      <c r="H3689"/>
    </row>
    <row r="3690" spans="1:8" x14ac:dyDescent="0.35">
      <c r="A3690" s="528" t="s">
        <v>10604</v>
      </c>
      <c r="B3690" s="528" t="s">
        <v>10605</v>
      </c>
      <c r="C3690" s="528" t="s">
        <v>10606</v>
      </c>
      <c r="D3690" s="528" t="s">
        <v>251</v>
      </c>
      <c r="E3690" s="528"/>
      <c r="F3690" s="528"/>
      <c r="G3690" s="528" t="s">
        <v>208</v>
      </c>
      <c r="H3690"/>
    </row>
    <row r="3691" spans="1:8" x14ac:dyDescent="0.35">
      <c r="A3691" s="528" t="s">
        <v>10607</v>
      </c>
      <c r="B3691" s="528" t="s">
        <v>10608</v>
      </c>
      <c r="C3691" s="528" t="s">
        <v>10609</v>
      </c>
      <c r="D3691" s="528" t="s">
        <v>251</v>
      </c>
      <c r="E3691" s="528"/>
      <c r="F3691" s="528"/>
      <c r="G3691" s="528" t="s">
        <v>208</v>
      </c>
      <c r="H3691"/>
    </row>
    <row r="3692" spans="1:8" x14ac:dyDescent="0.35">
      <c r="A3692" s="528" t="s">
        <v>10610</v>
      </c>
      <c r="B3692" s="528" t="s">
        <v>10611</v>
      </c>
      <c r="C3692" s="528" t="s">
        <v>10612</v>
      </c>
      <c r="D3692" s="528" t="s">
        <v>251</v>
      </c>
      <c r="E3692" s="528"/>
      <c r="F3692" s="528"/>
      <c r="G3692" s="528" t="s">
        <v>208</v>
      </c>
      <c r="H3692"/>
    </row>
    <row r="3693" spans="1:8" x14ac:dyDescent="0.35">
      <c r="A3693" s="528" t="s">
        <v>10613</v>
      </c>
      <c r="B3693" s="528" t="s">
        <v>10614</v>
      </c>
      <c r="C3693" s="528" t="s">
        <v>10615</v>
      </c>
      <c r="D3693" s="528" t="s">
        <v>251</v>
      </c>
      <c r="E3693" s="528"/>
      <c r="F3693" s="528"/>
      <c r="G3693" s="528" t="s">
        <v>208</v>
      </c>
      <c r="H3693"/>
    </row>
    <row r="3694" spans="1:8" x14ac:dyDescent="0.35">
      <c r="A3694" s="528" t="s">
        <v>10616</v>
      </c>
      <c r="B3694" s="528" t="s">
        <v>10617</v>
      </c>
      <c r="C3694" s="528" t="s">
        <v>10618</v>
      </c>
      <c r="D3694" s="528" t="s">
        <v>264</v>
      </c>
      <c r="E3694" s="528"/>
      <c r="F3694" s="528"/>
      <c r="G3694" s="528" t="s">
        <v>208</v>
      </c>
      <c r="H3694"/>
    </row>
    <row r="3695" spans="1:8" x14ac:dyDescent="0.35">
      <c r="A3695" s="528" t="s">
        <v>10619</v>
      </c>
      <c r="B3695" s="528" t="s">
        <v>10620</v>
      </c>
      <c r="C3695" s="528" t="s">
        <v>10621</v>
      </c>
      <c r="D3695" s="528" t="s">
        <v>264</v>
      </c>
      <c r="E3695" s="528"/>
      <c r="F3695" s="528"/>
      <c r="G3695" s="528" t="s">
        <v>205</v>
      </c>
      <c r="H3695"/>
    </row>
    <row r="3696" spans="1:8" x14ac:dyDescent="0.35">
      <c r="A3696" s="528" t="s">
        <v>10622</v>
      </c>
      <c r="B3696" s="528" t="s">
        <v>10623</v>
      </c>
      <c r="C3696" s="528" t="s">
        <v>10624</v>
      </c>
      <c r="D3696" s="528" t="s">
        <v>264</v>
      </c>
      <c r="E3696" s="528"/>
      <c r="F3696" s="528"/>
      <c r="G3696" s="528" t="s">
        <v>205</v>
      </c>
      <c r="H3696"/>
    </row>
    <row r="3697" spans="1:8" x14ac:dyDescent="0.35">
      <c r="A3697" s="528" t="s">
        <v>10625</v>
      </c>
      <c r="B3697" s="528" t="s">
        <v>10626</v>
      </c>
      <c r="C3697" s="528" t="s">
        <v>6428</v>
      </c>
      <c r="D3697" s="528" t="s">
        <v>277</v>
      </c>
      <c r="E3697" s="528"/>
      <c r="F3697" s="528"/>
      <c r="G3697" s="528" t="s">
        <v>205</v>
      </c>
      <c r="H3697"/>
    </row>
    <row r="3698" spans="1:8" x14ac:dyDescent="0.35">
      <c r="A3698" s="528" t="s">
        <v>10627</v>
      </c>
      <c r="B3698" s="528" t="s">
        <v>10628</v>
      </c>
      <c r="C3698" s="528" t="s">
        <v>10629</v>
      </c>
      <c r="D3698" s="528" t="s">
        <v>251</v>
      </c>
      <c r="E3698" s="528"/>
      <c r="F3698" s="528"/>
      <c r="G3698" s="528" t="s">
        <v>205</v>
      </c>
      <c r="H3698"/>
    </row>
    <row r="3699" spans="1:8" x14ac:dyDescent="0.35">
      <c r="A3699" s="528" t="s">
        <v>10630</v>
      </c>
      <c r="B3699" s="528" t="s">
        <v>10631</v>
      </c>
      <c r="C3699" s="528" t="s">
        <v>1828</v>
      </c>
      <c r="D3699" s="528" t="s">
        <v>277</v>
      </c>
      <c r="E3699" s="528"/>
      <c r="F3699" s="528"/>
      <c r="G3699" s="528" t="s">
        <v>205</v>
      </c>
      <c r="H3699"/>
    </row>
    <row r="3700" spans="1:8" x14ac:dyDescent="0.35">
      <c r="A3700" s="528" t="s">
        <v>10632</v>
      </c>
      <c r="B3700" s="528" t="s">
        <v>10633</v>
      </c>
      <c r="C3700" s="528" t="s">
        <v>1276</v>
      </c>
      <c r="D3700" s="528" t="s">
        <v>264</v>
      </c>
      <c r="E3700" s="528"/>
      <c r="F3700" s="528"/>
      <c r="G3700" s="528" t="s">
        <v>205</v>
      </c>
      <c r="H3700"/>
    </row>
    <row r="3701" spans="1:8" x14ac:dyDescent="0.35">
      <c r="A3701" s="528" t="s">
        <v>10634</v>
      </c>
      <c r="B3701" s="528" t="s">
        <v>10635</v>
      </c>
      <c r="C3701" s="528" t="s">
        <v>4636</v>
      </c>
      <c r="D3701" s="528" t="s">
        <v>225</v>
      </c>
      <c r="E3701" s="528"/>
      <c r="F3701" s="528"/>
      <c r="G3701" s="528" t="s">
        <v>208</v>
      </c>
      <c r="H3701"/>
    </row>
    <row r="3702" spans="1:8" x14ac:dyDescent="0.35">
      <c r="A3702" s="528" t="s">
        <v>10636</v>
      </c>
      <c r="B3702" s="528" t="s">
        <v>10637</v>
      </c>
      <c r="C3702" s="528" t="s">
        <v>10638</v>
      </c>
      <c r="D3702" s="528" t="s">
        <v>264</v>
      </c>
      <c r="E3702" s="528"/>
      <c r="F3702" s="528"/>
      <c r="G3702" s="528" t="s">
        <v>205</v>
      </c>
      <c r="H3702"/>
    </row>
    <row r="3703" spans="1:8" x14ac:dyDescent="0.35">
      <c r="A3703" s="528" t="s">
        <v>10639</v>
      </c>
      <c r="B3703" s="528" t="s">
        <v>10640</v>
      </c>
      <c r="C3703" s="528" t="s">
        <v>10641</v>
      </c>
      <c r="D3703" s="528" t="s">
        <v>277</v>
      </c>
      <c r="E3703" s="528"/>
      <c r="F3703" s="528"/>
      <c r="G3703" s="528" t="s">
        <v>208</v>
      </c>
      <c r="H3703"/>
    </row>
    <row r="3704" spans="1:8" x14ac:dyDescent="0.35">
      <c r="A3704" s="528" t="s">
        <v>10642</v>
      </c>
      <c r="B3704" s="528" t="s">
        <v>10643</v>
      </c>
      <c r="C3704" s="528" t="s">
        <v>10644</v>
      </c>
      <c r="D3704" s="528" t="s">
        <v>251</v>
      </c>
      <c r="E3704" s="528"/>
      <c r="F3704" s="528"/>
      <c r="G3704" s="528" t="s">
        <v>208</v>
      </c>
      <c r="H3704"/>
    </row>
    <row r="3705" spans="1:8" x14ac:dyDescent="0.35">
      <c r="A3705" s="528" t="s">
        <v>10645</v>
      </c>
      <c r="B3705" s="528" t="s">
        <v>10646</v>
      </c>
      <c r="C3705" s="528" t="s">
        <v>8920</v>
      </c>
      <c r="D3705" s="528" t="s">
        <v>277</v>
      </c>
      <c r="E3705" s="528"/>
      <c r="F3705" s="528"/>
      <c r="G3705" s="528" t="s">
        <v>208</v>
      </c>
      <c r="H3705"/>
    </row>
    <row r="3706" spans="1:8" x14ac:dyDescent="0.35">
      <c r="A3706" s="528" t="s">
        <v>10647</v>
      </c>
      <c r="B3706" s="528" t="s">
        <v>10648</v>
      </c>
      <c r="C3706" s="528" t="s">
        <v>10649</v>
      </c>
      <c r="D3706" s="528" t="s">
        <v>238</v>
      </c>
      <c r="E3706" s="528"/>
      <c r="F3706" s="528"/>
      <c r="G3706" s="528" t="s">
        <v>208</v>
      </c>
      <c r="H3706"/>
    </row>
    <row r="3707" spans="1:8" x14ac:dyDescent="0.35">
      <c r="A3707" s="528" t="s">
        <v>10650</v>
      </c>
      <c r="B3707" s="528" t="s">
        <v>10651</v>
      </c>
      <c r="C3707" s="528" t="s">
        <v>1365</v>
      </c>
      <c r="D3707" s="528" t="s">
        <v>225</v>
      </c>
      <c r="E3707" s="528"/>
      <c r="F3707" s="528"/>
      <c r="G3707" s="528" t="s">
        <v>205</v>
      </c>
      <c r="H3707"/>
    </row>
    <row r="3708" spans="1:8" x14ac:dyDescent="0.35">
      <c r="A3708" s="528" t="s">
        <v>10652</v>
      </c>
      <c r="B3708" s="528" t="s">
        <v>10653</v>
      </c>
      <c r="C3708" s="528" t="s">
        <v>3721</v>
      </c>
      <c r="D3708" s="528" t="s">
        <v>225</v>
      </c>
      <c r="E3708" s="528"/>
      <c r="F3708" s="528"/>
      <c r="G3708" s="528" t="s">
        <v>205</v>
      </c>
      <c r="H3708"/>
    </row>
    <row r="3709" spans="1:8" x14ac:dyDescent="0.35">
      <c r="A3709" s="528" t="s">
        <v>10654</v>
      </c>
      <c r="B3709" s="528" t="s">
        <v>10655</v>
      </c>
      <c r="C3709" s="528" t="s">
        <v>1745</v>
      </c>
      <c r="D3709" s="528" t="s">
        <v>225</v>
      </c>
      <c r="E3709" s="528"/>
      <c r="F3709" s="528"/>
      <c r="G3709" s="528" t="s">
        <v>205</v>
      </c>
      <c r="H3709"/>
    </row>
    <row r="3710" spans="1:8" x14ac:dyDescent="0.35">
      <c r="A3710" s="528" t="s">
        <v>10656</v>
      </c>
      <c r="B3710" s="528" t="s">
        <v>10657</v>
      </c>
      <c r="C3710" s="528" t="s">
        <v>10658</v>
      </c>
      <c r="D3710" s="528" t="s">
        <v>225</v>
      </c>
      <c r="E3710" s="528"/>
      <c r="F3710" s="528"/>
      <c r="G3710" s="528" t="s">
        <v>205</v>
      </c>
      <c r="H3710"/>
    </row>
    <row r="3711" spans="1:8" x14ac:dyDescent="0.35">
      <c r="A3711" s="528" t="s">
        <v>10659</v>
      </c>
      <c r="B3711" s="528" t="s">
        <v>10660</v>
      </c>
      <c r="C3711" s="528" t="s">
        <v>10661</v>
      </c>
      <c r="D3711" s="528" t="s">
        <v>264</v>
      </c>
      <c r="E3711" s="528"/>
      <c r="F3711" s="528"/>
      <c r="G3711" s="528" t="s">
        <v>205</v>
      </c>
      <c r="H3711"/>
    </row>
    <row r="3712" spans="1:8" x14ac:dyDescent="0.35">
      <c r="A3712" s="528" t="s">
        <v>10662</v>
      </c>
      <c r="B3712" s="528" t="s">
        <v>10663</v>
      </c>
      <c r="C3712" s="528" t="s">
        <v>10664</v>
      </c>
      <c r="D3712" s="528" t="s">
        <v>277</v>
      </c>
      <c r="E3712" s="528"/>
      <c r="F3712" s="528"/>
      <c r="G3712" s="528" t="s">
        <v>205</v>
      </c>
      <c r="H3712"/>
    </row>
    <row r="3713" spans="1:8" x14ac:dyDescent="0.35">
      <c r="A3713" s="528" t="s">
        <v>10665</v>
      </c>
      <c r="B3713" s="528" t="s">
        <v>10666</v>
      </c>
      <c r="C3713" s="528" t="s">
        <v>10667</v>
      </c>
      <c r="D3713" s="528" t="s">
        <v>251</v>
      </c>
      <c r="E3713" s="528"/>
      <c r="F3713" s="528"/>
      <c r="G3713" s="528" t="s">
        <v>205</v>
      </c>
      <c r="H3713"/>
    </row>
    <row r="3714" spans="1:8" x14ac:dyDescent="0.35">
      <c r="A3714" s="528" t="s">
        <v>10668</v>
      </c>
      <c r="B3714" s="528" t="s">
        <v>10669</v>
      </c>
      <c r="C3714" s="528" t="s">
        <v>10670</v>
      </c>
      <c r="D3714" s="528" t="s">
        <v>251</v>
      </c>
      <c r="E3714" s="528"/>
      <c r="F3714" s="528"/>
      <c r="G3714" s="528" t="s">
        <v>208</v>
      </c>
      <c r="H3714"/>
    </row>
    <row r="3715" spans="1:8" x14ac:dyDescent="0.35">
      <c r="A3715" s="528" t="s">
        <v>10671</v>
      </c>
      <c r="B3715" s="528" t="s">
        <v>10672</v>
      </c>
      <c r="C3715" s="528" t="s">
        <v>10673</v>
      </c>
      <c r="D3715" s="528" t="s">
        <v>251</v>
      </c>
      <c r="E3715" s="528"/>
      <c r="F3715" s="528"/>
      <c r="G3715" s="528" t="s">
        <v>208</v>
      </c>
      <c r="H3715"/>
    </row>
    <row r="3716" spans="1:8" x14ac:dyDescent="0.35">
      <c r="A3716" s="528" t="s">
        <v>10674</v>
      </c>
      <c r="B3716" s="528" t="s">
        <v>10675</v>
      </c>
      <c r="C3716" s="528" t="s">
        <v>10676</v>
      </c>
      <c r="D3716" s="528" t="s">
        <v>251</v>
      </c>
      <c r="E3716" s="528"/>
      <c r="F3716" s="528"/>
      <c r="G3716" s="528" t="s">
        <v>208</v>
      </c>
      <c r="H3716"/>
    </row>
    <row r="3717" spans="1:8" x14ac:dyDescent="0.35">
      <c r="A3717" s="528" t="s">
        <v>10677</v>
      </c>
      <c r="B3717" s="528" t="s">
        <v>10678</v>
      </c>
      <c r="C3717" s="528" t="s">
        <v>10679</v>
      </c>
      <c r="D3717" s="528" t="s">
        <v>238</v>
      </c>
      <c r="E3717" s="528"/>
      <c r="F3717" s="528"/>
      <c r="G3717" s="528" t="s">
        <v>205</v>
      </c>
      <c r="H3717"/>
    </row>
    <row r="3718" spans="1:8" x14ac:dyDescent="0.35">
      <c r="A3718" s="528" t="s">
        <v>10680</v>
      </c>
      <c r="B3718" s="528" t="s">
        <v>10681</v>
      </c>
      <c r="C3718" s="528" t="s">
        <v>10682</v>
      </c>
      <c r="D3718" s="528" t="s">
        <v>238</v>
      </c>
      <c r="E3718" s="528"/>
      <c r="F3718" s="528"/>
      <c r="G3718" s="528" t="s">
        <v>205</v>
      </c>
      <c r="H3718"/>
    </row>
    <row r="3719" spans="1:8" x14ac:dyDescent="0.35">
      <c r="A3719" s="528" t="s">
        <v>10683</v>
      </c>
      <c r="B3719" s="528" t="s">
        <v>10684</v>
      </c>
      <c r="C3719" s="528" t="s">
        <v>10685</v>
      </c>
      <c r="D3719" s="528" t="s">
        <v>238</v>
      </c>
      <c r="E3719" s="528"/>
      <c r="F3719" s="528"/>
      <c r="G3719" s="528" t="s">
        <v>208</v>
      </c>
      <c r="H3719"/>
    </row>
    <row r="3720" spans="1:8" x14ac:dyDescent="0.35">
      <c r="A3720" s="528" t="s">
        <v>10686</v>
      </c>
      <c r="B3720" s="528" t="s">
        <v>10687</v>
      </c>
      <c r="C3720" s="528" t="s">
        <v>10688</v>
      </c>
      <c r="D3720" s="528" t="s">
        <v>251</v>
      </c>
      <c r="E3720" s="528"/>
      <c r="F3720" s="528"/>
      <c r="G3720" s="528" t="s">
        <v>208</v>
      </c>
      <c r="H3720"/>
    </row>
    <row r="3721" spans="1:8" x14ac:dyDescent="0.35">
      <c r="A3721" s="528" t="s">
        <v>10689</v>
      </c>
      <c r="B3721" s="528" t="s">
        <v>10690</v>
      </c>
      <c r="C3721" s="528" t="s">
        <v>10691</v>
      </c>
      <c r="D3721" s="528" t="s">
        <v>251</v>
      </c>
      <c r="E3721" s="528"/>
      <c r="F3721" s="528"/>
      <c r="G3721" s="528" t="s">
        <v>208</v>
      </c>
      <c r="H3721"/>
    </row>
    <row r="3722" spans="1:8" x14ac:dyDescent="0.35">
      <c r="A3722" s="528" t="s">
        <v>10692</v>
      </c>
      <c r="B3722" s="528" t="s">
        <v>10693</v>
      </c>
      <c r="C3722" s="528" t="s">
        <v>10694</v>
      </c>
      <c r="D3722" s="528" t="s">
        <v>238</v>
      </c>
      <c r="E3722" s="528"/>
      <c r="F3722" s="528"/>
      <c r="G3722" s="528" t="s">
        <v>208</v>
      </c>
      <c r="H3722"/>
    </row>
    <row r="3723" spans="1:8" x14ac:dyDescent="0.35">
      <c r="A3723" s="528" t="s">
        <v>10695</v>
      </c>
      <c r="B3723" s="528" t="s">
        <v>10696</v>
      </c>
      <c r="C3723" s="528" t="s">
        <v>10697</v>
      </c>
      <c r="D3723" s="528" t="s">
        <v>251</v>
      </c>
      <c r="E3723" s="528"/>
      <c r="F3723" s="528"/>
      <c r="G3723" s="528" t="s">
        <v>208</v>
      </c>
      <c r="H3723"/>
    </row>
    <row r="3724" spans="1:8" x14ac:dyDescent="0.35">
      <c r="A3724" s="528" t="s">
        <v>10698</v>
      </c>
      <c r="B3724" s="528" t="s">
        <v>10699</v>
      </c>
      <c r="C3724" s="528" t="s">
        <v>4836</v>
      </c>
      <c r="D3724" s="528" t="s">
        <v>225</v>
      </c>
      <c r="E3724" s="528"/>
      <c r="F3724" s="528"/>
      <c r="G3724" s="528" t="s">
        <v>205</v>
      </c>
      <c r="H3724"/>
    </row>
    <row r="3725" spans="1:8" x14ac:dyDescent="0.35">
      <c r="A3725" s="528" t="s">
        <v>10700</v>
      </c>
      <c r="B3725" s="528" t="s">
        <v>10701</v>
      </c>
      <c r="C3725" s="528" t="s">
        <v>10702</v>
      </c>
      <c r="D3725" s="528" t="s">
        <v>264</v>
      </c>
      <c r="E3725" s="528"/>
      <c r="F3725" s="528"/>
      <c r="G3725" s="528" t="s">
        <v>208</v>
      </c>
      <c r="H3725"/>
    </row>
    <row r="3726" spans="1:8" x14ac:dyDescent="0.35">
      <c r="A3726" s="528" t="s">
        <v>10703</v>
      </c>
      <c r="B3726" s="528" t="s">
        <v>10704</v>
      </c>
      <c r="C3726" s="528" t="s">
        <v>10705</v>
      </c>
      <c r="D3726" s="528" t="s">
        <v>225</v>
      </c>
      <c r="E3726" s="528"/>
      <c r="F3726" s="528"/>
      <c r="G3726" s="528" t="s">
        <v>208</v>
      </c>
      <c r="H3726"/>
    </row>
    <row r="3727" spans="1:8" x14ac:dyDescent="0.35">
      <c r="A3727" s="528" t="s">
        <v>10706</v>
      </c>
      <c r="B3727" s="528" t="s">
        <v>10707</v>
      </c>
      <c r="C3727" s="528" t="s">
        <v>3283</v>
      </c>
      <c r="D3727" s="528" t="s">
        <v>264</v>
      </c>
      <c r="E3727" s="528"/>
      <c r="F3727" s="528"/>
      <c r="G3727" s="528" t="s">
        <v>205</v>
      </c>
      <c r="H3727"/>
    </row>
    <row r="3728" spans="1:8" x14ac:dyDescent="0.35">
      <c r="A3728" s="528" t="s">
        <v>10708</v>
      </c>
      <c r="B3728" s="528" t="s">
        <v>10709</v>
      </c>
      <c r="C3728" s="528" t="s">
        <v>10710</v>
      </c>
      <c r="D3728" s="528" t="s">
        <v>264</v>
      </c>
      <c r="E3728" s="528"/>
      <c r="F3728" s="528"/>
      <c r="G3728" s="528" t="s">
        <v>208</v>
      </c>
      <c r="H3728"/>
    </row>
    <row r="3729" spans="1:8" x14ac:dyDescent="0.35">
      <c r="A3729" s="528" t="s">
        <v>10711</v>
      </c>
      <c r="B3729" s="528" t="s">
        <v>10712</v>
      </c>
      <c r="C3729" s="528" t="s">
        <v>10713</v>
      </c>
      <c r="D3729" s="528" t="s">
        <v>238</v>
      </c>
      <c r="E3729" s="528"/>
      <c r="F3729" s="528"/>
      <c r="G3729" s="528" t="s">
        <v>208</v>
      </c>
      <c r="H3729"/>
    </row>
    <row r="3730" spans="1:8" x14ac:dyDescent="0.35">
      <c r="A3730" s="528" t="s">
        <v>10714</v>
      </c>
      <c r="B3730" s="528" t="s">
        <v>10715</v>
      </c>
      <c r="C3730" s="528" t="s">
        <v>4336</v>
      </c>
      <c r="D3730" s="528" t="s">
        <v>225</v>
      </c>
      <c r="E3730" s="528"/>
      <c r="F3730" s="528"/>
      <c r="G3730" s="528" t="s">
        <v>208</v>
      </c>
      <c r="H3730"/>
    </row>
    <row r="3731" spans="1:8" x14ac:dyDescent="0.35">
      <c r="A3731" s="528" t="s">
        <v>10716</v>
      </c>
      <c r="B3731" s="528" t="s">
        <v>10717</v>
      </c>
      <c r="C3731" s="528" t="s">
        <v>4959</v>
      </c>
      <c r="D3731" s="528" t="s">
        <v>277</v>
      </c>
      <c r="E3731" s="528"/>
      <c r="F3731" s="528"/>
      <c r="G3731" s="528" t="s">
        <v>208</v>
      </c>
      <c r="H3731"/>
    </row>
    <row r="3732" spans="1:8" x14ac:dyDescent="0.35">
      <c r="A3732" s="528" t="s">
        <v>10718</v>
      </c>
      <c r="B3732" s="528" t="s">
        <v>10719</v>
      </c>
      <c r="C3732" s="528" t="s">
        <v>10720</v>
      </c>
      <c r="D3732" s="528" t="s">
        <v>277</v>
      </c>
      <c r="E3732" s="528"/>
      <c r="F3732" s="528"/>
      <c r="G3732" s="528" t="s">
        <v>205</v>
      </c>
      <c r="H3732"/>
    </row>
    <row r="3733" spans="1:8" x14ac:dyDescent="0.35">
      <c r="A3733" s="528" t="s">
        <v>10721</v>
      </c>
      <c r="B3733" s="528" t="s">
        <v>10722</v>
      </c>
      <c r="C3733" s="528" t="s">
        <v>1365</v>
      </c>
      <c r="D3733" s="528" t="s">
        <v>225</v>
      </c>
      <c r="E3733" s="528"/>
      <c r="F3733" s="528"/>
      <c r="G3733" s="528" t="s">
        <v>205</v>
      </c>
      <c r="H3733"/>
    </row>
    <row r="3734" spans="1:8" x14ac:dyDescent="0.35">
      <c r="A3734" s="528" t="s">
        <v>10723</v>
      </c>
      <c r="B3734" s="528" t="s">
        <v>10724</v>
      </c>
      <c r="C3734" s="528" t="s">
        <v>10725</v>
      </c>
      <c r="D3734" s="528" t="s">
        <v>264</v>
      </c>
      <c r="E3734" s="528"/>
      <c r="F3734" s="528"/>
      <c r="G3734" s="528" t="s">
        <v>208</v>
      </c>
      <c r="H3734"/>
    </row>
    <row r="3735" spans="1:8" x14ac:dyDescent="0.35">
      <c r="A3735" s="528" t="s">
        <v>10726</v>
      </c>
      <c r="B3735" s="528" t="s">
        <v>10727</v>
      </c>
      <c r="C3735" s="528" t="s">
        <v>10728</v>
      </c>
      <c r="D3735" s="528" t="s">
        <v>264</v>
      </c>
      <c r="E3735" s="528"/>
      <c r="F3735" s="528"/>
      <c r="G3735" s="528" t="s">
        <v>208</v>
      </c>
      <c r="H3735"/>
    </row>
    <row r="3736" spans="1:8" x14ac:dyDescent="0.35">
      <c r="A3736" s="528" t="s">
        <v>10729</v>
      </c>
      <c r="B3736" s="528" t="s">
        <v>10730</v>
      </c>
      <c r="C3736" s="528" t="s">
        <v>10298</v>
      </c>
      <c r="D3736" s="528" t="s">
        <v>264</v>
      </c>
      <c r="E3736" s="528"/>
      <c r="F3736" s="528"/>
      <c r="G3736" s="528" t="s">
        <v>205</v>
      </c>
      <c r="H3736"/>
    </row>
    <row r="3737" spans="1:8" x14ac:dyDescent="0.35">
      <c r="A3737" s="528" t="s">
        <v>10731</v>
      </c>
      <c r="B3737" s="528" t="s">
        <v>10732</v>
      </c>
      <c r="C3737" s="528" t="s">
        <v>10301</v>
      </c>
      <c r="D3737" s="528" t="s">
        <v>264</v>
      </c>
      <c r="E3737" s="528"/>
      <c r="F3737" s="528"/>
      <c r="G3737" s="528" t="s">
        <v>210</v>
      </c>
      <c r="H3737"/>
    </row>
    <row r="3738" spans="1:8" x14ac:dyDescent="0.35">
      <c r="A3738" s="528" t="s">
        <v>10733</v>
      </c>
      <c r="B3738" s="528" t="s">
        <v>10734</v>
      </c>
      <c r="C3738" s="528" t="s">
        <v>10735</v>
      </c>
      <c r="D3738" s="528" t="s">
        <v>277</v>
      </c>
      <c r="E3738" s="528"/>
      <c r="F3738" s="528"/>
      <c r="G3738" s="528" t="s">
        <v>208</v>
      </c>
      <c r="H3738"/>
    </row>
    <row r="3739" spans="1:8" x14ac:dyDescent="0.35">
      <c r="A3739" s="528" t="s">
        <v>10736</v>
      </c>
      <c r="B3739" s="528" t="s">
        <v>10737</v>
      </c>
      <c r="C3739" s="528" t="s">
        <v>10738</v>
      </c>
      <c r="D3739" s="528" t="s">
        <v>277</v>
      </c>
      <c r="E3739" s="528"/>
      <c r="F3739" s="528"/>
      <c r="G3739" s="528" t="s">
        <v>208</v>
      </c>
      <c r="H3739"/>
    </row>
    <row r="3740" spans="1:8" x14ac:dyDescent="0.35">
      <c r="A3740" s="528" t="s">
        <v>10739</v>
      </c>
      <c r="B3740" s="528" t="s">
        <v>10740</v>
      </c>
      <c r="C3740" s="528" t="s">
        <v>10741</v>
      </c>
      <c r="D3740" s="528" t="s">
        <v>277</v>
      </c>
      <c r="E3740" s="528"/>
      <c r="F3740" s="528"/>
      <c r="G3740" s="528" t="s">
        <v>214</v>
      </c>
      <c r="H3740"/>
    </row>
    <row r="3741" spans="1:8" x14ac:dyDescent="0.35">
      <c r="A3741" s="528" t="s">
        <v>10742</v>
      </c>
      <c r="B3741" s="528" t="s">
        <v>10743</v>
      </c>
      <c r="C3741" s="528" t="s">
        <v>10744</v>
      </c>
      <c r="D3741" s="528" t="s">
        <v>277</v>
      </c>
      <c r="E3741" s="528"/>
      <c r="F3741" s="528"/>
      <c r="G3741" s="528" t="s">
        <v>214</v>
      </c>
      <c r="H3741"/>
    </row>
    <row r="3742" spans="1:8" x14ac:dyDescent="0.35">
      <c r="A3742" s="528" t="s">
        <v>10745</v>
      </c>
      <c r="B3742" s="528" t="s">
        <v>10746</v>
      </c>
      <c r="C3742" s="528" t="s">
        <v>10747</v>
      </c>
      <c r="D3742" s="528" t="s">
        <v>277</v>
      </c>
      <c r="E3742" s="528"/>
      <c r="F3742" s="528"/>
      <c r="G3742" s="528" t="s">
        <v>205</v>
      </c>
      <c r="H3742"/>
    </row>
    <row r="3743" spans="1:8" x14ac:dyDescent="0.35">
      <c r="A3743" s="528" t="s">
        <v>10748</v>
      </c>
      <c r="B3743" s="528" t="s">
        <v>10749</v>
      </c>
      <c r="C3743" s="528" t="s">
        <v>10750</v>
      </c>
      <c r="D3743" s="528" t="s">
        <v>264</v>
      </c>
      <c r="E3743" s="528"/>
      <c r="F3743" s="528"/>
      <c r="G3743" s="528" t="s">
        <v>205</v>
      </c>
      <c r="H3743"/>
    </row>
    <row r="3744" spans="1:8" x14ac:dyDescent="0.35">
      <c r="A3744" s="528" t="s">
        <v>10751</v>
      </c>
      <c r="B3744" s="528" t="s">
        <v>10752</v>
      </c>
      <c r="C3744" s="528" t="s">
        <v>10753</v>
      </c>
      <c r="D3744" s="528" t="s">
        <v>277</v>
      </c>
      <c r="E3744" s="528"/>
      <c r="F3744" s="528"/>
      <c r="G3744" s="528" t="s">
        <v>205</v>
      </c>
      <c r="H3744"/>
    </row>
    <row r="3745" spans="1:8" x14ac:dyDescent="0.35">
      <c r="A3745" s="528" t="s">
        <v>10754</v>
      </c>
      <c r="B3745" s="528" t="s">
        <v>10755</v>
      </c>
      <c r="C3745" s="528" t="s">
        <v>10756</v>
      </c>
      <c r="D3745" s="528" t="s">
        <v>277</v>
      </c>
      <c r="E3745" s="528"/>
      <c r="F3745" s="528"/>
      <c r="G3745" s="528" t="s">
        <v>205</v>
      </c>
      <c r="H3745"/>
    </row>
    <row r="3746" spans="1:8" x14ac:dyDescent="0.35">
      <c r="A3746" s="528" t="s">
        <v>10757</v>
      </c>
      <c r="B3746" s="528" t="s">
        <v>10758</v>
      </c>
      <c r="C3746" s="528" t="s">
        <v>10759</v>
      </c>
      <c r="D3746" s="528" t="s">
        <v>264</v>
      </c>
      <c r="E3746" s="528"/>
      <c r="F3746" s="528"/>
      <c r="G3746" s="528" t="s">
        <v>210</v>
      </c>
      <c r="H3746"/>
    </row>
    <row r="3747" spans="1:8" x14ac:dyDescent="0.35">
      <c r="A3747" s="528" t="s">
        <v>10760</v>
      </c>
      <c r="B3747" s="528" t="s">
        <v>10761</v>
      </c>
      <c r="C3747" s="528" t="s">
        <v>10762</v>
      </c>
      <c r="D3747" s="528" t="s">
        <v>277</v>
      </c>
      <c r="E3747" s="528"/>
      <c r="F3747" s="528"/>
      <c r="G3747" s="528" t="s">
        <v>208</v>
      </c>
      <c r="H3747"/>
    </row>
    <row r="3748" spans="1:8" x14ac:dyDescent="0.35">
      <c r="A3748" s="528" t="s">
        <v>10763</v>
      </c>
      <c r="B3748" s="528" t="s">
        <v>10764</v>
      </c>
      <c r="C3748" s="528" t="s">
        <v>1252</v>
      </c>
      <c r="D3748" s="528" t="s">
        <v>277</v>
      </c>
      <c r="E3748" s="528"/>
      <c r="F3748" s="528"/>
      <c r="G3748" s="528" t="s">
        <v>205</v>
      </c>
      <c r="H3748"/>
    </row>
    <row r="3749" spans="1:8" x14ac:dyDescent="0.35">
      <c r="A3749" s="528" t="s">
        <v>10765</v>
      </c>
      <c r="B3749" s="528" t="s">
        <v>10766</v>
      </c>
      <c r="C3749" s="528" t="s">
        <v>1341</v>
      </c>
      <c r="D3749" s="528" t="s">
        <v>277</v>
      </c>
      <c r="E3749" s="528"/>
      <c r="F3749" s="528"/>
      <c r="G3749" s="528" t="s">
        <v>205</v>
      </c>
      <c r="H3749"/>
    </row>
    <row r="3750" spans="1:8" x14ac:dyDescent="0.35">
      <c r="A3750" s="528" t="s">
        <v>10767</v>
      </c>
      <c r="B3750" s="528" t="s">
        <v>10768</v>
      </c>
      <c r="C3750" s="528" t="s">
        <v>10769</v>
      </c>
      <c r="D3750" s="528" t="s">
        <v>264</v>
      </c>
      <c r="E3750" s="528"/>
      <c r="F3750" s="528"/>
      <c r="G3750" s="528" t="s">
        <v>208</v>
      </c>
      <c r="H3750"/>
    </row>
    <row r="3751" spans="1:8" x14ac:dyDescent="0.35">
      <c r="A3751" s="528" t="s">
        <v>10770</v>
      </c>
      <c r="B3751" s="528" t="s">
        <v>10771</v>
      </c>
      <c r="C3751" s="528" t="s">
        <v>10772</v>
      </c>
      <c r="D3751" s="528" t="s">
        <v>264</v>
      </c>
      <c r="E3751" s="528"/>
      <c r="F3751" s="528"/>
      <c r="G3751" s="528" t="s">
        <v>208</v>
      </c>
      <c r="H3751"/>
    </row>
    <row r="3752" spans="1:8" x14ac:dyDescent="0.35">
      <c r="A3752" s="528" t="s">
        <v>10773</v>
      </c>
      <c r="B3752" s="528" t="s">
        <v>10774</v>
      </c>
      <c r="C3752" s="528" t="s">
        <v>10775</v>
      </c>
      <c r="D3752" s="528" t="s">
        <v>264</v>
      </c>
      <c r="E3752" s="528"/>
      <c r="F3752" s="528"/>
      <c r="G3752" s="528" t="s">
        <v>210</v>
      </c>
      <c r="H3752"/>
    </row>
    <row r="3753" spans="1:8" x14ac:dyDescent="0.35">
      <c r="A3753" s="528" t="s">
        <v>10776</v>
      </c>
      <c r="B3753" s="528" t="s">
        <v>10777</v>
      </c>
      <c r="C3753" s="528" t="s">
        <v>10778</v>
      </c>
      <c r="D3753" s="528" t="s">
        <v>264</v>
      </c>
      <c r="E3753" s="528"/>
      <c r="F3753" s="528"/>
      <c r="G3753" s="528" t="s">
        <v>205</v>
      </c>
      <c r="H3753"/>
    </row>
    <row r="3754" spans="1:8" x14ac:dyDescent="0.35">
      <c r="A3754" s="528" t="s">
        <v>10779</v>
      </c>
      <c r="B3754" s="528" t="s">
        <v>10780</v>
      </c>
      <c r="C3754" s="528" t="s">
        <v>10781</v>
      </c>
      <c r="D3754" s="528" t="s">
        <v>277</v>
      </c>
      <c r="E3754" s="528"/>
      <c r="F3754" s="528"/>
      <c r="G3754" s="528" t="s">
        <v>208</v>
      </c>
      <c r="H3754"/>
    </row>
    <row r="3755" spans="1:8" x14ac:dyDescent="0.35">
      <c r="A3755" s="528" t="s">
        <v>10782</v>
      </c>
      <c r="B3755" s="528" t="s">
        <v>10783</v>
      </c>
      <c r="C3755" s="528" t="s">
        <v>10784</v>
      </c>
      <c r="D3755" s="528" t="s">
        <v>264</v>
      </c>
      <c r="E3755" s="528"/>
      <c r="F3755" s="528"/>
      <c r="G3755" s="528" t="s">
        <v>210</v>
      </c>
      <c r="H3755"/>
    </row>
    <row r="3756" spans="1:8" x14ac:dyDescent="0.35">
      <c r="A3756" s="528" t="s">
        <v>10785</v>
      </c>
      <c r="B3756" s="528" t="s">
        <v>10786</v>
      </c>
      <c r="C3756" s="528" t="s">
        <v>10787</v>
      </c>
      <c r="D3756" s="528" t="s">
        <v>277</v>
      </c>
      <c r="E3756" s="528"/>
      <c r="F3756" s="528"/>
      <c r="G3756" s="528" t="s">
        <v>205</v>
      </c>
      <c r="H3756"/>
    </row>
    <row r="3757" spans="1:8" x14ac:dyDescent="0.35">
      <c r="A3757" s="528" t="s">
        <v>10788</v>
      </c>
      <c r="B3757" s="528" t="s">
        <v>10789</v>
      </c>
      <c r="C3757" s="528" t="s">
        <v>1839</v>
      </c>
      <c r="D3757" s="528" t="s">
        <v>251</v>
      </c>
      <c r="E3757" s="528"/>
      <c r="F3757" s="528"/>
      <c r="G3757" s="528" t="s">
        <v>205</v>
      </c>
      <c r="H3757"/>
    </row>
    <row r="3758" spans="1:8" x14ac:dyDescent="0.35">
      <c r="A3758" s="528" t="s">
        <v>10790</v>
      </c>
      <c r="B3758" s="528" t="s">
        <v>10791</v>
      </c>
      <c r="C3758" s="528" t="s">
        <v>10792</v>
      </c>
      <c r="D3758" s="528" t="s">
        <v>251</v>
      </c>
      <c r="E3758" s="528"/>
      <c r="F3758" s="528"/>
      <c r="G3758" s="528" t="s">
        <v>205</v>
      </c>
      <c r="H3758"/>
    </row>
    <row r="3759" spans="1:8" x14ac:dyDescent="0.35">
      <c r="A3759" s="528" t="s">
        <v>10793</v>
      </c>
      <c r="B3759" s="528" t="s">
        <v>10794</v>
      </c>
      <c r="C3759" s="528" t="s">
        <v>1504</v>
      </c>
      <c r="D3759" s="528" t="s">
        <v>277</v>
      </c>
      <c r="E3759" s="528"/>
      <c r="F3759" s="528"/>
      <c r="G3759" s="528" t="s">
        <v>205</v>
      </c>
      <c r="H3759"/>
    </row>
    <row r="3760" spans="1:8" x14ac:dyDescent="0.35">
      <c r="A3760" s="528" t="s">
        <v>10795</v>
      </c>
      <c r="B3760" s="528" t="s">
        <v>10796</v>
      </c>
      <c r="C3760" s="528" t="s">
        <v>10797</v>
      </c>
      <c r="D3760" s="528" t="s">
        <v>264</v>
      </c>
      <c r="E3760" s="528"/>
      <c r="F3760" s="528"/>
      <c r="G3760" s="528" t="s">
        <v>210</v>
      </c>
      <c r="H3760"/>
    </row>
    <row r="3761" spans="1:8" x14ac:dyDescent="0.35">
      <c r="A3761" s="528" t="s">
        <v>10798</v>
      </c>
      <c r="B3761" s="528" t="s">
        <v>10799</v>
      </c>
      <c r="C3761" s="528" t="s">
        <v>10800</v>
      </c>
      <c r="D3761" s="528" t="s">
        <v>277</v>
      </c>
      <c r="E3761" s="528"/>
      <c r="F3761" s="528"/>
      <c r="G3761" s="528" t="s">
        <v>205</v>
      </c>
      <c r="H3761"/>
    </row>
    <row r="3762" spans="1:8" x14ac:dyDescent="0.35">
      <c r="A3762" s="528" t="s">
        <v>10801</v>
      </c>
      <c r="B3762" s="528" t="s">
        <v>10802</v>
      </c>
      <c r="C3762" s="528" t="s">
        <v>10803</v>
      </c>
      <c r="D3762" s="528" t="s">
        <v>277</v>
      </c>
      <c r="E3762" s="528"/>
      <c r="F3762" s="528"/>
      <c r="G3762" s="528" t="s">
        <v>205</v>
      </c>
      <c r="H3762"/>
    </row>
    <row r="3763" spans="1:8" x14ac:dyDescent="0.35">
      <c r="A3763" s="528" t="s">
        <v>10804</v>
      </c>
      <c r="B3763" s="528" t="s">
        <v>10805</v>
      </c>
      <c r="C3763" s="528" t="s">
        <v>4693</v>
      </c>
      <c r="D3763" s="528" t="s">
        <v>238</v>
      </c>
      <c r="E3763" s="528"/>
      <c r="F3763" s="528"/>
      <c r="G3763" s="528" t="s">
        <v>205</v>
      </c>
      <c r="H3763"/>
    </row>
    <row r="3764" spans="1:8" x14ac:dyDescent="0.35">
      <c r="A3764" s="528" t="s">
        <v>10806</v>
      </c>
      <c r="B3764" s="528" t="s">
        <v>10807</v>
      </c>
      <c r="C3764" s="528" t="s">
        <v>4067</v>
      </c>
      <c r="D3764" s="528" t="s">
        <v>264</v>
      </c>
      <c r="E3764" s="528"/>
      <c r="F3764" s="528"/>
      <c r="G3764" s="528" t="s">
        <v>208</v>
      </c>
      <c r="H3764"/>
    </row>
    <row r="3765" spans="1:8" x14ac:dyDescent="0.35">
      <c r="A3765" s="528" t="s">
        <v>10808</v>
      </c>
      <c r="B3765" s="528" t="s">
        <v>10809</v>
      </c>
      <c r="C3765" s="528" t="s">
        <v>1023</v>
      </c>
      <c r="D3765" s="528" t="s">
        <v>251</v>
      </c>
      <c r="E3765" s="528"/>
      <c r="F3765" s="528"/>
      <c r="G3765" s="528" t="s">
        <v>205</v>
      </c>
      <c r="H3765"/>
    </row>
    <row r="3766" spans="1:8" x14ac:dyDescent="0.35">
      <c r="A3766" s="528" t="s">
        <v>10810</v>
      </c>
      <c r="B3766" s="528" t="s">
        <v>10811</v>
      </c>
      <c r="C3766" s="528" t="s">
        <v>10812</v>
      </c>
      <c r="D3766" s="528" t="s">
        <v>251</v>
      </c>
      <c r="E3766" s="528"/>
      <c r="F3766" s="528"/>
      <c r="G3766" s="528" t="s">
        <v>205</v>
      </c>
      <c r="H3766"/>
    </row>
    <row r="3767" spans="1:8" x14ac:dyDescent="0.35">
      <c r="A3767" s="528" t="s">
        <v>10813</v>
      </c>
      <c r="B3767" s="528" t="s">
        <v>10814</v>
      </c>
      <c r="C3767" s="528" t="s">
        <v>10815</v>
      </c>
      <c r="D3767" s="528" t="s">
        <v>264</v>
      </c>
      <c r="E3767" s="528"/>
      <c r="F3767" s="528"/>
      <c r="G3767" s="528" t="s">
        <v>212</v>
      </c>
      <c r="H3767"/>
    </row>
    <row r="3768" spans="1:8" x14ac:dyDescent="0.35">
      <c r="A3768" s="528" t="s">
        <v>10816</v>
      </c>
      <c r="B3768" s="528" t="s">
        <v>10817</v>
      </c>
      <c r="C3768" s="528" t="s">
        <v>4291</v>
      </c>
      <c r="D3768" s="528" t="s">
        <v>277</v>
      </c>
      <c r="E3768" s="528"/>
      <c r="F3768" s="528"/>
      <c r="G3768" s="528" t="s">
        <v>205</v>
      </c>
      <c r="H3768"/>
    </row>
    <row r="3769" spans="1:8" x14ac:dyDescent="0.35">
      <c r="A3769" s="528" t="s">
        <v>10818</v>
      </c>
      <c r="B3769" s="528" t="s">
        <v>10819</v>
      </c>
      <c r="C3769" s="528" t="s">
        <v>10820</v>
      </c>
      <c r="D3769" s="528" t="s">
        <v>264</v>
      </c>
      <c r="E3769" s="528"/>
      <c r="F3769" s="528"/>
      <c r="G3769" s="528" t="s">
        <v>208</v>
      </c>
      <c r="H3769"/>
    </row>
    <row r="3770" spans="1:8" x14ac:dyDescent="0.35">
      <c r="A3770" s="528" t="s">
        <v>10821</v>
      </c>
      <c r="B3770" s="528" t="s">
        <v>10822</v>
      </c>
      <c r="C3770" s="528" t="s">
        <v>10823</v>
      </c>
      <c r="D3770" s="528" t="s">
        <v>264</v>
      </c>
      <c r="E3770" s="528"/>
      <c r="F3770" s="528"/>
      <c r="G3770" s="528" t="s">
        <v>208</v>
      </c>
      <c r="H3770"/>
    </row>
    <row r="3771" spans="1:8" x14ac:dyDescent="0.35">
      <c r="A3771" s="528" t="s">
        <v>10824</v>
      </c>
      <c r="B3771" s="528" t="s">
        <v>10825</v>
      </c>
      <c r="C3771" s="528" t="s">
        <v>10826</v>
      </c>
      <c r="D3771" s="528" t="s">
        <v>264</v>
      </c>
      <c r="E3771" s="528"/>
      <c r="F3771" s="528"/>
      <c r="G3771" s="528" t="s">
        <v>208</v>
      </c>
      <c r="H3771"/>
    </row>
    <row r="3772" spans="1:8" x14ac:dyDescent="0.35">
      <c r="A3772" s="528" t="s">
        <v>10827</v>
      </c>
      <c r="B3772" s="528" t="s">
        <v>10828</v>
      </c>
      <c r="C3772" s="528" t="s">
        <v>10829</v>
      </c>
      <c r="D3772" s="528" t="s">
        <v>264</v>
      </c>
      <c r="E3772" s="528"/>
      <c r="F3772" s="528"/>
      <c r="G3772" s="528" t="s">
        <v>208</v>
      </c>
      <c r="H3772"/>
    </row>
    <row r="3773" spans="1:8" x14ac:dyDescent="0.35">
      <c r="A3773" s="528" t="s">
        <v>10830</v>
      </c>
      <c r="B3773" s="528" t="s">
        <v>10831</v>
      </c>
      <c r="C3773" s="528" t="s">
        <v>10832</v>
      </c>
      <c r="D3773" s="528" t="s">
        <v>264</v>
      </c>
      <c r="E3773" s="528"/>
      <c r="F3773" s="528"/>
      <c r="G3773" s="528" t="s">
        <v>208</v>
      </c>
      <c r="H3773"/>
    </row>
    <row r="3774" spans="1:8" x14ac:dyDescent="0.35">
      <c r="A3774" s="528" t="s">
        <v>10833</v>
      </c>
      <c r="B3774" s="528" t="s">
        <v>10834</v>
      </c>
      <c r="C3774" s="528" t="s">
        <v>10835</v>
      </c>
      <c r="D3774" s="528" t="s">
        <v>264</v>
      </c>
      <c r="E3774" s="528"/>
      <c r="F3774" s="528"/>
      <c r="G3774" s="528" t="s">
        <v>208</v>
      </c>
      <c r="H3774"/>
    </row>
    <row r="3775" spans="1:8" x14ac:dyDescent="0.35">
      <c r="A3775" s="528" t="s">
        <v>10836</v>
      </c>
      <c r="B3775" s="528" t="s">
        <v>10837</v>
      </c>
      <c r="C3775" s="528" t="s">
        <v>10838</v>
      </c>
      <c r="D3775" s="528" t="s">
        <v>264</v>
      </c>
      <c r="E3775" s="528"/>
      <c r="F3775" s="528"/>
      <c r="G3775" s="528" t="s">
        <v>208</v>
      </c>
      <c r="H3775"/>
    </row>
    <row r="3776" spans="1:8" x14ac:dyDescent="0.35">
      <c r="A3776" s="528" t="s">
        <v>10839</v>
      </c>
      <c r="B3776" s="528" t="s">
        <v>10840</v>
      </c>
      <c r="C3776" s="528" t="s">
        <v>10841</v>
      </c>
      <c r="D3776" s="528" t="s">
        <v>264</v>
      </c>
      <c r="E3776" s="528"/>
      <c r="F3776" s="528"/>
      <c r="G3776" s="528" t="s">
        <v>205</v>
      </c>
      <c r="H3776"/>
    </row>
    <row r="3777" spans="1:8" x14ac:dyDescent="0.35">
      <c r="A3777" s="528" t="s">
        <v>10842</v>
      </c>
      <c r="B3777" s="528" t="s">
        <v>10843</v>
      </c>
      <c r="C3777" s="528" t="s">
        <v>10844</v>
      </c>
      <c r="D3777" s="528" t="s">
        <v>264</v>
      </c>
      <c r="E3777" s="528"/>
      <c r="F3777" s="528"/>
      <c r="G3777" s="528" t="s">
        <v>208</v>
      </c>
      <c r="H3777"/>
    </row>
    <row r="3778" spans="1:8" x14ac:dyDescent="0.35">
      <c r="A3778" s="528" t="s">
        <v>10845</v>
      </c>
      <c r="B3778" s="528" t="s">
        <v>10846</v>
      </c>
      <c r="C3778" s="528" t="s">
        <v>10847</v>
      </c>
      <c r="D3778" s="528" t="s">
        <v>264</v>
      </c>
      <c r="E3778" s="528"/>
      <c r="F3778" s="528"/>
      <c r="G3778" s="528" t="s">
        <v>208</v>
      </c>
      <c r="H3778"/>
    </row>
    <row r="3779" spans="1:8" x14ac:dyDescent="0.35">
      <c r="A3779" s="528" t="s">
        <v>10848</v>
      </c>
      <c r="B3779" s="528" t="s">
        <v>10849</v>
      </c>
      <c r="C3779" s="528" t="s">
        <v>10850</v>
      </c>
      <c r="D3779" s="528" t="s">
        <v>264</v>
      </c>
      <c r="E3779" s="528"/>
      <c r="F3779" s="528"/>
      <c r="G3779" s="528" t="s">
        <v>208</v>
      </c>
      <c r="H3779"/>
    </row>
    <row r="3780" spans="1:8" x14ac:dyDescent="0.35">
      <c r="A3780" s="528" t="s">
        <v>10851</v>
      </c>
      <c r="B3780" s="528" t="s">
        <v>10852</v>
      </c>
      <c r="C3780" s="528" t="s">
        <v>10853</v>
      </c>
      <c r="D3780" s="528" t="s">
        <v>264</v>
      </c>
      <c r="E3780" s="528"/>
      <c r="F3780" s="528"/>
      <c r="G3780" s="528" t="s">
        <v>208</v>
      </c>
      <c r="H3780"/>
    </row>
    <row r="3781" spans="1:8" x14ac:dyDescent="0.35">
      <c r="A3781" s="528" t="s">
        <v>10854</v>
      </c>
      <c r="B3781" s="528" t="s">
        <v>10855</v>
      </c>
      <c r="C3781" s="528" t="s">
        <v>10856</v>
      </c>
      <c r="D3781" s="528" t="s">
        <v>264</v>
      </c>
      <c r="E3781" s="528"/>
      <c r="F3781" s="528"/>
      <c r="G3781" s="528" t="s">
        <v>208</v>
      </c>
      <c r="H3781"/>
    </row>
    <row r="3782" spans="1:8" x14ac:dyDescent="0.35">
      <c r="A3782" s="528" t="s">
        <v>10857</v>
      </c>
      <c r="B3782" s="528" t="s">
        <v>10858</v>
      </c>
      <c r="C3782" s="528" t="s">
        <v>10859</v>
      </c>
      <c r="D3782" s="528" t="s">
        <v>264</v>
      </c>
      <c r="E3782" s="528"/>
      <c r="F3782" s="528"/>
      <c r="G3782" s="528" t="s">
        <v>205</v>
      </c>
      <c r="H3782"/>
    </row>
    <row r="3783" spans="1:8" x14ac:dyDescent="0.35">
      <c r="A3783" s="528" t="s">
        <v>10860</v>
      </c>
      <c r="B3783" s="528" t="s">
        <v>10861</v>
      </c>
      <c r="C3783" s="528" t="s">
        <v>4857</v>
      </c>
      <c r="D3783" s="528" t="s">
        <v>251</v>
      </c>
      <c r="E3783" s="528"/>
      <c r="F3783" s="528"/>
      <c r="G3783" s="528" t="s">
        <v>208</v>
      </c>
      <c r="H3783"/>
    </row>
    <row r="3784" spans="1:8" x14ac:dyDescent="0.35">
      <c r="A3784" s="528" t="s">
        <v>10862</v>
      </c>
      <c r="B3784" s="528" t="s">
        <v>10863</v>
      </c>
      <c r="C3784" s="528" t="s">
        <v>10864</v>
      </c>
      <c r="D3784" s="528" t="s">
        <v>277</v>
      </c>
      <c r="E3784" s="528"/>
      <c r="F3784" s="528"/>
      <c r="G3784" s="528" t="s">
        <v>208</v>
      </c>
      <c r="H3784"/>
    </row>
    <row r="3785" spans="1:8" x14ac:dyDescent="0.35">
      <c r="A3785" s="528" t="s">
        <v>10865</v>
      </c>
      <c r="B3785" s="528" t="s">
        <v>10866</v>
      </c>
      <c r="C3785" s="528" t="s">
        <v>10867</v>
      </c>
      <c r="D3785" s="528" t="s">
        <v>225</v>
      </c>
      <c r="E3785" s="528" t="s">
        <v>264</v>
      </c>
      <c r="F3785" s="528"/>
      <c r="G3785" s="528" t="s">
        <v>208</v>
      </c>
      <c r="H3785"/>
    </row>
    <row r="3786" spans="1:8" x14ac:dyDescent="0.35">
      <c r="A3786" s="528" t="s">
        <v>10868</v>
      </c>
      <c r="B3786" s="528" t="s">
        <v>10869</v>
      </c>
      <c r="C3786" s="528" t="s">
        <v>6251</v>
      </c>
      <c r="D3786" s="528" t="s">
        <v>277</v>
      </c>
      <c r="E3786" s="528"/>
      <c r="F3786" s="528"/>
      <c r="G3786" s="528" t="s">
        <v>212</v>
      </c>
      <c r="H3786"/>
    </row>
    <row r="3787" spans="1:8" x14ac:dyDescent="0.35">
      <c r="A3787" s="528" t="s">
        <v>10870</v>
      </c>
      <c r="B3787" s="528" t="s">
        <v>10871</v>
      </c>
      <c r="C3787" s="528" t="s">
        <v>756</v>
      </c>
      <c r="D3787" s="528" t="s">
        <v>277</v>
      </c>
      <c r="E3787" s="528"/>
      <c r="F3787" s="528"/>
      <c r="G3787" s="528" t="s">
        <v>212</v>
      </c>
      <c r="H3787"/>
    </row>
    <row r="3788" spans="1:8" x14ac:dyDescent="0.35">
      <c r="A3788" s="528" t="s">
        <v>10872</v>
      </c>
      <c r="B3788" s="528" t="s">
        <v>10873</v>
      </c>
      <c r="C3788" s="528" t="s">
        <v>10874</v>
      </c>
      <c r="D3788" s="528" t="s">
        <v>277</v>
      </c>
      <c r="E3788" s="528"/>
      <c r="F3788" s="528"/>
      <c r="G3788" s="528" t="s">
        <v>205</v>
      </c>
      <c r="H3788"/>
    </row>
    <row r="3789" spans="1:8" x14ac:dyDescent="0.35">
      <c r="A3789" s="528" t="s">
        <v>10875</v>
      </c>
      <c r="B3789" s="528" t="s">
        <v>10876</v>
      </c>
      <c r="C3789" s="528" t="s">
        <v>10877</v>
      </c>
      <c r="D3789" s="528" t="s">
        <v>238</v>
      </c>
      <c r="E3789" s="528"/>
      <c r="F3789" s="528"/>
      <c r="G3789" s="528" t="s">
        <v>205</v>
      </c>
      <c r="H3789"/>
    </row>
    <row r="3790" spans="1:8" x14ac:dyDescent="0.35">
      <c r="A3790" s="528" t="s">
        <v>10878</v>
      </c>
      <c r="B3790" s="528" t="s">
        <v>10879</v>
      </c>
      <c r="C3790" s="528" t="s">
        <v>10880</v>
      </c>
      <c r="D3790" s="528" t="s">
        <v>264</v>
      </c>
      <c r="E3790" s="528"/>
      <c r="F3790" s="528"/>
      <c r="G3790" s="528" t="s">
        <v>205</v>
      </c>
      <c r="H3790"/>
    </row>
    <row r="3791" spans="1:8" x14ac:dyDescent="0.35">
      <c r="A3791" s="528" t="s">
        <v>10881</v>
      </c>
      <c r="B3791" s="528" t="s">
        <v>10882</v>
      </c>
      <c r="C3791" s="528" t="s">
        <v>10883</v>
      </c>
      <c r="D3791" s="528" t="s">
        <v>225</v>
      </c>
      <c r="E3791" s="528"/>
      <c r="F3791" s="528"/>
      <c r="G3791" s="528" t="s">
        <v>205</v>
      </c>
      <c r="H3791"/>
    </row>
    <row r="3792" spans="1:8" x14ac:dyDescent="0.35">
      <c r="A3792" s="528" t="s">
        <v>10884</v>
      </c>
      <c r="B3792" s="528" t="s">
        <v>10885</v>
      </c>
      <c r="C3792" s="528" t="s">
        <v>10886</v>
      </c>
      <c r="D3792" s="528" t="s">
        <v>225</v>
      </c>
      <c r="E3792" s="528"/>
      <c r="F3792" s="528"/>
      <c r="G3792" s="528" t="s">
        <v>208</v>
      </c>
      <c r="H3792"/>
    </row>
    <row r="3793" spans="1:8" x14ac:dyDescent="0.35">
      <c r="A3793" s="528" t="s">
        <v>10887</v>
      </c>
      <c r="B3793" s="528" t="s">
        <v>10888</v>
      </c>
      <c r="C3793" s="528" t="s">
        <v>3872</v>
      </c>
      <c r="D3793" s="528" t="s">
        <v>225</v>
      </c>
      <c r="E3793" s="528"/>
      <c r="F3793" s="528"/>
      <c r="G3793" s="528" t="s">
        <v>205</v>
      </c>
      <c r="H3793"/>
    </row>
    <row r="3794" spans="1:8" x14ac:dyDescent="0.35">
      <c r="A3794" s="528" t="s">
        <v>10889</v>
      </c>
      <c r="B3794" s="528" t="s">
        <v>10890</v>
      </c>
      <c r="C3794" s="528" t="s">
        <v>10522</v>
      </c>
      <c r="D3794" s="528" t="s">
        <v>251</v>
      </c>
      <c r="E3794" s="528" t="s">
        <v>277</v>
      </c>
      <c r="F3794" s="528"/>
      <c r="G3794" s="528" t="s">
        <v>212</v>
      </c>
      <c r="H3794"/>
    </row>
    <row r="3795" spans="1:8" x14ac:dyDescent="0.35">
      <c r="A3795" s="528" t="s">
        <v>10891</v>
      </c>
      <c r="B3795" s="528" t="s">
        <v>10892</v>
      </c>
      <c r="C3795" s="528" t="s">
        <v>10893</v>
      </c>
      <c r="D3795" s="528" t="s">
        <v>251</v>
      </c>
      <c r="E3795" s="528"/>
      <c r="F3795" s="528"/>
      <c r="G3795" s="528" t="s">
        <v>208</v>
      </c>
      <c r="H3795"/>
    </row>
    <row r="3796" spans="1:8" x14ac:dyDescent="0.35">
      <c r="A3796" s="528" t="s">
        <v>10894</v>
      </c>
      <c r="B3796" s="528" t="s">
        <v>10895</v>
      </c>
      <c r="C3796" s="528" t="s">
        <v>10896</v>
      </c>
      <c r="D3796" s="528" t="s">
        <v>251</v>
      </c>
      <c r="E3796" s="528"/>
      <c r="F3796" s="528"/>
      <c r="G3796" s="528" t="s">
        <v>208</v>
      </c>
      <c r="H3796"/>
    </row>
    <row r="3797" spans="1:8" x14ac:dyDescent="0.35">
      <c r="A3797" s="528" t="s">
        <v>10897</v>
      </c>
      <c r="B3797" s="528" t="s">
        <v>10898</v>
      </c>
      <c r="C3797" s="528" t="s">
        <v>8485</v>
      </c>
      <c r="D3797" s="528" t="s">
        <v>264</v>
      </c>
      <c r="E3797" s="528"/>
      <c r="F3797" s="528"/>
      <c r="G3797" s="528" t="s">
        <v>205</v>
      </c>
      <c r="H3797"/>
    </row>
    <row r="3798" spans="1:8" x14ac:dyDescent="0.35">
      <c r="A3798" s="528" t="s">
        <v>10899</v>
      </c>
      <c r="B3798" s="528" t="s">
        <v>10900</v>
      </c>
      <c r="C3798" s="528" t="s">
        <v>10901</v>
      </c>
      <c r="D3798" s="528" t="s">
        <v>264</v>
      </c>
      <c r="E3798" s="528"/>
      <c r="F3798" s="528"/>
      <c r="G3798" s="528" t="s">
        <v>205</v>
      </c>
      <c r="H3798"/>
    </row>
    <row r="3799" spans="1:8" x14ac:dyDescent="0.35">
      <c r="A3799" s="528" t="s">
        <v>10902</v>
      </c>
      <c r="B3799" s="528" t="s">
        <v>10903</v>
      </c>
      <c r="C3799" s="528" t="s">
        <v>1329</v>
      </c>
      <c r="D3799" s="528" t="s">
        <v>251</v>
      </c>
      <c r="E3799" s="528"/>
      <c r="F3799" s="528"/>
      <c r="G3799" s="528" t="s">
        <v>205</v>
      </c>
      <c r="H3799"/>
    </row>
    <row r="3800" spans="1:8" x14ac:dyDescent="0.35">
      <c r="A3800" s="528" t="s">
        <v>10904</v>
      </c>
      <c r="B3800" s="528" t="s">
        <v>10905</v>
      </c>
      <c r="C3800" s="528" t="s">
        <v>10906</v>
      </c>
      <c r="D3800" s="528" t="s">
        <v>251</v>
      </c>
      <c r="E3800" s="528"/>
      <c r="F3800" s="528"/>
      <c r="G3800" s="528" t="s">
        <v>205</v>
      </c>
      <c r="H3800"/>
    </row>
    <row r="3801" spans="1:8" x14ac:dyDescent="0.35">
      <c r="A3801" s="528" t="s">
        <v>10907</v>
      </c>
      <c r="B3801" s="528" t="s">
        <v>10908</v>
      </c>
      <c r="C3801" s="528" t="s">
        <v>10909</v>
      </c>
      <c r="D3801" s="528" t="s">
        <v>251</v>
      </c>
      <c r="E3801" s="528"/>
      <c r="F3801" s="528"/>
      <c r="G3801" s="528" t="s">
        <v>205</v>
      </c>
      <c r="H3801"/>
    </row>
    <row r="3802" spans="1:8" x14ac:dyDescent="0.35">
      <c r="A3802" s="528" t="s">
        <v>10910</v>
      </c>
      <c r="B3802" s="528" t="s">
        <v>10911</v>
      </c>
      <c r="C3802" s="528" t="s">
        <v>1371</v>
      </c>
      <c r="D3802" s="528" t="s">
        <v>238</v>
      </c>
      <c r="E3802" s="528"/>
      <c r="F3802" s="528"/>
      <c r="G3802" s="528" t="s">
        <v>205</v>
      </c>
      <c r="H3802"/>
    </row>
    <row r="3803" spans="1:8" x14ac:dyDescent="0.35">
      <c r="A3803" s="528" t="s">
        <v>10912</v>
      </c>
      <c r="B3803" s="528" t="s">
        <v>10913</v>
      </c>
      <c r="C3803" s="528" t="s">
        <v>10914</v>
      </c>
      <c r="D3803" s="528" t="s">
        <v>277</v>
      </c>
      <c r="E3803" s="528"/>
      <c r="F3803" s="528"/>
      <c r="G3803" s="528" t="s">
        <v>212</v>
      </c>
      <c r="H3803"/>
    </row>
    <row r="3804" spans="1:8" x14ac:dyDescent="0.35">
      <c r="A3804" s="528" t="s">
        <v>10915</v>
      </c>
      <c r="B3804" s="528" t="s">
        <v>10916</v>
      </c>
      <c r="C3804" s="528" t="s">
        <v>5707</v>
      </c>
      <c r="D3804" s="528" t="s">
        <v>277</v>
      </c>
      <c r="E3804" s="528"/>
      <c r="F3804" s="528"/>
      <c r="G3804" s="528" t="s">
        <v>205</v>
      </c>
      <c r="H3804"/>
    </row>
    <row r="3805" spans="1:8" x14ac:dyDescent="0.35">
      <c r="A3805" s="528" t="s">
        <v>10917</v>
      </c>
      <c r="B3805" s="528" t="s">
        <v>10918</v>
      </c>
      <c r="C3805" s="528" t="s">
        <v>10815</v>
      </c>
      <c r="D3805" s="528" t="s">
        <v>264</v>
      </c>
      <c r="E3805" s="528"/>
      <c r="F3805" s="528"/>
      <c r="G3805" s="528" t="s">
        <v>212</v>
      </c>
      <c r="H3805"/>
    </row>
    <row r="3806" spans="1:8" x14ac:dyDescent="0.35">
      <c r="A3806" s="528" t="s">
        <v>10919</v>
      </c>
      <c r="B3806" s="528" t="s">
        <v>10920</v>
      </c>
      <c r="C3806" s="528" t="s">
        <v>5087</v>
      </c>
      <c r="D3806" s="528" t="s">
        <v>251</v>
      </c>
      <c r="E3806" s="528"/>
      <c r="F3806" s="528"/>
      <c r="G3806" s="528" t="s">
        <v>205</v>
      </c>
      <c r="H3806"/>
    </row>
    <row r="3807" spans="1:8" x14ac:dyDescent="0.35">
      <c r="A3807" s="528" t="s">
        <v>10921</v>
      </c>
      <c r="B3807" s="528" t="s">
        <v>10922</v>
      </c>
      <c r="C3807" s="528" t="s">
        <v>10923</v>
      </c>
      <c r="D3807" s="528" t="s">
        <v>264</v>
      </c>
      <c r="E3807" s="528"/>
      <c r="F3807" s="528"/>
      <c r="G3807" s="528" t="s">
        <v>205</v>
      </c>
      <c r="H3807"/>
    </row>
    <row r="3808" spans="1:8" x14ac:dyDescent="0.35">
      <c r="A3808" s="528" t="s">
        <v>10924</v>
      </c>
      <c r="B3808" s="528" t="s">
        <v>10925</v>
      </c>
      <c r="C3808" s="528" t="s">
        <v>10926</v>
      </c>
      <c r="D3808" s="528" t="s">
        <v>277</v>
      </c>
      <c r="E3808" s="528"/>
      <c r="F3808" s="528"/>
      <c r="G3808" s="528" t="s">
        <v>212</v>
      </c>
      <c r="H3808"/>
    </row>
    <row r="3809" spans="1:8" x14ac:dyDescent="0.35">
      <c r="A3809" s="528" t="s">
        <v>10927</v>
      </c>
      <c r="B3809" s="528" t="s">
        <v>10928</v>
      </c>
      <c r="C3809" s="528" t="s">
        <v>10929</v>
      </c>
      <c r="D3809" s="528" t="s">
        <v>277</v>
      </c>
      <c r="E3809" s="528"/>
      <c r="F3809" s="528"/>
      <c r="G3809" s="528" t="s">
        <v>214</v>
      </c>
      <c r="H3809"/>
    </row>
    <row r="3810" spans="1:8" x14ac:dyDescent="0.35">
      <c r="A3810" s="528" t="s">
        <v>10930</v>
      </c>
      <c r="B3810" s="528" t="s">
        <v>10931</v>
      </c>
      <c r="C3810" s="528" t="s">
        <v>10932</v>
      </c>
      <c r="D3810" s="528" t="s">
        <v>277</v>
      </c>
      <c r="E3810" s="528"/>
      <c r="F3810" s="528"/>
      <c r="G3810" s="528" t="s">
        <v>214</v>
      </c>
      <c r="H3810"/>
    </row>
    <row r="3811" spans="1:8" x14ac:dyDescent="0.35">
      <c r="A3811" s="528" t="s">
        <v>10933</v>
      </c>
      <c r="B3811" s="528" t="s">
        <v>10934</v>
      </c>
      <c r="C3811" s="528" t="s">
        <v>5969</v>
      </c>
      <c r="D3811" s="528" t="s">
        <v>225</v>
      </c>
      <c r="E3811" s="528"/>
      <c r="F3811" s="528"/>
      <c r="G3811" s="528" t="s">
        <v>205</v>
      </c>
      <c r="H3811"/>
    </row>
    <row r="3812" spans="1:8" x14ac:dyDescent="0.35">
      <c r="A3812" s="528" t="s">
        <v>10935</v>
      </c>
      <c r="B3812" s="528" t="s">
        <v>10936</v>
      </c>
      <c r="C3812" s="528" t="s">
        <v>10937</v>
      </c>
      <c r="D3812" s="528" t="s">
        <v>251</v>
      </c>
      <c r="E3812" s="528"/>
      <c r="F3812" s="528"/>
      <c r="G3812" s="528" t="s">
        <v>205</v>
      </c>
      <c r="H3812"/>
    </row>
    <row r="3813" spans="1:8" x14ac:dyDescent="0.35">
      <c r="A3813" s="528" t="s">
        <v>10938</v>
      </c>
      <c r="B3813" s="528" t="s">
        <v>10939</v>
      </c>
      <c r="C3813" s="528" t="s">
        <v>6927</v>
      </c>
      <c r="D3813" s="528" t="s">
        <v>277</v>
      </c>
      <c r="E3813" s="528"/>
      <c r="F3813" s="528"/>
      <c r="G3813" s="528" t="s">
        <v>208</v>
      </c>
      <c r="H3813"/>
    </row>
    <row r="3814" spans="1:8" x14ac:dyDescent="0.35">
      <c r="A3814" s="528" t="s">
        <v>10940</v>
      </c>
      <c r="B3814" s="528" t="s">
        <v>10941</v>
      </c>
      <c r="C3814" s="528" t="s">
        <v>6930</v>
      </c>
      <c r="D3814" s="528" t="s">
        <v>277</v>
      </c>
      <c r="E3814" s="528"/>
      <c r="F3814" s="528"/>
      <c r="G3814" s="528" t="s">
        <v>208</v>
      </c>
      <c r="H3814"/>
    </row>
    <row r="3815" spans="1:8" x14ac:dyDescent="0.35">
      <c r="A3815" s="528" t="s">
        <v>10942</v>
      </c>
      <c r="B3815" s="528" t="s">
        <v>10943</v>
      </c>
      <c r="C3815" s="528" t="s">
        <v>10944</v>
      </c>
      <c r="D3815" s="528" t="s">
        <v>277</v>
      </c>
      <c r="E3815" s="528"/>
      <c r="F3815" s="528"/>
      <c r="G3815" s="528" t="s">
        <v>208</v>
      </c>
      <c r="H3815"/>
    </row>
    <row r="3816" spans="1:8" x14ac:dyDescent="0.35">
      <c r="A3816" s="528" t="s">
        <v>10945</v>
      </c>
      <c r="B3816" s="528" t="s">
        <v>10946</v>
      </c>
      <c r="C3816" s="528" t="s">
        <v>10947</v>
      </c>
      <c r="D3816" s="528" t="s">
        <v>277</v>
      </c>
      <c r="E3816" s="528"/>
      <c r="F3816" s="528"/>
      <c r="G3816" s="528" t="s">
        <v>212</v>
      </c>
      <c r="H3816"/>
    </row>
    <row r="3817" spans="1:8" x14ac:dyDescent="0.35">
      <c r="A3817" s="528" t="s">
        <v>10948</v>
      </c>
      <c r="B3817" s="528" t="s">
        <v>10949</v>
      </c>
      <c r="C3817" s="528" t="s">
        <v>10950</v>
      </c>
      <c r="D3817" s="528" t="s">
        <v>264</v>
      </c>
      <c r="E3817" s="528"/>
      <c r="F3817" s="528"/>
      <c r="G3817" s="528" t="s">
        <v>210</v>
      </c>
      <c r="H3817"/>
    </row>
    <row r="3818" spans="1:8" x14ac:dyDescent="0.35">
      <c r="A3818" s="528" t="s">
        <v>10951</v>
      </c>
      <c r="B3818" s="528" t="s">
        <v>10952</v>
      </c>
      <c r="C3818" s="528" t="s">
        <v>6924</v>
      </c>
      <c r="D3818" s="528" t="s">
        <v>251</v>
      </c>
      <c r="E3818" s="528"/>
      <c r="F3818" s="528"/>
      <c r="G3818" s="528" t="s">
        <v>205</v>
      </c>
      <c r="H3818"/>
    </row>
    <row r="3819" spans="1:8" x14ac:dyDescent="0.35">
      <c r="A3819" s="528" t="s">
        <v>10953</v>
      </c>
      <c r="B3819" s="528" t="s">
        <v>10954</v>
      </c>
      <c r="C3819" s="528" t="s">
        <v>10955</v>
      </c>
      <c r="D3819" s="528" t="s">
        <v>277</v>
      </c>
      <c r="E3819" s="528"/>
      <c r="F3819" s="528"/>
      <c r="G3819" s="528" t="s">
        <v>205</v>
      </c>
      <c r="H3819"/>
    </row>
    <row r="3820" spans="1:8" x14ac:dyDescent="0.35">
      <c r="A3820" s="528" t="s">
        <v>10956</v>
      </c>
      <c r="B3820" s="528" t="s">
        <v>10957</v>
      </c>
      <c r="C3820" s="528" t="s">
        <v>10958</v>
      </c>
      <c r="D3820" s="528" t="s">
        <v>277</v>
      </c>
      <c r="E3820" s="528"/>
      <c r="F3820" s="528"/>
      <c r="G3820" s="528" t="s">
        <v>208</v>
      </c>
      <c r="H3820"/>
    </row>
    <row r="3821" spans="1:8" x14ac:dyDescent="0.35">
      <c r="A3821" s="528" t="s">
        <v>10959</v>
      </c>
      <c r="B3821" s="528" t="s">
        <v>10960</v>
      </c>
      <c r="C3821" s="528" t="s">
        <v>1371</v>
      </c>
      <c r="D3821" s="528" t="s">
        <v>238</v>
      </c>
      <c r="E3821" s="528"/>
      <c r="F3821" s="528"/>
      <c r="G3821" s="528" t="s">
        <v>205</v>
      </c>
      <c r="H3821"/>
    </row>
    <row r="3822" spans="1:8" x14ac:dyDescent="0.35">
      <c r="A3822" s="528" t="s">
        <v>10961</v>
      </c>
      <c r="B3822" s="528" t="s">
        <v>10962</v>
      </c>
      <c r="C3822" s="528" t="s">
        <v>1305</v>
      </c>
      <c r="D3822" s="528" t="s">
        <v>277</v>
      </c>
      <c r="E3822" s="528"/>
      <c r="F3822" s="528"/>
      <c r="G3822" s="528" t="s">
        <v>205</v>
      </c>
      <c r="H3822"/>
    </row>
    <row r="3823" spans="1:8" x14ac:dyDescent="0.35">
      <c r="A3823" s="528" t="s">
        <v>10963</v>
      </c>
      <c r="B3823" s="528" t="s">
        <v>10964</v>
      </c>
      <c r="C3823" s="528" t="s">
        <v>6866</v>
      </c>
      <c r="D3823" s="528" t="s">
        <v>264</v>
      </c>
      <c r="E3823" s="528"/>
      <c r="F3823" s="528"/>
      <c r="G3823" s="528" t="s">
        <v>205</v>
      </c>
      <c r="H3823"/>
    </row>
    <row r="3824" spans="1:8" x14ac:dyDescent="0.35">
      <c r="A3824" s="528" t="s">
        <v>10965</v>
      </c>
      <c r="B3824" s="528" t="s">
        <v>10966</v>
      </c>
      <c r="C3824" s="528" t="s">
        <v>10967</v>
      </c>
      <c r="D3824" s="528" t="s">
        <v>225</v>
      </c>
      <c r="E3824" s="528"/>
      <c r="F3824" s="528"/>
      <c r="G3824" s="528" t="s">
        <v>205</v>
      </c>
      <c r="H3824"/>
    </row>
    <row r="3825" spans="1:8" x14ac:dyDescent="0.35">
      <c r="A3825" s="528" t="s">
        <v>10968</v>
      </c>
      <c r="B3825" s="528" t="s">
        <v>10969</v>
      </c>
      <c r="C3825" s="528" t="s">
        <v>1211</v>
      </c>
      <c r="D3825" s="528" t="s">
        <v>264</v>
      </c>
      <c r="E3825" s="528"/>
      <c r="F3825" s="528"/>
      <c r="G3825" s="528" t="s">
        <v>205</v>
      </c>
      <c r="H3825"/>
    </row>
    <row r="3826" spans="1:8" x14ac:dyDescent="0.35">
      <c r="A3826" s="528" t="s">
        <v>10970</v>
      </c>
      <c r="B3826" s="528" t="s">
        <v>10971</v>
      </c>
      <c r="C3826" s="528" t="s">
        <v>10972</v>
      </c>
      <c r="D3826" s="528" t="s">
        <v>251</v>
      </c>
      <c r="E3826" s="528"/>
      <c r="F3826" s="528"/>
      <c r="G3826" s="528" t="s">
        <v>205</v>
      </c>
      <c r="H3826"/>
    </row>
    <row r="3827" spans="1:8" x14ac:dyDescent="0.35">
      <c r="A3827" s="528" t="s">
        <v>10973</v>
      </c>
      <c r="B3827" s="528" t="s">
        <v>10974</v>
      </c>
      <c r="C3827" s="528" t="s">
        <v>3638</v>
      </c>
      <c r="D3827" s="528" t="s">
        <v>225</v>
      </c>
      <c r="E3827" s="528"/>
      <c r="F3827" s="528"/>
      <c r="G3827" s="528" t="s">
        <v>205</v>
      </c>
      <c r="H3827"/>
    </row>
    <row r="3828" spans="1:8" x14ac:dyDescent="0.35">
      <c r="A3828" s="528" t="s">
        <v>10975</v>
      </c>
      <c r="B3828" s="528" t="s">
        <v>10976</v>
      </c>
      <c r="C3828" s="528" t="s">
        <v>10977</v>
      </c>
      <c r="D3828" s="528" t="s">
        <v>225</v>
      </c>
      <c r="E3828" s="528"/>
      <c r="F3828" s="528"/>
      <c r="G3828" s="528" t="s">
        <v>205</v>
      </c>
      <c r="H3828"/>
    </row>
    <row r="3829" spans="1:8" x14ac:dyDescent="0.35">
      <c r="A3829" s="528" t="s">
        <v>10978</v>
      </c>
      <c r="B3829" s="528" t="s">
        <v>10979</v>
      </c>
      <c r="C3829" s="528" t="s">
        <v>8850</v>
      </c>
      <c r="D3829" s="528" t="s">
        <v>264</v>
      </c>
      <c r="E3829" s="528"/>
      <c r="F3829" s="528"/>
      <c r="G3829" s="528" t="s">
        <v>205</v>
      </c>
      <c r="H3829"/>
    </row>
    <row r="3830" spans="1:8" x14ac:dyDescent="0.35">
      <c r="A3830" s="528" t="s">
        <v>10980</v>
      </c>
      <c r="B3830" s="528" t="s">
        <v>10981</v>
      </c>
      <c r="C3830" s="528" t="s">
        <v>1792</v>
      </c>
      <c r="D3830" s="528" t="s">
        <v>277</v>
      </c>
      <c r="E3830" s="528"/>
      <c r="F3830" s="528"/>
      <c r="G3830" s="528" t="s">
        <v>208</v>
      </c>
      <c r="H3830"/>
    </row>
    <row r="3831" spans="1:8" x14ac:dyDescent="0.35">
      <c r="A3831" s="528" t="s">
        <v>10982</v>
      </c>
      <c r="B3831" s="528" t="s">
        <v>10983</v>
      </c>
      <c r="C3831" s="528" t="s">
        <v>3158</v>
      </c>
      <c r="D3831" s="528" t="s">
        <v>277</v>
      </c>
      <c r="E3831" s="528"/>
      <c r="F3831" s="528"/>
      <c r="G3831" s="528" t="s">
        <v>205</v>
      </c>
      <c r="H3831"/>
    </row>
    <row r="3832" spans="1:8" x14ac:dyDescent="0.35">
      <c r="A3832" s="528" t="s">
        <v>10984</v>
      </c>
      <c r="B3832" s="528" t="s">
        <v>10985</v>
      </c>
      <c r="C3832" s="528" t="s">
        <v>10986</v>
      </c>
      <c r="D3832" s="528" t="s">
        <v>225</v>
      </c>
      <c r="E3832" s="528"/>
      <c r="F3832" s="528"/>
      <c r="G3832" s="528" t="s">
        <v>208</v>
      </c>
      <c r="H3832"/>
    </row>
    <row r="3833" spans="1:8" x14ac:dyDescent="0.35">
      <c r="A3833" s="528" t="s">
        <v>10987</v>
      </c>
      <c r="B3833" s="528" t="s">
        <v>10988</v>
      </c>
      <c r="C3833" s="528" t="s">
        <v>10989</v>
      </c>
      <c r="D3833" s="528" t="s">
        <v>225</v>
      </c>
      <c r="E3833" s="528"/>
      <c r="F3833" s="528"/>
      <c r="G3833" s="528" t="s">
        <v>205</v>
      </c>
      <c r="H3833"/>
    </row>
    <row r="3834" spans="1:8" x14ac:dyDescent="0.35">
      <c r="A3834" s="528" t="s">
        <v>10990</v>
      </c>
      <c r="B3834" s="528" t="s">
        <v>10991</v>
      </c>
      <c r="C3834" s="528" t="s">
        <v>10992</v>
      </c>
      <c r="D3834" s="528" t="s">
        <v>251</v>
      </c>
      <c r="E3834" s="528"/>
      <c r="F3834" s="528"/>
      <c r="G3834" s="528" t="s">
        <v>205</v>
      </c>
      <c r="H3834"/>
    </row>
    <row r="3835" spans="1:8" x14ac:dyDescent="0.35">
      <c r="A3835" s="528" t="s">
        <v>10993</v>
      </c>
      <c r="B3835" s="528" t="s">
        <v>10994</v>
      </c>
      <c r="C3835" s="528" t="s">
        <v>10995</v>
      </c>
      <c r="D3835" s="528" t="s">
        <v>225</v>
      </c>
      <c r="E3835" s="528"/>
      <c r="F3835" s="528"/>
      <c r="G3835" s="528" t="s">
        <v>205</v>
      </c>
      <c r="H3835"/>
    </row>
    <row r="3836" spans="1:8" x14ac:dyDescent="0.35">
      <c r="A3836" s="528" t="s">
        <v>10996</v>
      </c>
      <c r="B3836" s="528" t="s">
        <v>10997</v>
      </c>
      <c r="C3836" s="528" t="s">
        <v>10998</v>
      </c>
      <c r="D3836" s="528" t="s">
        <v>277</v>
      </c>
      <c r="E3836" s="528"/>
      <c r="F3836" s="528"/>
      <c r="G3836" s="528" t="s">
        <v>205</v>
      </c>
      <c r="H3836"/>
    </row>
    <row r="3837" spans="1:8" x14ac:dyDescent="0.35">
      <c r="A3837" s="528" t="s">
        <v>10999</v>
      </c>
      <c r="B3837" s="528" t="s">
        <v>11000</v>
      </c>
      <c r="C3837" s="528" t="s">
        <v>11001</v>
      </c>
      <c r="D3837" s="528" t="s">
        <v>225</v>
      </c>
      <c r="E3837" s="528" t="s">
        <v>264</v>
      </c>
      <c r="F3837" s="528"/>
      <c r="G3837" s="528" t="s">
        <v>205</v>
      </c>
      <c r="H3837"/>
    </row>
    <row r="3838" spans="1:8" x14ac:dyDescent="0.35">
      <c r="A3838" s="528" t="s">
        <v>11002</v>
      </c>
      <c r="B3838" s="528" t="s">
        <v>11003</v>
      </c>
      <c r="C3838" s="528" t="s">
        <v>4466</v>
      </c>
      <c r="D3838" s="528" t="s">
        <v>264</v>
      </c>
      <c r="E3838" s="528"/>
      <c r="F3838" s="528"/>
      <c r="G3838" s="528" t="s">
        <v>208</v>
      </c>
      <c r="H3838"/>
    </row>
    <row r="3839" spans="1:8" x14ac:dyDescent="0.35">
      <c r="A3839" s="528" t="s">
        <v>11004</v>
      </c>
      <c r="B3839" s="528" t="s">
        <v>11005</v>
      </c>
      <c r="C3839" s="528" t="s">
        <v>3537</v>
      </c>
      <c r="D3839" s="528" t="s">
        <v>264</v>
      </c>
      <c r="E3839" s="528"/>
      <c r="F3839" s="528"/>
      <c r="G3839" s="528" t="s">
        <v>205</v>
      </c>
      <c r="H3839"/>
    </row>
    <row r="3840" spans="1:8" x14ac:dyDescent="0.35">
      <c r="A3840" s="528" t="s">
        <v>11006</v>
      </c>
      <c r="B3840" s="528" t="s">
        <v>11007</v>
      </c>
      <c r="C3840" s="528" t="s">
        <v>5253</v>
      </c>
      <c r="D3840" s="528" t="s">
        <v>277</v>
      </c>
      <c r="E3840" s="528"/>
      <c r="F3840" s="528"/>
      <c r="G3840" s="528" t="s">
        <v>208</v>
      </c>
      <c r="H3840"/>
    </row>
    <row r="3841" spans="1:8" x14ac:dyDescent="0.35">
      <c r="A3841" s="528" t="s">
        <v>11008</v>
      </c>
      <c r="B3841" s="528" t="s">
        <v>11009</v>
      </c>
      <c r="C3841" s="528" t="s">
        <v>1948</v>
      </c>
      <c r="D3841" s="528" t="s">
        <v>238</v>
      </c>
      <c r="E3841" s="528"/>
      <c r="F3841" s="528"/>
      <c r="G3841" s="528" t="s">
        <v>205</v>
      </c>
      <c r="H3841"/>
    </row>
    <row r="3842" spans="1:8" x14ac:dyDescent="0.35">
      <c r="A3842" s="528" t="s">
        <v>11010</v>
      </c>
      <c r="B3842" s="528" t="s">
        <v>11011</v>
      </c>
      <c r="C3842" s="528" t="s">
        <v>846</v>
      </c>
      <c r="D3842" s="528" t="s">
        <v>277</v>
      </c>
      <c r="E3842" s="528"/>
      <c r="F3842" s="528"/>
      <c r="G3842" s="528" t="s">
        <v>208</v>
      </c>
      <c r="H3842"/>
    </row>
    <row r="3843" spans="1:8" x14ac:dyDescent="0.35">
      <c r="A3843" s="528" t="s">
        <v>11012</v>
      </c>
      <c r="B3843" s="528" t="s">
        <v>11013</v>
      </c>
      <c r="C3843" s="528" t="s">
        <v>1317</v>
      </c>
      <c r="D3843" s="528" t="s">
        <v>277</v>
      </c>
      <c r="E3843" s="528"/>
      <c r="F3843" s="528"/>
      <c r="G3843" s="528" t="s">
        <v>205</v>
      </c>
      <c r="H3843"/>
    </row>
    <row r="3844" spans="1:8" x14ac:dyDescent="0.35">
      <c r="A3844" s="528" t="s">
        <v>11014</v>
      </c>
      <c r="B3844" s="528" t="s">
        <v>11015</v>
      </c>
      <c r="C3844" s="528" t="s">
        <v>11016</v>
      </c>
      <c r="D3844" s="528" t="s">
        <v>277</v>
      </c>
      <c r="E3844" s="528"/>
      <c r="F3844" s="528"/>
      <c r="G3844" s="528" t="s">
        <v>208</v>
      </c>
      <c r="H3844"/>
    </row>
    <row r="3845" spans="1:8" x14ac:dyDescent="0.35">
      <c r="A3845" s="528" t="s">
        <v>11017</v>
      </c>
      <c r="B3845" s="528" t="s">
        <v>11018</v>
      </c>
      <c r="C3845" s="528" t="s">
        <v>11019</v>
      </c>
      <c r="D3845" s="528" t="s">
        <v>277</v>
      </c>
      <c r="E3845" s="528"/>
      <c r="F3845" s="528"/>
      <c r="G3845" s="528" t="s">
        <v>205</v>
      </c>
      <c r="H3845"/>
    </row>
    <row r="3846" spans="1:8" x14ac:dyDescent="0.35">
      <c r="A3846" s="528" t="s">
        <v>11020</v>
      </c>
      <c r="B3846" s="528" t="s">
        <v>11021</v>
      </c>
      <c r="C3846" s="528" t="s">
        <v>3289</v>
      </c>
      <c r="D3846" s="528" t="s">
        <v>277</v>
      </c>
      <c r="E3846" s="528"/>
      <c r="F3846" s="528"/>
      <c r="G3846" s="528" t="s">
        <v>205</v>
      </c>
      <c r="H3846"/>
    </row>
    <row r="3847" spans="1:8" x14ac:dyDescent="0.35">
      <c r="A3847" s="528" t="s">
        <v>11022</v>
      </c>
      <c r="B3847" s="528" t="s">
        <v>11023</v>
      </c>
      <c r="C3847" s="528" t="s">
        <v>11024</v>
      </c>
      <c r="D3847" s="528" t="s">
        <v>251</v>
      </c>
      <c r="E3847" s="528"/>
      <c r="F3847" s="528"/>
      <c r="G3847" s="528" t="s">
        <v>205</v>
      </c>
      <c r="H3847"/>
    </row>
    <row r="3848" spans="1:8" x14ac:dyDescent="0.35">
      <c r="A3848" s="528" t="s">
        <v>11025</v>
      </c>
      <c r="B3848" s="528" t="s">
        <v>11026</v>
      </c>
      <c r="C3848" s="528" t="s">
        <v>11027</v>
      </c>
      <c r="D3848" s="528" t="s">
        <v>251</v>
      </c>
      <c r="E3848" s="528"/>
      <c r="F3848" s="528"/>
      <c r="G3848" s="528" t="s">
        <v>205</v>
      </c>
      <c r="H3848"/>
    </row>
    <row r="3849" spans="1:8" x14ac:dyDescent="0.35">
      <c r="A3849" s="528" t="s">
        <v>11028</v>
      </c>
      <c r="B3849" s="528" t="s">
        <v>11029</v>
      </c>
      <c r="C3849" s="528" t="s">
        <v>11030</v>
      </c>
      <c r="D3849" s="528" t="s">
        <v>251</v>
      </c>
      <c r="E3849" s="528"/>
      <c r="F3849" s="528"/>
      <c r="G3849" s="528" t="s">
        <v>208</v>
      </c>
      <c r="H3849"/>
    </row>
    <row r="3850" spans="1:8" x14ac:dyDescent="0.35">
      <c r="A3850" s="528" t="s">
        <v>11031</v>
      </c>
      <c r="B3850" s="528" t="s">
        <v>11032</v>
      </c>
      <c r="C3850" s="528" t="s">
        <v>11033</v>
      </c>
      <c r="D3850" s="528" t="s">
        <v>251</v>
      </c>
      <c r="E3850" s="528"/>
      <c r="F3850" s="528"/>
      <c r="G3850" s="528" t="s">
        <v>208</v>
      </c>
      <c r="H3850"/>
    </row>
    <row r="3851" spans="1:8" x14ac:dyDescent="0.35">
      <c r="A3851" s="528" t="s">
        <v>11034</v>
      </c>
      <c r="B3851" s="528" t="s">
        <v>11035</v>
      </c>
      <c r="C3851" s="528" t="s">
        <v>11036</v>
      </c>
      <c r="D3851" s="528" t="s">
        <v>251</v>
      </c>
      <c r="E3851" s="528"/>
      <c r="F3851" s="528"/>
      <c r="G3851" s="528" t="s">
        <v>208</v>
      </c>
      <c r="H3851"/>
    </row>
    <row r="3852" spans="1:8" x14ac:dyDescent="0.35">
      <c r="A3852" s="528" t="s">
        <v>11037</v>
      </c>
      <c r="B3852" s="528" t="s">
        <v>11038</v>
      </c>
      <c r="C3852" s="528" t="s">
        <v>11039</v>
      </c>
      <c r="D3852" s="528" t="s">
        <v>251</v>
      </c>
      <c r="E3852" s="528"/>
      <c r="F3852" s="528"/>
      <c r="G3852" s="528" t="s">
        <v>208</v>
      </c>
      <c r="H3852"/>
    </row>
    <row r="3853" spans="1:8" x14ac:dyDescent="0.35">
      <c r="A3853" s="528" t="s">
        <v>11040</v>
      </c>
      <c r="B3853" s="528" t="s">
        <v>11041</v>
      </c>
      <c r="C3853" s="528" t="s">
        <v>11042</v>
      </c>
      <c r="D3853" s="528" t="s">
        <v>251</v>
      </c>
      <c r="E3853" s="528"/>
      <c r="F3853" s="528"/>
      <c r="G3853" s="528" t="s">
        <v>208</v>
      </c>
      <c r="H3853"/>
    </row>
    <row r="3854" spans="1:8" x14ac:dyDescent="0.35">
      <c r="A3854" s="528" t="s">
        <v>11043</v>
      </c>
      <c r="B3854" s="528" t="s">
        <v>11044</v>
      </c>
      <c r="C3854" s="528" t="s">
        <v>1362</v>
      </c>
      <c r="D3854" s="528" t="s">
        <v>251</v>
      </c>
      <c r="E3854" s="528"/>
      <c r="F3854" s="528"/>
      <c r="G3854" s="528" t="s">
        <v>205</v>
      </c>
      <c r="H3854"/>
    </row>
    <row r="3855" spans="1:8" x14ac:dyDescent="0.35">
      <c r="A3855" s="528" t="s">
        <v>11045</v>
      </c>
      <c r="B3855" s="528" t="s">
        <v>11046</v>
      </c>
      <c r="C3855" s="528" t="s">
        <v>5896</v>
      </c>
      <c r="D3855" s="528" t="s">
        <v>251</v>
      </c>
      <c r="E3855" s="528"/>
      <c r="F3855" s="528"/>
      <c r="G3855" s="528" t="s">
        <v>212</v>
      </c>
      <c r="H3855"/>
    </row>
    <row r="3856" spans="1:8" x14ac:dyDescent="0.35">
      <c r="A3856" s="528" t="s">
        <v>11047</v>
      </c>
      <c r="B3856" s="528" t="s">
        <v>11048</v>
      </c>
      <c r="C3856" s="528" t="s">
        <v>5905</v>
      </c>
      <c r="D3856" s="528" t="s">
        <v>251</v>
      </c>
      <c r="E3856" s="528"/>
      <c r="F3856" s="528"/>
      <c r="G3856" s="528" t="s">
        <v>212</v>
      </c>
      <c r="H3856"/>
    </row>
    <row r="3857" spans="1:8" x14ac:dyDescent="0.35">
      <c r="A3857" s="528" t="s">
        <v>11049</v>
      </c>
      <c r="B3857" s="528" t="s">
        <v>11050</v>
      </c>
      <c r="C3857" s="528" t="s">
        <v>11051</v>
      </c>
      <c r="D3857" s="528" t="s">
        <v>251</v>
      </c>
      <c r="E3857" s="528"/>
      <c r="F3857" s="528"/>
      <c r="G3857" s="528" t="s">
        <v>212</v>
      </c>
      <c r="H3857"/>
    </row>
    <row r="3858" spans="1:8" x14ac:dyDescent="0.35">
      <c r="A3858" s="528" t="s">
        <v>11052</v>
      </c>
      <c r="B3858" s="528" t="s">
        <v>11053</v>
      </c>
      <c r="C3858" s="528" t="s">
        <v>11054</v>
      </c>
      <c r="D3858" s="528" t="s">
        <v>251</v>
      </c>
      <c r="E3858" s="528"/>
      <c r="F3858" s="528"/>
      <c r="G3858" s="528" t="s">
        <v>212</v>
      </c>
      <c r="H3858"/>
    </row>
    <row r="3859" spans="1:8" x14ac:dyDescent="0.35">
      <c r="A3859" s="528" t="s">
        <v>11055</v>
      </c>
      <c r="B3859" s="528" t="s">
        <v>11056</v>
      </c>
      <c r="C3859" s="528" t="s">
        <v>5914</v>
      </c>
      <c r="D3859" s="528" t="s">
        <v>251</v>
      </c>
      <c r="E3859" s="528"/>
      <c r="F3859" s="528"/>
      <c r="G3859" s="528" t="s">
        <v>212</v>
      </c>
      <c r="H3859"/>
    </row>
    <row r="3860" spans="1:8" x14ac:dyDescent="0.35">
      <c r="A3860" s="528" t="s">
        <v>11057</v>
      </c>
      <c r="B3860" s="528" t="s">
        <v>11058</v>
      </c>
      <c r="C3860" s="528" t="s">
        <v>5917</v>
      </c>
      <c r="D3860" s="528" t="s">
        <v>251</v>
      </c>
      <c r="E3860" s="528"/>
      <c r="F3860" s="528"/>
      <c r="G3860" s="528" t="s">
        <v>212</v>
      </c>
      <c r="H3860"/>
    </row>
    <row r="3861" spans="1:8" x14ac:dyDescent="0.35">
      <c r="A3861" s="528" t="s">
        <v>11059</v>
      </c>
      <c r="B3861" s="528" t="s">
        <v>11060</v>
      </c>
      <c r="C3861" s="528" t="s">
        <v>11061</v>
      </c>
      <c r="D3861" s="528" t="s">
        <v>251</v>
      </c>
      <c r="E3861" s="528"/>
      <c r="F3861" s="528"/>
      <c r="G3861" s="528" t="s">
        <v>212</v>
      </c>
      <c r="H3861"/>
    </row>
    <row r="3862" spans="1:8" x14ac:dyDescent="0.35">
      <c r="A3862" s="528" t="s">
        <v>11062</v>
      </c>
      <c r="B3862" s="528" t="s">
        <v>11063</v>
      </c>
      <c r="C3862" s="528" t="s">
        <v>11064</v>
      </c>
      <c r="D3862" s="528" t="s">
        <v>251</v>
      </c>
      <c r="E3862" s="528"/>
      <c r="F3862" s="528"/>
      <c r="G3862" s="528" t="s">
        <v>212</v>
      </c>
      <c r="H3862"/>
    </row>
    <row r="3863" spans="1:8" x14ac:dyDescent="0.35">
      <c r="A3863" s="528" t="s">
        <v>11065</v>
      </c>
      <c r="B3863" s="528" t="s">
        <v>11066</v>
      </c>
      <c r="C3863" s="528" t="s">
        <v>11067</v>
      </c>
      <c r="D3863" s="528" t="s">
        <v>251</v>
      </c>
      <c r="E3863" s="528"/>
      <c r="F3863" s="528"/>
      <c r="G3863" s="528" t="s">
        <v>214</v>
      </c>
      <c r="H3863"/>
    </row>
    <row r="3864" spans="1:8" x14ac:dyDescent="0.35">
      <c r="A3864" s="528" t="s">
        <v>11068</v>
      </c>
      <c r="B3864" s="528" t="s">
        <v>11069</v>
      </c>
      <c r="C3864" s="528" t="s">
        <v>11070</v>
      </c>
      <c r="D3864" s="528" t="s">
        <v>251</v>
      </c>
      <c r="E3864" s="528"/>
      <c r="F3864" s="528"/>
      <c r="G3864" s="528" t="s">
        <v>214</v>
      </c>
      <c r="H3864"/>
    </row>
    <row r="3865" spans="1:8" x14ac:dyDescent="0.35">
      <c r="A3865" s="528" t="s">
        <v>11071</v>
      </c>
      <c r="B3865" s="528" t="s">
        <v>11072</v>
      </c>
      <c r="C3865" s="528" t="s">
        <v>11073</v>
      </c>
      <c r="D3865" s="528" t="s">
        <v>251</v>
      </c>
      <c r="E3865" s="528"/>
      <c r="F3865" s="528"/>
      <c r="G3865" s="528" t="s">
        <v>214</v>
      </c>
      <c r="H3865"/>
    </row>
    <row r="3866" spans="1:8" x14ac:dyDescent="0.35">
      <c r="A3866" s="528" t="s">
        <v>11074</v>
      </c>
      <c r="B3866" s="528" t="s">
        <v>11075</v>
      </c>
      <c r="C3866" s="528" t="s">
        <v>11076</v>
      </c>
      <c r="D3866" s="528" t="s">
        <v>251</v>
      </c>
      <c r="E3866" s="528"/>
      <c r="F3866" s="528"/>
      <c r="G3866" s="528" t="s">
        <v>214</v>
      </c>
      <c r="H3866"/>
    </row>
    <row r="3867" spans="1:8" x14ac:dyDescent="0.35">
      <c r="A3867" s="528" t="s">
        <v>11077</v>
      </c>
      <c r="B3867" s="528" t="s">
        <v>11078</v>
      </c>
      <c r="C3867" s="528" t="s">
        <v>11079</v>
      </c>
      <c r="D3867" s="528" t="s">
        <v>251</v>
      </c>
      <c r="E3867" s="528"/>
      <c r="F3867" s="528"/>
      <c r="G3867" s="528" t="s">
        <v>205</v>
      </c>
      <c r="H3867"/>
    </row>
    <row r="3868" spans="1:8" x14ac:dyDescent="0.35">
      <c r="A3868" s="528" t="s">
        <v>11080</v>
      </c>
      <c r="B3868" s="528" t="s">
        <v>11081</v>
      </c>
      <c r="C3868" s="528" t="s">
        <v>11082</v>
      </c>
      <c r="D3868" s="528" t="s">
        <v>225</v>
      </c>
      <c r="E3868" s="528"/>
      <c r="F3868" s="528"/>
      <c r="G3868" s="528" t="s">
        <v>205</v>
      </c>
      <c r="H3868"/>
    </row>
    <row r="3869" spans="1:8" x14ac:dyDescent="0.35">
      <c r="A3869" s="528" t="s">
        <v>11083</v>
      </c>
      <c r="B3869" s="528" t="s">
        <v>11084</v>
      </c>
      <c r="C3869" s="528" t="s">
        <v>28348</v>
      </c>
      <c r="D3869" s="528" t="s">
        <v>277</v>
      </c>
      <c r="E3869" s="528"/>
      <c r="F3869" s="528"/>
      <c r="G3869" s="528" t="s">
        <v>205</v>
      </c>
      <c r="H3869"/>
    </row>
    <row r="3870" spans="1:8" x14ac:dyDescent="0.35">
      <c r="A3870" s="528" t="s">
        <v>11085</v>
      </c>
      <c r="B3870" s="528" t="s">
        <v>11086</v>
      </c>
      <c r="C3870" s="528" t="s">
        <v>8865</v>
      </c>
      <c r="D3870" s="528" t="s">
        <v>251</v>
      </c>
      <c r="E3870" s="528"/>
      <c r="F3870" s="528"/>
      <c r="G3870" s="528" t="s">
        <v>205</v>
      </c>
      <c r="H3870"/>
    </row>
    <row r="3871" spans="1:8" x14ac:dyDescent="0.35">
      <c r="A3871" s="528" t="s">
        <v>11087</v>
      </c>
      <c r="B3871" s="528" t="s">
        <v>11088</v>
      </c>
      <c r="C3871" s="528" t="s">
        <v>8951</v>
      </c>
      <c r="D3871" s="528" t="s">
        <v>277</v>
      </c>
      <c r="E3871" s="528"/>
      <c r="F3871" s="528"/>
      <c r="G3871" s="528" t="s">
        <v>205</v>
      </c>
      <c r="H3871"/>
    </row>
    <row r="3872" spans="1:8" x14ac:dyDescent="0.35">
      <c r="A3872" s="528" t="s">
        <v>11089</v>
      </c>
      <c r="B3872" s="528" t="s">
        <v>11090</v>
      </c>
      <c r="C3872" s="528" t="s">
        <v>11091</v>
      </c>
      <c r="D3872" s="528" t="s">
        <v>264</v>
      </c>
      <c r="E3872" s="528"/>
      <c r="F3872" s="528"/>
      <c r="G3872" s="528" t="s">
        <v>208</v>
      </c>
      <c r="H3872"/>
    </row>
    <row r="3873" spans="1:8" x14ac:dyDescent="0.35">
      <c r="A3873" s="528" t="s">
        <v>11092</v>
      </c>
      <c r="B3873" s="528" t="s">
        <v>11093</v>
      </c>
      <c r="C3873" s="528" t="s">
        <v>2256</v>
      </c>
      <c r="D3873" s="528" t="s">
        <v>225</v>
      </c>
      <c r="E3873" s="528"/>
      <c r="F3873" s="528"/>
      <c r="G3873" s="528" t="s">
        <v>205</v>
      </c>
      <c r="H3873"/>
    </row>
    <row r="3874" spans="1:8" x14ac:dyDescent="0.35">
      <c r="A3874" s="528" t="s">
        <v>11094</v>
      </c>
      <c r="B3874" s="528" t="s">
        <v>11095</v>
      </c>
      <c r="C3874" s="528" t="s">
        <v>11096</v>
      </c>
      <c r="D3874" s="528" t="s">
        <v>251</v>
      </c>
      <c r="E3874" s="528"/>
      <c r="F3874" s="528"/>
      <c r="G3874" s="528" t="s">
        <v>205</v>
      </c>
      <c r="H3874"/>
    </row>
    <row r="3875" spans="1:8" x14ac:dyDescent="0.35">
      <c r="A3875" s="528" t="s">
        <v>11097</v>
      </c>
      <c r="B3875" s="528" t="s">
        <v>11098</v>
      </c>
      <c r="C3875" s="528" t="s">
        <v>11099</v>
      </c>
      <c r="D3875" s="528" t="s">
        <v>225</v>
      </c>
      <c r="E3875" s="528"/>
      <c r="F3875" s="528"/>
      <c r="G3875" s="528" t="s">
        <v>205</v>
      </c>
      <c r="H3875"/>
    </row>
    <row r="3876" spans="1:8" x14ac:dyDescent="0.35">
      <c r="A3876" s="528" t="s">
        <v>11100</v>
      </c>
      <c r="B3876" s="528" t="s">
        <v>11101</v>
      </c>
      <c r="C3876" s="528" t="s">
        <v>11102</v>
      </c>
      <c r="D3876" s="528" t="s">
        <v>277</v>
      </c>
      <c r="E3876" s="528" t="s">
        <v>264</v>
      </c>
      <c r="F3876" s="528"/>
      <c r="G3876" s="528" t="s">
        <v>205</v>
      </c>
      <c r="H3876"/>
    </row>
    <row r="3877" spans="1:8" x14ac:dyDescent="0.35">
      <c r="A3877" s="528" t="s">
        <v>11103</v>
      </c>
      <c r="B3877" s="528" t="s">
        <v>11104</v>
      </c>
      <c r="C3877" s="528" t="s">
        <v>11105</v>
      </c>
      <c r="D3877" s="528" t="s">
        <v>277</v>
      </c>
      <c r="E3877" s="528" t="s">
        <v>225</v>
      </c>
      <c r="F3877" s="528"/>
      <c r="G3877" s="528" t="s">
        <v>205</v>
      </c>
      <c r="H3877"/>
    </row>
    <row r="3878" spans="1:8" x14ac:dyDescent="0.35">
      <c r="A3878" s="528" t="s">
        <v>11106</v>
      </c>
      <c r="B3878" s="528" t="s">
        <v>11107</v>
      </c>
      <c r="C3878" s="528" t="s">
        <v>11108</v>
      </c>
      <c r="D3878" s="528" t="s">
        <v>277</v>
      </c>
      <c r="E3878" s="528" t="s">
        <v>264</v>
      </c>
      <c r="F3878" s="528"/>
      <c r="G3878" s="528" t="s">
        <v>205</v>
      </c>
      <c r="H3878"/>
    </row>
    <row r="3879" spans="1:8" x14ac:dyDescent="0.35">
      <c r="A3879" s="528" t="s">
        <v>11109</v>
      </c>
      <c r="B3879" s="528" t="s">
        <v>11110</v>
      </c>
      <c r="C3879" s="528" t="s">
        <v>11111</v>
      </c>
      <c r="D3879" s="528" t="s">
        <v>277</v>
      </c>
      <c r="E3879" s="528" t="s">
        <v>264</v>
      </c>
      <c r="F3879" s="528"/>
      <c r="G3879" s="528" t="s">
        <v>205</v>
      </c>
      <c r="H3879"/>
    </row>
    <row r="3880" spans="1:8" x14ac:dyDescent="0.35">
      <c r="A3880" s="528" t="s">
        <v>11112</v>
      </c>
      <c r="B3880" s="528" t="s">
        <v>11113</v>
      </c>
      <c r="C3880" s="528" t="s">
        <v>11114</v>
      </c>
      <c r="D3880" s="528" t="s">
        <v>277</v>
      </c>
      <c r="E3880" s="528" t="s">
        <v>264</v>
      </c>
      <c r="F3880" s="528"/>
      <c r="G3880" s="528" t="s">
        <v>205</v>
      </c>
      <c r="H3880"/>
    </row>
    <row r="3881" spans="1:8" x14ac:dyDescent="0.35">
      <c r="A3881" s="528" t="s">
        <v>11115</v>
      </c>
      <c r="B3881" s="528" t="s">
        <v>11116</v>
      </c>
      <c r="C3881" s="528" t="s">
        <v>3324</v>
      </c>
      <c r="D3881" s="528" t="s">
        <v>277</v>
      </c>
      <c r="E3881" s="528"/>
      <c r="F3881" s="528"/>
      <c r="G3881" s="528" t="s">
        <v>205</v>
      </c>
      <c r="H3881"/>
    </row>
    <row r="3882" spans="1:8" x14ac:dyDescent="0.35">
      <c r="A3882" s="528" t="s">
        <v>11117</v>
      </c>
      <c r="B3882" s="528" t="s">
        <v>11118</v>
      </c>
      <c r="C3882" s="528" t="s">
        <v>1252</v>
      </c>
      <c r="D3882" s="528" t="s">
        <v>277</v>
      </c>
      <c r="E3882" s="528"/>
      <c r="F3882" s="528"/>
      <c r="G3882" s="528" t="s">
        <v>205</v>
      </c>
      <c r="H3882"/>
    </row>
    <row r="3883" spans="1:8" x14ac:dyDescent="0.35">
      <c r="A3883" s="528" t="s">
        <v>11119</v>
      </c>
      <c r="B3883" s="528" t="s">
        <v>11120</v>
      </c>
      <c r="C3883" s="528" t="s">
        <v>4014</v>
      </c>
      <c r="D3883" s="528" t="s">
        <v>277</v>
      </c>
      <c r="E3883" s="528"/>
      <c r="F3883" s="528"/>
      <c r="G3883" s="528" t="s">
        <v>205</v>
      </c>
      <c r="H3883"/>
    </row>
    <row r="3884" spans="1:8" x14ac:dyDescent="0.35">
      <c r="A3884" s="528" t="s">
        <v>11121</v>
      </c>
      <c r="B3884" s="528" t="s">
        <v>11122</v>
      </c>
      <c r="C3884" s="528" t="s">
        <v>11123</v>
      </c>
      <c r="D3884" s="528" t="s">
        <v>238</v>
      </c>
      <c r="E3884" s="528"/>
      <c r="F3884" s="528"/>
      <c r="G3884" s="528" t="s">
        <v>205</v>
      </c>
      <c r="H3884"/>
    </row>
    <row r="3885" spans="1:8" x14ac:dyDescent="0.35">
      <c r="A3885" s="528" t="s">
        <v>11124</v>
      </c>
      <c r="B3885" s="528" t="s">
        <v>11125</v>
      </c>
      <c r="C3885" s="528" t="s">
        <v>1020</v>
      </c>
      <c r="D3885" s="528" t="s">
        <v>251</v>
      </c>
      <c r="E3885" s="528"/>
      <c r="F3885" s="528"/>
      <c r="G3885" s="528" t="s">
        <v>208</v>
      </c>
      <c r="H3885"/>
    </row>
    <row r="3886" spans="1:8" x14ac:dyDescent="0.35">
      <c r="A3886" s="528" t="s">
        <v>11126</v>
      </c>
      <c r="B3886" s="528" t="s">
        <v>11127</v>
      </c>
      <c r="C3886" s="528" t="s">
        <v>1934</v>
      </c>
      <c r="D3886" s="528" t="s">
        <v>251</v>
      </c>
      <c r="E3886" s="528"/>
      <c r="F3886" s="528"/>
      <c r="G3886" s="528" t="s">
        <v>205</v>
      </c>
      <c r="H3886"/>
    </row>
    <row r="3887" spans="1:8" x14ac:dyDescent="0.35">
      <c r="A3887" s="528" t="s">
        <v>11128</v>
      </c>
      <c r="B3887" s="528" t="s">
        <v>11129</v>
      </c>
      <c r="C3887" s="528" t="s">
        <v>11130</v>
      </c>
      <c r="D3887" s="528" t="s">
        <v>264</v>
      </c>
      <c r="E3887" s="528"/>
      <c r="F3887" s="528"/>
      <c r="G3887" s="528" t="s">
        <v>205</v>
      </c>
      <c r="H3887"/>
    </row>
    <row r="3888" spans="1:8" x14ac:dyDescent="0.35">
      <c r="A3888" s="528" t="s">
        <v>11131</v>
      </c>
      <c r="B3888" s="528" t="s">
        <v>11132</v>
      </c>
      <c r="C3888" s="528" t="s">
        <v>7270</v>
      </c>
      <c r="D3888" s="528" t="s">
        <v>264</v>
      </c>
      <c r="E3888" s="528"/>
      <c r="F3888" s="528"/>
      <c r="G3888" s="528" t="s">
        <v>208</v>
      </c>
      <c r="H3888"/>
    </row>
    <row r="3889" spans="1:8" x14ac:dyDescent="0.35">
      <c r="A3889" s="528" t="s">
        <v>11133</v>
      </c>
      <c r="B3889" s="528" t="s">
        <v>11134</v>
      </c>
      <c r="C3889" s="528" t="s">
        <v>11135</v>
      </c>
      <c r="D3889" s="528" t="s">
        <v>264</v>
      </c>
      <c r="E3889" s="528"/>
      <c r="F3889" s="528"/>
      <c r="G3889" s="528" t="s">
        <v>205</v>
      </c>
      <c r="H3889"/>
    </row>
    <row r="3890" spans="1:8" x14ac:dyDescent="0.35">
      <c r="A3890" s="528" t="s">
        <v>11136</v>
      </c>
      <c r="B3890" s="528" t="s">
        <v>11137</v>
      </c>
      <c r="C3890" s="528" t="s">
        <v>1695</v>
      </c>
      <c r="D3890" s="528" t="s">
        <v>264</v>
      </c>
      <c r="E3890" s="528"/>
      <c r="F3890" s="528"/>
      <c r="G3890" s="528" t="s">
        <v>205</v>
      </c>
      <c r="H3890"/>
    </row>
    <row r="3891" spans="1:8" x14ac:dyDescent="0.35">
      <c r="A3891" s="528" t="s">
        <v>11138</v>
      </c>
      <c r="B3891" s="528" t="s">
        <v>11139</v>
      </c>
      <c r="C3891" s="528" t="s">
        <v>11140</v>
      </c>
      <c r="D3891" s="528" t="s">
        <v>225</v>
      </c>
      <c r="E3891" s="528"/>
      <c r="F3891" s="528"/>
      <c r="G3891" s="528" t="s">
        <v>208</v>
      </c>
      <c r="H3891"/>
    </row>
    <row r="3892" spans="1:8" x14ac:dyDescent="0.35">
      <c r="A3892" s="528" t="s">
        <v>11141</v>
      </c>
      <c r="B3892" s="528" t="s">
        <v>11142</v>
      </c>
      <c r="C3892" s="528" t="s">
        <v>3304</v>
      </c>
      <c r="D3892" s="528" t="s">
        <v>251</v>
      </c>
      <c r="E3892" s="528"/>
      <c r="F3892" s="528"/>
      <c r="G3892" s="528" t="s">
        <v>208</v>
      </c>
      <c r="H3892"/>
    </row>
    <row r="3893" spans="1:8" x14ac:dyDescent="0.35">
      <c r="A3893" s="528" t="s">
        <v>11143</v>
      </c>
      <c r="B3893" s="528" t="s">
        <v>11144</v>
      </c>
      <c r="C3893" s="528" t="s">
        <v>11145</v>
      </c>
      <c r="D3893" s="528" t="s">
        <v>251</v>
      </c>
      <c r="E3893" s="528"/>
      <c r="F3893" s="528"/>
      <c r="G3893" s="528" t="s">
        <v>208</v>
      </c>
      <c r="H3893"/>
    </row>
    <row r="3894" spans="1:8" x14ac:dyDescent="0.35">
      <c r="A3894" s="528" t="s">
        <v>11146</v>
      </c>
      <c r="B3894" s="528" t="s">
        <v>11147</v>
      </c>
      <c r="C3894" s="528" t="s">
        <v>672</v>
      </c>
      <c r="D3894" s="528" t="s">
        <v>264</v>
      </c>
      <c r="E3894" s="528"/>
      <c r="F3894" s="528"/>
      <c r="G3894" s="528" t="s">
        <v>208</v>
      </c>
      <c r="H3894"/>
    </row>
    <row r="3895" spans="1:8" x14ac:dyDescent="0.35">
      <c r="A3895" s="528" t="s">
        <v>11148</v>
      </c>
      <c r="B3895" s="528" t="s">
        <v>11149</v>
      </c>
      <c r="C3895" s="528" t="s">
        <v>1149</v>
      </c>
      <c r="D3895" s="528" t="s">
        <v>264</v>
      </c>
      <c r="E3895" s="528"/>
      <c r="F3895" s="528"/>
      <c r="G3895" s="528" t="s">
        <v>208</v>
      </c>
      <c r="H3895"/>
    </row>
    <row r="3896" spans="1:8" x14ac:dyDescent="0.35">
      <c r="A3896" s="528" t="s">
        <v>11150</v>
      </c>
      <c r="B3896" s="528" t="s">
        <v>11151</v>
      </c>
      <c r="C3896" s="528" t="s">
        <v>11152</v>
      </c>
      <c r="D3896" s="528" t="s">
        <v>277</v>
      </c>
      <c r="E3896" s="528"/>
      <c r="F3896" s="528"/>
      <c r="G3896" s="528" t="s">
        <v>208</v>
      </c>
      <c r="H3896"/>
    </row>
    <row r="3897" spans="1:8" x14ac:dyDescent="0.35">
      <c r="A3897" s="528" t="s">
        <v>11153</v>
      </c>
      <c r="B3897" s="528" t="s">
        <v>11154</v>
      </c>
      <c r="C3897" s="528" t="s">
        <v>11155</v>
      </c>
      <c r="D3897" s="528" t="s">
        <v>264</v>
      </c>
      <c r="E3897" s="528"/>
      <c r="F3897" s="528"/>
      <c r="G3897" s="528" t="s">
        <v>205</v>
      </c>
      <c r="H3897"/>
    </row>
    <row r="3898" spans="1:8" x14ac:dyDescent="0.35">
      <c r="A3898" s="528" t="s">
        <v>11156</v>
      </c>
      <c r="B3898" s="528" t="s">
        <v>11157</v>
      </c>
      <c r="C3898" s="528" t="s">
        <v>11158</v>
      </c>
      <c r="D3898" s="528" t="s">
        <v>264</v>
      </c>
      <c r="E3898" s="528"/>
      <c r="F3898" s="528"/>
      <c r="G3898" s="528" t="s">
        <v>210</v>
      </c>
      <c r="H3898"/>
    </row>
    <row r="3899" spans="1:8" x14ac:dyDescent="0.35">
      <c r="A3899" s="528" t="s">
        <v>11159</v>
      </c>
      <c r="B3899" s="528" t="s">
        <v>11160</v>
      </c>
      <c r="C3899" s="528" t="s">
        <v>1962</v>
      </c>
      <c r="D3899" s="528" t="s">
        <v>264</v>
      </c>
      <c r="E3899" s="528"/>
      <c r="F3899" s="528"/>
      <c r="G3899" s="528" t="s">
        <v>205</v>
      </c>
      <c r="H3899"/>
    </row>
    <row r="3900" spans="1:8" x14ac:dyDescent="0.35">
      <c r="A3900" s="528" t="s">
        <v>11161</v>
      </c>
      <c r="B3900" s="528" t="s">
        <v>11162</v>
      </c>
      <c r="C3900" s="528" t="s">
        <v>8320</v>
      </c>
      <c r="D3900" s="528" t="s">
        <v>264</v>
      </c>
      <c r="E3900" s="528"/>
      <c r="F3900" s="528"/>
      <c r="G3900" s="528" t="s">
        <v>208</v>
      </c>
      <c r="H3900"/>
    </row>
    <row r="3901" spans="1:8" x14ac:dyDescent="0.35">
      <c r="A3901" s="528" t="s">
        <v>11163</v>
      </c>
      <c r="B3901" s="528" t="s">
        <v>11164</v>
      </c>
      <c r="C3901" s="528" t="s">
        <v>11165</v>
      </c>
      <c r="D3901" s="528" t="s">
        <v>264</v>
      </c>
      <c r="E3901" s="528"/>
      <c r="F3901" s="528"/>
      <c r="G3901" s="528" t="s">
        <v>205</v>
      </c>
      <c r="H3901"/>
    </row>
    <row r="3902" spans="1:8" x14ac:dyDescent="0.35">
      <c r="A3902" s="528" t="s">
        <v>11166</v>
      </c>
      <c r="B3902" s="528" t="s">
        <v>11167</v>
      </c>
      <c r="C3902" s="528" t="s">
        <v>11168</v>
      </c>
      <c r="D3902" s="528" t="s">
        <v>264</v>
      </c>
      <c r="E3902" s="528"/>
      <c r="F3902" s="528"/>
      <c r="G3902" s="528" t="s">
        <v>210</v>
      </c>
      <c r="H3902"/>
    </row>
    <row r="3903" spans="1:8" x14ac:dyDescent="0.35">
      <c r="A3903" s="528" t="s">
        <v>11169</v>
      </c>
      <c r="B3903" s="528" t="s">
        <v>11170</v>
      </c>
      <c r="C3903" s="528" t="s">
        <v>11171</v>
      </c>
      <c r="D3903" s="528" t="s">
        <v>264</v>
      </c>
      <c r="E3903" s="528"/>
      <c r="F3903" s="528"/>
      <c r="G3903" s="528" t="s">
        <v>210</v>
      </c>
      <c r="H3903"/>
    </row>
    <row r="3904" spans="1:8" x14ac:dyDescent="0.35">
      <c r="A3904" s="528" t="s">
        <v>11172</v>
      </c>
      <c r="B3904" s="528" t="s">
        <v>11173</v>
      </c>
      <c r="C3904" s="528" t="s">
        <v>725</v>
      </c>
      <c r="D3904" s="528" t="s">
        <v>277</v>
      </c>
      <c r="E3904" s="528"/>
      <c r="F3904" s="528"/>
      <c r="G3904" s="528" t="s">
        <v>208</v>
      </c>
      <c r="H3904"/>
    </row>
    <row r="3905" spans="1:8" x14ac:dyDescent="0.35">
      <c r="A3905" s="528" t="s">
        <v>11174</v>
      </c>
      <c r="B3905" s="528" t="s">
        <v>11175</v>
      </c>
      <c r="C3905" s="528" t="s">
        <v>11176</v>
      </c>
      <c r="D3905" s="528" t="s">
        <v>225</v>
      </c>
      <c r="E3905" s="528"/>
      <c r="F3905" s="528"/>
      <c r="G3905" s="528" t="s">
        <v>205</v>
      </c>
      <c r="H3905"/>
    </row>
    <row r="3906" spans="1:8" x14ac:dyDescent="0.35">
      <c r="A3906" s="528" t="s">
        <v>11177</v>
      </c>
      <c r="B3906" s="528" t="s">
        <v>11178</v>
      </c>
      <c r="C3906" s="528" t="s">
        <v>1848</v>
      </c>
      <c r="D3906" s="528" t="s">
        <v>251</v>
      </c>
      <c r="E3906" s="528"/>
      <c r="F3906" s="528"/>
      <c r="G3906" s="528" t="s">
        <v>205</v>
      </c>
      <c r="H3906"/>
    </row>
    <row r="3907" spans="1:8" x14ac:dyDescent="0.35">
      <c r="A3907" s="528" t="s">
        <v>11179</v>
      </c>
      <c r="B3907" s="528" t="s">
        <v>11180</v>
      </c>
      <c r="C3907" s="528" t="s">
        <v>11181</v>
      </c>
      <c r="D3907" s="528" t="s">
        <v>264</v>
      </c>
      <c r="E3907" s="528"/>
      <c r="F3907" s="528"/>
      <c r="G3907" s="528" t="s">
        <v>205</v>
      </c>
      <c r="H3907"/>
    </row>
    <row r="3908" spans="1:8" x14ac:dyDescent="0.35">
      <c r="A3908" s="528" t="s">
        <v>11182</v>
      </c>
      <c r="B3908" s="528" t="s">
        <v>11183</v>
      </c>
      <c r="C3908" s="528" t="s">
        <v>11184</v>
      </c>
      <c r="D3908" s="528" t="s">
        <v>238</v>
      </c>
      <c r="E3908" s="528"/>
      <c r="F3908" s="528"/>
      <c r="G3908" s="528" t="s">
        <v>208</v>
      </c>
      <c r="H3908"/>
    </row>
    <row r="3909" spans="1:8" x14ac:dyDescent="0.35">
      <c r="A3909" s="528" t="s">
        <v>11185</v>
      </c>
      <c r="B3909" s="528" t="s">
        <v>11186</v>
      </c>
      <c r="C3909" s="528" t="s">
        <v>1226</v>
      </c>
      <c r="D3909" s="528" t="s">
        <v>264</v>
      </c>
      <c r="E3909" s="528"/>
      <c r="F3909" s="528"/>
      <c r="G3909" s="528" t="s">
        <v>205</v>
      </c>
      <c r="H3909"/>
    </row>
    <row r="3910" spans="1:8" x14ac:dyDescent="0.35">
      <c r="A3910" s="528" t="s">
        <v>11187</v>
      </c>
      <c r="B3910" s="528" t="s">
        <v>11188</v>
      </c>
      <c r="C3910" s="528" t="s">
        <v>11189</v>
      </c>
      <c r="D3910" s="528" t="s">
        <v>264</v>
      </c>
      <c r="E3910" s="528"/>
      <c r="F3910" s="528"/>
      <c r="G3910" s="528" t="s">
        <v>205</v>
      </c>
      <c r="H3910"/>
    </row>
    <row r="3911" spans="1:8" x14ac:dyDescent="0.35">
      <c r="A3911" s="528" t="s">
        <v>11190</v>
      </c>
      <c r="B3911" s="528" t="s">
        <v>11191</v>
      </c>
      <c r="C3911" s="528" t="s">
        <v>11192</v>
      </c>
      <c r="D3911" s="528" t="s">
        <v>238</v>
      </c>
      <c r="E3911" s="528"/>
      <c r="F3911" s="528"/>
      <c r="G3911" s="528" t="s">
        <v>205</v>
      </c>
      <c r="H3911"/>
    </row>
    <row r="3912" spans="1:8" x14ac:dyDescent="0.35">
      <c r="A3912" s="528" t="s">
        <v>11193</v>
      </c>
      <c r="B3912" s="528" t="s">
        <v>11194</v>
      </c>
      <c r="C3912" s="528" t="s">
        <v>11195</v>
      </c>
      <c r="D3912" s="528" t="s">
        <v>238</v>
      </c>
      <c r="E3912" s="528"/>
      <c r="F3912" s="528"/>
      <c r="G3912" s="528" t="s">
        <v>205</v>
      </c>
      <c r="H3912"/>
    </row>
    <row r="3913" spans="1:8" x14ac:dyDescent="0.35">
      <c r="A3913" s="528" t="s">
        <v>11196</v>
      </c>
      <c r="B3913" s="528" t="s">
        <v>11197</v>
      </c>
      <c r="C3913" s="528" t="s">
        <v>11198</v>
      </c>
      <c r="D3913" s="528" t="s">
        <v>225</v>
      </c>
      <c r="E3913" s="528"/>
      <c r="F3913" s="528"/>
      <c r="G3913" s="528" t="s">
        <v>208</v>
      </c>
      <c r="H3913"/>
    </row>
    <row r="3914" spans="1:8" x14ac:dyDescent="0.35">
      <c r="A3914" s="528" t="s">
        <v>11199</v>
      </c>
      <c r="B3914" s="528" t="s">
        <v>11200</v>
      </c>
      <c r="C3914" s="528" t="s">
        <v>4321</v>
      </c>
      <c r="D3914" s="528" t="s">
        <v>264</v>
      </c>
      <c r="E3914" s="528" t="s">
        <v>277</v>
      </c>
      <c r="F3914" s="528"/>
      <c r="G3914" s="528" t="s">
        <v>205</v>
      </c>
      <c r="H3914"/>
    </row>
    <row r="3915" spans="1:8" x14ac:dyDescent="0.35">
      <c r="A3915" s="528" t="s">
        <v>11201</v>
      </c>
      <c r="B3915" s="528" t="s">
        <v>11202</v>
      </c>
      <c r="C3915" s="528" t="s">
        <v>11203</v>
      </c>
      <c r="D3915" s="528" t="s">
        <v>277</v>
      </c>
      <c r="E3915" s="528"/>
      <c r="F3915" s="528"/>
      <c r="G3915" s="528" t="s">
        <v>208</v>
      </c>
      <c r="H3915"/>
    </row>
    <row r="3916" spans="1:8" x14ac:dyDescent="0.35">
      <c r="A3916" s="528" t="s">
        <v>11204</v>
      </c>
      <c r="B3916" s="528" t="s">
        <v>11205</v>
      </c>
      <c r="C3916" s="528" t="s">
        <v>730</v>
      </c>
      <c r="D3916" s="528" t="s">
        <v>251</v>
      </c>
      <c r="E3916" s="528"/>
      <c r="F3916" s="528"/>
      <c r="G3916" s="528" t="s">
        <v>208</v>
      </c>
      <c r="H3916"/>
    </row>
    <row r="3917" spans="1:8" x14ac:dyDescent="0.35">
      <c r="A3917" s="528" t="s">
        <v>11206</v>
      </c>
      <c r="B3917" s="528" t="s">
        <v>11207</v>
      </c>
      <c r="C3917" s="528" t="s">
        <v>2307</v>
      </c>
      <c r="D3917" s="528" t="s">
        <v>251</v>
      </c>
      <c r="E3917" s="528"/>
      <c r="F3917" s="528"/>
      <c r="G3917" s="528" t="s">
        <v>205</v>
      </c>
      <c r="H3917"/>
    </row>
    <row r="3918" spans="1:8" x14ac:dyDescent="0.35">
      <c r="A3918" s="528" t="s">
        <v>11208</v>
      </c>
      <c r="B3918" s="528" t="s">
        <v>11209</v>
      </c>
      <c r="C3918" s="528" t="s">
        <v>1341</v>
      </c>
      <c r="D3918" s="528" t="s">
        <v>277</v>
      </c>
      <c r="E3918" s="528"/>
      <c r="F3918" s="528"/>
      <c r="G3918" s="528" t="s">
        <v>205</v>
      </c>
      <c r="H3918"/>
    </row>
    <row r="3919" spans="1:8" x14ac:dyDescent="0.35">
      <c r="A3919" s="528" t="s">
        <v>11210</v>
      </c>
      <c r="B3919" s="528" t="s">
        <v>11211</v>
      </c>
      <c r="C3919" s="528" t="s">
        <v>11212</v>
      </c>
      <c r="D3919" s="528" t="s">
        <v>251</v>
      </c>
      <c r="E3919" s="528"/>
      <c r="F3919" s="528"/>
      <c r="G3919" s="528" t="s">
        <v>208</v>
      </c>
      <c r="H3919"/>
    </row>
    <row r="3920" spans="1:8" x14ac:dyDescent="0.35">
      <c r="A3920" s="528" t="s">
        <v>11213</v>
      </c>
      <c r="B3920" s="528" t="s">
        <v>11214</v>
      </c>
      <c r="C3920" s="528" t="s">
        <v>2838</v>
      </c>
      <c r="D3920" s="528" t="s">
        <v>264</v>
      </c>
      <c r="E3920" s="528"/>
      <c r="F3920" s="528"/>
      <c r="G3920" s="528" t="s">
        <v>205</v>
      </c>
      <c r="H3920"/>
    </row>
    <row r="3921" spans="1:8" x14ac:dyDescent="0.35">
      <c r="A3921" s="528" t="s">
        <v>11215</v>
      </c>
      <c r="B3921" s="528" t="s">
        <v>11216</v>
      </c>
      <c r="C3921" s="528" t="s">
        <v>11217</v>
      </c>
      <c r="D3921" s="528" t="s">
        <v>251</v>
      </c>
      <c r="E3921" s="528"/>
      <c r="F3921" s="528"/>
      <c r="G3921" s="528" t="s">
        <v>208</v>
      </c>
      <c r="H3921"/>
    </row>
    <row r="3922" spans="1:8" x14ac:dyDescent="0.35">
      <c r="A3922" s="528" t="s">
        <v>11218</v>
      </c>
      <c r="B3922" s="528" t="s">
        <v>11219</v>
      </c>
      <c r="C3922" s="528" t="s">
        <v>1695</v>
      </c>
      <c r="D3922" s="528" t="s">
        <v>264</v>
      </c>
      <c r="E3922" s="528"/>
      <c r="F3922" s="528"/>
      <c r="G3922" s="528" t="s">
        <v>205</v>
      </c>
      <c r="H3922"/>
    </row>
    <row r="3923" spans="1:8" x14ac:dyDescent="0.35">
      <c r="A3923" s="528" t="s">
        <v>11220</v>
      </c>
      <c r="B3923" s="528" t="s">
        <v>11221</v>
      </c>
      <c r="C3923" s="528" t="s">
        <v>11222</v>
      </c>
      <c r="D3923" s="528" t="s">
        <v>225</v>
      </c>
      <c r="E3923" s="528"/>
      <c r="F3923" s="528"/>
      <c r="G3923" s="528" t="s">
        <v>205</v>
      </c>
      <c r="H3923"/>
    </row>
    <row r="3924" spans="1:8" x14ac:dyDescent="0.35">
      <c r="A3924" s="528" t="s">
        <v>11223</v>
      </c>
      <c r="B3924" s="528" t="s">
        <v>11224</v>
      </c>
      <c r="C3924" s="528" t="s">
        <v>11225</v>
      </c>
      <c r="D3924" s="528" t="s">
        <v>225</v>
      </c>
      <c r="E3924" s="528"/>
      <c r="F3924" s="528"/>
      <c r="G3924" s="528" t="s">
        <v>205</v>
      </c>
      <c r="H3924"/>
    </row>
    <row r="3925" spans="1:8" x14ac:dyDescent="0.35">
      <c r="A3925" s="528" t="s">
        <v>11226</v>
      </c>
      <c r="B3925" s="528" t="s">
        <v>11227</v>
      </c>
      <c r="C3925" s="528" t="s">
        <v>10156</v>
      </c>
      <c r="D3925" s="528" t="s">
        <v>277</v>
      </c>
      <c r="E3925" s="528"/>
      <c r="F3925" s="528"/>
      <c r="G3925" s="528" t="s">
        <v>208</v>
      </c>
      <c r="H3925"/>
    </row>
    <row r="3926" spans="1:8" x14ac:dyDescent="0.35">
      <c r="A3926" s="528" t="s">
        <v>11228</v>
      </c>
      <c r="B3926" s="528" t="s">
        <v>11229</v>
      </c>
      <c r="C3926" s="528" t="s">
        <v>11230</v>
      </c>
      <c r="D3926" s="528" t="s">
        <v>251</v>
      </c>
      <c r="E3926" s="528"/>
      <c r="F3926" s="528"/>
      <c r="G3926" s="528" t="s">
        <v>208</v>
      </c>
      <c r="H3926"/>
    </row>
    <row r="3927" spans="1:8" x14ac:dyDescent="0.35">
      <c r="A3927" s="528" t="s">
        <v>11231</v>
      </c>
      <c r="B3927" s="528" t="s">
        <v>11232</v>
      </c>
      <c r="C3927" s="528" t="s">
        <v>11233</v>
      </c>
      <c r="D3927" s="528" t="s">
        <v>251</v>
      </c>
      <c r="E3927" s="528"/>
      <c r="F3927" s="528"/>
      <c r="G3927" s="528" t="s">
        <v>208</v>
      </c>
      <c r="H3927"/>
    </row>
    <row r="3928" spans="1:8" x14ac:dyDescent="0.35">
      <c r="A3928" s="528" t="s">
        <v>11234</v>
      </c>
      <c r="B3928" s="528" t="s">
        <v>11235</v>
      </c>
      <c r="C3928" s="528" t="s">
        <v>11236</v>
      </c>
      <c r="D3928" s="528" t="s">
        <v>251</v>
      </c>
      <c r="E3928" s="528"/>
      <c r="F3928" s="528"/>
      <c r="G3928" s="528" t="s">
        <v>205</v>
      </c>
      <c r="H3928"/>
    </row>
    <row r="3929" spans="1:8" x14ac:dyDescent="0.35">
      <c r="A3929" s="528" t="s">
        <v>11237</v>
      </c>
      <c r="B3929" s="528" t="s">
        <v>11238</v>
      </c>
      <c r="C3929" s="528" t="s">
        <v>1341</v>
      </c>
      <c r="D3929" s="528" t="s">
        <v>277</v>
      </c>
      <c r="E3929" s="528"/>
      <c r="F3929" s="528"/>
      <c r="G3929" s="528" t="s">
        <v>205</v>
      </c>
      <c r="H3929"/>
    </row>
    <row r="3930" spans="1:8" x14ac:dyDescent="0.35">
      <c r="A3930" s="528" t="s">
        <v>11239</v>
      </c>
      <c r="B3930" s="528" t="s">
        <v>11240</v>
      </c>
      <c r="C3930" s="528" t="s">
        <v>11241</v>
      </c>
      <c r="D3930" s="528" t="s">
        <v>277</v>
      </c>
      <c r="E3930" s="528"/>
      <c r="F3930" s="528"/>
      <c r="G3930" s="528" t="s">
        <v>205</v>
      </c>
      <c r="H3930"/>
    </row>
    <row r="3931" spans="1:8" x14ac:dyDescent="0.35">
      <c r="A3931" s="528" t="s">
        <v>11242</v>
      </c>
      <c r="B3931" s="528" t="s">
        <v>11243</v>
      </c>
      <c r="C3931" s="528" t="s">
        <v>11244</v>
      </c>
      <c r="D3931" s="528" t="s">
        <v>277</v>
      </c>
      <c r="E3931" s="528"/>
      <c r="F3931" s="528"/>
      <c r="G3931" s="528" t="s">
        <v>208</v>
      </c>
      <c r="H3931"/>
    </row>
    <row r="3932" spans="1:8" x14ac:dyDescent="0.35">
      <c r="A3932" s="528" t="s">
        <v>11245</v>
      </c>
      <c r="B3932" s="528" t="s">
        <v>11246</v>
      </c>
      <c r="C3932" s="528" t="s">
        <v>6796</v>
      </c>
      <c r="D3932" s="528" t="s">
        <v>238</v>
      </c>
      <c r="E3932" s="528"/>
      <c r="F3932" s="528"/>
      <c r="G3932" s="528" t="s">
        <v>205</v>
      </c>
      <c r="H3932"/>
    </row>
    <row r="3933" spans="1:8" x14ac:dyDescent="0.35">
      <c r="A3933" s="528" t="s">
        <v>11247</v>
      </c>
      <c r="B3933" s="528" t="s">
        <v>11248</v>
      </c>
      <c r="C3933" s="528" t="s">
        <v>11249</v>
      </c>
      <c r="D3933" s="528" t="s">
        <v>238</v>
      </c>
      <c r="E3933" s="528"/>
      <c r="F3933" s="528"/>
      <c r="G3933" s="528" t="s">
        <v>205</v>
      </c>
      <c r="H3933"/>
    </row>
    <row r="3934" spans="1:8" x14ac:dyDescent="0.35">
      <c r="A3934" s="528" t="s">
        <v>11250</v>
      </c>
      <c r="B3934" s="528" t="s">
        <v>11251</v>
      </c>
      <c r="C3934" s="528" t="s">
        <v>11252</v>
      </c>
      <c r="D3934" s="528" t="s">
        <v>238</v>
      </c>
      <c r="E3934" s="528"/>
      <c r="F3934" s="528"/>
      <c r="G3934" s="528" t="s">
        <v>208</v>
      </c>
      <c r="H3934"/>
    </row>
    <row r="3935" spans="1:8" x14ac:dyDescent="0.35">
      <c r="A3935" s="528" t="s">
        <v>11253</v>
      </c>
      <c r="B3935" s="528" t="s">
        <v>11254</v>
      </c>
      <c r="C3935" s="528" t="s">
        <v>11255</v>
      </c>
      <c r="D3935" s="528" t="s">
        <v>225</v>
      </c>
      <c r="E3935" s="528"/>
      <c r="F3935" s="528"/>
      <c r="G3935" s="528" t="s">
        <v>208</v>
      </c>
      <c r="H3935"/>
    </row>
    <row r="3936" spans="1:8" x14ac:dyDescent="0.35">
      <c r="A3936" s="528" t="s">
        <v>11256</v>
      </c>
      <c r="B3936" s="528" t="s">
        <v>11257</v>
      </c>
      <c r="C3936" s="528" t="s">
        <v>11258</v>
      </c>
      <c r="D3936" s="528" t="s">
        <v>277</v>
      </c>
      <c r="E3936" s="528"/>
      <c r="F3936" s="528"/>
      <c r="G3936" s="528" t="s">
        <v>205</v>
      </c>
      <c r="H3936"/>
    </row>
    <row r="3937" spans="1:8" x14ac:dyDescent="0.35">
      <c r="A3937" s="528" t="s">
        <v>11259</v>
      </c>
      <c r="B3937" s="528" t="s">
        <v>11260</v>
      </c>
      <c r="C3937" s="528" t="s">
        <v>11261</v>
      </c>
      <c r="D3937" s="528" t="s">
        <v>277</v>
      </c>
      <c r="E3937" s="528"/>
      <c r="F3937" s="528"/>
      <c r="G3937" s="528" t="s">
        <v>208</v>
      </c>
      <c r="H3937"/>
    </row>
    <row r="3938" spans="1:8" x14ac:dyDescent="0.35">
      <c r="A3938" s="528" t="s">
        <v>11262</v>
      </c>
      <c r="B3938" s="528" t="s">
        <v>11263</v>
      </c>
      <c r="C3938" s="528" t="s">
        <v>11264</v>
      </c>
      <c r="D3938" s="528" t="s">
        <v>277</v>
      </c>
      <c r="E3938" s="528"/>
      <c r="F3938" s="528"/>
      <c r="G3938" s="528" t="s">
        <v>205</v>
      </c>
      <c r="H3938"/>
    </row>
    <row r="3939" spans="1:8" x14ac:dyDescent="0.35">
      <c r="A3939" s="528" t="s">
        <v>11265</v>
      </c>
      <c r="B3939" s="528" t="s">
        <v>11266</v>
      </c>
      <c r="C3939" s="528" t="s">
        <v>11267</v>
      </c>
      <c r="D3939" s="528" t="s">
        <v>277</v>
      </c>
      <c r="E3939" s="528"/>
      <c r="F3939" s="528"/>
      <c r="G3939" s="528" t="s">
        <v>208</v>
      </c>
      <c r="H3939"/>
    </row>
    <row r="3940" spans="1:8" x14ac:dyDescent="0.35">
      <c r="A3940" s="528" t="s">
        <v>11268</v>
      </c>
      <c r="B3940" s="528" t="s">
        <v>11269</v>
      </c>
      <c r="C3940" s="528" t="s">
        <v>11270</v>
      </c>
      <c r="D3940" s="528" t="s">
        <v>238</v>
      </c>
      <c r="E3940" s="528"/>
      <c r="F3940" s="528"/>
      <c r="G3940" s="528" t="s">
        <v>208</v>
      </c>
      <c r="H3940"/>
    </row>
    <row r="3941" spans="1:8" x14ac:dyDescent="0.35">
      <c r="A3941" s="528" t="s">
        <v>11271</v>
      </c>
      <c r="B3941" s="528" t="s">
        <v>11272</v>
      </c>
      <c r="C3941" s="528" t="s">
        <v>11273</v>
      </c>
      <c r="D3941" s="528" t="s">
        <v>277</v>
      </c>
      <c r="E3941" s="528"/>
      <c r="F3941" s="528"/>
      <c r="G3941" s="528" t="s">
        <v>208</v>
      </c>
      <c r="H3941"/>
    </row>
    <row r="3942" spans="1:8" x14ac:dyDescent="0.35">
      <c r="A3942" s="528" t="s">
        <v>11274</v>
      </c>
      <c r="B3942" s="528" t="s">
        <v>11275</v>
      </c>
      <c r="C3942" s="528" t="s">
        <v>4067</v>
      </c>
      <c r="D3942" s="528" t="s">
        <v>277</v>
      </c>
      <c r="E3942" s="528"/>
      <c r="F3942" s="528"/>
      <c r="G3942" s="528" t="s">
        <v>208</v>
      </c>
      <c r="H3942"/>
    </row>
    <row r="3943" spans="1:8" x14ac:dyDescent="0.35">
      <c r="A3943" s="528" t="s">
        <v>11276</v>
      </c>
      <c r="B3943" s="528" t="s">
        <v>11277</v>
      </c>
      <c r="C3943" s="528" t="s">
        <v>11278</v>
      </c>
      <c r="D3943" s="528" t="s">
        <v>264</v>
      </c>
      <c r="E3943" s="528"/>
      <c r="F3943" s="528"/>
      <c r="G3943" s="528" t="s">
        <v>205</v>
      </c>
      <c r="H3943"/>
    </row>
    <row r="3944" spans="1:8" x14ac:dyDescent="0.35">
      <c r="A3944" s="528" t="s">
        <v>11279</v>
      </c>
      <c r="B3944" s="528" t="s">
        <v>11280</v>
      </c>
      <c r="C3944" s="528" t="s">
        <v>11281</v>
      </c>
      <c r="D3944" s="528" t="s">
        <v>264</v>
      </c>
      <c r="E3944" s="528"/>
      <c r="F3944" s="528"/>
      <c r="G3944" s="528" t="s">
        <v>205</v>
      </c>
      <c r="H3944"/>
    </row>
    <row r="3945" spans="1:8" x14ac:dyDescent="0.35">
      <c r="A3945" s="528" t="s">
        <v>11282</v>
      </c>
      <c r="B3945" s="528" t="s">
        <v>11283</v>
      </c>
      <c r="C3945" s="528" t="s">
        <v>11284</v>
      </c>
      <c r="D3945" s="528" t="s">
        <v>277</v>
      </c>
      <c r="E3945" s="528" t="s">
        <v>264</v>
      </c>
      <c r="F3945" s="528"/>
      <c r="G3945" s="528" t="s">
        <v>205</v>
      </c>
      <c r="H3945"/>
    </row>
    <row r="3946" spans="1:8" x14ac:dyDescent="0.35">
      <c r="A3946" s="528" t="s">
        <v>11285</v>
      </c>
      <c r="B3946" s="528" t="s">
        <v>11286</v>
      </c>
      <c r="C3946" s="528" t="s">
        <v>11287</v>
      </c>
      <c r="D3946" s="528" t="s">
        <v>225</v>
      </c>
      <c r="E3946" s="528"/>
      <c r="F3946" s="528"/>
      <c r="G3946" s="528" t="s">
        <v>212</v>
      </c>
      <c r="H3946"/>
    </row>
    <row r="3947" spans="1:8" x14ac:dyDescent="0.35">
      <c r="A3947" s="528" t="s">
        <v>11288</v>
      </c>
      <c r="B3947" s="528" t="s">
        <v>11289</v>
      </c>
      <c r="C3947" s="528" t="s">
        <v>11290</v>
      </c>
      <c r="D3947" s="528" t="s">
        <v>225</v>
      </c>
      <c r="E3947" s="528"/>
      <c r="F3947" s="528"/>
      <c r="G3947" s="528" t="s">
        <v>212</v>
      </c>
      <c r="H3947"/>
    </row>
    <row r="3948" spans="1:8" x14ac:dyDescent="0.35">
      <c r="A3948" s="528" t="s">
        <v>11291</v>
      </c>
      <c r="B3948" s="528" t="s">
        <v>11292</v>
      </c>
      <c r="C3948" s="528" t="s">
        <v>11293</v>
      </c>
      <c r="D3948" s="528" t="s">
        <v>251</v>
      </c>
      <c r="E3948" s="528"/>
      <c r="F3948" s="528"/>
      <c r="G3948" s="528" t="s">
        <v>205</v>
      </c>
      <c r="H3948"/>
    </row>
    <row r="3949" spans="1:8" x14ac:dyDescent="0.35">
      <c r="A3949" s="528" t="s">
        <v>11294</v>
      </c>
      <c r="B3949" s="528" t="s">
        <v>11295</v>
      </c>
      <c r="C3949" s="528" t="s">
        <v>11296</v>
      </c>
      <c r="D3949" s="528" t="s">
        <v>264</v>
      </c>
      <c r="E3949" s="528"/>
      <c r="F3949" s="528"/>
      <c r="G3949" s="528" t="s">
        <v>208</v>
      </c>
      <c r="H3949"/>
    </row>
    <row r="3950" spans="1:8" x14ac:dyDescent="0.35">
      <c r="A3950" s="528" t="s">
        <v>11297</v>
      </c>
      <c r="B3950" s="528" t="s">
        <v>11298</v>
      </c>
      <c r="C3950" s="528" t="s">
        <v>11299</v>
      </c>
      <c r="D3950" s="528" t="s">
        <v>251</v>
      </c>
      <c r="E3950" s="528"/>
      <c r="F3950" s="528"/>
      <c r="G3950" s="528" t="s">
        <v>205</v>
      </c>
      <c r="H3950"/>
    </row>
    <row r="3951" spans="1:8" x14ac:dyDescent="0.35">
      <c r="A3951" s="528" t="s">
        <v>11300</v>
      </c>
      <c r="B3951" s="528" t="s">
        <v>11301</v>
      </c>
      <c r="C3951" s="528" t="s">
        <v>1983</v>
      </c>
      <c r="D3951" s="528" t="s">
        <v>225</v>
      </c>
      <c r="E3951" s="528"/>
      <c r="F3951" s="528"/>
      <c r="G3951" s="528" t="s">
        <v>208</v>
      </c>
      <c r="H3951"/>
    </row>
    <row r="3952" spans="1:8" x14ac:dyDescent="0.35">
      <c r="A3952" s="528" t="s">
        <v>11302</v>
      </c>
      <c r="B3952" s="528" t="s">
        <v>11303</v>
      </c>
      <c r="C3952" s="528" t="s">
        <v>11304</v>
      </c>
      <c r="D3952" s="528" t="s">
        <v>264</v>
      </c>
      <c r="E3952" s="528"/>
      <c r="F3952" s="528"/>
      <c r="G3952" s="528" t="s">
        <v>208</v>
      </c>
      <c r="H3952"/>
    </row>
    <row r="3953" spans="1:8" x14ac:dyDescent="0.35">
      <c r="A3953" s="528" t="s">
        <v>11305</v>
      </c>
      <c r="B3953" s="528" t="s">
        <v>11306</v>
      </c>
      <c r="C3953" s="528" t="s">
        <v>5202</v>
      </c>
      <c r="D3953" s="528" t="s">
        <v>225</v>
      </c>
      <c r="E3953" s="528"/>
      <c r="F3953" s="528"/>
      <c r="G3953" s="528" t="s">
        <v>205</v>
      </c>
      <c r="H3953"/>
    </row>
    <row r="3954" spans="1:8" x14ac:dyDescent="0.35">
      <c r="A3954" s="528" t="s">
        <v>11307</v>
      </c>
      <c r="B3954" s="528" t="s">
        <v>11308</v>
      </c>
      <c r="C3954" s="528" t="s">
        <v>4037</v>
      </c>
      <c r="D3954" s="528" t="s">
        <v>264</v>
      </c>
      <c r="E3954" s="528"/>
      <c r="F3954" s="528"/>
      <c r="G3954" s="528" t="s">
        <v>205</v>
      </c>
      <c r="H3954"/>
    </row>
    <row r="3955" spans="1:8" x14ac:dyDescent="0.35">
      <c r="A3955" s="528" t="s">
        <v>11309</v>
      </c>
      <c r="B3955" s="528" t="s">
        <v>11310</v>
      </c>
      <c r="C3955" s="528" t="s">
        <v>11311</v>
      </c>
      <c r="D3955" s="528" t="s">
        <v>251</v>
      </c>
      <c r="E3955" s="528"/>
      <c r="F3955" s="528"/>
      <c r="G3955" s="528" t="s">
        <v>205</v>
      </c>
      <c r="H3955"/>
    </row>
    <row r="3956" spans="1:8" x14ac:dyDescent="0.35">
      <c r="A3956" s="528" t="s">
        <v>11312</v>
      </c>
      <c r="B3956" s="528" t="s">
        <v>11313</v>
      </c>
      <c r="C3956" s="528" t="s">
        <v>11314</v>
      </c>
      <c r="D3956" s="528" t="s">
        <v>238</v>
      </c>
      <c r="E3956" s="528"/>
      <c r="F3956" s="528"/>
      <c r="G3956" s="528" t="s">
        <v>205</v>
      </c>
      <c r="H3956"/>
    </row>
    <row r="3957" spans="1:8" x14ac:dyDescent="0.35">
      <c r="A3957" s="528" t="s">
        <v>11315</v>
      </c>
      <c r="B3957" s="528" t="s">
        <v>11316</v>
      </c>
      <c r="C3957" s="528" t="s">
        <v>11317</v>
      </c>
      <c r="D3957" s="528" t="s">
        <v>238</v>
      </c>
      <c r="E3957" s="528"/>
      <c r="F3957" s="528"/>
      <c r="G3957" s="528" t="s">
        <v>205</v>
      </c>
      <c r="H3957"/>
    </row>
    <row r="3958" spans="1:8" x14ac:dyDescent="0.35">
      <c r="A3958" s="528" t="s">
        <v>11318</v>
      </c>
      <c r="B3958" s="528" t="s">
        <v>11319</v>
      </c>
      <c r="C3958" s="528" t="s">
        <v>11320</v>
      </c>
      <c r="D3958" s="528" t="s">
        <v>264</v>
      </c>
      <c r="E3958" s="528"/>
      <c r="F3958" s="528"/>
      <c r="G3958" s="528" t="s">
        <v>205</v>
      </c>
      <c r="H3958"/>
    </row>
    <row r="3959" spans="1:8" x14ac:dyDescent="0.35">
      <c r="A3959" s="528" t="s">
        <v>11321</v>
      </c>
      <c r="B3959" s="528" t="s">
        <v>11322</v>
      </c>
      <c r="C3959" s="528" t="s">
        <v>1020</v>
      </c>
      <c r="D3959" s="528" t="s">
        <v>251</v>
      </c>
      <c r="E3959" s="528"/>
      <c r="F3959" s="528"/>
      <c r="G3959" s="528" t="s">
        <v>208</v>
      </c>
      <c r="H3959"/>
    </row>
    <row r="3960" spans="1:8" x14ac:dyDescent="0.35">
      <c r="A3960" s="528" t="s">
        <v>11323</v>
      </c>
      <c r="B3960" s="528" t="s">
        <v>11324</v>
      </c>
      <c r="C3960" s="528" t="s">
        <v>4744</v>
      </c>
      <c r="D3960" s="528" t="s">
        <v>251</v>
      </c>
      <c r="E3960" s="528"/>
      <c r="F3960" s="528"/>
      <c r="G3960" s="528" t="s">
        <v>205</v>
      </c>
      <c r="H3960"/>
    </row>
    <row r="3961" spans="1:8" x14ac:dyDescent="0.35">
      <c r="A3961" s="528" t="s">
        <v>11325</v>
      </c>
      <c r="B3961" s="528" t="s">
        <v>11326</v>
      </c>
      <c r="C3961" s="528" t="s">
        <v>11327</v>
      </c>
      <c r="D3961" s="528" t="s">
        <v>277</v>
      </c>
      <c r="E3961" s="528"/>
      <c r="F3961" s="528"/>
      <c r="G3961" s="528" t="s">
        <v>208</v>
      </c>
      <c r="H3961"/>
    </row>
    <row r="3962" spans="1:8" x14ac:dyDescent="0.35">
      <c r="A3962" s="528" t="s">
        <v>11328</v>
      </c>
      <c r="B3962" s="528" t="s">
        <v>11329</v>
      </c>
      <c r="C3962" s="528" t="s">
        <v>11330</v>
      </c>
      <c r="D3962" s="528" t="s">
        <v>264</v>
      </c>
      <c r="E3962" s="528"/>
      <c r="F3962" s="528"/>
      <c r="G3962" s="528" t="s">
        <v>208</v>
      </c>
      <c r="H3962"/>
    </row>
    <row r="3963" spans="1:8" x14ac:dyDescent="0.35">
      <c r="A3963" s="528" t="s">
        <v>11331</v>
      </c>
      <c r="B3963" s="528" t="s">
        <v>11332</v>
      </c>
      <c r="C3963" s="528" t="s">
        <v>4636</v>
      </c>
      <c r="D3963" s="528" t="s">
        <v>225</v>
      </c>
      <c r="E3963" s="528"/>
      <c r="F3963" s="528"/>
      <c r="G3963" s="528" t="s">
        <v>208</v>
      </c>
      <c r="H3963"/>
    </row>
    <row r="3964" spans="1:8" x14ac:dyDescent="0.35">
      <c r="A3964" s="528" t="s">
        <v>11333</v>
      </c>
      <c r="B3964" s="528" t="s">
        <v>11334</v>
      </c>
      <c r="C3964" s="528" t="s">
        <v>11335</v>
      </c>
      <c r="D3964" s="528" t="s">
        <v>225</v>
      </c>
      <c r="E3964" s="528"/>
      <c r="F3964" s="528"/>
      <c r="G3964" s="528" t="s">
        <v>208</v>
      </c>
      <c r="H3964"/>
    </row>
    <row r="3965" spans="1:8" x14ac:dyDescent="0.35">
      <c r="A3965" s="528" t="s">
        <v>11336</v>
      </c>
      <c r="B3965" s="528" t="s">
        <v>11337</v>
      </c>
      <c r="C3965" s="528" t="s">
        <v>7547</v>
      </c>
      <c r="D3965" s="528" t="s">
        <v>277</v>
      </c>
      <c r="E3965" s="528"/>
      <c r="F3965" s="528"/>
      <c r="G3965" s="528" t="s">
        <v>208</v>
      </c>
      <c r="H3965"/>
    </row>
    <row r="3966" spans="1:8" x14ac:dyDescent="0.35">
      <c r="A3966" s="528" t="s">
        <v>11338</v>
      </c>
      <c r="B3966" s="528" t="s">
        <v>11339</v>
      </c>
      <c r="C3966" s="528" t="s">
        <v>11176</v>
      </c>
      <c r="D3966" s="528" t="s">
        <v>225</v>
      </c>
      <c r="E3966" s="528"/>
      <c r="F3966" s="528"/>
      <c r="G3966" s="528" t="s">
        <v>205</v>
      </c>
      <c r="H3966"/>
    </row>
    <row r="3967" spans="1:8" x14ac:dyDescent="0.35">
      <c r="A3967" s="528" t="s">
        <v>11340</v>
      </c>
      <c r="B3967" s="528" t="s">
        <v>11341</v>
      </c>
      <c r="C3967" s="528" t="s">
        <v>6802</v>
      </c>
      <c r="D3967" s="528" t="s">
        <v>264</v>
      </c>
      <c r="E3967" s="528"/>
      <c r="F3967" s="528"/>
      <c r="G3967" s="528" t="s">
        <v>205</v>
      </c>
      <c r="H3967"/>
    </row>
    <row r="3968" spans="1:8" x14ac:dyDescent="0.35">
      <c r="A3968" s="528" t="s">
        <v>11342</v>
      </c>
      <c r="B3968" s="528" t="s">
        <v>11343</v>
      </c>
      <c r="C3968" s="528" t="s">
        <v>2607</v>
      </c>
      <c r="D3968" s="528" t="s">
        <v>225</v>
      </c>
      <c r="E3968" s="528"/>
      <c r="F3968" s="528"/>
      <c r="G3968" s="528" t="s">
        <v>205</v>
      </c>
      <c r="H3968"/>
    </row>
    <row r="3969" spans="1:8" x14ac:dyDescent="0.35">
      <c r="A3969" s="528" t="s">
        <v>11344</v>
      </c>
      <c r="B3969" s="528" t="s">
        <v>11345</v>
      </c>
      <c r="C3969" s="528" t="s">
        <v>11346</v>
      </c>
      <c r="D3969" s="528" t="s">
        <v>225</v>
      </c>
      <c r="E3969" s="528"/>
      <c r="F3969" s="528"/>
      <c r="G3969" s="528" t="s">
        <v>205</v>
      </c>
      <c r="H3969"/>
    </row>
    <row r="3970" spans="1:8" x14ac:dyDescent="0.35">
      <c r="A3970" s="528" t="s">
        <v>11347</v>
      </c>
      <c r="B3970" s="528" t="s">
        <v>11348</v>
      </c>
      <c r="C3970" s="528" t="s">
        <v>11349</v>
      </c>
      <c r="D3970" s="528" t="s">
        <v>251</v>
      </c>
      <c r="E3970" s="528"/>
      <c r="F3970" s="528"/>
      <c r="G3970" s="528" t="s">
        <v>208</v>
      </c>
      <c r="H3970"/>
    </row>
    <row r="3971" spans="1:8" x14ac:dyDescent="0.35">
      <c r="A3971" s="528" t="s">
        <v>11350</v>
      </c>
      <c r="B3971" s="528" t="s">
        <v>11351</v>
      </c>
      <c r="C3971" s="528" t="s">
        <v>11352</v>
      </c>
      <c r="D3971" s="528" t="s">
        <v>277</v>
      </c>
      <c r="E3971" s="528" t="s">
        <v>238</v>
      </c>
      <c r="F3971" s="528"/>
      <c r="G3971" s="528" t="s">
        <v>208</v>
      </c>
      <c r="H3971"/>
    </row>
    <row r="3972" spans="1:8" x14ac:dyDescent="0.35">
      <c r="A3972" s="528" t="s">
        <v>11353</v>
      </c>
      <c r="B3972" s="528" t="s">
        <v>11354</v>
      </c>
      <c r="C3972" s="528" t="s">
        <v>11355</v>
      </c>
      <c r="D3972" s="528" t="s">
        <v>264</v>
      </c>
      <c r="E3972" s="528"/>
      <c r="F3972" s="528"/>
      <c r="G3972" s="528" t="s">
        <v>208</v>
      </c>
      <c r="H3972"/>
    </row>
    <row r="3973" spans="1:8" x14ac:dyDescent="0.35">
      <c r="A3973" s="528" t="s">
        <v>11356</v>
      </c>
      <c r="B3973" s="528" t="s">
        <v>11357</v>
      </c>
      <c r="C3973" s="528" t="s">
        <v>11358</v>
      </c>
      <c r="D3973" s="528" t="s">
        <v>251</v>
      </c>
      <c r="E3973" s="528"/>
      <c r="F3973" s="528"/>
      <c r="G3973" s="528" t="s">
        <v>208</v>
      </c>
      <c r="H3973"/>
    </row>
    <row r="3974" spans="1:8" x14ac:dyDescent="0.35">
      <c r="A3974" s="528" t="s">
        <v>11359</v>
      </c>
      <c r="B3974" s="528" t="s">
        <v>11360</v>
      </c>
      <c r="C3974" s="528" t="s">
        <v>11361</v>
      </c>
      <c r="D3974" s="528" t="s">
        <v>277</v>
      </c>
      <c r="E3974" s="528"/>
      <c r="F3974" s="528"/>
      <c r="G3974" s="528" t="s">
        <v>208</v>
      </c>
      <c r="H3974"/>
    </row>
    <row r="3975" spans="1:8" x14ac:dyDescent="0.35">
      <c r="A3975" s="528" t="s">
        <v>11362</v>
      </c>
      <c r="B3975" s="528" t="s">
        <v>11363</v>
      </c>
      <c r="C3975" s="528" t="s">
        <v>1371</v>
      </c>
      <c r="D3975" s="528" t="s">
        <v>238</v>
      </c>
      <c r="E3975" s="528"/>
      <c r="F3975" s="528"/>
      <c r="G3975" s="528" t="s">
        <v>205</v>
      </c>
      <c r="H3975"/>
    </row>
    <row r="3976" spans="1:8" x14ac:dyDescent="0.35">
      <c r="A3976" s="528" t="s">
        <v>11364</v>
      </c>
      <c r="B3976" s="528" t="s">
        <v>11365</v>
      </c>
      <c r="C3976" s="528" t="s">
        <v>3489</v>
      </c>
      <c r="D3976" s="528" t="s">
        <v>251</v>
      </c>
      <c r="E3976" s="528"/>
      <c r="F3976" s="528"/>
      <c r="G3976" s="528" t="s">
        <v>205</v>
      </c>
      <c r="H3976"/>
    </row>
    <row r="3977" spans="1:8" x14ac:dyDescent="0.35">
      <c r="A3977" s="528" t="s">
        <v>11366</v>
      </c>
      <c r="B3977" s="528" t="s">
        <v>11367</v>
      </c>
      <c r="C3977" s="528" t="s">
        <v>4693</v>
      </c>
      <c r="D3977" s="528" t="s">
        <v>238</v>
      </c>
      <c r="E3977" s="528"/>
      <c r="F3977" s="528"/>
      <c r="G3977" s="528" t="s">
        <v>205</v>
      </c>
      <c r="H3977"/>
    </row>
    <row r="3978" spans="1:8" x14ac:dyDescent="0.35">
      <c r="A3978" s="528" t="s">
        <v>11368</v>
      </c>
      <c r="B3978" s="528" t="s">
        <v>11369</v>
      </c>
      <c r="C3978" s="528" t="s">
        <v>11370</v>
      </c>
      <c r="D3978" s="528" t="s">
        <v>277</v>
      </c>
      <c r="E3978" s="528"/>
      <c r="F3978" s="528"/>
      <c r="G3978" s="528" t="s">
        <v>208</v>
      </c>
      <c r="H3978"/>
    </row>
    <row r="3979" spans="1:8" x14ac:dyDescent="0.35">
      <c r="A3979" s="528" t="s">
        <v>11371</v>
      </c>
      <c r="B3979" s="528" t="s">
        <v>11372</v>
      </c>
      <c r="C3979" s="528" t="s">
        <v>11373</v>
      </c>
      <c r="D3979" s="528" t="s">
        <v>277</v>
      </c>
      <c r="E3979" s="528"/>
      <c r="F3979" s="528"/>
      <c r="G3979" s="528" t="s">
        <v>205</v>
      </c>
      <c r="H3979"/>
    </row>
    <row r="3980" spans="1:8" x14ac:dyDescent="0.35">
      <c r="A3980" s="528" t="s">
        <v>11374</v>
      </c>
      <c r="B3980" s="528" t="s">
        <v>11375</v>
      </c>
      <c r="C3980" s="528" t="s">
        <v>11376</v>
      </c>
      <c r="D3980" s="528" t="s">
        <v>264</v>
      </c>
      <c r="E3980" s="528"/>
      <c r="F3980" s="528"/>
      <c r="G3980" s="528" t="s">
        <v>208</v>
      </c>
      <c r="H3980"/>
    </row>
    <row r="3981" spans="1:8" x14ac:dyDescent="0.35">
      <c r="A3981" s="528" t="s">
        <v>11377</v>
      </c>
      <c r="B3981" s="528" t="s">
        <v>11378</v>
      </c>
      <c r="C3981" s="528" t="s">
        <v>11379</v>
      </c>
      <c r="D3981" s="528" t="s">
        <v>264</v>
      </c>
      <c r="E3981" s="528"/>
      <c r="F3981" s="528"/>
      <c r="G3981" s="528" t="s">
        <v>208</v>
      </c>
      <c r="H3981"/>
    </row>
    <row r="3982" spans="1:8" x14ac:dyDescent="0.35">
      <c r="A3982" s="528" t="s">
        <v>11380</v>
      </c>
      <c r="B3982" s="528" t="s">
        <v>11381</v>
      </c>
      <c r="C3982" s="528" t="s">
        <v>6638</v>
      </c>
      <c r="D3982" s="528" t="s">
        <v>225</v>
      </c>
      <c r="E3982" s="528"/>
      <c r="F3982" s="528"/>
      <c r="G3982" s="528" t="s">
        <v>208</v>
      </c>
      <c r="H3982"/>
    </row>
    <row r="3983" spans="1:8" x14ac:dyDescent="0.35">
      <c r="A3983" s="528" t="s">
        <v>11382</v>
      </c>
      <c r="B3983" s="528" t="s">
        <v>11383</v>
      </c>
      <c r="C3983" s="528" t="s">
        <v>11384</v>
      </c>
      <c r="D3983" s="528" t="s">
        <v>264</v>
      </c>
      <c r="E3983" s="528"/>
      <c r="F3983" s="528"/>
      <c r="G3983" s="528" t="s">
        <v>205</v>
      </c>
      <c r="H3983"/>
    </row>
    <row r="3984" spans="1:8" x14ac:dyDescent="0.35">
      <c r="A3984" s="528" t="s">
        <v>11385</v>
      </c>
      <c r="B3984" s="528" t="s">
        <v>11386</v>
      </c>
      <c r="C3984" s="528" t="s">
        <v>2339</v>
      </c>
      <c r="D3984" s="528" t="s">
        <v>264</v>
      </c>
      <c r="E3984" s="528"/>
      <c r="F3984" s="528"/>
      <c r="G3984" s="528" t="s">
        <v>205</v>
      </c>
      <c r="H3984"/>
    </row>
    <row r="3985" spans="1:8" x14ac:dyDescent="0.35">
      <c r="A3985" s="528" t="s">
        <v>11387</v>
      </c>
      <c r="B3985" s="528" t="s">
        <v>11388</v>
      </c>
      <c r="C3985" s="528" t="s">
        <v>11389</v>
      </c>
      <c r="D3985" s="528" t="s">
        <v>277</v>
      </c>
      <c r="E3985" s="528"/>
      <c r="F3985" s="528"/>
      <c r="G3985" s="528" t="s">
        <v>205</v>
      </c>
      <c r="H3985"/>
    </row>
    <row r="3986" spans="1:8" x14ac:dyDescent="0.35">
      <c r="A3986" s="528" t="s">
        <v>11390</v>
      </c>
      <c r="B3986" s="528" t="s">
        <v>11391</v>
      </c>
      <c r="C3986" s="528" t="s">
        <v>11392</v>
      </c>
      <c r="D3986" s="528" t="s">
        <v>264</v>
      </c>
      <c r="E3986" s="528"/>
      <c r="F3986" s="528"/>
      <c r="G3986" s="528" t="s">
        <v>205</v>
      </c>
      <c r="H3986"/>
    </row>
    <row r="3987" spans="1:8" x14ac:dyDescent="0.35">
      <c r="A3987" s="528" t="s">
        <v>11393</v>
      </c>
      <c r="B3987" s="528" t="s">
        <v>11394</v>
      </c>
      <c r="C3987" s="528" t="s">
        <v>11395</v>
      </c>
      <c r="D3987" s="528" t="s">
        <v>264</v>
      </c>
      <c r="E3987" s="528"/>
      <c r="F3987" s="528"/>
      <c r="G3987" s="528" t="s">
        <v>205</v>
      </c>
      <c r="H3987"/>
    </row>
    <row r="3988" spans="1:8" x14ac:dyDescent="0.35">
      <c r="A3988" s="528" t="s">
        <v>11396</v>
      </c>
      <c r="B3988" s="528" t="s">
        <v>11397</v>
      </c>
      <c r="C3988" s="528" t="s">
        <v>11189</v>
      </c>
      <c r="D3988" s="528" t="s">
        <v>264</v>
      </c>
      <c r="E3988" s="528"/>
      <c r="F3988" s="528"/>
      <c r="G3988" s="528" t="s">
        <v>205</v>
      </c>
      <c r="H3988"/>
    </row>
    <row r="3989" spans="1:8" x14ac:dyDescent="0.35">
      <c r="A3989" s="528" t="s">
        <v>11398</v>
      </c>
      <c r="B3989" s="528" t="s">
        <v>11399</v>
      </c>
      <c r="C3989" s="528" t="s">
        <v>11400</v>
      </c>
      <c r="D3989" s="528" t="s">
        <v>264</v>
      </c>
      <c r="E3989" s="528"/>
      <c r="F3989" s="528"/>
      <c r="G3989" s="528" t="s">
        <v>205</v>
      </c>
      <c r="H3989"/>
    </row>
    <row r="3990" spans="1:8" x14ac:dyDescent="0.35">
      <c r="A3990" s="528" t="s">
        <v>11401</v>
      </c>
      <c r="B3990" s="528" t="s">
        <v>11402</v>
      </c>
      <c r="C3990" s="528" t="s">
        <v>11403</v>
      </c>
      <c r="D3990" s="528" t="s">
        <v>264</v>
      </c>
      <c r="E3990" s="528"/>
      <c r="F3990" s="528"/>
      <c r="G3990" s="528" t="s">
        <v>210</v>
      </c>
      <c r="H3990"/>
    </row>
    <row r="3991" spans="1:8" x14ac:dyDescent="0.35">
      <c r="A3991" s="528" t="s">
        <v>11404</v>
      </c>
      <c r="B3991" s="528" t="s">
        <v>11405</v>
      </c>
      <c r="C3991" s="528" t="s">
        <v>11406</v>
      </c>
      <c r="D3991" s="528" t="s">
        <v>277</v>
      </c>
      <c r="E3991" s="528"/>
      <c r="F3991" s="528"/>
      <c r="G3991" s="528" t="s">
        <v>205</v>
      </c>
      <c r="H3991"/>
    </row>
    <row r="3992" spans="1:8" x14ac:dyDescent="0.35">
      <c r="A3992" s="528" t="s">
        <v>11407</v>
      </c>
      <c r="B3992" s="528" t="s">
        <v>11408</v>
      </c>
      <c r="C3992" s="528" t="s">
        <v>11409</v>
      </c>
      <c r="D3992" s="528" t="s">
        <v>277</v>
      </c>
      <c r="E3992" s="528"/>
      <c r="F3992" s="528"/>
      <c r="G3992" s="528" t="s">
        <v>205</v>
      </c>
      <c r="H3992"/>
    </row>
    <row r="3993" spans="1:8" x14ac:dyDescent="0.35">
      <c r="A3993" s="528" t="s">
        <v>11410</v>
      </c>
      <c r="B3993" s="528" t="s">
        <v>11411</v>
      </c>
      <c r="C3993" s="528" t="s">
        <v>6490</v>
      </c>
      <c r="D3993" s="528" t="s">
        <v>277</v>
      </c>
      <c r="E3993" s="528"/>
      <c r="F3993" s="528"/>
      <c r="G3993" s="528" t="s">
        <v>208</v>
      </c>
      <c r="H3993"/>
    </row>
    <row r="3994" spans="1:8" x14ac:dyDescent="0.35">
      <c r="A3994" s="528" t="s">
        <v>11412</v>
      </c>
      <c r="B3994" s="528" t="s">
        <v>11413</v>
      </c>
      <c r="C3994" s="528" t="s">
        <v>994</v>
      </c>
      <c r="D3994" s="528" t="s">
        <v>251</v>
      </c>
      <c r="E3994" s="528"/>
      <c r="F3994" s="528"/>
      <c r="G3994" s="528" t="s">
        <v>208</v>
      </c>
      <c r="H3994"/>
    </row>
    <row r="3995" spans="1:8" x14ac:dyDescent="0.35">
      <c r="A3995" s="528" t="s">
        <v>11414</v>
      </c>
      <c r="B3995" s="528" t="s">
        <v>11415</v>
      </c>
      <c r="C3995" s="528" t="s">
        <v>11416</v>
      </c>
      <c r="D3995" s="528" t="s">
        <v>264</v>
      </c>
      <c r="E3995" s="528"/>
      <c r="F3995" s="528"/>
      <c r="G3995" s="528" t="s">
        <v>205</v>
      </c>
      <c r="H3995"/>
    </row>
    <row r="3996" spans="1:8" x14ac:dyDescent="0.35">
      <c r="A3996" s="528" t="s">
        <v>11417</v>
      </c>
      <c r="B3996" s="528" t="s">
        <v>11418</v>
      </c>
      <c r="C3996" s="528" t="s">
        <v>1916</v>
      </c>
      <c r="D3996" s="528" t="s">
        <v>251</v>
      </c>
      <c r="E3996" s="528"/>
      <c r="F3996" s="528"/>
      <c r="G3996" s="528" t="s">
        <v>208</v>
      </c>
      <c r="H3996"/>
    </row>
    <row r="3997" spans="1:8" x14ac:dyDescent="0.35">
      <c r="A3997" s="528" t="s">
        <v>11419</v>
      </c>
      <c r="B3997" s="528" t="s">
        <v>11420</v>
      </c>
      <c r="C3997" s="528" t="s">
        <v>11421</v>
      </c>
      <c r="D3997" s="528" t="s">
        <v>251</v>
      </c>
      <c r="E3997" s="528"/>
      <c r="F3997" s="528"/>
      <c r="G3997" s="528" t="s">
        <v>208</v>
      </c>
      <c r="H3997"/>
    </row>
    <row r="3998" spans="1:8" x14ac:dyDescent="0.35">
      <c r="A3998" s="528" t="s">
        <v>11422</v>
      </c>
      <c r="B3998" s="528" t="s">
        <v>11423</v>
      </c>
      <c r="C3998" s="528" t="s">
        <v>11424</v>
      </c>
      <c r="D3998" s="528" t="s">
        <v>251</v>
      </c>
      <c r="E3998" s="528"/>
      <c r="F3998" s="528"/>
      <c r="G3998" s="528" t="s">
        <v>208</v>
      </c>
      <c r="H3998"/>
    </row>
    <row r="3999" spans="1:8" x14ac:dyDescent="0.35">
      <c r="A3999" s="528" t="s">
        <v>11425</v>
      </c>
      <c r="B3999" s="528" t="s">
        <v>11426</v>
      </c>
      <c r="C3999" s="528" t="s">
        <v>2724</v>
      </c>
      <c r="D3999" s="528" t="s">
        <v>251</v>
      </c>
      <c r="E3999" s="528"/>
      <c r="F3999" s="528"/>
      <c r="G3999" s="528" t="s">
        <v>208</v>
      </c>
      <c r="H3999"/>
    </row>
    <row r="4000" spans="1:8" x14ac:dyDescent="0.35">
      <c r="A4000" s="528" t="s">
        <v>11427</v>
      </c>
      <c r="B4000" s="528" t="s">
        <v>11428</v>
      </c>
      <c r="C4000" s="528" t="s">
        <v>1017</v>
      </c>
      <c r="D4000" s="528" t="s">
        <v>251</v>
      </c>
      <c r="E4000" s="528"/>
      <c r="F4000" s="528"/>
      <c r="G4000" s="528" t="s">
        <v>208</v>
      </c>
      <c r="H4000"/>
    </row>
    <row r="4001" spans="1:8" x14ac:dyDescent="0.35">
      <c r="A4001" s="528" t="s">
        <v>11429</v>
      </c>
      <c r="B4001" s="528" t="s">
        <v>11430</v>
      </c>
      <c r="C4001" s="528" t="s">
        <v>11431</v>
      </c>
      <c r="D4001" s="528" t="s">
        <v>251</v>
      </c>
      <c r="E4001" s="528"/>
      <c r="F4001" s="528"/>
      <c r="G4001" s="528" t="s">
        <v>208</v>
      </c>
      <c r="H4001"/>
    </row>
    <row r="4002" spans="1:8" x14ac:dyDescent="0.35">
      <c r="A4002" s="528" t="s">
        <v>11432</v>
      </c>
      <c r="B4002" s="528" t="s">
        <v>11433</v>
      </c>
      <c r="C4002" s="528" t="s">
        <v>6463</v>
      </c>
      <c r="D4002" s="528" t="s">
        <v>251</v>
      </c>
      <c r="E4002" s="528"/>
      <c r="F4002" s="528"/>
      <c r="G4002" s="528" t="s">
        <v>208</v>
      </c>
      <c r="H4002"/>
    </row>
    <row r="4003" spans="1:8" x14ac:dyDescent="0.35">
      <c r="A4003" s="528" t="s">
        <v>11434</v>
      </c>
      <c r="B4003" s="528" t="s">
        <v>11435</v>
      </c>
      <c r="C4003" s="528" t="s">
        <v>1020</v>
      </c>
      <c r="D4003" s="528" t="s">
        <v>251</v>
      </c>
      <c r="E4003" s="528"/>
      <c r="F4003" s="528"/>
      <c r="G4003" s="528" t="s">
        <v>208</v>
      </c>
      <c r="H4003"/>
    </row>
    <row r="4004" spans="1:8" x14ac:dyDescent="0.35">
      <c r="A4004" s="528" t="s">
        <v>11436</v>
      </c>
      <c r="B4004" s="528" t="s">
        <v>11437</v>
      </c>
      <c r="C4004" s="528" t="s">
        <v>2449</v>
      </c>
      <c r="D4004" s="528" t="s">
        <v>251</v>
      </c>
      <c r="E4004" s="528"/>
      <c r="F4004" s="528"/>
      <c r="G4004" s="528" t="s">
        <v>208</v>
      </c>
      <c r="H4004"/>
    </row>
    <row r="4005" spans="1:8" x14ac:dyDescent="0.35">
      <c r="A4005" s="528" t="s">
        <v>11438</v>
      </c>
      <c r="B4005" s="528" t="s">
        <v>11439</v>
      </c>
      <c r="C4005" s="528" t="s">
        <v>3489</v>
      </c>
      <c r="D4005" s="528" t="s">
        <v>251</v>
      </c>
      <c r="E4005" s="528"/>
      <c r="F4005" s="528"/>
      <c r="G4005" s="528" t="s">
        <v>205</v>
      </c>
      <c r="H4005"/>
    </row>
    <row r="4006" spans="1:8" x14ac:dyDescent="0.35">
      <c r="A4006" s="528" t="s">
        <v>11440</v>
      </c>
      <c r="B4006" s="528" t="s">
        <v>11441</v>
      </c>
      <c r="C4006" s="528" t="s">
        <v>8622</v>
      </c>
      <c r="D4006" s="528" t="s">
        <v>251</v>
      </c>
      <c r="E4006" s="528"/>
      <c r="F4006" s="528"/>
      <c r="G4006" s="528" t="s">
        <v>205</v>
      </c>
      <c r="H4006"/>
    </row>
    <row r="4007" spans="1:8" x14ac:dyDescent="0.35">
      <c r="A4007" s="528" t="s">
        <v>11442</v>
      </c>
      <c r="B4007" s="528" t="s">
        <v>11443</v>
      </c>
      <c r="C4007" s="528" t="s">
        <v>8260</v>
      </c>
      <c r="D4007" s="528" t="s">
        <v>251</v>
      </c>
      <c r="E4007" s="528"/>
      <c r="F4007" s="528"/>
      <c r="G4007" s="528" t="s">
        <v>212</v>
      </c>
      <c r="H4007"/>
    </row>
    <row r="4008" spans="1:8" x14ac:dyDescent="0.35">
      <c r="A4008" s="528" t="s">
        <v>11444</v>
      </c>
      <c r="B4008" s="528" t="s">
        <v>11445</v>
      </c>
      <c r="C4008" s="528" t="s">
        <v>5354</v>
      </c>
      <c r="D4008" s="528" t="s">
        <v>251</v>
      </c>
      <c r="E4008" s="528"/>
      <c r="F4008" s="528"/>
      <c r="G4008" s="528" t="s">
        <v>212</v>
      </c>
      <c r="H4008"/>
    </row>
    <row r="4009" spans="1:8" x14ac:dyDescent="0.35">
      <c r="A4009" s="528" t="s">
        <v>11446</v>
      </c>
      <c r="B4009" s="528" t="s">
        <v>11447</v>
      </c>
      <c r="C4009" s="528" t="s">
        <v>11448</v>
      </c>
      <c r="D4009" s="528" t="s">
        <v>225</v>
      </c>
      <c r="E4009" s="528"/>
      <c r="F4009" s="528"/>
      <c r="G4009" s="528" t="s">
        <v>208</v>
      </c>
      <c r="H4009"/>
    </row>
    <row r="4010" spans="1:8" x14ac:dyDescent="0.35">
      <c r="A4010" s="528" t="s">
        <v>11449</v>
      </c>
      <c r="B4010" s="528" t="s">
        <v>11450</v>
      </c>
      <c r="C4010" s="528" t="s">
        <v>11451</v>
      </c>
      <c r="D4010" s="528" t="s">
        <v>225</v>
      </c>
      <c r="E4010" s="528"/>
      <c r="F4010" s="528"/>
      <c r="G4010" s="528" t="s">
        <v>205</v>
      </c>
      <c r="H4010"/>
    </row>
    <row r="4011" spans="1:8" x14ac:dyDescent="0.35">
      <c r="A4011" s="528" t="s">
        <v>11452</v>
      </c>
      <c r="B4011" s="528" t="s">
        <v>11453</v>
      </c>
      <c r="C4011" s="528" t="s">
        <v>11454</v>
      </c>
      <c r="D4011" s="528" t="s">
        <v>225</v>
      </c>
      <c r="E4011" s="528"/>
      <c r="F4011" s="528"/>
      <c r="G4011" s="528" t="s">
        <v>205</v>
      </c>
      <c r="H4011"/>
    </row>
    <row r="4012" spans="1:8" x14ac:dyDescent="0.35">
      <c r="A4012" s="528" t="s">
        <v>11455</v>
      </c>
      <c r="B4012" s="528" t="s">
        <v>11456</v>
      </c>
      <c r="C4012" s="528" t="s">
        <v>11457</v>
      </c>
      <c r="D4012" s="528" t="s">
        <v>264</v>
      </c>
      <c r="E4012" s="528"/>
      <c r="F4012" s="528"/>
      <c r="G4012" s="528" t="s">
        <v>210</v>
      </c>
      <c r="H4012"/>
    </row>
    <row r="4013" spans="1:8" x14ac:dyDescent="0.35">
      <c r="A4013" s="528" t="s">
        <v>11458</v>
      </c>
      <c r="B4013" s="528" t="s">
        <v>11459</v>
      </c>
      <c r="C4013" s="528" t="s">
        <v>11460</v>
      </c>
      <c r="D4013" s="528" t="s">
        <v>264</v>
      </c>
      <c r="E4013" s="528"/>
      <c r="F4013" s="528"/>
      <c r="G4013" s="528" t="s">
        <v>205</v>
      </c>
      <c r="H4013"/>
    </row>
    <row r="4014" spans="1:8" x14ac:dyDescent="0.35">
      <c r="A4014" s="528" t="s">
        <v>11461</v>
      </c>
      <c r="B4014" s="528" t="s">
        <v>11462</v>
      </c>
      <c r="C4014" s="528" t="s">
        <v>11463</v>
      </c>
      <c r="D4014" s="528" t="s">
        <v>264</v>
      </c>
      <c r="E4014" s="528"/>
      <c r="F4014" s="528"/>
      <c r="G4014" s="528" t="s">
        <v>210</v>
      </c>
      <c r="H4014"/>
    </row>
    <row r="4015" spans="1:8" x14ac:dyDescent="0.35">
      <c r="A4015" s="528" t="s">
        <v>11464</v>
      </c>
      <c r="B4015" s="528" t="s">
        <v>11465</v>
      </c>
      <c r="C4015" s="528" t="s">
        <v>11466</v>
      </c>
      <c r="D4015" s="528" t="s">
        <v>277</v>
      </c>
      <c r="E4015" s="528"/>
      <c r="F4015" s="528"/>
      <c r="G4015" s="528" t="s">
        <v>208</v>
      </c>
      <c r="H4015"/>
    </row>
    <row r="4016" spans="1:8" x14ac:dyDescent="0.35">
      <c r="A4016" s="528" t="s">
        <v>11467</v>
      </c>
      <c r="B4016" s="528" t="s">
        <v>11468</v>
      </c>
      <c r="C4016" s="528" t="s">
        <v>11469</v>
      </c>
      <c r="D4016" s="528" t="s">
        <v>264</v>
      </c>
      <c r="E4016" s="528"/>
      <c r="F4016" s="528"/>
      <c r="G4016" s="528" t="s">
        <v>205</v>
      </c>
      <c r="H4016"/>
    </row>
    <row r="4017" spans="1:8" x14ac:dyDescent="0.35">
      <c r="A4017" s="528" t="s">
        <v>11470</v>
      </c>
      <c r="B4017" s="528" t="s">
        <v>11471</v>
      </c>
      <c r="C4017" s="528" t="s">
        <v>11472</v>
      </c>
      <c r="D4017" s="528" t="s">
        <v>264</v>
      </c>
      <c r="E4017" s="528"/>
      <c r="F4017" s="528"/>
      <c r="G4017" s="528" t="s">
        <v>212</v>
      </c>
      <c r="H4017"/>
    </row>
    <row r="4018" spans="1:8" x14ac:dyDescent="0.35">
      <c r="A4018" s="528" t="s">
        <v>11473</v>
      </c>
      <c r="B4018" s="528" t="s">
        <v>11474</v>
      </c>
      <c r="C4018" s="528" t="s">
        <v>11475</v>
      </c>
      <c r="D4018" s="528" t="s">
        <v>251</v>
      </c>
      <c r="E4018" s="528"/>
      <c r="F4018" s="528"/>
      <c r="G4018" s="528" t="s">
        <v>208</v>
      </c>
      <c r="H4018"/>
    </row>
    <row r="4019" spans="1:8" x14ac:dyDescent="0.35">
      <c r="A4019" s="528" t="s">
        <v>11476</v>
      </c>
      <c r="B4019" s="528" t="s">
        <v>11477</v>
      </c>
      <c r="C4019" s="528" t="s">
        <v>11478</v>
      </c>
      <c r="D4019" s="528" t="s">
        <v>277</v>
      </c>
      <c r="E4019" s="528"/>
      <c r="F4019" s="528"/>
      <c r="G4019" s="528" t="s">
        <v>208</v>
      </c>
      <c r="H4019"/>
    </row>
    <row r="4020" spans="1:8" x14ac:dyDescent="0.35">
      <c r="A4020" s="528" t="s">
        <v>11479</v>
      </c>
      <c r="B4020" s="528" t="s">
        <v>11480</v>
      </c>
      <c r="C4020" s="528" t="s">
        <v>11481</v>
      </c>
      <c r="D4020" s="528" t="s">
        <v>251</v>
      </c>
      <c r="E4020" s="528"/>
      <c r="F4020" s="528"/>
      <c r="G4020" s="528" t="s">
        <v>208</v>
      </c>
      <c r="H4020"/>
    </row>
    <row r="4021" spans="1:8" x14ac:dyDescent="0.35">
      <c r="A4021" s="528" t="s">
        <v>11482</v>
      </c>
      <c r="B4021" s="528" t="s">
        <v>11483</v>
      </c>
      <c r="C4021" s="528" t="s">
        <v>11484</v>
      </c>
      <c r="D4021" s="528" t="s">
        <v>277</v>
      </c>
      <c r="E4021" s="528"/>
      <c r="F4021" s="528"/>
      <c r="G4021" s="528" t="s">
        <v>208</v>
      </c>
      <c r="H4021"/>
    </row>
    <row r="4022" spans="1:8" x14ac:dyDescent="0.35">
      <c r="A4022" s="528" t="s">
        <v>11485</v>
      </c>
      <c r="B4022" s="528" t="s">
        <v>11486</v>
      </c>
      <c r="C4022" s="528" t="s">
        <v>11487</v>
      </c>
      <c r="D4022" s="528" t="s">
        <v>277</v>
      </c>
      <c r="E4022" s="528"/>
      <c r="F4022" s="528"/>
      <c r="G4022" s="528" t="s">
        <v>208</v>
      </c>
      <c r="H4022"/>
    </row>
    <row r="4023" spans="1:8" x14ac:dyDescent="0.35">
      <c r="A4023" s="528" t="s">
        <v>11488</v>
      </c>
      <c r="B4023" s="528" t="s">
        <v>11489</v>
      </c>
      <c r="C4023" s="528" t="s">
        <v>11490</v>
      </c>
      <c r="D4023" s="528" t="s">
        <v>264</v>
      </c>
      <c r="E4023" s="528"/>
      <c r="F4023" s="528"/>
      <c r="G4023" s="528" t="s">
        <v>205</v>
      </c>
      <c r="H4023"/>
    </row>
    <row r="4024" spans="1:8" x14ac:dyDescent="0.35">
      <c r="A4024" s="528" t="s">
        <v>11491</v>
      </c>
      <c r="B4024" s="528" t="s">
        <v>11492</v>
      </c>
      <c r="C4024" s="528" t="s">
        <v>11493</v>
      </c>
      <c r="D4024" s="528" t="s">
        <v>264</v>
      </c>
      <c r="E4024" s="528"/>
      <c r="F4024" s="528"/>
      <c r="G4024" s="528" t="s">
        <v>208</v>
      </c>
      <c r="H4024"/>
    </row>
    <row r="4025" spans="1:8" x14ac:dyDescent="0.35">
      <c r="A4025" s="528" t="s">
        <v>11494</v>
      </c>
      <c r="B4025" s="528" t="s">
        <v>11495</v>
      </c>
      <c r="C4025" s="528" t="s">
        <v>11490</v>
      </c>
      <c r="D4025" s="528" t="s">
        <v>264</v>
      </c>
      <c r="E4025" s="528"/>
      <c r="F4025" s="528"/>
      <c r="G4025" s="528" t="s">
        <v>205</v>
      </c>
      <c r="H4025"/>
    </row>
    <row r="4026" spans="1:8" x14ac:dyDescent="0.35">
      <c r="A4026" s="528" t="s">
        <v>11496</v>
      </c>
      <c r="B4026" s="528" t="s">
        <v>11497</v>
      </c>
      <c r="C4026" s="528" t="s">
        <v>11498</v>
      </c>
      <c r="D4026" s="528" t="s">
        <v>251</v>
      </c>
      <c r="E4026" s="528"/>
      <c r="F4026" s="528"/>
      <c r="G4026" s="528" t="s">
        <v>205</v>
      </c>
      <c r="H4026"/>
    </row>
    <row r="4027" spans="1:8" x14ac:dyDescent="0.35">
      <c r="A4027" s="528" t="s">
        <v>11499</v>
      </c>
      <c r="B4027" s="528" t="s">
        <v>11500</v>
      </c>
      <c r="C4027" s="528" t="s">
        <v>3543</v>
      </c>
      <c r="D4027" s="528" t="s">
        <v>277</v>
      </c>
      <c r="E4027" s="528"/>
      <c r="F4027" s="528"/>
      <c r="G4027" s="528" t="s">
        <v>205</v>
      </c>
      <c r="H4027"/>
    </row>
    <row r="4028" spans="1:8" x14ac:dyDescent="0.35">
      <c r="A4028" s="528" t="s">
        <v>11501</v>
      </c>
      <c r="B4028" s="528" t="s">
        <v>11502</v>
      </c>
      <c r="C4028" s="528" t="s">
        <v>11503</v>
      </c>
      <c r="D4028" s="528" t="s">
        <v>251</v>
      </c>
      <c r="E4028" s="528"/>
      <c r="F4028" s="528"/>
      <c r="G4028" s="528" t="s">
        <v>205</v>
      </c>
      <c r="H4028"/>
    </row>
    <row r="4029" spans="1:8" x14ac:dyDescent="0.35">
      <c r="A4029" s="528" t="s">
        <v>11504</v>
      </c>
      <c r="B4029" s="528" t="s">
        <v>11505</v>
      </c>
      <c r="C4029" s="528" t="s">
        <v>11506</v>
      </c>
      <c r="D4029" s="528" t="s">
        <v>251</v>
      </c>
      <c r="E4029" s="528"/>
      <c r="F4029" s="528"/>
      <c r="G4029" s="528" t="s">
        <v>205</v>
      </c>
      <c r="H4029"/>
    </row>
    <row r="4030" spans="1:8" x14ac:dyDescent="0.35">
      <c r="A4030" s="528" t="s">
        <v>11507</v>
      </c>
      <c r="B4030" s="528" t="s">
        <v>11508</v>
      </c>
      <c r="C4030" s="528" t="s">
        <v>11509</v>
      </c>
      <c r="D4030" s="528" t="s">
        <v>251</v>
      </c>
      <c r="E4030" s="528"/>
      <c r="F4030" s="528"/>
      <c r="G4030" s="528" t="s">
        <v>208</v>
      </c>
      <c r="H4030"/>
    </row>
    <row r="4031" spans="1:8" x14ac:dyDescent="0.35">
      <c r="A4031" s="528" t="s">
        <v>11510</v>
      </c>
      <c r="B4031" s="528" t="s">
        <v>11511</v>
      </c>
      <c r="C4031" s="528" t="s">
        <v>11512</v>
      </c>
      <c r="D4031" s="528" t="s">
        <v>277</v>
      </c>
      <c r="E4031" s="528"/>
      <c r="F4031" s="528"/>
      <c r="G4031" s="528" t="s">
        <v>208</v>
      </c>
      <c r="H4031"/>
    </row>
    <row r="4032" spans="1:8" x14ac:dyDescent="0.35">
      <c r="A4032" s="528" t="s">
        <v>11513</v>
      </c>
      <c r="B4032" s="528" t="s">
        <v>11514</v>
      </c>
      <c r="C4032" s="528" t="s">
        <v>11515</v>
      </c>
      <c r="D4032" s="528" t="s">
        <v>251</v>
      </c>
      <c r="E4032" s="528"/>
      <c r="F4032" s="528"/>
      <c r="G4032" s="528" t="s">
        <v>208</v>
      </c>
      <c r="H4032"/>
    </row>
    <row r="4033" spans="1:8" x14ac:dyDescent="0.35">
      <c r="A4033" s="528" t="s">
        <v>11516</v>
      </c>
      <c r="B4033" s="528" t="s">
        <v>11517</v>
      </c>
      <c r="C4033" s="528" t="s">
        <v>11518</v>
      </c>
      <c r="D4033" s="528" t="s">
        <v>251</v>
      </c>
      <c r="E4033" s="528"/>
      <c r="F4033" s="528"/>
      <c r="G4033" s="528" t="s">
        <v>208</v>
      </c>
      <c r="H4033"/>
    </row>
    <row r="4034" spans="1:8" x14ac:dyDescent="0.35">
      <c r="A4034" s="528" t="s">
        <v>11519</v>
      </c>
      <c r="B4034" s="528" t="s">
        <v>11520</v>
      </c>
      <c r="C4034" s="528" t="s">
        <v>1020</v>
      </c>
      <c r="D4034" s="528" t="s">
        <v>251</v>
      </c>
      <c r="E4034" s="528"/>
      <c r="F4034" s="528"/>
      <c r="G4034" s="528" t="s">
        <v>208</v>
      </c>
      <c r="H4034"/>
    </row>
    <row r="4035" spans="1:8" x14ac:dyDescent="0.35">
      <c r="A4035" s="528" t="s">
        <v>11521</v>
      </c>
      <c r="B4035" s="528" t="s">
        <v>11522</v>
      </c>
      <c r="C4035" s="528" t="s">
        <v>11523</v>
      </c>
      <c r="D4035" s="528" t="s">
        <v>251</v>
      </c>
      <c r="E4035" s="528"/>
      <c r="F4035" s="528"/>
      <c r="G4035" s="528" t="s">
        <v>208</v>
      </c>
      <c r="H4035"/>
    </row>
    <row r="4036" spans="1:8" x14ac:dyDescent="0.35">
      <c r="A4036" s="528" t="s">
        <v>11524</v>
      </c>
      <c r="B4036" s="528" t="s">
        <v>11525</v>
      </c>
      <c r="C4036" s="528" t="s">
        <v>2855</v>
      </c>
      <c r="D4036" s="528" t="s">
        <v>251</v>
      </c>
      <c r="E4036" s="528"/>
      <c r="F4036" s="528"/>
      <c r="G4036" s="528" t="s">
        <v>208</v>
      </c>
      <c r="H4036"/>
    </row>
    <row r="4037" spans="1:8" x14ac:dyDescent="0.35">
      <c r="A4037" s="528" t="s">
        <v>11526</v>
      </c>
      <c r="B4037" s="528" t="s">
        <v>11527</v>
      </c>
      <c r="C4037" s="528" t="s">
        <v>11528</v>
      </c>
      <c r="D4037" s="528" t="s">
        <v>251</v>
      </c>
      <c r="E4037" s="528"/>
      <c r="F4037" s="528"/>
      <c r="G4037" s="528" t="s">
        <v>208</v>
      </c>
      <c r="H4037"/>
    </row>
    <row r="4038" spans="1:8" x14ac:dyDescent="0.35">
      <c r="A4038" s="528" t="s">
        <v>11529</v>
      </c>
      <c r="B4038" s="528" t="s">
        <v>11530</v>
      </c>
      <c r="C4038" s="528" t="s">
        <v>11531</v>
      </c>
      <c r="D4038" s="528" t="s">
        <v>251</v>
      </c>
      <c r="E4038" s="528"/>
      <c r="F4038" s="528"/>
      <c r="G4038" s="528" t="s">
        <v>208</v>
      </c>
      <c r="H4038"/>
    </row>
    <row r="4039" spans="1:8" x14ac:dyDescent="0.35">
      <c r="A4039" s="528" t="s">
        <v>11532</v>
      </c>
      <c r="B4039" s="528" t="s">
        <v>11533</v>
      </c>
      <c r="C4039" s="528" t="s">
        <v>4073</v>
      </c>
      <c r="D4039" s="528" t="s">
        <v>251</v>
      </c>
      <c r="E4039" s="528"/>
      <c r="F4039" s="528"/>
      <c r="G4039" s="528" t="s">
        <v>208</v>
      </c>
      <c r="H4039"/>
    </row>
    <row r="4040" spans="1:8" x14ac:dyDescent="0.35">
      <c r="A4040" s="528" t="s">
        <v>11534</v>
      </c>
      <c r="B4040" s="528" t="s">
        <v>11535</v>
      </c>
      <c r="C4040" s="528" t="s">
        <v>2301</v>
      </c>
      <c r="D4040" s="528" t="s">
        <v>251</v>
      </c>
      <c r="E4040" s="528"/>
      <c r="F4040" s="528"/>
      <c r="G4040" s="528" t="s">
        <v>208</v>
      </c>
      <c r="H4040"/>
    </row>
    <row r="4041" spans="1:8" x14ac:dyDescent="0.35">
      <c r="A4041" s="528" t="s">
        <v>11536</v>
      </c>
      <c r="B4041" s="528" t="s">
        <v>11537</v>
      </c>
      <c r="C4041" s="528" t="s">
        <v>11538</v>
      </c>
      <c r="D4041" s="528" t="s">
        <v>251</v>
      </c>
      <c r="E4041" s="528"/>
      <c r="F4041" s="528"/>
      <c r="G4041" s="528" t="s">
        <v>208</v>
      </c>
      <c r="H4041"/>
    </row>
    <row r="4042" spans="1:8" x14ac:dyDescent="0.35">
      <c r="A4042" s="528" t="s">
        <v>11539</v>
      </c>
      <c r="B4042" s="528" t="s">
        <v>11540</v>
      </c>
      <c r="C4042" s="528" t="s">
        <v>11541</v>
      </c>
      <c r="D4042" s="528" t="s">
        <v>251</v>
      </c>
      <c r="E4042" s="528"/>
      <c r="F4042" s="528"/>
      <c r="G4042" s="528" t="s">
        <v>205</v>
      </c>
      <c r="H4042"/>
    </row>
    <row r="4043" spans="1:8" x14ac:dyDescent="0.35">
      <c r="A4043" s="528" t="s">
        <v>11542</v>
      </c>
      <c r="B4043" s="528" t="s">
        <v>11543</v>
      </c>
      <c r="C4043" s="528" t="s">
        <v>11544</v>
      </c>
      <c r="D4043" s="528" t="s">
        <v>277</v>
      </c>
      <c r="E4043" s="528"/>
      <c r="F4043" s="528"/>
      <c r="G4043" s="528" t="s">
        <v>205</v>
      </c>
      <c r="H4043"/>
    </row>
    <row r="4044" spans="1:8" x14ac:dyDescent="0.35">
      <c r="A4044" s="528" t="s">
        <v>11545</v>
      </c>
      <c r="B4044" s="528" t="s">
        <v>11546</v>
      </c>
      <c r="C4044" s="528" t="s">
        <v>11547</v>
      </c>
      <c r="D4044" s="528" t="s">
        <v>277</v>
      </c>
      <c r="E4044" s="528"/>
      <c r="F4044" s="528"/>
      <c r="G4044" s="528" t="s">
        <v>205</v>
      </c>
      <c r="H4044"/>
    </row>
    <row r="4045" spans="1:8" x14ac:dyDescent="0.35">
      <c r="A4045" s="528" t="s">
        <v>11548</v>
      </c>
      <c r="B4045" s="528" t="s">
        <v>11549</v>
      </c>
      <c r="C4045" s="528" t="s">
        <v>11550</v>
      </c>
      <c r="D4045" s="528" t="s">
        <v>277</v>
      </c>
      <c r="E4045" s="528"/>
      <c r="F4045" s="528"/>
      <c r="G4045" s="528" t="s">
        <v>205</v>
      </c>
      <c r="H4045"/>
    </row>
    <row r="4046" spans="1:8" x14ac:dyDescent="0.35">
      <c r="A4046" s="528" t="s">
        <v>11551</v>
      </c>
      <c r="B4046" s="528" t="s">
        <v>11552</v>
      </c>
      <c r="C4046" s="528" t="s">
        <v>11553</v>
      </c>
      <c r="D4046" s="528" t="s">
        <v>277</v>
      </c>
      <c r="E4046" s="528"/>
      <c r="F4046" s="528"/>
      <c r="G4046" s="528" t="s">
        <v>208</v>
      </c>
      <c r="H4046"/>
    </row>
    <row r="4047" spans="1:8" x14ac:dyDescent="0.35">
      <c r="A4047" s="528" t="s">
        <v>11554</v>
      </c>
      <c r="B4047" s="528" t="s">
        <v>11555</v>
      </c>
      <c r="C4047" s="528" t="s">
        <v>11556</v>
      </c>
      <c r="D4047" s="528" t="s">
        <v>277</v>
      </c>
      <c r="E4047" s="528"/>
      <c r="F4047" s="528"/>
      <c r="G4047" s="528" t="s">
        <v>205</v>
      </c>
      <c r="H4047"/>
    </row>
    <row r="4048" spans="1:8" x14ac:dyDescent="0.35">
      <c r="A4048" s="528" t="s">
        <v>11557</v>
      </c>
      <c r="B4048" s="528" t="s">
        <v>11558</v>
      </c>
      <c r="C4048" s="528" t="s">
        <v>11559</v>
      </c>
      <c r="D4048" s="528" t="s">
        <v>277</v>
      </c>
      <c r="E4048" s="528"/>
      <c r="F4048" s="528"/>
      <c r="G4048" s="528" t="s">
        <v>208</v>
      </c>
      <c r="H4048"/>
    </row>
    <row r="4049" spans="1:8" x14ac:dyDescent="0.35">
      <c r="A4049" s="528" t="s">
        <v>11560</v>
      </c>
      <c r="B4049" s="528" t="s">
        <v>11561</v>
      </c>
      <c r="C4049" s="528" t="s">
        <v>11562</v>
      </c>
      <c r="D4049" s="528" t="s">
        <v>277</v>
      </c>
      <c r="E4049" s="528"/>
      <c r="F4049" s="528"/>
      <c r="G4049" s="528" t="s">
        <v>205</v>
      </c>
      <c r="H4049"/>
    </row>
    <row r="4050" spans="1:8" x14ac:dyDescent="0.35">
      <c r="A4050" s="528" t="s">
        <v>11563</v>
      </c>
      <c r="B4050" s="528" t="s">
        <v>11564</v>
      </c>
      <c r="C4050" s="528" t="s">
        <v>11565</v>
      </c>
      <c r="D4050" s="528" t="s">
        <v>277</v>
      </c>
      <c r="E4050" s="528"/>
      <c r="F4050" s="528"/>
      <c r="G4050" s="528" t="s">
        <v>208</v>
      </c>
      <c r="H4050"/>
    </row>
    <row r="4051" spans="1:8" x14ac:dyDescent="0.35">
      <c r="A4051" s="528" t="s">
        <v>11566</v>
      </c>
      <c r="B4051" s="528" t="s">
        <v>11567</v>
      </c>
      <c r="C4051" s="528" t="s">
        <v>11568</v>
      </c>
      <c r="D4051" s="528" t="s">
        <v>277</v>
      </c>
      <c r="E4051" s="528"/>
      <c r="F4051" s="528"/>
      <c r="G4051" s="528" t="s">
        <v>205</v>
      </c>
      <c r="H4051"/>
    </row>
    <row r="4052" spans="1:8" x14ac:dyDescent="0.35">
      <c r="A4052" s="528" t="s">
        <v>11569</v>
      </c>
      <c r="B4052" s="528" t="s">
        <v>11570</v>
      </c>
      <c r="C4052" s="528" t="s">
        <v>11571</v>
      </c>
      <c r="D4052" s="528" t="s">
        <v>277</v>
      </c>
      <c r="E4052" s="528"/>
      <c r="F4052" s="528"/>
      <c r="G4052" s="528" t="s">
        <v>205</v>
      </c>
      <c r="H4052"/>
    </row>
    <row r="4053" spans="1:8" x14ac:dyDescent="0.35">
      <c r="A4053" s="528" t="s">
        <v>11572</v>
      </c>
      <c r="B4053" s="528" t="s">
        <v>11573</v>
      </c>
      <c r="C4053" s="528" t="s">
        <v>11574</v>
      </c>
      <c r="D4053" s="528" t="s">
        <v>277</v>
      </c>
      <c r="E4053" s="528"/>
      <c r="F4053" s="528"/>
      <c r="G4053" s="528" t="s">
        <v>208</v>
      </c>
      <c r="H4053"/>
    </row>
    <row r="4054" spans="1:8" x14ac:dyDescent="0.35">
      <c r="A4054" s="528" t="s">
        <v>11575</v>
      </c>
      <c r="B4054" s="528" t="s">
        <v>11576</v>
      </c>
      <c r="C4054" s="528" t="s">
        <v>1536</v>
      </c>
      <c r="D4054" s="528" t="s">
        <v>277</v>
      </c>
      <c r="E4054" s="528"/>
      <c r="F4054" s="528"/>
      <c r="G4054" s="528" t="s">
        <v>208</v>
      </c>
      <c r="H4054"/>
    </row>
    <row r="4055" spans="1:8" x14ac:dyDescent="0.35">
      <c r="A4055" s="528" t="s">
        <v>11577</v>
      </c>
      <c r="B4055" s="528" t="s">
        <v>11578</v>
      </c>
      <c r="C4055" s="528" t="s">
        <v>11579</v>
      </c>
      <c r="D4055" s="528" t="s">
        <v>277</v>
      </c>
      <c r="E4055" s="528"/>
      <c r="F4055" s="528"/>
      <c r="G4055" s="528" t="s">
        <v>208</v>
      </c>
      <c r="H4055"/>
    </row>
    <row r="4056" spans="1:8" x14ac:dyDescent="0.35">
      <c r="A4056" s="528" t="s">
        <v>11580</v>
      </c>
      <c r="B4056" s="528" t="s">
        <v>11581</v>
      </c>
      <c r="C4056" s="528" t="s">
        <v>11582</v>
      </c>
      <c r="D4056" s="528" t="s">
        <v>277</v>
      </c>
      <c r="E4056" s="528"/>
      <c r="F4056" s="528"/>
      <c r="G4056" s="528" t="s">
        <v>212</v>
      </c>
      <c r="H4056"/>
    </row>
    <row r="4057" spans="1:8" x14ac:dyDescent="0.35">
      <c r="A4057" s="528" t="s">
        <v>11583</v>
      </c>
      <c r="B4057" s="528" t="s">
        <v>11584</v>
      </c>
      <c r="C4057" s="528" t="s">
        <v>11585</v>
      </c>
      <c r="D4057" s="528" t="s">
        <v>264</v>
      </c>
      <c r="E4057" s="528"/>
      <c r="F4057" s="528"/>
      <c r="G4057" s="528" t="s">
        <v>208</v>
      </c>
      <c r="H4057"/>
    </row>
    <row r="4058" spans="1:8" x14ac:dyDescent="0.35">
      <c r="A4058" s="528" t="s">
        <v>11586</v>
      </c>
      <c r="B4058" s="528" t="s">
        <v>11587</v>
      </c>
      <c r="C4058" s="528" t="s">
        <v>11588</v>
      </c>
      <c r="D4058" s="528" t="s">
        <v>277</v>
      </c>
      <c r="E4058" s="528"/>
      <c r="F4058" s="528"/>
      <c r="G4058" s="528" t="s">
        <v>205</v>
      </c>
      <c r="H4058"/>
    </row>
    <row r="4059" spans="1:8" x14ac:dyDescent="0.35">
      <c r="A4059" s="528" t="s">
        <v>11589</v>
      </c>
      <c r="B4059" s="528" t="s">
        <v>11590</v>
      </c>
      <c r="C4059" s="528" t="s">
        <v>11591</v>
      </c>
      <c r="D4059" s="528" t="s">
        <v>277</v>
      </c>
      <c r="E4059" s="528"/>
      <c r="F4059" s="528"/>
      <c r="G4059" s="528" t="s">
        <v>205</v>
      </c>
      <c r="H4059"/>
    </row>
    <row r="4060" spans="1:8" x14ac:dyDescent="0.35">
      <c r="A4060" s="528" t="s">
        <v>11592</v>
      </c>
      <c r="B4060" s="528" t="s">
        <v>11593</v>
      </c>
      <c r="C4060" s="528" t="s">
        <v>1965</v>
      </c>
      <c r="D4060" s="528" t="s">
        <v>277</v>
      </c>
      <c r="E4060" s="528"/>
      <c r="F4060" s="528"/>
      <c r="G4060" s="528" t="s">
        <v>205</v>
      </c>
      <c r="H4060"/>
    </row>
    <row r="4061" spans="1:8" x14ac:dyDescent="0.35">
      <c r="A4061" s="528" t="s">
        <v>11594</v>
      </c>
      <c r="B4061" s="528" t="s">
        <v>11595</v>
      </c>
      <c r="C4061" s="528" t="s">
        <v>11596</v>
      </c>
      <c r="D4061" s="528" t="s">
        <v>277</v>
      </c>
      <c r="E4061" s="528"/>
      <c r="F4061" s="528"/>
      <c r="G4061" s="528" t="s">
        <v>205</v>
      </c>
      <c r="H4061"/>
    </row>
    <row r="4062" spans="1:8" x14ac:dyDescent="0.35">
      <c r="A4062" s="528" t="s">
        <v>11597</v>
      </c>
      <c r="B4062" s="528" t="s">
        <v>11598</v>
      </c>
      <c r="C4062" s="528" t="s">
        <v>11599</v>
      </c>
      <c r="D4062" s="528" t="s">
        <v>251</v>
      </c>
      <c r="E4062" s="528"/>
      <c r="F4062" s="528"/>
      <c r="G4062" s="528" t="s">
        <v>205</v>
      </c>
      <c r="H4062"/>
    </row>
    <row r="4063" spans="1:8" x14ac:dyDescent="0.35">
      <c r="A4063" s="528" t="s">
        <v>11600</v>
      </c>
      <c r="B4063" s="528" t="s">
        <v>11601</v>
      </c>
      <c r="C4063" s="528" t="s">
        <v>11602</v>
      </c>
      <c r="D4063" s="528" t="s">
        <v>225</v>
      </c>
      <c r="E4063" s="528"/>
      <c r="F4063" s="528"/>
      <c r="G4063" s="528" t="s">
        <v>205</v>
      </c>
      <c r="H4063"/>
    </row>
    <row r="4064" spans="1:8" x14ac:dyDescent="0.35">
      <c r="A4064" s="528" t="s">
        <v>11603</v>
      </c>
      <c r="B4064" s="528" t="s">
        <v>11604</v>
      </c>
      <c r="C4064" s="528" t="s">
        <v>11605</v>
      </c>
      <c r="D4064" s="528" t="s">
        <v>225</v>
      </c>
      <c r="E4064" s="528"/>
      <c r="F4064" s="528"/>
      <c r="G4064" s="528" t="s">
        <v>205</v>
      </c>
      <c r="H4064"/>
    </row>
    <row r="4065" spans="1:8" x14ac:dyDescent="0.35">
      <c r="A4065" s="528" t="s">
        <v>11606</v>
      </c>
      <c r="B4065" s="528" t="s">
        <v>11607</v>
      </c>
      <c r="C4065" s="528" t="s">
        <v>2959</v>
      </c>
      <c r="D4065" s="528" t="s">
        <v>264</v>
      </c>
      <c r="E4065" s="528"/>
      <c r="F4065" s="528"/>
      <c r="G4065" s="528" t="s">
        <v>208</v>
      </c>
      <c r="H4065"/>
    </row>
    <row r="4066" spans="1:8" x14ac:dyDescent="0.35">
      <c r="A4066" s="528" t="s">
        <v>11608</v>
      </c>
      <c r="B4066" s="528" t="s">
        <v>11609</v>
      </c>
      <c r="C4066" s="528" t="s">
        <v>11610</v>
      </c>
      <c r="D4066" s="528" t="s">
        <v>264</v>
      </c>
      <c r="E4066" s="528"/>
      <c r="F4066" s="528"/>
      <c r="G4066" s="528" t="s">
        <v>205</v>
      </c>
      <c r="H4066"/>
    </row>
    <row r="4067" spans="1:8" x14ac:dyDescent="0.35">
      <c r="A4067" s="528" t="s">
        <v>11611</v>
      </c>
      <c r="B4067" s="528" t="s">
        <v>11612</v>
      </c>
      <c r="C4067" s="528" t="s">
        <v>11613</v>
      </c>
      <c r="D4067" s="528" t="s">
        <v>277</v>
      </c>
      <c r="E4067" s="528"/>
      <c r="F4067" s="528"/>
      <c r="G4067" s="528" t="s">
        <v>205</v>
      </c>
      <c r="H4067"/>
    </row>
    <row r="4068" spans="1:8" x14ac:dyDescent="0.35">
      <c r="A4068" s="528" t="s">
        <v>11614</v>
      </c>
      <c r="B4068" s="528" t="s">
        <v>11615</v>
      </c>
      <c r="C4068" s="528" t="s">
        <v>11616</v>
      </c>
      <c r="D4068" s="528" t="s">
        <v>264</v>
      </c>
      <c r="E4068" s="528"/>
      <c r="F4068" s="528"/>
      <c r="G4068" s="528" t="s">
        <v>205</v>
      </c>
      <c r="H4068"/>
    </row>
    <row r="4069" spans="1:8" x14ac:dyDescent="0.35">
      <c r="A4069" s="528" t="s">
        <v>11617</v>
      </c>
      <c r="B4069" s="528" t="s">
        <v>11618</v>
      </c>
      <c r="C4069" s="528" t="s">
        <v>5748</v>
      </c>
      <c r="D4069" s="528" t="s">
        <v>225</v>
      </c>
      <c r="E4069" s="528"/>
      <c r="F4069" s="528"/>
      <c r="G4069" s="528" t="s">
        <v>205</v>
      </c>
      <c r="H4069"/>
    </row>
    <row r="4070" spans="1:8" x14ac:dyDescent="0.35">
      <c r="A4070" s="528" t="s">
        <v>11619</v>
      </c>
      <c r="B4070" s="528" t="s">
        <v>11620</v>
      </c>
      <c r="C4070" s="528" t="s">
        <v>11621</v>
      </c>
      <c r="D4070" s="528" t="s">
        <v>225</v>
      </c>
      <c r="E4070" s="528"/>
      <c r="F4070" s="528"/>
      <c r="G4070" s="528" t="s">
        <v>208</v>
      </c>
      <c r="H4070"/>
    </row>
    <row r="4071" spans="1:8" x14ac:dyDescent="0.35">
      <c r="A4071" s="528" t="s">
        <v>11622</v>
      </c>
      <c r="B4071" s="528" t="s">
        <v>11623</v>
      </c>
      <c r="C4071" s="528" t="s">
        <v>6874</v>
      </c>
      <c r="D4071" s="528" t="s">
        <v>264</v>
      </c>
      <c r="E4071" s="528"/>
      <c r="F4071" s="528"/>
      <c r="G4071" s="528" t="s">
        <v>205</v>
      </c>
      <c r="H4071"/>
    </row>
    <row r="4072" spans="1:8" x14ac:dyDescent="0.35">
      <c r="A4072" s="528" t="s">
        <v>11624</v>
      </c>
      <c r="B4072" s="528" t="s">
        <v>11625</v>
      </c>
      <c r="C4072" s="528" t="s">
        <v>11626</v>
      </c>
      <c r="D4072" s="528" t="s">
        <v>264</v>
      </c>
      <c r="E4072" s="528"/>
      <c r="F4072" s="528"/>
      <c r="G4072" s="528" t="s">
        <v>208</v>
      </c>
      <c r="H4072"/>
    </row>
    <row r="4073" spans="1:8" x14ac:dyDescent="0.35">
      <c r="A4073" s="528" t="s">
        <v>11627</v>
      </c>
      <c r="B4073" s="528" t="s">
        <v>11628</v>
      </c>
      <c r="C4073" s="528" t="s">
        <v>11629</v>
      </c>
      <c r="D4073" s="528" t="s">
        <v>264</v>
      </c>
      <c r="E4073" s="528"/>
      <c r="F4073" s="528"/>
      <c r="G4073" s="528" t="s">
        <v>208</v>
      </c>
      <c r="H4073"/>
    </row>
    <row r="4074" spans="1:8" x14ac:dyDescent="0.35">
      <c r="A4074" s="528" t="s">
        <v>11630</v>
      </c>
      <c r="B4074" s="528" t="s">
        <v>11631</v>
      </c>
      <c r="C4074" s="528" t="s">
        <v>11632</v>
      </c>
      <c r="D4074" s="528" t="s">
        <v>277</v>
      </c>
      <c r="E4074" s="528"/>
      <c r="F4074" s="528"/>
      <c r="G4074" s="528" t="s">
        <v>208</v>
      </c>
      <c r="H4074"/>
    </row>
    <row r="4075" spans="1:8" x14ac:dyDescent="0.35">
      <c r="A4075" s="528" t="s">
        <v>11633</v>
      </c>
      <c r="B4075" s="528" t="s">
        <v>11634</v>
      </c>
      <c r="C4075" s="528" t="s">
        <v>3289</v>
      </c>
      <c r="D4075" s="528" t="s">
        <v>251</v>
      </c>
      <c r="E4075" s="528"/>
      <c r="F4075" s="528"/>
      <c r="G4075" s="528" t="s">
        <v>205</v>
      </c>
      <c r="H4075"/>
    </row>
    <row r="4076" spans="1:8" x14ac:dyDescent="0.35">
      <c r="A4076" s="528" t="s">
        <v>11635</v>
      </c>
      <c r="B4076" s="528" t="s">
        <v>11636</v>
      </c>
      <c r="C4076" s="528" t="s">
        <v>2968</v>
      </c>
      <c r="D4076" s="528" t="s">
        <v>251</v>
      </c>
      <c r="E4076" s="528"/>
      <c r="F4076" s="528"/>
      <c r="G4076" s="528" t="s">
        <v>205</v>
      </c>
      <c r="H4076"/>
    </row>
    <row r="4077" spans="1:8" x14ac:dyDescent="0.35">
      <c r="A4077" s="528" t="s">
        <v>11637</v>
      </c>
      <c r="B4077" s="528" t="s">
        <v>11638</v>
      </c>
      <c r="C4077" s="528" t="s">
        <v>11639</v>
      </c>
      <c r="D4077" s="528" t="s">
        <v>251</v>
      </c>
      <c r="E4077" s="528"/>
      <c r="F4077" s="528"/>
      <c r="G4077" s="528" t="s">
        <v>205</v>
      </c>
      <c r="H4077"/>
    </row>
    <row r="4078" spans="1:8" x14ac:dyDescent="0.35">
      <c r="A4078" s="528" t="s">
        <v>11640</v>
      </c>
      <c r="B4078" s="528" t="s">
        <v>11641</v>
      </c>
      <c r="C4078" s="528" t="s">
        <v>11642</v>
      </c>
      <c r="D4078" s="528" t="s">
        <v>251</v>
      </c>
      <c r="E4078" s="528"/>
      <c r="F4078" s="528"/>
      <c r="G4078" s="528" t="s">
        <v>205</v>
      </c>
      <c r="H4078"/>
    </row>
    <row r="4079" spans="1:8" x14ac:dyDescent="0.35">
      <c r="A4079" s="528" t="s">
        <v>11643</v>
      </c>
      <c r="B4079" s="528" t="s">
        <v>11644</v>
      </c>
      <c r="C4079" s="528" t="s">
        <v>1063</v>
      </c>
      <c r="D4079" s="528" t="s">
        <v>277</v>
      </c>
      <c r="E4079" s="528"/>
      <c r="F4079" s="528"/>
      <c r="G4079" s="528" t="s">
        <v>208</v>
      </c>
      <c r="H4079"/>
    </row>
    <row r="4080" spans="1:8" x14ac:dyDescent="0.35">
      <c r="A4080" s="528" t="s">
        <v>11645</v>
      </c>
      <c r="B4080" s="528" t="s">
        <v>11646</v>
      </c>
      <c r="C4080" s="528" t="s">
        <v>11647</v>
      </c>
      <c r="D4080" s="528" t="s">
        <v>251</v>
      </c>
      <c r="E4080" s="528"/>
      <c r="F4080" s="528"/>
      <c r="G4080" s="528" t="s">
        <v>205</v>
      </c>
      <c r="H4080"/>
    </row>
    <row r="4081" spans="1:8" x14ac:dyDescent="0.35">
      <c r="A4081" s="528" t="s">
        <v>11648</v>
      </c>
      <c r="B4081" s="528" t="s">
        <v>11649</v>
      </c>
      <c r="C4081" s="528" t="s">
        <v>11650</v>
      </c>
      <c r="D4081" s="528" t="s">
        <v>251</v>
      </c>
      <c r="E4081" s="528"/>
      <c r="F4081" s="528"/>
      <c r="G4081" s="528" t="s">
        <v>205</v>
      </c>
      <c r="H4081"/>
    </row>
    <row r="4082" spans="1:8" x14ac:dyDescent="0.35">
      <c r="A4082" s="528" t="s">
        <v>11651</v>
      </c>
      <c r="B4082" s="528" t="s">
        <v>11652</v>
      </c>
      <c r="C4082" s="528" t="s">
        <v>11653</v>
      </c>
      <c r="D4082" s="528" t="s">
        <v>251</v>
      </c>
      <c r="E4082" s="528"/>
      <c r="F4082" s="528"/>
      <c r="G4082" s="528" t="s">
        <v>205</v>
      </c>
      <c r="H4082"/>
    </row>
    <row r="4083" spans="1:8" x14ac:dyDescent="0.35">
      <c r="A4083" s="528" t="s">
        <v>11654</v>
      </c>
      <c r="B4083" s="528" t="s">
        <v>11655</v>
      </c>
      <c r="C4083" s="528" t="s">
        <v>11656</v>
      </c>
      <c r="D4083" s="528" t="s">
        <v>251</v>
      </c>
      <c r="E4083" s="528" t="s">
        <v>238</v>
      </c>
      <c r="F4083" s="528"/>
      <c r="G4083" s="528" t="s">
        <v>208</v>
      </c>
      <c r="H4083"/>
    </row>
    <row r="4084" spans="1:8" x14ac:dyDescent="0.35">
      <c r="A4084" s="528" t="s">
        <v>11657</v>
      </c>
      <c r="B4084" s="528" t="s">
        <v>11658</v>
      </c>
      <c r="C4084" s="528" t="s">
        <v>11659</v>
      </c>
      <c r="D4084" s="528" t="s">
        <v>251</v>
      </c>
      <c r="E4084" s="528" t="s">
        <v>238</v>
      </c>
      <c r="F4084" s="528"/>
      <c r="G4084" s="528" t="s">
        <v>208</v>
      </c>
      <c r="H4084"/>
    </row>
    <row r="4085" spans="1:8" x14ac:dyDescent="0.35">
      <c r="A4085" s="528" t="s">
        <v>11660</v>
      </c>
      <c r="B4085" s="528" t="s">
        <v>11661</v>
      </c>
      <c r="C4085" s="528" t="s">
        <v>11662</v>
      </c>
      <c r="D4085" s="528" t="s">
        <v>251</v>
      </c>
      <c r="E4085" s="528" t="s">
        <v>238</v>
      </c>
      <c r="F4085" s="528"/>
      <c r="G4085" s="528" t="s">
        <v>205</v>
      </c>
      <c r="H4085"/>
    </row>
    <row r="4086" spans="1:8" x14ac:dyDescent="0.35">
      <c r="A4086" s="528" t="s">
        <v>11663</v>
      </c>
      <c r="B4086" s="528" t="s">
        <v>11664</v>
      </c>
      <c r="C4086" s="528" t="s">
        <v>11665</v>
      </c>
      <c r="D4086" s="528" t="s">
        <v>251</v>
      </c>
      <c r="E4086" s="528" t="s">
        <v>238</v>
      </c>
      <c r="F4086" s="528"/>
      <c r="G4086" s="528" t="s">
        <v>205</v>
      </c>
      <c r="H4086"/>
    </row>
    <row r="4087" spans="1:8" x14ac:dyDescent="0.35">
      <c r="A4087" s="528" t="s">
        <v>11666</v>
      </c>
      <c r="B4087" s="528" t="s">
        <v>11667</v>
      </c>
      <c r="C4087" s="528" t="s">
        <v>11668</v>
      </c>
      <c r="D4087" s="528" t="s">
        <v>238</v>
      </c>
      <c r="E4087" s="528"/>
      <c r="F4087" s="528"/>
      <c r="G4087" s="528" t="s">
        <v>205</v>
      </c>
      <c r="H4087"/>
    </row>
    <row r="4088" spans="1:8" x14ac:dyDescent="0.35">
      <c r="A4088" s="528" t="s">
        <v>11669</v>
      </c>
      <c r="B4088" s="528" t="s">
        <v>11670</v>
      </c>
      <c r="C4088" s="528" t="s">
        <v>11671</v>
      </c>
      <c r="D4088" s="528" t="s">
        <v>238</v>
      </c>
      <c r="E4088" s="528"/>
      <c r="F4088" s="528"/>
      <c r="G4088" s="528" t="s">
        <v>205</v>
      </c>
      <c r="H4088"/>
    </row>
    <row r="4089" spans="1:8" x14ac:dyDescent="0.35">
      <c r="A4089" s="528" t="s">
        <v>11672</v>
      </c>
      <c r="B4089" s="528" t="s">
        <v>11673</v>
      </c>
      <c r="C4089" s="528" t="s">
        <v>11674</v>
      </c>
      <c r="D4089" s="528" t="s">
        <v>225</v>
      </c>
      <c r="E4089" s="528"/>
      <c r="F4089" s="528"/>
      <c r="G4089" s="528" t="s">
        <v>205</v>
      </c>
      <c r="H4089"/>
    </row>
    <row r="4090" spans="1:8" x14ac:dyDescent="0.35">
      <c r="A4090" s="528" t="s">
        <v>11675</v>
      </c>
      <c r="B4090" s="528" t="s">
        <v>11676</v>
      </c>
      <c r="C4090" s="528" t="s">
        <v>11677</v>
      </c>
      <c r="D4090" s="528" t="s">
        <v>225</v>
      </c>
      <c r="E4090" s="528"/>
      <c r="F4090" s="528"/>
      <c r="G4090" s="528" t="s">
        <v>205</v>
      </c>
      <c r="H4090"/>
    </row>
    <row r="4091" spans="1:8" x14ac:dyDescent="0.35">
      <c r="A4091" s="528" t="s">
        <v>11678</v>
      </c>
      <c r="B4091" s="528" t="s">
        <v>11679</v>
      </c>
      <c r="C4091" s="528" t="s">
        <v>11680</v>
      </c>
      <c r="D4091" s="528" t="s">
        <v>264</v>
      </c>
      <c r="E4091" s="528"/>
      <c r="F4091" s="528"/>
      <c r="G4091" s="528" t="s">
        <v>205</v>
      </c>
      <c r="H4091"/>
    </row>
    <row r="4092" spans="1:8" x14ac:dyDescent="0.35">
      <c r="A4092" s="528" t="s">
        <v>11681</v>
      </c>
      <c r="B4092" s="528" t="s">
        <v>11682</v>
      </c>
      <c r="C4092" s="528" t="s">
        <v>4023</v>
      </c>
      <c r="D4092" s="528" t="s">
        <v>277</v>
      </c>
      <c r="E4092" s="528"/>
      <c r="F4092" s="528"/>
      <c r="G4092" s="528" t="s">
        <v>205</v>
      </c>
      <c r="H4092"/>
    </row>
    <row r="4093" spans="1:8" x14ac:dyDescent="0.35">
      <c r="A4093" s="528" t="s">
        <v>11683</v>
      </c>
      <c r="B4093" s="528" t="s">
        <v>11684</v>
      </c>
      <c r="C4093" s="528" t="s">
        <v>11685</v>
      </c>
      <c r="D4093" s="528" t="s">
        <v>277</v>
      </c>
      <c r="E4093" s="528"/>
      <c r="F4093" s="528"/>
      <c r="G4093" s="528" t="s">
        <v>205</v>
      </c>
      <c r="H4093"/>
    </row>
    <row r="4094" spans="1:8" x14ac:dyDescent="0.35">
      <c r="A4094" s="528" t="s">
        <v>11686</v>
      </c>
      <c r="B4094" s="528" t="s">
        <v>11687</v>
      </c>
      <c r="C4094" s="528" t="s">
        <v>11688</v>
      </c>
      <c r="D4094" s="528" t="s">
        <v>251</v>
      </c>
      <c r="E4094" s="528"/>
      <c r="F4094" s="528"/>
      <c r="G4094" s="528" t="s">
        <v>205</v>
      </c>
      <c r="H4094"/>
    </row>
    <row r="4095" spans="1:8" x14ac:dyDescent="0.35">
      <c r="A4095" s="528" t="s">
        <v>11689</v>
      </c>
      <c r="B4095" s="528" t="s">
        <v>11690</v>
      </c>
      <c r="C4095" s="528" t="s">
        <v>11691</v>
      </c>
      <c r="D4095" s="528" t="s">
        <v>225</v>
      </c>
      <c r="E4095" s="528"/>
      <c r="F4095" s="528"/>
      <c r="G4095" s="528" t="s">
        <v>205</v>
      </c>
      <c r="H4095"/>
    </row>
    <row r="4096" spans="1:8" x14ac:dyDescent="0.35">
      <c r="A4096" s="528" t="s">
        <v>11692</v>
      </c>
      <c r="B4096" s="528" t="s">
        <v>11693</v>
      </c>
      <c r="C4096" s="528" t="s">
        <v>11694</v>
      </c>
      <c r="D4096" s="528" t="s">
        <v>225</v>
      </c>
      <c r="E4096" s="528"/>
      <c r="F4096" s="528"/>
      <c r="G4096" s="528" t="s">
        <v>205</v>
      </c>
      <c r="H4096"/>
    </row>
    <row r="4097" spans="1:8" x14ac:dyDescent="0.35">
      <c r="A4097" s="528" t="s">
        <v>11695</v>
      </c>
      <c r="B4097" s="528" t="s">
        <v>11696</v>
      </c>
      <c r="C4097" s="528" t="s">
        <v>11697</v>
      </c>
      <c r="D4097" s="528" t="s">
        <v>225</v>
      </c>
      <c r="E4097" s="528" t="s">
        <v>264</v>
      </c>
      <c r="F4097" s="528"/>
      <c r="G4097" s="528" t="s">
        <v>205</v>
      </c>
      <c r="H4097"/>
    </row>
    <row r="4098" spans="1:8" x14ac:dyDescent="0.35">
      <c r="A4098" s="528" t="s">
        <v>11698</v>
      </c>
      <c r="B4098" s="528" t="s">
        <v>11699</v>
      </c>
      <c r="C4098" s="528" t="s">
        <v>11700</v>
      </c>
      <c r="D4098" s="528" t="s">
        <v>225</v>
      </c>
      <c r="E4098" s="528" t="s">
        <v>264</v>
      </c>
      <c r="F4098" s="528"/>
      <c r="G4098" s="528" t="s">
        <v>205</v>
      </c>
      <c r="H4098"/>
    </row>
    <row r="4099" spans="1:8" x14ac:dyDescent="0.35">
      <c r="A4099" s="528" t="s">
        <v>11701</v>
      </c>
      <c r="B4099" s="528" t="s">
        <v>11702</v>
      </c>
      <c r="C4099" s="528" t="s">
        <v>11703</v>
      </c>
      <c r="D4099" s="528" t="s">
        <v>277</v>
      </c>
      <c r="E4099" s="528"/>
      <c r="F4099" s="528"/>
      <c r="G4099" s="528" t="s">
        <v>205</v>
      </c>
      <c r="H4099"/>
    </row>
    <row r="4100" spans="1:8" x14ac:dyDescent="0.35">
      <c r="A4100" s="528" t="s">
        <v>11704</v>
      </c>
      <c r="B4100" s="528" t="s">
        <v>11705</v>
      </c>
      <c r="C4100" s="528" t="s">
        <v>11706</v>
      </c>
      <c r="D4100" s="528" t="s">
        <v>238</v>
      </c>
      <c r="E4100" s="528"/>
      <c r="F4100" s="528"/>
      <c r="G4100" s="528" t="s">
        <v>205</v>
      </c>
      <c r="H4100"/>
    </row>
    <row r="4101" spans="1:8" x14ac:dyDescent="0.35">
      <c r="A4101" s="528" t="s">
        <v>11707</v>
      </c>
      <c r="B4101" s="528" t="s">
        <v>11708</v>
      </c>
      <c r="C4101" s="528" t="s">
        <v>11709</v>
      </c>
      <c r="D4101" s="528" t="s">
        <v>277</v>
      </c>
      <c r="E4101" s="528"/>
      <c r="F4101" s="528"/>
      <c r="G4101" s="528" t="s">
        <v>205</v>
      </c>
      <c r="H4101"/>
    </row>
    <row r="4102" spans="1:8" x14ac:dyDescent="0.35">
      <c r="A4102" s="528" t="s">
        <v>11710</v>
      </c>
      <c r="B4102" s="528" t="s">
        <v>11711</v>
      </c>
      <c r="C4102" s="528" t="s">
        <v>11712</v>
      </c>
      <c r="D4102" s="528" t="s">
        <v>264</v>
      </c>
      <c r="E4102" s="528"/>
      <c r="F4102" s="528"/>
      <c r="G4102" s="528" t="s">
        <v>205</v>
      </c>
      <c r="H4102"/>
    </row>
    <row r="4103" spans="1:8" x14ac:dyDescent="0.35">
      <c r="A4103" s="528" t="s">
        <v>11713</v>
      </c>
      <c r="B4103" s="528" t="s">
        <v>11714</v>
      </c>
      <c r="C4103" s="528" t="s">
        <v>11715</v>
      </c>
      <c r="D4103" s="528" t="s">
        <v>264</v>
      </c>
      <c r="E4103" s="528"/>
      <c r="F4103" s="528"/>
      <c r="G4103" s="528" t="s">
        <v>205</v>
      </c>
      <c r="H4103"/>
    </row>
    <row r="4104" spans="1:8" x14ac:dyDescent="0.35">
      <c r="A4104" s="528" t="s">
        <v>11716</v>
      </c>
      <c r="B4104" s="528" t="s">
        <v>11717</v>
      </c>
      <c r="C4104" s="528" t="s">
        <v>11718</v>
      </c>
      <c r="D4104" s="528" t="s">
        <v>264</v>
      </c>
      <c r="E4104" s="528"/>
      <c r="F4104" s="528"/>
      <c r="G4104" s="528" t="s">
        <v>205</v>
      </c>
      <c r="H4104"/>
    </row>
    <row r="4105" spans="1:8" x14ac:dyDescent="0.35">
      <c r="A4105" s="528" t="s">
        <v>11719</v>
      </c>
      <c r="B4105" s="528" t="s">
        <v>11720</v>
      </c>
      <c r="C4105" s="528" t="s">
        <v>11721</v>
      </c>
      <c r="D4105" s="528" t="s">
        <v>264</v>
      </c>
      <c r="E4105" s="528" t="s">
        <v>277</v>
      </c>
      <c r="F4105" s="528"/>
      <c r="G4105" s="528" t="s">
        <v>205</v>
      </c>
      <c r="H4105"/>
    </row>
    <row r="4106" spans="1:8" x14ac:dyDescent="0.35">
      <c r="A4106" s="528" t="s">
        <v>11722</v>
      </c>
      <c r="B4106" s="528" t="s">
        <v>11723</v>
      </c>
      <c r="C4106" s="528" t="s">
        <v>11724</v>
      </c>
      <c r="D4106" s="528" t="s">
        <v>264</v>
      </c>
      <c r="E4106" s="528"/>
      <c r="F4106" s="528"/>
      <c r="G4106" s="528" t="s">
        <v>205</v>
      </c>
      <c r="H4106"/>
    </row>
    <row r="4107" spans="1:8" x14ac:dyDescent="0.35">
      <c r="A4107" s="528" t="s">
        <v>11725</v>
      </c>
      <c r="B4107" s="528" t="s">
        <v>11726</v>
      </c>
      <c r="C4107" s="528" t="s">
        <v>11727</v>
      </c>
      <c r="D4107" s="528" t="s">
        <v>277</v>
      </c>
      <c r="E4107" s="528"/>
      <c r="F4107" s="528"/>
      <c r="G4107" s="528" t="s">
        <v>205</v>
      </c>
      <c r="H4107"/>
    </row>
    <row r="4108" spans="1:8" x14ac:dyDescent="0.35">
      <c r="A4108" s="528" t="s">
        <v>11728</v>
      </c>
      <c r="B4108" s="528" t="s">
        <v>11729</v>
      </c>
      <c r="C4108" s="528" t="s">
        <v>11730</v>
      </c>
      <c r="D4108" s="528" t="s">
        <v>225</v>
      </c>
      <c r="E4108" s="528" t="s">
        <v>264</v>
      </c>
      <c r="F4108" s="528"/>
      <c r="G4108" s="528" t="s">
        <v>205</v>
      </c>
      <c r="H4108"/>
    </row>
    <row r="4109" spans="1:8" x14ac:dyDescent="0.35">
      <c r="A4109" s="528" t="s">
        <v>11731</v>
      </c>
      <c r="B4109" s="528" t="s">
        <v>11732</v>
      </c>
      <c r="C4109" s="528" t="s">
        <v>1504</v>
      </c>
      <c r="D4109" s="528" t="s">
        <v>277</v>
      </c>
      <c r="E4109" s="528"/>
      <c r="F4109" s="528"/>
      <c r="G4109" s="528" t="s">
        <v>205</v>
      </c>
      <c r="H4109"/>
    </row>
    <row r="4110" spans="1:8" x14ac:dyDescent="0.35">
      <c r="A4110" s="528" t="s">
        <v>11733</v>
      </c>
      <c r="B4110" s="528" t="s">
        <v>11734</v>
      </c>
      <c r="C4110" s="528" t="s">
        <v>11735</v>
      </c>
      <c r="D4110" s="528" t="s">
        <v>277</v>
      </c>
      <c r="E4110" s="528"/>
      <c r="F4110" s="528"/>
      <c r="G4110" s="528" t="s">
        <v>205</v>
      </c>
      <c r="H4110"/>
    </row>
    <row r="4111" spans="1:8" x14ac:dyDescent="0.35">
      <c r="A4111" s="528" t="s">
        <v>11736</v>
      </c>
      <c r="B4111" s="528" t="s">
        <v>11737</v>
      </c>
      <c r="C4111" s="528" t="s">
        <v>11738</v>
      </c>
      <c r="D4111" s="528" t="s">
        <v>238</v>
      </c>
      <c r="E4111" s="528"/>
      <c r="F4111" s="528"/>
      <c r="G4111" s="528" t="s">
        <v>205</v>
      </c>
      <c r="H4111"/>
    </row>
    <row r="4112" spans="1:8" x14ac:dyDescent="0.35">
      <c r="A4112" s="528" t="s">
        <v>11739</v>
      </c>
      <c r="B4112" s="528" t="s">
        <v>11740</v>
      </c>
      <c r="C4112" s="528" t="s">
        <v>11741</v>
      </c>
      <c r="D4112" s="528" t="s">
        <v>238</v>
      </c>
      <c r="E4112" s="528"/>
      <c r="F4112" s="528"/>
      <c r="G4112" s="528" t="s">
        <v>205</v>
      </c>
      <c r="H4112"/>
    </row>
    <row r="4113" spans="1:8" x14ac:dyDescent="0.35">
      <c r="A4113" s="528" t="s">
        <v>11742</v>
      </c>
      <c r="B4113" s="528" t="s">
        <v>11743</v>
      </c>
      <c r="C4113" s="528" t="s">
        <v>11744</v>
      </c>
      <c r="D4113" s="528" t="s">
        <v>264</v>
      </c>
      <c r="E4113" s="528" t="s">
        <v>277</v>
      </c>
      <c r="F4113" s="528"/>
      <c r="G4113" s="528" t="s">
        <v>205</v>
      </c>
      <c r="H4113"/>
    </row>
    <row r="4114" spans="1:8" x14ac:dyDescent="0.35">
      <c r="A4114" s="528" t="s">
        <v>11745</v>
      </c>
      <c r="B4114" s="528" t="s">
        <v>11746</v>
      </c>
      <c r="C4114" s="528" t="s">
        <v>11747</v>
      </c>
      <c r="D4114" s="528" t="s">
        <v>225</v>
      </c>
      <c r="E4114" s="528"/>
      <c r="F4114" s="528"/>
      <c r="G4114" s="528" t="s">
        <v>208</v>
      </c>
      <c r="H4114"/>
    </row>
    <row r="4115" spans="1:8" x14ac:dyDescent="0.35">
      <c r="A4115" s="528" t="s">
        <v>11748</v>
      </c>
      <c r="B4115" s="528" t="s">
        <v>11749</v>
      </c>
      <c r="C4115" s="528" t="s">
        <v>1241</v>
      </c>
      <c r="D4115" s="528" t="s">
        <v>225</v>
      </c>
      <c r="E4115" s="528"/>
      <c r="F4115" s="528"/>
      <c r="G4115" s="528" t="s">
        <v>205</v>
      </c>
      <c r="H4115"/>
    </row>
    <row r="4116" spans="1:8" x14ac:dyDescent="0.35">
      <c r="A4116" s="528" t="s">
        <v>11750</v>
      </c>
      <c r="B4116" s="528" t="s">
        <v>11751</v>
      </c>
      <c r="C4116" s="528" t="s">
        <v>8309</v>
      </c>
      <c r="D4116" s="528" t="s">
        <v>225</v>
      </c>
      <c r="E4116" s="528"/>
      <c r="F4116" s="528"/>
      <c r="G4116" s="528" t="s">
        <v>208</v>
      </c>
      <c r="H4116"/>
    </row>
    <row r="4117" spans="1:8" x14ac:dyDescent="0.35">
      <c r="A4117" s="528" t="s">
        <v>11752</v>
      </c>
      <c r="B4117" s="528" t="s">
        <v>11753</v>
      </c>
      <c r="C4117" s="528" t="s">
        <v>3475</v>
      </c>
      <c r="D4117" s="528" t="s">
        <v>225</v>
      </c>
      <c r="E4117" s="528"/>
      <c r="F4117" s="528"/>
      <c r="G4117" s="528" t="s">
        <v>205</v>
      </c>
      <c r="H4117"/>
    </row>
    <row r="4118" spans="1:8" x14ac:dyDescent="0.35">
      <c r="A4118" s="528" t="s">
        <v>11754</v>
      </c>
      <c r="B4118" s="528" t="s">
        <v>11755</v>
      </c>
      <c r="C4118" s="528" t="s">
        <v>1146</v>
      </c>
      <c r="D4118" s="528" t="s">
        <v>225</v>
      </c>
      <c r="E4118" s="528"/>
      <c r="F4118" s="528"/>
      <c r="G4118" s="528" t="s">
        <v>208</v>
      </c>
      <c r="H4118"/>
    </row>
    <row r="4119" spans="1:8" x14ac:dyDescent="0.35">
      <c r="A4119" s="528" t="s">
        <v>11756</v>
      </c>
      <c r="B4119" s="528" t="s">
        <v>11757</v>
      </c>
      <c r="C4119" s="528" t="s">
        <v>11758</v>
      </c>
      <c r="D4119" s="528" t="s">
        <v>225</v>
      </c>
      <c r="E4119" s="528" t="s">
        <v>264</v>
      </c>
      <c r="F4119" s="528"/>
      <c r="G4119" s="528" t="s">
        <v>208</v>
      </c>
      <c r="H4119"/>
    </row>
    <row r="4120" spans="1:8" x14ac:dyDescent="0.35">
      <c r="A4120" s="528" t="s">
        <v>11759</v>
      </c>
      <c r="B4120" s="528" t="s">
        <v>11760</v>
      </c>
      <c r="C4120" s="528" t="s">
        <v>2835</v>
      </c>
      <c r="D4120" s="528" t="s">
        <v>225</v>
      </c>
      <c r="E4120" s="528"/>
      <c r="F4120" s="528"/>
      <c r="G4120" s="528" t="s">
        <v>205</v>
      </c>
      <c r="H4120"/>
    </row>
    <row r="4121" spans="1:8" x14ac:dyDescent="0.35">
      <c r="A4121" s="528" t="s">
        <v>11761</v>
      </c>
      <c r="B4121" s="528" t="s">
        <v>11762</v>
      </c>
      <c r="C4121" s="528" t="s">
        <v>11763</v>
      </c>
      <c r="D4121" s="528" t="s">
        <v>225</v>
      </c>
      <c r="E4121" s="528"/>
      <c r="F4121" s="528"/>
      <c r="G4121" s="528" t="s">
        <v>205</v>
      </c>
      <c r="H4121"/>
    </row>
    <row r="4122" spans="1:8" x14ac:dyDescent="0.35">
      <c r="A4122" s="528" t="s">
        <v>11764</v>
      </c>
      <c r="B4122" s="528" t="s">
        <v>11765</v>
      </c>
      <c r="C4122" s="528" t="s">
        <v>1395</v>
      </c>
      <c r="D4122" s="528" t="s">
        <v>225</v>
      </c>
      <c r="E4122" s="528"/>
      <c r="F4122" s="528"/>
      <c r="G4122" s="528" t="s">
        <v>205</v>
      </c>
      <c r="H4122"/>
    </row>
    <row r="4123" spans="1:8" x14ac:dyDescent="0.35">
      <c r="A4123" s="528" t="s">
        <v>11766</v>
      </c>
      <c r="B4123" s="528" t="s">
        <v>11767</v>
      </c>
      <c r="C4123" s="528" t="s">
        <v>11768</v>
      </c>
      <c r="D4123" s="528" t="s">
        <v>225</v>
      </c>
      <c r="E4123" s="528"/>
      <c r="F4123" s="528"/>
      <c r="G4123" s="528" t="s">
        <v>208</v>
      </c>
      <c r="H4123"/>
    </row>
    <row r="4124" spans="1:8" x14ac:dyDescent="0.35">
      <c r="A4124" s="528" t="s">
        <v>11769</v>
      </c>
      <c r="B4124" s="528" t="s">
        <v>11770</v>
      </c>
      <c r="C4124" s="528" t="s">
        <v>11771</v>
      </c>
      <c r="D4124" s="528" t="s">
        <v>225</v>
      </c>
      <c r="E4124" s="528"/>
      <c r="F4124" s="528"/>
      <c r="G4124" s="528" t="s">
        <v>208</v>
      </c>
      <c r="H4124"/>
    </row>
    <row r="4125" spans="1:8" x14ac:dyDescent="0.35">
      <c r="A4125" s="528" t="s">
        <v>11772</v>
      </c>
      <c r="B4125" s="528" t="s">
        <v>11773</v>
      </c>
      <c r="C4125" s="528" t="s">
        <v>11774</v>
      </c>
      <c r="D4125" s="528" t="s">
        <v>251</v>
      </c>
      <c r="E4125" s="528"/>
      <c r="F4125" s="528"/>
      <c r="G4125" s="528" t="s">
        <v>205</v>
      </c>
      <c r="H4125"/>
    </row>
    <row r="4126" spans="1:8" x14ac:dyDescent="0.35">
      <c r="A4126" s="528" t="s">
        <v>11775</v>
      </c>
      <c r="B4126" s="528" t="s">
        <v>11776</v>
      </c>
      <c r="C4126" s="528" t="s">
        <v>1264</v>
      </c>
      <c r="D4126" s="528" t="s">
        <v>264</v>
      </c>
      <c r="E4126" s="528"/>
      <c r="F4126" s="528"/>
      <c r="G4126" s="528" t="s">
        <v>205</v>
      </c>
      <c r="H4126"/>
    </row>
    <row r="4127" spans="1:8" x14ac:dyDescent="0.35">
      <c r="A4127" s="528" t="s">
        <v>11777</v>
      </c>
      <c r="B4127" s="528" t="s">
        <v>11778</v>
      </c>
      <c r="C4127" s="528" t="s">
        <v>6821</v>
      </c>
      <c r="D4127" s="528" t="s">
        <v>264</v>
      </c>
      <c r="E4127" s="528"/>
      <c r="F4127" s="528"/>
      <c r="G4127" s="528" t="s">
        <v>205</v>
      </c>
      <c r="H4127"/>
    </row>
    <row r="4128" spans="1:8" x14ac:dyDescent="0.35">
      <c r="A4128" s="528" t="s">
        <v>11779</v>
      </c>
      <c r="B4128" s="528" t="s">
        <v>11780</v>
      </c>
      <c r="C4128" s="528" t="s">
        <v>11781</v>
      </c>
      <c r="D4128" s="528" t="s">
        <v>264</v>
      </c>
      <c r="E4128" s="528"/>
      <c r="F4128" s="528"/>
      <c r="G4128" s="528" t="s">
        <v>205</v>
      </c>
      <c r="H4128"/>
    </row>
    <row r="4129" spans="1:8" x14ac:dyDescent="0.35">
      <c r="A4129" s="528" t="s">
        <v>11782</v>
      </c>
      <c r="B4129" s="528" t="s">
        <v>11783</v>
      </c>
      <c r="C4129" s="528" t="s">
        <v>1264</v>
      </c>
      <c r="D4129" s="528" t="s">
        <v>264</v>
      </c>
      <c r="E4129" s="528"/>
      <c r="F4129" s="528"/>
      <c r="G4129" s="528" t="s">
        <v>205</v>
      </c>
      <c r="H4129"/>
    </row>
    <row r="4130" spans="1:8" x14ac:dyDescent="0.35">
      <c r="A4130" s="528" t="s">
        <v>11784</v>
      </c>
      <c r="B4130" s="528" t="s">
        <v>11785</v>
      </c>
      <c r="C4130" s="528" t="s">
        <v>11786</v>
      </c>
      <c r="D4130" s="528" t="s">
        <v>264</v>
      </c>
      <c r="E4130" s="528"/>
      <c r="F4130" s="528"/>
      <c r="G4130" s="528" t="s">
        <v>205</v>
      </c>
      <c r="H4130"/>
    </row>
    <row r="4131" spans="1:8" x14ac:dyDescent="0.35">
      <c r="A4131" s="528" t="s">
        <v>11787</v>
      </c>
      <c r="B4131" s="528" t="s">
        <v>11788</v>
      </c>
      <c r="C4131" s="528" t="s">
        <v>11789</v>
      </c>
      <c r="D4131" s="528" t="s">
        <v>264</v>
      </c>
      <c r="E4131" s="528"/>
      <c r="F4131" s="528"/>
      <c r="G4131" s="528" t="s">
        <v>205</v>
      </c>
      <c r="H4131"/>
    </row>
    <row r="4132" spans="1:8" x14ac:dyDescent="0.35">
      <c r="A4132" s="528" t="s">
        <v>11790</v>
      </c>
      <c r="B4132" s="528" t="s">
        <v>11791</v>
      </c>
      <c r="C4132" s="528" t="s">
        <v>11792</v>
      </c>
      <c r="D4132" s="528" t="s">
        <v>264</v>
      </c>
      <c r="E4132" s="528"/>
      <c r="F4132" s="528"/>
      <c r="G4132" s="528" t="s">
        <v>205</v>
      </c>
      <c r="H4132"/>
    </row>
    <row r="4133" spans="1:8" x14ac:dyDescent="0.35">
      <c r="A4133" s="528" t="s">
        <v>11793</v>
      </c>
      <c r="B4133" s="528" t="s">
        <v>11794</v>
      </c>
      <c r="C4133" s="528" t="s">
        <v>423</v>
      </c>
      <c r="D4133" s="528" t="s">
        <v>264</v>
      </c>
      <c r="E4133" s="528"/>
      <c r="F4133" s="528"/>
      <c r="G4133" s="528" t="s">
        <v>205</v>
      </c>
      <c r="H4133"/>
    </row>
    <row r="4134" spans="1:8" x14ac:dyDescent="0.35">
      <c r="A4134" s="528" t="s">
        <v>11795</v>
      </c>
      <c r="B4134" s="528" t="s">
        <v>11796</v>
      </c>
      <c r="C4134" s="528" t="s">
        <v>1182</v>
      </c>
      <c r="D4134" s="528" t="s">
        <v>225</v>
      </c>
      <c r="E4134" s="528"/>
      <c r="F4134" s="528"/>
      <c r="G4134" s="528" t="s">
        <v>205</v>
      </c>
      <c r="H4134"/>
    </row>
    <row r="4135" spans="1:8" x14ac:dyDescent="0.35">
      <c r="A4135" s="528" t="s">
        <v>11797</v>
      </c>
      <c r="B4135" s="528" t="s">
        <v>11798</v>
      </c>
      <c r="C4135" s="528" t="s">
        <v>816</v>
      </c>
      <c r="D4135" s="528" t="s">
        <v>225</v>
      </c>
      <c r="E4135" s="528"/>
      <c r="F4135" s="528"/>
      <c r="G4135" s="528" t="s">
        <v>205</v>
      </c>
      <c r="H4135"/>
    </row>
    <row r="4136" spans="1:8" x14ac:dyDescent="0.35">
      <c r="A4136" s="528" t="s">
        <v>11799</v>
      </c>
      <c r="B4136" s="528" t="s">
        <v>11800</v>
      </c>
      <c r="C4136" s="528" t="s">
        <v>11801</v>
      </c>
      <c r="D4136" s="528" t="s">
        <v>277</v>
      </c>
      <c r="E4136" s="528"/>
      <c r="F4136" s="528"/>
      <c r="G4136" s="528" t="s">
        <v>205</v>
      </c>
      <c r="H4136"/>
    </row>
    <row r="4137" spans="1:8" x14ac:dyDescent="0.35">
      <c r="A4137" s="528" t="s">
        <v>11802</v>
      </c>
      <c r="B4137" s="528" t="s">
        <v>11803</v>
      </c>
      <c r="C4137" s="528" t="s">
        <v>11804</v>
      </c>
      <c r="D4137" s="528" t="s">
        <v>225</v>
      </c>
      <c r="E4137" s="528" t="s">
        <v>238</v>
      </c>
      <c r="F4137" s="528"/>
      <c r="G4137" s="528" t="s">
        <v>205</v>
      </c>
      <c r="H4137"/>
    </row>
    <row r="4138" spans="1:8" x14ac:dyDescent="0.35">
      <c r="A4138" s="528" t="s">
        <v>11805</v>
      </c>
      <c r="B4138" s="528" t="s">
        <v>11806</v>
      </c>
      <c r="C4138" s="528" t="s">
        <v>11807</v>
      </c>
      <c r="D4138" s="528" t="s">
        <v>225</v>
      </c>
      <c r="E4138" s="528"/>
      <c r="F4138" s="528"/>
      <c r="G4138" s="528" t="s">
        <v>205</v>
      </c>
      <c r="H4138"/>
    </row>
    <row r="4139" spans="1:8" x14ac:dyDescent="0.35">
      <c r="A4139" s="528" t="s">
        <v>11808</v>
      </c>
      <c r="B4139" s="528" t="s">
        <v>11809</v>
      </c>
      <c r="C4139" s="528" t="s">
        <v>11810</v>
      </c>
      <c r="D4139" s="528" t="s">
        <v>225</v>
      </c>
      <c r="E4139" s="528"/>
      <c r="F4139" s="528"/>
      <c r="G4139" s="528" t="s">
        <v>205</v>
      </c>
      <c r="H4139"/>
    </row>
    <row r="4140" spans="1:8" x14ac:dyDescent="0.35">
      <c r="A4140" s="528" t="s">
        <v>11811</v>
      </c>
      <c r="B4140" s="528" t="s">
        <v>11812</v>
      </c>
      <c r="C4140" s="528" t="s">
        <v>11813</v>
      </c>
      <c r="D4140" s="528" t="s">
        <v>225</v>
      </c>
      <c r="E4140" s="528"/>
      <c r="F4140" s="528"/>
      <c r="G4140" s="528" t="s">
        <v>205</v>
      </c>
      <c r="H4140"/>
    </row>
    <row r="4141" spans="1:8" x14ac:dyDescent="0.35">
      <c r="A4141" s="528" t="s">
        <v>11814</v>
      </c>
      <c r="B4141" s="528" t="s">
        <v>11815</v>
      </c>
      <c r="C4141" s="528" t="s">
        <v>11816</v>
      </c>
      <c r="D4141" s="528" t="s">
        <v>225</v>
      </c>
      <c r="E4141" s="528"/>
      <c r="F4141" s="528"/>
      <c r="G4141" s="528" t="s">
        <v>205</v>
      </c>
      <c r="H4141"/>
    </row>
    <row r="4142" spans="1:8" x14ac:dyDescent="0.35">
      <c r="A4142" s="528" t="s">
        <v>11817</v>
      </c>
      <c r="B4142" s="528" t="s">
        <v>11818</v>
      </c>
      <c r="C4142" s="528" t="s">
        <v>11819</v>
      </c>
      <c r="D4142" s="528" t="s">
        <v>225</v>
      </c>
      <c r="E4142" s="528"/>
      <c r="F4142" s="528"/>
      <c r="G4142" s="528" t="s">
        <v>205</v>
      </c>
      <c r="H4142"/>
    </row>
    <row r="4143" spans="1:8" x14ac:dyDescent="0.35">
      <c r="A4143" s="528" t="s">
        <v>11820</v>
      </c>
      <c r="B4143" s="528" t="s">
        <v>11821</v>
      </c>
      <c r="C4143" s="528" t="s">
        <v>3721</v>
      </c>
      <c r="D4143" s="528" t="s">
        <v>225</v>
      </c>
      <c r="E4143" s="528"/>
      <c r="F4143" s="528"/>
      <c r="G4143" s="528" t="s">
        <v>205</v>
      </c>
      <c r="H4143"/>
    </row>
    <row r="4144" spans="1:8" x14ac:dyDescent="0.35">
      <c r="A4144" s="528" t="s">
        <v>11822</v>
      </c>
      <c r="B4144" s="528" t="s">
        <v>11823</v>
      </c>
      <c r="C4144" s="528" t="s">
        <v>11824</v>
      </c>
      <c r="D4144" s="528" t="s">
        <v>225</v>
      </c>
      <c r="E4144" s="528"/>
      <c r="F4144" s="528"/>
      <c r="G4144" s="528" t="s">
        <v>205</v>
      </c>
      <c r="H4144"/>
    </row>
    <row r="4145" spans="1:8" x14ac:dyDescent="0.35">
      <c r="A4145" s="528" t="s">
        <v>11825</v>
      </c>
      <c r="B4145" s="528" t="s">
        <v>11826</v>
      </c>
      <c r="C4145" s="528" t="s">
        <v>1368</v>
      </c>
      <c r="D4145" s="528" t="s">
        <v>225</v>
      </c>
      <c r="E4145" s="528"/>
      <c r="F4145" s="528"/>
      <c r="G4145" s="528" t="s">
        <v>205</v>
      </c>
      <c r="H4145"/>
    </row>
    <row r="4146" spans="1:8" x14ac:dyDescent="0.35">
      <c r="A4146" s="528" t="s">
        <v>11827</v>
      </c>
      <c r="B4146" s="528" t="s">
        <v>11828</v>
      </c>
      <c r="C4146" s="528" t="s">
        <v>1368</v>
      </c>
      <c r="D4146" s="528" t="s">
        <v>225</v>
      </c>
      <c r="E4146" s="528"/>
      <c r="F4146" s="528"/>
      <c r="G4146" s="528" t="s">
        <v>205</v>
      </c>
      <c r="H4146"/>
    </row>
    <row r="4147" spans="1:8" x14ac:dyDescent="0.35">
      <c r="A4147" s="528" t="s">
        <v>11829</v>
      </c>
      <c r="B4147" s="528" t="s">
        <v>11830</v>
      </c>
      <c r="C4147" s="528" t="s">
        <v>447</v>
      </c>
      <c r="D4147" s="528" t="s">
        <v>225</v>
      </c>
      <c r="E4147" s="528"/>
      <c r="F4147" s="528"/>
      <c r="G4147" s="528" t="s">
        <v>205</v>
      </c>
      <c r="H4147"/>
    </row>
    <row r="4148" spans="1:8" x14ac:dyDescent="0.35">
      <c r="A4148" s="528" t="s">
        <v>11831</v>
      </c>
      <c r="B4148" s="528" t="s">
        <v>11832</v>
      </c>
      <c r="C4148" s="528" t="s">
        <v>495</v>
      </c>
      <c r="D4148" s="528" t="s">
        <v>225</v>
      </c>
      <c r="E4148" s="528"/>
      <c r="F4148" s="528"/>
      <c r="G4148" s="528" t="s">
        <v>205</v>
      </c>
      <c r="H4148"/>
    </row>
    <row r="4149" spans="1:8" x14ac:dyDescent="0.35">
      <c r="A4149" s="528" t="s">
        <v>11833</v>
      </c>
      <c r="B4149" s="528" t="s">
        <v>11834</v>
      </c>
      <c r="C4149" s="528" t="s">
        <v>2835</v>
      </c>
      <c r="D4149" s="528" t="s">
        <v>225</v>
      </c>
      <c r="E4149" s="528"/>
      <c r="F4149" s="528"/>
      <c r="G4149" s="528" t="s">
        <v>205</v>
      </c>
      <c r="H4149"/>
    </row>
    <row r="4150" spans="1:8" x14ac:dyDescent="0.35">
      <c r="A4150" s="528" t="s">
        <v>11835</v>
      </c>
      <c r="B4150" s="528" t="s">
        <v>11836</v>
      </c>
      <c r="C4150" s="528" t="s">
        <v>1472</v>
      </c>
      <c r="D4150" s="528" t="s">
        <v>225</v>
      </c>
      <c r="E4150" s="528"/>
      <c r="F4150" s="528"/>
      <c r="G4150" s="528" t="s">
        <v>205</v>
      </c>
      <c r="H4150"/>
    </row>
    <row r="4151" spans="1:8" x14ac:dyDescent="0.35">
      <c r="A4151" s="528" t="s">
        <v>11837</v>
      </c>
      <c r="B4151" s="528" t="s">
        <v>11838</v>
      </c>
      <c r="C4151" s="528" t="s">
        <v>916</v>
      </c>
      <c r="D4151" s="528" t="s">
        <v>225</v>
      </c>
      <c r="E4151" s="528"/>
      <c r="F4151" s="528"/>
      <c r="G4151" s="528" t="s">
        <v>205</v>
      </c>
      <c r="H4151"/>
    </row>
    <row r="4152" spans="1:8" x14ac:dyDescent="0.35">
      <c r="A4152" s="528" t="s">
        <v>11839</v>
      </c>
      <c r="B4152" s="528" t="s">
        <v>11840</v>
      </c>
      <c r="C4152" s="528" t="s">
        <v>11816</v>
      </c>
      <c r="D4152" s="528" t="s">
        <v>225</v>
      </c>
      <c r="E4152" s="528"/>
      <c r="F4152" s="528"/>
      <c r="G4152" s="528" t="s">
        <v>205</v>
      </c>
      <c r="H4152"/>
    </row>
    <row r="4153" spans="1:8" x14ac:dyDescent="0.35">
      <c r="A4153" s="528" t="s">
        <v>11841</v>
      </c>
      <c r="B4153" s="528" t="s">
        <v>11842</v>
      </c>
      <c r="C4153" s="528" t="s">
        <v>11843</v>
      </c>
      <c r="D4153" s="528" t="s">
        <v>225</v>
      </c>
      <c r="E4153" s="528"/>
      <c r="F4153" s="528"/>
      <c r="G4153" s="528" t="s">
        <v>205</v>
      </c>
      <c r="H4153"/>
    </row>
    <row r="4154" spans="1:8" x14ac:dyDescent="0.35">
      <c r="A4154" s="528" t="s">
        <v>11844</v>
      </c>
      <c r="B4154" s="528" t="s">
        <v>11845</v>
      </c>
      <c r="C4154" s="528" t="s">
        <v>11846</v>
      </c>
      <c r="D4154" s="528" t="s">
        <v>225</v>
      </c>
      <c r="E4154" s="528"/>
      <c r="F4154" s="528"/>
      <c r="G4154" s="528" t="s">
        <v>205</v>
      </c>
      <c r="H4154"/>
    </row>
    <row r="4155" spans="1:8" x14ac:dyDescent="0.35">
      <c r="A4155" s="528" t="s">
        <v>11847</v>
      </c>
      <c r="B4155" s="528" t="s">
        <v>11848</v>
      </c>
      <c r="C4155" s="528" t="s">
        <v>11816</v>
      </c>
      <c r="D4155" s="528" t="s">
        <v>225</v>
      </c>
      <c r="E4155" s="528"/>
      <c r="F4155" s="528"/>
      <c r="G4155" s="528" t="s">
        <v>205</v>
      </c>
      <c r="H4155"/>
    </row>
    <row r="4156" spans="1:8" x14ac:dyDescent="0.35">
      <c r="A4156" s="528" t="s">
        <v>11849</v>
      </c>
      <c r="B4156" s="528" t="s">
        <v>11850</v>
      </c>
      <c r="C4156" s="528" t="s">
        <v>4490</v>
      </c>
      <c r="D4156" s="528" t="s">
        <v>225</v>
      </c>
      <c r="E4156" s="528"/>
      <c r="F4156" s="528"/>
      <c r="G4156" s="528" t="s">
        <v>205</v>
      </c>
      <c r="H4156"/>
    </row>
    <row r="4157" spans="1:8" x14ac:dyDescent="0.35">
      <c r="A4157" s="528" t="s">
        <v>11851</v>
      </c>
      <c r="B4157" s="528" t="s">
        <v>11852</v>
      </c>
      <c r="C4157" s="528" t="s">
        <v>11853</v>
      </c>
      <c r="D4157" s="528" t="s">
        <v>225</v>
      </c>
      <c r="E4157" s="528"/>
      <c r="F4157" s="528"/>
      <c r="G4157" s="528" t="s">
        <v>205</v>
      </c>
      <c r="H4157"/>
    </row>
    <row r="4158" spans="1:8" x14ac:dyDescent="0.35">
      <c r="A4158" s="528" t="s">
        <v>11854</v>
      </c>
      <c r="B4158" s="528" t="s">
        <v>11855</v>
      </c>
      <c r="C4158" s="528" t="s">
        <v>447</v>
      </c>
      <c r="D4158" s="528" t="s">
        <v>225</v>
      </c>
      <c r="E4158" s="528"/>
      <c r="F4158" s="528"/>
      <c r="G4158" s="528" t="s">
        <v>205</v>
      </c>
      <c r="H4158"/>
    </row>
    <row r="4159" spans="1:8" x14ac:dyDescent="0.35">
      <c r="A4159" s="528" t="s">
        <v>11856</v>
      </c>
      <c r="B4159" s="528" t="s">
        <v>11857</v>
      </c>
      <c r="C4159" s="528" t="s">
        <v>11819</v>
      </c>
      <c r="D4159" s="528" t="s">
        <v>225</v>
      </c>
      <c r="E4159" s="528"/>
      <c r="F4159" s="528"/>
      <c r="G4159" s="528" t="s">
        <v>205</v>
      </c>
      <c r="H4159"/>
    </row>
    <row r="4160" spans="1:8" x14ac:dyDescent="0.35">
      <c r="A4160" s="528" t="s">
        <v>11858</v>
      </c>
      <c r="B4160" s="528" t="s">
        <v>11859</v>
      </c>
      <c r="C4160" s="528" t="s">
        <v>11860</v>
      </c>
      <c r="D4160" s="528" t="s">
        <v>225</v>
      </c>
      <c r="E4160" s="528"/>
      <c r="F4160" s="528"/>
      <c r="G4160" s="528" t="s">
        <v>205</v>
      </c>
      <c r="H4160"/>
    </row>
    <row r="4161" spans="1:8" x14ac:dyDescent="0.35">
      <c r="A4161" s="528" t="s">
        <v>11861</v>
      </c>
      <c r="B4161" s="528" t="s">
        <v>11862</v>
      </c>
      <c r="C4161" s="528" t="s">
        <v>11816</v>
      </c>
      <c r="D4161" s="528" t="s">
        <v>225</v>
      </c>
      <c r="E4161" s="528"/>
      <c r="F4161" s="528"/>
      <c r="G4161" s="528" t="s">
        <v>205</v>
      </c>
      <c r="H4161"/>
    </row>
    <row r="4162" spans="1:8" x14ac:dyDescent="0.35">
      <c r="A4162" s="528" t="s">
        <v>11863</v>
      </c>
      <c r="B4162" s="528" t="s">
        <v>11864</v>
      </c>
      <c r="C4162" s="528" t="s">
        <v>11865</v>
      </c>
      <c r="D4162" s="528" t="s">
        <v>225</v>
      </c>
      <c r="E4162" s="528"/>
      <c r="F4162" s="528"/>
      <c r="G4162" s="528" t="s">
        <v>205</v>
      </c>
      <c r="H4162"/>
    </row>
    <row r="4163" spans="1:8" x14ac:dyDescent="0.35">
      <c r="A4163" s="528" t="s">
        <v>11866</v>
      </c>
      <c r="B4163" s="528" t="s">
        <v>11867</v>
      </c>
      <c r="C4163" s="528" t="s">
        <v>11868</v>
      </c>
      <c r="D4163" s="528" t="s">
        <v>264</v>
      </c>
      <c r="E4163" s="528"/>
      <c r="F4163" s="528"/>
      <c r="G4163" s="528" t="s">
        <v>205</v>
      </c>
      <c r="H4163"/>
    </row>
    <row r="4164" spans="1:8" x14ac:dyDescent="0.35">
      <c r="A4164" s="528" t="s">
        <v>11869</v>
      </c>
      <c r="B4164" s="528" t="s">
        <v>11870</v>
      </c>
      <c r="C4164" s="528" t="s">
        <v>11871</v>
      </c>
      <c r="D4164" s="528" t="s">
        <v>264</v>
      </c>
      <c r="E4164" s="528"/>
      <c r="F4164" s="528"/>
      <c r="G4164" s="528" t="s">
        <v>205</v>
      </c>
      <c r="H4164"/>
    </row>
    <row r="4165" spans="1:8" x14ac:dyDescent="0.35">
      <c r="A4165" s="528" t="s">
        <v>11872</v>
      </c>
      <c r="B4165" s="528" t="s">
        <v>11873</v>
      </c>
      <c r="C4165" s="528" t="s">
        <v>11874</v>
      </c>
      <c r="D4165" s="528" t="s">
        <v>264</v>
      </c>
      <c r="E4165" s="528"/>
      <c r="F4165" s="528"/>
      <c r="G4165" s="528" t="s">
        <v>205</v>
      </c>
      <c r="H4165"/>
    </row>
    <row r="4166" spans="1:8" x14ac:dyDescent="0.35">
      <c r="A4166" s="528" t="s">
        <v>11875</v>
      </c>
      <c r="B4166" s="528" t="s">
        <v>11876</v>
      </c>
      <c r="C4166" s="528" t="s">
        <v>1472</v>
      </c>
      <c r="D4166" s="528" t="s">
        <v>225</v>
      </c>
      <c r="E4166" s="528"/>
      <c r="F4166" s="528"/>
      <c r="G4166" s="528" t="s">
        <v>205</v>
      </c>
      <c r="H4166"/>
    </row>
    <row r="4167" spans="1:8" x14ac:dyDescent="0.35">
      <c r="A4167" s="528" t="s">
        <v>11877</v>
      </c>
      <c r="B4167" s="528" t="s">
        <v>11878</v>
      </c>
      <c r="C4167" s="528" t="s">
        <v>11879</v>
      </c>
      <c r="D4167" s="528" t="s">
        <v>225</v>
      </c>
      <c r="E4167" s="528"/>
      <c r="F4167" s="528"/>
      <c r="G4167" s="528" t="s">
        <v>205</v>
      </c>
      <c r="H4167"/>
    </row>
    <row r="4168" spans="1:8" x14ac:dyDescent="0.35">
      <c r="A4168" s="528" t="s">
        <v>11880</v>
      </c>
      <c r="B4168" s="528" t="s">
        <v>11881</v>
      </c>
      <c r="C4168" s="528" t="s">
        <v>11882</v>
      </c>
      <c r="D4168" s="528" t="s">
        <v>225</v>
      </c>
      <c r="E4168" s="528"/>
      <c r="F4168" s="528"/>
      <c r="G4168" s="528" t="s">
        <v>205</v>
      </c>
      <c r="H4168"/>
    </row>
    <row r="4169" spans="1:8" x14ac:dyDescent="0.35">
      <c r="A4169" s="528" t="s">
        <v>11883</v>
      </c>
      <c r="B4169" s="528" t="s">
        <v>11884</v>
      </c>
      <c r="C4169" s="528" t="s">
        <v>11885</v>
      </c>
      <c r="D4169" s="528" t="s">
        <v>225</v>
      </c>
      <c r="E4169" s="528"/>
      <c r="F4169" s="528"/>
      <c r="G4169" s="528" t="s">
        <v>205</v>
      </c>
      <c r="H4169"/>
    </row>
    <row r="4170" spans="1:8" x14ac:dyDescent="0.35">
      <c r="A4170" s="528" t="s">
        <v>11886</v>
      </c>
      <c r="B4170" s="528" t="s">
        <v>11887</v>
      </c>
      <c r="C4170" s="528" t="s">
        <v>11888</v>
      </c>
      <c r="D4170" s="528" t="s">
        <v>225</v>
      </c>
      <c r="E4170" s="528"/>
      <c r="F4170" s="528"/>
      <c r="G4170" s="528" t="s">
        <v>205</v>
      </c>
      <c r="H4170"/>
    </row>
    <row r="4171" spans="1:8" x14ac:dyDescent="0.35">
      <c r="A4171" s="528" t="s">
        <v>11889</v>
      </c>
      <c r="B4171" s="528" t="s">
        <v>11890</v>
      </c>
      <c r="C4171" s="528" t="s">
        <v>8862</v>
      </c>
      <c r="D4171" s="528" t="s">
        <v>225</v>
      </c>
      <c r="E4171" s="528"/>
      <c r="F4171" s="528"/>
      <c r="G4171" s="528" t="s">
        <v>205</v>
      </c>
      <c r="H4171"/>
    </row>
    <row r="4172" spans="1:8" x14ac:dyDescent="0.35">
      <c r="A4172" s="528" t="s">
        <v>11891</v>
      </c>
      <c r="B4172" s="528" t="s">
        <v>11892</v>
      </c>
      <c r="C4172" s="528" t="s">
        <v>3721</v>
      </c>
      <c r="D4172" s="528" t="s">
        <v>225</v>
      </c>
      <c r="E4172" s="528"/>
      <c r="F4172" s="528"/>
      <c r="G4172" s="528" t="s">
        <v>205</v>
      </c>
      <c r="H4172"/>
    </row>
    <row r="4173" spans="1:8" x14ac:dyDescent="0.35">
      <c r="A4173" s="528" t="s">
        <v>11893</v>
      </c>
      <c r="B4173" s="528" t="s">
        <v>11894</v>
      </c>
      <c r="C4173" s="528" t="s">
        <v>8400</v>
      </c>
      <c r="D4173" s="528" t="s">
        <v>225</v>
      </c>
      <c r="E4173" s="528"/>
      <c r="F4173" s="528"/>
      <c r="G4173" s="528" t="s">
        <v>205</v>
      </c>
      <c r="H4173"/>
    </row>
    <row r="4174" spans="1:8" x14ac:dyDescent="0.35">
      <c r="A4174" s="528" t="s">
        <v>11895</v>
      </c>
      <c r="B4174" s="528" t="s">
        <v>11896</v>
      </c>
      <c r="C4174" s="528" t="s">
        <v>8434</v>
      </c>
      <c r="D4174" s="528" t="s">
        <v>225</v>
      </c>
      <c r="E4174" s="528"/>
      <c r="F4174" s="528"/>
      <c r="G4174" s="528" t="s">
        <v>205</v>
      </c>
      <c r="H4174"/>
    </row>
    <row r="4175" spans="1:8" x14ac:dyDescent="0.35">
      <c r="A4175" s="528" t="s">
        <v>11897</v>
      </c>
      <c r="B4175" s="528" t="s">
        <v>11898</v>
      </c>
      <c r="C4175" s="528" t="s">
        <v>11899</v>
      </c>
      <c r="D4175" s="528" t="s">
        <v>225</v>
      </c>
      <c r="E4175" s="528"/>
      <c r="F4175" s="528"/>
      <c r="G4175" s="528" t="s">
        <v>205</v>
      </c>
      <c r="H4175"/>
    </row>
    <row r="4176" spans="1:8" x14ac:dyDescent="0.35">
      <c r="A4176" s="528" t="s">
        <v>11900</v>
      </c>
      <c r="B4176" s="528" t="s">
        <v>11901</v>
      </c>
      <c r="C4176" s="528" t="s">
        <v>9229</v>
      </c>
      <c r="D4176" s="528" t="s">
        <v>225</v>
      </c>
      <c r="E4176" s="528"/>
      <c r="F4176" s="528"/>
      <c r="G4176" s="528" t="s">
        <v>205</v>
      </c>
      <c r="H4176"/>
    </row>
    <row r="4177" spans="1:8" x14ac:dyDescent="0.35">
      <c r="A4177" s="528" t="s">
        <v>11902</v>
      </c>
      <c r="B4177" s="528" t="s">
        <v>11903</v>
      </c>
      <c r="C4177" s="528" t="s">
        <v>11904</v>
      </c>
      <c r="D4177" s="528" t="s">
        <v>225</v>
      </c>
      <c r="E4177" s="528"/>
      <c r="F4177" s="528"/>
      <c r="G4177" s="528" t="s">
        <v>205</v>
      </c>
      <c r="H4177"/>
    </row>
    <row r="4178" spans="1:8" x14ac:dyDescent="0.35">
      <c r="A4178" s="528" t="s">
        <v>11905</v>
      </c>
      <c r="B4178" s="528" t="s">
        <v>11906</v>
      </c>
      <c r="C4178" s="528" t="s">
        <v>11907</v>
      </c>
      <c r="D4178" s="528" t="s">
        <v>225</v>
      </c>
      <c r="E4178" s="528"/>
      <c r="F4178" s="528"/>
      <c r="G4178" s="528" t="s">
        <v>205</v>
      </c>
      <c r="H4178"/>
    </row>
    <row r="4179" spans="1:8" x14ac:dyDescent="0.35">
      <c r="A4179" s="528" t="s">
        <v>11908</v>
      </c>
      <c r="B4179" s="528" t="s">
        <v>11909</v>
      </c>
      <c r="C4179" s="528" t="s">
        <v>9198</v>
      </c>
      <c r="D4179" s="528" t="s">
        <v>225</v>
      </c>
      <c r="E4179" s="528"/>
      <c r="F4179" s="528"/>
      <c r="G4179" s="528" t="s">
        <v>205</v>
      </c>
      <c r="H4179"/>
    </row>
    <row r="4180" spans="1:8" x14ac:dyDescent="0.35">
      <c r="A4180" s="528" t="s">
        <v>11910</v>
      </c>
      <c r="B4180" s="528" t="s">
        <v>11911</v>
      </c>
      <c r="C4180" s="528" t="s">
        <v>5205</v>
      </c>
      <c r="D4180" s="528" t="s">
        <v>225</v>
      </c>
      <c r="E4180" s="528"/>
      <c r="F4180" s="528"/>
      <c r="G4180" s="528" t="s">
        <v>205</v>
      </c>
      <c r="H4180"/>
    </row>
    <row r="4181" spans="1:8" x14ac:dyDescent="0.35">
      <c r="A4181" s="528" t="s">
        <v>11912</v>
      </c>
      <c r="B4181" s="528" t="s">
        <v>11913</v>
      </c>
      <c r="C4181" s="528" t="s">
        <v>11914</v>
      </c>
      <c r="D4181" s="528" t="s">
        <v>225</v>
      </c>
      <c r="E4181" s="528"/>
      <c r="F4181" s="528"/>
      <c r="G4181" s="528" t="s">
        <v>205</v>
      </c>
      <c r="H4181"/>
    </row>
    <row r="4182" spans="1:8" x14ac:dyDescent="0.35">
      <c r="A4182" s="528" t="s">
        <v>11915</v>
      </c>
      <c r="B4182" s="528" t="s">
        <v>11916</v>
      </c>
      <c r="C4182" s="528" t="s">
        <v>11917</v>
      </c>
      <c r="D4182" s="528" t="s">
        <v>225</v>
      </c>
      <c r="E4182" s="528" t="s">
        <v>238</v>
      </c>
      <c r="F4182" s="528"/>
      <c r="G4182" s="528" t="s">
        <v>205</v>
      </c>
      <c r="H4182"/>
    </row>
    <row r="4183" spans="1:8" x14ac:dyDescent="0.35">
      <c r="A4183" s="528" t="s">
        <v>11918</v>
      </c>
      <c r="B4183" s="528" t="s">
        <v>11919</v>
      </c>
      <c r="C4183" s="528" t="s">
        <v>1368</v>
      </c>
      <c r="D4183" s="528" t="s">
        <v>225</v>
      </c>
      <c r="E4183" s="528"/>
      <c r="F4183" s="528"/>
      <c r="G4183" s="528" t="s">
        <v>205</v>
      </c>
      <c r="H4183"/>
    </row>
    <row r="4184" spans="1:8" x14ac:dyDescent="0.35">
      <c r="A4184" s="528" t="s">
        <v>11920</v>
      </c>
      <c r="B4184" s="528" t="s">
        <v>11921</v>
      </c>
      <c r="C4184" s="528" t="s">
        <v>11922</v>
      </c>
      <c r="D4184" s="528" t="s">
        <v>225</v>
      </c>
      <c r="E4184" s="528"/>
      <c r="F4184" s="528"/>
      <c r="G4184" s="528" t="s">
        <v>205</v>
      </c>
      <c r="H4184"/>
    </row>
    <row r="4185" spans="1:8" x14ac:dyDescent="0.35">
      <c r="A4185" s="528" t="s">
        <v>11923</v>
      </c>
      <c r="B4185" s="528" t="s">
        <v>11924</v>
      </c>
      <c r="C4185" s="528" t="s">
        <v>9198</v>
      </c>
      <c r="D4185" s="528" t="s">
        <v>225</v>
      </c>
      <c r="E4185" s="528"/>
      <c r="F4185" s="528"/>
      <c r="G4185" s="528" t="s">
        <v>205</v>
      </c>
      <c r="H4185"/>
    </row>
    <row r="4186" spans="1:8" x14ac:dyDescent="0.35">
      <c r="A4186" s="528" t="s">
        <v>11925</v>
      </c>
      <c r="B4186" s="528" t="s">
        <v>11926</v>
      </c>
      <c r="C4186" s="528" t="s">
        <v>11927</v>
      </c>
      <c r="D4186" s="528" t="s">
        <v>225</v>
      </c>
      <c r="E4186" s="528"/>
      <c r="F4186" s="528"/>
      <c r="G4186" s="528" t="s">
        <v>205</v>
      </c>
      <c r="H4186"/>
    </row>
    <row r="4187" spans="1:8" x14ac:dyDescent="0.35">
      <c r="A4187" s="528" t="s">
        <v>11928</v>
      </c>
      <c r="B4187" s="528" t="s">
        <v>11929</v>
      </c>
      <c r="C4187" s="528" t="s">
        <v>11930</v>
      </c>
      <c r="D4187" s="528" t="s">
        <v>225</v>
      </c>
      <c r="E4187" s="528"/>
      <c r="F4187" s="528"/>
      <c r="G4187" s="528" t="s">
        <v>205</v>
      </c>
      <c r="H4187"/>
    </row>
    <row r="4188" spans="1:8" x14ac:dyDescent="0.35">
      <c r="A4188" s="528" t="s">
        <v>11931</v>
      </c>
      <c r="B4188" s="528" t="s">
        <v>11932</v>
      </c>
      <c r="C4188" s="528" t="s">
        <v>916</v>
      </c>
      <c r="D4188" s="528" t="s">
        <v>225</v>
      </c>
      <c r="E4188" s="528"/>
      <c r="F4188" s="528"/>
      <c r="G4188" s="528" t="s">
        <v>205</v>
      </c>
      <c r="H4188"/>
    </row>
    <row r="4189" spans="1:8" x14ac:dyDescent="0.35">
      <c r="A4189" s="528" t="s">
        <v>11933</v>
      </c>
      <c r="B4189" s="528" t="s">
        <v>11934</v>
      </c>
      <c r="C4189" s="528" t="s">
        <v>11935</v>
      </c>
      <c r="D4189" s="528" t="s">
        <v>225</v>
      </c>
      <c r="E4189" s="528"/>
      <c r="F4189" s="528"/>
      <c r="G4189" s="528" t="s">
        <v>205</v>
      </c>
      <c r="H4189"/>
    </row>
    <row r="4190" spans="1:8" x14ac:dyDescent="0.35">
      <c r="A4190" s="528" t="s">
        <v>11936</v>
      </c>
      <c r="B4190" s="528" t="s">
        <v>11937</v>
      </c>
      <c r="C4190" s="528" t="s">
        <v>11938</v>
      </c>
      <c r="D4190" s="528" t="s">
        <v>225</v>
      </c>
      <c r="E4190" s="528"/>
      <c r="F4190" s="528"/>
      <c r="G4190" s="528" t="s">
        <v>205</v>
      </c>
      <c r="H4190"/>
    </row>
    <row r="4191" spans="1:8" x14ac:dyDescent="0.35">
      <c r="A4191" s="528" t="s">
        <v>11939</v>
      </c>
      <c r="B4191" s="528" t="s">
        <v>11940</v>
      </c>
      <c r="C4191" s="528" t="s">
        <v>3042</v>
      </c>
      <c r="D4191" s="528" t="s">
        <v>225</v>
      </c>
      <c r="E4191" s="528"/>
      <c r="F4191" s="528"/>
      <c r="G4191" s="528" t="s">
        <v>205</v>
      </c>
      <c r="H4191"/>
    </row>
    <row r="4192" spans="1:8" x14ac:dyDescent="0.35">
      <c r="A4192" s="528" t="s">
        <v>11941</v>
      </c>
      <c r="B4192" s="528" t="s">
        <v>11942</v>
      </c>
      <c r="C4192" s="528" t="s">
        <v>11943</v>
      </c>
      <c r="D4192" s="528" t="s">
        <v>277</v>
      </c>
      <c r="E4192" s="528"/>
      <c r="F4192" s="528"/>
      <c r="G4192" s="528" t="s">
        <v>205</v>
      </c>
      <c r="H4192"/>
    </row>
    <row r="4193" spans="1:8" x14ac:dyDescent="0.35">
      <c r="A4193" s="528" t="s">
        <v>11944</v>
      </c>
      <c r="B4193" s="528" t="s">
        <v>11945</v>
      </c>
      <c r="C4193" s="528" t="s">
        <v>11946</v>
      </c>
      <c r="D4193" s="528" t="s">
        <v>264</v>
      </c>
      <c r="E4193" s="528"/>
      <c r="F4193" s="528"/>
      <c r="G4193" s="528" t="s">
        <v>208</v>
      </c>
      <c r="H4193"/>
    </row>
    <row r="4194" spans="1:8" x14ac:dyDescent="0.35">
      <c r="A4194" s="528" t="s">
        <v>11947</v>
      </c>
      <c r="B4194" s="528" t="s">
        <v>11948</v>
      </c>
      <c r="C4194" s="528" t="s">
        <v>11949</v>
      </c>
      <c r="D4194" s="528" t="s">
        <v>277</v>
      </c>
      <c r="E4194" s="528"/>
      <c r="F4194" s="528"/>
      <c r="G4194" s="528" t="s">
        <v>212</v>
      </c>
      <c r="H4194"/>
    </row>
    <row r="4195" spans="1:8" x14ac:dyDescent="0.35">
      <c r="A4195" s="528" t="s">
        <v>11950</v>
      </c>
      <c r="B4195" s="528" t="s">
        <v>11951</v>
      </c>
      <c r="C4195" s="528" t="s">
        <v>11952</v>
      </c>
      <c r="D4195" s="528" t="s">
        <v>251</v>
      </c>
      <c r="E4195" s="528"/>
      <c r="F4195" s="528"/>
      <c r="G4195" s="528" t="s">
        <v>212</v>
      </c>
      <c r="H4195"/>
    </row>
    <row r="4196" spans="1:8" x14ac:dyDescent="0.35">
      <c r="A4196" s="528" t="s">
        <v>11953</v>
      </c>
      <c r="B4196" s="528" t="s">
        <v>11954</v>
      </c>
      <c r="C4196" s="528" t="s">
        <v>11955</v>
      </c>
      <c r="D4196" s="528" t="s">
        <v>251</v>
      </c>
      <c r="E4196" s="528"/>
      <c r="F4196" s="528"/>
      <c r="G4196" s="528" t="s">
        <v>212</v>
      </c>
      <c r="H4196"/>
    </row>
    <row r="4197" spans="1:8" x14ac:dyDescent="0.35">
      <c r="A4197" s="528" t="s">
        <v>11956</v>
      </c>
      <c r="B4197" s="528" t="s">
        <v>11957</v>
      </c>
      <c r="C4197" s="528" t="s">
        <v>11958</v>
      </c>
      <c r="D4197" s="528" t="s">
        <v>277</v>
      </c>
      <c r="E4197" s="528"/>
      <c r="F4197" s="528"/>
      <c r="G4197" s="528" t="s">
        <v>212</v>
      </c>
      <c r="H4197"/>
    </row>
    <row r="4198" spans="1:8" x14ac:dyDescent="0.35">
      <c r="A4198" s="528" t="s">
        <v>11959</v>
      </c>
      <c r="B4198" s="528" t="s">
        <v>11960</v>
      </c>
      <c r="C4198" s="528" t="s">
        <v>11961</v>
      </c>
      <c r="D4198" s="528" t="s">
        <v>264</v>
      </c>
      <c r="E4198" s="528"/>
      <c r="F4198" s="528"/>
      <c r="G4198" s="528" t="s">
        <v>208</v>
      </c>
      <c r="H4198"/>
    </row>
    <row r="4199" spans="1:8" x14ac:dyDescent="0.35">
      <c r="A4199" s="528" t="s">
        <v>11962</v>
      </c>
      <c r="B4199" s="528" t="s">
        <v>11963</v>
      </c>
      <c r="C4199" s="528" t="s">
        <v>11964</v>
      </c>
      <c r="D4199" s="528" t="s">
        <v>251</v>
      </c>
      <c r="E4199" s="528"/>
      <c r="F4199" s="528"/>
      <c r="G4199" s="528" t="s">
        <v>212</v>
      </c>
      <c r="H4199"/>
    </row>
    <row r="4200" spans="1:8" x14ac:dyDescent="0.35">
      <c r="A4200" s="528" t="s">
        <v>11965</v>
      </c>
      <c r="B4200" s="528" t="s">
        <v>11966</v>
      </c>
      <c r="C4200" s="528" t="s">
        <v>11967</v>
      </c>
      <c r="D4200" s="528" t="s">
        <v>251</v>
      </c>
      <c r="E4200" s="528"/>
      <c r="F4200" s="528"/>
      <c r="G4200" s="528" t="s">
        <v>208</v>
      </c>
      <c r="H4200"/>
    </row>
    <row r="4201" spans="1:8" x14ac:dyDescent="0.35">
      <c r="A4201" s="528" t="s">
        <v>11968</v>
      </c>
      <c r="B4201" s="528" t="s">
        <v>11969</v>
      </c>
      <c r="C4201" s="528" t="s">
        <v>2289</v>
      </c>
      <c r="D4201" s="528" t="s">
        <v>251</v>
      </c>
      <c r="E4201" s="528"/>
      <c r="F4201" s="528"/>
      <c r="G4201" s="528" t="s">
        <v>205</v>
      </c>
      <c r="H4201"/>
    </row>
    <row r="4202" spans="1:8" x14ac:dyDescent="0.35">
      <c r="A4202" s="528" t="s">
        <v>11970</v>
      </c>
      <c r="B4202" s="528" t="s">
        <v>11971</v>
      </c>
      <c r="C4202" s="528" t="s">
        <v>3486</v>
      </c>
      <c r="D4202" s="528" t="s">
        <v>251</v>
      </c>
      <c r="E4202" s="528"/>
      <c r="F4202" s="528"/>
      <c r="G4202" s="528" t="s">
        <v>205</v>
      </c>
      <c r="H4202"/>
    </row>
    <row r="4203" spans="1:8" x14ac:dyDescent="0.35">
      <c r="A4203" s="528" t="s">
        <v>11972</v>
      </c>
      <c r="B4203" s="528" t="s">
        <v>11973</v>
      </c>
      <c r="C4203" s="528" t="s">
        <v>3483</v>
      </c>
      <c r="D4203" s="528" t="s">
        <v>251</v>
      </c>
      <c r="E4203" s="528"/>
      <c r="F4203" s="528"/>
      <c r="G4203" s="528" t="s">
        <v>205</v>
      </c>
      <c r="H4203"/>
    </row>
    <row r="4204" spans="1:8" x14ac:dyDescent="0.35">
      <c r="A4204" s="528" t="s">
        <v>11974</v>
      </c>
      <c r="B4204" s="528" t="s">
        <v>11975</v>
      </c>
      <c r="C4204" s="528" t="s">
        <v>11976</v>
      </c>
      <c r="D4204" s="528" t="s">
        <v>251</v>
      </c>
      <c r="E4204" s="528"/>
      <c r="F4204" s="528"/>
      <c r="G4204" s="528" t="s">
        <v>205</v>
      </c>
      <c r="H4204"/>
    </row>
    <row r="4205" spans="1:8" x14ac:dyDescent="0.35">
      <c r="A4205" s="528" t="s">
        <v>11977</v>
      </c>
      <c r="B4205" s="528" t="s">
        <v>11978</v>
      </c>
      <c r="C4205" s="528" t="s">
        <v>1483</v>
      </c>
      <c r="D4205" s="528" t="s">
        <v>251</v>
      </c>
      <c r="E4205" s="528"/>
      <c r="F4205" s="528"/>
      <c r="G4205" s="528" t="s">
        <v>205</v>
      </c>
      <c r="H4205"/>
    </row>
    <row r="4206" spans="1:8" x14ac:dyDescent="0.35">
      <c r="A4206" s="528" t="s">
        <v>11979</v>
      </c>
      <c r="B4206" s="528" t="s">
        <v>11980</v>
      </c>
      <c r="C4206" s="528" t="s">
        <v>3489</v>
      </c>
      <c r="D4206" s="528" t="s">
        <v>251</v>
      </c>
      <c r="E4206" s="528"/>
      <c r="F4206" s="528"/>
      <c r="G4206" s="528" t="s">
        <v>205</v>
      </c>
      <c r="H4206"/>
    </row>
    <row r="4207" spans="1:8" x14ac:dyDescent="0.35">
      <c r="A4207" s="528" t="s">
        <v>11981</v>
      </c>
      <c r="B4207" s="528" t="s">
        <v>11982</v>
      </c>
      <c r="C4207" s="528" t="s">
        <v>11983</v>
      </c>
      <c r="D4207" s="528" t="s">
        <v>251</v>
      </c>
      <c r="E4207" s="528"/>
      <c r="F4207" s="528"/>
      <c r="G4207" s="528" t="s">
        <v>208</v>
      </c>
      <c r="H4207"/>
    </row>
    <row r="4208" spans="1:8" x14ac:dyDescent="0.35">
      <c r="A4208" s="528" t="s">
        <v>11984</v>
      </c>
      <c r="B4208" s="528" t="s">
        <v>11985</v>
      </c>
      <c r="C4208" s="528" t="s">
        <v>11986</v>
      </c>
      <c r="D4208" s="528" t="s">
        <v>225</v>
      </c>
      <c r="E4208" s="528"/>
      <c r="F4208" s="528"/>
      <c r="G4208" s="528" t="s">
        <v>208</v>
      </c>
      <c r="H4208"/>
    </row>
    <row r="4209" spans="1:8" x14ac:dyDescent="0.35">
      <c r="A4209" s="528" t="s">
        <v>11987</v>
      </c>
      <c r="B4209" s="528" t="s">
        <v>11988</v>
      </c>
      <c r="C4209" s="528" t="s">
        <v>11989</v>
      </c>
      <c r="D4209" s="528" t="s">
        <v>225</v>
      </c>
      <c r="E4209" s="528"/>
      <c r="F4209" s="528"/>
      <c r="G4209" s="528" t="s">
        <v>208</v>
      </c>
      <c r="H4209"/>
    </row>
    <row r="4210" spans="1:8" x14ac:dyDescent="0.35">
      <c r="A4210" s="528" t="s">
        <v>11990</v>
      </c>
      <c r="B4210" s="528" t="s">
        <v>11991</v>
      </c>
      <c r="C4210" s="528" t="s">
        <v>1208</v>
      </c>
      <c r="D4210" s="528" t="s">
        <v>277</v>
      </c>
      <c r="E4210" s="528"/>
      <c r="F4210" s="528"/>
      <c r="G4210" s="528" t="s">
        <v>205</v>
      </c>
      <c r="H4210"/>
    </row>
    <row r="4211" spans="1:8" x14ac:dyDescent="0.35">
      <c r="A4211" s="528" t="s">
        <v>11992</v>
      </c>
      <c r="B4211" s="528" t="s">
        <v>11993</v>
      </c>
      <c r="C4211" s="528" t="s">
        <v>4701</v>
      </c>
      <c r="D4211" s="528" t="s">
        <v>277</v>
      </c>
      <c r="E4211" s="528"/>
      <c r="F4211" s="528"/>
      <c r="G4211" s="528" t="s">
        <v>208</v>
      </c>
      <c r="H4211"/>
    </row>
    <row r="4212" spans="1:8" x14ac:dyDescent="0.35">
      <c r="A4212" s="528" t="s">
        <v>11994</v>
      </c>
      <c r="B4212" s="528" t="s">
        <v>11995</v>
      </c>
      <c r="C4212" s="528" t="s">
        <v>11996</v>
      </c>
      <c r="D4212" s="528" t="s">
        <v>238</v>
      </c>
      <c r="E4212" s="528"/>
      <c r="F4212" s="528"/>
      <c r="G4212" s="528" t="s">
        <v>205</v>
      </c>
      <c r="H4212"/>
    </row>
    <row r="4213" spans="1:8" x14ac:dyDescent="0.35">
      <c r="A4213" s="528" t="s">
        <v>11997</v>
      </c>
      <c r="B4213" s="528" t="s">
        <v>11998</v>
      </c>
      <c r="C4213" s="528" t="s">
        <v>11999</v>
      </c>
      <c r="D4213" s="528" t="s">
        <v>264</v>
      </c>
      <c r="E4213" s="528"/>
      <c r="F4213" s="528"/>
      <c r="G4213" s="528" t="s">
        <v>205</v>
      </c>
      <c r="H4213"/>
    </row>
    <row r="4214" spans="1:8" x14ac:dyDescent="0.35">
      <c r="A4214" s="528" t="s">
        <v>12000</v>
      </c>
      <c r="B4214" s="528" t="s">
        <v>12001</v>
      </c>
      <c r="C4214" s="528" t="s">
        <v>12002</v>
      </c>
      <c r="D4214" s="528" t="s">
        <v>264</v>
      </c>
      <c r="E4214" s="528"/>
      <c r="F4214" s="528"/>
      <c r="G4214" s="528" t="s">
        <v>208</v>
      </c>
      <c r="H4214"/>
    </row>
    <row r="4215" spans="1:8" x14ac:dyDescent="0.35">
      <c r="A4215" s="528" t="s">
        <v>12003</v>
      </c>
      <c r="B4215" s="528" t="s">
        <v>12004</v>
      </c>
      <c r="C4215" s="528" t="s">
        <v>12005</v>
      </c>
      <c r="D4215" s="528" t="s">
        <v>277</v>
      </c>
      <c r="E4215" s="528"/>
      <c r="F4215" s="528"/>
      <c r="G4215" s="528" t="s">
        <v>205</v>
      </c>
      <c r="H4215"/>
    </row>
    <row r="4216" spans="1:8" x14ac:dyDescent="0.35">
      <c r="A4216" s="528" t="s">
        <v>12006</v>
      </c>
      <c r="B4216" s="528" t="s">
        <v>12007</v>
      </c>
      <c r="C4216" s="528" t="s">
        <v>12008</v>
      </c>
      <c r="D4216" s="528" t="s">
        <v>277</v>
      </c>
      <c r="E4216" s="528"/>
      <c r="F4216" s="528"/>
      <c r="G4216" s="528" t="s">
        <v>208</v>
      </c>
      <c r="H4216"/>
    </row>
    <row r="4217" spans="1:8" x14ac:dyDescent="0.35">
      <c r="A4217" s="528" t="s">
        <v>12009</v>
      </c>
      <c r="B4217" s="528" t="s">
        <v>12010</v>
      </c>
      <c r="C4217" s="528" t="s">
        <v>12011</v>
      </c>
      <c r="D4217" s="528" t="s">
        <v>251</v>
      </c>
      <c r="E4217" s="528"/>
      <c r="F4217" s="528"/>
      <c r="G4217" s="528" t="s">
        <v>208</v>
      </c>
      <c r="H4217"/>
    </row>
    <row r="4218" spans="1:8" x14ac:dyDescent="0.35">
      <c r="A4218" s="528" t="s">
        <v>12012</v>
      </c>
      <c r="B4218" s="528" t="s">
        <v>12013</v>
      </c>
      <c r="C4218" s="528" t="s">
        <v>12014</v>
      </c>
      <c r="D4218" s="528" t="s">
        <v>264</v>
      </c>
      <c r="E4218" s="528"/>
      <c r="F4218" s="528"/>
      <c r="G4218" s="528" t="s">
        <v>210</v>
      </c>
      <c r="H4218"/>
    </row>
    <row r="4219" spans="1:8" x14ac:dyDescent="0.35">
      <c r="A4219" s="528" t="s">
        <v>12015</v>
      </c>
      <c r="B4219" s="528" t="s">
        <v>12016</v>
      </c>
      <c r="C4219" s="528" t="s">
        <v>12017</v>
      </c>
      <c r="D4219" s="528" t="s">
        <v>264</v>
      </c>
      <c r="E4219" s="528"/>
      <c r="F4219" s="528"/>
      <c r="G4219" s="528" t="s">
        <v>205</v>
      </c>
      <c r="H4219"/>
    </row>
    <row r="4220" spans="1:8" x14ac:dyDescent="0.35">
      <c r="A4220" s="528" t="s">
        <v>12018</v>
      </c>
      <c r="B4220" s="528" t="s">
        <v>12019</v>
      </c>
      <c r="C4220" s="528" t="s">
        <v>12020</v>
      </c>
      <c r="D4220" s="528" t="s">
        <v>225</v>
      </c>
      <c r="E4220" s="528"/>
      <c r="F4220" s="528"/>
      <c r="G4220" s="528" t="s">
        <v>208</v>
      </c>
      <c r="H4220"/>
    </row>
    <row r="4221" spans="1:8" x14ac:dyDescent="0.35">
      <c r="A4221" s="528" t="s">
        <v>12021</v>
      </c>
      <c r="B4221" s="528" t="s">
        <v>12022</v>
      </c>
      <c r="C4221" s="528" t="s">
        <v>2100</v>
      </c>
      <c r="D4221" s="528" t="s">
        <v>225</v>
      </c>
      <c r="E4221" s="528"/>
      <c r="F4221" s="528"/>
      <c r="G4221" s="528" t="s">
        <v>205</v>
      </c>
      <c r="H4221"/>
    </row>
    <row r="4222" spans="1:8" x14ac:dyDescent="0.35">
      <c r="A4222" s="528" t="s">
        <v>12023</v>
      </c>
      <c r="B4222" s="528" t="s">
        <v>12024</v>
      </c>
      <c r="C4222" s="528" t="s">
        <v>1305</v>
      </c>
      <c r="D4222" s="528" t="s">
        <v>277</v>
      </c>
      <c r="E4222" s="528"/>
      <c r="F4222" s="528"/>
      <c r="G4222" s="528" t="s">
        <v>205</v>
      </c>
      <c r="H4222"/>
    </row>
    <row r="4223" spans="1:8" x14ac:dyDescent="0.35">
      <c r="A4223" s="528" t="s">
        <v>12025</v>
      </c>
      <c r="B4223" s="528" t="s">
        <v>12026</v>
      </c>
      <c r="C4223" s="528" t="s">
        <v>12027</v>
      </c>
      <c r="D4223" s="528" t="s">
        <v>225</v>
      </c>
      <c r="E4223" s="528"/>
      <c r="F4223" s="528"/>
      <c r="G4223" s="528" t="s">
        <v>208</v>
      </c>
      <c r="H4223"/>
    </row>
    <row r="4224" spans="1:8" x14ac:dyDescent="0.35">
      <c r="A4224" s="528" t="s">
        <v>12028</v>
      </c>
      <c r="B4224" s="528" t="s">
        <v>12029</v>
      </c>
      <c r="C4224" s="528" t="s">
        <v>12030</v>
      </c>
      <c r="D4224" s="528" t="s">
        <v>225</v>
      </c>
      <c r="E4224" s="528"/>
      <c r="F4224" s="528"/>
      <c r="G4224" s="528" t="s">
        <v>205</v>
      </c>
      <c r="H4224"/>
    </row>
    <row r="4225" spans="1:8" x14ac:dyDescent="0.35">
      <c r="A4225" s="528" t="s">
        <v>12031</v>
      </c>
      <c r="B4225" s="528" t="s">
        <v>12032</v>
      </c>
      <c r="C4225" s="528" t="s">
        <v>6217</v>
      </c>
      <c r="D4225" s="528" t="s">
        <v>277</v>
      </c>
      <c r="E4225" s="528"/>
      <c r="F4225" s="528"/>
      <c r="G4225" s="528" t="s">
        <v>208</v>
      </c>
      <c r="H4225"/>
    </row>
    <row r="4226" spans="1:8" x14ac:dyDescent="0.35">
      <c r="A4226" s="528" t="s">
        <v>12033</v>
      </c>
      <c r="B4226" s="528" t="s">
        <v>12034</v>
      </c>
      <c r="C4226" s="528" t="s">
        <v>1014</v>
      </c>
      <c r="D4226" s="528" t="s">
        <v>277</v>
      </c>
      <c r="E4226" s="528"/>
      <c r="F4226" s="528"/>
      <c r="G4226" s="528" t="s">
        <v>208</v>
      </c>
      <c r="H4226"/>
    </row>
    <row r="4227" spans="1:8" x14ac:dyDescent="0.35">
      <c r="A4227" s="528" t="s">
        <v>12035</v>
      </c>
      <c r="B4227" s="528" t="s">
        <v>12036</v>
      </c>
      <c r="C4227" s="528" t="s">
        <v>756</v>
      </c>
      <c r="D4227" s="528" t="s">
        <v>277</v>
      </c>
      <c r="E4227" s="528"/>
      <c r="F4227" s="528"/>
      <c r="G4227" s="528" t="s">
        <v>212</v>
      </c>
      <c r="H4227"/>
    </row>
    <row r="4228" spans="1:8" x14ac:dyDescent="0.35">
      <c r="A4228" s="528" t="s">
        <v>12037</v>
      </c>
      <c r="B4228" s="528" t="s">
        <v>12038</v>
      </c>
      <c r="C4228" s="528" t="s">
        <v>1188</v>
      </c>
      <c r="D4228" s="528" t="s">
        <v>264</v>
      </c>
      <c r="E4228" s="528"/>
      <c r="F4228" s="528"/>
      <c r="G4228" s="528" t="s">
        <v>205</v>
      </c>
      <c r="H4228"/>
    </row>
    <row r="4229" spans="1:8" x14ac:dyDescent="0.35">
      <c r="A4229" s="528" t="s">
        <v>12039</v>
      </c>
      <c r="B4229" s="528" t="s">
        <v>12040</v>
      </c>
      <c r="C4229" s="528" t="s">
        <v>12041</v>
      </c>
      <c r="D4229" s="528" t="s">
        <v>251</v>
      </c>
      <c r="E4229" s="528"/>
      <c r="F4229" s="528"/>
      <c r="G4229" s="528" t="s">
        <v>205</v>
      </c>
      <c r="H4229"/>
    </row>
    <row r="4230" spans="1:8" x14ac:dyDescent="0.35">
      <c r="A4230" s="528" t="s">
        <v>12042</v>
      </c>
      <c r="B4230" s="528" t="s">
        <v>12043</v>
      </c>
      <c r="C4230" s="528" t="s">
        <v>12044</v>
      </c>
      <c r="D4230" s="528" t="s">
        <v>277</v>
      </c>
      <c r="E4230" s="528"/>
      <c r="F4230" s="528"/>
      <c r="G4230" s="528" t="s">
        <v>208</v>
      </c>
      <c r="H4230"/>
    </row>
    <row r="4231" spans="1:8" x14ac:dyDescent="0.35">
      <c r="A4231" s="528" t="s">
        <v>12045</v>
      </c>
      <c r="B4231" s="528" t="s">
        <v>12046</v>
      </c>
      <c r="C4231" s="528" t="s">
        <v>12047</v>
      </c>
      <c r="D4231" s="528" t="s">
        <v>277</v>
      </c>
      <c r="E4231" s="528"/>
      <c r="F4231" s="528"/>
      <c r="G4231" s="528" t="s">
        <v>205</v>
      </c>
      <c r="H4231"/>
    </row>
    <row r="4232" spans="1:8" x14ac:dyDescent="0.35">
      <c r="A4232" s="528" t="s">
        <v>12048</v>
      </c>
      <c r="B4232" s="528" t="s">
        <v>12049</v>
      </c>
      <c r="C4232" s="528" t="s">
        <v>12050</v>
      </c>
      <c r="D4232" s="528" t="s">
        <v>251</v>
      </c>
      <c r="E4232" s="528"/>
      <c r="F4232" s="528"/>
      <c r="G4232" s="528" t="s">
        <v>208</v>
      </c>
      <c r="H4232"/>
    </row>
    <row r="4233" spans="1:8" x14ac:dyDescent="0.35">
      <c r="A4233" s="528" t="s">
        <v>12051</v>
      </c>
      <c r="B4233" s="528" t="s">
        <v>12052</v>
      </c>
      <c r="C4233" s="528" t="s">
        <v>9015</v>
      </c>
      <c r="D4233" s="528" t="s">
        <v>251</v>
      </c>
      <c r="E4233" s="528"/>
      <c r="F4233" s="528"/>
      <c r="G4233" s="528" t="s">
        <v>208</v>
      </c>
      <c r="H4233"/>
    </row>
    <row r="4234" spans="1:8" x14ac:dyDescent="0.35">
      <c r="A4234" s="528" t="s">
        <v>12053</v>
      </c>
      <c r="B4234" s="528" t="s">
        <v>12054</v>
      </c>
      <c r="C4234" s="528" t="s">
        <v>8320</v>
      </c>
      <c r="D4234" s="528" t="s">
        <v>264</v>
      </c>
      <c r="E4234" s="528"/>
      <c r="F4234" s="528"/>
      <c r="G4234" s="528" t="s">
        <v>208</v>
      </c>
      <c r="H4234"/>
    </row>
    <row r="4235" spans="1:8" x14ac:dyDescent="0.35">
      <c r="A4235" s="528" t="s">
        <v>12055</v>
      </c>
      <c r="B4235" s="528" t="s">
        <v>12056</v>
      </c>
      <c r="C4235" s="528" t="s">
        <v>12057</v>
      </c>
      <c r="D4235" s="528" t="s">
        <v>251</v>
      </c>
      <c r="E4235" s="528"/>
      <c r="F4235" s="528"/>
      <c r="G4235" s="528" t="s">
        <v>205</v>
      </c>
      <c r="H4235"/>
    </row>
    <row r="4236" spans="1:8" x14ac:dyDescent="0.35">
      <c r="A4236" s="528" t="s">
        <v>12058</v>
      </c>
      <c r="B4236" s="528" t="s">
        <v>12059</v>
      </c>
      <c r="C4236" s="528" t="s">
        <v>2652</v>
      </c>
      <c r="D4236" s="528" t="s">
        <v>251</v>
      </c>
      <c r="E4236" s="528"/>
      <c r="F4236" s="528"/>
      <c r="G4236" s="528" t="s">
        <v>205</v>
      </c>
      <c r="H4236"/>
    </row>
    <row r="4237" spans="1:8" x14ac:dyDescent="0.35">
      <c r="A4237" s="528" t="s">
        <v>12060</v>
      </c>
      <c r="B4237" s="528" t="s">
        <v>12061</v>
      </c>
      <c r="C4237" s="528" t="s">
        <v>1483</v>
      </c>
      <c r="D4237" s="528" t="s">
        <v>251</v>
      </c>
      <c r="E4237" s="528"/>
      <c r="F4237" s="528"/>
      <c r="G4237" s="528" t="s">
        <v>205</v>
      </c>
      <c r="H4237"/>
    </row>
    <row r="4238" spans="1:8" x14ac:dyDescent="0.35">
      <c r="A4238" s="528" t="s">
        <v>12062</v>
      </c>
      <c r="B4238" s="528" t="s">
        <v>12063</v>
      </c>
      <c r="C4238" s="528" t="s">
        <v>1934</v>
      </c>
      <c r="D4238" s="528" t="s">
        <v>251</v>
      </c>
      <c r="E4238" s="528"/>
      <c r="F4238" s="528"/>
      <c r="G4238" s="528" t="s">
        <v>205</v>
      </c>
      <c r="H4238"/>
    </row>
    <row r="4239" spans="1:8" x14ac:dyDescent="0.35">
      <c r="A4239" s="528" t="s">
        <v>12064</v>
      </c>
      <c r="B4239" s="528" t="s">
        <v>12065</v>
      </c>
      <c r="C4239" s="528" t="s">
        <v>12066</v>
      </c>
      <c r="D4239" s="528" t="s">
        <v>277</v>
      </c>
      <c r="E4239" s="528" t="s">
        <v>264</v>
      </c>
      <c r="F4239" s="528"/>
      <c r="G4239" s="528" t="s">
        <v>205</v>
      </c>
      <c r="H4239"/>
    </row>
    <row r="4240" spans="1:8" x14ac:dyDescent="0.35">
      <c r="A4240" s="528" t="s">
        <v>12067</v>
      </c>
      <c r="B4240" s="528" t="s">
        <v>12068</v>
      </c>
      <c r="C4240" s="528" t="s">
        <v>12069</v>
      </c>
      <c r="D4240" s="528" t="s">
        <v>277</v>
      </c>
      <c r="E4240" s="528"/>
      <c r="F4240" s="528"/>
      <c r="G4240" s="528" t="s">
        <v>208</v>
      </c>
      <c r="H4240"/>
    </row>
    <row r="4241" spans="1:8" x14ac:dyDescent="0.35">
      <c r="A4241" s="528" t="s">
        <v>12070</v>
      </c>
      <c r="B4241" s="528" t="s">
        <v>12071</v>
      </c>
      <c r="C4241" s="528" t="s">
        <v>12072</v>
      </c>
      <c r="D4241" s="528" t="s">
        <v>277</v>
      </c>
      <c r="E4241" s="528"/>
      <c r="F4241" s="528"/>
      <c r="G4241" s="528" t="s">
        <v>205</v>
      </c>
      <c r="H4241"/>
    </row>
    <row r="4242" spans="1:8" x14ac:dyDescent="0.35">
      <c r="A4242" s="528" t="s">
        <v>12073</v>
      </c>
      <c r="B4242" s="528" t="s">
        <v>12074</v>
      </c>
      <c r="C4242" s="528" t="s">
        <v>12075</v>
      </c>
      <c r="D4242" s="528" t="s">
        <v>264</v>
      </c>
      <c r="E4242" s="528" t="s">
        <v>251</v>
      </c>
      <c r="F4242" s="528"/>
      <c r="G4242" s="528" t="s">
        <v>205</v>
      </c>
      <c r="H4242"/>
    </row>
    <row r="4243" spans="1:8" x14ac:dyDescent="0.35">
      <c r="A4243" s="528" t="s">
        <v>12076</v>
      </c>
      <c r="B4243" s="528" t="s">
        <v>12077</v>
      </c>
      <c r="C4243" s="528" t="s">
        <v>12078</v>
      </c>
      <c r="D4243" s="528" t="s">
        <v>264</v>
      </c>
      <c r="E4243" s="528"/>
      <c r="F4243" s="528"/>
      <c r="G4243" s="528" t="s">
        <v>208</v>
      </c>
      <c r="H4243"/>
    </row>
    <row r="4244" spans="1:8" x14ac:dyDescent="0.35">
      <c r="A4244" s="528" t="s">
        <v>12079</v>
      </c>
      <c r="B4244" s="528" t="s">
        <v>12080</v>
      </c>
      <c r="C4244" s="528" t="s">
        <v>12081</v>
      </c>
      <c r="D4244" s="528" t="s">
        <v>277</v>
      </c>
      <c r="E4244" s="528"/>
      <c r="F4244" s="528"/>
      <c r="G4244" s="528" t="s">
        <v>205</v>
      </c>
      <c r="H4244"/>
    </row>
    <row r="4245" spans="1:8" x14ac:dyDescent="0.35">
      <c r="A4245" s="528" t="s">
        <v>12082</v>
      </c>
      <c r="B4245" s="528" t="s">
        <v>12083</v>
      </c>
      <c r="C4245" s="528" t="s">
        <v>12084</v>
      </c>
      <c r="D4245" s="528" t="s">
        <v>277</v>
      </c>
      <c r="E4245" s="528"/>
      <c r="F4245" s="528"/>
      <c r="G4245" s="528" t="s">
        <v>208</v>
      </c>
      <c r="H4245"/>
    </row>
    <row r="4246" spans="1:8" x14ac:dyDescent="0.35">
      <c r="A4246" s="528" t="s">
        <v>12085</v>
      </c>
      <c r="B4246" s="528" t="s">
        <v>12086</v>
      </c>
      <c r="C4246" s="528" t="s">
        <v>12087</v>
      </c>
      <c r="D4246" s="528" t="s">
        <v>277</v>
      </c>
      <c r="E4246" s="528"/>
      <c r="F4246" s="528"/>
      <c r="G4246" s="528" t="s">
        <v>205</v>
      </c>
      <c r="H4246"/>
    </row>
    <row r="4247" spans="1:8" x14ac:dyDescent="0.35">
      <c r="A4247" s="528" t="s">
        <v>12088</v>
      </c>
      <c r="B4247" s="528" t="s">
        <v>12089</v>
      </c>
      <c r="C4247" s="528" t="s">
        <v>12090</v>
      </c>
      <c r="D4247" s="528" t="s">
        <v>225</v>
      </c>
      <c r="E4247" s="528"/>
      <c r="F4247" s="528"/>
      <c r="G4247" s="528" t="s">
        <v>208</v>
      </c>
      <c r="H4247"/>
    </row>
    <row r="4248" spans="1:8" x14ac:dyDescent="0.35">
      <c r="A4248" s="528" t="s">
        <v>12091</v>
      </c>
      <c r="B4248" s="528" t="s">
        <v>12092</v>
      </c>
      <c r="C4248" s="528" t="s">
        <v>12093</v>
      </c>
      <c r="D4248" s="528" t="s">
        <v>277</v>
      </c>
      <c r="E4248" s="528"/>
      <c r="F4248" s="528"/>
      <c r="G4248" s="528" t="s">
        <v>208</v>
      </c>
      <c r="H4248"/>
    </row>
    <row r="4249" spans="1:8" x14ac:dyDescent="0.35">
      <c r="A4249" s="528" t="s">
        <v>12094</v>
      </c>
      <c r="B4249" s="528" t="s">
        <v>12095</v>
      </c>
      <c r="C4249" s="528" t="s">
        <v>5253</v>
      </c>
      <c r="D4249" s="528" t="s">
        <v>238</v>
      </c>
      <c r="E4249" s="528"/>
      <c r="F4249" s="528"/>
      <c r="G4249" s="528" t="s">
        <v>208</v>
      </c>
      <c r="H4249"/>
    </row>
    <row r="4250" spans="1:8" x14ac:dyDescent="0.35">
      <c r="A4250" s="528" t="s">
        <v>12096</v>
      </c>
      <c r="B4250" s="528" t="s">
        <v>12097</v>
      </c>
      <c r="C4250" s="528" t="s">
        <v>3111</v>
      </c>
      <c r="D4250" s="528" t="s">
        <v>225</v>
      </c>
      <c r="E4250" s="528"/>
      <c r="F4250" s="528"/>
      <c r="G4250" s="528" t="s">
        <v>208</v>
      </c>
      <c r="H4250"/>
    </row>
    <row r="4251" spans="1:8" x14ac:dyDescent="0.35">
      <c r="A4251" s="528" t="s">
        <v>12098</v>
      </c>
      <c r="B4251" s="528" t="s">
        <v>12099</v>
      </c>
      <c r="C4251" s="528" t="s">
        <v>12100</v>
      </c>
      <c r="D4251" s="528" t="s">
        <v>277</v>
      </c>
      <c r="E4251" s="528"/>
      <c r="F4251" s="528"/>
      <c r="G4251" s="528" t="s">
        <v>205</v>
      </c>
      <c r="H4251"/>
    </row>
    <row r="4252" spans="1:8" x14ac:dyDescent="0.35">
      <c r="A4252" s="528" t="s">
        <v>12101</v>
      </c>
      <c r="B4252" s="528" t="s">
        <v>12102</v>
      </c>
      <c r="C4252" s="528" t="s">
        <v>12103</v>
      </c>
      <c r="D4252" s="528" t="s">
        <v>277</v>
      </c>
      <c r="E4252" s="528"/>
      <c r="F4252" s="528"/>
      <c r="G4252" s="528" t="s">
        <v>205</v>
      </c>
      <c r="H4252"/>
    </row>
    <row r="4253" spans="1:8" x14ac:dyDescent="0.35">
      <c r="A4253" s="528" t="s">
        <v>12104</v>
      </c>
      <c r="B4253" s="528" t="s">
        <v>12105</v>
      </c>
      <c r="C4253" s="528" t="s">
        <v>9193</v>
      </c>
      <c r="D4253" s="528" t="s">
        <v>277</v>
      </c>
      <c r="E4253" s="528"/>
      <c r="F4253" s="528"/>
      <c r="G4253" s="528" t="s">
        <v>205</v>
      </c>
      <c r="H4253"/>
    </row>
    <row r="4254" spans="1:8" x14ac:dyDescent="0.35">
      <c r="A4254" s="528" t="s">
        <v>12106</v>
      </c>
      <c r="B4254" s="528" t="s">
        <v>12107</v>
      </c>
      <c r="C4254" s="528" t="s">
        <v>1014</v>
      </c>
      <c r="D4254" s="528" t="s">
        <v>277</v>
      </c>
      <c r="E4254" s="528"/>
      <c r="F4254" s="528"/>
      <c r="G4254" s="528" t="s">
        <v>208</v>
      </c>
      <c r="H4254"/>
    </row>
    <row r="4255" spans="1:8" x14ac:dyDescent="0.35">
      <c r="A4255" s="528" t="s">
        <v>12108</v>
      </c>
      <c r="B4255" s="528" t="s">
        <v>12109</v>
      </c>
      <c r="C4255" s="528" t="s">
        <v>1510</v>
      </c>
      <c r="D4255" s="528" t="s">
        <v>277</v>
      </c>
      <c r="E4255" s="528"/>
      <c r="F4255" s="528"/>
      <c r="G4255" s="528" t="s">
        <v>205</v>
      </c>
      <c r="H4255"/>
    </row>
    <row r="4256" spans="1:8" x14ac:dyDescent="0.35">
      <c r="A4256" s="528" t="s">
        <v>12110</v>
      </c>
      <c r="B4256" s="528" t="s">
        <v>12111</v>
      </c>
      <c r="C4256" s="528" t="s">
        <v>1995</v>
      </c>
      <c r="D4256" s="528" t="s">
        <v>264</v>
      </c>
      <c r="E4256" s="528"/>
      <c r="F4256" s="528"/>
      <c r="G4256" s="528" t="s">
        <v>205</v>
      </c>
      <c r="H4256"/>
    </row>
    <row r="4257" spans="1:8" x14ac:dyDescent="0.35">
      <c r="A4257" s="528" t="s">
        <v>12112</v>
      </c>
      <c r="B4257" s="528" t="s">
        <v>12113</v>
      </c>
      <c r="C4257" s="528" t="s">
        <v>12114</v>
      </c>
      <c r="D4257" s="528" t="s">
        <v>277</v>
      </c>
      <c r="E4257" s="528"/>
      <c r="F4257" s="528"/>
      <c r="G4257" s="528" t="s">
        <v>208</v>
      </c>
      <c r="H4257"/>
    </row>
    <row r="4258" spans="1:8" x14ac:dyDescent="0.35">
      <c r="A4258" s="528" t="s">
        <v>12115</v>
      </c>
      <c r="B4258" s="528" t="s">
        <v>12116</v>
      </c>
      <c r="C4258" s="528" t="s">
        <v>10688</v>
      </c>
      <c r="D4258" s="528" t="s">
        <v>251</v>
      </c>
      <c r="E4258" s="528"/>
      <c r="F4258" s="528"/>
      <c r="G4258" s="528" t="s">
        <v>208</v>
      </c>
      <c r="H4258"/>
    </row>
    <row r="4259" spans="1:8" x14ac:dyDescent="0.35">
      <c r="A4259" s="528" t="s">
        <v>12117</v>
      </c>
      <c r="B4259" s="528" t="s">
        <v>12118</v>
      </c>
      <c r="C4259" s="528" t="s">
        <v>9096</v>
      </c>
      <c r="D4259" s="528" t="s">
        <v>251</v>
      </c>
      <c r="E4259" s="528"/>
      <c r="F4259" s="528"/>
      <c r="G4259" s="528" t="s">
        <v>208</v>
      </c>
      <c r="H4259"/>
    </row>
    <row r="4260" spans="1:8" x14ac:dyDescent="0.35">
      <c r="A4260" s="528" t="s">
        <v>12119</v>
      </c>
      <c r="B4260" s="528" t="s">
        <v>12120</v>
      </c>
      <c r="C4260" s="528" t="s">
        <v>12121</v>
      </c>
      <c r="D4260" s="528" t="s">
        <v>251</v>
      </c>
      <c r="E4260" s="528"/>
      <c r="F4260" s="528"/>
      <c r="G4260" s="528" t="s">
        <v>208</v>
      </c>
      <c r="H4260"/>
    </row>
    <row r="4261" spans="1:8" x14ac:dyDescent="0.35">
      <c r="A4261" s="528" t="s">
        <v>12122</v>
      </c>
      <c r="B4261" s="528" t="s">
        <v>12123</v>
      </c>
      <c r="C4261" s="528" t="s">
        <v>12124</v>
      </c>
      <c r="D4261" s="528" t="s">
        <v>251</v>
      </c>
      <c r="E4261" s="528"/>
      <c r="F4261" s="528"/>
      <c r="G4261" s="528" t="s">
        <v>208</v>
      </c>
      <c r="H4261"/>
    </row>
    <row r="4262" spans="1:8" x14ac:dyDescent="0.35">
      <c r="A4262" s="528" t="s">
        <v>12125</v>
      </c>
      <c r="B4262" s="528" t="s">
        <v>12126</v>
      </c>
      <c r="C4262" s="528" t="s">
        <v>12127</v>
      </c>
      <c r="D4262" s="528" t="s">
        <v>251</v>
      </c>
      <c r="E4262" s="528"/>
      <c r="F4262" s="528"/>
      <c r="G4262" s="528" t="s">
        <v>208</v>
      </c>
      <c r="H4262"/>
    </row>
    <row r="4263" spans="1:8" x14ac:dyDescent="0.35">
      <c r="A4263" s="528" t="s">
        <v>12128</v>
      </c>
      <c r="B4263" s="528" t="s">
        <v>12129</v>
      </c>
      <c r="C4263" s="528" t="s">
        <v>12130</v>
      </c>
      <c r="D4263" s="528" t="s">
        <v>251</v>
      </c>
      <c r="E4263" s="528"/>
      <c r="F4263" s="528"/>
      <c r="G4263" s="528" t="s">
        <v>208</v>
      </c>
      <c r="H4263"/>
    </row>
    <row r="4264" spans="1:8" x14ac:dyDescent="0.35">
      <c r="A4264" s="528" t="s">
        <v>12131</v>
      </c>
      <c r="B4264" s="528" t="s">
        <v>12132</v>
      </c>
      <c r="C4264" s="528" t="s">
        <v>12133</v>
      </c>
      <c r="D4264" s="528" t="s">
        <v>251</v>
      </c>
      <c r="E4264" s="528"/>
      <c r="F4264" s="528"/>
      <c r="G4264" s="528" t="s">
        <v>208</v>
      </c>
      <c r="H4264"/>
    </row>
    <row r="4265" spans="1:8" x14ac:dyDescent="0.35">
      <c r="A4265" s="528" t="s">
        <v>12134</v>
      </c>
      <c r="B4265" s="528" t="s">
        <v>12135</v>
      </c>
      <c r="C4265" s="528" t="s">
        <v>12136</v>
      </c>
      <c r="D4265" s="528" t="s">
        <v>251</v>
      </c>
      <c r="E4265" s="528"/>
      <c r="F4265" s="528"/>
      <c r="G4265" s="528" t="s">
        <v>208</v>
      </c>
      <c r="H4265"/>
    </row>
    <row r="4266" spans="1:8" x14ac:dyDescent="0.35">
      <c r="A4266" s="528" t="s">
        <v>12137</v>
      </c>
      <c r="B4266" s="528" t="s">
        <v>12138</v>
      </c>
      <c r="C4266" s="528" t="s">
        <v>12139</v>
      </c>
      <c r="D4266" s="528" t="s">
        <v>251</v>
      </c>
      <c r="E4266" s="528"/>
      <c r="F4266" s="528"/>
      <c r="G4266" s="528" t="s">
        <v>208</v>
      </c>
      <c r="H4266"/>
    </row>
    <row r="4267" spans="1:8" x14ac:dyDescent="0.35">
      <c r="A4267" s="528" t="s">
        <v>12140</v>
      </c>
      <c r="B4267" s="528" t="s">
        <v>12141</v>
      </c>
      <c r="C4267" s="528" t="s">
        <v>12142</v>
      </c>
      <c r="D4267" s="528" t="s">
        <v>251</v>
      </c>
      <c r="E4267" s="528"/>
      <c r="F4267" s="528"/>
      <c r="G4267" s="528" t="s">
        <v>208</v>
      </c>
      <c r="H4267"/>
    </row>
    <row r="4268" spans="1:8" x14ac:dyDescent="0.35">
      <c r="A4268" s="528" t="s">
        <v>12143</v>
      </c>
      <c r="B4268" s="528" t="s">
        <v>12144</v>
      </c>
      <c r="C4268" s="528" t="s">
        <v>12145</v>
      </c>
      <c r="D4268" s="528" t="s">
        <v>251</v>
      </c>
      <c r="E4268" s="528"/>
      <c r="F4268" s="528"/>
      <c r="G4268" s="528" t="s">
        <v>208</v>
      </c>
      <c r="H4268"/>
    </row>
    <row r="4269" spans="1:8" x14ac:dyDescent="0.35">
      <c r="A4269" s="528" t="s">
        <v>12146</v>
      </c>
      <c r="B4269" s="528" t="s">
        <v>12147</v>
      </c>
      <c r="C4269" s="528" t="s">
        <v>12148</v>
      </c>
      <c r="D4269" s="528" t="s">
        <v>251</v>
      </c>
      <c r="E4269" s="528"/>
      <c r="F4269" s="528"/>
      <c r="G4269" s="528" t="s">
        <v>208</v>
      </c>
      <c r="H4269"/>
    </row>
    <row r="4270" spans="1:8" x14ac:dyDescent="0.35">
      <c r="A4270" s="528" t="s">
        <v>12149</v>
      </c>
      <c r="B4270" s="528" t="s">
        <v>12150</v>
      </c>
      <c r="C4270" s="528" t="s">
        <v>12151</v>
      </c>
      <c r="D4270" s="528" t="s">
        <v>251</v>
      </c>
      <c r="E4270" s="528"/>
      <c r="F4270" s="528"/>
      <c r="G4270" s="528" t="s">
        <v>208</v>
      </c>
      <c r="H4270"/>
    </row>
    <row r="4271" spans="1:8" x14ac:dyDescent="0.35">
      <c r="A4271" s="528" t="s">
        <v>12152</v>
      </c>
      <c r="B4271" s="528" t="s">
        <v>12153</v>
      </c>
      <c r="C4271" s="528" t="s">
        <v>12154</v>
      </c>
      <c r="D4271" s="528" t="s">
        <v>251</v>
      </c>
      <c r="E4271" s="528"/>
      <c r="F4271" s="528"/>
      <c r="G4271" s="528" t="s">
        <v>208</v>
      </c>
      <c r="H4271"/>
    </row>
    <row r="4272" spans="1:8" x14ac:dyDescent="0.35">
      <c r="A4272" s="528" t="s">
        <v>12155</v>
      </c>
      <c r="B4272" s="528" t="s">
        <v>12156</v>
      </c>
      <c r="C4272" s="528" t="s">
        <v>12157</v>
      </c>
      <c r="D4272" s="528" t="s">
        <v>251</v>
      </c>
      <c r="E4272" s="528"/>
      <c r="F4272" s="528"/>
      <c r="G4272" s="528" t="s">
        <v>208</v>
      </c>
      <c r="H4272"/>
    </row>
    <row r="4273" spans="1:8" x14ac:dyDescent="0.35">
      <c r="A4273" s="528" t="s">
        <v>12158</v>
      </c>
      <c r="B4273" s="528" t="s">
        <v>12159</v>
      </c>
      <c r="C4273" s="528" t="s">
        <v>12160</v>
      </c>
      <c r="D4273" s="528" t="s">
        <v>251</v>
      </c>
      <c r="E4273" s="528"/>
      <c r="F4273" s="528"/>
      <c r="G4273" s="528" t="s">
        <v>205</v>
      </c>
      <c r="H4273"/>
    </row>
    <row r="4274" spans="1:8" x14ac:dyDescent="0.35">
      <c r="A4274" s="528" t="s">
        <v>12161</v>
      </c>
      <c r="B4274" s="528" t="s">
        <v>12162</v>
      </c>
      <c r="C4274" s="528" t="s">
        <v>12163</v>
      </c>
      <c r="D4274" s="528" t="s">
        <v>225</v>
      </c>
      <c r="E4274" s="528"/>
      <c r="F4274" s="528"/>
      <c r="G4274" s="528" t="s">
        <v>205</v>
      </c>
      <c r="H4274"/>
    </row>
    <row r="4275" spans="1:8" x14ac:dyDescent="0.35">
      <c r="A4275" s="528" t="s">
        <v>12164</v>
      </c>
      <c r="B4275" s="528" t="s">
        <v>12165</v>
      </c>
      <c r="C4275" s="528" t="s">
        <v>12166</v>
      </c>
      <c r="D4275" s="528" t="s">
        <v>277</v>
      </c>
      <c r="E4275" s="528"/>
      <c r="F4275" s="528"/>
      <c r="G4275" s="528" t="s">
        <v>205</v>
      </c>
      <c r="H4275"/>
    </row>
    <row r="4276" spans="1:8" x14ac:dyDescent="0.35">
      <c r="A4276" s="528" t="s">
        <v>12167</v>
      </c>
      <c r="B4276" s="528" t="s">
        <v>12168</v>
      </c>
      <c r="C4276" s="528" t="s">
        <v>12169</v>
      </c>
      <c r="D4276" s="528" t="s">
        <v>277</v>
      </c>
      <c r="E4276" s="528"/>
      <c r="F4276" s="528"/>
      <c r="G4276" s="528" t="s">
        <v>208</v>
      </c>
      <c r="H4276"/>
    </row>
    <row r="4277" spans="1:8" x14ac:dyDescent="0.35">
      <c r="A4277" s="528" t="s">
        <v>12170</v>
      </c>
      <c r="B4277" s="528" t="s">
        <v>12171</v>
      </c>
      <c r="C4277" s="528" t="s">
        <v>3318</v>
      </c>
      <c r="D4277" s="528" t="s">
        <v>225</v>
      </c>
      <c r="E4277" s="528"/>
      <c r="F4277" s="528"/>
      <c r="G4277" s="528" t="s">
        <v>205</v>
      </c>
      <c r="H4277"/>
    </row>
    <row r="4278" spans="1:8" x14ac:dyDescent="0.35">
      <c r="A4278" s="528" t="s">
        <v>12172</v>
      </c>
      <c r="B4278" s="528" t="s">
        <v>12173</v>
      </c>
      <c r="C4278" s="528" t="s">
        <v>12174</v>
      </c>
      <c r="D4278" s="528" t="s">
        <v>277</v>
      </c>
      <c r="E4278" s="528"/>
      <c r="F4278" s="528"/>
      <c r="G4278" s="528" t="s">
        <v>208</v>
      </c>
      <c r="H4278"/>
    </row>
    <row r="4279" spans="1:8" x14ac:dyDescent="0.35">
      <c r="A4279" s="528" t="s">
        <v>12175</v>
      </c>
      <c r="B4279" s="528" t="s">
        <v>12176</v>
      </c>
      <c r="C4279" s="528" t="s">
        <v>12177</v>
      </c>
      <c r="D4279" s="528" t="s">
        <v>225</v>
      </c>
      <c r="E4279" s="528"/>
      <c r="F4279" s="528"/>
      <c r="G4279" s="528" t="s">
        <v>208</v>
      </c>
      <c r="H4279"/>
    </row>
    <row r="4280" spans="1:8" x14ac:dyDescent="0.35">
      <c r="A4280" s="528" t="s">
        <v>12178</v>
      </c>
      <c r="B4280" s="528" t="s">
        <v>12179</v>
      </c>
      <c r="C4280" s="528" t="s">
        <v>12180</v>
      </c>
      <c r="D4280" s="528" t="s">
        <v>225</v>
      </c>
      <c r="E4280" s="528" t="s">
        <v>264</v>
      </c>
      <c r="F4280" s="528"/>
      <c r="G4280" s="528" t="s">
        <v>208</v>
      </c>
      <c r="H4280"/>
    </row>
    <row r="4281" spans="1:8" x14ac:dyDescent="0.35">
      <c r="A4281" s="528" t="s">
        <v>12181</v>
      </c>
      <c r="B4281" s="528" t="s">
        <v>12182</v>
      </c>
      <c r="C4281" s="528" t="s">
        <v>12183</v>
      </c>
      <c r="D4281" s="528" t="s">
        <v>264</v>
      </c>
      <c r="E4281" s="528"/>
      <c r="F4281" s="528"/>
      <c r="G4281" s="528" t="s">
        <v>205</v>
      </c>
      <c r="H4281"/>
    </row>
    <row r="4282" spans="1:8" x14ac:dyDescent="0.35">
      <c r="A4282" s="528" t="s">
        <v>12184</v>
      </c>
      <c r="B4282" s="528" t="s">
        <v>12185</v>
      </c>
      <c r="C4282" s="528" t="s">
        <v>12186</v>
      </c>
      <c r="D4282" s="528" t="s">
        <v>277</v>
      </c>
      <c r="E4282" s="528" t="s">
        <v>225</v>
      </c>
      <c r="F4282" s="528"/>
      <c r="G4282" s="528" t="s">
        <v>205</v>
      </c>
      <c r="H4282"/>
    </row>
    <row r="4283" spans="1:8" x14ac:dyDescent="0.35">
      <c r="A4283" s="528" t="s">
        <v>12187</v>
      </c>
      <c r="B4283" s="528" t="s">
        <v>12188</v>
      </c>
      <c r="C4283" s="528" t="s">
        <v>12189</v>
      </c>
      <c r="D4283" s="528" t="s">
        <v>225</v>
      </c>
      <c r="E4283" s="528"/>
      <c r="F4283" s="528"/>
      <c r="G4283" s="528" t="s">
        <v>205</v>
      </c>
      <c r="H4283"/>
    </row>
    <row r="4284" spans="1:8" x14ac:dyDescent="0.35">
      <c r="A4284" s="528" t="s">
        <v>12190</v>
      </c>
      <c r="B4284" s="528" t="s">
        <v>12191</v>
      </c>
      <c r="C4284" s="528" t="s">
        <v>2661</v>
      </c>
      <c r="D4284" s="528" t="s">
        <v>238</v>
      </c>
      <c r="E4284" s="528"/>
      <c r="F4284" s="528"/>
      <c r="G4284" s="528" t="s">
        <v>208</v>
      </c>
      <c r="H4284"/>
    </row>
    <row r="4285" spans="1:8" x14ac:dyDescent="0.35">
      <c r="A4285" s="528" t="s">
        <v>12192</v>
      </c>
      <c r="B4285" s="528" t="s">
        <v>12193</v>
      </c>
      <c r="C4285" s="528" t="s">
        <v>3410</v>
      </c>
      <c r="D4285" s="528" t="s">
        <v>264</v>
      </c>
      <c r="E4285" s="528"/>
      <c r="F4285" s="528"/>
      <c r="G4285" s="528" t="s">
        <v>208</v>
      </c>
      <c r="H4285"/>
    </row>
    <row r="4286" spans="1:8" x14ac:dyDescent="0.35">
      <c r="A4286" s="528" t="s">
        <v>12194</v>
      </c>
      <c r="B4286" s="528" t="s">
        <v>12195</v>
      </c>
      <c r="C4286" s="528" t="s">
        <v>12196</v>
      </c>
      <c r="D4286" s="528" t="s">
        <v>277</v>
      </c>
      <c r="E4286" s="528"/>
      <c r="F4286" s="528"/>
      <c r="G4286" s="528" t="s">
        <v>208</v>
      </c>
      <c r="H4286"/>
    </row>
    <row r="4287" spans="1:8" x14ac:dyDescent="0.35">
      <c r="A4287" s="528" t="s">
        <v>12197</v>
      </c>
      <c r="B4287" s="528" t="s">
        <v>12198</v>
      </c>
      <c r="C4287" s="528" t="s">
        <v>1350</v>
      </c>
      <c r="D4287" s="528" t="s">
        <v>277</v>
      </c>
      <c r="E4287" s="528"/>
      <c r="F4287" s="528"/>
      <c r="G4287" s="528" t="s">
        <v>205</v>
      </c>
      <c r="H4287"/>
    </row>
    <row r="4288" spans="1:8" x14ac:dyDescent="0.35">
      <c r="A4288" s="528" t="s">
        <v>12199</v>
      </c>
      <c r="B4288" s="528" t="s">
        <v>12200</v>
      </c>
      <c r="C4288" s="528" t="s">
        <v>3158</v>
      </c>
      <c r="D4288" s="528" t="s">
        <v>277</v>
      </c>
      <c r="E4288" s="528"/>
      <c r="F4288" s="528"/>
      <c r="G4288" s="528" t="s">
        <v>205</v>
      </c>
      <c r="H4288"/>
    </row>
    <row r="4289" spans="1:8" x14ac:dyDescent="0.35">
      <c r="A4289" s="528" t="s">
        <v>12201</v>
      </c>
      <c r="B4289" s="528" t="s">
        <v>12202</v>
      </c>
      <c r="C4289" s="528" t="s">
        <v>10283</v>
      </c>
      <c r="D4289" s="528" t="s">
        <v>264</v>
      </c>
      <c r="E4289" s="528"/>
      <c r="F4289" s="528"/>
      <c r="G4289" s="528" t="s">
        <v>208</v>
      </c>
      <c r="H4289"/>
    </row>
    <row r="4290" spans="1:8" x14ac:dyDescent="0.35">
      <c r="A4290" s="528" t="s">
        <v>12203</v>
      </c>
      <c r="B4290" s="528" t="s">
        <v>12204</v>
      </c>
      <c r="C4290" s="528" t="s">
        <v>12205</v>
      </c>
      <c r="D4290" s="528" t="s">
        <v>277</v>
      </c>
      <c r="E4290" s="528"/>
      <c r="F4290" s="528"/>
      <c r="G4290" s="528" t="s">
        <v>208</v>
      </c>
      <c r="H4290"/>
    </row>
    <row r="4291" spans="1:8" x14ac:dyDescent="0.35">
      <c r="A4291" s="528" t="s">
        <v>12206</v>
      </c>
      <c r="B4291" s="528" t="s">
        <v>12207</v>
      </c>
      <c r="C4291" s="528" t="s">
        <v>12208</v>
      </c>
      <c r="D4291" s="528" t="s">
        <v>277</v>
      </c>
      <c r="E4291" s="528"/>
      <c r="F4291" s="528"/>
      <c r="G4291" s="528" t="s">
        <v>208</v>
      </c>
      <c r="H4291"/>
    </row>
    <row r="4292" spans="1:8" x14ac:dyDescent="0.35">
      <c r="A4292" s="528" t="s">
        <v>12209</v>
      </c>
      <c r="B4292" s="528" t="s">
        <v>12210</v>
      </c>
      <c r="C4292" s="528" t="s">
        <v>12211</v>
      </c>
      <c r="D4292" s="528" t="s">
        <v>251</v>
      </c>
      <c r="E4292" s="528"/>
      <c r="F4292" s="528"/>
      <c r="G4292" s="528" t="s">
        <v>208</v>
      </c>
      <c r="H4292"/>
    </row>
    <row r="4293" spans="1:8" x14ac:dyDescent="0.35">
      <c r="A4293" s="528" t="s">
        <v>12212</v>
      </c>
      <c r="B4293" s="528" t="s">
        <v>12213</v>
      </c>
      <c r="C4293" s="528" t="s">
        <v>12214</v>
      </c>
      <c r="D4293" s="528" t="s">
        <v>251</v>
      </c>
      <c r="E4293" s="528"/>
      <c r="F4293" s="528"/>
      <c r="G4293" s="528" t="s">
        <v>208</v>
      </c>
      <c r="H4293"/>
    </row>
    <row r="4294" spans="1:8" x14ac:dyDescent="0.35">
      <c r="A4294" s="528" t="s">
        <v>12215</v>
      </c>
      <c r="B4294" s="528" t="s">
        <v>12216</v>
      </c>
      <c r="C4294" s="528" t="s">
        <v>12217</v>
      </c>
      <c r="D4294" s="528" t="s">
        <v>251</v>
      </c>
      <c r="E4294" s="528"/>
      <c r="F4294" s="528"/>
      <c r="G4294" s="528" t="s">
        <v>208</v>
      </c>
      <c r="H4294"/>
    </row>
    <row r="4295" spans="1:8" x14ac:dyDescent="0.35">
      <c r="A4295" s="528" t="s">
        <v>12218</v>
      </c>
      <c r="B4295" s="528" t="s">
        <v>12219</v>
      </c>
      <c r="C4295" s="528" t="s">
        <v>12220</v>
      </c>
      <c r="D4295" s="528" t="s">
        <v>251</v>
      </c>
      <c r="E4295" s="528"/>
      <c r="F4295" s="528"/>
      <c r="G4295" s="528" t="s">
        <v>205</v>
      </c>
      <c r="H4295"/>
    </row>
    <row r="4296" spans="1:8" x14ac:dyDescent="0.35">
      <c r="A4296" s="528" t="s">
        <v>12221</v>
      </c>
      <c r="B4296" s="528" t="s">
        <v>12222</v>
      </c>
      <c r="C4296" s="528" t="s">
        <v>1297</v>
      </c>
      <c r="D4296" s="528" t="s">
        <v>251</v>
      </c>
      <c r="E4296" s="528"/>
      <c r="F4296" s="528"/>
      <c r="G4296" s="528" t="s">
        <v>205</v>
      </c>
      <c r="H4296"/>
    </row>
    <row r="4297" spans="1:8" x14ac:dyDescent="0.35">
      <c r="A4297" s="528" t="s">
        <v>12223</v>
      </c>
      <c r="B4297" s="528" t="s">
        <v>12224</v>
      </c>
      <c r="C4297" s="528" t="s">
        <v>1020</v>
      </c>
      <c r="D4297" s="528" t="s">
        <v>251</v>
      </c>
      <c r="E4297" s="528"/>
      <c r="F4297" s="528"/>
      <c r="G4297" s="528" t="s">
        <v>208</v>
      </c>
      <c r="H4297"/>
    </row>
    <row r="4298" spans="1:8" x14ac:dyDescent="0.35">
      <c r="A4298" s="528" t="s">
        <v>12225</v>
      </c>
      <c r="B4298" s="528" t="s">
        <v>12226</v>
      </c>
      <c r="C4298" s="528" t="s">
        <v>12227</v>
      </c>
      <c r="D4298" s="528" t="s">
        <v>251</v>
      </c>
      <c r="E4298" s="528"/>
      <c r="F4298" s="528"/>
      <c r="G4298" s="528" t="s">
        <v>208</v>
      </c>
      <c r="H4298"/>
    </row>
    <row r="4299" spans="1:8" x14ac:dyDescent="0.35">
      <c r="A4299" s="528" t="s">
        <v>12228</v>
      </c>
      <c r="B4299" s="528" t="s">
        <v>12229</v>
      </c>
      <c r="C4299" s="528" t="s">
        <v>12230</v>
      </c>
      <c r="D4299" s="528" t="s">
        <v>251</v>
      </c>
      <c r="E4299" s="528"/>
      <c r="F4299" s="528"/>
      <c r="G4299" s="528" t="s">
        <v>208</v>
      </c>
      <c r="H4299"/>
    </row>
    <row r="4300" spans="1:8" x14ac:dyDescent="0.35">
      <c r="A4300" s="528" t="s">
        <v>12231</v>
      </c>
      <c r="B4300" s="528" t="s">
        <v>12232</v>
      </c>
      <c r="C4300" s="528" t="s">
        <v>12233</v>
      </c>
      <c r="D4300" s="528" t="s">
        <v>251</v>
      </c>
      <c r="E4300" s="528"/>
      <c r="F4300" s="528"/>
      <c r="G4300" s="528" t="s">
        <v>208</v>
      </c>
      <c r="H4300"/>
    </row>
    <row r="4301" spans="1:8" x14ac:dyDescent="0.35">
      <c r="A4301" s="528" t="s">
        <v>12234</v>
      </c>
      <c r="B4301" s="528" t="s">
        <v>12235</v>
      </c>
      <c r="C4301" s="528" t="s">
        <v>12236</v>
      </c>
      <c r="D4301" s="528" t="s">
        <v>251</v>
      </c>
      <c r="E4301" s="528"/>
      <c r="F4301" s="528"/>
      <c r="G4301" s="528" t="s">
        <v>208</v>
      </c>
      <c r="H4301"/>
    </row>
    <row r="4302" spans="1:8" x14ac:dyDescent="0.35">
      <c r="A4302" s="528" t="s">
        <v>12237</v>
      </c>
      <c r="B4302" s="528" t="s">
        <v>12238</v>
      </c>
      <c r="C4302" s="528" t="s">
        <v>12239</v>
      </c>
      <c r="D4302" s="528" t="s">
        <v>251</v>
      </c>
      <c r="E4302" s="528"/>
      <c r="F4302" s="528"/>
      <c r="G4302" s="528" t="s">
        <v>208</v>
      </c>
      <c r="H4302"/>
    </row>
    <row r="4303" spans="1:8" x14ac:dyDescent="0.35">
      <c r="A4303" s="528" t="s">
        <v>12240</v>
      </c>
      <c r="B4303" s="528" t="s">
        <v>12241</v>
      </c>
      <c r="C4303" s="528" t="s">
        <v>12242</v>
      </c>
      <c r="D4303" s="528" t="s">
        <v>251</v>
      </c>
      <c r="E4303" s="528"/>
      <c r="F4303" s="528"/>
      <c r="G4303" s="528" t="s">
        <v>208</v>
      </c>
      <c r="H4303"/>
    </row>
    <row r="4304" spans="1:8" x14ac:dyDescent="0.35">
      <c r="A4304" s="528" t="s">
        <v>12243</v>
      </c>
      <c r="B4304" s="528" t="s">
        <v>12244</v>
      </c>
      <c r="C4304" s="528" t="s">
        <v>751</v>
      </c>
      <c r="D4304" s="528" t="s">
        <v>251</v>
      </c>
      <c r="E4304" s="528"/>
      <c r="F4304" s="528"/>
      <c r="G4304" s="528" t="s">
        <v>208</v>
      </c>
      <c r="H4304"/>
    </row>
    <row r="4305" spans="1:8" x14ac:dyDescent="0.35">
      <c r="A4305" s="528" t="s">
        <v>12245</v>
      </c>
      <c r="B4305" s="528" t="s">
        <v>12246</v>
      </c>
      <c r="C4305" s="528" t="s">
        <v>12247</v>
      </c>
      <c r="D4305" s="528" t="s">
        <v>277</v>
      </c>
      <c r="E4305" s="528"/>
      <c r="F4305" s="528"/>
      <c r="G4305" s="528" t="s">
        <v>208</v>
      </c>
      <c r="H4305"/>
    </row>
    <row r="4306" spans="1:8" x14ac:dyDescent="0.35">
      <c r="A4306" s="528" t="s">
        <v>12248</v>
      </c>
      <c r="B4306" s="528" t="s">
        <v>12249</v>
      </c>
      <c r="C4306" s="528" t="s">
        <v>12250</v>
      </c>
      <c r="D4306" s="528" t="s">
        <v>277</v>
      </c>
      <c r="E4306" s="528" t="s">
        <v>264</v>
      </c>
      <c r="F4306" s="528"/>
      <c r="G4306" s="528" t="s">
        <v>208</v>
      </c>
      <c r="H4306"/>
    </row>
    <row r="4307" spans="1:8" x14ac:dyDescent="0.35">
      <c r="A4307" s="528" t="s">
        <v>12251</v>
      </c>
      <c r="B4307" s="528" t="s">
        <v>12252</v>
      </c>
      <c r="C4307" s="528" t="s">
        <v>12253</v>
      </c>
      <c r="D4307" s="528" t="s">
        <v>277</v>
      </c>
      <c r="E4307" s="528"/>
      <c r="F4307" s="528"/>
      <c r="G4307" s="528" t="s">
        <v>208</v>
      </c>
      <c r="H4307"/>
    </row>
    <row r="4308" spans="1:8" x14ac:dyDescent="0.35">
      <c r="A4308" s="528" t="s">
        <v>12254</v>
      </c>
      <c r="B4308" s="528" t="s">
        <v>12255</v>
      </c>
      <c r="C4308" s="528" t="s">
        <v>12256</v>
      </c>
      <c r="D4308" s="528" t="s">
        <v>277</v>
      </c>
      <c r="E4308" s="528"/>
      <c r="F4308" s="528"/>
      <c r="G4308" s="528" t="s">
        <v>205</v>
      </c>
      <c r="H4308"/>
    </row>
    <row r="4309" spans="1:8" x14ac:dyDescent="0.35">
      <c r="A4309" s="528" t="s">
        <v>12257</v>
      </c>
      <c r="B4309" s="528" t="s">
        <v>12258</v>
      </c>
      <c r="C4309" s="528" t="s">
        <v>1014</v>
      </c>
      <c r="D4309" s="528" t="s">
        <v>277</v>
      </c>
      <c r="E4309" s="528"/>
      <c r="F4309" s="528"/>
      <c r="G4309" s="528" t="s">
        <v>208</v>
      </c>
      <c r="H4309"/>
    </row>
    <row r="4310" spans="1:8" x14ac:dyDescent="0.35">
      <c r="A4310" s="528" t="s">
        <v>12259</v>
      </c>
      <c r="B4310" s="528" t="s">
        <v>12260</v>
      </c>
      <c r="C4310" s="528" t="s">
        <v>12261</v>
      </c>
      <c r="D4310" s="528" t="s">
        <v>225</v>
      </c>
      <c r="E4310" s="528"/>
      <c r="F4310" s="528"/>
      <c r="G4310" s="528" t="s">
        <v>208</v>
      </c>
      <c r="H4310"/>
    </row>
    <row r="4311" spans="1:8" x14ac:dyDescent="0.35">
      <c r="A4311" s="528" t="s">
        <v>12262</v>
      </c>
      <c r="B4311" s="528" t="s">
        <v>12263</v>
      </c>
      <c r="C4311" s="528" t="s">
        <v>12264</v>
      </c>
      <c r="D4311" s="528" t="s">
        <v>264</v>
      </c>
      <c r="E4311" s="528"/>
      <c r="F4311" s="528"/>
      <c r="G4311" s="528" t="s">
        <v>208</v>
      </c>
      <c r="H4311"/>
    </row>
    <row r="4312" spans="1:8" x14ac:dyDescent="0.35">
      <c r="A4312" s="528" t="s">
        <v>12265</v>
      </c>
      <c r="B4312" s="528" t="s">
        <v>12266</v>
      </c>
      <c r="C4312" s="528" t="s">
        <v>12267</v>
      </c>
      <c r="D4312" s="528" t="s">
        <v>238</v>
      </c>
      <c r="E4312" s="528"/>
      <c r="F4312" s="528"/>
      <c r="G4312" s="528" t="s">
        <v>205</v>
      </c>
      <c r="H4312"/>
    </row>
    <row r="4313" spans="1:8" x14ac:dyDescent="0.35">
      <c r="A4313" s="528" t="s">
        <v>12268</v>
      </c>
      <c r="B4313" s="528" t="s">
        <v>12269</v>
      </c>
      <c r="C4313" s="528" t="s">
        <v>12270</v>
      </c>
      <c r="D4313" s="528" t="s">
        <v>238</v>
      </c>
      <c r="E4313" s="528"/>
      <c r="F4313" s="528"/>
      <c r="G4313" s="528" t="s">
        <v>205</v>
      </c>
      <c r="H4313"/>
    </row>
    <row r="4314" spans="1:8" x14ac:dyDescent="0.35">
      <c r="A4314" s="528" t="s">
        <v>12271</v>
      </c>
      <c r="B4314" s="528" t="s">
        <v>12272</v>
      </c>
      <c r="C4314" s="528" t="s">
        <v>12273</v>
      </c>
      <c r="D4314" s="528" t="s">
        <v>277</v>
      </c>
      <c r="E4314" s="528"/>
      <c r="F4314" s="528"/>
      <c r="G4314" s="528" t="s">
        <v>205</v>
      </c>
      <c r="H4314"/>
    </row>
    <row r="4315" spans="1:8" x14ac:dyDescent="0.35">
      <c r="A4315" s="528" t="s">
        <v>12274</v>
      </c>
      <c r="B4315" s="528" t="s">
        <v>12275</v>
      </c>
      <c r="C4315" s="528" t="s">
        <v>10099</v>
      </c>
      <c r="D4315" s="528" t="s">
        <v>277</v>
      </c>
      <c r="E4315" s="528"/>
      <c r="F4315" s="528"/>
      <c r="G4315" s="528" t="s">
        <v>208</v>
      </c>
      <c r="H4315"/>
    </row>
    <row r="4316" spans="1:8" x14ac:dyDescent="0.35">
      <c r="A4316" s="528" t="s">
        <v>12276</v>
      </c>
      <c r="B4316" s="528" t="s">
        <v>12277</v>
      </c>
      <c r="C4316" s="528" t="s">
        <v>12278</v>
      </c>
      <c r="D4316" s="528" t="s">
        <v>225</v>
      </c>
      <c r="E4316" s="528"/>
      <c r="F4316" s="528"/>
      <c r="G4316" s="528" t="s">
        <v>205</v>
      </c>
      <c r="H4316"/>
    </row>
    <row r="4317" spans="1:8" x14ac:dyDescent="0.35">
      <c r="A4317" s="528" t="s">
        <v>12279</v>
      </c>
      <c r="B4317" s="528" t="s">
        <v>12280</v>
      </c>
      <c r="C4317" s="528" t="s">
        <v>12281</v>
      </c>
      <c r="D4317" s="528" t="s">
        <v>225</v>
      </c>
      <c r="E4317" s="528"/>
      <c r="F4317" s="528"/>
      <c r="G4317" s="528" t="s">
        <v>205</v>
      </c>
      <c r="H4317"/>
    </row>
    <row r="4318" spans="1:8" x14ac:dyDescent="0.35">
      <c r="A4318" s="528" t="s">
        <v>12282</v>
      </c>
      <c r="B4318" s="528" t="s">
        <v>12283</v>
      </c>
      <c r="C4318" s="528" t="s">
        <v>12284</v>
      </c>
      <c r="D4318" s="528" t="s">
        <v>264</v>
      </c>
      <c r="E4318" s="528"/>
      <c r="F4318" s="528"/>
      <c r="G4318" s="528" t="s">
        <v>210</v>
      </c>
      <c r="H4318"/>
    </row>
    <row r="4319" spans="1:8" x14ac:dyDescent="0.35">
      <c r="A4319" s="528" t="s">
        <v>12285</v>
      </c>
      <c r="B4319" s="528" t="s">
        <v>12286</v>
      </c>
      <c r="C4319" s="528" t="s">
        <v>666</v>
      </c>
      <c r="D4319" s="528" t="s">
        <v>225</v>
      </c>
      <c r="E4319" s="528"/>
      <c r="F4319" s="528"/>
      <c r="G4319" s="528" t="s">
        <v>208</v>
      </c>
      <c r="H4319"/>
    </row>
    <row r="4320" spans="1:8" x14ac:dyDescent="0.35">
      <c r="A4320" s="528" t="s">
        <v>12287</v>
      </c>
      <c r="B4320" s="528" t="s">
        <v>12288</v>
      </c>
      <c r="C4320" s="528" t="s">
        <v>12160</v>
      </c>
      <c r="D4320" s="528" t="s">
        <v>251</v>
      </c>
      <c r="E4320" s="528"/>
      <c r="F4320" s="528"/>
      <c r="G4320" s="528" t="s">
        <v>205</v>
      </c>
      <c r="H4320"/>
    </row>
    <row r="4321" spans="1:8" x14ac:dyDescent="0.35">
      <c r="A4321" s="528" t="s">
        <v>12289</v>
      </c>
      <c r="B4321" s="528" t="s">
        <v>12290</v>
      </c>
      <c r="C4321" s="528" t="s">
        <v>12291</v>
      </c>
      <c r="D4321" s="528" t="s">
        <v>264</v>
      </c>
      <c r="E4321" s="528"/>
      <c r="F4321" s="528"/>
      <c r="G4321" s="528" t="s">
        <v>205</v>
      </c>
      <c r="H4321"/>
    </row>
    <row r="4322" spans="1:8" x14ac:dyDescent="0.35">
      <c r="A4322" s="528" t="s">
        <v>12292</v>
      </c>
      <c r="B4322" s="528" t="s">
        <v>12293</v>
      </c>
      <c r="C4322" s="528" t="s">
        <v>471</v>
      </c>
      <c r="D4322" s="528" t="s">
        <v>264</v>
      </c>
      <c r="E4322" s="528"/>
      <c r="F4322" s="528"/>
      <c r="G4322" s="528" t="s">
        <v>205</v>
      </c>
      <c r="H4322"/>
    </row>
    <row r="4323" spans="1:8" x14ac:dyDescent="0.35">
      <c r="A4323" s="528" t="s">
        <v>12294</v>
      </c>
      <c r="B4323" s="528" t="s">
        <v>12295</v>
      </c>
      <c r="C4323" s="528" t="s">
        <v>12296</v>
      </c>
      <c r="D4323" s="528" t="s">
        <v>264</v>
      </c>
      <c r="E4323" s="528"/>
      <c r="F4323" s="528"/>
      <c r="G4323" s="528" t="s">
        <v>205</v>
      </c>
      <c r="H4323"/>
    </row>
    <row r="4324" spans="1:8" x14ac:dyDescent="0.35">
      <c r="A4324" s="528" t="s">
        <v>12297</v>
      </c>
      <c r="B4324" s="528" t="s">
        <v>12298</v>
      </c>
      <c r="C4324" s="528" t="s">
        <v>12299</v>
      </c>
      <c r="D4324" s="528" t="s">
        <v>264</v>
      </c>
      <c r="E4324" s="528"/>
      <c r="F4324" s="528"/>
      <c r="G4324" s="528" t="s">
        <v>205</v>
      </c>
      <c r="H4324"/>
    </row>
    <row r="4325" spans="1:8" x14ac:dyDescent="0.35">
      <c r="A4325" s="528" t="s">
        <v>12300</v>
      </c>
      <c r="B4325" s="528" t="s">
        <v>12301</v>
      </c>
      <c r="C4325" s="528" t="s">
        <v>12302</v>
      </c>
      <c r="D4325" s="528" t="s">
        <v>264</v>
      </c>
      <c r="E4325" s="528"/>
      <c r="F4325" s="528"/>
      <c r="G4325" s="528" t="s">
        <v>205</v>
      </c>
      <c r="H4325"/>
    </row>
    <row r="4326" spans="1:8" x14ac:dyDescent="0.35">
      <c r="A4326" s="528" t="s">
        <v>12303</v>
      </c>
      <c r="B4326" s="528" t="s">
        <v>12304</v>
      </c>
      <c r="C4326" s="528" t="s">
        <v>12305</v>
      </c>
      <c r="D4326" s="528" t="s">
        <v>264</v>
      </c>
      <c r="E4326" s="528"/>
      <c r="F4326" s="528"/>
      <c r="G4326" s="528" t="s">
        <v>205</v>
      </c>
      <c r="H4326"/>
    </row>
    <row r="4327" spans="1:8" x14ac:dyDescent="0.35">
      <c r="A4327" s="528" t="s">
        <v>12306</v>
      </c>
      <c r="B4327" s="528" t="s">
        <v>12307</v>
      </c>
      <c r="C4327" s="528" t="s">
        <v>12308</v>
      </c>
      <c r="D4327" s="528" t="s">
        <v>277</v>
      </c>
      <c r="E4327" s="528"/>
      <c r="F4327" s="528"/>
      <c r="G4327" s="528" t="s">
        <v>205</v>
      </c>
      <c r="H4327"/>
    </row>
    <row r="4328" spans="1:8" x14ac:dyDescent="0.35">
      <c r="A4328" s="528" t="s">
        <v>12309</v>
      </c>
      <c r="B4328" s="528" t="s">
        <v>12310</v>
      </c>
      <c r="C4328" s="528" t="s">
        <v>429</v>
      </c>
      <c r="D4328" s="528" t="s">
        <v>264</v>
      </c>
      <c r="E4328" s="528"/>
      <c r="F4328" s="528"/>
      <c r="G4328" s="528" t="s">
        <v>205</v>
      </c>
      <c r="H4328"/>
    </row>
    <row r="4329" spans="1:8" x14ac:dyDescent="0.35">
      <c r="A4329" s="528" t="s">
        <v>12311</v>
      </c>
      <c r="B4329" s="528" t="s">
        <v>12312</v>
      </c>
      <c r="C4329" s="528" t="s">
        <v>12313</v>
      </c>
      <c r="D4329" s="528" t="s">
        <v>264</v>
      </c>
      <c r="E4329" s="528"/>
      <c r="F4329" s="528"/>
      <c r="G4329" s="528" t="s">
        <v>205</v>
      </c>
      <c r="H4329"/>
    </row>
    <row r="4330" spans="1:8" x14ac:dyDescent="0.35">
      <c r="A4330" s="528" t="s">
        <v>12314</v>
      </c>
      <c r="B4330" s="528" t="s">
        <v>12315</v>
      </c>
      <c r="C4330" s="528" t="s">
        <v>12316</v>
      </c>
      <c r="D4330" s="528" t="s">
        <v>264</v>
      </c>
      <c r="E4330" s="528"/>
      <c r="F4330" s="528"/>
      <c r="G4330" s="528" t="s">
        <v>205</v>
      </c>
      <c r="H4330"/>
    </row>
    <row r="4331" spans="1:8" x14ac:dyDescent="0.35">
      <c r="A4331" s="528" t="s">
        <v>12317</v>
      </c>
      <c r="B4331" s="528" t="s">
        <v>12318</v>
      </c>
      <c r="C4331" s="528" t="s">
        <v>12319</v>
      </c>
      <c r="D4331" s="528" t="s">
        <v>264</v>
      </c>
      <c r="E4331" s="528"/>
      <c r="F4331" s="528"/>
      <c r="G4331" s="528" t="s">
        <v>205</v>
      </c>
      <c r="H4331"/>
    </row>
    <row r="4332" spans="1:8" x14ac:dyDescent="0.35">
      <c r="A4332" s="528" t="s">
        <v>12320</v>
      </c>
      <c r="B4332" s="528" t="s">
        <v>12321</v>
      </c>
      <c r="C4332" s="528" t="s">
        <v>5622</v>
      </c>
      <c r="D4332" s="528" t="s">
        <v>264</v>
      </c>
      <c r="E4332" s="528"/>
      <c r="F4332" s="528"/>
      <c r="G4332" s="528" t="s">
        <v>205</v>
      </c>
      <c r="H4332"/>
    </row>
    <row r="4333" spans="1:8" x14ac:dyDescent="0.35">
      <c r="A4333" s="528" t="s">
        <v>12322</v>
      </c>
      <c r="B4333" s="528" t="s">
        <v>12323</v>
      </c>
      <c r="C4333" s="528" t="s">
        <v>1371</v>
      </c>
      <c r="D4333" s="528" t="s">
        <v>238</v>
      </c>
      <c r="E4333" s="528"/>
      <c r="F4333" s="528"/>
      <c r="G4333" s="528" t="s">
        <v>205</v>
      </c>
      <c r="H4333"/>
    </row>
    <row r="4334" spans="1:8" x14ac:dyDescent="0.35">
      <c r="A4334" s="528" t="s">
        <v>12324</v>
      </c>
      <c r="B4334" s="528" t="s">
        <v>12325</v>
      </c>
      <c r="C4334" s="528" t="s">
        <v>12326</v>
      </c>
      <c r="D4334" s="528" t="s">
        <v>277</v>
      </c>
      <c r="E4334" s="528"/>
      <c r="F4334" s="528"/>
      <c r="G4334" s="528" t="s">
        <v>205</v>
      </c>
      <c r="H4334"/>
    </row>
    <row r="4335" spans="1:8" x14ac:dyDescent="0.35">
      <c r="A4335" s="528" t="s">
        <v>12327</v>
      </c>
      <c r="B4335" s="528" t="s">
        <v>12328</v>
      </c>
      <c r="C4335" s="528" t="s">
        <v>12329</v>
      </c>
      <c r="D4335" s="528" t="s">
        <v>225</v>
      </c>
      <c r="E4335" s="528"/>
      <c r="F4335" s="528"/>
      <c r="G4335" s="528" t="s">
        <v>205</v>
      </c>
      <c r="H4335"/>
    </row>
    <row r="4336" spans="1:8" x14ac:dyDescent="0.35">
      <c r="A4336" s="528" t="s">
        <v>12330</v>
      </c>
      <c r="B4336" s="528" t="s">
        <v>12331</v>
      </c>
      <c r="C4336" s="528" t="s">
        <v>12332</v>
      </c>
      <c r="D4336" s="528" t="s">
        <v>238</v>
      </c>
      <c r="E4336" s="528"/>
      <c r="F4336" s="528"/>
      <c r="G4336" s="528" t="s">
        <v>205</v>
      </c>
      <c r="H4336"/>
    </row>
    <row r="4337" spans="1:8" x14ac:dyDescent="0.35">
      <c r="A4337" s="528" t="s">
        <v>12333</v>
      </c>
      <c r="B4337" s="528" t="s">
        <v>12334</v>
      </c>
      <c r="C4337" s="528" t="s">
        <v>12335</v>
      </c>
      <c r="D4337" s="528" t="s">
        <v>264</v>
      </c>
      <c r="E4337" s="528"/>
      <c r="F4337" s="528"/>
      <c r="G4337" s="528" t="s">
        <v>205</v>
      </c>
      <c r="H4337"/>
    </row>
    <row r="4338" spans="1:8" x14ac:dyDescent="0.35">
      <c r="A4338" s="528" t="s">
        <v>12336</v>
      </c>
      <c r="B4338" s="528" t="s">
        <v>12337</v>
      </c>
      <c r="C4338" s="528" t="s">
        <v>12338</v>
      </c>
      <c r="D4338" s="528" t="s">
        <v>264</v>
      </c>
      <c r="E4338" s="528"/>
      <c r="F4338" s="528"/>
      <c r="G4338" s="528" t="s">
        <v>205</v>
      </c>
      <c r="H4338"/>
    </row>
    <row r="4339" spans="1:8" x14ac:dyDescent="0.35">
      <c r="A4339" s="528" t="s">
        <v>12339</v>
      </c>
      <c r="B4339" s="528" t="s">
        <v>12340</v>
      </c>
      <c r="C4339" s="528" t="s">
        <v>28349</v>
      </c>
      <c r="D4339" s="528" t="s">
        <v>277</v>
      </c>
      <c r="E4339" s="528"/>
      <c r="F4339" s="528"/>
      <c r="G4339" s="528" t="s">
        <v>205</v>
      </c>
      <c r="H4339"/>
    </row>
    <row r="4340" spans="1:8" x14ac:dyDescent="0.35">
      <c r="A4340" s="528" t="s">
        <v>12341</v>
      </c>
      <c r="B4340" s="528" t="s">
        <v>12342</v>
      </c>
      <c r="C4340" s="528" t="s">
        <v>28350</v>
      </c>
      <c r="D4340" s="528" t="s">
        <v>277</v>
      </c>
      <c r="E4340" s="528"/>
      <c r="F4340" s="528"/>
      <c r="G4340" s="528" t="s">
        <v>208</v>
      </c>
      <c r="H4340"/>
    </row>
    <row r="4341" spans="1:8" x14ac:dyDescent="0.35">
      <c r="A4341" s="528" t="s">
        <v>12343</v>
      </c>
      <c r="B4341" s="528" t="s">
        <v>12344</v>
      </c>
      <c r="C4341" s="528" t="s">
        <v>12345</v>
      </c>
      <c r="D4341" s="528" t="s">
        <v>251</v>
      </c>
      <c r="E4341" s="528"/>
      <c r="F4341" s="528"/>
      <c r="G4341" s="528" t="s">
        <v>205</v>
      </c>
      <c r="H4341"/>
    </row>
    <row r="4342" spans="1:8" x14ac:dyDescent="0.35">
      <c r="A4342" s="528" t="s">
        <v>12346</v>
      </c>
      <c r="B4342" s="528" t="s">
        <v>12347</v>
      </c>
      <c r="C4342" s="528" t="s">
        <v>12348</v>
      </c>
      <c r="D4342" s="528" t="s">
        <v>264</v>
      </c>
      <c r="E4342" s="528"/>
      <c r="F4342" s="528"/>
      <c r="G4342" s="528" t="s">
        <v>205</v>
      </c>
      <c r="H4342"/>
    </row>
    <row r="4343" spans="1:8" x14ac:dyDescent="0.35">
      <c r="A4343" s="528" t="s">
        <v>12349</v>
      </c>
      <c r="B4343" s="528" t="s">
        <v>12350</v>
      </c>
      <c r="C4343" s="528" t="s">
        <v>12351</v>
      </c>
      <c r="D4343" s="528" t="s">
        <v>251</v>
      </c>
      <c r="E4343" s="528"/>
      <c r="F4343" s="528"/>
      <c r="G4343" s="528" t="s">
        <v>205</v>
      </c>
      <c r="H4343"/>
    </row>
    <row r="4344" spans="1:8" x14ac:dyDescent="0.35">
      <c r="A4344" s="528" t="s">
        <v>12352</v>
      </c>
      <c r="B4344" s="528" t="s">
        <v>12353</v>
      </c>
      <c r="C4344" s="528" t="s">
        <v>12354</v>
      </c>
      <c r="D4344" s="528" t="s">
        <v>251</v>
      </c>
      <c r="E4344" s="528"/>
      <c r="F4344" s="528"/>
      <c r="G4344" s="528" t="s">
        <v>205</v>
      </c>
      <c r="H4344"/>
    </row>
    <row r="4345" spans="1:8" x14ac:dyDescent="0.35">
      <c r="A4345" s="528" t="s">
        <v>12355</v>
      </c>
      <c r="B4345" s="528" t="s">
        <v>12356</v>
      </c>
      <c r="C4345" s="528" t="s">
        <v>12357</v>
      </c>
      <c r="D4345" s="528" t="s">
        <v>251</v>
      </c>
      <c r="E4345" s="528"/>
      <c r="F4345" s="528"/>
      <c r="G4345" s="528" t="s">
        <v>205</v>
      </c>
      <c r="H4345"/>
    </row>
    <row r="4346" spans="1:8" x14ac:dyDescent="0.35">
      <c r="A4346" s="528" t="s">
        <v>12358</v>
      </c>
      <c r="B4346" s="528" t="s">
        <v>12359</v>
      </c>
      <c r="C4346" s="528" t="s">
        <v>12360</v>
      </c>
      <c r="D4346" s="528" t="s">
        <v>277</v>
      </c>
      <c r="E4346" s="528"/>
      <c r="F4346" s="528"/>
      <c r="G4346" s="528" t="s">
        <v>205</v>
      </c>
      <c r="H4346"/>
    </row>
    <row r="4347" spans="1:8" x14ac:dyDescent="0.35">
      <c r="A4347" s="528" t="s">
        <v>12361</v>
      </c>
      <c r="B4347" s="528" t="s">
        <v>12362</v>
      </c>
      <c r="C4347" s="528" t="s">
        <v>12363</v>
      </c>
      <c r="D4347" s="528" t="s">
        <v>277</v>
      </c>
      <c r="E4347" s="528"/>
      <c r="F4347" s="528"/>
      <c r="G4347" s="528" t="s">
        <v>208</v>
      </c>
      <c r="H4347"/>
    </row>
    <row r="4348" spans="1:8" x14ac:dyDescent="0.35">
      <c r="A4348" s="528" t="s">
        <v>12364</v>
      </c>
      <c r="B4348" s="528" t="s">
        <v>12365</v>
      </c>
      <c r="C4348" s="528" t="s">
        <v>12366</v>
      </c>
      <c r="D4348" s="528" t="s">
        <v>264</v>
      </c>
      <c r="E4348" s="528"/>
      <c r="F4348" s="528"/>
      <c r="G4348" s="528" t="s">
        <v>205</v>
      </c>
      <c r="H4348"/>
    </row>
    <row r="4349" spans="1:8" x14ac:dyDescent="0.35">
      <c r="A4349" s="528" t="s">
        <v>12367</v>
      </c>
      <c r="B4349" s="528" t="s">
        <v>12368</v>
      </c>
      <c r="C4349" s="528" t="s">
        <v>12369</v>
      </c>
      <c r="D4349" s="528" t="s">
        <v>277</v>
      </c>
      <c r="E4349" s="528"/>
      <c r="F4349" s="528"/>
      <c r="G4349" s="528" t="s">
        <v>205</v>
      </c>
      <c r="H4349"/>
    </row>
    <row r="4350" spans="1:8" x14ac:dyDescent="0.35">
      <c r="A4350" s="528" t="s">
        <v>12370</v>
      </c>
      <c r="B4350" s="528" t="s">
        <v>12371</v>
      </c>
      <c r="C4350" s="528" t="s">
        <v>12372</v>
      </c>
      <c r="D4350" s="528" t="s">
        <v>277</v>
      </c>
      <c r="E4350" s="528"/>
      <c r="F4350" s="528"/>
      <c r="G4350" s="528" t="s">
        <v>208</v>
      </c>
      <c r="H4350"/>
    </row>
    <row r="4351" spans="1:8" x14ac:dyDescent="0.35">
      <c r="A4351" s="528" t="s">
        <v>12373</v>
      </c>
      <c r="B4351" s="528" t="s">
        <v>12374</v>
      </c>
      <c r="C4351" s="528" t="s">
        <v>12375</v>
      </c>
      <c r="D4351" s="528" t="s">
        <v>264</v>
      </c>
      <c r="E4351" s="528"/>
      <c r="F4351" s="528"/>
      <c r="G4351" s="528" t="s">
        <v>208</v>
      </c>
      <c r="H4351"/>
    </row>
    <row r="4352" spans="1:8" x14ac:dyDescent="0.35">
      <c r="A4352" s="528" t="s">
        <v>12376</v>
      </c>
      <c r="B4352" s="528" t="s">
        <v>12377</v>
      </c>
      <c r="C4352" s="528" t="s">
        <v>12378</v>
      </c>
      <c r="D4352" s="528" t="s">
        <v>251</v>
      </c>
      <c r="E4352" s="528"/>
      <c r="F4352" s="528"/>
      <c r="G4352" s="528" t="s">
        <v>208</v>
      </c>
      <c r="H4352"/>
    </row>
    <row r="4353" spans="1:8" x14ac:dyDescent="0.35">
      <c r="A4353" s="528" t="s">
        <v>12379</v>
      </c>
      <c r="B4353" s="528" t="s">
        <v>12380</v>
      </c>
      <c r="C4353" s="528" t="s">
        <v>12381</v>
      </c>
      <c r="D4353" s="528" t="s">
        <v>264</v>
      </c>
      <c r="E4353" s="528"/>
      <c r="F4353" s="528"/>
      <c r="G4353" s="528" t="s">
        <v>205</v>
      </c>
      <c r="H4353"/>
    </row>
    <row r="4354" spans="1:8" x14ac:dyDescent="0.35">
      <c r="A4354" s="528" t="s">
        <v>12382</v>
      </c>
      <c r="B4354" s="528" t="s">
        <v>12383</v>
      </c>
      <c r="C4354" s="528" t="s">
        <v>12381</v>
      </c>
      <c r="D4354" s="528" t="s">
        <v>264</v>
      </c>
      <c r="E4354" s="528"/>
      <c r="F4354" s="528"/>
      <c r="G4354" s="528" t="s">
        <v>205</v>
      </c>
      <c r="H4354"/>
    </row>
    <row r="4355" spans="1:8" x14ac:dyDescent="0.35">
      <c r="A4355" s="528" t="s">
        <v>12384</v>
      </c>
      <c r="B4355" s="528" t="s">
        <v>12385</v>
      </c>
      <c r="C4355" s="528" t="s">
        <v>12386</v>
      </c>
      <c r="D4355" s="528" t="s">
        <v>264</v>
      </c>
      <c r="E4355" s="528"/>
      <c r="F4355" s="528"/>
      <c r="G4355" s="528" t="s">
        <v>205</v>
      </c>
      <c r="H4355"/>
    </row>
    <row r="4356" spans="1:8" x14ac:dyDescent="0.35">
      <c r="A4356" s="528" t="s">
        <v>12387</v>
      </c>
      <c r="B4356" s="528" t="s">
        <v>12388</v>
      </c>
      <c r="C4356" s="528" t="s">
        <v>12389</v>
      </c>
      <c r="D4356" s="528" t="s">
        <v>277</v>
      </c>
      <c r="E4356" s="528"/>
      <c r="F4356" s="528"/>
      <c r="G4356" s="528" t="s">
        <v>205</v>
      </c>
      <c r="H4356"/>
    </row>
    <row r="4357" spans="1:8" x14ac:dyDescent="0.35">
      <c r="A4357" s="528" t="s">
        <v>12390</v>
      </c>
      <c r="B4357" s="528" t="s">
        <v>12391</v>
      </c>
      <c r="C4357" s="528" t="s">
        <v>12392</v>
      </c>
      <c r="D4357" s="528" t="s">
        <v>277</v>
      </c>
      <c r="E4357" s="528"/>
      <c r="F4357" s="528"/>
      <c r="G4357" s="528" t="s">
        <v>208</v>
      </c>
      <c r="H4357"/>
    </row>
    <row r="4358" spans="1:8" x14ac:dyDescent="0.35">
      <c r="A4358" s="528" t="s">
        <v>12393</v>
      </c>
      <c r="B4358" s="528" t="s">
        <v>12394</v>
      </c>
      <c r="C4358" s="528" t="s">
        <v>12395</v>
      </c>
      <c r="D4358" s="528" t="s">
        <v>277</v>
      </c>
      <c r="E4358" s="528"/>
      <c r="F4358" s="528"/>
      <c r="G4358" s="528" t="s">
        <v>208</v>
      </c>
      <c r="H4358"/>
    </row>
    <row r="4359" spans="1:8" x14ac:dyDescent="0.35">
      <c r="A4359" s="528" t="s">
        <v>12396</v>
      </c>
      <c r="B4359" s="528" t="s">
        <v>12397</v>
      </c>
      <c r="C4359" s="528" t="s">
        <v>12398</v>
      </c>
      <c r="D4359" s="528" t="s">
        <v>277</v>
      </c>
      <c r="E4359" s="528"/>
      <c r="F4359" s="528"/>
      <c r="G4359" s="528" t="s">
        <v>205</v>
      </c>
      <c r="H4359"/>
    </row>
    <row r="4360" spans="1:8" x14ac:dyDescent="0.35">
      <c r="A4360" s="528" t="s">
        <v>12399</v>
      </c>
      <c r="B4360" s="528" t="s">
        <v>12400</v>
      </c>
      <c r="C4360" s="528" t="s">
        <v>12401</v>
      </c>
      <c r="D4360" s="528" t="s">
        <v>277</v>
      </c>
      <c r="E4360" s="528"/>
      <c r="F4360" s="528"/>
      <c r="G4360" s="528" t="s">
        <v>205</v>
      </c>
      <c r="H4360"/>
    </row>
    <row r="4361" spans="1:8" x14ac:dyDescent="0.35">
      <c r="A4361" s="528" t="s">
        <v>12402</v>
      </c>
      <c r="B4361" s="528" t="s">
        <v>12403</v>
      </c>
      <c r="C4361" s="528" t="s">
        <v>12404</v>
      </c>
      <c r="D4361" s="528" t="s">
        <v>264</v>
      </c>
      <c r="E4361" s="528"/>
      <c r="F4361" s="528"/>
      <c r="G4361" s="528" t="s">
        <v>205</v>
      </c>
      <c r="H4361"/>
    </row>
    <row r="4362" spans="1:8" x14ac:dyDescent="0.35">
      <c r="A4362" s="528" t="s">
        <v>12405</v>
      </c>
      <c r="B4362" s="528" t="s">
        <v>12406</v>
      </c>
      <c r="C4362" s="528" t="s">
        <v>12407</v>
      </c>
      <c r="D4362" s="528" t="s">
        <v>264</v>
      </c>
      <c r="E4362" s="528"/>
      <c r="F4362" s="528"/>
      <c r="G4362" s="528" t="s">
        <v>210</v>
      </c>
      <c r="H4362"/>
    </row>
    <row r="4363" spans="1:8" x14ac:dyDescent="0.35">
      <c r="A4363" s="528" t="s">
        <v>12408</v>
      </c>
      <c r="B4363" s="528" t="s">
        <v>12409</v>
      </c>
      <c r="C4363" s="528" t="s">
        <v>12410</v>
      </c>
      <c r="D4363" s="528" t="s">
        <v>277</v>
      </c>
      <c r="E4363" s="528"/>
      <c r="F4363" s="528"/>
      <c r="G4363" s="528" t="s">
        <v>205</v>
      </c>
      <c r="H4363"/>
    </row>
    <row r="4364" spans="1:8" x14ac:dyDescent="0.35">
      <c r="A4364" s="528" t="s">
        <v>12411</v>
      </c>
      <c r="B4364" s="528" t="s">
        <v>12412</v>
      </c>
      <c r="C4364" s="528" t="s">
        <v>12413</v>
      </c>
      <c r="D4364" s="528" t="s">
        <v>277</v>
      </c>
      <c r="E4364" s="528"/>
      <c r="F4364" s="528"/>
      <c r="G4364" s="528" t="s">
        <v>208</v>
      </c>
      <c r="H4364"/>
    </row>
    <row r="4365" spans="1:8" x14ac:dyDescent="0.35">
      <c r="A4365" s="528" t="s">
        <v>12414</v>
      </c>
      <c r="B4365" s="528" t="s">
        <v>12415</v>
      </c>
      <c r="C4365" s="528" t="s">
        <v>12416</v>
      </c>
      <c r="D4365" s="528" t="s">
        <v>264</v>
      </c>
      <c r="E4365" s="528" t="s">
        <v>277</v>
      </c>
      <c r="F4365" s="528"/>
      <c r="G4365" s="528" t="s">
        <v>208</v>
      </c>
      <c r="H4365"/>
    </row>
    <row r="4366" spans="1:8" x14ac:dyDescent="0.35">
      <c r="A4366" s="528" t="s">
        <v>12417</v>
      </c>
      <c r="B4366" s="528" t="s">
        <v>12418</v>
      </c>
      <c r="C4366" s="528" t="s">
        <v>12419</v>
      </c>
      <c r="D4366" s="528" t="s">
        <v>264</v>
      </c>
      <c r="E4366" s="528"/>
      <c r="F4366" s="528"/>
      <c r="G4366" s="528" t="s">
        <v>208</v>
      </c>
      <c r="H4366"/>
    </row>
    <row r="4367" spans="1:8" x14ac:dyDescent="0.35">
      <c r="A4367" s="528" t="s">
        <v>12420</v>
      </c>
      <c r="B4367" s="528" t="s">
        <v>12421</v>
      </c>
      <c r="C4367" s="528" t="s">
        <v>12422</v>
      </c>
      <c r="D4367" s="528" t="s">
        <v>251</v>
      </c>
      <c r="E4367" s="528"/>
      <c r="F4367" s="528"/>
      <c r="G4367" s="528" t="s">
        <v>208</v>
      </c>
      <c r="H4367"/>
    </row>
    <row r="4368" spans="1:8" x14ac:dyDescent="0.35">
      <c r="A4368" s="528" t="s">
        <v>12423</v>
      </c>
      <c r="B4368" s="528" t="s">
        <v>12424</v>
      </c>
      <c r="C4368" s="528" t="s">
        <v>12425</v>
      </c>
      <c r="D4368" s="528" t="s">
        <v>264</v>
      </c>
      <c r="E4368" s="528"/>
      <c r="F4368" s="528"/>
      <c r="G4368" s="528" t="s">
        <v>208</v>
      </c>
      <c r="H4368"/>
    </row>
    <row r="4369" spans="1:8" x14ac:dyDescent="0.35">
      <c r="A4369" s="528" t="s">
        <v>12426</v>
      </c>
      <c r="B4369" s="528" t="s">
        <v>12427</v>
      </c>
      <c r="C4369" s="528" t="s">
        <v>12428</v>
      </c>
      <c r="D4369" s="528" t="s">
        <v>238</v>
      </c>
      <c r="E4369" s="528"/>
      <c r="F4369" s="528"/>
      <c r="G4369" s="528" t="s">
        <v>205</v>
      </c>
      <c r="H4369"/>
    </row>
    <row r="4370" spans="1:8" x14ac:dyDescent="0.35">
      <c r="A4370" s="528" t="s">
        <v>12429</v>
      </c>
      <c r="B4370" s="528" t="s">
        <v>12430</v>
      </c>
      <c r="C4370" s="528" t="s">
        <v>12431</v>
      </c>
      <c r="D4370" s="528" t="s">
        <v>225</v>
      </c>
      <c r="E4370" s="528"/>
      <c r="F4370" s="528"/>
      <c r="G4370" s="528" t="s">
        <v>205</v>
      </c>
      <c r="H4370"/>
    </row>
    <row r="4371" spans="1:8" x14ac:dyDescent="0.35">
      <c r="A4371" s="528" t="s">
        <v>12432</v>
      </c>
      <c r="B4371" s="528" t="s">
        <v>12433</v>
      </c>
      <c r="C4371" s="528" t="s">
        <v>12434</v>
      </c>
      <c r="D4371" s="528" t="s">
        <v>225</v>
      </c>
      <c r="E4371" s="528"/>
      <c r="F4371" s="528"/>
      <c r="G4371" s="528" t="s">
        <v>205</v>
      </c>
      <c r="H4371"/>
    </row>
    <row r="4372" spans="1:8" x14ac:dyDescent="0.35">
      <c r="A4372" s="528" t="s">
        <v>12435</v>
      </c>
      <c r="B4372" s="528" t="s">
        <v>12436</v>
      </c>
      <c r="C4372" s="528" t="s">
        <v>12437</v>
      </c>
      <c r="D4372" s="528" t="s">
        <v>277</v>
      </c>
      <c r="E4372" s="528"/>
      <c r="F4372" s="528"/>
      <c r="G4372" s="528" t="s">
        <v>205</v>
      </c>
      <c r="H4372"/>
    </row>
    <row r="4373" spans="1:8" x14ac:dyDescent="0.35">
      <c r="A4373" s="528" t="s">
        <v>12438</v>
      </c>
      <c r="B4373" s="528" t="s">
        <v>12439</v>
      </c>
      <c r="C4373" s="528" t="s">
        <v>12440</v>
      </c>
      <c r="D4373" s="528" t="s">
        <v>251</v>
      </c>
      <c r="E4373" s="528"/>
      <c r="F4373" s="528"/>
      <c r="G4373" s="528" t="s">
        <v>208</v>
      </c>
      <c r="H4373"/>
    </row>
    <row r="4374" spans="1:8" x14ac:dyDescent="0.35">
      <c r="A4374" s="528" t="s">
        <v>12441</v>
      </c>
      <c r="B4374" s="528" t="s">
        <v>12442</v>
      </c>
      <c r="C4374" s="528" t="s">
        <v>12443</v>
      </c>
      <c r="D4374" s="528" t="s">
        <v>251</v>
      </c>
      <c r="E4374" s="528"/>
      <c r="F4374" s="528"/>
      <c r="G4374" s="528" t="s">
        <v>208</v>
      </c>
      <c r="H4374"/>
    </row>
    <row r="4375" spans="1:8" x14ac:dyDescent="0.35">
      <c r="A4375" s="528" t="s">
        <v>12444</v>
      </c>
      <c r="B4375" s="528" t="s">
        <v>12445</v>
      </c>
      <c r="C4375" s="528" t="s">
        <v>12446</v>
      </c>
      <c r="D4375" s="528" t="s">
        <v>251</v>
      </c>
      <c r="E4375" s="528"/>
      <c r="F4375" s="528"/>
      <c r="G4375" s="528" t="s">
        <v>208</v>
      </c>
      <c r="H4375"/>
    </row>
    <row r="4376" spans="1:8" x14ac:dyDescent="0.35">
      <c r="A4376" s="528" t="s">
        <v>12447</v>
      </c>
      <c r="B4376" s="528" t="s">
        <v>12448</v>
      </c>
      <c r="C4376" s="528" t="s">
        <v>12449</v>
      </c>
      <c r="D4376" s="528" t="s">
        <v>251</v>
      </c>
      <c r="E4376" s="528"/>
      <c r="F4376" s="528"/>
      <c r="G4376" s="528" t="s">
        <v>208</v>
      </c>
      <c r="H4376"/>
    </row>
    <row r="4377" spans="1:8" x14ac:dyDescent="0.35">
      <c r="A4377" s="528" t="s">
        <v>12450</v>
      </c>
      <c r="B4377" s="528" t="s">
        <v>12451</v>
      </c>
      <c r="C4377" s="528" t="s">
        <v>12452</v>
      </c>
      <c r="D4377" s="528" t="s">
        <v>277</v>
      </c>
      <c r="E4377" s="528"/>
      <c r="F4377" s="528"/>
      <c r="G4377" s="528" t="s">
        <v>208</v>
      </c>
      <c r="H4377"/>
    </row>
    <row r="4378" spans="1:8" x14ac:dyDescent="0.35">
      <c r="A4378" s="528" t="s">
        <v>12453</v>
      </c>
      <c r="B4378" s="528" t="s">
        <v>12454</v>
      </c>
      <c r="C4378" s="528" t="s">
        <v>12455</v>
      </c>
      <c r="D4378" s="528" t="s">
        <v>264</v>
      </c>
      <c r="E4378" s="528"/>
      <c r="F4378" s="528"/>
      <c r="G4378" s="528" t="s">
        <v>208</v>
      </c>
      <c r="H4378"/>
    </row>
    <row r="4379" spans="1:8" x14ac:dyDescent="0.35">
      <c r="A4379" s="528" t="s">
        <v>12456</v>
      </c>
      <c r="B4379" s="528" t="s">
        <v>12457</v>
      </c>
      <c r="C4379" s="528" t="s">
        <v>12458</v>
      </c>
      <c r="D4379" s="528" t="s">
        <v>251</v>
      </c>
      <c r="E4379" s="528"/>
      <c r="F4379" s="528"/>
      <c r="G4379" s="528" t="s">
        <v>205</v>
      </c>
      <c r="H4379"/>
    </row>
    <row r="4380" spans="1:8" x14ac:dyDescent="0.35">
      <c r="A4380" s="528" t="s">
        <v>12459</v>
      </c>
      <c r="B4380" s="528" t="s">
        <v>12460</v>
      </c>
      <c r="C4380" s="528" t="s">
        <v>12461</v>
      </c>
      <c r="D4380" s="528" t="s">
        <v>277</v>
      </c>
      <c r="E4380" s="528"/>
      <c r="F4380" s="528"/>
      <c r="G4380" s="528" t="s">
        <v>205</v>
      </c>
      <c r="H4380"/>
    </row>
    <row r="4381" spans="1:8" x14ac:dyDescent="0.35">
      <c r="A4381" s="528" t="s">
        <v>12462</v>
      </c>
      <c r="B4381" s="528" t="s">
        <v>12463</v>
      </c>
      <c r="C4381" s="528" t="s">
        <v>12464</v>
      </c>
      <c r="D4381" s="528" t="s">
        <v>264</v>
      </c>
      <c r="E4381" s="528"/>
      <c r="F4381" s="528"/>
      <c r="G4381" s="528" t="s">
        <v>205</v>
      </c>
      <c r="H4381"/>
    </row>
    <row r="4382" spans="1:8" x14ac:dyDescent="0.35">
      <c r="A4382" s="528" t="s">
        <v>12465</v>
      </c>
      <c r="B4382" s="528" t="s">
        <v>12466</v>
      </c>
      <c r="C4382" s="528" t="s">
        <v>12467</v>
      </c>
      <c r="D4382" s="528" t="s">
        <v>251</v>
      </c>
      <c r="E4382" s="528"/>
      <c r="F4382" s="528"/>
      <c r="G4382" s="528" t="s">
        <v>205</v>
      </c>
      <c r="H4382"/>
    </row>
    <row r="4383" spans="1:8" x14ac:dyDescent="0.35">
      <c r="A4383" s="528" t="s">
        <v>12468</v>
      </c>
      <c r="B4383" s="528" t="s">
        <v>12469</v>
      </c>
      <c r="C4383" s="528" t="s">
        <v>12470</v>
      </c>
      <c r="D4383" s="528" t="s">
        <v>264</v>
      </c>
      <c r="E4383" s="528"/>
      <c r="F4383" s="528"/>
      <c r="G4383" s="528" t="s">
        <v>205</v>
      </c>
      <c r="H4383"/>
    </row>
    <row r="4384" spans="1:8" x14ac:dyDescent="0.35">
      <c r="A4384" s="528" t="s">
        <v>12471</v>
      </c>
      <c r="B4384" s="528" t="s">
        <v>12472</v>
      </c>
      <c r="C4384" s="528" t="s">
        <v>12473</v>
      </c>
      <c r="D4384" s="528" t="s">
        <v>264</v>
      </c>
      <c r="E4384" s="528"/>
      <c r="F4384" s="528"/>
      <c r="G4384" s="528" t="s">
        <v>205</v>
      </c>
      <c r="H4384"/>
    </row>
    <row r="4385" spans="1:8" x14ac:dyDescent="0.35">
      <c r="A4385" s="528" t="s">
        <v>12474</v>
      </c>
      <c r="B4385" s="528" t="s">
        <v>12475</v>
      </c>
      <c r="C4385" s="528" t="s">
        <v>12476</v>
      </c>
      <c r="D4385" s="528" t="s">
        <v>264</v>
      </c>
      <c r="E4385" s="528"/>
      <c r="F4385" s="528"/>
      <c r="G4385" s="528" t="s">
        <v>205</v>
      </c>
      <c r="H4385"/>
    </row>
    <row r="4386" spans="1:8" x14ac:dyDescent="0.35">
      <c r="A4386" s="528" t="s">
        <v>12477</v>
      </c>
      <c r="B4386" s="528" t="s">
        <v>12478</v>
      </c>
      <c r="C4386" s="528" t="s">
        <v>12479</v>
      </c>
      <c r="D4386" s="528" t="s">
        <v>264</v>
      </c>
      <c r="E4386" s="528"/>
      <c r="F4386" s="528"/>
      <c r="G4386" s="528" t="s">
        <v>205</v>
      </c>
      <c r="H4386"/>
    </row>
    <row r="4387" spans="1:8" x14ac:dyDescent="0.35">
      <c r="A4387" s="528" t="s">
        <v>12480</v>
      </c>
      <c r="B4387" s="528" t="s">
        <v>12481</v>
      </c>
      <c r="C4387" s="528" t="s">
        <v>12482</v>
      </c>
      <c r="D4387" s="528" t="s">
        <v>264</v>
      </c>
      <c r="E4387" s="528"/>
      <c r="F4387" s="528"/>
      <c r="G4387" s="528" t="s">
        <v>205</v>
      </c>
      <c r="H4387"/>
    </row>
    <row r="4388" spans="1:8" x14ac:dyDescent="0.35">
      <c r="A4388" s="528" t="s">
        <v>12483</v>
      </c>
      <c r="B4388" s="528" t="s">
        <v>12484</v>
      </c>
      <c r="C4388" s="528" t="s">
        <v>12485</v>
      </c>
      <c r="D4388" s="528" t="s">
        <v>277</v>
      </c>
      <c r="E4388" s="528"/>
      <c r="F4388" s="528"/>
      <c r="G4388" s="528" t="s">
        <v>208</v>
      </c>
      <c r="H4388"/>
    </row>
    <row r="4389" spans="1:8" x14ac:dyDescent="0.35">
      <c r="A4389" s="528" t="s">
        <v>12486</v>
      </c>
      <c r="B4389" s="528" t="s">
        <v>12487</v>
      </c>
      <c r="C4389" s="528" t="s">
        <v>12488</v>
      </c>
      <c r="D4389" s="528" t="s">
        <v>225</v>
      </c>
      <c r="E4389" s="528"/>
      <c r="F4389" s="528"/>
      <c r="G4389" s="528" t="s">
        <v>205</v>
      </c>
      <c r="H4389"/>
    </row>
    <row r="4390" spans="1:8" x14ac:dyDescent="0.35">
      <c r="A4390" s="528" t="s">
        <v>12489</v>
      </c>
      <c r="B4390" s="528" t="s">
        <v>12490</v>
      </c>
      <c r="C4390" s="528" t="s">
        <v>12491</v>
      </c>
      <c r="D4390" s="528" t="s">
        <v>277</v>
      </c>
      <c r="E4390" s="528"/>
      <c r="F4390" s="528"/>
      <c r="G4390" s="528" t="s">
        <v>205</v>
      </c>
      <c r="H4390"/>
    </row>
    <row r="4391" spans="1:8" x14ac:dyDescent="0.35">
      <c r="A4391" s="528" t="s">
        <v>12492</v>
      </c>
      <c r="B4391" s="528" t="s">
        <v>12493</v>
      </c>
      <c r="C4391" s="528" t="s">
        <v>12494</v>
      </c>
      <c r="D4391" s="528" t="s">
        <v>277</v>
      </c>
      <c r="E4391" s="528"/>
      <c r="F4391" s="528"/>
      <c r="G4391" s="528" t="s">
        <v>205</v>
      </c>
      <c r="H4391"/>
    </row>
    <row r="4392" spans="1:8" x14ac:dyDescent="0.35">
      <c r="A4392" s="528" t="s">
        <v>12495</v>
      </c>
      <c r="B4392" s="528" t="s">
        <v>12496</v>
      </c>
      <c r="C4392" s="528" t="s">
        <v>12497</v>
      </c>
      <c r="D4392" s="528" t="s">
        <v>251</v>
      </c>
      <c r="E4392" s="528"/>
      <c r="F4392" s="528"/>
      <c r="G4392" s="528" t="s">
        <v>205</v>
      </c>
      <c r="H4392"/>
    </row>
    <row r="4393" spans="1:8" x14ac:dyDescent="0.35">
      <c r="A4393" s="528" t="s">
        <v>12498</v>
      </c>
      <c r="B4393" s="528" t="s">
        <v>12499</v>
      </c>
      <c r="C4393" s="528" t="s">
        <v>12500</v>
      </c>
      <c r="D4393" s="528" t="s">
        <v>251</v>
      </c>
      <c r="E4393" s="528"/>
      <c r="F4393" s="528"/>
      <c r="G4393" s="528" t="s">
        <v>205</v>
      </c>
      <c r="H4393"/>
    </row>
    <row r="4394" spans="1:8" x14ac:dyDescent="0.35">
      <c r="A4394" s="528" t="s">
        <v>12501</v>
      </c>
      <c r="B4394" s="528" t="s">
        <v>12502</v>
      </c>
      <c r="C4394" s="528" t="s">
        <v>12503</v>
      </c>
      <c r="D4394" s="528" t="s">
        <v>251</v>
      </c>
      <c r="E4394" s="528"/>
      <c r="F4394" s="528"/>
      <c r="G4394" s="528" t="s">
        <v>205</v>
      </c>
      <c r="H4394"/>
    </row>
    <row r="4395" spans="1:8" x14ac:dyDescent="0.35">
      <c r="A4395" s="528" t="s">
        <v>12504</v>
      </c>
      <c r="B4395" s="528" t="s">
        <v>12505</v>
      </c>
      <c r="C4395" s="528" t="s">
        <v>12506</v>
      </c>
      <c r="D4395" s="528" t="s">
        <v>251</v>
      </c>
      <c r="E4395" s="528"/>
      <c r="F4395" s="528"/>
      <c r="G4395" s="528" t="s">
        <v>205</v>
      </c>
      <c r="H4395"/>
    </row>
    <row r="4396" spans="1:8" x14ac:dyDescent="0.35">
      <c r="A4396" s="528" t="s">
        <v>12507</v>
      </c>
      <c r="B4396" s="528" t="s">
        <v>12508</v>
      </c>
      <c r="C4396" s="528" t="s">
        <v>12494</v>
      </c>
      <c r="D4396" s="528" t="s">
        <v>277</v>
      </c>
      <c r="E4396" s="528"/>
      <c r="F4396" s="528"/>
      <c r="G4396" s="528" t="s">
        <v>205</v>
      </c>
      <c r="H4396"/>
    </row>
    <row r="4397" spans="1:8" x14ac:dyDescent="0.35">
      <c r="A4397" s="528" t="s">
        <v>12509</v>
      </c>
      <c r="B4397" s="528" t="s">
        <v>12510</v>
      </c>
      <c r="C4397" s="528" t="s">
        <v>12511</v>
      </c>
      <c r="D4397" s="528" t="s">
        <v>264</v>
      </c>
      <c r="E4397" s="528"/>
      <c r="F4397" s="528"/>
      <c r="G4397" s="528" t="s">
        <v>205</v>
      </c>
      <c r="H4397"/>
    </row>
    <row r="4398" spans="1:8" x14ac:dyDescent="0.35">
      <c r="A4398" s="528" t="s">
        <v>12512</v>
      </c>
      <c r="B4398" s="528" t="s">
        <v>12513</v>
      </c>
      <c r="C4398" s="528" t="s">
        <v>12514</v>
      </c>
      <c r="D4398" s="528" t="s">
        <v>238</v>
      </c>
      <c r="E4398" s="528"/>
      <c r="F4398" s="528"/>
      <c r="G4398" s="528" t="s">
        <v>205</v>
      </c>
      <c r="H4398"/>
    </row>
    <row r="4399" spans="1:8" x14ac:dyDescent="0.35">
      <c r="A4399" s="528" t="s">
        <v>12515</v>
      </c>
      <c r="B4399" s="528" t="s">
        <v>12516</v>
      </c>
      <c r="C4399" s="528" t="s">
        <v>12517</v>
      </c>
      <c r="D4399" s="528" t="s">
        <v>238</v>
      </c>
      <c r="E4399" s="528"/>
      <c r="F4399" s="528"/>
      <c r="G4399" s="528" t="s">
        <v>205</v>
      </c>
      <c r="H4399"/>
    </row>
    <row r="4400" spans="1:8" x14ac:dyDescent="0.35">
      <c r="A4400" s="528" t="s">
        <v>12518</v>
      </c>
      <c r="B4400" s="528" t="s">
        <v>12519</v>
      </c>
      <c r="C4400" s="528" t="s">
        <v>12520</v>
      </c>
      <c r="D4400" s="528" t="s">
        <v>251</v>
      </c>
      <c r="E4400" s="528"/>
      <c r="F4400" s="528"/>
      <c r="G4400" s="528" t="s">
        <v>208</v>
      </c>
      <c r="H4400"/>
    </row>
    <row r="4401" spans="1:8" x14ac:dyDescent="0.35">
      <c r="A4401" s="528" t="s">
        <v>12521</v>
      </c>
      <c r="B4401" s="528" t="s">
        <v>12522</v>
      </c>
      <c r="C4401" s="528" t="s">
        <v>12523</v>
      </c>
      <c r="D4401" s="528" t="s">
        <v>264</v>
      </c>
      <c r="E4401" s="528"/>
      <c r="F4401" s="528"/>
      <c r="G4401" s="528" t="s">
        <v>208</v>
      </c>
      <c r="H4401"/>
    </row>
    <row r="4402" spans="1:8" x14ac:dyDescent="0.35">
      <c r="A4402" s="528" t="s">
        <v>12524</v>
      </c>
      <c r="B4402" s="528" t="s">
        <v>12525</v>
      </c>
      <c r="C4402" s="528" t="s">
        <v>12526</v>
      </c>
      <c r="D4402" s="528" t="s">
        <v>251</v>
      </c>
      <c r="E4402" s="528"/>
      <c r="F4402" s="528"/>
      <c r="G4402" s="528" t="s">
        <v>208</v>
      </c>
      <c r="H4402"/>
    </row>
    <row r="4403" spans="1:8" x14ac:dyDescent="0.35">
      <c r="A4403" s="528" t="s">
        <v>12527</v>
      </c>
      <c r="B4403" s="528" t="s">
        <v>12528</v>
      </c>
      <c r="C4403" s="528" t="s">
        <v>12529</v>
      </c>
      <c r="D4403" s="528" t="s">
        <v>251</v>
      </c>
      <c r="E4403" s="528"/>
      <c r="F4403" s="528"/>
      <c r="G4403" s="528" t="s">
        <v>208</v>
      </c>
      <c r="H4403"/>
    </row>
    <row r="4404" spans="1:8" x14ac:dyDescent="0.35">
      <c r="A4404" s="528" t="s">
        <v>12530</v>
      </c>
      <c r="B4404" s="528" t="s">
        <v>12531</v>
      </c>
      <c r="C4404" s="528" t="s">
        <v>12532</v>
      </c>
      <c r="D4404" s="528" t="s">
        <v>225</v>
      </c>
      <c r="E4404" s="528"/>
      <c r="F4404" s="528"/>
      <c r="G4404" s="528" t="s">
        <v>205</v>
      </c>
      <c r="H4404"/>
    </row>
    <row r="4405" spans="1:8" x14ac:dyDescent="0.35">
      <c r="A4405" s="528" t="s">
        <v>12533</v>
      </c>
      <c r="B4405" s="528" t="s">
        <v>12534</v>
      </c>
      <c r="C4405" s="528" t="s">
        <v>12535</v>
      </c>
      <c r="D4405" s="528" t="s">
        <v>277</v>
      </c>
      <c r="E4405" s="528"/>
      <c r="F4405" s="528"/>
      <c r="G4405" s="528" t="s">
        <v>205</v>
      </c>
      <c r="H4405"/>
    </row>
    <row r="4406" spans="1:8" x14ac:dyDescent="0.35">
      <c r="A4406" s="528" t="s">
        <v>12536</v>
      </c>
      <c r="B4406" s="528" t="s">
        <v>12537</v>
      </c>
      <c r="C4406" s="528" t="s">
        <v>12538</v>
      </c>
      <c r="D4406" s="528" t="s">
        <v>251</v>
      </c>
      <c r="E4406" s="528"/>
      <c r="F4406" s="528"/>
      <c r="G4406" s="528" t="s">
        <v>205</v>
      </c>
      <c r="H4406"/>
    </row>
    <row r="4407" spans="1:8" x14ac:dyDescent="0.35">
      <c r="A4407" s="528" t="s">
        <v>12539</v>
      </c>
      <c r="B4407" s="528" t="s">
        <v>12540</v>
      </c>
      <c r="C4407" s="528" t="s">
        <v>12541</v>
      </c>
      <c r="D4407" s="528" t="s">
        <v>238</v>
      </c>
      <c r="E4407" s="528"/>
      <c r="F4407" s="528"/>
      <c r="G4407" s="528" t="s">
        <v>205</v>
      </c>
      <c r="H4407"/>
    </row>
    <row r="4408" spans="1:8" x14ac:dyDescent="0.35">
      <c r="A4408" s="528" t="s">
        <v>12542</v>
      </c>
      <c r="B4408" s="528" t="s">
        <v>12543</v>
      </c>
      <c r="C4408" s="528" t="s">
        <v>12544</v>
      </c>
      <c r="D4408" s="528" t="s">
        <v>225</v>
      </c>
      <c r="E4408" s="528" t="s">
        <v>264</v>
      </c>
      <c r="F4408" s="528"/>
      <c r="G4408" s="528" t="s">
        <v>208</v>
      </c>
      <c r="H4408"/>
    </row>
    <row r="4409" spans="1:8" x14ac:dyDescent="0.35">
      <c r="A4409" s="528" t="s">
        <v>12545</v>
      </c>
      <c r="B4409" s="528" t="s">
        <v>12546</v>
      </c>
      <c r="C4409" s="528" t="s">
        <v>12547</v>
      </c>
      <c r="D4409" s="528" t="s">
        <v>225</v>
      </c>
      <c r="E4409" s="528" t="s">
        <v>264</v>
      </c>
      <c r="F4409" s="528"/>
      <c r="G4409" s="528" t="s">
        <v>205</v>
      </c>
      <c r="H4409"/>
    </row>
    <row r="4410" spans="1:8" x14ac:dyDescent="0.35">
      <c r="A4410" s="528" t="s">
        <v>12548</v>
      </c>
      <c r="B4410" s="528" t="s">
        <v>12549</v>
      </c>
      <c r="C4410" s="528" t="s">
        <v>12550</v>
      </c>
      <c r="D4410" s="528" t="s">
        <v>251</v>
      </c>
      <c r="E4410" s="528"/>
      <c r="F4410" s="528"/>
      <c r="G4410" s="528" t="s">
        <v>208</v>
      </c>
      <c r="H4410"/>
    </row>
    <row r="4411" spans="1:8" x14ac:dyDescent="0.35">
      <c r="A4411" s="528" t="s">
        <v>12551</v>
      </c>
      <c r="B4411" s="528" t="s">
        <v>12552</v>
      </c>
      <c r="C4411" s="528" t="s">
        <v>12553</v>
      </c>
      <c r="D4411" s="528" t="s">
        <v>251</v>
      </c>
      <c r="E4411" s="528"/>
      <c r="F4411" s="528"/>
      <c r="G4411" s="528" t="s">
        <v>208</v>
      </c>
      <c r="H4411"/>
    </row>
    <row r="4412" spans="1:8" x14ac:dyDescent="0.35">
      <c r="A4412" s="528" t="s">
        <v>12554</v>
      </c>
      <c r="B4412" s="528" t="s">
        <v>12555</v>
      </c>
      <c r="C4412" s="528" t="s">
        <v>12556</v>
      </c>
      <c r="D4412" s="528" t="s">
        <v>225</v>
      </c>
      <c r="E4412" s="528"/>
      <c r="F4412" s="528"/>
      <c r="G4412" s="528" t="s">
        <v>205</v>
      </c>
      <c r="H4412"/>
    </row>
    <row r="4413" spans="1:8" x14ac:dyDescent="0.35">
      <c r="A4413" s="528" t="s">
        <v>12557</v>
      </c>
      <c r="B4413" s="528" t="s">
        <v>12558</v>
      </c>
      <c r="C4413" s="528" t="s">
        <v>12559</v>
      </c>
      <c r="D4413" s="528" t="s">
        <v>264</v>
      </c>
      <c r="E4413" s="528"/>
      <c r="F4413" s="528"/>
      <c r="G4413" s="528" t="s">
        <v>205</v>
      </c>
      <c r="H4413"/>
    </row>
    <row r="4414" spans="1:8" x14ac:dyDescent="0.35">
      <c r="A4414" s="528" t="s">
        <v>12560</v>
      </c>
      <c r="B4414" s="528" t="s">
        <v>12561</v>
      </c>
      <c r="C4414" s="528" t="s">
        <v>12562</v>
      </c>
      <c r="D4414" s="528" t="s">
        <v>277</v>
      </c>
      <c r="E4414" s="528"/>
      <c r="F4414" s="528"/>
      <c r="G4414" s="528" t="s">
        <v>208</v>
      </c>
      <c r="H4414"/>
    </row>
    <row r="4415" spans="1:8" x14ac:dyDescent="0.35">
      <c r="A4415" s="528" t="s">
        <v>12563</v>
      </c>
      <c r="B4415" s="528" t="s">
        <v>12564</v>
      </c>
      <c r="C4415" s="528" t="s">
        <v>12565</v>
      </c>
      <c r="D4415" s="528" t="s">
        <v>277</v>
      </c>
      <c r="E4415" s="528"/>
      <c r="F4415" s="528"/>
      <c r="G4415" s="528" t="s">
        <v>208</v>
      </c>
      <c r="H4415"/>
    </row>
    <row r="4416" spans="1:8" x14ac:dyDescent="0.35">
      <c r="A4416" s="528" t="s">
        <v>12566</v>
      </c>
      <c r="B4416" s="528" t="s">
        <v>12567</v>
      </c>
      <c r="C4416" s="528" t="s">
        <v>12568</v>
      </c>
      <c r="D4416" s="528" t="s">
        <v>264</v>
      </c>
      <c r="E4416" s="528"/>
      <c r="F4416" s="528"/>
      <c r="G4416" s="528" t="s">
        <v>208</v>
      </c>
      <c r="H4416"/>
    </row>
    <row r="4417" spans="1:8" x14ac:dyDescent="0.35">
      <c r="A4417" s="528" t="s">
        <v>12569</v>
      </c>
      <c r="B4417" s="528" t="s">
        <v>12570</v>
      </c>
      <c r="C4417" s="528" t="s">
        <v>12571</v>
      </c>
      <c r="D4417" s="528" t="s">
        <v>264</v>
      </c>
      <c r="E4417" s="528"/>
      <c r="F4417" s="528"/>
      <c r="G4417" s="528" t="s">
        <v>208</v>
      </c>
      <c r="H4417"/>
    </row>
    <row r="4418" spans="1:8" x14ac:dyDescent="0.35">
      <c r="A4418" s="528" t="s">
        <v>12572</v>
      </c>
      <c r="B4418" s="528" t="s">
        <v>12573</v>
      </c>
      <c r="C4418" s="528" t="s">
        <v>12574</v>
      </c>
      <c r="D4418" s="528" t="s">
        <v>264</v>
      </c>
      <c r="E4418" s="528"/>
      <c r="F4418" s="528"/>
      <c r="G4418" s="528" t="s">
        <v>208</v>
      </c>
      <c r="H4418"/>
    </row>
    <row r="4419" spans="1:8" x14ac:dyDescent="0.35">
      <c r="A4419" s="528" t="s">
        <v>12575</v>
      </c>
      <c r="B4419" s="528" t="s">
        <v>12576</v>
      </c>
      <c r="C4419" s="528" t="s">
        <v>12577</v>
      </c>
      <c r="D4419" s="528" t="s">
        <v>264</v>
      </c>
      <c r="E4419" s="528"/>
      <c r="F4419" s="528"/>
      <c r="G4419" s="528" t="s">
        <v>205</v>
      </c>
      <c r="H4419"/>
    </row>
    <row r="4420" spans="1:8" x14ac:dyDescent="0.35">
      <c r="A4420" s="528" t="s">
        <v>12578</v>
      </c>
      <c r="B4420" s="528" t="s">
        <v>12579</v>
      </c>
      <c r="C4420" s="528" t="s">
        <v>12580</v>
      </c>
      <c r="D4420" s="528" t="s">
        <v>264</v>
      </c>
      <c r="E4420" s="528"/>
      <c r="F4420" s="528"/>
      <c r="G4420" s="528" t="s">
        <v>210</v>
      </c>
      <c r="H4420"/>
    </row>
    <row r="4421" spans="1:8" x14ac:dyDescent="0.35">
      <c r="A4421" s="528" t="s">
        <v>12581</v>
      </c>
      <c r="B4421" s="528" t="s">
        <v>12582</v>
      </c>
      <c r="C4421" s="528" t="s">
        <v>12583</v>
      </c>
      <c r="D4421" s="528" t="s">
        <v>225</v>
      </c>
      <c r="E4421" s="528"/>
      <c r="F4421" s="528"/>
      <c r="G4421" s="528" t="s">
        <v>205</v>
      </c>
      <c r="H4421"/>
    </row>
    <row r="4422" spans="1:8" x14ac:dyDescent="0.35">
      <c r="A4422" s="528" t="s">
        <v>12584</v>
      </c>
      <c r="B4422" s="528" t="s">
        <v>12585</v>
      </c>
      <c r="C4422" s="528" t="s">
        <v>12586</v>
      </c>
      <c r="D4422" s="528" t="s">
        <v>277</v>
      </c>
      <c r="E4422" s="528"/>
      <c r="F4422" s="528"/>
      <c r="G4422" s="528" t="s">
        <v>205</v>
      </c>
      <c r="H4422"/>
    </row>
    <row r="4423" spans="1:8" x14ac:dyDescent="0.35">
      <c r="A4423" s="528" t="s">
        <v>12587</v>
      </c>
      <c r="B4423" s="528" t="s">
        <v>12588</v>
      </c>
      <c r="C4423" s="528" t="s">
        <v>12589</v>
      </c>
      <c r="D4423" s="528" t="s">
        <v>277</v>
      </c>
      <c r="E4423" s="528"/>
      <c r="F4423" s="528"/>
      <c r="G4423" s="528" t="s">
        <v>208</v>
      </c>
      <c r="H4423"/>
    </row>
    <row r="4424" spans="1:8" x14ac:dyDescent="0.35">
      <c r="A4424" s="528" t="s">
        <v>12590</v>
      </c>
      <c r="B4424" s="528" t="s">
        <v>12591</v>
      </c>
      <c r="C4424" s="528" t="s">
        <v>12592</v>
      </c>
      <c r="D4424" s="528" t="s">
        <v>264</v>
      </c>
      <c r="E4424" s="528"/>
      <c r="F4424" s="528"/>
      <c r="G4424" s="528" t="s">
        <v>208</v>
      </c>
      <c r="H4424"/>
    </row>
    <row r="4425" spans="1:8" x14ac:dyDescent="0.35">
      <c r="A4425" s="528" t="s">
        <v>12593</v>
      </c>
      <c r="B4425" s="528" t="s">
        <v>12594</v>
      </c>
      <c r="C4425" s="528" t="s">
        <v>12595</v>
      </c>
      <c r="D4425" s="528" t="s">
        <v>264</v>
      </c>
      <c r="E4425" s="528"/>
      <c r="F4425" s="528"/>
      <c r="G4425" s="528" t="s">
        <v>208</v>
      </c>
      <c r="H4425"/>
    </row>
    <row r="4426" spans="1:8" x14ac:dyDescent="0.35">
      <c r="A4426" s="528" t="s">
        <v>12596</v>
      </c>
      <c r="B4426" s="528" t="s">
        <v>12597</v>
      </c>
      <c r="C4426" s="528" t="s">
        <v>12598</v>
      </c>
      <c r="D4426" s="528" t="s">
        <v>264</v>
      </c>
      <c r="E4426" s="528"/>
      <c r="F4426" s="528"/>
      <c r="G4426" s="528" t="s">
        <v>208</v>
      </c>
      <c r="H4426"/>
    </row>
    <row r="4427" spans="1:8" x14ac:dyDescent="0.35">
      <c r="A4427" s="528" t="s">
        <v>12599</v>
      </c>
      <c r="B4427" s="528" t="s">
        <v>12600</v>
      </c>
      <c r="C4427" s="528" t="s">
        <v>12601</v>
      </c>
      <c r="D4427" s="528" t="s">
        <v>264</v>
      </c>
      <c r="E4427" s="528"/>
      <c r="F4427" s="528"/>
      <c r="G4427" s="528" t="s">
        <v>208</v>
      </c>
      <c r="H4427"/>
    </row>
    <row r="4428" spans="1:8" x14ac:dyDescent="0.35">
      <c r="A4428" s="528" t="s">
        <v>12602</v>
      </c>
      <c r="B4428" s="528" t="s">
        <v>12603</v>
      </c>
      <c r="C4428" s="528" t="s">
        <v>12604</v>
      </c>
      <c r="D4428" s="528" t="s">
        <v>225</v>
      </c>
      <c r="E4428" s="528"/>
      <c r="F4428" s="528"/>
      <c r="G4428" s="528" t="s">
        <v>205</v>
      </c>
      <c r="H4428"/>
    </row>
    <row r="4429" spans="1:8" x14ac:dyDescent="0.35">
      <c r="A4429" s="528" t="s">
        <v>12605</v>
      </c>
      <c r="B4429" s="528" t="s">
        <v>12606</v>
      </c>
      <c r="C4429" s="528" t="s">
        <v>12607</v>
      </c>
      <c r="D4429" s="528" t="s">
        <v>264</v>
      </c>
      <c r="E4429" s="528"/>
      <c r="F4429" s="528"/>
      <c r="G4429" s="528" t="s">
        <v>205</v>
      </c>
      <c r="H4429"/>
    </row>
    <row r="4430" spans="1:8" x14ac:dyDescent="0.35">
      <c r="A4430" s="528" t="s">
        <v>12608</v>
      </c>
      <c r="B4430" s="528" t="s">
        <v>12609</v>
      </c>
      <c r="C4430" s="528" t="s">
        <v>12610</v>
      </c>
      <c r="D4430" s="528" t="s">
        <v>277</v>
      </c>
      <c r="E4430" s="528"/>
      <c r="F4430" s="528"/>
      <c r="G4430" s="528" t="s">
        <v>205</v>
      </c>
      <c r="H4430"/>
    </row>
    <row r="4431" spans="1:8" x14ac:dyDescent="0.35">
      <c r="A4431" s="528" t="s">
        <v>12611</v>
      </c>
      <c r="B4431" s="528" t="s">
        <v>12612</v>
      </c>
      <c r="C4431" s="528" t="s">
        <v>12613</v>
      </c>
      <c r="D4431" s="528" t="s">
        <v>277</v>
      </c>
      <c r="E4431" s="528"/>
      <c r="F4431" s="528"/>
      <c r="G4431" s="528" t="s">
        <v>214</v>
      </c>
      <c r="H4431"/>
    </row>
    <row r="4432" spans="1:8" x14ac:dyDescent="0.35">
      <c r="A4432" s="528" t="s">
        <v>12614</v>
      </c>
      <c r="B4432" s="528" t="s">
        <v>12615</v>
      </c>
      <c r="C4432" s="528" t="s">
        <v>12616</v>
      </c>
      <c r="D4432" s="528" t="s">
        <v>277</v>
      </c>
      <c r="E4432" s="528"/>
      <c r="F4432" s="528"/>
      <c r="G4432" s="528" t="s">
        <v>205</v>
      </c>
      <c r="H4432"/>
    </row>
    <row r="4433" spans="1:8" x14ac:dyDescent="0.35">
      <c r="A4433" s="528" t="s">
        <v>12617</v>
      </c>
      <c r="B4433" s="528" t="s">
        <v>12618</v>
      </c>
      <c r="C4433" s="528" t="s">
        <v>12619</v>
      </c>
      <c r="D4433" s="528" t="s">
        <v>277</v>
      </c>
      <c r="E4433" s="528"/>
      <c r="F4433" s="528"/>
      <c r="G4433" s="528" t="s">
        <v>208</v>
      </c>
      <c r="H4433"/>
    </row>
    <row r="4434" spans="1:8" x14ac:dyDescent="0.35">
      <c r="A4434" s="528" t="s">
        <v>12620</v>
      </c>
      <c r="B4434" s="528" t="s">
        <v>12621</v>
      </c>
      <c r="C4434" s="528" t="s">
        <v>12622</v>
      </c>
      <c r="D4434" s="528" t="s">
        <v>225</v>
      </c>
      <c r="E4434" s="528"/>
      <c r="F4434" s="528"/>
      <c r="G4434" s="528" t="s">
        <v>205</v>
      </c>
      <c r="H4434"/>
    </row>
    <row r="4435" spans="1:8" x14ac:dyDescent="0.35">
      <c r="A4435" s="528" t="s">
        <v>12623</v>
      </c>
      <c r="B4435" s="528" t="s">
        <v>12624</v>
      </c>
      <c r="C4435" s="528" t="s">
        <v>12625</v>
      </c>
      <c r="D4435" s="528" t="s">
        <v>225</v>
      </c>
      <c r="E4435" s="528"/>
      <c r="F4435" s="528"/>
      <c r="G4435" s="528" t="s">
        <v>205</v>
      </c>
      <c r="H4435"/>
    </row>
    <row r="4436" spans="1:8" x14ac:dyDescent="0.35">
      <c r="A4436" s="528" t="s">
        <v>12626</v>
      </c>
      <c r="B4436" s="528" t="s">
        <v>12627</v>
      </c>
      <c r="C4436" s="528" t="s">
        <v>12628</v>
      </c>
      <c r="D4436" s="528" t="s">
        <v>225</v>
      </c>
      <c r="E4436" s="528"/>
      <c r="F4436" s="528"/>
      <c r="G4436" s="528" t="s">
        <v>205</v>
      </c>
      <c r="H4436"/>
    </row>
    <row r="4437" spans="1:8" x14ac:dyDescent="0.35">
      <c r="A4437" s="528" t="s">
        <v>12629</v>
      </c>
      <c r="B4437" s="528" t="s">
        <v>12630</v>
      </c>
      <c r="C4437" s="528" t="s">
        <v>12631</v>
      </c>
      <c r="D4437" s="528" t="s">
        <v>225</v>
      </c>
      <c r="E4437" s="528"/>
      <c r="F4437" s="528"/>
      <c r="G4437" s="528" t="s">
        <v>205</v>
      </c>
      <c r="H4437"/>
    </row>
    <row r="4438" spans="1:8" x14ac:dyDescent="0.35">
      <c r="A4438" s="528" t="s">
        <v>12632</v>
      </c>
      <c r="B4438" s="528" t="s">
        <v>12633</v>
      </c>
      <c r="C4438" s="528" t="s">
        <v>12634</v>
      </c>
      <c r="D4438" s="528" t="s">
        <v>225</v>
      </c>
      <c r="E4438" s="528"/>
      <c r="F4438" s="528"/>
      <c r="G4438" s="528" t="s">
        <v>205</v>
      </c>
      <c r="H4438"/>
    </row>
    <row r="4439" spans="1:8" x14ac:dyDescent="0.35">
      <c r="A4439" s="528" t="s">
        <v>12635</v>
      </c>
      <c r="B4439" s="528" t="s">
        <v>12636</v>
      </c>
      <c r="C4439" s="528" t="s">
        <v>12637</v>
      </c>
      <c r="D4439" s="528" t="s">
        <v>225</v>
      </c>
      <c r="E4439" s="528"/>
      <c r="F4439" s="528"/>
      <c r="G4439" s="528" t="s">
        <v>205</v>
      </c>
      <c r="H4439"/>
    </row>
    <row r="4440" spans="1:8" x14ac:dyDescent="0.35">
      <c r="A4440" s="528" t="s">
        <v>12638</v>
      </c>
      <c r="B4440" s="528" t="s">
        <v>12639</v>
      </c>
      <c r="C4440" s="528" t="s">
        <v>12640</v>
      </c>
      <c r="D4440" s="528" t="s">
        <v>225</v>
      </c>
      <c r="E4440" s="528"/>
      <c r="F4440" s="528"/>
      <c r="G4440" s="528" t="s">
        <v>205</v>
      </c>
      <c r="H4440"/>
    </row>
    <row r="4441" spans="1:8" x14ac:dyDescent="0.35">
      <c r="A4441" s="528" t="s">
        <v>12641</v>
      </c>
      <c r="B4441" s="528" t="s">
        <v>12642</v>
      </c>
      <c r="C4441" s="528" t="s">
        <v>12643</v>
      </c>
      <c r="D4441" s="528" t="s">
        <v>225</v>
      </c>
      <c r="E4441" s="528"/>
      <c r="F4441" s="528"/>
      <c r="G4441" s="528" t="s">
        <v>205</v>
      </c>
      <c r="H4441"/>
    </row>
    <row r="4442" spans="1:8" x14ac:dyDescent="0.35">
      <c r="A4442" s="528" t="s">
        <v>12644</v>
      </c>
      <c r="B4442" s="528" t="s">
        <v>12645</v>
      </c>
      <c r="C4442" s="528" t="s">
        <v>12646</v>
      </c>
      <c r="D4442" s="528" t="s">
        <v>225</v>
      </c>
      <c r="E4442" s="528"/>
      <c r="F4442" s="528"/>
      <c r="G4442" s="528" t="s">
        <v>205</v>
      </c>
      <c r="H4442"/>
    </row>
    <row r="4443" spans="1:8" x14ac:dyDescent="0.35">
      <c r="A4443" s="528" t="s">
        <v>12647</v>
      </c>
      <c r="B4443" s="528" t="s">
        <v>12648</v>
      </c>
      <c r="C4443" s="528" t="s">
        <v>12649</v>
      </c>
      <c r="D4443" s="528" t="s">
        <v>238</v>
      </c>
      <c r="E4443" s="528"/>
      <c r="F4443" s="528"/>
      <c r="G4443" s="528" t="s">
        <v>205</v>
      </c>
      <c r="H4443"/>
    </row>
    <row r="4444" spans="1:8" x14ac:dyDescent="0.35">
      <c r="A4444" s="528" t="s">
        <v>12650</v>
      </c>
      <c r="B4444" s="528" t="s">
        <v>12651</v>
      </c>
      <c r="C4444" s="528" t="s">
        <v>12652</v>
      </c>
      <c r="D4444" s="528" t="s">
        <v>238</v>
      </c>
      <c r="E4444" s="528"/>
      <c r="F4444" s="528"/>
      <c r="G4444" s="528" t="s">
        <v>205</v>
      </c>
      <c r="H4444"/>
    </row>
    <row r="4445" spans="1:8" x14ac:dyDescent="0.35">
      <c r="A4445" s="528" t="s">
        <v>12653</v>
      </c>
      <c r="B4445" s="528" t="s">
        <v>12654</v>
      </c>
      <c r="C4445" s="528" t="s">
        <v>12655</v>
      </c>
      <c r="D4445" s="528" t="s">
        <v>238</v>
      </c>
      <c r="E4445" s="528"/>
      <c r="F4445" s="528"/>
      <c r="G4445" s="528" t="s">
        <v>205</v>
      </c>
      <c r="H4445"/>
    </row>
    <row r="4446" spans="1:8" x14ac:dyDescent="0.35">
      <c r="A4446" s="528" t="s">
        <v>12656</v>
      </c>
      <c r="B4446" s="528" t="s">
        <v>12657</v>
      </c>
      <c r="C4446" s="528" t="s">
        <v>12658</v>
      </c>
      <c r="D4446" s="528" t="s">
        <v>225</v>
      </c>
      <c r="E4446" s="528"/>
      <c r="F4446" s="528"/>
      <c r="G4446" s="528" t="s">
        <v>208</v>
      </c>
      <c r="H4446"/>
    </row>
    <row r="4447" spans="1:8" x14ac:dyDescent="0.35">
      <c r="A4447" s="528" t="s">
        <v>12659</v>
      </c>
      <c r="B4447" s="528" t="s">
        <v>12660</v>
      </c>
      <c r="C4447" s="528" t="s">
        <v>12661</v>
      </c>
      <c r="D4447" s="528" t="s">
        <v>225</v>
      </c>
      <c r="E4447" s="528"/>
      <c r="F4447" s="528"/>
      <c r="G4447" s="528" t="s">
        <v>208</v>
      </c>
      <c r="H4447"/>
    </row>
    <row r="4448" spans="1:8" x14ac:dyDescent="0.35">
      <c r="A4448" s="528" t="s">
        <v>12662</v>
      </c>
      <c r="B4448" s="528" t="s">
        <v>12663</v>
      </c>
      <c r="C4448" s="528" t="s">
        <v>12664</v>
      </c>
      <c r="D4448" s="528" t="s">
        <v>225</v>
      </c>
      <c r="E4448" s="528"/>
      <c r="F4448" s="528"/>
      <c r="G4448" s="528" t="s">
        <v>212</v>
      </c>
      <c r="H4448"/>
    </row>
    <row r="4449" spans="1:8" x14ac:dyDescent="0.35">
      <c r="A4449" s="528" t="s">
        <v>12665</v>
      </c>
      <c r="B4449" s="528" t="s">
        <v>12666</v>
      </c>
      <c r="C4449" s="528" t="s">
        <v>12667</v>
      </c>
      <c r="D4449" s="528" t="s">
        <v>225</v>
      </c>
      <c r="E4449" s="528"/>
      <c r="F4449" s="528"/>
      <c r="G4449" s="528" t="s">
        <v>214</v>
      </c>
      <c r="H4449"/>
    </row>
    <row r="4450" spans="1:8" x14ac:dyDescent="0.35">
      <c r="A4450" s="528" t="s">
        <v>12668</v>
      </c>
      <c r="B4450" s="528" t="s">
        <v>12669</v>
      </c>
      <c r="C4450" s="528" t="s">
        <v>12670</v>
      </c>
      <c r="D4450" s="528" t="s">
        <v>225</v>
      </c>
      <c r="E4450" s="528"/>
      <c r="F4450" s="528"/>
      <c r="G4450" s="528" t="s">
        <v>214</v>
      </c>
      <c r="H4450"/>
    </row>
    <row r="4451" spans="1:8" x14ac:dyDescent="0.35">
      <c r="A4451" s="528" t="s">
        <v>12671</v>
      </c>
      <c r="B4451" s="528" t="s">
        <v>12672</v>
      </c>
      <c r="C4451" s="528" t="s">
        <v>12673</v>
      </c>
      <c r="D4451" s="528" t="s">
        <v>225</v>
      </c>
      <c r="E4451" s="528"/>
      <c r="F4451" s="528"/>
      <c r="G4451" s="528" t="s">
        <v>208</v>
      </c>
      <c r="H4451"/>
    </row>
    <row r="4452" spans="1:8" x14ac:dyDescent="0.35">
      <c r="A4452" s="528" t="s">
        <v>12674</v>
      </c>
      <c r="B4452" s="528" t="s">
        <v>12675</v>
      </c>
      <c r="C4452" s="528" t="s">
        <v>12676</v>
      </c>
      <c r="D4452" s="528" t="s">
        <v>264</v>
      </c>
      <c r="E4452" s="528"/>
      <c r="F4452" s="528"/>
      <c r="G4452" s="528" t="s">
        <v>205</v>
      </c>
      <c r="H4452"/>
    </row>
    <row r="4453" spans="1:8" x14ac:dyDescent="0.35">
      <c r="A4453" s="528" t="s">
        <v>12677</v>
      </c>
      <c r="B4453" s="528" t="s">
        <v>12678</v>
      </c>
      <c r="C4453" s="528" t="s">
        <v>12679</v>
      </c>
      <c r="D4453" s="528" t="s">
        <v>225</v>
      </c>
      <c r="E4453" s="528"/>
      <c r="F4453" s="528"/>
      <c r="G4453" s="528" t="s">
        <v>205</v>
      </c>
      <c r="H4453"/>
    </row>
    <row r="4454" spans="1:8" x14ac:dyDescent="0.35">
      <c r="A4454" s="528" t="s">
        <v>12680</v>
      </c>
      <c r="B4454" s="528" t="s">
        <v>12681</v>
      </c>
      <c r="C4454" s="528" t="s">
        <v>12682</v>
      </c>
      <c r="D4454" s="528" t="s">
        <v>225</v>
      </c>
      <c r="E4454" s="528"/>
      <c r="F4454" s="528"/>
      <c r="G4454" s="528" t="s">
        <v>205</v>
      </c>
      <c r="H4454"/>
    </row>
    <row r="4455" spans="1:8" x14ac:dyDescent="0.35">
      <c r="A4455" s="528" t="s">
        <v>12683</v>
      </c>
      <c r="B4455" s="528" t="s">
        <v>12684</v>
      </c>
      <c r="C4455" s="528" t="s">
        <v>12685</v>
      </c>
      <c r="D4455" s="528" t="s">
        <v>277</v>
      </c>
      <c r="E4455" s="528" t="s">
        <v>264</v>
      </c>
      <c r="F4455" s="528"/>
      <c r="G4455" s="528" t="s">
        <v>205</v>
      </c>
      <c r="H4455"/>
    </row>
    <row r="4456" spans="1:8" x14ac:dyDescent="0.35">
      <c r="A4456" s="528" t="s">
        <v>12686</v>
      </c>
      <c r="B4456" s="528" t="s">
        <v>12687</v>
      </c>
      <c r="C4456" s="528" t="s">
        <v>12688</v>
      </c>
      <c r="D4456" s="528" t="s">
        <v>238</v>
      </c>
      <c r="E4456" s="528"/>
      <c r="F4456" s="528"/>
      <c r="G4456" s="528" t="s">
        <v>208</v>
      </c>
      <c r="H4456"/>
    </row>
    <row r="4457" spans="1:8" x14ac:dyDescent="0.35">
      <c r="A4457" s="528" t="s">
        <v>12689</v>
      </c>
      <c r="B4457" s="528" t="s">
        <v>12690</v>
      </c>
      <c r="C4457" s="528" t="s">
        <v>12691</v>
      </c>
      <c r="D4457" s="528" t="s">
        <v>225</v>
      </c>
      <c r="E4457" s="528"/>
      <c r="F4457" s="528"/>
      <c r="G4457" s="528" t="s">
        <v>208</v>
      </c>
      <c r="H4457"/>
    </row>
    <row r="4458" spans="1:8" x14ac:dyDescent="0.35">
      <c r="A4458" s="528" t="s">
        <v>12692</v>
      </c>
      <c r="B4458" s="528" t="s">
        <v>12693</v>
      </c>
      <c r="C4458" s="528" t="s">
        <v>12694</v>
      </c>
      <c r="D4458" s="528" t="s">
        <v>225</v>
      </c>
      <c r="E4458" s="528"/>
      <c r="F4458" s="528"/>
      <c r="G4458" s="528" t="s">
        <v>208</v>
      </c>
      <c r="H4458"/>
    </row>
    <row r="4459" spans="1:8" x14ac:dyDescent="0.35">
      <c r="A4459" s="528" t="s">
        <v>12695</v>
      </c>
      <c r="B4459" s="528" t="s">
        <v>12696</v>
      </c>
      <c r="C4459" s="528" t="s">
        <v>12697</v>
      </c>
      <c r="D4459" s="528" t="s">
        <v>277</v>
      </c>
      <c r="E4459" s="528"/>
      <c r="F4459" s="528"/>
      <c r="G4459" s="528" t="s">
        <v>208</v>
      </c>
      <c r="H4459"/>
    </row>
    <row r="4460" spans="1:8" x14ac:dyDescent="0.35">
      <c r="A4460" s="528" t="s">
        <v>12698</v>
      </c>
      <c r="B4460" s="528" t="s">
        <v>12699</v>
      </c>
      <c r="C4460" s="528" t="s">
        <v>12700</v>
      </c>
      <c r="D4460" s="528" t="s">
        <v>277</v>
      </c>
      <c r="E4460" s="528"/>
      <c r="F4460" s="528"/>
      <c r="G4460" s="528" t="s">
        <v>205</v>
      </c>
      <c r="H4460"/>
    </row>
    <row r="4461" spans="1:8" x14ac:dyDescent="0.35">
      <c r="A4461" s="528" t="s">
        <v>12701</v>
      </c>
      <c r="B4461" s="528" t="s">
        <v>12702</v>
      </c>
      <c r="C4461" s="528" t="s">
        <v>12703</v>
      </c>
      <c r="D4461" s="528" t="s">
        <v>277</v>
      </c>
      <c r="E4461" s="528"/>
      <c r="F4461" s="528"/>
      <c r="G4461" s="528" t="s">
        <v>205</v>
      </c>
      <c r="H4461"/>
    </row>
    <row r="4462" spans="1:8" x14ac:dyDescent="0.35">
      <c r="A4462" s="528" t="s">
        <v>12704</v>
      </c>
      <c r="B4462" s="528" t="s">
        <v>12705</v>
      </c>
      <c r="C4462" s="528" t="s">
        <v>12706</v>
      </c>
      <c r="D4462" s="528" t="s">
        <v>277</v>
      </c>
      <c r="E4462" s="528"/>
      <c r="F4462" s="528"/>
      <c r="G4462" s="528" t="s">
        <v>208</v>
      </c>
      <c r="H4462"/>
    </row>
    <row r="4463" spans="1:8" x14ac:dyDescent="0.35">
      <c r="A4463" s="528" t="s">
        <v>12707</v>
      </c>
      <c r="B4463" s="528" t="s">
        <v>12708</v>
      </c>
      <c r="C4463" s="528" t="s">
        <v>12709</v>
      </c>
      <c r="D4463" s="528" t="s">
        <v>251</v>
      </c>
      <c r="E4463" s="528"/>
      <c r="F4463" s="528"/>
      <c r="G4463" s="528" t="s">
        <v>208</v>
      </c>
      <c r="H4463"/>
    </row>
    <row r="4464" spans="1:8" x14ac:dyDescent="0.35">
      <c r="A4464" s="528" t="s">
        <v>12710</v>
      </c>
      <c r="B4464" s="528" t="s">
        <v>12711</v>
      </c>
      <c r="C4464" s="528" t="s">
        <v>12712</v>
      </c>
      <c r="D4464" s="528" t="s">
        <v>251</v>
      </c>
      <c r="E4464" s="528"/>
      <c r="F4464" s="528"/>
      <c r="G4464" s="528" t="s">
        <v>208</v>
      </c>
      <c r="H4464"/>
    </row>
    <row r="4465" spans="1:8" x14ac:dyDescent="0.35">
      <c r="A4465" s="528" t="s">
        <v>12713</v>
      </c>
      <c r="B4465" s="528" t="s">
        <v>12714</v>
      </c>
      <c r="C4465" s="528" t="s">
        <v>12715</v>
      </c>
      <c r="D4465" s="528" t="s">
        <v>264</v>
      </c>
      <c r="E4465" s="528"/>
      <c r="F4465" s="528"/>
      <c r="G4465" s="528" t="s">
        <v>208</v>
      </c>
      <c r="H4465"/>
    </row>
    <row r="4466" spans="1:8" x14ac:dyDescent="0.35">
      <c r="A4466" s="528" t="s">
        <v>12716</v>
      </c>
      <c r="B4466" s="528" t="s">
        <v>12717</v>
      </c>
      <c r="C4466" s="528" t="s">
        <v>12718</v>
      </c>
      <c r="D4466" s="528" t="s">
        <v>225</v>
      </c>
      <c r="E4466" s="528"/>
      <c r="F4466" s="528"/>
      <c r="G4466" s="528" t="s">
        <v>205</v>
      </c>
      <c r="H4466"/>
    </row>
    <row r="4467" spans="1:8" x14ac:dyDescent="0.35">
      <c r="A4467" s="528" t="s">
        <v>12719</v>
      </c>
      <c r="B4467" s="528" t="s">
        <v>12720</v>
      </c>
      <c r="C4467" s="528" t="s">
        <v>12721</v>
      </c>
      <c r="D4467" s="528" t="s">
        <v>264</v>
      </c>
      <c r="E4467" s="528"/>
      <c r="F4467" s="528"/>
      <c r="G4467" s="528" t="s">
        <v>205</v>
      </c>
      <c r="H4467"/>
    </row>
    <row r="4468" spans="1:8" x14ac:dyDescent="0.35">
      <c r="A4468" s="528" t="s">
        <v>12722</v>
      </c>
      <c r="B4468" s="528" t="s">
        <v>12723</v>
      </c>
      <c r="C4468" s="528" t="s">
        <v>12724</v>
      </c>
      <c r="D4468" s="528" t="s">
        <v>277</v>
      </c>
      <c r="E4468" s="528"/>
      <c r="F4468" s="528"/>
      <c r="G4468" s="528" t="s">
        <v>205</v>
      </c>
      <c r="H4468"/>
    </row>
    <row r="4469" spans="1:8" x14ac:dyDescent="0.35">
      <c r="A4469" s="528" t="s">
        <v>12725</v>
      </c>
      <c r="B4469" s="528" t="s">
        <v>12726</v>
      </c>
      <c r="C4469" s="528" t="s">
        <v>12727</v>
      </c>
      <c r="D4469" s="528" t="s">
        <v>264</v>
      </c>
      <c r="E4469" s="528"/>
      <c r="F4469" s="528"/>
      <c r="G4469" s="528" t="s">
        <v>205</v>
      </c>
      <c r="H4469"/>
    </row>
    <row r="4470" spans="1:8" x14ac:dyDescent="0.35">
      <c r="A4470" s="528" t="s">
        <v>12728</v>
      </c>
      <c r="B4470" s="528" t="s">
        <v>12729</v>
      </c>
      <c r="C4470" s="528" t="s">
        <v>12730</v>
      </c>
      <c r="D4470" s="528" t="s">
        <v>264</v>
      </c>
      <c r="E4470" s="528"/>
      <c r="F4470" s="528"/>
      <c r="G4470" s="528" t="s">
        <v>205</v>
      </c>
      <c r="H4470"/>
    </row>
    <row r="4471" spans="1:8" x14ac:dyDescent="0.35">
      <c r="A4471" s="528" t="s">
        <v>12731</v>
      </c>
      <c r="B4471" s="528" t="s">
        <v>12732</v>
      </c>
      <c r="C4471" s="528" t="s">
        <v>12733</v>
      </c>
      <c r="D4471" s="528" t="s">
        <v>264</v>
      </c>
      <c r="E4471" s="528"/>
      <c r="F4471" s="528"/>
      <c r="G4471" s="528" t="s">
        <v>205</v>
      </c>
      <c r="H4471"/>
    </row>
    <row r="4472" spans="1:8" x14ac:dyDescent="0.35">
      <c r="A4472" s="528" t="s">
        <v>12734</v>
      </c>
      <c r="B4472" s="528" t="s">
        <v>12735</v>
      </c>
      <c r="C4472" s="528" t="s">
        <v>12736</v>
      </c>
      <c r="D4472" s="528" t="s">
        <v>277</v>
      </c>
      <c r="E4472" s="528"/>
      <c r="F4472" s="528"/>
      <c r="G4472" s="528" t="s">
        <v>205</v>
      </c>
      <c r="H4472"/>
    </row>
    <row r="4473" spans="1:8" x14ac:dyDescent="0.35">
      <c r="A4473" s="528" t="s">
        <v>12737</v>
      </c>
      <c r="B4473" s="528" t="s">
        <v>12738</v>
      </c>
      <c r="C4473" s="528" t="s">
        <v>12739</v>
      </c>
      <c r="D4473" s="528" t="s">
        <v>264</v>
      </c>
      <c r="E4473" s="528"/>
      <c r="F4473" s="528"/>
      <c r="G4473" s="528" t="s">
        <v>205</v>
      </c>
      <c r="H4473"/>
    </row>
    <row r="4474" spans="1:8" x14ac:dyDescent="0.35">
      <c r="A4474" s="528" t="s">
        <v>12740</v>
      </c>
      <c r="B4474" s="528" t="s">
        <v>12741</v>
      </c>
      <c r="C4474" s="528" t="s">
        <v>12742</v>
      </c>
      <c r="D4474" s="528" t="s">
        <v>264</v>
      </c>
      <c r="E4474" s="528"/>
      <c r="F4474" s="528"/>
      <c r="G4474" s="528" t="s">
        <v>205</v>
      </c>
      <c r="H4474"/>
    </row>
    <row r="4475" spans="1:8" x14ac:dyDescent="0.35">
      <c r="A4475" s="528" t="s">
        <v>12743</v>
      </c>
      <c r="B4475" s="528" t="s">
        <v>12744</v>
      </c>
      <c r="C4475" s="528" t="s">
        <v>12745</v>
      </c>
      <c r="D4475" s="528" t="s">
        <v>264</v>
      </c>
      <c r="E4475" s="528"/>
      <c r="F4475" s="528"/>
      <c r="G4475" s="528" t="s">
        <v>205</v>
      </c>
      <c r="H4475"/>
    </row>
    <row r="4476" spans="1:8" x14ac:dyDescent="0.35">
      <c r="A4476" s="528" t="s">
        <v>12746</v>
      </c>
      <c r="B4476" s="528" t="s">
        <v>12747</v>
      </c>
      <c r="C4476" s="528" t="s">
        <v>12748</v>
      </c>
      <c r="D4476" s="528" t="s">
        <v>264</v>
      </c>
      <c r="E4476" s="528"/>
      <c r="F4476" s="528"/>
      <c r="G4476" s="528" t="s">
        <v>208</v>
      </c>
      <c r="H4476"/>
    </row>
    <row r="4477" spans="1:8" x14ac:dyDescent="0.35">
      <c r="A4477" s="528" t="s">
        <v>12749</v>
      </c>
      <c r="B4477" s="528" t="s">
        <v>12750</v>
      </c>
      <c r="C4477" s="528" t="s">
        <v>12751</v>
      </c>
      <c r="D4477" s="528" t="s">
        <v>264</v>
      </c>
      <c r="E4477" s="528"/>
      <c r="F4477" s="528"/>
      <c r="G4477" s="528" t="s">
        <v>208</v>
      </c>
      <c r="H4477"/>
    </row>
    <row r="4478" spans="1:8" x14ac:dyDescent="0.35">
      <c r="A4478" s="528" t="s">
        <v>12752</v>
      </c>
      <c r="B4478" s="528" t="s">
        <v>12753</v>
      </c>
      <c r="C4478" s="528" t="s">
        <v>12754</v>
      </c>
      <c r="D4478" s="528" t="s">
        <v>225</v>
      </c>
      <c r="E4478" s="528"/>
      <c r="F4478" s="528"/>
      <c r="G4478" s="528" t="s">
        <v>205</v>
      </c>
      <c r="H4478"/>
    </row>
    <row r="4479" spans="1:8" x14ac:dyDescent="0.35">
      <c r="A4479" s="528" t="s">
        <v>12755</v>
      </c>
      <c r="B4479" s="528" t="s">
        <v>12756</v>
      </c>
      <c r="C4479" s="528" t="s">
        <v>12757</v>
      </c>
      <c r="D4479" s="528" t="s">
        <v>277</v>
      </c>
      <c r="E4479" s="528"/>
      <c r="F4479" s="528"/>
      <c r="G4479" s="528" t="s">
        <v>205</v>
      </c>
      <c r="H4479"/>
    </row>
    <row r="4480" spans="1:8" x14ac:dyDescent="0.35">
      <c r="A4480" s="528" t="s">
        <v>12758</v>
      </c>
      <c r="B4480" s="528" t="s">
        <v>12759</v>
      </c>
      <c r="C4480" s="528" t="s">
        <v>12760</v>
      </c>
      <c r="D4480" s="528" t="s">
        <v>277</v>
      </c>
      <c r="E4480" s="528"/>
      <c r="F4480" s="528"/>
      <c r="G4480" s="528" t="s">
        <v>205</v>
      </c>
      <c r="H4480"/>
    </row>
    <row r="4481" spans="1:8" x14ac:dyDescent="0.35">
      <c r="A4481" s="528" t="s">
        <v>12761</v>
      </c>
      <c r="B4481" s="528" t="s">
        <v>12762</v>
      </c>
      <c r="C4481" s="528" t="s">
        <v>12763</v>
      </c>
      <c r="D4481" s="528" t="s">
        <v>225</v>
      </c>
      <c r="E4481" s="528"/>
      <c r="F4481" s="528"/>
      <c r="G4481" s="528" t="s">
        <v>205</v>
      </c>
      <c r="H4481"/>
    </row>
    <row r="4482" spans="1:8" x14ac:dyDescent="0.35">
      <c r="A4482" s="528" t="s">
        <v>12764</v>
      </c>
      <c r="B4482" s="528" t="s">
        <v>12765</v>
      </c>
      <c r="C4482" s="528" t="s">
        <v>12766</v>
      </c>
      <c r="D4482" s="528" t="s">
        <v>238</v>
      </c>
      <c r="E4482" s="528"/>
      <c r="F4482" s="528"/>
      <c r="G4482" s="528" t="s">
        <v>208</v>
      </c>
      <c r="H4482"/>
    </row>
    <row r="4483" spans="1:8" x14ac:dyDescent="0.35">
      <c r="A4483" s="528" t="s">
        <v>12767</v>
      </c>
      <c r="B4483" s="528" t="s">
        <v>12768</v>
      </c>
      <c r="C4483" s="528" t="s">
        <v>12769</v>
      </c>
      <c r="D4483" s="528" t="s">
        <v>238</v>
      </c>
      <c r="E4483" s="528"/>
      <c r="F4483" s="528"/>
      <c r="G4483" s="528" t="s">
        <v>208</v>
      </c>
      <c r="H4483"/>
    </row>
    <row r="4484" spans="1:8" x14ac:dyDescent="0.35">
      <c r="A4484" s="528" t="s">
        <v>12770</v>
      </c>
      <c r="B4484" s="528" t="s">
        <v>12771</v>
      </c>
      <c r="C4484" s="528" t="s">
        <v>12772</v>
      </c>
      <c r="D4484" s="528" t="s">
        <v>277</v>
      </c>
      <c r="E4484" s="528"/>
      <c r="F4484" s="528"/>
      <c r="G4484" s="528" t="s">
        <v>205</v>
      </c>
      <c r="H4484"/>
    </row>
    <row r="4485" spans="1:8" x14ac:dyDescent="0.35">
      <c r="A4485" s="528" t="s">
        <v>12773</v>
      </c>
      <c r="B4485" s="528" t="s">
        <v>12774</v>
      </c>
      <c r="C4485" s="528" t="s">
        <v>12775</v>
      </c>
      <c r="D4485" s="528" t="s">
        <v>277</v>
      </c>
      <c r="E4485" s="528"/>
      <c r="F4485" s="528"/>
      <c r="G4485" s="528" t="s">
        <v>205</v>
      </c>
      <c r="H4485"/>
    </row>
    <row r="4486" spans="1:8" x14ac:dyDescent="0.35">
      <c r="A4486" s="528" t="s">
        <v>12776</v>
      </c>
      <c r="B4486" s="528" t="s">
        <v>12777</v>
      </c>
      <c r="C4486" s="528" t="s">
        <v>12778</v>
      </c>
      <c r="D4486" s="528" t="s">
        <v>277</v>
      </c>
      <c r="E4486" s="528"/>
      <c r="F4486" s="528"/>
      <c r="G4486" s="528" t="s">
        <v>205</v>
      </c>
      <c r="H4486"/>
    </row>
    <row r="4487" spans="1:8" x14ac:dyDescent="0.35">
      <c r="A4487" s="528" t="s">
        <v>12779</v>
      </c>
      <c r="B4487" s="528" t="s">
        <v>12780</v>
      </c>
      <c r="C4487" s="528" t="s">
        <v>12781</v>
      </c>
      <c r="D4487" s="528" t="s">
        <v>238</v>
      </c>
      <c r="E4487" s="528"/>
      <c r="F4487" s="528"/>
      <c r="G4487" s="528" t="s">
        <v>208</v>
      </c>
      <c r="H4487"/>
    </row>
    <row r="4488" spans="1:8" x14ac:dyDescent="0.35">
      <c r="A4488" s="528" t="s">
        <v>12782</v>
      </c>
      <c r="B4488" s="528" t="s">
        <v>12783</v>
      </c>
      <c r="C4488" s="528" t="s">
        <v>12784</v>
      </c>
      <c r="D4488" s="528" t="s">
        <v>251</v>
      </c>
      <c r="E4488" s="528"/>
      <c r="F4488" s="528"/>
      <c r="G4488" s="528" t="s">
        <v>208</v>
      </c>
      <c r="H4488"/>
    </row>
    <row r="4489" spans="1:8" x14ac:dyDescent="0.35">
      <c r="A4489" s="528" t="s">
        <v>12785</v>
      </c>
      <c r="B4489" s="528" t="s">
        <v>12786</v>
      </c>
      <c r="C4489" s="528" t="s">
        <v>12787</v>
      </c>
      <c r="D4489" s="528" t="s">
        <v>277</v>
      </c>
      <c r="E4489" s="528"/>
      <c r="F4489" s="528"/>
      <c r="G4489" s="528" t="s">
        <v>208</v>
      </c>
      <c r="H4489"/>
    </row>
    <row r="4490" spans="1:8" x14ac:dyDescent="0.35">
      <c r="A4490" s="528" t="s">
        <v>12788</v>
      </c>
      <c r="B4490" s="528" t="s">
        <v>12789</v>
      </c>
      <c r="C4490" s="528" t="s">
        <v>12790</v>
      </c>
      <c r="D4490" s="528" t="s">
        <v>264</v>
      </c>
      <c r="E4490" s="528"/>
      <c r="F4490" s="528"/>
      <c r="G4490" s="528" t="s">
        <v>208</v>
      </c>
      <c r="H4490"/>
    </row>
    <row r="4491" spans="1:8" x14ac:dyDescent="0.35">
      <c r="A4491" s="528" t="s">
        <v>12791</v>
      </c>
      <c r="B4491" s="528" t="s">
        <v>12792</v>
      </c>
      <c r="C4491" s="528" t="s">
        <v>12793</v>
      </c>
      <c r="D4491" s="528" t="s">
        <v>277</v>
      </c>
      <c r="E4491" s="528"/>
      <c r="F4491" s="528"/>
      <c r="G4491" s="528" t="s">
        <v>205</v>
      </c>
      <c r="H4491"/>
    </row>
    <row r="4492" spans="1:8" x14ac:dyDescent="0.35">
      <c r="A4492" s="528" t="s">
        <v>12794</v>
      </c>
      <c r="B4492" s="528" t="s">
        <v>12795</v>
      </c>
      <c r="C4492" s="528" t="s">
        <v>12796</v>
      </c>
      <c r="D4492" s="528" t="s">
        <v>238</v>
      </c>
      <c r="E4492" s="528"/>
      <c r="F4492" s="528"/>
      <c r="G4492" s="528" t="s">
        <v>205</v>
      </c>
      <c r="H4492"/>
    </row>
    <row r="4493" spans="1:8" x14ac:dyDescent="0.35">
      <c r="A4493" s="528" t="s">
        <v>12797</v>
      </c>
      <c r="B4493" s="528" t="s">
        <v>12798</v>
      </c>
      <c r="C4493" s="528" t="s">
        <v>12799</v>
      </c>
      <c r="D4493" s="528" t="s">
        <v>251</v>
      </c>
      <c r="E4493" s="528"/>
      <c r="F4493" s="528"/>
      <c r="G4493" s="528" t="s">
        <v>205</v>
      </c>
      <c r="H4493"/>
    </row>
    <row r="4494" spans="1:8" x14ac:dyDescent="0.35">
      <c r="A4494" s="528" t="s">
        <v>12800</v>
      </c>
      <c r="B4494" s="528" t="s">
        <v>12801</v>
      </c>
      <c r="C4494" s="528" t="s">
        <v>12802</v>
      </c>
      <c r="D4494" s="528" t="s">
        <v>264</v>
      </c>
      <c r="E4494" s="528"/>
      <c r="F4494" s="528"/>
      <c r="G4494" s="528" t="s">
        <v>205</v>
      </c>
      <c r="H4494"/>
    </row>
    <row r="4495" spans="1:8" x14ac:dyDescent="0.35">
      <c r="A4495" s="528" t="s">
        <v>12803</v>
      </c>
      <c r="B4495" s="528" t="s">
        <v>12804</v>
      </c>
      <c r="C4495" s="528" t="s">
        <v>12805</v>
      </c>
      <c r="D4495" s="528" t="s">
        <v>264</v>
      </c>
      <c r="E4495" s="528"/>
      <c r="F4495" s="528"/>
      <c r="G4495" s="528" t="s">
        <v>205</v>
      </c>
      <c r="H4495"/>
    </row>
    <row r="4496" spans="1:8" x14ac:dyDescent="0.35">
      <c r="A4496" s="528" t="s">
        <v>12806</v>
      </c>
      <c r="B4496" s="528" t="s">
        <v>12807</v>
      </c>
      <c r="C4496" s="528" t="s">
        <v>12808</v>
      </c>
      <c r="D4496" s="528" t="s">
        <v>251</v>
      </c>
      <c r="E4496" s="528" t="s">
        <v>238</v>
      </c>
      <c r="F4496" s="528"/>
      <c r="G4496" s="528" t="s">
        <v>205</v>
      </c>
      <c r="H4496"/>
    </row>
    <row r="4497" spans="1:8" x14ac:dyDescent="0.35">
      <c r="A4497" s="528" t="s">
        <v>12809</v>
      </c>
      <c r="B4497" s="528" t="s">
        <v>12810</v>
      </c>
      <c r="C4497" s="528" t="s">
        <v>12811</v>
      </c>
      <c r="D4497" s="528" t="s">
        <v>238</v>
      </c>
      <c r="E4497" s="528"/>
      <c r="F4497" s="528"/>
      <c r="G4497" s="528" t="s">
        <v>205</v>
      </c>
      <c r="H4497"/>
    </row>
    <row r="4498" spans="1:8" x14ac:dyDescent="0.35">
      <c r="A4498" s="528" t="s">
        <v>12812</v>
      </c>
      <c r="B4498" s="528" t="s">
        <v>12813</v>
      </c>
      <c r="C4498" s="528" t="s">
        <v>12814</v>
      </c>
      <c r="D4498" s="528" t="s">
        <v>225</v>
      </c>
      <c r="E4498" s="528"/>
      <c r="F4498" s="528"/>
      <c r="G4498" s="528" t="s">
        <v>205</v>
      </c>
      <c r="H4498"/>
    </row>
    <row r="4499" spans="1:8" x14ac:dyDescent="0.35">
      <c r="A4499" s="528" t="s">
        <v>12815</v>
      </c>
      <c r="B4499" s="528" t="s">
        <v>12816</v>
      </c>
      <c r="C4499" s="528" t="s">
        <v>12817</v>
      </c>
      <c r="D4499" s="528" t="s">
        <v>251</v>
      </c>
      <c r="E4499" s="528"/>
      <c r="F4499" s="528"/>
      <c r="G4499" s="528" t="s">
        <v>208</v>
      </c>
      <c r="H4499"/>
    </row>
    <row r="4500" spans="1:8" x14ac:dyDescent="0.35">
      <c r="A4500" s="528" t="s">
        <v>12818</v>
      </c>
      <c r="B4500" s="528" t="s">
        <v>12819</v>
      </c>
      <c r="C4500" s="528" t="s">
        <v>12820</v>
      </c>
      <c r="D4500" s="528" t="s">
        <v>264</v>
      </c>
      <c r="E4500" s="528"/>
      <c r="F4500" s="528"/>
      <c r="G4500" s="528" t="s">
        <v>208</v>
      </c>
      <c r="H4500"/>
    </row>
    <row r="4501" spans="1:8" x14ac:dyDescent="0.35">
      <c r="A4501" s="528" t="s">
        <v>12821</v>
      </c>
      <c r="B4501" s="528" t="s">
        <v>12822</v>
      </c>
      <c r="C4501" s="528" t="s">
        <v>12823</v>
      </c>
      <c r="D4501" s="528" t="s">
        <v>264</v>
      </c>
      <c r="E4501" s="528"/>
      <c r="F4501" s="528"/>
      <c r="G4501" s="528" t="s">
        <v>205</v>
      </c>
      <c r="H4501"/>
    </row>
    <row r="4502" spans="1:8" x14ac:dyDescent="0.35">
      <c r="A4502" s="528" t="s">
        <v>12824</v>
      </c>
      <c r="B4502" s="528" t="s">
        <v>12825</v>
      </c>
      <c r="C4502" s="528" t="s">
        <v>12826</v>
      </c>
      <c r="D4502" s="528" t="s">
        <v>277</v>
      </c>
      <c r="E4502" s="528"/>
      <c r="F4502" s="528"/>
      <c r="G4502" s="528" t="s">
        <v>208</v>
      </c>
      <c r="H4502"/>
    </row>
    <row r="4503" spans="1:8" x14ac:dyDescent="0.35">
      <c r="A4503" s="528" t="s">
        <v>12827</v>
      </c>
      <c r="B4503" s="528" t="s">
        <v>12828</v>
      </c>
      <c r="C4503" s="528" t="s">
        <v>12829</v>
      </c>
      <c r="D4503" s="528" t="s">
        <v>264</v>
      </c>
      <c r="E4503" s="528"/>
      <c r="F4503" s="528"/>
      <c r="G4503" s="528" t="s">
        <v>205</v>
      </c>
      <c r="H4503"/>
    </row>
    <row r="4504" spans="1:8" x14ac:dyDescent="0.35">
      <c r="A4504" s="528" t="s">
        <v>12830</v>
      </c>
      <c r="B4504" s="528" t="s">
        <v>12831</v>
      </c>
      <c r="C4504" s="528" t="s">
        <v>12832</v>
      </c>
      <c r="D4504" s="528" t="s">
        <v>264</v>
      </c>
      <c r="E4504" s="528"/>
      <c r="F4504" s="528"/>
      <c r="G4504" s="528" t="s">
        <v>210</v>
      </c>
      <c r="H4504"/>
    </row>
    <row r="4505" spans="1:8" x14ac:dyDescent="0.35">
      <c r="A4505" s="528" t="s">
        <v>12833</v>
      </c>
      <c r="B4505" s="528" t="s">
        <v>12834</v>
      </c>
      <c r="C4505" s="528" t="s">
        <v>12835</v>
      </c>
      <c r="D4505" s="528" t="s">
        <v>264</v>
      </c>
      <c r="E4505" s="528"/>
      <c r="F4505" s="528"/>
      <c r="G4505" s="528" t="s">
        <v>208</v>
      </c>
      <c r="H4505"/>
    </row>
    <row r="4506" spans="1:8" x14ac:dyDescent="0.35">
      <c r="A4506" s="528" t="s">
        <v>12836</v>
      </c>
      <c r="B4506" s="528" t="s">
        <v>12837</v>
      </c>
      <c r="C4506" s="528" t="s">
        <v>12838</v>
      </c>
      <c r="D4506" s="528" t="s">
        <v>225</v>
      </c>
      <c r="E4506" s="528"/>
      <c r="F4506" s="528"/>
      <c r="G4506" s="528" t="s">
        <v>208</v>
      </c>
      <c r="H4506"/>
    </row>
    <row r="4507" spans="1:8" x14ac:dyDescent="0.35">
      <c r="A4507" s="528" t="s">
        <v>12839</v>
      </c>
      <c r="B4507" s="528" t="s">
        <v>12840</v>
      </c>
      <c r="C4507" s="528" t="s">
        <v>12841</v>
      </c>
      <c r="D4507" s="528" t="s">
        <v>225</v>
      </c>
      <c r="E4507" s="528"/>
      <c r="F4507" s="528"/>
      <c r="G4507" s="528" t="s">
        <v>208</v>
      </c>
      <c r="H4507"/>
    </row>
    <row r="4508" spans="1:8" x14ac:dyDescent="0.35">
      <c r="A4508" s="528" t="s">
        <v>12842</v>
      </c>
      <c r="B4508" s="528" t="s">
        <v>12843</v>
      </c>
      <c r="C4508" s="528" t="s">
        <v>12844</v>
      </c>
      <c r="D4508" s="528" t="s">
        <v>264</v>
      </c>
      <c r="E4508" s="528"/>
      <c r="F4508" s="528"/>
      <c r="G4508" s="528" t="s">
        <v>205</v>
      </c>
      <c r="H4508"/>
    </row>
    <row r="4509" spans="1:8" x14ac:dyDescent="0.35">
      <c r="A4509" s="528" t="s">
        <v>12845</v>
      </c>
      <c r="B4509" s="528" t="s">
        <v>12846</v>
      </c>
      <c r="C4509" s="528" t="s">
        <v>12847</v>
      </c>
      <c r="D4509" s="528" t="s">
        <v>264</v>
      </c>
      <c r="E4509" s="528" t="s">
        <v>277</v>
      </c>
      <c r="F4509" s="528"/>
      <c r="G4509" s="528" t="s">
        <v>208</v>
      </c>
      <c r="H4509"/>
    </row>
    <row r="4510" spans="1:8" x14ac:dyDescent="0.35">
      <c r="A4510" s="528" t="s">
        <v>12848</v>
      </c>
      <c r="B4510" s="528" t="s">
        <v>12849</v>
      </c>
      <c r="C4510" s="528" t="s">
        <v>12850</v>
      </c>
      <c r="D4510" s="528" t="s">
        <v>264</v>
      </c>
      <c r="E4510" s="528"/>
      <c r="F4510" s="528"/>
      <c r="G4510" s="528" t="s">
        <v>208</v>
      </c>
      <c r="H4510"/>
    </row>
    <row r="4511" spans="1:8" x14ac:dyDescent="0.35">
      <c r="A4511" s="528" t="s">
        <v>12851</v>
      </c>
      <c r="B4511" s="528" t="s">
        <v>12852</v>
      </c>
      <c r="C4511" s="528" t="s">
        <v>12853</v>
      </c>
      <c r="D4511" s="528" t="s">
        <v>277</v>
      </c>
      <c r="E4511" s="528"/>
      <c r="F4511" s="528"/>
      <c r="G4511" s="528" t="s">
        <v>205</v>
      </c>
      <c r="H4511"/>
    </row>
    <row r="4512" spans="1:8" x14ac:dyDescent="0.35">
      <c r="A4512" s="528" t="s">
        <v>12854</v>
      </c>
      <c r="B4512" s="528" t="s">
        <v>12855</v>
      </c>
      <c r="C4512" s="528" t="s">
        <v>12856</v>
      </c>
      <c r="D4512" s="528" t="s">
        <v>277</v>
      </c>
      <c r="E4512" s="528"/>
      <c r="F4512" s="528"/>
      <c r="G4512" s="528" t="s">
        <v>208</v>
      </c>
      <c r="H4512"/>
    </row>
    <row r="4513" spans="1:8" x14ac:dyDescent="0.35">
      <c r="A4513" s="528" t="s">
        <v>12857</v>
      </c>
      <c r="B4513" s="528" t="s">
        <v>12858</v>
      </c>
      <c r="C4513" s="528" t="s">
        <v>12859</v>
      </c>
      <c r="D4513" s="528" t="s">
        <v>277</v>
      </c>
      <c r="E4513" s="528"/>
      <c r="F4513" s="528"/>
      <c r="G4513" s="528" t="s">
        <v>208</v>
      </c>
      <c r="H4513"/>
    </row>
    <row r="4514" spans="1:8" x14ac:dyDescent="0.35">
      <c r="A4514" s="528" t="s">
        <v>12860</v>
      </c>
      <c r="B4514" s="528" t="s">
        <v>12861</v>
      </c>
      <c r="C4514" s="528" t="s">
        <v>12862</v>
      </c>
      <c r="D4514" s="528" t="s">
        <v>264</v>
      </c>
      <c r="E4514" s="528"/>
      <c r="F4514" s="528"/>
      <c r="G4514" s="528" t="s">
        <v>205</v>
      </c>
      <c r="H4514"/>
    </row>
    <row r="4515" spans="1:8" x14ac:dyDescent="0.35">
      <c r="A4515" s="528" t="s">
        <v>12863</v>
      </c>
      <c r="B4515" s="528" t="s">
        <v>12864</v>
      </c>
      <c r="C4515" s="528" t="s">
        <v>12865</v>
      </c>
      <c r="D4515" s="528" t="s">
        <v>277</v>
      </c>
      <c r="E4515" s="528"/>
      <c r="F4515" s="528"/>
      <c r="G4515" s="528" t="s">
        <v>205</v>
      </c>
      <c r="H4515"/>
    </row>
    <row r="4516" spans="1:8" x14ac:dyDescent="0.35">
      <c r="A4516" s="528" t="s">
        <v>12866</v>
      </c>
      <c r="B4516" s="528" t="s">
        <v>12867</v>
      </c>
      <c r="C4516" s="528" t="s">
        <v>12868</v>
      </c>
      <c r="D4516" s="528" t="s">
        <v>277</v>
      </c>
      <c r="E4516" s="528"/>
      <c r="F4516" s="528"/>
      <c r="G4516" s="528" t="s">
        <v>205</v>
      </c>
      <c r="H4516"/>
    </row>
    <row r="4517" spans="1:8" x14ac:dyDescent="0.35">
      <c r="A4517" s="528" t="s">
        <v>12869</v>
      </c>
      <c r="B4517" s="528" t="s">
        <v>12870</v>
      </c>
      <c r="C4517" s="528" t="s">
        <v>12871</v>
      </c>
      <c r="D4517" s="528" t="s">
        <v>277</v>
      </c>
      <c r="E4517" s="528"/>
      <c r="F4517" s="528"/>
      <c r="G4517" s="528" t="s">
        <v>208</v>
      </c>
      <c r="H4517"/>
    </row>
    <row r="4518" spans="1:8" x14ac:dyDescent="0.35">
      <c r="A4518" s="528" t="s">
        <v>12872</v>
      </c>
      <c r="B4518" s="528" t="s">
        <v>12873</v>
      </c>
      <c r="C4518" s="528" t="s">
        <v>12874</v>
      </c>
      <c r="D4518" s="528" t="s">
        <v>277</v>
      </c>
      <c r="E4518" s="528"/>
      <c r="F4518" s="528"/>
      <c r="G4518" s="528" t="s">
        <v>205</v>
      </c>
      <c r="H4518"/>
    </row>
    <row r="4519" spans="1:8" x14ac:dyDescent="0.35">
      <c r="A4519" s="528" t="s">
        <v>12875</v>
      </c>
      <c r="B4519" s="528" t="s">
        <v>12876</v>
      </c>
      <c r="C4519" s="528" t="s">
        <v>12877</v>
      </c>
      <c r="D4519" s="528" t="s">
        <v>264</v>
      </c>
      <c r="E4519" s="528" t="s">
        <v>277</v>
      </c>
      <c r="F4519" s="528"/>
      <c r="G4519" s="528" t="s">
        <v>208</v>
      </c>
      <c r="H4519"/>
    </row>
    <row r="4520" spans="1:8" x14ac:dyDescent="0.35">
      <c r="A4520" s="528" t="s">
        <v>12878</v>
      </c>
      <c r="B4520" s="528" t="s">
        <v>12879</v>
      </c>
      <c r="C4520" s="528" t="s">
        <v>12880</v>
      </c>
      <c r="D4520" s="528" t="s">
        <v>277</v>
      </c>
      <c r="E4520" s="528"/>
      <c r="F4520" s="528"/>
      <c r="G4520" s="528" t="s">
        <v>205</v>
      </c>
      <c r="H4520"/>
    </row>
    <row r="4521" spans="1:8" x14ac:dyDescent="0.35">
      <c r="A4521" s="528" t="s">
        <v>12881</v>
      </c>
      <c r="B4521" s="528" t="s">
        <v>12882</v>
      </c>
      <c r="C4521" s="528" t="s">
        <v>12883</v>
      </c>
      <c r="D4521" s="528" t="s">
        <v>277</v>
      </c>
      <c r="E4521" s="528"/>
      <c r="F4521" s="528"/>
      <c r="G4521" s="528" t="s">
        <v>208</v>
      </c>
      <c r="H4521"/>
    </row>
    <row r="4522" spans="1:8" x14ac:dyDescent="0.35">
      <c r="A4522" s="528" t="s">
        <v>12884</v>
      </c>
      <c r="B4522" s="528" t="s">
        <v>12885</v>
      </c>
      <c r="C4522" s="528" t="s">
        <v>12511</v>
      </c>
      <c r="D4522" s="528" t="s">
        <v>264</v>
      </c>
      <c r="E4522" s="528"/>
      <c r="F4522" s="528"/>
      <c r="G4522" s="528" t="s">
        <v>205</v>
      </c>
      <c r="H4522"/>
    </row>
    <row r="4523" spans="1:8" x14ac:dyDescent="0.35">
      <c r="A4523" s="528" t="s">
        <v>12886</v>
      </c>
      <c r="B4523" s="528" t="s">
        <v>12887</v>
      </c>
      <c r="C4523" s="528" t="s">
        <v>12888</v>
      </c>
      <c r="D4523" s="528" t="s">
        <v>277</v>
      </c>
      <c r="E4523" s="528"/>
      <c r="F4523" s="528"/>
      <c r="G4523" s="528" t="s">
        <v>208</v>
      </c>
      <c r="H4523"/>
    </row>
    <row r="4524" spans="1:8" x14ac:dyDescent="0.35">
      <c r="A4524" s="528" t="s">
        <v>12889</v>
      </c>
      <c r="B4524" s="528" t="s">
        <v>12890</v>
      </c>
      <c r="C4524" s="528" t="s">
        <v>12891</v>
      </c>
      <c r="D4524" s="528" t="s">
        <v>251</v>
      </c>
      <c r="E4524" s="528"/>
      <c r="F4524" s="528"/>
      <c r="G4524" s="528" t="s">
        <v>205</v>
      </c>
      <c r="H4524"/>
    </row>
    <row r="4525" spans="1:8" x14ac:dyDescent="0.35">
      <c r="A4525" s="528" t="s">
        <v>12892</v>
      </c>
      <c r="B4525" s="528" t="s">
        <v>12893</v>
      </c>
      <c r="C4525" s="528" t="s">
        <v>12894</v>
      </c>
      <c r="D4525" s="528" t="s">
        <v>277</v>
      </c>
      <c r="E4525" s="528"/>
      <c r="F4525" s="528"/>
      <c r="G4525" s="528" t="s">
        <v>205</v>
      </c>
      <c r="H4525"/>
    </row>
    <row r="4526" spans="1:8" x14ac:dyDescent="0.35">
      <c r="A4526" s="528" t="s">
        <v>12895</v>
      </c>
      <c r="B4526" s="528" t="s">
        <v>12896</v>
      </c>
      <c r="C4526" s="528" t="s">
        <v>12897</v>
      </c>
      <c r="D4526" s="528" t="s">
        <v>264</v>
      </c>
      <c r="E4526" s="528"/>
      <c r="F4526" s="528"/>
      <c r="G4526" s="528" t="s">
        <v>205</v>
      </c>
      <c r="H4526"/>
    </row>
    <row r="4527" spans="1:8" x14ac:dyDescent="0.35">
      <c r="A4527" s="528" t="s">
        <v>12898</v>
      </c>
      <c r="B4527" s="528" t="s">
        <v>12899</v>
      </c>
      <c r="C4527" s="528" t="s">
        <v>12900</v>
      </c>
      <c r="D4527" s="528" t="s">
        <v>277</v>
      </c>
      <c r="E4527" s="528"/>
      <c r="F4527" s="528"/>
      <c r="G4527" s="528" t="s">
        <v>208</v>
      </c>
      <c r="H4527"/>
    </row>
    <row r="4528" spans="1:8" x14ac:dyDescent="0.35">
      <c r="A4528" s="528" t="s">
        <v>12901</v>
      </c>
      <c r="B4528" s="528" t="s">
        <v>12902</v>
      </c>
      <c r="C4528" s="528" t="s">
        <v>12903</v>
      </c>
      <c r="D4528" s="528" t="s">
        <v>277</v>
      </c>
      <c r="E4528" s="528"/>
      <c r="F4528" s="528"/>
      <c r="G4528" s="528" t="s">
        <v>205</v>
      </c>
      <c r="H4528"/>
    </row>
    <row r="4529" spans="1:8" x14ac:dyDescent="0.35">
      <c r="A4529" s="528" t="s">
        <v>12904</v>
      </c>
      <c r="B4529" s="528" t="s">
        <v>12905</v>
      </c>
      <c r="C4529" s="528" t="s">
        <v>12906</v>
      </c>
      <c r="D4529" s="528" t="s">
        <v>277</v>
      </c>
      <c r="E4529" s="528"/>
      <c r="F4529" s="528"/>
      <c r="G4529" s="528" t="s">
        <v>208</v>
      </c>
      <c r="H4529"/>
    </row>
    <row r="4530" spans="1:8" x14ac:dyDescent="0.35">
      <c r="A4530" s="528" t="s">
        <v>12907</v>
      </c>
      <c r="B4530" s="528" t="s">
        <v>12908</v>
      </c>
      <c r="C4530" s="528" t="s">
        <v>12909</v>
      </c>
      <c r="D4530" s="528" t="s">
        <v>277</v>
      </c>
      <c r="E4530" s="528"/>
      <c r="F4530" s="528"/>
      <c r="G4530" s="528" t="s">
        <v>208</v>
      </c>
      <c r="H4530"/>
    </row>
    <row r="4531" spans="1:8" x14ac:dyDescent="0.35">
      <c r="A4531" s="528" t="s">
        <v>12910</v>
      </c>
      <c r="B4531" s="528" t="s">
        <v>12911</v>
      </c>
      <c r="C4531" s="528" t="s">
        <v>12912</v>
      </c>
      <c r="D4531" s="528" t="s">
        <v>277</v>
      </c>
      <c r="E4531" s="528"/>
      <c r="F4531" s="528"/>
      <c r="G4531" s="528" t="s">
        <v>205</v>
      </c>
      <c r="H4531"/>
    </row>
    <row r="4532" spans="1:8" x14ac:dyDescent="0.35">
      <c r="A4532" s="528" t="s">
        <v>12913</v>
      </c>
      <c r="B4532" s="528" t="s">
        <v>12914</v>
      </c>
      <c r="C4532" s="528" t="s">
        <v>12915</v>
      </c>
      <c r="D4532" s="528" t="s">
        <v>277</v>
      </c>
      <c r="E4532" s="528"/>
      <c r="F4532" s="528"/>
      <c r="G4532" s="528" t="s">
        <v>205</v>
      </c>
      <c r="H4532"/>
    </row>
    <row r="4533" spans="1:8" x14ac:dyDescent="0.35">
      <c r="A4533" s="528" t="s">
        <v>12916</v>
      </c>
      <c r="B4533" s="528" t="s">
        <v>12917</v>
      </c>
      <c r="C4533" s="528" t="s">
        <v>12918</v>
      </c>
      <c r="D4533" s="528" t="s">
        <v>277</v>
      </c>
      <c r="E4533" s="528"/>
      <c r="F4533" s="528"/>
      <c r="G4533" s="528" t="s">
        <v>205</v>
      </c>
      <c r="H4533"/>
    </row>
    <row r="4534" spans="1:8" x14ac:dyDescent="0.35">
      <c r="A4534" s="528" t="s">
        <v>12919</v>
      </c>
      <c r="B4534" s="528" t="s">
        <v>12920</v>
      </c>
      <c r="C4534" s="528" t="s">
        <v>12921</v>
      </c>
      <c r="D4534" s="528" t="s">
        <v>277</v>
      </c>
      <c r="E4534" s="528"/>
      <c r="F4534" s="528"/>
      <c r="G4534" s="528" t="s">
        <v>208</v>
      </c>
      <c r="H4534"/>
    </row>
    <row r="4535" spans="1:8" x14ac:dyDescent="0.35">
      <c r="A4535" s="528" t="s">
        <v>12922</v>
      </c>
      <c r="B4535" s="528" t="s">
        <v>12923</v>
      </c>
      <c r="C4535" s="528" t="s">
        <v>12924</v>
      </c>
      <c r="D4535" s="528" t="s">
        <v>251</v>
      </c>
      <c r="E4535" s="528"/>
      <c r="F4535" s="528"/>
      <c r="G4535" s="528" t="s">
        <v>208</v>
      </c>
      <c r="H4535"/>
    </row>
    <row r="4536" spans="1:8" x14ac:dyDescent="0.35">
      <c r="A4536" s="528" t="s">
        <v>12925</v>
      </c>
      <c r="B4536" s="528" t="s">
        <v>12926</v>
      </c>
      <c r="C4536" s="528" t="s">
        <v>12927</v>
      </c>
      <c r="D4536" s="528" t="s">
        <v>264</v>
      </c>
      <c r="E4536" s="528"/>
      <c r="F4536" s="528"/>
      <c r="G4536" s="528" t="s">
        <v>210</v>
      </c>
      <c r="H4536"/>
    </row>
    <row r="4537" spans="1:8" x14ac:dyDescent="0.35">
      <c r="A4537" s="528" t="s">
        <v>12928</v>
      </c>
      <c r="B4537" s="528" t="s">
        <v>12929</v>
      </c>
      <c r="C4537" s="528" t="s">
        <v>12930</v>
      </c>
      <c r="D4537" s="528" t="s">
        <v>277</v>
      </c>
      <c r="E4537" s="528"/>
      <c r="F4537" s="528"/>
      <c r="G4537" s="528" t="s">
        <v>208</v>
      </c>
      <c r="H4537"/>
    </row>
    <row r="4538" spans="1:8" x14ac:dyDescent="0.35">
      <c r="A4538" s="528" t="s">
        <v>12931</v>
      </c>
      <c r="B4538" s="528" t="s">
        <v>12932</v>
      </c>
      <c r="C4538" s="528" t="s">
        <v>12933</v>
      </c>
      <c r="D4538" s="528" t="s">
        <v>277</v>
      </c>
      <c r="E4538" s="528"/>
      <c r="F4538" s="528"/>
      <c r="G4538" s="528" t="s">
        <v>208</v>
      </c>
      <c r="H4538"/>
    </row>
    <row r="4539" spans="1:8" x14ac:dyDescent="0.35">
      <c r="A4539" s="528" t="s">
        <v>12934</v>
      </c>
      <c r="B4539" s="528" t="s">
        <v>12935</v>
      </c>
      <c r="C4539" s="528" t="s">
        <v>12936</v>
      </c>
      <c r="D4539" s="528" t="s">
        <v>277</v>
      </c>
      <c r="E4539" s="528"/>
      <c r="F4539" s="528"/>
      <c r="G4539" s="528" t="s">
        <v>208</v>
      </c>
      <c r="H4539"/>
    </row>
    <row r="4540" spans="1:8" x14ac:dyDescent="0.35">
      <c r="A4540" s="528" t="s">
        <v>12937</v>
      </c>
      <c r="B4540" s="528" t="s">
        <v>12938</v>
      </c>
      <c r="C4540" s="528" t="s">
        <v>12939</v>
      </c>
      <c r="D4540" s="528" t="s">
        <v>277</v>
      </c>
      <c r="E4540" s="528"/>
      <c r="F4540" s="528"/>
      <c r="G4540" s="528" t="s">
        <v>205</v>
      </c>
      <c r="H4540"/>
    </row>
    <row r="4541" spans="1:8" x14ac:dyDescent="0.35">
      <c r="A4541" s="528" t="s">
        <v>12940</v>
      </c>
      <c r="B4541" s="528" t="s">
        <v>12941</v>
      </c>
      <c r="C4541" s="528" t="s">
        <v>12942</v>
      </c>
      <c r="D4541" s="528" t="s">
        <v>264</v>
      </c>
      <c r="E4541" s="528"/>
      <c r="F4541" s="528"/>
      <c r="G4541" s="528" t="s">
        <v>208</v>
      </c>
      <c r="H4541"/>
    </row>
    <row r="4542" spans="1:8" x14ac:dyDescent="0.35">
      <c r="A4542" s="528" t="s">
        <v>12943</v>
      </c>
      <c r="B4542" s="528" t="s">
        <v>12944</v>
      </c>
      <c r="C4542" s="528" t="s">
        <v>12945</v>
      </c>
      <c r="D4542" s="528" t="s">
        <v>264</v>
      </c>
      <c r="E4542" s="528"/>
      <c r="F4542" s="528"/>
      <c r="G4542" s="528" t="s">
        <v>205</v>
      </c>
      <c r="H4542"/>
    </row>
    <row r="4543" spans="1:8" x14ac:dyDescent="0.35">
      <c r="A4543" s="528" t="s">
        <v>12946</v>
      </c>
      <c r="B4543" s="528" t="s">
        <v>12947</v>
      </c>
      <c r="C4543" s="528" t="s">
        <v>12948</v>
      </c>
      <c r="D4543" s="528" t="s">
        <v>264</v>
      </c>
      <c r="E4543" s="528"/>
      <c r="F4543" s="528"/>
      <c r="G4543" s="528" t="s">
        <v>205</v>
      </c>
      <c r="H4543"/>
    </row>
    <row r="4544" spans="1:8" x14ac:dyDescent="0.35">
      <c r="A4544" s="528" t="s">
        <v>12949</v>
      </c>
      <c r="B4544" s="528" t="s">
        <v>12950</v>
      </c>
      <c r="C4544" s="528" t="s">
        <v>12951</v>
      </c>
      <c r="D4544" s="528" t="s">
        <v>251</v>
      </c>
      <c r="E4544" s="528"/>
      <c r="F4544" s="528"/>
      <c r="G4544" s="528" t="s">
        <v>205</v>
      </c>
      <c r="H4544"/>
    </row>
    <row r="4545" spans="1:8" x14ac:dyDescent="0.35">
      <c r="A4545" s="528" t="s">
        <v>12952</v>
      </c>
      <c r="B4545" s="528" t="s">
        <v>12953</v>
      </c>
      <c r="C4545" s="528" t="s">
        <v>12954</v>
      </c>
      <c r="D4545" s="528" t="s">
        <v>238</v>
      </c>
      <c r="E4545" s="528"/>
      <c r="F4545" s="528"/>
      <c r="G4545" s="528" t="s">
        <v>205</v>
      </c>
      <c r="H4545"/>
    </row>
    <row r="4546" spans="1:8" x14ac:dyDescent="0.35">
      <c r="A4546" s="528" t="s">
        <v>12955</v>
      </c>
      <c r="B4546" s="528" t="s">
        <v>12956</v>
      </c>
      <c r="C4546" s="528" t="s">
        <v>12957</v>
      </c>
      <c r="D4546" s="528" t="s">
        <v>277</v>
      </c>
      <c r="E4546" s="528"/>
      <c r="F4546" s="528"/>
      <c r="G4546" s="528" t="s">
        <v>205</v>
      </c>
      <c r="H4546"/>
    </row>
    <row r="4547" spans="1:8" x14ac:dyDescent="0.35">
      <c r="A4547" s="528" t="s">
        <v>12958</v>
      </c>
      <c r="B4547" s="528" t="s">
        <v>12959</v>
      </c>
      <c r="C4547" s="528" t="s">
        <v>12960</v>
      </c>
      <c r="D4547" s="528" t="s">
        <v>225</v>
      </c>
      <c r="E4547" s="528"/>
      <c r="F4547" s="528"/>
      <c r="G4547" s="528" t="s">
        <v>205</v>
      </c>
      <c r="H4547"/>
    </row>
    <row r="4548" spans="1:8" x14ac:dyDescent="0.35">
      <c r="A4548" s="528" t="s">
        <v>12961</v>
      </c>
      <c r="B4548" s="528" t="s">
        <v>12962</v>
      </c>
      <c r="C4548" s="528" t="s">
        <v>12963</v>
      </c>
      <c r="D4548" s="528" t="s">
        <v>277</v>
      </c>
      <c r="E4548" s="528"/>
      <c r="F4548" s="528"/>
      <c r="G4548" s="528" t="s">
        <v>205</v>
      </c>
      <c r="H4548"/>
    </row>
    <row r="4549" spans="1:8" x14ac:dyDescent="0.35">
      <c r="A4549" s="528" t="s">
        <v>12964</v>
      </c>
      <c r="B4549" s="528" t="s">
        <v>12965</v>
      </c>
      <c r="C4549" s="528" t="s">
        <v>12966</v>
      </c>
      <c r="D4549" s="528" t="s">
        <v>225</v>
      </c>
      <c r="E4549" s="528"/>
      <c r="F4549" s="528"/>
      <c r="G4549" s="528" t="s">
        <v>205</v>
      </c>
      <c r="H4549"/>
    </row>
    <row r="4550" spans="1:8" x14ac:dyDescent="0.35">
      <c r="A4550" s="528" t="s">
        <v>12967</v>
      </c>
      <c r="B4550" s="528" t="s">
        <v>12968</v>
      </c>
      <c r="C4550" s="528" t="s">
        <v>12969</v>
      </c>
      <c r="D4550" s="528" t="s">
        <v>225</v>
      </c>
      <c r="E4550" s="528"/>
      <c r="F4550" s="528"/>
      <c r="G4550" s="528" t="s">
        <v>205</v>
      </c>
      <c r="H4550"/>
    </row>
    <row r="4551" spans="1:8" x14ac:dyDescent="0.35">
      <c r="A4551" s="528" t="s">
        <v>12970</v>
      </c>
      <c r="B4551" s="528" t="s">
        <v>12971</v>
      </c>
      <c r="C4551" s="528" t="s">
        <v>12972</v>
      </c>
      <c r="D4551" s="528" t="s">
        <v>277</v>
      </c>
      <c r="E4551" s="528"/>
      <c r="F4551" s="528"/>
      <c r="G4551" s="528" t="s">
        <v>205</v>
      </c>
      <c r="H4551"/>
    </row>
    <row r="4552" spans="1:8" x14ac:dyDescent="0.35">
      <c r="A4552" s="528" t="s">
        <v>12973</v>
      </c>
      <c r="B4552" s="528" t="s">
        <v>12974</v>
      </c>
      <c r="C4552" s="528" t="s">
        <v>12975</v>
      </c>
      <c r="D4552" s="528" t="s">
        <v>277</v>
      </c>
      <c r="E4552" s="528"/>
      <c r="F4552" s="528"/>
      <c r="G4552" s="528" t="s">
        <v>205</v>
      </c>
      <c r="H4552"/>
    </row>
    <row r="4553" spans="1:8" x14ac:dyDescent="0.35">
      <c r="A4553" s="528" t="s">
        <v>12976</v>
      </c>
      <c r="B4553" s="528" t="s">
        <v>12977</v>
      </c>
      <c r="C4553" s="528" t="s">
        <v>12978</v>
      </c>
      <c r="D4553" s="528" t="s">
        <v>277</v>
      </c>
      <c r="E4553" s="528"/>
      <c r="F4553" s="528"/>
      <c r="G4553" s="528" t="s">
        <v>205</v>
      </c>
      <c r="H4553"/>
    </row>
    <row r="4554" spans="1:8" x14ac:dyDescent="0.35">
      <c r="A4554" s="528" t="s">
        <v>12979</v>
      </c>
      <c r="B4554" s="528" t="s">
        <v>12980</v>
      </c>
      <c r="C4554" s="528" t="s">
        <v>12981</v>
      </c>
      <c r="D4554" s="528" t="s">
        <v>277</v>
      </c>
      <c r="E4554" s="528"/>
      <c r="F4554" s="528"/>
      <c r="G4554" s="528" t="s">
        <v>205</v>
      </c>
      <c r="H4554"/>
    </row>
    <row r="4555" spans="1:8" x14ac:dyDescent="0.35">
      <c r="A4555" s="528" t="s">
        <v>12982</v>
      </c>
      <c r="B4555" s="528" t="s">
        <v>12983</v>
      </c>
      <c r="C4555" s="528" t="s">
        <v>12984</v>
      </c>
      <c r="D4555" s="528" t="s">
        <v>277</v>
      </c>
      <c r="E4555" s="528"/>
      <c r="F4555" s="528"/>
      <c r="G4555" s="528" t="s">
        <v>205</v>
      </c>
      <c r="H4555"/>
    </row>
    <row r="4556" spans="1:8" x14ac:dyDescent="0.35">
      <c r="A4556" s="528" t="s">
        <v>12985</v>
      </c>
      <c r="B4556" s="528" t="s">
        <v>12986</v>
      </c>
      <c r="C4556" s="528" t="s">
        <v>12987</v>
      </c>
      <c r="D4556" s="528" t="s">
        <v>264</v>
      </c>
      <c r="E4556" s="528"/>
      <c r="F4556" s="528"/>
      <c r="G4556" s="528" t="s">
        <v>205</v>
      </c>
      <c r="H4556"/>
    </row>
    <row r="4557" spans="1:8" x14ac:dyDescent="0.35">
      <c r="A4557" s="528" t="s">
        <v>12988</v>
      </c>
      <c r="B4557" s="528" t="s">
        <v>12989</v>
      </c>
      <c r="C4557" s="528" t="s">
        <v>12990</v>
      </c>
      <c r="D4557" s="528" t="s">
        <v>251</v>
      </c>
      <c r="E4557" s="528"/>
      <c r="F4557" s="528"/>
      <c r="G4557" s="528" t="s">
        <v>208</v>
      </c>
      <c r="H4557"/>
    </row>
    <row r="4558" spans="1:8" x14ac:dyDescent="0.35">
      <c r="A4558" s="528" t="s">
        <v>12991</v>
      </c>
      <c r="B4558" s="528" t="s">
        <v>12992</v>
      </c>
      <c r="C4558" s="528" t="s">
        <v>12993</v>
      </c>
      <c r="D4558" s="528" t="s">
        <v>251</v>
      </c>
      <c r="E4558" s="528"/>
      <c r="F4558" s="528"/>
      <c r="G4558" s="528" t="s">
        <v>208</v>
      </c>
      <c r="H4558"/>
    </row>
    <row r="4559" spans="1:8" x14ac:dyDescent="0.35">
      <c r="A4559" s="528" t="s">
        <v>12994</v>
      </c>
      <c r="B4559" s="528" t="s">
        <v>12995</v>
      </c>
      <c r="C4559" s="528" t="s">
        <v>12996</v>
      </c>
      <c r="D4559" s="528" t="s">
        <v>238</v>
      </c>
      <c r="E4559" s="528"/>
      <c r="F4559" s="528"/>
      <c r="G4559" s="528" t="s">
        <v>205</v>
      </c>
      <c r="H4559"/>
    </row>
    <row r="4560" spans="1:8" x14ac:dyDescent="0.35">
      <c r="A4560" s="528" t="s">
        <v>12997</v>
      </c>
      <c r="B4560" s="528" t="s">
        <v>12998</v>
      </c>
      <c r="C4560" s="528" t="s">
        <v>12999</v>
      </c>
      <c r="D4560" s="528" t="s">
        <v>251</v>
      </c>
      <c r="E4560" s="528"/>
      <c r="F4560" s="528"/>
      <c r="G4560" s="528" t="s">
        <v>208</v>
      </c>
      <c r="H4560"/>
    </row>
    <row r="4561" spans="1:8" x14ac:dyDescent="0.35">
      <c r="A4561" s="528" t="s">
        <v>13000</v>
      </c>
      <c r="B4561" s="528" t="s">
        <v>13001</v>
      </c>
      <c r="C4561" s="528" t="s">
        <v>13002</v>
      </c>
      <c r="D4561" s="528" t="s">
        <v>251</v>
      </c>
      <c r="E4561" s="528"/>
      <c r="F4561" s="528"/>
      <c r="G4561" s="528" t="s">
        <v>208</v>
      </c>
      <c r="H4561"/>
    </row>
    <row r="4562" spans="1:8" x14ac:dyDescent="0.35">
      <c r="A4562" s="528" t="s">
        <v>13003</v>
      </c>
      <c r="B4562" s="528" t="s">
        <v>13004</v>
      </c>
      <c r="C4562" s="528" t="s">
        <v>13005</v>
      </c>
      <c r="D4562" s="528" t="s">
        <v>238</v>
      </c>
      <c r="E4562" s="528"/>
      <c r="F4562" s="528"/>
      <c r="G4562" s="528" t="s">
        <v>205</v>
      </c>
      <c r="H4562"/>
    </row>
    <row r="4563" spans="1:8" x14ac:dyDescent="0.35">
      <c r="A4563" s="528" t="s">
        <v>13006</v>
      </c>
      <c r="B4563" s="528" t="s">
        <v>13007</v>
      </c>
      <c r="C4563" s="528" t="s">
        <v>13008</v>
      </c>
      <c r="D4563" s="528" t="s">
        <v>251</v>
      </c>
      <c r="E4563" s="528"/>
      <c r="F4563" s="528"/>
      <c r="G4563" s="528" t="s">
        <v>208</v>
      </c>
      <c r="H4563"/>
    </row>
    <row r="4564" spans="1:8" x14ac:dyDescent="0.35">
      <c r="A4564" s="528" t="s">
        <v>13009</v>
      </c>
      <c r="B4564" s="528" t="s">
        <v>13010</v>
      </c>
      <c r="C4564" s="528" t="s">
        <v>13011</v>
      </c>
      <c r="D4564" s="528" t="s">
        <v>277</v>
      </c>
      <c r="E4564" s="528"/>
      <c r="F4564" s="528"/>
      <c r="G4564" s="528" t="s">
        <v>208</v>
      </c>
      <c r="H4564"/>
    </row>
    <row r="4565" spans="1:8" x14ac:dyDescent="0.35">
      <c r="A4565" s="528" t="s">
        <v>13012</v>
      </c>
      <c r="B4565" s="528" t="s">
        <v>13013</v>
      </c>
      <c r="C4565" s="528" t="s">
        <v>13014</v>
      </c>
      <c r="D4565" s="528" t="s">
        <v>264</v>
      </c>
      <c r="E4565" s="528"/>
      <c r="F4565" s="528"/>
      <c r="G4565" s="528" t="s">
        <v>205</v>
      </c>
      <c r="H4565"/>
    </row>
    <row r="4566" spans="1:8" x14ac:dyDescent="0.35">
      <c r="A4566" s="528" t="s">
        <v>13015</v>
      </c>
      <c r="B4566" s="528" t="s">
        <v>13016</v>
      </c>
      <c r="C4566" s="528" t="s">
        <v>13017</v>
      </c>
      <c r="D4566" s="528" t="s">
        <v>264</v>
      </c>
      <c r="E4566" s="528"/>
      <c r="F4566" s="528"/>
      <c r="G4566" s="528" t="s">
        <v>205</v>
      </c>
      <c r="H4566"/>
    </row>
    <row r="4567" spans="1:8" x14ac:dyDescent="0.35">
      <c r="A4567" s="528" t="s">
        <v>13018</v>
      </c>
      <c r="B4567" s="528" t="s">
        <v>13019</v>
      </c>
      <c r="C4567" s="528" t="s">
        <v>13020</v>
      </c>
      <c r="D4567" s="528" t="s">
        <v>277</v>
      </c>
      <c r="E4567" s="528"/>
      <c r="F4567" s="528"/>
      <c r="G4567" s="528" t="s">
        <v>205</v>
      </c>
      <c r="H4567"/>
    </row>
    <row r="4568" spans="1:8" x14ac:dyDescent="0.35">
      <c r="A4568" s="528" t="s">
        <v>13021</v>
      </c>
      <c r="B4568" s="528" t="s">
        <v>13022</v>
      </c>
      <c r="C4568" s="528" t="s">
        <v>13023</v>
      </c>
      <c r="D4568" s="528" t="s">
        <v>277</v>
      </c>
      <c r="E4568" s="528"/>
      <c r="F4568" s="528"/>
      <c r="G4568" s="528" t="s">
        <v>208</v>
      </c>
      <c r="H4568"/>
    </row>
    <row r="4569" spans="1:8" x14ac:dyDescent="0.35">
      <c r="A4569" s="528" t="s">
        <v>13024</v>
      </c>
      <c r="B4569" s="528" t="s">
        <v>13025</v>
      </c>
      <c r="C4569" s="528" t="s">
        <v>13026</v>
      </c>
      <c r="D4569" s="528" t="s">
        <v>264</v>
      </c>
      <c r="E4569" s="528"/>
      <c r="F4569" s="528"/>
      <c r="G4569" s="528" t="s">
        <v>208</v>
      </c>
      <c r="H4569"/>
    </row>
    <row r="4570" spans="1:8" x14ac:dyDescent="0.35">
      <c r="A4570" s="528" t="s">
        <v>13027</v>
      </c>
      <c r="B4570" s="528" t="s">
        <v>13028</v>
      </c>
      <c r="C4570" s="528" t="s">
        <v>13029</v>
      </c>
      <c r="D4570" s="528" t="s">
        <v>264</v>
      </c>
      <c r="E4570" s="528"/>
      <c r="F4570" s="528"/>
      <c r="G4570" s="528" t="s">
        <v>208</v>
      </c>
      <c r="H4570"/>
    </row>
    <row r="4571" spans="1:8" x14ac:dyDescent="0.35">
      <c r="A4571" s="528" t="s">
        <v>13030</v>
      </c>
      <c r="B4571" s="528" t="s">
        <v>13031</v>
      </c>
      <c r="C4571" s="528" t="s">
        <v>13032</v>
      </c>
      <c r="D4571" s="528" t="s">
        <v>277</v>
      </c>
      <c r="E4571" s="528"/>
      <c r="F4571" s="528"/>
      <c r="G4571" s="528" t="s">
        <v>208</v>
      </c>
      <c r="H4571"/>
    </row>
    <row r="4572" spans="1:8" x14ac:dyDescent="0.35">
      <c r="A4572" s="528" t="s">
        <v>13033</v>
      </c>
      <c r="B4572" s="528" t="s">
        <v>13034</v>
      </c>
      <c r="C4572" s="528" t="s">
        <v>13035</v>
      </c>
      <c r="D4572" s="528" t="s">
        <v>264</v>
      </c>
      <c r="E4572" s="528"/>
      <c r="F4572" s="528"/>
      <c r="G4572" s="528" t="s">
        <v>205</v>
      </c>
      <c r="H4572"/>
    </row>
    <row r="4573" spans="1:8" x14ac:dyDescent="0.35">
      <c r="A4573" s="528" t="s">
        <v>13036</v>
      </c>
      <c r="B4573" s="528" t="s">
        <v>13037</v>
      </c>
      <c r="C4573" s="528" t="s">
        <v>13038</v>
      </c>
      <c r="D4573" s="528" t="s">
        <v>277</v>
      </c>
      <c r="E4573" s="528"/>
      <c r="F4573" s="528"/>
      <c r="G4573" s="528" t="s">
        <v>205</v>
      </c>
      <c r="H4573"/>
    </row>
    <row r="4574" spans="1:8" x14ac:dyDescent="0.35">
      <c r="A4574" s="528" t="s">
        <v>13039</v>
      </c>
      <c r="B4574" s="528" t="s">
        <v>13040</v>
      </c>
      <c r="C4574" s="528" t="s">
        <v>13041</v>
      </c>
      <c r="D4574" s="528" t="s">
        <v>277</v>
      </c>
      <c r="E4574" s="528"/>
      <c r="F4574" s="528"/>
      <c r="G4574" s="528" t="s">
        <v>205</v>
      </c>
      <c r="H4574"/>
    </row>
    <row r="4575" spans="1:8" x14ac:dyDescent="0.35">
      <c r="A4575" s="528" t="s">
        <v>13042</v>
      </c>
      <c r="B4575" s="528" t="s">
        <v>13043</v>
      </c>
      <c r="C4575" s="528" t="s">
        <v>13044</v>
      </c>
      <c r="D4575" s="528" t="s">
        <v>238</v>
      </c>
      <c r="E4575" s="528"/>
      <c r="F4575" s="528"/>
      <c r="G4575" s="528" t="s">
        <v>205</v>
      </c>
      <c r="H4575"/>
    </row>
    <row r="4576" spans="1:8" x14ac:dyDescent="0.35">
      <c r="A4576" s="528" t="s">
        <v>13045</v>
      </c>
      <c r="B4576" s="528" t="s">
        <v>13046</v>
      </c>
      <c r="C4576" s="528" t="s">
        <v>13047</v>
      </c>
      <c r="D4576" s="528" t="s">
        <v>277</v>
      </c>
      <c r="E4576" s="528"/>
      <c r="F4576" s="528"/>
      <c r="G4576" s="528" t="s">
        <v>208</v>
      </c>
      <c r="H4576"/>
    </row>
    <row r="4577" spans="1:8" x14ac:dyDescent="0.35">
      <c r="A4577" s="528" t="s">
        <v>13048</v>
      </c>
      <c r="B4577" s="528" t="s">
        <v>13049</v>
      </c>
      <c r="C4577" s="528" t="s">
        <v>13050</v>
      </c>
      <c r="D4577" s="528" t="s">
        <v>238</v>
      </c>
      <c r="E4577" s="528"/>
      <c r="F4577" s="528"/>
      <c r="G4577" s="528" t="s">
        <v>208</v>
      </c>
      <c r="H4577"/>
    </row>
    <row r="4578" spans="1:8" x14ac:dyDescent="0.35">
      <c r="A4578" s="528" t="s">
        <v>13051</v>
      </c>
      <c r="B4578" s="528" t="s">
        <v>13052</v>
      </c>
      <c r="C4578" s="528" t="s">
        <v>13053</v>
      </c>
      <c r="D4578" s="528" t="s">
        <v>277</v>
      </c>
      <c r="E4578" s="528"/>
      <c r="F4578" s="528"/>
      <c r="G4578" s="528" t="s">
        <v>205</v>
      </c>
      <c r="H4578"/>
    </row>
    <row r="4579" spans="1:8" x14ac:dyDescent="0.35">
      <c r="A4579" s="528" t="s">
        <v>13054</v>
      </c>
      <c r="B4579" s="528" t="s">
        <v>13055</v>
      </c>
      <c r="C4579" s="528" t="s">
        <v>13056</v>
      </c>
      <c r="D4579" s="528" t="s">
        <v>238</v>
      </c>
      <c r="E4579" s="528"/>
      <c r="F4579" s="528"/>
      <c r="G4579" s="528" t="s">
        <v>205</v>
      </c>
      <c r="H4579"/>
    </row>
    <row r="4580" spans="1:8" x14ac:dyDescent="0.35">
      <c r="A4580" s="528" t="s">
        <v>13057</v>
      </c>
      <c r="B4580" s="528" t="s">
        <v>13058</v>
      </c>
      <c r="C4580" s="528" t="s">
        <v>13059</v>
      </c>
      <c r="D4580" s="528" t="s">
        <v>225</v>
      </c>
      <c r="E4580" s="528"/>
      <c r="F4580" s="528"/>
      <c r="G4580" s="528" t="s">
        <v>205</v>
      </c>
      <c r="H4580"/>
    </row>
    <row r="4581" spans="1:8" x14ac:dyDescent="0.35">
      <c r="A4581" s="528" t="s">
        <v>13060</v>
      </c>
      <c r="B4581" s="528" t="s">
        <v>13061</v>
      </c>
      <c r="C4581" s="528" t="s">
        <v>13062</v>
      </c>
      <c r="D4581" s="528" t="s">
        <v>277</v>
      </c>
      <c r="E4581" s="528"/>
      <c r="F4581" s="528"/>
      <c r="G4581" s="528" t="s">
        <v>205</v>
      </c>
      <c r="H4581"/>
    </row>
    <row r="4582" spans="1:8" x14ac:dyDescent="0.35">
      <c r="A4582" s="528" t="s">
        <v>13063</v>
      </c>
      <c r="B4582" s="528" t="s">
        <v>13064</v>
      </c>
      <c r="C4582" s="528" t="s">
        <v>13065</v>
      </c>
      <c r="D4582" s="528" t="s">
        <v>264</v>
      </c>
      <c r="E4582" s="528"/>
      <c r="F4582" s="528"/>
      <c r="G4582" s="528" t="s">
        <v>205</v>
      </c>
      <c r="H4582"/>
    </row>
    <row r="4583" spans="1:8" x14ac:dyDescent="0.35">
      <c r="A4583" s="528" t="s">
        <v>13066</v>
      </c>
      <c r="B4583" s="528" t="s">
        <v>13067</v>
      </c>
      <c r="C4583" s="528" t="s">
        <v>13068</v>
      </c>
      <c r="D4583" s="528" t="s">
        <v>277</v>
      </c>
      <c r="E4583" s="528"/>
      <c r="F4583" s="528"/>
      <c r="G4583" s="528" t="s">
        <v>208</v>
      </c>
      <c r="H4583"/>
    </row>
    <row r="4584" spans="1:8" x14ac:dyDescent="0.35">
      <c r="A4584" s="528" t="s">
        <v>13069</v>
      </c>
      <c r="B4584" s="528" t="s">
        <v>13070</v>
      </c>
      <c r="C4584" s="528" t="s">
        <v>13071</v>
      </c>
      <c r="D4584" s="528" t="s">
        <v>277</v>
      </c>
      <c r="E4584" s="528" t="s">
        <v>264</v>
      </c>
      <c r="F4584" s="528"/>
      <c r="G4584" s="528" t="s">
        <v>208</v>
      </c>
      <c r="H4584"/>
    </row>
    <row r="4585" spans="1:8" x14ac:dyDescent="0.35">
      <c r="A4585" s="528" t="s">
        <v>13072</v>
      </c>
      <c r="B4585" s="528" t="s">
        <v>13073</v>
      </c>
      <c r="C4585" s="528" t="s">
        <v>13074</v>
      </c>
      <c r="D4585" s="528" t="s">
        <v>277</v>
      </c>
      <c r="E4585" s="528" t="s">
        <v>264</v>
      </c>
      <c r="F4585" s="528"/>
      <c r="G4585" s="528" t="s">
        <v>208</v>
      </c>
      <c r="H4585"/>
    </row>
    <row r="4586" spans="1:8" x14ac:dyDescent="0.35">
      <c r="A4586" s="528" t="s">
        <v>13075</v>
      </c>
      <c r="B4586" s="528" t="s">
        <v>13076</v>
      </c>
      <c r="C4586" s="528" t="s">
        <v>13077</v>
      </c>
      <c r="D4586" s="528" t="s">
        <v>264</v>
      </c>
      <c r="E4586" s="528"/>
      <c r="F4586" s="528"/>
      <c r="G4586" s="528" t="s">
        <v>208</v>
      </c>
      <c r="H4586"/>
    </row>
    <row r="4587" spans="1:8" x14ac:dyDescent="0.35">
      <c r="A4587" s="528" t="s">
        <v>13078</v>
      </c>
      <c r="B4587" s="528" t="s">
        <v>13079</v>
      </c>
      <c r="C4587" s="528" t="s">
        <v>13080</v>
      </c>
      <c r="D4587" s="528" t="s">
        <v>277</v>
      </c>
      <c r="E4587" s="528"/>
      <c r="F4587" s="528"/>
      <c r="G4587" s="528" t="s">
        <v>205</v>
      </c>
      <c r="H4587"/>
    </row>
    <row r="4588" spans="1:8" x14ac:dyDescent="0.35">
      <c r="A4588" s="528" t="s">
        <v>13081</v>
      </c>
      <c r="B4588" s="528" t="s">
        <v>13082</v>
      </c>
      <c r="C4588" s="528" t="s">
        <v>13083</v>
      </c>
      <c r="D4588" s="528" t="s">
        <v>251</v>
      </c>
      <c r="E4588" s="528"/>
      <c r="F4588" s="528"/>
      <c r="G4588" s="528" t="s">
        <v>208</v>
      </c>
      <c r="H4588"/>
    </row>
    <row r="4589" spans="1:8" x14ac:dyDescent="0.35">
      <c r="A4589" s="528" t="s">
        <v>13084</v>
      </c>
      <c r="B4589" s="528" t="s">
        <v>13085</v>
      </c>
      <c r="C4589" s="528" t="s">
        <v>13086</v>
      </c>
      <c r="D4589" s="528" t="s">
        <v>225</v>
      </c>
      <c r="E4589" s="528" t="s">
        <v>264</v>
      </c>
      <c r="F4589" s="528"/>
      <c r="G4589" s="528" t="s">
        <v>205</v>
      </c>
      <c r="H4589"/>
    </row>
    <row r="4590" spans="1:8" x14ac:dyDescent="0.35">
      <c r="A4590" s="528" t="s">
        <v>13087</v>
      </c>
      <c r="B4590" s="528" t="s">
        <v>13088</v>
      </c>
      <c r="C4590" s="528" t="s">
        <v>13089</v>
      </c>
      <c r="D4590" s="528" t="s">
        <v>264</v>
      </c>
      <c r="E4590" s="528" t="s">
        <v>277</v>
      </c>
      <c r="F4590" s="528"/>
      <c r="G4590" s="528" t="s">
        <v>208</v>
      </c>
      <c r="H4590"/>
    </row>
    <row r="4591" spans="1:8" x14ac:dyDescent="0.35">
      <c r="A4591" s="528" t="s">
        <v>13090</v>
      </c>
      <c r="B4591" s="528" t="s">
        <v>13091</v>
      </c>
      <c r="C4591" s="528" t="s">
        <v>13092</v>
      </c>
      <c r="D4591" s="528" t="s">
        <v>264</v>
      </c>
      <c r="E4591" s="528"/>
      <c r="F4591" s="528"/>
      <c r="G4591" s="528" t="s">
        <v>210</v>
      </c>
      <c r="H4591"/>
    </row>
    <row r="4592" spans="1:8" x14ac:dyDescent="0.35">
      <c r="A4592" s="528" t="s">
        <v>13093</v>
      </c>
      <c r="B4592" s="528" t="s">
        <v>13094</v>
      </c>
      <c r="C4592" s="528" t="s">
        <v>13095</v>
      </c>
      <c r="D4592" s="528" t="s">
        <v>264</v>
      </c>
      <c r="E4592" s="528" t="s">
        <v>277</v>
      </c>
      <c r="F4592" s="528"/>
      <c r="G4592" s="528" t="s">
        <v>208</v>
      </c>
      <c r="H4592"/>
    </row>
    <row r="4593" spans="1:8" x14ac:dyDescent="0.35">
      <c r="A4593" s="528" t="s">
        <v>13096</v>
      </c>
      <c r="B4593" s="528" t="s">
        <v>13097</v>
      </c>
      <c r="C4593" s="528" t="s">
        <v>13098</v>
      </c>
      <c r="D4593" s="528" t="s">
        <v>225</v>
      </c>
      <c r="E4593" s="528"/>
      <c r="F4593" s="528"/>
      <c r="G4593" s="528" t="s">
        <v>208</v>
      </c>
      <c r="H4593"/>
    </row>
    <row r="4594" spans="1:8" x14ac:dyDescent="0.35">
      <c r="A4594" s="528" t="s">
        <v>13099</v>
      </c>
      <c r="B4594" s="528" t="s">
        <v>13100</v>
      </c>
      <c r="C4594" s="528" t="s">
        <v>13101</v>
      </c>
      <c r="D4594" s="528" t="s">
        <v>251</v>
      </c>
      <c r="E4594" s="528"/>
      <c r="F4594" s="528"/>
      <c r="G4594" s="528" t="s">
        <v>208</v>
      </c>
      <c r="H4594"/>
    </row>
    <row r="4595" spans="1:8" x14ac:dyDescent="0.35">
      <c r="A4595" s="528" t="s">
        <v>13102</v>
      </c>
      <c r="B4595" s="528" t="s">
        <v>13103</v>
      </c>
      <c r="C4595" s="528" t="s">
        <v>13104</v>
      </c>
      <c r="D4595" s="528" t="s">
        <v>225</v>
      </c>
      <c r="E4595" s="528" t="s">
        <v>264</v>
      </c>
      <c r="F4595" s="528"/>
      <c r="G4595" s="528" t="s">
        <v>205</v>
      </c>
      <c r="H4595"/>
    </row>
    <row r="4596" spans="1:8" x14ac:dyDescent="0.35">
      <c r="A4596" s="528" t="s">
        <v>13105</v>
      </c>
      <c r="B4596" s="528" t="s">
        <v>13106</v>
      </c>
      <c r="C4596" s="528" t="s">
        <v>13107</v>
      </c>
      <c r="D4596" s="528" t="s">
        <v>264</v>
      </c>
      <c r="E4596" s="528"/>
      <c r="F4596" s="528"/>
      <c r="G4596" s="528" t="s">
        <v>208</v>
      </c>
      <c r="H4596"/>
    </row>
    <row r="4597" spans="1:8" x14ac:dyDescent="0.35">
      <c r="A4597" s="528" t="s">
        <v>13108</v>
      </c>
      <c r="B4597" s="528" t="s">
        <v>13109</v>
      </c>
      <c r="C4597" s="528" t="s">
        <v>13110</v>
      </c>
      <c r="D4597" s="528" t="s">
        <v>225</v>
      </c>
      <c r="E4597" s="528"/>
      <c r="F4597" s="528"/>
      <c r="G4597" s="528" t="s">
        <v>208</v>
      </c>
      <c r="H4597"/>
    </row>
    <row r="4598" spans="1:8" x14ac:dyDescent="0.35">
      <c r="A4598" s="528" t="s">
        <v>13111</v>
      </c>
      <c r="B4598" s="528" t="s">
        <v>13112</v>
      </c>
      <c r="C4598" s="528" t="s">
        <v>13113</v>
      </c>
      <c r="D4598" s="528" t="s">
        <v>264</v>
      </c>
      <c r="E4598" s="528"/>
      <c r="F4598" s="528"/>
      <c r="G4598" s="528" t="s">
        <v>208</v>
      </c>
      <c r="H4598"/>
    </row>
    <row r="4599" spans="1:8" x14ac:dyDescent="0.35">
      <c r="A4599" s="528" t="s">
        <v>13114</v>
      </c>
      <c r="B4599" s="528" t="s">
        <v>13115</v>
      </c>
      <c r="C4599" s="528" t="s">
        <v>13116</v>
      </c>
      <c r="D4599" s="528" t="s">
        <v>264</v>
      </c>
      <c r="E4599" s="528" t="s">
        <v>277</v>
      </c>
      <c r="F4599" s="528" t="s">
        <v>225</v>
      </c>
      <c r="G4599" s="528" t="s">
        <v>205</v>
      </c>
      <c r="H4599"/>
    </row>
    <row r="4600" spans="1:8" x14ac:dyDescent="0.35">
      <c r="A4600" s="528" t="s">
        <v>13117</v>
      </c>
      <c r="B4600" s="528" t="s">
        <v>13118</v>
      </c>
      <c r="C4600" s="528" t="s">
        <v>13119</v>
      </c>
      <c r="D4600" s="528" t="s">
        <v>264</v>
      </c>
      <c r="E4600" s="528"/>
      <c r="F4600" s="528"/>
      <c r="G4600" s="528" t="s">
        <v>205</v>
      </c>
      <c r="H4600"/>
    </row>
    <row r="4601" spans="1:8" x14ac:dyDescent="0.35">
      <c r="A4601" s="528" t="s">
        <v>13120</v>
      </c>
      <c r="B4601" s="528" t="s">
        <v>13121</v>
      </c>
      <c r="C4601" s="528" t="s">
        <v>13122</v>
      </c>
      <c r="D4601" s="528" t="s">
        <v>264</v>
      </c>
      <c r="E4601" s="528"/>
      <c r="F4601" s="528"/>
      <c r="G4601" s="528" t="s">
        <v>208</v>
      </c>
      <c r="H4601"/>
    </row>
    <row r="4602" spans="1:8" x14ac:dyDescent="0.35">
      <c r="A4602" s="528" t="s">
        <v>13123</v>
      </c>
      <c r="B4602" s="528" t="s">
        <v>13124</v>
      </c>
      <c r="C4602" s="528" t="s">
        <v>13125</v>
      </c>
      <c r="D4602" s="528" t="s">
        <v>277</v>
      </c>
      <c r="E4602" s="528"/>
      <c r="F4602" s="528"/>
      <c r="G4602" s="528" t="s">
        <v>214</v>
      </c>
      <c r="H4602"/>
    </row>
    <row r="4603" spans="1:8" x14ac:dyDescent="0.35">
      <c r="A4603" s="528" t="s">
        <v>13126</v>
      </c>
      <c r="B4603" s="528" t="s">
        <v>13127</v>
      </c>
      <c r="C4603" s="528" t="s">
        <v>13128</v>
      </c>
      <c r="D4603" s="528" t="s">
        <v>277</v>
      </c>
      <c r="E4603" s="528"/>
      <c r="F4603" s="528"/>
      <c r="G4603" s="528" t="s">
        <v>212</v>
      </c>
      <c r="H4603"/>
    </row>
    <row r="4604" spans="1:8" x14ac:dyDescent="0.35">
      <c r="A4604" s="528" t="s">
        <v>13129</v>
      </c>
      <c r="B4604" s="528" t="s">
        <v>13130</v>
      </c>
      <c r="C4604" s="528" t="s">
        <v>13131</v>
      </c>
      <c r="D4604" s="528" t="s">
        <v>264</v>
      </c>
      <c r="E4604" s="528"/>
      <c r="F4604" s="528"/>
      <c r="G4604" s="528" t="s">
        <v>208</v>
      </c>
      <c r="H4604"/>
    </row>
    <row r="4605" spans="1:8" x14ac:dyDescent="0.35">
      <c r="A4605" s="528" t="s">
        <v>13132</v>
      </c>
      <c r="B4605" s="528" t="s">
        <v>13133</v>
      </c>
      <c r="C4605" s="528" t="s">
        <v>13134</v>
      </c>
      <c r="D4605" s="528" t="s">
        <v>277</v>
      </c>
      <c r="E4605" s="528"/>
      <c r="F4605" s="528"/>
      <c r="G4605" s="528" t="s">
        <v>208</v>
      </c>
      <c r="H4605"/>
    </row>
    <row r="4606" spans="1:8" x14ac:dyDescent="0.35">
      <c r="A4606" s="528" t="s">
        <v>13135</v>
      </c>
      <c r="B4606" s="528" t="s">
        <v>13136</v>
      </c>
      <c r="C4606" s="528" t="s">
        <v>13137</v>
      </c>
      <c r="D4606" s="528" t="s">
        <v>277</v>
      </c>
      <c r="E4606" s="528"/>
      <c r="F4606" s="528"/>
      <c r="G4606" s="528" t="s">
        <v>208</v>
      </c>
      <c r="H4606"/>
    </row>
    <row r="4607" spans="1:8" x14ac:dyDescent="0.35">
      <c r="A4607" s="528" t="s">
        <v>13138</v>
      </c>
      <c r="B4607" s="528" t="s">
        <v>13139</v>
      </c>
      <c r="C4607" s="528" t="s">
        <v>13140</v>
      </c>
      <c r="D4607" s="528" t="s">
        <v>264</v>
      </c>
      <c r="E4607" s="528"/>
      <c r="F4607" s="528"/>
      <c r="G4607" s="528" t="s">
        <v>208</v>
      </c>
      <c r="H4607"/>
    </row>
    <row r="4608" spans="1:8" x14ac:dyDescent="0.35">
      <c r="A4608" s="528" t="s">
        <v>13141</v>
      </c>
      <c r="B4608" s="528" t="s">
        <v>13142</v>
      </c>
      <c r="C4608" s="528" t="s">
        <v>13143</v>
      </c>
      <c r="D4608" s="528" t="s">
        <v>264</v>
      </c>
      <c r="E4608" s="528"/>
      <c r="F4608" s="528"/>
      <c r="G4608" s="528" t="s">
        <v>208</v>
      </c>
      <c r="H4608"/>
    </row>
    <row r="4609" spans="1:8" x14ac:dyDescent="0.35">
      <c r="A4609" s="528" t="s">
        <v>13144</v>
      </c>
      <c r="B4609" s="528" t="s">
        <v>13145</v>
      </c>
      <c r="C4609" s="528" t="s">
        <v>13146</v>
      </c>
      <c r="D4609" s="528" t="s">
        <v>277</v>
      </c>
      <c r="E4609" s="528"/>
      <c r="F4609" s="528"/>
      <c r="G4609" s="528" t="s">
        <v>208</v>
      </c>
      <c r="H4609"/>
    </row>
    <row r="4610" spans="1:8" x14ac:dyDescent="0.35">
      <c r="A4610" s="528" t="s">
        <v>13147</v>
      </c>
      <c r="B4610" s="528" t="s">
        <v>13148</v>
      </c>
      <c r="C4610" s="528" t="s">
        <v>13149</v>
      </c>
      <c r="D4610" s="528" t="s">
        <v>225</v>
      </c>
      <c r="E4610" s="528"/>
      <c r="F4610" s="528"/>
      <c r="G4610" s="528" t="s">
        <v>205</v>
      </c>
      <c r="H4610"/>
    </row>
    <row r="4611" spans="1:8" x14ac:dyDescent="0.35">
      <c r="A4611" s="528" t="s">
        <v>13150</v>
      </c>
      <c r="B4611" s="528" t="s">
        <v>13151</v>
      </c>
      <c r="C4611" s="528" t="s">
        <v>13152</v>
      </c>
      <c r="D4611" s="528" t="s">
        <v>238</v>
      </c>
      <c r="E4611" s="528"/>
      <c r="F4611" s="528"/>
      <c r="G4611" s="528" t="s">
        <v>205</v>
      </c>
      <c r="H4611"/>
    </row>
    <row r="4612" spans="1:8" x14ac:dyDescent="0.35">
      <c r="A4612" s="528" t="s">
        <v>13153</v>
      </c>
      <c r="B4612" s="528" t="s">
        <v>13154</v>
      </c>
      <c r="C4612" s="528" t="s">
        <v>13155</v>
      </c>
      <c r="D4612" s="528" t="s">
        <v>225</v>
      </c>
      <c r="E4612" s="528"/>
      <c r="F4612" s="528"/>
      <c r="G4612" s="528" t="s">
        <v>208</v>
      </c>
      <c r="H4612"/>
    </row>
    <row r="4613" spans="1:8" x14ac:dyDescent="0.35">
      <c r="A4613" s="528" t="s">
        <v>13156</v>
      </c>
      <c r="B4613" s="528" t="s">
        <v>13157</v>
      </c>
      <c r="C4613" s="528" t="s">
        <v>13158</v>
      </c>
      <c r="D4613" s="528" t="s">
        <v>264</v>
      </c>
      <c r="E4613" s="528"/>
      <c r="F4613" s="528"/>
      <c r="G4613" s="528" t="s">
        <v>210</v>
      </c>
      <c r="H4613"/>
    </row>
    <row r="4614" spans="1:8" x14ac:dyDescent="0.35">
      <c r="A4614" s="528" t="s">
        <v>13159</v>
      </c>
      <c r="B4614" s="528" t="s">
        <v>13160</v>
      </c>
      <c r="C4614" s="528" t="s">
        <v>13161</v>
      </c>
      <c r="D4614" s="528" t="s">
        <v>264</v>
      </c>
      <c r="E4614" s="528"/>
      <c r="F4614" s="528"/>
      <c r="G4614" s="528" t="s">
        <v>205</v>
      </c>
      <c r="H4614"/>
    </row>
    <row r="4615" spans="1:8" x14ac:dyDescent="0.35">
      <c r="A4615" s="528" t="s">
        <v>13162</v>
      </c>
      <c r="B4615" s="528" t="s">
        <v>13163</v>
      </c>
      <c r="C4615" s="528" t="s">
        <v>13164</v>
      </c>
      <c r="D4615" s="528" t="s">
        <v>277</v>
      </c>
      <c r="E4615" s="528"/>
      <c r="F4615" s="528"/>
      <c r="G4615" s="528" t="s">
        <v>205</v>
      </c>
      <c r="H4615"/>
    </row>
    <row r="4616" spans="1:8" x14ac:dyDescent="0.35">
      <c r="A4616" s="528" t="s">
        <v>13165</v>
      </c>
      <c r="B4616" s="528" t="s">
        <v>13166</v>
      </c>
      <c r="C4616" s="528" t="s">
        <v>13167</v>
      </c>
      <c r="D4616" s="528" t="s">
        <v>277</v>
      </c>
      <c r="E4616" s="528"/>
      <c r="F4616" s="528"/>
      <c r="G4616" s="528" t="s">
        <v>208</v>
      </c>
      <c r="H4616"/>
    </row>
    <row r="4617" spans="1:8" x14ac:dyDescent="0.35">
      <c r="A4617" s="528" t="s">
        <v>13168</v>
      </c>
      <c r="B4617" s="528" t="s">
        <v>13169</v>
      </c>
      <c r="C4617" s="528" t="s">
        <v>13170</v>
      </c>
      <c r="D4617" s="528" t="s">
        <v>238</v>
      </c>
      <c r="E4617" s="528"/>
      <c r="F4617" s="528"/>
      <c r="G4617" s="528" t="s">
        <v>205</v>
      </c>
      <c r="H4617"/>
    </row>
    <row r="4618" spans="1:8" x14ac:dyDescent="0.35">
      <c r="A4618" s="528" t="s">
        <v>13171</v>
      </c>
      <c r="B4618" s="528" t="s">
        <v>13172</v>
      </c>
      <c r="C4618" s="528" t="s">
        <v>13173</v>
      </c>
      <c r="D4618" s="528" t="s">
        <v>225</v>
      </c>
      <c r="E4618" s="528"/>
      <c r="F4618" s="528"/>
      <c r="G4618" s="528" t="s">
        <v>205</v>
      </c>
      <c r="H4618"/>
    </row>
    <row r="4619" spans="1:8" x14ac:dyDescent="0.35">
      <c r="A4619" s="528" t="s">
        <v>13174</v>
      </c>
      <c r="B4619" s="528" t="s">
        <v>13175</v>
      </c>
      <c r="C4619" s="528" t="s">
        <v>13176</v>
      </c>
      <c r="D4619" s="528" t="s">
        <v>225</v>
      </c>
      <c r="E4619" s="528"/>
      <c r="F4619" s="528"/>
      <c r="G4619" s="528" t="s">
        <v>205</v>
      </c>
      <c r="H4619"/>
    </row>
    <row r="4620" spans="1:8" x14ac:dyDescent="0.35">
      <c r="A4620" s="528" t="s">
        <v>13177</v>
      </c>
      <c r="B4620" s="528" t="s">
        <v>13178</v>
      </c>
      <c r="C4620" s="528" t="s">
        <v>13179</v>
      </c>
      <c r="D4620" s="528" t="s">
        <v>225</v>
      </c>
      <c r="E4620" s="528"/>
      <c r="F4620" s="528"/>
      <c r="G4620" s="528" t="s">
        <v>205</v>
      </c>
      <c r="H4620"/>
    </row>
    <row r="4621" spans="1:8" x14ac:dyDescent="0.35">
      <c r="A4621" s="528" t="s">
        <v>13180</v>
      </c>
      <c r="B4621" s="528" t="s">
        <v>13181</v>
      </c>
      <c r="C4621" s="528" t="s">
        <v>13182</v>
      </c>
      <c r="D4621" s="528" t="s">
        <v>225</v>
      </c>
      <c r="E4621" s="528"/>
      <c r="F4621" s="528"/>
      <c r="G4621" s="528" t="s">
        <v>205</v>
      </c>
      <c r="H4621"/>
    </row>
    <row r="4622" spans="1:8" x14ac:dyDescent="0.35">
      <c r="A4622" s="528" t="s">
        <v>13183</v>
      </c>
      <c r="B4622" s="528" t="s">
        <v>13184</v>
      </c>
      <c r="C4622" s="528" t="s">
        <v>13185</v>
      </c>
      <c r="D4622" s="528" t="s">
        <v>264</v>
      </c>
      <c r="E4622" s="528"/>
      <c r="F4622" s="528"/>
      <c r="G4622" s="528" t="s">
        <v>205</v>
      </c>
      <c r="H4622"/>
    </row>
    <row r="4623" spans="1:8" x14ac:dyDescent="0.35">
      <c r="A4623" s="528" t="s">
        <v>13186</v>
      </c>
      <c r="B4623" s="528" t="s">
        <v>13187</v>
      </c>
      <c r="C4623" s="528" t="s">
        <v>13188</v>
      </c>
      <c r="D4623" s="528" t="s">
        <v>225</v>
      </c>
      <c r="E4623" s="528"/>
      <c r="F4623" s="528"/>
      <c r="G4623" s="528" t="s">
        <v>205</v>
      </c>
      <c r="H4623"/>
    </row>
    <row r="4624" spans="1:8" x14ac:dyDescent="0.35">
      <c r="A4624" s="528" t="s">
        <v>13189</v>
      </c>
      <c r="B4624" s="528" t="s">
        <v>13190</v>
      </c>
      <c r="C4624" s="528" t="s">
        <v>13191</v>
      </c>
      <c r="D4624" s="528" t="s">
        <v>277</v>
      </c>
      <c r="E4624" s="528"/>
      <c r="F4624" s="528"/>
      <c r="G4624" s="528" t="s">
        <v>205</v>
      </c>
      <c r="H4624"/>
    </row>
    <row r="4625" spans="1:8" x14ac:dyDescent="0.35">
      <c r="A4625" s="528" t="s">
        <v>13192</v>
      </c>
      <c r="B4625" s="528" t="s">
        <v>13193</v>
      </c>
      <c r="C4625" s="528" t="s">
        <v>13194</v>
      </c>
      <c r="D4625" s="528" t="s">
        <v>264</v>
      </c>
      <c r="E4625" s="528"/>
      <c r="F4625" s="528"/>
      <c r="G4625" s="528" t="s">
        <v>205</v>
      </c>
      <c r="H4625"/>
    </row>
    <row r="4626" spans="1:8" x14ac:dyDescent="0.35">
      <c r="A4626" s="528" t="s">
        <v>13195</v>
      </c>
      <c r="B4626" s="528" t="s">
        <v>13196</v>
      </c>
      <c r="C4626" s="528" t="s">
        <v>13197</v>
      </c>
      <c r="D4626" s="528" t="s">
        <v>251</v>
      </c>
      <c r="E4626" s="528"/>
      <c r="F4626" s="528"/>
      <c r="G4626" s="528" t="s">
        <v>205</v>
      </c>
      <c r="H4626"/>
    </row>
    <row r="4627" spans="1:8" x14ac:dyDescent="0.35">
      <c r="A4627" s="528" t="s">
        <v>13198</v>
      </c>
      <c r="B4627" s="528" t="s">
        <v>13199</v>
      </c>
      <c r="C4627" s="528" t="s">
        <v>13200</v>
      </c>
      <c r="D4627" s="528" t="s">
        <v>264</v>
      </c>
      <c r="E4627" s="528"/>
      <c r="F4627" s="528"/>
      <c r="G4627" s="528" t="s">
        <v>205</v>
      </c>
      <c r="H4627"/>
    </row>
    <row r="4628" spans="1:8" x14ac:dyDescent="0.35">
      <c r="A4628" s="528" t="s">
        <v>13201</v>
      </c>
      <c r="B4628" s="528" t="s">
        <v>13202</v>
      </c>
      <c r="C4628" s="528" t="s">
        <v>13203</v>
      </c>
      <c r="D4628" s="528" t="s">
        <v>277</v>
      </c>
      <c r="E4628" s="528"/>
      <c r="F4628" s="528"/>
      <c r="G4628" s="528" t="s">
        <v>205</v>
      </c>
      <c r="H4628"/>
    </row>
    <row r="4629" spans="1:8" x14ac:dyDescent="0.35">
      <c r="A4629" s="528" t="s">
        <v>13204</v>
      </c>
      <c r="B4629" s="528" t="s">
        <v>13205</v>
      </c>
      <c r="C4629" s="528" t="s">
        <v>13206</v>
      </c>
      <c r="D4629" s="528" t="s">
        <v>264</v>
      </c>
      <c r="E4629" s="528"/>
      <c r="F4629" s="528"/>
      <c r="G4629" s="528" t="s">
        <v>208</v>
      </c>
      <c r="H4629"/>
    </row>
    <row r="4630" spans="1:8" x14ac:dyDescent="0.35">
      <c r="A4630" s="528" t="s">
        <v>13207</v>
      </c>
      <c r="B4630" s="528" t="s">
        <v>13208</v>
      </c>
      <c r="C4630" s="528" t="s">
        <v>13209</v>
      </c>
      <c r="D4630" s="528" t="s">
        <v>277</v>
      </c>
      <c r="E4630" s="528"/>
      <c r="F4630" s="528"/>
      <c r="G4630" s="528" t="s">
        <v>208</v>
      </c>
      <c r="H4630"/>
    </row>
    <row r="4631" spans="1:8" x14ac:dyDescent="0.35">
      <c r="A4631" s="528" t="s">
        <v>13210</v>
      </c>
      <c r="B4631" s="528" t="s">
        <v>13211</v>
      </c>
      <c r="C4631" s="528" t="s">
        <v>13212</v>
      </c>
      <c r="D4631" s="528" t="s">
        <v>264</v>
      </c>
      <c r="E4631" s="528"/>
      <c r="F4631" s="528"/>
      <c r="G4631" s="528" t="s">
        <v>210</v>
      </c>
      <c r="H4631"/>
    </row>
    <row r="4632" spans="1:8" x14ac:dyDescent="0.35">
      <c r="A4632" s="528" t="s">
        <v>13213</v>
      </c>
      <c r="B4632" s="528" t="s">
        <v>13214</v>
      </c>
      <c r="C4632" s="528" t="s">
        <v>13215</v>
      </c>
      <c r="D4632" s="528" t="s">
        <v>264</v>
      </c>
      <c r="E4632" s="528"/>
      <c r="F4632" s="528"/>
      <c r="G4632" s="528" t="s">
        <v>205</v>
      </c>
      <c r="H4632"/>
    </row>
    <row r="4633" spans="1:8" x14ac:dyDescent="0.35">
      <c r="A4633" s="528" t="s">
        <v>13216</v>
      </c>
      <c r="B4633" s="528" t="s">
        <v>13217</v>
      </c>
      <c r="C4633" s="528" t="s">
        <v>13218</v>
      </c>
      <c r="D4633" s="528" t="s">
        <v>277</v>
      </c>
      <c r="E4633" s="528"/>
      <c r="F4633" s="528"/>
      <c r="G4633" s="528" t="s">
        <v>208</v>
      </c>
      <c r="H4633"/>
    </row>
    <row r="4634" spans="1:8" x14ac:dyDescent="0.35">
      <c r="A4634" s="528" t="s">
        <v>13219</v>
      </c>
      <c r="B4634" s="528" t="s">
        <v>13220</v>
      </c>
      <c r="C4634" s="528" t="s">
        <v>13221</v>
      </c>
      <c r="D4634" s="528" t="s">
        <v>277</v>
      </c>
      <c r="E4634" s="528"/>
      <c r="F4634" s="528"/>
      <c r="G4634" s="528" t="s">
        <v>208</v>
      </c>
      <c r="H4634"/>
    </row>
    <row r="4635" spans="1:8" x14ac:dyDescent="0.35">
      <c r="A4635" s="528" t="s">
        <v>13222</v>
      </c>
      <c r="B4635" s="528" t="s">
        <v>13223</v>
      </c>
      <c r="C4635" s="528" t="s">
        <v>13224</v>
      </c>
      <c r="D4635" s="528" t="s">
        <v>277</v>
      </c>
      <c r="E4635" s="528" t="s">
        <v>225</v>
      </c>
      <c r="F4635" s="528"/>
      <c r="G4635" s="528" t="s">
        <v>208</v>
      </c>
      <c r="H4635"/>
    </row>
    <row r="4636" spans="1:8" x14ac:dyDescent="0.35">
      <c r="A4636" s="528" t="s">
        <v>13225</v>
      </c>
      <c r="B4636" s="528" t="s">
        <v>13226</v>
      </c>
      <c r="C4636" s="528" t="s">
        <v>13227</v>
      </c>
      <c r="D4636" s="528" t="s">
        <v>277</v>
      </c>
      <c r="E4636" s="528"/>
      <c r="F4636" s="528"/>
      <c r="G4636" s="528" t="s">
        <v>208</v>
      </c>
      <c r="H4636"/>
    </row>
    <row r="4637" spans="1:8" x14ac:dyDescent="0.35">
      <c r="A4637" s="528" t="s">
        <v>13228</v>
      </c>
      <c r="B4637" s="528" t="s">
        <v>13229</v>
      </c>
      <c r="C4637" s="528" t="s">
        <v>13230</v>
      </c>
      <c r="D4637" s="528" t="s">
        <v>238</v>
      </c>
      <c r="E4637" s="528"/>
      <c r="F4637" s="528"/>
      <c r="G4637" s="528" t="s">
        <v>208</v>
      </c>
      <c r="H4637"/>
    </row>
    <row r="4638" spans="1:8" x14ac:dyDescent="0.35">
      <c r="A4638" s="528" t="s">
        <v>13231</v>
      </c>
      <c r="B4638" s="528" t="s">
        <v>13232</v>
      </c>
      <c r="C4638" s="528" t="s">
        <v>13233</v>
      </c>
      <c r="D4638" s="528" t="s">
        <v>251</v>
      </c>
      <c r="E4638" s="528"/>
      <c r="F4638" s="528"/>
      <c r="G4638" s="528" t="s">
        <v>208</v>
      </c>
      <c r="H4638"/>
    </row>
    <row r="4639" spans="1:8" x14ac:dyDescent="0.35">
      <c r="A4639" s="528" t="s">
        <v>13234</v>
      </c>
      <c r="B4639" s="528" t="s">
        <v>13235</v>
      </c>
      <c r="C4639" s="528" t="s">
        <v>13236</v>
      </c>
      <c r="D4639" s="528" t="s">
        <v>251</v>
      </c>
      <c r="E4639" s="528"/>
      <c r="F4639" s="528"/>
      <c r="G4639" s="528" t="s">
        <v>208</v>
      </c>
      <c r="H4639"/>
    </row>
    <row r="4640" spans="1:8" x14ac:dyDescent="0.35">
      <c r="A4640" s="528" t="s">
        <v>13237</v>
      </c>
      <c r="B4640" s="528" t="s">
        <v>13238</v>
      </c>
      <c r="C4640" s="528" t="s">
        <v>13239</v>
      </c>
      <c r="D4640" s="528" t="s">
        <v>251</v>
      </c>
      <c r="E4640" s="528"/>
      <c r="F4640" s="528"/>
      <c r="G4640" s="528" t="s">
        <v>208</v>
      </c>
      <c r="H4640"/>
    </row>
    <row r="4641" spans="1:8" x14ac:dyDescent="0.35">
      <c r="A4641" s="528" t="s">
        <v>13240</v>
      </c>
      <c r="B4641" s="528" t="s">
        <v>13241</v>
      </c>
      <c r="C4641" s="528" t="s">
        <v>13242</v>
      </c>
      <c r="D4641" s="528" t="s">
        <v>264</v>
      </c>
      <c r="E4641" s="528"/>
      <c r="F4641" s="528"/>
      <c r="G4641" s="528" t="s">
        <v>210</v>
      </c>
      <c r="H4641"/>
    </row>
    <row r="4642" spans="1:8" x14ac:dyDescent="0.35">
      <c r="A4642" s="528" t="s">
        <v>13243</v>
      </c>
      <c r="B4642" s="528" t="s">
        <v>13244</v>
      </c>
      <c r="C4642" s="528" t="s">
        <v>13245</v>
      </c>
      <c r="D4642" s="528" t="s">
        <v>264</v>
      </c>
      <c r="E4642" s="528"/>
      <c r="F4642" s="528"/>
      <c r="G4642" s="528" t="s">
        <v>205</v>
      </c>
      <c r="H4642"/>
    </row>
    <row r="4643" spans="1:8" x14ac:dyDescent="0.35">
      <c r="A4643" s="528" t="s">
        <v>13246</v>
      </c>
      <c r="B4643" s="528" t="s">
        <v>13247</v>
      </c>
      <c r="C4643" s="528" t="s">
        <v>13248</v>
      </c>
      <c r="D4643" s="528" t="s">
        <v>238</v>
      </c>
      <c r="E4643" s="528"/>
      <c r="F4643" s="528"/>
      <c r="G4643" s="528" t="s">
        <v>205</v>
      </c>
      <c r="H4643"/>
    </row>
    <row r="4644" spans="1:8" x14ac:dyDescent="0.35">
      <c r="A4644" s="528" t="s">
        <v>13249</v>
      </c>
      <c r="B4644" s="528" t="s">
        <v>13250</v>
      </c>
      <c r="C4644" s="528" t="s">
        <v>13251</v>
      </c>
      <c r="D4644" s="528" t="s">
        <v>238</v>
      </c>
      <c r="E4644" s="528"/>
      <c r="F4644" s="528"/>
      <c r="G4644" s="528" t="s">
        <v>208</v>
      </c>
      <c r="H4644"/>
    </row>
    <row r="4645" spans="1:8" x14ac:dyDescent="0.35">
      <c r="A4645" s="528" t="s">
        <v>13252</v>
      </c>
      <c r="B4645" s="528" t="s">
        <v>13253</v>
      </c>
      <c r="C4645" s="528" t="s">
        <v>13254</v>
      </c>
      <c r="D4645" s="528" t="s">
        <v>238</v>
      </c>
      <c r="E4645" s="528"/>
      <c r="F4645" s="528"/>
      <c r="G4645" s="528" t="s">
        <v>205</v>
      </c>
      <c r="H4645"/>
    </row>
    <row r="4646" spans="1:8" x14ac:dyDescent="0.35">
      <c r="A4646" s="528" t="s">
        <v>13255</v>
      </c>
      <c r="B4646" s="528" t="s">
        <v>13256</v>
      </c>
      <c r="C4646" s="528" t="s">
        <v>13257</v>
      </c>
      <c r="D4646" s="528" t="s">
        <v>238</v>
      </c>
      <c r="E4646" s="528"/>
      <c r="F4646" s="528"/>
      <c r="G4646" s="528" t="s">
        <v>208</v>
      </c>
      <c r="H4646"/>
    </row>
    <row r="4647" spans="1:8" x14ac:dyDescent="0.35">
      <c r="A4647" s="528" t="s">
        <v>13258</v>
      </c>
      <c r="B4647" s="528" t="s">
        <v>13259</v>
      </c>
      <c r="C4647" s="528" t="s">
        <v>13260</v>
      </c>
      <c r="D4647" s="528" t="s">
        <v>238</v>
      </c>
      <c r="E4647" s="528"/>
      <c r="F4647" s="528"/>
      <c r="G4647" s="528" t="s">
        <v>205</v>
      </c>
      <c r="H4647"/>
    </row>
    <row r="4648" spans="1:8" x14ac:dyDescent="0.35">
      <c r="A4648" s="528" t="s">
        <v>13261</v>
      </c>
      <c r="B4648" s="528" t="s">
        <v>13262</v>
      </c>
      <c r="C4648" s="528" t="s">
        <v>13263</v>
      </c>
      <c r="D4648" s="528" t="s">
        <v>238</v>
      </c>
      <c r="E4648" s="528"/>
      <c r="F4648" s="528"/>
      <c r="G4648" s="528" t="s">
        <v>208</v>
      </c>
      <c r="H4648"/>
    </row>
    <row r="4649" spans="1:8" x14ac:dyDescent="0.35">
      <c r="A4649" s="528" t="s">
        <v>13264</v>
      </c>
      <c r="B4649" s="528" t="s">
        <v>13265</v>
      </c>
      <c r="C4649" s="528" t="s">
        <v>13266</v>
      </c>
      <c r="D4649" s="528" t="s">
        <v>238</v>
      </c>
      <c r="E4649" s="528"/>
      <c r="F4649" s="528"/>
      <c r="G4649" s="528" t="s">
        <v>205</v>
      </c>
      <c r="H4649"/>
    </row>
    <row r="4650" spans="1:8" x14ac:dyDescent="0.35">
      <c r="A4650" s="528" t="s">
        <v>13267</v>
      </c>
      <c r="B4650" s="528" t="s">
        <v>13268</v>
      </c>
      <c r="C4650" s="528" t="s">
        <v>13269</v>
      </c>
      <c r="D4650" s="528" t="s">
        <v>238</v>
      </c>
      <c r="E4650" s="528"/>
      <c r="F4650" s="528"/>
      <c r="G4650" s="528" t="s">
        <v>208</v>
      </c>
      <c r="H4650"/>
    </row>
    <row r="4651" spans="1:8" x14ac:dyDescent="0.35">
      <c r="A4651" s="528" t="s">
        <v>13270</v>
      </c>
      <c r="B4651" s="528" t="s">
        <v>13271</v>
      </c>
      <c r="C4651" s="528" t="s">
        <v>13272</v>
      </c>
      <c r="D4651" s="528" t="s">
        <v>251</v>
      </c>
      <c r="E4651" s="528"/>
      <c r="F4651" s="528"/>
      <c r="G4651" s="528" t="s">
        <v>205</v>
      </c>
      <c r="H4651"/>
    </row>
    <row r="4652" spans="1:8" x14ac:dyDescent="0.35">
      <c r="A4652" s="528" t="s">
        <v>13273</v>
      </c>
      <c r="B4652" s="528" t="s">
        <v>13274</v>
      </c>
      <c r="C4652" s="528" t="s">
        <v>13275</v>
      </c>
      <c r="D4652" s="528" t="s">
        <v>251</v>
      </c>
      <c r="E4652" s="528"/>
      <c r="F4652" s="528"/>
      <c r="G4652" s="528" t="s">
        <v>205</v>
      </c>
      <c r="H4652"/>
    </row>
    <row r="4653" spans="1:8" x14ac:dyDescent="0.35">
      <c r="A4653" s="528" t="s">
        <v>13276</v>
      </c>
      <c r="B4653" s="528" t="s">
        <v>13277</v>
      </c>
      <c r="C4653" s="528" t="s">
        <v>13278</v>
      </c>
      <c r="D4653" s="528" t="s">
        <v>251</v>
      </c>
      <c r="E4653" s="528"/>
      <c r="F4653" s="528"/>
      <c r="G4653" s="528" t="s">
        <v>205</v>
      </c>
      <c r="H4653"/>
    </row>
    <row r="4654" spans="1:8" x14ac:dyDescent="0.35">
      <c r="A4654" s="528" t="s">
        <v>13279</v>
      </c>
      <c r="B4654" s="528" t="s">
        <v>13280</v>
      </c>
      <c r="C4654" s="528" t="s">
        <v>13281</v>
      </c>
      <c r="D4654" s="528" t="s">
        <v>251</v>
      </c>
      <c r="E4654" s="528" t="s">
        <v>264</v>
      </c>
      <c r="F4654" s="528"/>
      <c r="G4654" s="528" t="s">
        <v>205</v>
      </c>
      <c r="H4654"/>
    </row>
    <row r="4655" spans="1:8" x14ac:dyDescent="0.35">
      <c r="A4655" s="528" t="s">
        <v>13282</v>
      </c>
      <c r="B4655" s="528" t="s">
        <v>13283</v>
      </c>
      <c r="C4655" s="528" t="s">
        <v>13284</v>
      </c>
      <c r="D4655" s="528" t="s">
        <v>251</v>
      </c>
      <c r="E4655" s="528" t="s">
        <v>277</v>
      </c>
      <c r="F4655" s="528"/>
      <c r="G4655" s="528" t="s">
        <v>205</v>
      </c>
      <c r="H4655"/>
    </row>
    <row r="4656" spans="1:8" x14ac:dyDescent="0.35">
      <c r="A4656" s="528" t="s">
        <v>13285</v>
      </c>
      <c r="B4656" s="528" t="s">
        <v>13286</v>
      </c>
      <c r="C4656" s="528" t="s">
        <v>13287</v>
      </c>
      <c r="D4656" s="528" t="s">
        <v>251</v>
      </c>
      <c r="E4656" s="528"/>
      <c r="F4656" s="528"/>
      <c r="G4656" s="528" t="s">
        <v>208</v>
      </c>
      <c r="H4656"/>
    </row>
    <row r="4657" spans="1:8" x14ac:dyDescent="0.35">
      <c r="A4657" s="528" t="s">
        <v>13288</v>
      </c>
      <c r="B4657" s="528" t="s">
        <v>13289</v>
      </c>
      <c r="C4657" s="528" t="s">
        <v>13290</v>
      </c>
      <c r="D4657" s="528" t="s">
        <v>277</v>
      </c>
      <c r="E4657" s="528"/>
      <c r="F4657" s="528"/>
      <c r="G4657" s="528" t="s">
        <v>205</v>
      </c>
      <c r="H4657"/>
    </row>
    <row r="4658" spans="1:8" x14ac:dyDescent="0.35">
      <c r="A4658" s="528" t="s">
        <v>13291</v>
      </c>
      <c r="B4658" s="528" t="s">
        <v>13292</v>
      </c>
      <c r="C4658" s="528" t="s">
        <v>13293</v>
      </c>
      <c r="D4658" s="528" t="s">
        <v>251</v>
      </c>
      <c r="E4658" s="528"/>
      <c r="F4658" s="528"/>
      <c r="G4658" s="528" t="s">
        <v>205</v>
      </c>
      <c r="H4658"/>
    </row>
    <row r="4659" spans="1:8" x14ac:dyDescent="0.35">
      <c r="A4659" s="528" t="s">
        <v>13294</v>
      </c>
      <c r="B4659" s="528" t="s">
        <v>13295</v>
      </c>
      <c r="C4659" s="528" t="s">
        <v>13296</v>
      </c>
      <c r="D4659" s="528" t="s">
        <v>251</v>
      </c>
      <c r="E4659" s="528"/>
      <c r="F4659" s="528"/>
      <c r="G4659" s="528" t="s">
        <v>205</v>
      </c>
      <c r="H4659"/>
    </row>
    <row r="4660" spans="1:8" x14ac:dyDescent="0.35">
      <c r="A4660" s="528" t="s">
        <v>13297</v>
      </c>
      <c r="B4660" s="528" t="s">
        <v>13298</v>
      </c>
      <c r="C4660" s="528" t="s">
        <v>13299</v>
      </c>
      <c r="D4660" s="528" t="s">
        <v>251</v>
      </c>
      <c r="E4660" s="528"/>
      <c r="F4660" s="528"/>
      <c r="G4660" s="528" t="s">
        <v>205</v>
      </c>
      <c r="H4660"/>
    </row>
    <row r="4661" spans="1:8" x14ac:dyDescent="0.35">
      <c r="A4661" s="528" t="s">
        <v>13300</v>
      </c>
      <c r="B4661" s="528" t="s">
        <v>13301</v>
      </c>
      <c r="C4661" s="528" t="s">
        <v>13302</v>
      </c>
      <c r="D4661" s="528" t="s">
        <v>277</v>
      </c>
      <c r="E4661" s="528"/>
      <c r="F4661" s="528"/>
      <c r="G4661" s="528" t="s">
        <v>205</v>
      </c>
      <c r="H4661"/>
    </row>
    <row r="4662" spans="1:8" x14ac:dyDescent="0.35">
      <c r="A4662" s="528" t="s">
        <v>13303</v>
      </c>
      <c r="B4662" s="528" t="s">
        <v>13304</v>
      </c>
      <c r="C4662" s="528" t="s">
        <v>13305</v>
      </c>
      <c r="D4662" s="528" t="s">
        <v>277</v>
      </c>
      <c r="E4662" s="528"/>
      <c r="F4662" s="528"/>
      <c r="G4662" s="528" t="s">
        <v>208</v>
      </c>
      <c r="H4662"/>
    </row>
    <row r="4663" spans="1:8" x14ac:dyDescent="0.35">
      <c r="A4663" s="528" t="s">
        <v>13306</v>
      </c>
      <c r="B4663" s="528" t="s">
        <v>13307</v>
      </c>
      <c r="C4663" s="528" t="s">
        <v>13308</v>
      </c>
      <c r="D4663" s="528" t="s">
        <v>264</v>
      </c>
      <c r="E4663" s="528"/>
      <c r="F4663" s="528"/>
      <c r="G4663" s="528" t="s">
        <v>205</v>
      </c>
      <c r="H4663"/>
    </row>
    <row r="4664" spans="1:8" x14ac:dyDescent="0.35">
      <c r="A4664" s="528" t="s">
        <v>13309</v>
      </c>
      <c r="B4664" s="528" t="s">
        <v>13310</v>
      </c>
      <c r="C4664" s="528" t="s">
        <v>13311</v>
      </c>
      <c r="D4664" s="528" t="s">
        <v>264</v>
      </c>
      <c r="E4664" s="528"/>
      <c r="F4664" s="528"/>
      <c r="G4664" s="528" t="s">
        <v>205</v>
      </c>
      <c r="H4664"/>
    </row>
    <row r="4665" spans="1:8" x14ac:dyDescent="0.35">
      <c r="A4665" s="528" t="s">
        <v>13312</v>
      </c>
      <c r="B4665" s="528" t="s">
        <v>13313</v>
      </c>
      <c r="C4665" s="528" t="s">
        <v>13314</v>
      </c>
      <c r="D4665" s="528" t="s">
        <v>277</v>
      </c>
      <c r="E4665" s="528"/>
      <c r="F4665" s="528"/>
      <c r="G4665" s="528" t="s">
        <v>205</v>
      </c>
      <c r="H4665"/>
    </row>
    <row r="4666" spans="1:8" x14ac:dyDescent="0.35">
      <c r="A4666" s="528" t="s">
        <v>13315</v>
      </c>
      <c r="B4666" s="528" t="s">
        <v>13316</v>
      </c>
      <c r="C4666" s="528" t="s">
        <v>13317</v>
      </c>
      <c r="D4666" s="528" t="s">
        <v>264</v>
      </c>
      <c r="E4666" s="528"/>
      <c r="F4666" s="528"/>
      <c r="G4666" s="528" t="s">
        <v>208</v>
      </c>
      <c r="H4666"/>
    </row>
    <row r="4667" spans="1:8" x14ac:dyDescent="0.35">
      <c r="A4667" s="528" t="s">
        <v>13318</v>
      </c>
      <c r="B4667" s="528" t="s">
        <v>13319</v>
      </c>
      <c r="C4667" s="528" t="s">
        <v>13320</v>
      </c>
      <c r="D4667" s="528" t="s">
        <v>264</v>
      </c>
      <c r="E4667" s="528"/>
      <c r="F4667" s="528"/>
      <c r="G4667" s="528" t="s">
        <v>205</v>
      </c>
      <c r="H4667"/>
    </row>
    <row r="4668" spans="1:8" x14ac:dyDescent="0.35">
      <c r="A4668" s="528" t="s">
        <v>13321</v>
      </c>
      <c r="B4668" s="528" t="s">
        <v>13322</v>
      </c>
      <c r="C4668" s="528" t="s">
        <v>13323</v>
      </c>
      <c r="D4668" s="528" t="s">
        <v>277</v>
      </c>
      <c r="E4668" s="528"/>
      <c r="F4668" s="528"/>
      <c r="G4668" s="528" t="s">
        <v>208</v>
      </c>
      <c r="H4668"/>
    </row>
    <row r="4669" spans="1:8" x14ac:dyDescent="0.35">
      <c r="A4669" s="528" t="s">
        <v>13324</v>
      </c>
      <c r="B4669" s="528" t="s">
        <v>13325</v>
      </c>
      <c r="C4669" s="528" t="s">
        <v>13326</v>
      </c>
      <c r="D4669" s="528" t="s">
        <v>277</v>
      </c>
      <c r="E4669" s="528"/>
      <c r="F4669" s="528"/>
      <c r="G4669" s="528" t="s">
        <v>208</v>
      </c>
      <c r="H4669"/>
    </row>
    <row r="4670" spans="1:8" x14ac:dyDescent="0.35">
      <c r="A4670" s="528" t="s">
        <v>13327</v>
      </c>
      <c r="B4670" s="528" t="s">
        <v>13328</v>
      </c>
      <c r="C4670" s="528" t="s">
        <v>13329</v>
      </c>
      <c r="D4670" s="528" t="s">
        <v>225</v>
      </c>
      <c r="E4670" s="528"/>
      <c r="F4670" s="528"/>
      <c r="G4670" s="528" t="s">
        <v>205</v>
      </c>
      <c r="H4670"/>
    </row>
    <row r="4671" spans="1:8" x14ac:dyDescent="0.35">
      <c r="A4671" s="528" t="s">
        <v>13330</v>
      </c>
      <c r="B4671" s="528" t="s">
        <v>13331</v>
      </c>
      <c r="C4671" s="528" t="s">
        <v>13332</v>
      </c>
      <c r="D4671" s="528" t="s">
        <v>225</v>
      </c>
      <c r="E4671" s="528" t="s">
        <v>264</v>
      </c>
      <c r="F4671" s="528"/>
      <c r="G4671" s="528" t="s">
        <v>205</v>
      </c>
      <c r="H4671"/>
    </row>
    <row r="4672" spans="1:8" x14ac:dyDescent="0.35">
      <c r="A4672" s="528" t="s">
        <v>13333</v>
      </c>
      <c r="B4672" s="528" t="s">
        <v>13334</v>
      </c>
      <c r="C4672" s="528" t="s">
        <v>13335</v>
      </c>
      <c r="D4672" s="528" t="s">
        <v>225</v>
      </c>
      <c r="E4672" s="528"/>
      <c r="F4672" s="528"/>
      <c r="G4672" s="528" t="s">
        <v>205</v>
      </c>
      <c r="H4672"/>
    </row>
    <row r="4673" spans="1:8" x14ac:dyDescent="0.35">
      <c r="A4673" s="528" t="s">
        <v>13336</v>
      </c>
      <c r="B4673" s="528" t="s">
        <v>13337</v>
      </c>
      <c r="C4673" s="528" t="s">
        <v>13338</v>
      </c>
      <c r="D4673" s="528" t="s">
        <v>225</v>
      </c>
      <c r="E4673" s="528"/>
      <c r="F4673" s="528"/>
      <c r="G4673" s="528" t="s">
        <v>208</v>
      </c>
      <c r="H4673"/>
    </row>
    <row r="4674" spans="1:8" x14ac:dyDescent="0.35">
      <c r="A4674" s="528" t="s">
        <v>13339</v>
      </c>
      <c r="B4674" s="528" t="s">
        <v>13340</v>
      </c>
      <c r="C4674" s="528" t="s">
        <v>13341</v>
      </c>
      <c r="D4674" s="528" t="s">
        <v>225</v>
      </c>
      <c r="E4674" s="528" t="s">
        <v>264</v>
      </c>
      <c r="F4674" s="528"/>
      <c r="G4674" s="528" t="s">
        <v>208</v>
      </c>
      <c r="H4674"/>
    </row>
    <row r="4675" spans="1:8" x14ac:dyDescent="0.35">
      <c r="A4675" s="528" t="s">
        <v>13342</v>
      </c>
      <c r="B4675" s="528" t="s">
        <v>13343</v>
      </c>
      <c r="C4675" s="528" t="s">
        <v>13344</v>
      </c>
      <c r="D4675" s="528" t="s">
        <v>264</v>
      </c>
      <c r="E4675" s="528"/>
      <c r="F4675" s="528"/>
      <c r="G4675" s="528" t="s">
        <v>205</v>
      </c>
      <c r="H4675"/>
    </row>
    <row r="4676" spans="1:8" x14ac:dyDescent="0.35">
      <c r="A4676" s="528" t="s">
        <v>13345</v>
      </c>
      <c r="B4676" s="528" t="s">
        <v>13346</v>
      </c>
      <c r="C4676" s="528" t="s">
        <v>13347</v>
      </c>
      <c r="D4676" s="528" t="s">
        <v>264</v>
      </c>
      <c r="E4676" s="528"/>
      <c r="F4676" s="528"/>
      <c r="G4676" s="528" t="s">
        <v>208</v>
      </c>
      <c r="H4676"/>
    </row>
    <row r="4677" spans="1:8" x14ac:dyDescent="0.35">
      <c r="A4677" s="528" t="s">
        <v>13348</v>
      </c>
      <c r="B4677" s="528" t="s">
        <v>13349</v>
      </c>
      <c r="C4677" s="528" t="s">
        <v>13350</v>
      </c>
      <c r="D4677" s="528" t="s">
        <v>277</v>
      </c>
      <c r="E4677" s="528"/>
      <c r="F4677" s="528"/>
      <c r="G4677" s="528" t="s">
        <v>208</v>
      </c>
      <c r="H4677"/>
    </row>
    <row r="4678" spans="1:8" x14ac:dyDescent="0.35">
      <c r="A4678" s="528" t="s">
        <v>13351</v>
      </c>
      <c r="B4678" s="528" t="s">
        <v>13352</v>
      </c>
      <c r="C4678" s="528" t="s">
        <v>13353</v>
      </c>
      <c r="D4678" s="528" t="s">
        <v>225</v>
      </c>
      <c r="E4678" s="528" t="s">
        <v>264</v>
      </c>
      <c r="F4678" s="528"/>
      <c r="G4678" s="528" t="s">
        <v>205</v>
      </c>
      <c r="H4678"/>
    </row>
    <row r="4679" spans="1:8" x14ac:dyDescent="0.35">
      <c r="A4679" s="528" t="s">
        <v>13354</v>
      </c>
      <c r="B4679" s="528" t="s">
        <v>13355</v>
      </c>
      <c r="C4679" s="528" t="s">
        <v>13356</v>
      </c>
      <c r="D4679" s="528" t="s">
        <v>277</v>
      </c>
      <c r="E4679" s="528"/>
      <c r="F4679" s="528"/>
      <c r="G4679" s="528" t="s">
        <v>205</v>
      </c>
      <c r="H4679"/>
    </row>
    <row r="4680" spans="1:8" x14ac:dyDescent="0.35">
      <c r="A4680" s="528" t="s">
        <v>13357</v>
      </c>
      <c r="B4680" s="528" t="s">
        <v>13358</v>
      </c>
      <c r="C4680" s="528" t="s">
        <v>13359</v>
      </c>
      <c r="D4680" s="528" t="s">
        <v>264</v>
      </c>
      <c r="E4680" s="528"/>
      <c r="F4680" s="528"/>
      <c r="G4680" s="528" t="s">
        <v>205</v>
      </c>
      <c r="H4680"/>
    </row>
    <row r="4681" spans="1:8" x14ac:dyDescent="0.35">
      <c r="A4681" s="528" t="s">
        <v>13360</v>
      </c>
      <c r="B4681" s="528" t="s">
        <v>13361</v>
      </c>
      <c r="C4681" s="528" t="s">
        <v>13362</v>
      </c>
      <c r="D4681" s="528" t="s">
        <v>277</v>
      </c>
      <c r="E4681" s="528"/>
      <c r="F4681" s="528"/>
      <c r="G4681" s="528" t="s">
        <v>205</v>
      </c>
      <c r="H4681"/>
    </row>
    <row r="4682" spans="1:8" x14ac:dyDescent="0.35">
      <c r="A4682" s="528" t="s">
        <v>13363</v>
      </c>
      <c r="B4682" s="528" t="s">
        <v>13364</v>
      </c>
      <c r="C4682" s="528" t="s">
        <v>13365</v>
      </c>
      <c r="D4682" s="528" t="s">
        <v>277</v>
      </c>
      <c r="E4682" s="528"/>
      <c r="F4682" s="528"/>
      <c r="G4682" s="528" t="s">
        <v>205</v>
      </c>
      <c r="H4682"/>
    </row>
    <row r="4683" spans="1:8" x14ac:dyDescent="0.35">
      <c r="A4683" s="528" t="s">
        <v>13366</v>
      </c>
      <c r="B4683" s="528" t="s">
        <v>13367</v>
      </c>
      <c r="C4683" s="528" t="s">
        <v>13368</v>
      </c>
      <c r="D4683" s="528" t="s">
        <v>238</v>
      </c>
      <c r="E4683" s="528"/>
      <c r="F4683" s="528"/>
      <c r="G4683" s="528" t="s">
        <v>208</v>
      </c>
      <c r="H4683"/>
    </row>
    <row r="4684" spans="1:8" x14ac:dyDescent="0.35">
      <c r="A4684" s="528" t="s">
        <v>13369</v>
      </c>
      <c r="B4684" s="528" t="s">
        <v>13370</v>
      </c>
      <c r="C4684" s="528" t="s">
        <v>13371</v>
      </c>
      <c r="D4684" s="528" t="s">
        <v>238</v>
      </c>
      <c r="E4684" s="528"/>
      <c r="F4684" s="528"/>
      <c r="G4684" s="528" t="s">
        <v>208</v>
      </c>
      <c r="H4684"/>
    </row>
    <row r="4685" spans="1:8" x14ac:dyDescent="0.35">
      <c r="A4685" s="528" t="s">
        <v>13372</v>
      </c>
      <c r="B4685" s="528" t="s">
        <v>13373</v>
      </c>
      <c r="C4685" s="528" t="s">
        <v>13374</v>
      </c>
      <c r="D4685" s="528" t="s">
        <v>264</v>
      </c>
      <c r="E4685" s="528"/>
      <c r="F4685" s="528"/>
      <c r="G4685" s="528" t="s">
        <v>205</v>
      </c>
      <c r="H4685"/>
    </row>
    <row r="4686" spans="1:8" x14ac:dyDescent="0.35">
      <c r="A4686" s="528" t="s">
        <v>13375</v>
      </c>
      <c r="B4686" s="528" t="s">
        <v>13376</v>
      </c>
      <c r="C4686" s="528" t="s">
        <v>13377</v>
      </c>
      <c r="D4686" s="528" t="s">
        <v>264</v>
      </c>
      <c r="E4686" s="528"/>
      <c r="F4686" s="528"/>
      <c r="G4686" s="528" t="s">
        <v>208</v>
      </c>
      <c r="H4686"/>
    </row>
    <row r="4687" spans="1:8" x14ac:dyDescent="0.35">
      <c r="A4687" s="528" t="s">
        <v>13378</v>
      </c>
      <c r="B4687" s="528" t="s">
        <v>13379</v>
      </c>
      <c r="C4687" s="528" t="s">
        <v>13380</v>
      </c>
      <c r="D4687" s="528" t="s">
        <v>264</v>
      </c>
      <c r="E4687" s="528"/>
      <c r="F4687" s="528"/>
      <c r="G4687" s="528" t="s">
        <v>205</v>
      </c>
      <c r="H4687"/>
    </row>
    <row r="4688" spans="1:8" x14ac:dyDescent="0.35">
      <c r="A4688" s="528" t="s">
        <v>13381</v>
      </c>
      <c r="B4688" s="528" t="s">
        <v>13382</v>
      </c>
      <c r="C4688" s="528" t="s">
        <v>13383</v>
      </c>
      <c r="D4688" s="528" t="s">
        <v>277</v>
      </c>
      <c r="E4688" s="528" t="s">
        <v>264</v>
      </c>
      <c r="F4688" s="528"/>
      <c r="G4688" s="528" t="s">
        <v>205</v>
      </c>
      <c r="H4688"/>
    </row>
    <row r="4689" spans="1:8" x14ac:dyDescent="0.35">
      <c r="A4689" s="528" t="s">
        <v>13384</v>
      </c>
      <c r="B4689" s="528" t="s">
        <v>13385</v>
      </c>
      <c r="C4689" s="528" t="s">
        <v>13386</v>
      </c>
      <c r="D4689" s="528" t="s">
        <v>277</v>
      </c>
      <c r="E4689" s="528" t="s">
        <v>264</v>
      </c>
      <c r="F4689" s="528"/>
      <c r="G4689" s="528" t="s">
        <v>208</v>
      </c>
      <c r="H4689"/>
    </row>
    <row r="4690" spans="1:8" x14ac:dyDescent="0.35">
      <c r="A4690" s="528" t="s">
        <v>13387</v>
      </c>
      <c r="B4690" s="528" t="s">
        <v>13388</v>
      </c>
      <c r="C4690" s="528" t="s">
        <v>13389</v>
      </c>
      <c r="D4690" s="528" t="s">
        <v>225</v>
      </c>
      <c r="E4690" s="528" t="s">
        <v>251</v>
      </c>
      <c r="F4690" s="528"/>
      <c r="G4690" s="528" t="s">
        <v>205</v>
      </c>
      <c r="H4690"/>
    </row>
    <row r="4691" spans="1:8" x14ac:dyDescent="0.35">
      <c r="A4691" s="528" t="s">
        <v>13390</v>
      </c>
      <c r="B4691" s="528" t="s">
        <v>13391</v>
      </c>
      <c r="C4691" s="528" t="s">
        <v>13392</v>
      </c>
      <c r="D4691" s="528" t="s">
        <v>225</v>
      </c>
      <c r="E4691" s="528" t="s">
        <v>251</v>
      </c>
      <c r="F4691" s="528"/>
      <c r="G4691" s="528" t="s">
        <v>208</v>
      </c>
      <c r="H4691"/>
    </row>
    <row r="4692" spans="1:8" x14ac:dyDescent="0.35">
      <c r="A4692" s="528" t="s">
        <v>13393</v>
      </c>
      <c r="B4692" s="528" t="s">
        <v>13394</v>
      </c>
      <c r="C4692" s="528" t="s">
        <v>13395</v>
      </c>
      <c r="D4692" s="528" t="s">
        <v>251</v>
      </c>
      <c r="E4692" s="528"/>
      <c r="F4692" s="528"/>
      <c r="G4692" s="528" t="s">
        <v>205</v>
      </c>
      <c r="H4692"/>
    </row>
    <row r="4693" spans="1:8" x14ac:dyDescent="0.35">
      <c r="A4693" s="528" t="s">
        <v>13396</v>
      </c>
      <c r="B4693" s="528" t="s">
        <v>13397</v>
      </c>
      <c r="C4693" s="528" t="s">
        <v>13398</v>
      </c>
      <c r="D4693" s="528" t="s">
        <v>251</v>
      </c>
      <c r="E4693" s="528"/>
      <c r="F4693" s="528"/>
      <c r="G4693" s="528" t="s">
        <v>208</v>
      </c>
      <c r="H4693"/>
    </row>
    <row r="4694" spans="1:8" x14ac:dyDescent="0.35">
      <c r="A4694" s="528" t="s">
        <v>13399</v>
      </c>
      <c r="B4694" s="528" t="s">
        <v>13400</v>
      </c>
      <c r="C4694" s="528" t="s">
        <v>13401</v>
      </c>
      <c r="D4694" s="528" t="s">
        <v>264</v>
      </c>
      <c r="E4694" s="528"/>
      <c r="F4694" s="528"/>
      <c r="G4694" s="528" t="s">
        <v>205</v>
      </c>
      <c r="H4694"/>
    </row>
    <row r="4695" spans="1:8" x14ac:dyDescent="0.35">
      <c r="A4695" s="528" t="s">
        <v>13402</v>
      </c>
      <c r="B4695" s="528" t="s">
        <v>13403</v>
      </c>
      <c r="C4695" s="528" t="s">
        <v>13404</v>
      </c>
      <c r="D4695" s="528" t="s">
        <v>277</v>
      </c>
      <c r="E4695" s="528"/>
      <c r="F4695" s="528"/>
      <c r="G4695" s="528" t="s">
        <v>208</v>
      </c>
      <c r="H4695"/>
    </row>
    <row r="4696" spans="1:8" x14ac:dyDescent="0.35">
      <c r="A4696" s="528" t="s">
        <v>13405</v>
      </c>
      <c r="B4696" s="528" t="s">
        <v>13406</v>
      </c>
      <c r="C4696" s="528" t="s">
        <v>13407</v>
      </c>
      <c r="D4696" s="528" t="s">
        <v>277</v>
      </c>
      <c r="E4696" s="528" t="s">
        <v>264</v>
      </c>
      <c r="F4696" s="528"/>
      <c r="G4696" s="528" t="s">
        <v>208</v>
      </c>
      <c r="H4696"/>
    </row>
    <row r="4697" spans="1:8" x14ac:dyDescent="0.35">
      <c r="A4697" s="528" t="s">
        <v>13408</v>
      </c>
      <c r="B4697" s="528" t="s">
        <v>13409</v>
      </c>
      <c r="C4697" s="528" t="s">
        <v>13410</v>
      </c>
      <c r="D4697" s="528" t="s">
        <v>277</v>
      </c>
      <c r="E4697" s="528"/>
      <c r="F4697" s="528"/>
      <c r="G4697" s="528" t="s">
        <v>208</v>
      </c>
      <c r="H4697"/>
    </row>
    <row r="4698" spans="1:8" x14ac:dyDescent="0.35">
      <c r="A4698" s="528" t="s">
        <v>13411</v>
      </c>
      <c r="B4698" s="528" t="s">
        <v>13412</v>
      </c>
      <c r="C4698" s="528" t="s">
        <v>13413</v>
      </c>
      <c r="D4698" s="528" t="s">
        <v>264</v>
      </c>
      <c r="E4698" s="528" t="s">
        <v>277</v>
      </c>
      <c r="F4698" s="528"/>
      <c r="G4698" s="528" t="s">
        <v>208</v>
      </c>
      <c r="H4698"/>
    </row>
    <row r="4699" spans="1:8" x14ac:dyDescent="0.35">
      <c r="A4699" s="528" t="s">
        <v>13414</v>
      </c>
      <c r="B4699" s="528" t="s">
        <v>13415</v>
      </c>
      <c r="C4699" s="528" t="s">
        <v>13416</v>
      </c>
      <c r="D4699" s="528" t="s">
        <v>277</v>
      </c>
      <c r="E4699" s="528"/>
      <c r="F4699" s="528"/>
      <c r="G4699" s="528" t="s">
        <v>208</v>
      </c>
      <c r="H4699"/>
    </row>
    <row r="4700" spans="1:8" x14ac:dyDescent="0.35">
      <c r="A4700" s="528" t="s">
        <v>13417</v>
      </c>
      <c r="B4700" s="528" t="s">
        <v>13418</v>
      </c>
      <c r="C4700" s="528" t="s">
        <v>13419</v>
      </c>
      <c r="D4700" s="528" t="s">
        <v>277</v>
      </c>
      <c r="E4700" s="528"/>
      <c r="F4700" s="528"/>
      <c r="G4700" s="528" t="s">
        <v>208</v>
      </c>
      <c r="H4700"/>
    </row>
    <row r="4701" spans="1:8" x14ac:dyDescent="0.35">
      <c r="A4701" s="528" t="s">
        <v>13420</v>
      </c>
      <c r="B4701" s="528" t="s">
        <v>13421</v>
      </c>
      <c r="C4701" s="528" t="s">
        <v>13422</v>
      </c>
      <c r="D4701" s="528" t="s">
        <v>277</v>
      </c>
      <c r="E4701" s="528"/>
      <c r="F4701" s="528"/>
      <c r="G4701" s="528" t="s">
        <v>208</v>
      </c>
      <c r="H4701"/>
    </row>
    <row r="4702" spans="1:8" x14ac:dyDescent="0.35">
      <c r="A4702" s="528" t="s">
        <v>13423</v>
      </c>
      <c r="B4702" s="528" t="s">
        <v>13424</v>
      </c>
      <c r="C4702" s="528" t="s">
        <v>13425</v>
      </c>
      <c r="D4702" s="528" t="s">
        <v>277</v>
      </c>
      <c r="E4702" s="528"/>
      <c r="F4702" s="528"/>
      <c r="G4702" s="528" t="s">
        <v>208</v>
      </c>
      <c r="H4702"/>
    </row>
    <row r="4703" spans="1:8" x14ac:dyDescent="0.35">
      <c r="A4703" s="528" t="s">
        <v>13426</v>
      </c>
      <c r="B4703" s="528" t="s">
        <v>13427</v>
      </c>
      <c r="C4703" s="528" t="s">
        <v>13428</v>
      </c>
      <c r="D4703" s="528" t="s">
        <v>277</v>
      </c>
      <c r="E4703" s="528" t="s">
        <v>264</v>
      </c>
      <c r="F4703" s="528"/>
      <c r="G4703" s="528" t="s">
        <v>208</v>
      </c>
      <c r="H4703"/>
    </row>
    <row r="4704" spans="1:8" x14ac:dyDescent="0.35">
      <c r="A4704" s="528" t="s">
        <v>13429</v>
      </c>
      <c r="B4704" s="528" t="s">
        <v>13430</v>
      </c>
      <c r="C4704" s="528" t="s">
        <v>13431</v>
      </c>
      <c r="D4704" s="528" t="s">
        <v>264</v>
      </c>
      <c r="E4704" s="528" t="s">
        <v>277</v>
      </c>
      <c r="F4704" s="528"/>
      <c r="G4704" s="528" t="s">
        <v>208</v>
      </c>
      <c r="H4704"/>
    </row>
    <row r="4705" spans="1:8" x14ac:dyDescent="0.35">
      <c r="A4705" s="528" t="s">
        <v>13432</v>
      </c>
      <c r="B4705" s="528" t="s">
        <v>13433</v>
      </c>
      <c r="C4705" s="528" t="s">
        <v>13434</v>
      </c>
      <c r="D4705" s="528" t="s">
        <v>264</v>
      </c>
      <c r="E4705" s="528"/>
      <c r="F4705" s="528"/>
      <c r="G4705" s="528" t="s">
        <v>205</v>
      </c>
      <c r="H4705"/>
    </row>
    <row r="4706" spans="1:8" x14ac:dyDescent="0.35">
      <c r="A4706" s="528" t="s">
        <v>13435</v>
      </c>
      <c r="B4706" s="528" t="s">
        <v>13436</v>
      </c>
      <c r="C4706" s="528" t="s">
        <v>13437</v>
      </c>
      <c r="D4706" s="528" t="s">
        <v>264</v>
      </c>
      <c r="E4706" s="528"/>
      <c r="F4706" s="528"/>
      <c r="G4706" s="528" t="s">
        <v>208</v>
      </c>
      <c r="H4706"/>
    </row>
    <row r="4707" spans="1:8" x14ac:dyDescent="0.35">
      <c r="A4707" s="528" t="s">
        <v>13438</v>
      </c>
      <c r="B4707" s="528" t="s">
        <v>13439</v>
      </c>
      <c r="C4707" s="528" t="s">
        <v>13440</v>
      </c>
      <c r="D4707" s="528" t="s">
        <v>277</v>
      </c>
      <c r="E4707" s="528"/>
      <c r="F4707" s="528"/>
      <c r="G4707" s="528" t="s">
        <v>205</v>
      </c>
      <c r="H4707"/>
    </row>
    <row r="4708" spans="1:8" x14ac:dyDescent="0.35">
      <c r="A4708" s="528" t="s">
        <v>13441</v>
      </c>
      <c r="B4708" s="528" t="s">
        <v>13442</v>
      </c>
      <c r="C4708" s="528" t="s">
        <v>13443</v>
      </c>
      <c r="D4708" s="528" t="s">
        <v>251</v>
      </c>
      <c r="E4708" s="528"/>
      <c r="F4708" s="528"/>
      <c r="G4708" s="528" t="s">
        <v>208</v>
      </c>
      <c r="H4708"/>
    </row>
    <row r="4709" spans="1:8" x14ac:dyDescent="0.35">
      <c r="A4709" s="528" t="s">
        <v>13444</v>
      </c>
      <c r="B4709" s="528" t="s">
        <v>13445</v>
      </c>
      <c r="C4709" s="528" t="s">
        <v>13446</v>
      </c>
      <c r="D4709" s="528" t="s">
        <v>277</v>
      </c>
      <c r="E4709" s="528"/>
      <c r="F4709" s="528"/>
      <c r="G4709" s="528" t="s">
        <v>208</v>
      </c>
      <c r="H4709"/>
    </row>
    <row r="4710" spans="1:8" x14ac:dyDescent="0.35">
      <c r="A4710" s="528" t="s">
        <v>13447</v>
      </c>
      <c r="B4710" s="528" t="s">
        <v>13448</v>
      </c>
      <c r="C4710" s="528" t="s">
        <v>13449</v>
      </c>
      <c r="D4710" s="528" t="s">
        <v>251</v>
      </c>
      <c r="E4710" s="528"/>
      <c r="F4710" s="528"/>
      <c r="G4710" s="528" t="s">
        <v>208</v>
      </c>
      <c r="H4710"/>
    </row>
    <row r="4711" spans="1:8" x14ac:dyDescent="0.35">
      <c r="A4711" s="528" t="s">
        <v>13450</v>
      </c>
      <c r="B4711" s="528" t="s">
        <v>13451</v>
      </c>
      <c r="C4711" s="528" t="s">
        <v>28351</v>
      </c>
      <c r="D4711" s="528" t="s">
        <v>251</v>
      </c>
      <c r="E4711" s="528"/>
      <c r="F4711" s="528"/>
      <c r="G4711" s="528" t="s">
        <v>208</v>
      </c>
      <c r="H4711"/>
    </row>
    <row r="4712" spans="1:8" x14ac:dyDescent="0.35">
      <c r="A4712" s="528" t="s">
        <v>13452</v>
      </c>
      <c r="B4712" s="528" t="s">
        <v>13453</v>
      </c>
      <c r="C4712" s="528" t="s">
        <v>13454</v>
      </c>
      <c r="D4712" s="528" t="s">
        <v>238</v>
      </c>
      <c r="E4712" s="528"/>
      <c r="F4712" s="528"/>
      <c r="G4712" s="528" t="s">
        <v>205</v>
      </c>
      <c r="H4712"/>
    </row>
    <row r="4713" spans="1:8" x14ac:dyDescent="0.35">
      <c r="A4713" s="528" t="s">
        <v>13455</v>
      </c>
      <c r="B4713" s="528" t="s">
        <v>13456</v>
      </c>
      <c r="C4713" s="528" t="s">
        <v>13457</v>
      </c>
      <c r="D4713" s="528" t="s">
        <v>277</v>
      </c>
      <c r="E4713" s="528"/>
      <c r="F4713" s="528"/>
      <c r="G4713" s="528" t="s">
        <v>205</v>
      </c>
      <c r="H4713"/>
    </row>
    <row r="4714" spans="1:8" x14ac:dyDescent="0.35">
      <c r="A4714" s="528" t="s">
        <v>13458</v>
      </c>
      <c r="B4714" s="528" t="s">
        <v>13459</v>
      </c>
      <c r="C4714" s="528" t="s">
        <v>13460</v>
      </c>
      <c r="D4714" s="528" t="s">
        <v>277</v>
      </c>
      <c r="E4714" s="528"/>
      <c r="F4714" s="528"/>
      <c r="G4714" s="528" t="s">
        <v>205</v>
      </c>
      <c r="H4714"/>
    </row>
    <row r="4715" spans="1:8" x14ac:dyDescent="0.35">
      <c r="A4715" s="528" t="s">
        <v>13461</v>
      </c>
      <c r="B4715" s="528" t="s">
        <v>13462</v>
      </c>
      <c r="C4715" s="528" t="s">
        <v>13463</v>
      </c>
      <c r="D4715" s="528" t="s">
        <v>277</v>
      </c>
      <c r="E4715" s="528"/>
      <c r="F4715" s="528"/>
      <c r="G4715" s="528" t="s">
        <v>205</v>
      </c>
      <c r="H4715"/>
    </row>
    <row r="4716" spans="1:8" x14ac:dyDescent="0.35">
      <c r="A4716" s="528" t="s">
        <v>13464</v>
      </c>
      <c r="B4716" s="528" t="s">
        <v>13465</v>
      </c>
      <c r="C4716" s="528" t="s">
        <v>13466</v>
      </c>
      <c r="D4716" s="528" t="s">
        <v>238</v>
      </c>
      <c r="E4716" s="528"/>
      <c r="F4716" s="528"/>
      <c r="G4716" s="528" t="s">
        <v>205</v>
      </c>
      <c r="H4716"/>
    </row>
    <row r="4717" spans="1:8" x14ac:dyDescent="0.35">
      <c r="A4717" s="528" t="s">
        <v>13467</v>
      </c>
      <c r="B4717" s="528" t="s">
        <v>13468</v>
      </c>
      <c r="C4717" s="528" t="s">
        <v>13469</v>
      </c>
      <c r="D4717" s="528" t="s">
        <v>238</v>
      </c>
      <c r="E4717" s="528"/>
      <c r="F4717" s="528"/>
      <c r="G4717" s="528" t="s">
        <v>205</v>
      </c>
      <c r="H4717"/>
    </row>
    <row r="4718" spans="1:8" x14ac:dyDescent="0.35">
      <c r="A4718" s="528" t="s">
        <v>13470</v>
      </c>
      <c r="B4718" s="528" t="s">
        <v>13471</v>
      </c>
      <c r="C4718" s="528" t="s">
        <v>13472</v>
      </c>
      <c r="D4718" s="528" t="s">
        <v>238</v>
      </c>
      <c r="E4718" s="528" t="s">
        <v>277</v>
      </c>
      <c r="F4718" s="528"/>
      <c r="G4718" s="528" t="s">
        <v>205</v>
      </c>
      <c r="H4718"/>
    </row>
    <row r="4719" spans="1:8" x14ac:dyDescent="0.35">
      <c r="A4719" s="528" t="s">
        <v>13473</v>
      </c>
      <c r="B4719" s="528" t="s">
        <v>13474</v>
      </c>
      <c r="C4719" s="528" t="s">
        <v>13475</v>
      </c>
      <c r="D4719" s="528" t="s">
        <v>238</v>
      </c>
      <c r="E4719" s="528"/>
      <c r="F4719" s="528"/>
      <c r="G4719" s="528" t="s">
        <v>205</v>
      </c>
      <c r="H4719"/>
    </row>
    <row r="4720" spans="1:8" x14ac:dyDescent="0.35">
      <c r="A4720" s="528" t="s">
        <v>13476</v>
      </c>
      <c r="B4720" s="528" t="s">
        <v>13477</v>
      </c>
      <c r="C4720" s="528" t="s">
        <v>13478</v>
      </c>
      <c r="D4720" s="528" t="s">
        <v>225</v>
      </c>
      <c r="E4720" s="528"/>
      <c r="F4720" s="528"/>
      <c r="G4720" s="528" t="s">
        <v>205</v>
      </c>
      <c r="H4720"/>
    </row>
    <row r="4721" spans="1:8" x14ac:dyDescent="0.35">
      <c r="A4721" s="528" t="s">
        <v>13479</v>
      </c>
      <c r="B4721" s="528" t="s">
        <v>13480</v>
      </c>
      <c r="C4721" s="528" t="s">
        <v>13481</v>
      </c>
      <c r="D4721" s="528" t="s">
        <v>277</v>
      </c>
      <c r="E4721" s="528"/>
      <c r="F4721" s="528"/>
      <c r="G4721" s="528" t="s">
        <v>205</v>
      </c>
      <c r="H4721"/>
    </row>
    <row r="4722" spans="1:8" x14ac:dyDescent="0.35">
      <c r="A4722" s="528" t="s">
        <v>13482</v>
      </c>
      <c r="B4722" s="528" t="s">
        <v>13483</v>
      </c>
      <c r="C4722" s="528" t="s">
        <v>13484</v>
      </c>
      <c r="D4722" s="528" t="s">
        <v>264</v>
      </c>
      <c r="E4722" s="528"/>
      <c r="F4722" s="528"/>
      <c r="G4722" s="528" t="s">
        <v>205</v>
      </c>
      <c r="H4722"/>
    </row>
    <row r="4723" spans="1:8" x14ac:dyDescent="0.35">
      <c r="A4723" s="528" t="s">
        <v>13485</v>
      </c>
      <c r="B4723" s="528" t="s">
        <v>13486</v>
      </c>
      <c r="C4723" s="528" t="s">
        <v>13487</v>
      </c>
      <c r="D4723" s="528" t="s">
        <v>264</v>
      </c>
      <c r="E4723" s="528"/>
      <c r="F4723" s="528"/>
      <c r="G4723" s="528" t="s">
        <v>205</v>
      </c>
      <c r="H4723"/>
    </row>
    <row r="4724" spans="1:8" x14ac:dyDescent="0.35">
      <c r="A4724" s="528" t="s">
        <v>13488</v>
      </c>
      <c r="B4724" s="528" t="s">
        <v>13489</v>
      </c>
      <c r="C4724" s="528" t="s">
        <v>13490</v>
      </c>
      <c r="D4724" s="528" t="s">
        <v>264</v>
      </c>
      <c r="E4724" s="528"/>
      <c r="F4724" s="528"/>
      <c r="G4724" s="528" t="s">
        <v>205</v>
      </c>
      <c r="H4724"/>
    </row>
    <row r="4725" spans="1:8" x14ac:dyDescent="0.35">
      <c r="A4725" s="528" t="s">
        <v>13491</v>
      </c>
      <c r="B4725" s="528" t="s">
        <v>13492</v>
      </c>
      <c r="C4725" s="528" t="s">
        <v>13493</v>
      </c>
      <c r="D4725" s="528" t="s">
        <v>277</v>
      </c>
      <c r="E4725" s="528"/>
      <c r="F4725" s="528"/>
      <c r="G4725" s="528" t="s">
        <v>205</v>
      </c>
      <c r="H4725"/>
    </row>
    <row r="4726" spans="1:8" x14ac:dyDescent="0.35">
      <c r="A4726" s="528" t="s">
        <v>13494</v>
      </c>
      <c r="B4726" s="528" t="s">
        <v>13495</v>
      </c>
      <c r="C4726" s="528" t="s">
        <v>13496</v>
      </c>
      <c r="D4726" s="528" t="s">
        <v>277</v>
      </c>
      <c r="E4726" s="528"/>
      <c r="F4726" s="528"/>
      <c r="G4726" s="528" t="s">
        <v>208</v>
      </c>
      <c r="H4726"/>
    </row>
    <row r="4727" spans="1:8" x14ac:dyDescent="0.35">
      <c r="A4727" s="528" t="s">
        <v>13497</v>
      </c>
      <c r="B4727" s="528" t="s">
        <v>13498</v>
      </c>
      <c r="C4727" s="528" t="s">
        <v>13499</v>
      </c>
      <c r="D4727" s="528" t="s">
        <v>238</v>
      </c>
      <c r="E4727" s="528"/>
      <c r="F4727" s="528"/>
      <c r="G4727" s="528" t="s">
        <v>205</v>
      </c>
      <c r="H4727"/>
    </row>
    <row r="4728" spans="1:8" x14ac:dyDescent="0.35">
      <c r="A4728" s="528" t="s">
        <v>13500</v>
      </c>
      <c r="B4728" s="528" t="s">
        <v>13501</v>
      </c>
      <c r="C4728" s="528" t="s">
        <v>13502</v>
      </c>
      <c r="D4728" s="528" t="s">
        <v>251</v>
      </c>
      <c r="E4728" s="528"/>
      <c r="F4728" s="528"/>
      <c r="G4728" s="528" t="s">
        <v>205</v>
      </c>
      <c r="H4728"/>
    </row>
    <row r="4729" spans="1:8" x14ac:dyDescent="0.35">
      <c r="A4729" s="528" t="s">
        <v>13503</v>
      </c>
      <c r="B4729" s="528" t="s">
        <v>13504</v>
      </c>
      <c r="C4729" s="528" t="s">
        <v>13505</v>
      </c>
      <c r="D4729" s="528" t="s">
        <v>238</v>
      </c>
      <c r="E4729" s="528"/>
      <c r="F4729" s="528"/>
      <c r="G4729" s="528" t="s">
        <v>205</v>
      </c>
      <c r="H4729"/>
    </row>
    <row r="4730" spans="1:8" x14ac:dyDescent="0.35">
      <c r="A4730" s="528" t="s">
        <v>13506</v>
      </c>
      <c r="B4730" s="528" t="s">
        <v>13507</v>
      </c>
      <c r="C4730" s="528" t="s">
        <v>13508</v>
      </c>
      <c r="D4730" s="528" t="s">
        <v>251</v>
      </c>
      <c r="E4730" s="528"/>
      <c r="F4730" s="528"/>
      <c r="G4730" s="528" t="s">
        <v>208</v>
      </c>
      <c r="H4730"/>
    </row>
    <row r="4731" spans="1:8" x14ac:dyDescent="0.35">
      <c r="A4731" s="528" t="s">
        <v>13509</v>
      </c>
      <c r="B4731" s="528" t="s">
        <v>13510</v>
      </c>
      <c r="C4731" s="528" t="s">
        <v>13511</v>
      </c>
      <c r="D4731" s="528" t="s">
        <v>277</v>
      </c>
      <c r="E4731" s="528"/>
      <c r="F4731" s="528"/>
      <c r="G4731" s="528" t="s">
        <v>208</v>
      </c>
      <c r="H4731"/>
    </row>
    <row r="4732" spans="1:8" x14ac:dyDescent="0.35">
      <c r="A4732" s="528" t="s">
        <v>13512</v>
      </c>
      <c r="B4732" s="528" t="s">
        <v>13513</v>
      </c>
      <c r="C4732" s="528" t="s">
        <v>13514</v>
      </c>
      <c r="D4732" s="528" t="s">
        <v>277</v>
      </c>
      <c r="E4732" s="528"/>
      <c r="F4732" s="528"/>
      <c r="G4732" s="528" t="s">
        <v>205</v>
      </c>
      <c r="H4732"/>
    </row>
    <row r="4733" spans="1:8" x14ac:dyDescent="0.35">
      <c r="A4733" s="528" t="s">
        <v>13515</v>
      </c>
      <c r="B4733" s="528" t="s">
        <v>13516</v>
      </c>
      <c r="C4733" s="528" t="s">
        <v>13517</v>
      </c>
      <c r="D4733" s="528" t="s">
        <v>251</v>
      </c>
      <c r="E4733" s="528"/>
      <c r="F4733" s="528"/>
      <c r="G4733" s="528" t="s">
        <v>205</v>
      </c>
      <c r="H4733"/>
    </row>
    <row r="4734" spans="1:8" x14ac:dyDescent="0.35">
      <c r="A4734" s="528" t="s">
        <v>13518</v>
      </c>
      <c r="B4734" s="528" t="s">
        <v>13519</v>
      </c>
      <c r="C4734" s="528" t="s">
        <v>13520</v>
      </c>
      <c r="D4734" s="528" t="s">
        <v>238</v>
      </c>
      <c r="E4734" s="528"/>
      <c r="F4734" s="528"/>
      <c r="G4734" s="528" t="s">
        <v>205</v>
      </c>
      <c r="H4734"/>
    </row>
    <row r="4735" spans="1:8" x14ac:dyDescent="0.35">
      <c r="A4735" s="528" t="s">
        <v>13521</v>
      </c>
      <c r="B4735" s="528" t="s">
        <v>13522</v>
      </c>
      <c r="C4735" s="528" t="s">
        <v>13523</v>
      </c>
      <c r="D4735" s="528" t="s">
        <v>264</v>
      </c>
      <c r="E4735" s="528" t="s">
        <v>277</v>
      </c>
      <c r="F4735" s="528"/>
      <c r="G4735" s="528" t="s">
        <v>205</v>
      </c>
      <c r="H4735"/>
    </row>
    <row r="4736" spans="1:8" x14ac:dyDescent="0.35">
      <c r="A4736" s="528" t="s">
        <v>13524</v>
      </c>
      <c r="B4736" s="528" t="s">
        <v>13525</v>
      </c>
      <c r="C4736" s="528" t="s">
        <v>13526</v>
      </c>
      <c r="D4736" s="528" t="s">
        <v>225</v>
      </c>
      <c r="E4736" s="528" t="s">
        <v>264</v>
      </c>
      <c r="F4736" s="528"/>
      <c r="G4736" s="528" t="s">
        <v>208</v>
      </c>
      <c r="H4736"/>
    </row>
    <row r="4737" spans="1:8" x14ac:dyDescent="0.35">
      <c r="A4737" s="528" t="s">
        <v>13527</v>
      </c>
      <c r="B4737" s="528" t="s">
        <v>13528</v>
      </c>
      <c r="C4737" s="528" t="s">
        <v>13529</v>
      </c>
      <c r="D4737" s="528" t="s">
        <v>264</v>
      </c>
      <c r="E4737" s="528"/>
      <c r="F4737" s="528"/>
      <c r="G4737" s="528" t="s">
        <v>208</v>
      </c>
      <c r="H4737"/>
    </row>
    <row r="4738" spans="1:8" x14ac:dyDescent="0.35">
      <c r="A4738" s="528" t="s">
        <v>13530</v>
      </c>
      <c r="B4738" s="528" t="s">
        <v>13531</v>
      </c>
      <c r="C4738" s="528" t="s">
        <v>13532</v>
      </c>
      <c r="D4738" s="528" t="s">
        <v>264</v>
      </c>
      <c r="E4738" s="528"/>
      <c r="F4738" s="528"/>
      <c r="G4738" s="528" t="s">
        <v>208</v>
      </c>
      <c r="H4738"/>
    </row>
    <row r="4739" spans="1:8" x14ac:dyDescent="0.35">
      <c r="A4739" s="528" t="s">
        <v>13533</v>
      </c>
      <c r="B4739" s="528" t="s">
        <v>13534</v>
      </c>
      <c r="C4739" s="528" t="s">
        <v>13535</v>
      </c>
      <c r="D4739" s="528" t="s">
        <v>277</v>
      </c>
      <c r="E4739" s="528"/>
      <c r="F4739" s="528"/>
      <c r="G4739" s="528" t="s">
        <v>205</v>
      </c>
      <c r="H4739"/>
    </row>
    <row r="4740" spans="1:8" x14ac:dyDescent="0.35">
      <c r="A4740" s="528" t="s">
        <v>13536</v>
      </c>
      <c r="B4740" s="528" t="s">
        <v>13537</v>
      </c>
      <c r="C4740" s="528" t="s">
        <v>13538</v>
      </c>
      <c r="D4740" s="528" t="s">
        <v>264</v>
      </c>
      <c r="E4740" s="528"/>
      <c r="F4740" s="528"/>
      <c r="G4740" s="528" t="s">
        <v>210</v>
      </c>
      <c r="H4740"/>
    </row>
    <row r="4741" spans="1:8" x14ac:dyDescent="0.35">
      <c r="A4741" s="528" t="s">
        <v>13539</v>
      </c>
      <c r="B4741" s="528" t="s">
        <v>13540</v>
      </c>
      <c r="C4741" s="528" t="s">
        <v>13541</v>
      </c>
      <c r="D4741" s="528" t="s">
        <v>225</v>
      </c>
      <c r="E4741" s="528"/>
      <c r="F4741" s="528"/>
      <c r="G4741" s="528" t="s">
        <v>208</v>
      </c>
      <c r="H4741"/>
    </row>
    <row r="4742" spans="1:8" x14ac:dyDescent="0.35">
      <c r="A4742" s="528" t="s">
        <v>13542</v>
      </c>
      <c r="B4742" s="528" t="s">
        <v>13543</v>
      </c>
      <c r="C4742" s="528" t="s">
        <v>13544</v>
      </c>
      <c r="D4742" s="528" t="s">
        <v>251</v>
      </c>
      <c r="E4742" s="528"/>
      <c r="F4742" s="528"/>
      <c r="G4742" s="528" t="s">
        <v>205</v>
      </c>
      <c r="H4742"/>
    </row>
    <row r="4743" spans="1:8" x14ac:dyDescent="0.35">
      <c r="A4743" s="528" t="s">
        <v>13545</v>
      </c>
      <c r="B4743" s="528" t="s">
        <v>13546</v>
      </c>
      <c r="C4743" s="528" t="s">
        <v>13547</v>
      </c>
      <c r="D4743" s="528" t="s">
        <v>264</v>
      </c>
      <c r="E4743" s="528"/>
      <c r="F4743" s="528"/>
      <c r="G4743" s="528" t="s">
        <v>205</v>
      </c>
      <c r="H4743"/>
    </row>
    <row r="4744" spans="1:8" x14ac:dyDescent="0.35">
      <c r="A4744" s="528" t="s">
        <v>13548</v>
      </c>
      <c r="B4744" s="528" t="s">
        <v>13549</v>
      </c>
      <c r="C4744" s="528" t="s">
        <v>13550</v>
      </c>
      <c r="D4744" s="528" t="s">
        <v>277</v>
      </c>
      <c r="E4744" s="528"/>
      <c r="F4744" s="528"/>
      <c r="G4744" s="528" t="s">
        <v>208</v>
      </c>
      <c r="H4744"/>
    </row>
    <row r="4745" spans="1:8" x14ac:dyDescent="0.35">
      <c r="A4745" s="528" t="s">
        <v>13551</v>
      </c>
      <c r="B4745" s="528" t="s">
        <v>13552</v>
      </c>
      <c r="C4745" s="528" t="s">
        <v>13553</v>
      </c>
      <c r="D4745" s="528" t="s">
        <v>225</v>
      </c>
      <c r="E4745" s="528"/>
      <c r="F4745" s="528"/>
      <c r="G4745" s="528" t="s">
        <v>205</v>
      </c>
      <c r="H4745"/>
    </row>
    <row r="4746" spans="1:8" x14ac:dyDescent="0.35">
      <c r="A4746" s="528" t="s">
        <v>13554</v>
      </c>
      <c r="B4746" s="528" t="s">
        <v>13555</v>
      </c>
      <c r="C4746" s="528" t="s">
        <v>13556</v>
      </c>
      <c r="D4746" s="528" t="s">
        <v>225</v>
      </c>
      <c r="E4746" s="528"/>
      <c r="F4746" s="528"/>
      <c r="G4746" s="528" t="s">
        <v>205</v>
      </c>
      <c r="H4746"/>
    </row>
    <row r="4747" spans="1:8" x14ac:dyDescent="0.35">
      <c r="A4747" s="528" t="s">
        <v>13557</v>
      </c>
      <c r="B4747" s="528" t="s">
        <v>13558</v>
      </c>
      <c r="C4747" s="528" t="s">
        <v>13559</v>
      </c>
      <c r="D4747" s="528" t="s">
        <v>264</v>
      </c>
      <c r="E4747" s="528"/>
      <c r="F4747" s="528"/>
      <c r="G4747" s="528" t="s">
        <v>205</v>
      </c>
      <c r="H4747"/>
    </row>
    <row r="4748" spans="1:8" x14ac:dyDescent="0.35">
      <c r="A4748" s="528" t="s">
        <v>13560</v>
      </c>
      <c r="B4748" s="528" t="s">
        <v>13561</v>
      </c>
      <c r="C4748" s="528" t="s">
        <v>13562</v>
      </c>
      <c r="D4748" s="528" t="s">
        <v>277</v>
      </c>
      <c r="E4748" s="528"/>
      <c r="F4748" s="528"/>
      <c r="G4748" s="528" t="s">
        <v>205</v>
      </c>
      <c r="H4748"/>
    </row>
    <row r="4749" spans="1:8" x14ac:dyDescent="0.35">
      <c r="A4749" s="528" t="s">
        <v>13563</v>
      </c>
      <c r="B4749" s="528" t="s">
        <v>13564</v>
      </c>
      <c r="C4749" s="528" t="s">
        <v>13565</v>
      </c>
      <c r="D4749" s="528" t="s">
        <v>277</v>
      </c>
      <c r="E4749" s="528"/>
      <c r="F4749" s="528"/>
      <c r="G4749" s="528" t="s">
        <v>208</v>
      </c>
      <c r="H4749"/>
    </row>
    <row r="4750" spans="1:8" x14ac:dyDescent="0.35">
      <c r="A4750" s="528" t="s">
        <v>13566</v>
      </c>
      <c r="B4750" s="528" t="s">
        <v>13567</v>
      </c>
      <c r="C4750" s="528" t="s">
        <v>13568</v>
      </c>
      <c r="D4750" s="528" t="s">
        <v>264</v>
      </c>
      <c r="E4750" s="528"/>
      <c r="F4750" s="528"/>
      <c r="G4750" s="528" t="s">
        <v>205</v>
      </c>
      <c r="H4750"/>
    </row>
    <row r="4751" spans="1:8" x14ac:dyDescent="0.35">
      <c r="A4751" s="528" t="s">
        <v>13569</v>
      </c>
      <c r="B4751" s="528" t="s">
        <v>13570</v>
      </c>
      <c r="C4751" s="528" t="s">
        <v>13571</v>
      </c>
      <c r="D4751" s="528" t="s">
        <v>264</v>
      </c>
      <c r="E4751" s="528"/>
      <c r="F4751" s="528"/>
      <c r="G4751" s="528" t="s">
        <v>208</v>
      </c>
      <c r="H4751"/>
    </row>
    <row r="4752" spans="1:8" x14ac:dyDescent="0.35">
      <c r="A4752" s="528" t="s">
        <v>13572</v>
      </c>
      <c r="B4752" s="528" t="s">
        <v>13573</v>
      </c>
      <c r="C4752" s="528" t="s">
        <v>13574</v>
      </c>
      <c r="D4752" s="528" t="s">
        <v>225</v>
      </c>
      <c r="E4752" s="528"/>
      <c r="F4752" s="528"/>
      <c r="G4752" s="528" t="s">
        <v>208</v>
      </c>
      <c r="H4752"/>
    </row>
    <row r="4753" spans="1:8" x14ac:dyDescent="0.35">
      <c r="A4753" s="528" t="s">
        <v>13575</v>
      </c>
      <c r="B4753" s="528" t="s">
        <v>13576</v>
      </c>
      <c r="C4753" s="528" t="s">
        <v>13577</v>
      </c>
      <c r="D4753" s="528" t="s">
        <v>225</v>
      </c>
      <c r="E4753" s="528" t="s">
        <v>277</v>
      </c>
      <c r="F4753" s="528"/>
      <c r="G4753" s="528" t="s">
        <v>208</v>
      </c>
      <c r="H4753"/>
    </row>
    <row r="4754" spans="1:8" x14ac:dyDescent="0.35">
      <c r="A4754" s="528" t="s">
        <v>13578</v>
      </c>
      <c r="B4754" s="528" t="s">
        <v>13579</v>
      </c>
      <c r="C4754" s="528" t="s">
        <v>13580</v>
      </c>
      <c r="D4754" s="528" t="s">
        <v>277</v>
      </c>
      <c r="E4754" s="528"/>
      <c r="F4754" s="528"/>
      <c r="G4754" s="528" t="s">
        <v>208</v>
      </c>
      <c r="H4754"/>
    </row>
    <row r="4755" spans="1:8" x14ac:dyDescent="0.35">
      <c r="A4755" s="528" t="s">
        <v>13581</v>
      </c>
      <c r="B4755" s="528" t="s">
        <v>13582</v>
      </c>
      <c r="C4755" s="528" t="s">
        <v>13583</v>
      </c>
      <c r="D4755" s="528" t="s">
        <v>277</v>
      </c>
      <c r="E4755" s="528"/>
      <c r="F4755" s="528"/>
      <c r="G4755" s="528" t="s">
        <v>205</v>
      </c>
      <c r="H4755"/>
    </row>
    <row r="4756" spans="1:8" x14ac:dyDescent="0.35">
      <c r="A4756" s="528" t="s">
        <v>13584</v>
      </c>
      <c r="B4756" s="528" t="s">
        <v>13585</v>
      </c>
      <c r="C4756" s="528" t="s">
        <v>12945</v>
      </c>
      <c r="D4756" s="528" t="s">
        <v>264</v>
      </c>
      <c r="E4756" s="528"/>
      <c r="F4756" s="528"/>
      <c r="G4756" s="528" t="s">
        <v>205</v>
      </c>
      <c r="H4756"/>
    </row>
    <row r="4757" spans="1:8" x14ac:dyDescent="0.35">
      <c r="A4757" s="528" t="s">
        <v>13586</v>
      </c>
      <c r="B4757" s="528" t="s">
        <v>13587</v>
      </c>
      <c r="C4757" s="528" t="s">
        <v>12948</v>
      </c>
      <c r="D4757" s="528" t="s">
        <v>264</v>
      </c>
      <c r="E4757" s="528"/>
      <c r="F4757" s="528"/>
      <c r="G4757" s="528" t="s">
        <v>205</v>
      </c>
      <c r="H4757"/>
    </row>
    <row r="4758" spans="1:8" x14ac:dyDescent="0.35">
      <c r="A4758" s="528" t="s">
        <v>13588</v>
      </c>
      <c r="B4758" s="528" t="s">
        <v>13589</v>
      </c>
      <c r="C4758" s="528" t="s">
        <v>13590</v>
      </c>
      <c r="D4758" s="528" t="s">
        <v>264</v>
      </c>
      <c r="E4758" s="528"/>
      <c r="F4758" s="528"/>
      <c r="G4758" s="528" t="s">
        <v>208</v>
      </c>
      <c r="H4758"/>
    </row>
    <row r="4759" spans="1:8" x14ac:dyDescent="0.35">
      <c r="A4759" s="528" t="s">
        <v>13591</v>
      </c>
      <c r="B4759" s="528" t="s">
        <v>13592</v>
      </c>
      <c r="C4759" s="528" t="s">
        <v>13593</v>
      </c>
      <c r="D4759" s="528" t="s">
        <v>264</v>
      </c>
      <c r="E4759" s="528"/>
      <c r="F4759" s="528"/>
      <c r="G4759" s="528" t="s">
        <v>208</v>
      </c>
      <c r="H4759"/>
    </row>
    <row r="4760" spans="1:8" x14ac:dyDescent="0.35">
      <c r="A4760" s="528" t="s">
        <v>13594</v>
      </c>
      <c r="B4760" s="528" t="s">
        <v>13595</v>
      </c>
      <c r="C4760" s="528" t="s">
        <v>13596</v>
      </c>
      <c r="D4760" s="528" t="s">
        <v>225</v>
      </c>
      <c r="E4760" s="528"/>
      <c r="F4760" s="528"/>
      <c r="G4760" s="528" t="s">
        <v>208</v>
      </c>
      <c r="H4760"/>
    </row>
    <row r="4761" spans="1:8" x14ac:dyDescent="0.35">
      <c r="A4761" s="528" t="s">
        <v>13597</v>
      </c>
      <c r="B4761" s="528" t="s">
        <v>13598</v>
      </c>
      <c r="C4761" s="528" t="s">
        <v>13599</v>
      </c>
      <c r="D4761" s="528" t="s">
        <v>225</v>
      </c>
      <c r="E4761" s="528"/>
      <c r="F4761" s="528"/>
      <c r="G4761" s="528" t="s">
        <v>205</v>
      </c>
      <c r="H4761"/>
    </row>
    <row r="4762" spans="1:8" x14ac:dyDescent="0.35">
      <c r="A4762" s="528" t="s">
        <v>13600</v>
      </c>
      <c r="B4762" s="528" t="s">
        <v>13601</v>
      </c>
      <c r="C4762" s="528" t="s">
        <v>13602</v>
      </c>
      <c r="D4762" s="528" t="s">
        <v>264</v>
      </c>
      <c r="E4762" s="528" t="s">
        <v>225</v>
      </c>
      <c r="F4762" s="528"/>
      <c r="G4762" s="528" t="s">
        <v>208</v>
      </c>
      <c r="H4762"/>
    </row>
    <row r="4763" spans="1:8" x14ac:dyDescent="0.35">
      <c r="A4763" s="528" t="s">
        <v>13603</v>
      </c>
      <c r="B4763" s="528" t="s">
        <v>13604</v>
      </c>
      <c r="C4763" s="528" t="s">
        <v>13605</v>
      </c>
      <c r="D4763" s="528" t="s">
        <v>264</v>
      </c>
      <c r="E4763" s="528"/>
      <c r="F4763" s="528"/>
      <c r="G4763" s="528" t="s">
        <v>208</v>
      </c>
      <c r="H4763"/>
    </row>
    <row r="4764" spans="1:8" x14ac:dyDescent="0.35">
      <c r="A4764" s="528" t="s">
        <v>13606</v>
      </c>
      <c r="B4764" s="528" t="s">
        <v>13607</v>
      </c>
      <c r="C4764" s="528" t="s">
        <v>13608</v>
      </c>
      <c r="D4764" s="528" t="s">
        <v>264</v>
      </c>
      <c r="E4764" s="528" t="s">
        <v>225</v>
      </c>
      <c r="F4764" s="528"/>
      <c r="G4764" s="528" t="s">
        <v>205</v>
      </c>
      <c r="H4764"/>
    </row>
    <row r="4765" spans="1:8" x14ac:dyDescent="0.35">
      <c r="A4765" s="528" t="s">
        <v>13609</v>
      </c>
      <c r="B4765" s="528" t="s">
        <v>13610</v>
      </c>
      <c r="C4765" s="528" t="s">
        <v>13611</v>
      </c>
      <c r="D4765" s="528" t="s">
        <v>264</v>
      </c>
      <c r="E4765" s="528"/>
      <c r="F4765" s="528"/>
      <c r="G4765" s="528" t="s">
        <v>205</v>
      </c>
      <c r="H4765"/>
    </row>
    <row r="4766" spans="1:8" x14ac:dyDescent="0.35">
      <c r="A4766" s="528" t="s">
        <v>13612</v>
      </c>
      <c r="B4766" s="528" t="s">
        <v>13613</v>
      </c>
      <c r="C4766" s="528" t="s">
        <v>13614</v>
      </c>
      <c r="D4766" s="528" t="s">
        <v>225</v>
      </c>
      <c r="E4766" s="528"/>
      <c r="F4766" s="528"/>
      <c r="G4766" s="528" t="s">
        <v>208</v>
      </c>
      <c r="H4766"/>
    </row>
    <row r="4767" spans="1:8" x14ac:dyDescent="0.35">
      <c r="A4767" s="528" t="s">
        <v>13615</v>
      </c>
      <c r="B4767" s="528" t="s">
        <v>13616</v>
      </c>
      <c r="C4767" s="528" t="s">
        <v>13617</v>
      </c>
      <c r="D4767" s="528" t="s">
        <v>225</v>
      </c>
      <c r="E4767" s="528"/>
      <c r="F4767" s="528"/>
      <c r="G4767" s="528" t="s">
        <v>208</v>
      </c>
      <c r="H4767"/>
    </row>
    <row r="4768" spans="1:8" x14ac:dyDescent="0.35">
      <c r="A4768" s="528" t="s">
        <v>13618</v>
      </c>
      <c r="B4768" s="528" t="s">
        <v>13619</v>
      </c>
      <c r="C4768" s="528" t="s">
        <v>13620</v>
      </c>
      <c r="D4768" s="528" t="s">
        <v>225</v>
      </c>
      <c r="E4768" s="528"/>
      <c r="F4768" s="528"/>
      <c r="G4768" s="528" t="s">
        <v>205</v>
      </c>
      <c r="H4768"/>
    </row>
    <row r="4769" spans="1:8" x14ac:dyDescent="0.35">
      <c r="A4769" s="528" t="s">
        <v>13621</v>
      </c>
      <c r="B4769" s="528" t="s">
        <v>13622</v>
      </c>
      <c r="C4769" s="528" t="s">
        <v>13623</v>
      </c>
      <c r="D4769" s="528" t="s">
        <v>251</v>
      </c>
      <c r="E4769" s="528"/>
      <c r="F4769" s="528"/>
      <c r="G4769" s="528" t="s">
        <v>208</v>
      </c>
      <c r="H4769"/>
    </row>
    <row r="4770" spans="1:8" x14ac:dyDescent="0.35">
      <c r="A4770" s="528" t="s">
        <v>13624</v>
      </c>
      <c r="B4770" s="528" t="s">
        <v>13625</v>
      </c>
      <c r="C4770" s="528" t="s">
        <v>13626</v>
      </c>
      <c r="D4770" s="528" t="s">
        <v>251</v>
      </c>
      <c r="E4770" s="528"/>
      <c r="F4770" s="528"/>
      <c r="G4770" s="528" t="s">
        <v>205</v>
      </c>
      <c r="H4770"/>
    </row>
    <row r="4771" spans="1:8" x14ac:dyDescent="0.35">
      <c r="A4771" s="528" t="s">
        <v>13627</v>
      </c>
      <c r="B4771" s="528" t="s">
        <v>13628</v>
      </c>
      <c r="C4771" s="528" t="s">
        <v>13629</v>
      </c>
      <c r="D4771" s="528" t="s">
        <v>251</v>
      </c>
      <c r="E4771" s="528"/>
      <c r="F4771" s="528"/>
      <c r="G4771" s="528" t="s">
        <v>205</v>
      </c>
      <c r="H4771"/>
    </row>
    <row r="4772" spans="1:8" x14ac:dyDescent="0.35">
      <c r="A4772" s="528" t="s">
        <v>13630</v>
      </c>
      <c r="B4772" s="528" t="s">
        <v>13631</v>
      </c>
      <c r="C4772" s="528" t="s">
        <v>13632</v>
      </c>
      <c r="D4772" s="528" t="s">
        <v>251</v>
      </c>
      <c r="E4772" s="528"/>
      <c r="F4772" s="528"/>
      <c r="G4772" s="528" t="s">
        <v>205</v>
      </c>
      <c r="H4772"/>
    </row>
    <row r="4773" spans="1:8" x14ac:dyDescent="0.35">
      <c r="A4773" s="528" t="s">
        <v>13633</v>
      </c>
      <c r="B4773" s="528" t="s">
        <v>13634</v>
      </c>
      <c r="C4773" s="528" t="s">
        <v>13635</v>
      </c>
      <c r="D4773" s="528" t="s">
        <v>225</v>
      </c>
      <c r="E4773" s="528"/>
      <c r="F4773" s="528"/>
      <c r="G4773" s="528" t="s">
        <v>208</v>
      </c>
      <c r="H4773"/>
    </row>
    <row r="4774" spans="1:8" x14ac:dyDescent="0.35">
      <c r="A4774" s="528" t="s">
        <v>13636</v>
      </c>
      <c r="B4774" s="528" t="s">
        <v>13637</v>
      </c>
      <c r="C4774" s="528" t="s">
        <v>13638</v>
      </c>
      <c r="D4774" s="528" t="s">
        <v>225</v>
      </c>
      <c r="E4774" s="528"/>
      <c r="F4774" s="528"/>
      <c r="G4774" s="528" t="s">
        <v>205</v>
      </c>
      <c r="H4774"/>
    </row>
    <row r="4775" spans="1:8" x14ac:dyDescent="0.35">
      <c r="A4775" s="528" t="s">
        <v>13639</v>
      </c>
      <c r="B4775" s="528" t="s">
        <v>13640</v>
      </c>
      <c r="C4775" s="528" t="s">
        <v>13641</v>
      </c>
      <c r="D4775" s="528" t="s">
        <v>225</v>
      </c>
      <c r="E4775" s="528"/>
      <c r="F4775" s="528"/>
      <c r="G4775" s="528" t="s">
        <v>205</v>
      </c>
      <c r="H4775"/>
    </row>
    <row r="4776" spans="1:8" x14ac:dyDescent="0.35">
      <c r="A4776" s="528" t="s">
        <v>13642</v>
      </c>
      <c r="B4776" s="528" t="s">
        <v>13643</v>
      </c>
      <c r="C4776" s="528" t="s">
        <v>13644</v>
      </c>
      <c r="D4776" s="528" t="s">
        <v>225</v>
      </c>
      <c r="E4776" s="528"/>
      <c r="F4776" s="528"/>
      <c r="G4776" s="528" t="s">
        <v>208</v>
      </c>
      <c r="H4776"/>
    </row>
    <row r="4777" spans="1:8" x14ac:dyDescent="0.35">
      <c r="A4777" s="528" t="s">
        <v>13645</v>
      </c>
      <c r="B4777" s="528" t="s">
        <v>13646</v>
      </c>
      <c r="C4777" s="528" t="s">
        <v>13647</v>
      </c>
      <c r="D4777" s="528" t="s">
        <v>225</v>
      </c>
      <c r="E4777" s="528"/>
      <c r="F4777" s="528"/>
      <c r="G4777" s="528" t="s">
        <v>205</v>
      </c>
      <c r="H4777"/>
    </row>
    <row r="4778" spans="1:8" x14ac:dyDescent="0.35">
      <c r="A4778" s="528" t="s">
        <v>13648</v>
      </c>
      <c r="B4778" s="528" t="s">
        <v>13649</v>
      </c>
      <c r="C4778" s="528" t="s">
        <v>13650</v>
      </c>
      <c r="D4778" s="528" t="s">
        <v>225</v>
      </c>
      <c r="E4778" s="528"/>
      <c r="F4778" s="528"/>
      <c r="G4778" s="528" t="s">
        <v>205</v>
      </c>
      <c r="H4778"/>
    </row>
    <row r="4779" spans="1:8" x14ac:dyDescent="0.35">
      <c r="A4779" s="528" t="s">
        <v>13651</v>
      </c>
      <c r="B4779" s="528" t="s">
        <v>13652</v>
      </c>
      <c r="C4779" s="528" t="s">
        <v>13653</v>
      </c>
      <c r="D4779" s="528" t="s">
        <v>264</v>
      </c>
      <c r="E4779" s="528"/>
      <c r="F4779" s="528"/>
      <c r="G4779" s="528" t="s">
        <v>208</v>
      </c>
      <c r="H4779"/>
    </row>
    <row r="4780" spans="1:8" x14ac:dyDescent="0.35">
      <c r="A4780" s="528" t="s">
        <v>13654</v>
      </c>
      <c r="B4780" s="528" t="s">
        <v>13655</v>
      </c>
      <c r="C4780" s="528" t="s">
        <v>13656</v>
      </c>
      <c r="D4780" s="528" t="s">
        <v>264</v>
      </c>
      <c r="E4780" s="528"/>
      <c r="F4780" s="528"/>
      <c r="G4780" s="528" t="s">
        <v>208</v>
      </c>
      <c r="H4780"/>
    </row>
    <row r="4781" spans="1:8" x14ac:dyDescent="0.35">
      <c r="A4781" s="528" t="s">
        <v>13657</v>
      </c>
      <c r="B4781" s="528" t="s">
        <v>13658</v>
      </c>
      <c r="C4781" s="528" t="s">
        <v>13659</v>
      </c>
      <c r="D4781" s="528" t="s">
        <v>264</v>
      </c>
      <c r="E4781" s="528"/>
      <c r="F4781" s="528"/>
      <c r="G4781" s="528" t="s">
        <v>205</v>
      </c>
      <c r="H4781"/>
    </row>
    <row r="4782" spans="1:8" x14ac:dyDescent="0.35">
      <c r="A4782" s="528" t="s">
        <v>13660</v>
      </c>
      <c r="B4782" s="528" t="s">
        <v>13661</v>
      </c>
      <c r="C4782" s="528" t="s">
        <v>13662</v>
      </c>
      <c r="D4782" s="528" t="s">
        <v>264</v>
      </c>
      <c r="E4782" s="528"/>
      <c r="F4782" s="528"/>
      <c r="G4782" s="528" t="s">
        <v>205</v>
      </c>
      <c r="H4782"/>
    </row>
    <row r="4783" spans="1:8" x14ac:dyDescent="0.35">
      <c r="A4783" s="528" t="s">
        <v>13663</v>
      </c>
      <c r="B4783" s="528" t="s">
        <v>13664</v>
      </c>
      <c r="C4783" s="528" t="s">
        <v>13665</v>
      </c>
      <c r="D4783" s="528" t="s">
        <v>264</v>
      </c>
      <c r="E4783" s="528"/>
      <c r="F4783" s="528"/>
      <c r="G4783" s="528" t="s">
        <v>205</v>
      </c>
      <c r="H4783"/>
    </row>
    <row r="4784" spans="1:8" x14ac:dyDescent="0.35">
      <c r="A4784" s="528" t="s">
        <v>13666</v>
      </c>
      <c r="B4784" s="528" t="s">
        <v>13667</v>
      </c>
      <c r="C4784" s="528" t="s">
        <v>13668</v>
      </c>
      <c r="D4784" s="528" t="s">
        <v>264</v>
      </c>
      <c r="E4784" s="528"/>
      <c r="F4784" s="528"/>
      <c r="G4784" s="528" t="s">
        <v>205</v>
      </c>
      <c r="H4784"/>
    </row>
    <row r="4785" spans="1:8" x14ac:dyDescent="0.35">
      <c r="A4785" s="528" t="s">
        <v>13669</v>
      </c>
      <c r="B4785" s="528" t="s">
        <v>13670</v>
      </c>
      <c r="C4785" s="528" t="s">
        <v>13671</v>
      </c>
      <c r="D4785" s="528" t="s">
        <v>264</v>
      </c>
      <c r="E4785" s="528"/>
      <c r="F4785" s="528"/>
      <c r="G4785" s="528" t="s">
        <v>205</v>
      </c>
      <c r="H4785"/>
    </row>
    <row r="4786" spans="1:8" x14ac:dyDescent="0.35">
      <c r="A4786" s="528" t="s">
        <v>13672</v>
      </c>
      <c r="B4786" s="528" t="s">
        <v>13673</v>
      </c>
      <c r="C4786" s="528" t="s">
        <v>13674</v>
      </c>
      <c r="D4786" s="528" t="s">
        <v>264</v>
      </c>
      <c r="E4786" s="528"/>
      <c r="F4786" s="528"/>
      <c r="G4786" s="528" t="s">
        <v>205</v>
      </c>
      <c r="H4786"/>
    </row>
    <row r="4787" spans="1:8" x14ac:dyDescent="0.35">
      <c r="A4787" s="528" t="s">
        <v>13675</v>
      </c>
      <c r="B4787" s="528" t="s">
        <v>13676</v>
      </c>
      <c r="C4787" s="528" t="s">
        <v>13677</v>
      </c>
      <c r="D4787" s="528" t="s">
        <v>264</v>
      </c>
      <c r="E4787" s="528"/>
      <c r="F4787" s="528"/>
      <c r="G4787" s="528" t="s">
        <v>205</v>
      </c>
      <c r="H4787"/>
    </row>
    <row r="4788" spans="1:8" x14ac:dyDescent="0.35">
      <c r="A4788" s="528" t="s">
        <v>13678</v>
      </c>
      <c r="B4788" s="528" t="s">
        <v>13679</v>
      </c>
      <c r="C4788" s="528" t="s">
        <v>13680</v>
      </c>
      <c r="D4788" s="528" t="s">
        <v>264</v>
      </c>
      <c r="E4788" s="528"/>
      <c r="F4788" s="528"/>
      <c r="G4788" s="528" t="s">
        <v>205</v>
      </c>
      <c r="H4788"/>
    </row>
    <row r="4789" spans="1:8" x14ac:dyDescent="0.35">
      <c r="A4789" s="528" t="s">
        <v>13681</v>
      </c>
      <c r="B4789" s="528" t="s">
        <v>13682</v>
      </c>
      <c r="C4789" s="528" t="s">
        <v>13683</v>
      </c>
      <c r="D4789" s="528" t="s">
        <v>264</v>
      </c>
      <c r="E4789" s="528"/>
      <c r="F4789" s="528"/>
      <c r="G4789" s="528" t="s">
        <v>205</v>
      </c>
      <c r="H4789"/>
    </row>
    <row r="4790" spans="1:8" x14ac:dyDescent="0.35">
      <c r="A4790" s="528" t="s">
        <v>13684</v>
      </c>
      <c r="B4790" s="528" t="s">
        <v>13685</v>
      </c>
      <c r="C4790" s="528" t="s">
        <v>13686</v>
      </c>
      <c r="D4790" s="528" t="s">
        <v>225</v>
      </c>
      <c r="E4790" s="528"/>
      <c r="F4790" s="528"/>
      <c r="G4790" s="528" t="s">
        <v>208</v>
      </c>
      <c r="H4790"/>
    </row>
    <row r="4791" spans="1:8" x14ac:dyDescent="0.35">
      <c r="A4791" s="528" t="s">
        <v>13687</v>
      </c>
      <c r="B4791" s="528" t="s">
        <v>13688</v>
      </c>
      <c r="C4791" s="528" t="s">
        <v>13689</v>
      </c>
      <c r="D4791" s="528" t="s">
        <v>225</v>
      </c>
      <c r="E4791" s="528"/>
      <c r="F4791" s="528"/>
      <c r="G4791" s="528" t="s">
        <v>205</v>
      </c>
      <c r="H4791"/>
    </row>
    <row r="4792" spans="1:8" x14ac:dyDescent="0.35">
      <c r="A4792" s="528" t="s">
        <v>13690</v>
      </c>
      <c r="B4792" s="528" t="s">
        <v>13691</v>
      </c>
      <c r="C4792" s="528" t="s">
        <v>13692</v>
      </c>
      <c r="D4792" s="528" t="s">
        <v>225</v>
      </c>
      <c r="E4792" s="528"/>
      <c r="F4792" s="528"/>
      <c r="G4792" s="528" t="s">
        <v>205</v>
      </c>
      <c r="H4792"/>
    </row>
    <row r="4793" spans="1:8" x14ac:dyDescent="0.35">
      <c r="A4793" s="528" t="s">
        <v>13693</v>
      </c>
      <c r="B4793" s="528" t="s">
        <v>13694</v>
      </c>
      <c r="C4793" s="528" t="s">
        <v>13695</v>
      </c>
      <c r="D4793" s="528" t="s">
        <v>264</v>
      </c>
      <c r="E4793" s="528" t="s">
        <v>277</v>
      </c>
      <c r="F4793" s="528"/>
      <c r="G4793" s="528" t="s">
        <v>208</v>
      </c>
      <c r="H4793"/>
    </row>
    <row r="4794" spans="1:8" x14ac:dyDescent="0.35">
      <c r="A4794" s="528" t="s">
        <v>13696</v>
      </c>
      <c r="B4794" s="528" t="s">
        <v>13697</v>
      </c>
      <c r="C4794" s="528" t="s">
        <v>13698</v>
      </c>
      <c r="D4794" s="528" t="s">
        <v>277</v>
      </c>
      <c r="E4794" s="528"/>
      <c r="F4794" s="528"/>
      <c r="G4794" s="528" t="s">
        <v>205</v>
      </c>
      <c r="H4794"/>
    </row>
    <row r="4795" spans="1:8" x14ac:dyDescent="0.35">
      <c r="A4795" s="528" t="s">
        <v>13699</v>
      </c>
      <c r="B4795" s="528" t="s">
        <v>13700</v>
      </c>
      <c r="C4795" s="528" t="s">
        <v>13701</v>
      </c>
      <c r="D4795" s="528" t="s">
        <v>225</v>
      </c>
      <c r="E4795" s="528"/>
      <c r="F4795" s="528"/>
      <c r="G4795" s="528" t="s">
        <v>205</v>
      </c>
      <c r="H4795"/>
    </row>
    <row r="4796" spans="1:8" x14ac:dyDescent="0.35">
      <c r="A4796" s="528" t="s">
        <v>13702</v>
      </c>
      <c r="B4796" s="528" t="s">
        <v>13703</v>
      </c>
      <c r="C4796" s="528" t="s">
        <v>13704</v>
      </c>
      <c r="D4796" s="528" t="s">
        <v>225</v>
      </c>
      <c r="E4796" s="528"/>
      <c r="F4796" s="528"/>
      <c r="G4796" s="528" t="s">
        <v>208</v>
      </c>
      <c r="H4796"/>
    </row>
    <row r="4797" spans="1:8" x14ac:dyDescent="0.35">
      <c r="A4797" s="528" t="s">
        <v>13705</v>
      </c>
      <c r="B4797" s="528" t="s">
        <v>13706</v>
      </c>
      <c r="C4797" s="528" t="s">
        <v>13707</v>
      </c>
      <c r="D4797" s="528" t="s">
        <v>225</v>
      </c>
      <c r="E4797" s="528"/>
      <c r="F4797" s="528"/>
      <c r="G4797" s="528" t="s">
        <v>205</v>
      </c>
      <c r="H4797"/>
    </row>
    <row r="4798" spans="1:8" x14ac:dyDescent="0.35">
      <c r="A4798" s="528" t="s">
        <v>13708</v>
      </c>
      <c r="B4798" s="528" t="s">
        <v>13709</v>
      </c>
      <c r="C4798" s="528" t="s">
        <v>13710</v>
      </c>
      <c r="D4798" s="528" t="s">
        <v>225</v>
      </c>
      <c r="E4798" s="528"/>
      <c r="F4798" s="528"/>
      <c r="G4798" s="528" t="s">
        <v>205</v>
      </c>
      <c r="H4798"/>
    </row>
    <row r="4799" spans="1:8" x14ac:dyDescent="0.35">
      <c r="A4799" s="528" t="s">
        <v>13711</v>
      </c>
      <c r="B4799" s="528" t="s">
        <v>13712</v>
      </c>
      <c r="C4799" s="528" t="s">
        <v>13713</v>
      </c>
      <c r="D4799" s="528" t="s">
        <v>225</v>
      </c>
      <c r="E4799" s="528"/>
      <c r="F4799" s="528"/>
      <c r="G4799" s="528" t="s">
        <v>208</v>
      </c>
      <c r="H4799"/>
    </row>
    <row r="4800" spans="1:8" x14ac:dyDescent="0.35">
      <c r="A4800" s="528" t="s">
        <v>13714</v>
      </c>
      <c r="B4800" s="528" t="s">
        <v>13715</v>
      </c>
      <c r="C4800" s="528" t="s">
        <v>13716</v>
      </c>
      <c r="D4800" s="528" t="s">
        <v>225</v>
      </c>
      <c r="E4800" s="528"/>
      <c r="F4800" s="528"/>
      <c r="G4800" s="528" t="s">
        <v>208</v>
      </c>
      <c r="H4800"/>
    </row>
    <row r="4801" spans="1:8" x14ac:dyDescent="0.35">
      <c r="A4801" s="528" t="s">
        <v>13717</v>
      </c>
      <c r="B4801" s="528" t="s">
        <v>13718</v>
      </c>
      <c r="C4801" s="528" t="s">
        <v>13719</v>
      </c>
      <c r="D4801" s="528" t="s">
        <v>225</v>
      </c>
      <c r="E4801" s="528"/>
      <c r="F4801" s="528"/>
      <c r="G4801" s="528" t="s">
        <v>208</v>
      </c>
      <c r="H4801"/>
    </row>
    <row r="4802" spans="1:8" x14ac:dyDescent="0.35">
      <c r="A4802" s="528" t="s">
        <v>13720</v>
      </c>
      <c r="B4802" s="528" t="s">
        <v>13721</v>
      </c>
      <c r="C4802" s="528" t="s">
        <v>13722</v>
      </c>
      <c r="D4802" s="528" t="s">
        <v>225</v>
      </c>
      <c r="E4802" s="528"/>
      <c r="F4802" s="528"/>
      <c r="G4802" s="528" t="s">
        <v>208</v>
      </c>
      <c r="H4802"/>
    </row>
    <row r="4803" spans="1:8" x14ac:dyDescent="0.35">
      <c r="A4803" s="528" t="s">
        <v>13723</v>
      </c>
      <c r="B4803" s="528" t="s">
        <v>13724</v>
      </c>
      <c r="C4803" s="528" t="s">
        <v>13725</v>
      </c>
      <c r="D4803" s="528" t="s">
        <v>225</v>
      </c>
      <c r="E4803" s="528"/>
      <c r="F4803" s="528"/>
      <c r="G4803" s="528" t="s">
        <v>208</v>
      </c>
      <c r="H4803"/>
    </row>
    <row r="4804" spans="1:8" x14ac:dyDescent="0.35">
      <c r="A4804" s="528" t="s">
        <v>13726</v>
      </c>
      <c r="B4804" s="528" t="s">
        <v>13727</v>
      </c>
      <c r="C4804" s="528" t="s">
        <v>13728</v>
      </c>
      <c r="D4804" s="528" t="s">
        <v>264</v>
      </c>
      <c r="E4804" s="528"/>
      <c r="F4804" s="528"/>
      <c r="G4804" s="528" t="s">
        <v>208</v>
      </c>
      <c r="H4804"/>
    </row>
    <row r="4805" spans="1:8" x14ac:dyDescent="0.35">
      <c r="A4805" s="528" t="s">
        <v>13729</v>
      </c>
      <c r="B4805" s="528" t="s">
        <v>13730</v>
      </c>
      <c r="C4805" s="528" t="s">
        <v>13731</v>
      </c>
      <c r="D4805" s="528" t="s">
        <v>225</v>
      </c>
      <c r="E4805" s="528" t="s">
        <v>264</v>
      </c>
      <c r="F4805" s="528"/>
      <c r="G4805" s="528" t="s">
        <v>205</v>
      </c>
      <c r="H4805"/>
    </row>
    <row r="4806" spans="1:8" x14ac:dyDescent="0.35">
      <c r="A4806" s="528" t="s">
        <v>13732</v>
      </c>
      <c r="B4806" s="528" t="s">
        <v>13733</v>
      </c>
      <c r="C4806" s="528" t="s">
        <v>13734</v>
      </c>
      <c r="D4806" s="528" t="s">
        <v>264</v>
      </c>
      <c r="E4806" s="528"/>
      <c r="F4806" s="528"/>
      <c r="G4806" s="528" t="s">
        <v>205</v>
      </c>
      <c r="H4806"/>
    </row>
    <row r="4807" spans="1:8" x14ac:dyDescent="0.35">
      <c r="A4807" s="528" t="s">
        <v>13735</v>
      </c>
      <c r="B4807" s="528" t="s">
        <v>13736</v>
      </c>
      <c r="C4807" s="528" t="s">
        <v>13737</v>
      </c>
      <c r="D4807" s="528" t="s">
        <v>225</v>
      </c>
      <c r="E4807" s="528"/>
      <c r="F4807" s="528"/>
      <c r="G4807" s="528" t="s">
        <v>205</v>
      </c>
      <c r="H4807"/>
    </row>
    <row r="4808" spans="1:8" x14ac:dyDescent="0.35">
      <c r="A4808" s="528" t="s">
        <v>13738</v>
      </c>
      <c r="B4808" s="528" t="s">
        <v>13739</v>
      </c>
      <c r="C4808" s="528" t="s">
        <v>13740</v>
      </c>
      <c r="D4808" s="528" t="s">
        <v>264</v>
      </c>
      <c r="E4808" s="528"/>
      <c r="F4808" s="528"/>
      <c r="G4808" s="528" t="s">
        <v>205</v>
      </c>
      <c r="H4808"/>
    </row>
    <row r="4809" spans="1:8" x14ac:dyDescent="0.35">
      <c r="A4809" s="528" t="s">
        <v>13741</v>
      </c>
      <c r="B4809" s="528" t="s">
        <v>13742</v>
      </c>
      <c r="C4809" s="528" t="s">
        <v>13743</v>
      </c>
      <c r="D4809" s="528" t="s">
        <v>238</v>
      </c>
      <c r="E4809" s="528"/>
      <c r="F4809" s="528"/>
      <c r="G4809" s="528" t="s">
        <v>208</v>
      </c>
      <c r="H4809"/>
    </row>
    <row r="4810" spans="1:8" x14ac:dyDescent="0.35">
      <c r="A4810" s="528" t="s">
        <v>13744</v>
      </c>
      <c r="B4810" s="528" t="s">
        <v>13745</v>
      </c>
      <c r="C4810" s="528" t="s">
        <v>13746</v>
      </c>
      <c r="D4810" s="528" t="s">
        <v>225</v>
      </c>
      <c r="E4810" s="528"/>
      <c r="F4810" s="528"/>
      <c r="G4810" s="528" t="s">
        <v>205</v>
      </c>
      <c r="H4810"/>
    </row>
    <row r="4811" spans="1:8" x14ac:dyDescent="0.35">
      <c r="A4811" s="528" t="s">
        <v>13747</v>
      </c>
      <c r="B4811" s="528" t="s">
        <v>13748</v>
      </c>
      <c r="C4811" s="528" t="s">
        <v>13749</v>
      </c>
      <c r="D4811" s="528" t="s">
        <v>225</v>
      </c>
      <c r="E4811" s="528"/>
      <c r="F4811" s="528"/>
      <c r="G4811" s="528" t="s">
        <v>205</v>
      </c>
      <c r="H4811"/>
    </row>
    <row r="4812" spans="1:8" x14ac:dyDescent="0.35">
      <c r="A4812" s="528" t="s">
        <v>13750</v>
      </c>
      <c r="B4812" s="528" t="s">
        <v>13751</v>
      </c>
      <c r="C4812" s="528" t="s">
        <v>13752</v>
      </c>
      <c r="D4812" s="528" t="s">
        <v>264</v>
      </c>
      <c r="E4812" s="528"/>
      <c r="F4812" s="528"/>
      <c r="G4812" s="528" t="s">
        <v>205</v>
      </c>
      <c r="H4812"/>
    </row>
    <row r="4813" spans="1:8" x14ac:dyDescent="0.35">
      <c r="A4813" s="528" t="s">
        <v>13753</v>
      </c>
      <c r="B4813" s="528" t="s">
        <v>13754</v>
      </c>
      <c r="C4813" s="528" t="s">
        <v>13755</v>
      </c>
      <c r="D4813" s="528" t="s">
        <v>264</v>
      </c>
      <c r="E4813" s="528"/>
      <c r="F4813" s="528"/>
      <c r="G4813" s="528" t="s">
        <v>208</v>
      </c>
      <c r="H4813"/>
    </row>
    <row r="4814" spans="1:8" x14ac:dyDescent="0.35">
      <c r="A4814" s="528" t="s">
        <v>13756</v>
      </c>
      <c r="B4814" s="528" t="s">
        <v>13757</v>
      </c>
      <c r="C4814" s="528" t="s">
        <v>13758</v>
      </c>
      <c r="D4814" s="528" t="s">
        <v>225</v>
      </c>
      <c r="E4814" s="528"/>
      <c r="F4814" s="528"/>
      <c r="G4814" s="528" t="s">
        <v>208</v>
      </c>
      <c r="H4814"/>
    </row>
    <row r="4815" spans="1:8" x14ac:dyDescent="0.35">
      <c r="A4815" s="528" t="s">
        <v>13759</v>
      </c>
      <c r="B4815" s="528" t="s">
        <v>13760</v>
      </c>
      <c r="C4815" s="528" t="s">
        <v>13761</v>
      </c>
      <c r="D4815" s="528" t="s">
        <v>277</v>
      </c>
      <c r="E4815" s="528"/>
      <c r="F4815" s="528"/>
      <c r="G4815" s="528" t="s">
        <v>205</v>
      </c>
      <c r="H4815"/>
    </row>
    <row r="4816" spans="1:8" x14ac:dyDescent="0.35">
      <c r="A4816" s="528" t="s">
        <v>13762</v>
      </c>
      <c r="B4816" s="528" t="s">
        <v>13763</v>
      </c>
      <c r="C4816" s="528" t="s">
        <v>13764</v>
      </c>
      <c r="D4816" s="528" t="s">
        <v>251</v>
      </c>
      <c r="E4816" s="528"/>
      <c r="F4816" s="528"/>
      <c r="G4816" s="528" t="s">
        <v>205</v>
      </c>
      <c r="H4816"/>
    </row>
    <row r="4817" spans="1:8" x14ac:dyDescent="0.35">
      <c r="A4817" s="528" t="s">
        <v>13765</v>
      </c>
      <c r="B4817" s="528" t="s">
        <v>13766</v>
      </c>
      <c r="C4817" s="528" t="s">
        <v>13767</v>
      </c>
      <c r="D4817" s="528" t="s">
        <v>251</v>
      </c>
      <c r="E4817" s="528"/>
      <c r="F4817" s="528"/>
      <c r="G4817" s="528" t="s">
        <v>205</v>
      </c>
      <c r="H4817"/>
    </row>
    <row r="4818" spans="1:8" x14ac:dyDescent="0.35">
      <c r="A4818" s="528" t="s">
        <v>13768</v>
      </c>
      <c r="B4818" s="528" t="s">
        <v>13769</v>
      </c>
      <c r="C4818" s="528" t="s">
        <v>13770</v>
      </c>
      <c r="D4818" s="528" t="s">
        <v>251</v>
      </c>
      <c r="E4818" s="528"/>
      <c r="F4818" s="528"/>
      <c r="G4818" s="528" t="s">
        <v>205</v>
      </c>
      <c r="H4818"/>
    </row>
    <row r="4819" spans="1:8" x14ac:dyDescent="0.35">
      <c r="A4819" s="528" t="s">
        <v>13771</v>
      </c>
      <c r="B4819" s="528" t="s">
        <v>13772</v>
      </c>
      <c r="C4819" s="528" t="s">
        <v>13773</v>
      </c>
      <c r="D4819" s="528" t="s">
        <v>277</v>
      </c>
      <c r="E4819" s="528"/>
      <c r="F4819" s="528"/>
      <c r="G4819" s="528" t="s">
        <v>208</v>
      </c>
      <c r="H4819"/>
    </row>
    <row r="4820" spans="1:8" x14ac:dyDescent="0.35">
      <c r="A4820" s="528" t="s">
        <v>13774</v>
      </c>
      <c r="B4820" s="528" t="s">
        <v>13775</v>
      </c>
      <c r="C4820" s="528" t="s">
        <v>13776</v>
      </c>
      <c r="D4820" s="528" t="s">
        <v>277</v>
      </c>
      <c r="E4820" s="528"/>
      <c r="F4820" s="528"/>
      <c r="G4820" s="528" t="s">
        <v>208</v>
      </c>
      <c r="H4820"/>
    </row>
    <row r="4821" spans="1:8" x14ac:dyDescent="0.35">
      <c r="A4821" s="528" t="s">
        <v>13777</v>
      </c>
      <c r="B4821" s="528" t="s">
        <v>13778</v>
      </c>
      <c r="C4821" s="528" t="s">
        <v>13779</v>
      </c>
      <c r="D4821" s="528" t="s">
        <v>277</v>
      </c>
      <c r="E4821" s="528"/>
      <c r="F4821" s="528"/>
      <c r="G4821" s="528" t="s">
        <v>205</v>
      </c>
      <c r="H4821"/>
    </row>
    <row r="4822" spans="1:8" x14ac:dyDescent="0.35">
      <c r="A4822" s="528" t="s">
        <v>13780</v>
      </c>
      <c r="B4822" s="528" t="s">
        <v>13781</v>
      </c>
      <c r="C4822" s="528" t="s">
        <v>13782</v>
      </c>
      <c r="D4822" s="528" t="s">
        <v>238</v>
      </c>
      <c r="E4822" s="528"/>
      <c r="F4822" s="528"/>
      <c r="G4822" s="528" t="s">
        <v>205</v>
      </c>
      <c r="H4822"/>
    </row>
    <row r="4823" spans="1:8" x14ac:dyDescent="0.35">
      <c r="A4823" s="528" t="s">
        <v>13783</v>
      </c>
      <c r="B4823" s="528" t="s">
        <v>13784</v>
      </c>
      <c r="C4823" s="528" t="s">
        <v>13785</v>
      </c>
      <c r="D4823" s="528" t="s">
        <v>251</v>
      </c>
      <c r="E4823" s="528"/>
      <c r="F4823" s="528"/>
      <c r="G4823" s="528" t="s">
        <v>212</v>
      </c>
      <c r="H4823"/>
    </row>
    <row r="4824" spans="1:8" x14ac:dyDescent="0.35">
      <c r="A4824" s="528" t="s">
        <v>13786</v>
      </c>
      <c r="B4824" s="528" t="s">
        <v>13787</v>
      </c>
      <c r="C4824" s="528" t="s">
        <v>13788</v>
      </c>
      <c r="D4824" s="528" t="s">
        <v>251</v>
      </c>
      <c r="E4824" s="528"/>
      <c r="F4824" s="528"/>
      <c r="G4824" s="528" t="s">
        <v>214</v>
      </c>
      <c r="H4824"/>
    </row>
    <row r="4825" spans="1:8" x14ac:dyDescent="0.35">
      <c r="A4825" s="528" t="s">
        <v>13789</v>
      </c>
      <c r="B4825" s="528" t="s">
        <v>13790</v>
      </c>
      <c r="C4825" s="528" t="s">
        <v>13562</v>
      </c>
      <c r="D4825" s="528" t="s">
        <v>277</v>
      </c>
      <c r="E4825" s="528"/>
      <c r="F4825" s="528"/>
      <c r="G4825" s="528" t="s">
        <v>205</v>
      </c>
      <c r="H4825"/>
    </row>
    <row r="4826" spans="1:8" x14ac:dyDescent="0.35">
      <c r="A4826" s="528" t="s">
        <v>13791</v>
      </c>
      <c r="B4826" s="528" t="s">
        <v>13792</v>
      </c>
      <c r="C4826" s="528" t="s">
        <v>13565</v>
      </c>
      <c r="D4826" s="528" t="s">
        <v>277</v>
      </c>
      <c r="E4826" s="528"/>
      <c r="F4826" s="528"/>
      <c r="G4826" s="528" t="s">
        <v>208</v>
      </c>
      <c r="H4826"/>
    </row>
    <row r="4827" spans="1:8" x14ac:dyDescent="0.35">
      <c r="A4827" s="528" t="s">
        <v>13793</v>
      </c>
      <c r="B4827" s="528" t="s">
        <v>13794</v>
      </c>
      <c r="C4827" s="528" t="s">
        <v>13571</v>
      </c>
      <c r="D4827" s="528" t="s">
        <v>225</v>
      </c>
      <c r="E4827" s="528"/>
      <c r="F4827" s="528"/>
      <c r="G4827" s="528" t="s">
        <v>208</v>
      </c>
      <c r="H4827"/>
    </row>
    <row r="4828" spans="1:8" x14ac:dyDescent="0.35">
      <c r="A4828" s="528" t="s">
        <v>13795</v>
      </c>
      <c r="B4828" s="528" t="s">
        <v>13796</v>
      </c>
      <c r="C4828" s="528" t="s">
        <v>13574</v>
      </c>
      <c r="D4828" s="528" t="s">
        <v>225</v>
      </c>
      <c r="E4828" s="528"/>
      <c r="F4828" s="528"/>
      <c r="G4828" s="528" t="s">
        <v>208</v>
      </c>
      <c r="H4828"/>
    </row>
    <row r="4829" spans="1:8" x14ac:dyDescent="0.35">
      <c r="A4829" s="528" t="s">
        <v>13797</v>
      </c>
      <c r="B4829" s="528" t="s">
        <v>13798</v>
      </c>
      <c r="C4829" s="528" t="s">
        <v>13799</v>
      </c>
      <c r="D4829" s="528" t="s">
        <v>264</v>
      </c>
      <c r="E4829" s="528"/>
      <c r="F4829" s="528"/>
      <c r="G4829" s="528" t="s">
        <v>208</v>
      </c>
      <c r="H4829"/>
    </row>
    <row r="4830" spans="1:8" x14ac:dyDescent="0.35">
      <c r="A4830" s="528" t="s">
        <v>13800</v>
      </c>
      <c r="B4830" s="528" t="s">
        <v>13801</v>
      </c>
      <c r="C4830" s="528" t="s">
        <v>13802</v>
      </c>
      <c r="D4830" s="528" t="s">
        <v>264</v>
      </c>
      <c r="E4830" s="528"/>
      <c r="F4830" s="528"/>
      <c r="G4830" s="528" t="s">
        <v>205</v>
      </c>
      <c r="H4830"/>
    </row>
    <row r="4831" spans="1:8" x14ac:dyDescent="0.35">
      <c r="A4831" s="528" t="s">
        <v>13803</v>
      </c>
      <c r="B4831" s="528" t="s">
        <v>13804</v>
      </c>
      <c r="C4831" s="528" t="s">
        <v>13805</v>
      </c>
      <c r="D4831" s="528" t="s">
        <v>264</v>
      </c>
      <c r="E4831" s="528"/>
      <c r="F4831" s="528"/>
      <c r="G4831" s="528" t="s">
        <v>205</v>
      </c>
      <c r="H4831"/>
    </row>
    <row r="4832" spans="1:8" x14ac:dyDescent="0.35">
      <c r="A4832" s="528" t="s">
        <v>13806</v>
      </c>
      <c r="B4832" s="528" t="s">
        <v>13807</v>
      </c>
      <c r="C4832" s="528" t="s">
        <v>13808</v>
      </c>
      <c r="D4832" s="528" t="s">
        <v>238</v>
      </c>
      <c r="E4832" s="528"/>
      <c r="F4832" s="528"/>
      <c r="G4832" s="528" t="s">
        <v>205</v>
      </c>
      <c r="H4832"/>
    </row>
    <row r="4833" spans="1:8" x14ac:dyDescent="0.35">
      <c r="A4833" s="528" t="s">
        <v>13809</v>
      </c>
      <c r="B4833" s="528" t="s">
        <v>13810</v>
      </c>
      <c r="C4833" s="528" t="s">
        <v>13811</v>
      </c>
      <c r="D4833" s="528" t="s">
        <v>264</v>
      </c>
      <c r="E4833" s="528" t="s">
        <v>277</v>
      </c>
      <c r="F4833" s="528"/>
      <c r="G4833" s="528" t="s">
        <v>205</v>
      </c>
      <c r="H4833"/>
    </row>
    <row r="4834" spans="1:8" x14ac:dyDescent="0.35">
      <c r="A4834" s="528" t="s">
        <v>13812</v>
      </c>
      <c r="B4834" s="528" t="s">
        <v>13813</v>
      </c>
      <c r="C4834" s="528" t="s">
        <v>13814</v>
      </c>
      <c r="D4834" s="528" t="s">
        <v>264</v>
      </c>
      <c r="E4834" s="528"/>
      <c r="F4834" s="528"/>
      <c r="G4834" s="528" t="s">
        <v>205</v>
      </c>
      <c r="H4834"/>
    </row>
    <row r="4835" spans="1:8" x14ac:dyDescent="0.35">
      <c r="A4835" s="528" t="s">
        <v>13815</v>
      </c>
      <c r="B4835" s="528" t="s">
        <v>13816</v>
      </c>
      <c r="C4835" s="528" t="s">
        <v>13817</v>
      </c>
      <c r="D4835" s="528" t="s">
        <v>251</v>
      </c>
      <c r="E4835" s="528"/>
      <c r="F4835" s="528"/>
      <c r="G4835" s="528" t="s">
        <v>208</v>
      </c>
      <c r="H4835"/>
    </row>
    <row r="4836" spans="1:8" x14ac:dyDescent="0.35">
      <c r="A4836" s="528" t="s">
        <v>13818</v>
      </c>
      <c r="B4836" s="528" t="s">
        <v>13819</v>
      </c>
      <c r="C4836" s="528" t="s">
        <v>13820</v>
      </c>
      <c r="D4836" s="528" t="s">
        <v>251</v>
      </c>
      <c r="E4836" s="528"/>
      <c r="F4836" s="528"/>
      <c r="G4836" s="528" t="s">
        <v>205</v>
      </c>
      <c r="H4836"/>
    </row>
    <row r="4837" spans="1:8" x14ac:dyDescent="0.35">
      <c r="A4837" s="528" t="s">
        <v>13821</v>
      </c>
      <c r="B4837" s="528" t="s">
        <v>13822</v>
      </c>
      <c r="C4837" s="528" t="s">
        <v>13823</v>
      </c>
      <c r="D4837" s="528" t="s">
        <v>225</v>
      </c>
      <c r="E4837" s="528"/>
      <c r="F4837" s="528"/>
      <c r="G4837" s="528" t="s">
        <v>205</v>
      </c>
      <c r="H4837"/>
    </row>
    <row r="4838" spans="1:8" x14ac:dyDescent="0.35">
      <c r="A4838" s="528" t="s">
        <v>13824</v>
      </c>
      <c r="B4838" s="528" t="s">
        <v>13825</v>
      </c>
      <c r="C4838" s="528" t="s">
        <v>13826</v>
      </c>
      <c r="D4838" s="528" t="s">
        <v>277</v>
      </c>
      <c r="E4838" s="528"/>
      <c r="F4838" s="528"/>
      <c r="G4838" s="528" t="s">
        <v>208</v>
      </c>
      <c r="H4838"/>
    </row>
    <row r="4839" spans="1:8" x14ac:dyDescent="0.35">
      <c r="A4839" s="528" t="s">
        <v>13827</v>
      </c>
      <c r="B4839" s="528" t="s">
        <v>13828</v>
      </c>
      <c r="C4839" s="528" t="s">
        <v>13829</v>
      </c>
      <c r="D4839" s="528" t="s">
        <v>277</v>
      </c>
      <c r="E4839" s="528"/>
      <c r="F4839" s="528"/>
      <c r="G4839" s="528" t="s">
        <v>208</v>
      </c>
      <c r="H4839"/>
    </row>
    <row r="4840" spans="1:8" x14ac:dyDescent="0.35">
      <c r="A4840" s="528" t="s">
        <v>13830</v>
      </c>
      <c r="B4840" s="528" t="s">
        <v>13831</v>
      </c>
      <c r="C4840" s="528" t="s">
        <v>13832</v>
      </c>
      <c r="D4840" s="528" t="s">
        <v>238</v>
      </c>
      <c r="E4840" s="528"/>
      <c r="F4840" s="528"/>
      <c r="G4840" s="528" t="s">
        <v>208</v>
      </c>
      <c r="H4840"/>
    </row>
    <row r="4841" spans="1:8" x14ac:dyDescent="0.35">
      <c r="A4841" s="528" t="s">
        <v>13833</v>
      </c>
      <c r="B4841" s="528" t="s">
        <v>13834</v>
      </c>
      <c r="C4841" s="528" t="s">
        <v>13835</v>
      </c>
      <c r="D4841" s="528" t="s">
        <v>277</v>
      </c>
      <c r="E4841" s="528" t="s">
        <v>264</v>
      </c>
      <c r="F4841" s="528"/>
      <c r="G4841" s="528" t="s">
        <v>205</v>
      </c>
      <c r="H4841"/>
    </row>
    <row r="4842" spans="1:8" x14ac:dyDescent="0.35">
      <c r="A4842" s="528" t="s">
        <v>13836</v>
      </c>
      <c r="B4842" s="528" t="s">
        <v>13837</v>
      </c>
      <c r="C4842" s="528" t="s">
        <v>13838</v>
      </c>
      <c r="D4842" s="528" t="s">
        <v>264</v>
      </c>
      <c r="E4842" s="528"/>
      <c r="F4842" s="528"/>
      <c r="G4842" s="528" t="s">
        <v>205</v>
      </c>
      <c r="H4842"/>
    </row>
    <row r="4843" spans="1:8" x14ac:dyDescent="0.35">
      <c r="A4843" s="528" t="s">
        <v>13839</v>
      </c>
      <c r="B4843" s="528" t="s">
        <v>13840</v>
      </c>
      <c r="C4843" s="528" t="s">
        <v>13841</v>
      </c>
      <c r="D4843" s="528" t="s">
        <v>238</v>
      </c>
      <c r="E4843" s="528"/>
      <c r="F4843" s="528"/>
      <c r="G4843" s="528" t="s">
        <v>205</v>
      </c>
      <c r="H4843"/>
    </row>
    <row r="4844" spans="1:8" x14ac:dyDescent="0.35">
      <c r="A4844" s="528" t="s">
        <v>13842</v>
      </c>
      <c r="B4844" s="528" t="s">
        <v>13843</v>
      </c>
      <c r="C4844" s="528" t="s">
        <v>13844</v>
      </c>
      <c r="D4844" s="528" t="s">
        <v>264</v>
      </c>
      <c r="E4844" s="528"/>
      <c r="F4844" s="528"/>
      <c r="G4844" s="528" t="s">
        <v>205</v>
      </c>
      <c r="H4844"/>
    </row>
    <row r="4845" spans="1:8" x14ac:dyDescent="0.35">
      <c r="A4845" s="528" t="s">
        <v>13845</v>
      </c>
      <c r="B4845" s="528" t="s">
        <v>13846</v>
      </c>
      <c r="C4845" s="528" t="s">
        <v>13847</v>
      </c>
      <c r="D4845" s="528" t="s">
        <v>277</v>
      </c>
      <c r="E4845" s="528"/>
      <c r="F4845" s="528"/>
      <c r="G4845" s="528" t="s">
        <v>205</v>
      </c>
      <c r="H4845"/>
    </row>
    <row r="4846" spans="1:8" x14ac:dyDescent="0.35">
      <c r="A4846" s="528" t="s">
        <v>13848</v>
      </c>
      <c r="B4846" s="528" t="s">
        <v>13849</v>
      </c>
      <c r="C4846" s="528" t="s">
        <v>13850</v>
      </c>
      <c r="D4846" s="528" t="s">
        <v>277</v>
      </c>
      <c r="E4846" s="528"/>
      <c r="F4846" s="528"/>
      <c r="G4846" s="528" t="s">
        <v>205</v>
      </c>
      <c r="H4846"/>
    </row>
    <row r="4847" spans="1:8" x14ac:dyDescent="0.35">
      <c r="A4847" s="528" t="s">
        <v>13851</v>
      </c>
      <c r="B4847" s="528" t="s">
        <v>13852</v>
      </c>
      <c r="C4847" s="528" t="s">
        <v>13853</v>
      </c>
      <c r="D4847" s="528" t="s">
        <v>264</v>
      </c>
      <c r="E4847" s="528"/>
      <c r="F4847" s="528"/>
      <c r="G4847" s="528" t="s">
        <v>205</v>
      </c>
      <c r="H4847"/>
    </row>
    <row r="4848" spans="1:8" x14ac:dyDescent="0.35">
      <c r="A4848" s="528" t="s">
        <v>13854</v>
      </c>
      <c r="B4848" s="528" t="s">
        <v>13855</v>
      </c>
      <c r="C4848" s="528" t="s">
        <v>13856</v>
      </c>
      <c r="D4848" s="528" t="s">
        <v>238</v>
      </c>
      <c r="E4848" s="528"/>
      <c r="F4848" s="528"/>
      <c r="G4848" s="528" t="s">
        <v>205</v>
      </c>
      <c r="H4848"/>
    </row>
    <row r="4849" spans="1:8" x14ac:dyDescent="0.35">
      <c r="A4849" s="528" t="s">
        <v>13857</v>
      </c>
      <c r="B4849" s="528" t="s">
        <v>13858</v>
      </c>
      <c r="C4849" s="528" t="s">
        <v>13859</v>
      </c>
      <c r="D4849" s="528" t="s">
        <v>277</v>
      </c>
      <c r="E4849" s="528"/>
      <c r="F4849" s="528"/>
      <c r="G4849" s="528" t="s">
        <v>208</v>
      </c>
      <c r="H4849"/>
    </row>
    <row r="4850" spans="1:8" x14ac:dyDescent="0.35">
      <c r="A4850" s="528" t="s">
        <v>13860</v>
      </c>
      <c r="B4850" s="528" t="s">
        <v>13861</v>
      </c>
      <c r="C4850" s="528" t="s">
        <v>13862</v>
      </c>
      <c r="D4850" s="528" t="s">
        <v>251</v>
      </c>
      <c r="E4850" s="528"/>
      <c r="F4850" s="528"/>
      <c r="G4850" s="528" t="s">
        <v>208</v>
      </c>
      <c r="H4850"/>
    </row>
    <row r="4851" spans="1:8" x14ac:dyDescent="0.35">
      <c r="A4851" s="528" t="s">
        <v>13863</v>
      </c>
      <c r="B4851" s="528" t="s">
        <v>13864</v>
      </c>
      <c r="C4851" s="528" t="s">
        <v>13865</v>
      </c>
      <c r="D4851" s="528" t="s">
        <v>277</v>
      </c>
      <c r="E4851" s="528"/>
      <c r="F4851" s="528"/>
      <c r="G4851" s="528" t="s">
        <v>208</v>
      </c>
      <c r="H4851"/>
    </row>
    <row r="4852" spans="1:8" x14ac:dyDescent="0.35">
      <c r="A4852" s="528" t="s">
        <v>13866</v>
      </c>
      <c r="B4852" s="528" t="s">
        <v>13867</v>
      </c>
      <c r="C4852" s="528" t="s">
        <v>13868</v>
      </c>
      <c r="D4852" s="528" t="s">
        <v>264</v>
      </c>
      <c r="E4852" s="528"/>
      <c r="F4852" s="528"/>
      <c r="G4852" s="528" t="s">
        <v>208</v>
      </c>
      <c r="H4852"/>
    </row>
    <row r="4853" spans="1:8" x14ac:dyDescent="0.35">
      <c r="A4853" s="528" t="s">
        <v>13869</v>
      </c>
      <c r="B4853" s="528" t="s">
        <v>13870</v>
      </c>
      <c r="C4853" s="528" t="s">
        <v>13871</v>
      </c>
      <c r="D4853" s="528" t="s">
        <v>251</v>
      </c>
      <c r="E4853" s="528"/>
      <c r="F4853" s="528"/>
      <c r="G4853" s="528" t="s">
        <v>205</v>
      </c>
      <c r="H4853"/>
    </row>
    <row r="4854" spans="1:8" x14ac:dyDescent="0.35">
      <c r="A4854" s="528" t="s">
        <v>13872</v>
      </c>
      <c r="B4854" s="528" t="s">
        <v>13873</v>
      </c>
      <c r="C4854" s="528" t="s">
        <v>13874</v>
      </c>
      <c r="D4854" s="528" t="s">
        <v>277</v>
      </c>
      <c r="E4854" s="528"/>
      <c r="F4854" s="528"/>
      <c r="G4854" s="528" t="s">
        <v>205</v>
      </c>
      <c r="H4854"/>
    </row>
    <row r="4855" spans="1:8" x14ac:dyDescent="0.35">
      <c r="A4855" s="528" t="s">
        <v>13875</v>
      </c>
      <c r="B4855" s="528" t="s">
        <v>13876</v>
      </c>
      <c r="C4855" s="528" t="s">
        <v>13877</v>
      </c>
      <c r="D4855" s="528" t="s">
        <v>277</v>
      </c>
      <c r="E4855" s="528"/>
      <c r="F4855" s="528"/>
      <c r="G4855" s="528" t="s">
        <v>205</v>
      </c>
      <c r="H4855"/>
    </row>
    <row r="4856" spans="1:8" x14ac:dyDescent="0.35">
      <c r="A4856" s="528" t="s">
        <v>13878</v>
      </c>
      <c r="B4856" s="528" t="s">
        <v>13879</v>
      </c>
      <c r="C4856" s="528" t="s">
        <v>13880</v>
      </c>
      <c r="D4856" s="528" t="s">
        <v>251</v>
      </c>
      <c r="E4856" s="528"/>
      <c r="F4856" s="528"/>
      <c r="G4856" s="528" t="s">
        <v>205</v>
      </c>
      <c r="H4856"/>
    </row>
    <row r="4857" spans="1:8" x14ac:dyDescent="0.35">
      <c r="A4857" s="528" t="s">
        <v>13881</v>
      </c>
      <c r="B4857" s="528" t="s">
        <v>13882</v>
      </c>
      <c r="C4857" s="528" t="s">
        <v>13883</v>
      </c>
      <c r="D4857" s="528" t="s">
        <v>264</v>
      </c>
      <c r="E4857" s="528"/>
      <c r="F4857" s="528"/>
      <c r="G4857" s="528" t="s">
        <v>205</v>
      </c>
      <c r="H4857"/>
    </row>
    <row r="4858" spans="1:8" x14ac:dyDescent="0.35">
      <c r="A4858" s="528" t="s">
        <v>13884</v>
      </c>
      <c r="B4858" s="528" t="s">
        <v>13885</v>
      </c>
      <c r="C4858" s="528" t="s">
        <v>13886</v>
      </c>
      <c r="D4858" s="528" t="s">
        <v>264</v>
      </c>
      <c r="E4858" s="528"/>
      <c r="F4858" s="528"/>
      <c r="G4858" s="528" t="s">
        <v>205</v>
      </c>
      <c r="H4858"/>
    </row>
    <row r="4859" spans="1:8" x14ac:dyDescent="0.35">
      <c r="A4859" s="528" t="s">
        <v>13887</v>
      </c>
      <c r="B4859" s="528" t="s">
        <v>13888</v>
      </c>
      <c r="C4859" s="528" t="s">
        <v>13889</v>
      </c>
      <c r="D4859" s="528" t="s">
        <v>251</v>
      </c>
      <c r="E4859" s="528"/>
      <c r="F4859" s="528"/>
      <c r="G4859" s="528" t="s">
        <v>205</v>
      </c>
      <c r="H4859"/>
    </row>
    <row r="4860" spans="1:8" x14ac:dyDescent="0.35">
      <c r="A4860" s="528" t="s">
        <v>13890</v>
      </c>
      <c r="B4860" s="528" t="s">
        <v>13891</v>
      </c>
      <c r="C4860" s="528" t="s">
        <v>13892</v>
      </c>
      <c r="D4860" s="528" t="s">
        <v>264</v>
      </c>
      <c r="E4860" s="528"/>
      <c r="F4860" s="528"/>
      <c r="G4860" s="528" t="s">
        <v>208</v>
      </c>
      <c r="H4860"/>
    </row>
    <row r="4861" spans="1:8" x14ac:dyDescent="0.35">
      <c r="A4861" s="528" t="s">
        <v>13893</v>
      </c>
      <c r="B4861" s="528" t="s">
        <v>13894</v>
      </c>
      <c r="C4861" s="528" t="s">
        <v>13895</v>
      </c>
      <c r="D4861" s="528" t="s">
        <v>251</v>
      </c>
      <c r="E4861" s="528"/>
      <c r="F4861" s="528"/>
      <c r="G4861" s="528" t="s">
        <v>208</v>
      </c>
      <c r="H4861"/>
    </row>
    <row r="4862" spans="1:8" x14ac:dyDescent="0.35">
      <c r="A4862" s="528" t="s">
        <v>13896</v>
      </c>
      <c r="B4862" s="528" t="s">
        <v>13897</v>
      </c>
      <c r="C4862" s="528" t="s">
        <v>13898</v>
      </c>
      <c r="D4862" s="528" t="s">
        <v>251</v>
      </c>
      <c r="E4862" s="528"/>
      <c r="F4862" s="528"/>
      <c r="G4862" s="528" t="s">
        <v>208</v>
      </c>
      <c r="H4862"/>
    </row>
    <row r="4863" spans="1:8" x14ac:dyDescent="0.35">
      <c r="A4863" s="528" t="s">
        <v>13899</v>
      </c>
      <c r="B4863" s="528" t="s">
        <v>13900</v>
      </c>
      <c r="C4863" s="528" t="s">
        <v>13901</v>
      </c>
      <c r="D4863" s="528" t="s">
        <v>251</v>
      </c>
      <c r="E4863" s="528"/>
      <c r="F4863" s="528"/>
      <c r="G4863" s="528" t="s">
        <v>205</v>
      </c>
      <c r="H4863"/>
    </row>
    <row r="4864" spans="1:8" x14ac:dyDescent="0.35">
      <c r="A4864" s="528" t="s">
        <v>13902</v>
      </c>
      <c r="B4864" s="528" t="s">
        <v>13903</v>
      </c>
      <c r="C4864" s="528" t="s">
        <v>13904</v>
      </c>
      <c r="D4864" s="528" t="s">
        <v>251</v>
      </c>
      <c r="E4864" s="528"/>
      <c r="F4864" s="528"/>
      <c r="G4864" s="528" t="s">
        <v>205</v>
      </c>
      <c r="H4864"/>
    </row>
    <row r="4865" spans="1:8" x14ac:dyDescent="0.35">
      <c r="A4865" s="528" t="s">
        <v>13905</v>
      </c>
      <c r="B4865" s="528" t="s">
        <v>13906</v>
      </c>
      <c r="C4865" s="528" t="s">
        <v>13907</v>
      </c>
      <c r="D4865" s="528" t="s">
        <v>264</v>
      </c>
      <c r="E4865" s="528"/>
      <c r="F4865" s="528"/>
      <c r="G4865" s="528" t="s">
        <v>212</v>
      </c>
      <c r="H4865"/>
    </row>
    <row r="4866" spans="1:8" x14ac:dyDescent="0.35">
      <c r="A4866" s="528" t="s">
        <v>13908</v>
      </c>
      <c r="B4866" s="528" t="s">
        <v>13909</v>
      </c>
      <c r="C4866" s="528" t="s">
        <v>13910</v>
      </c>
      <c r="D4866" s="528" t="s">
        <v>264</v>
      </c>
      <c r="E4866" s="528"/>
      <c r="F4866" s="528"/>
      <c r="G4866" s="528" t="s">
        <v>212</v>
      </c>
      <c r="H4866"/>
    </row>
    <row r="4867" spans="1:8" x14ac:dyDescent="0.35">
      <c r="A4867" s="528" t="s">
        <v>13911</v>
      </c>
      <c r="B4867" s="528" t="s">
        <v>13912</v>
      </c>
      <c r="C4867" s="528" t="s">
        <v>13913</v>
      </c>
      <c r="D4867" s="528" t="s">
        <v>277</v>
      </c>
      <c r="E4867" s="528"/>
      <c r="F4867" s="528"/>
      <c r="G4867" s="528" t="s">
        <v>208</v>
      </c>
      <c r="H4867"/>
    </row>
    <row r="4868" spans="1:8" x14ac:dyDescent="0.35">
      <c r="A4868" s="528" t="s">
        <v>13914</v>
      </c>
      <c r="B4868" s="528" t="s">
        <v>13915</v>
      </c>
      <c r="C4868" s="528" t="s">
        <v>13916</v>
      </c>
      <c r="D4868" s="528" t="s">
        <v>251</v>
      </c>
      <c r="E4868" s="528"/>
      <c r="F4868" s="528"/>
      <c r="G4868" s="528" t="s">
        <v>205</v>
      </c>
      <c r="H4868"/>
    </row>
    <row r="4869" spans="1:8" x14ac:dyDescent="0.35">
      <c r="A4869" s="528" t="s">
        <v>13917</v>
      </c>
      <c r="B4869" s="528" t="s">
        <v>13918</v>
      </c>
      <c r="C4869" s="528" t="s">
        <v>13919</v>
      </c>
      <c r="D4869" s="528" t="s">
        <v>264</v>
      </c>
      <c r="E4869" s="528"/>
      <c r="F4869" s="528"/>
      <c r="G4869" s="528" t="s">
        <v>205</v>
      </c>
      <c r="H4869"/>
    </row>
    <row r="4870" spans="1:8" x14ac:dyDescent="0.35">
      <c r="A4870" s="528" t="s">
        <v>13920</v>
      </c>
      <c r="B4870" s="528" t="s">
        <v>13921</v>
      </c>
      <c r="C4870" s="528" t="s">
        <v>13922</v>
      </c>
      <c r="D4870" s="528" t="s">
        <v>251</v>
      </c>
      <c r="E4870" s="528"/>
      <c r="F4870" s="528"/>
      <c r="G4870" s="528" t="s">
        <v>205</v>
      </c>
      <c r="H4870"/>
    </row>
    <row r="4871" spans="1:8" x14ac:dyDescent="0.35">
      <c r="A4871" s="528" t="s">
        <v>13923</v>
      </c>
      <c r="B4871" s="528" t="s">
        <v>13924</v>
      </c>
      <c r="C4871" s="528" t="s">
        <v>13925</v>
      </c>
      <c r="D4871" s="528" t="s">
        <v>251</v>
      </c>
      <c r="E4871" s="528"/>
      <c r="F4871" s="528"/>
      <c r="G4871" s="528" t="s">
        <v>208</v>
      </c>
      <c r="H4871"/>
    </row>
    <row r="4872" spans="1:8" x14ac:dyDescent="0.35">
      <c r="A4872" s="528" t="s">
        <v>13926</v>
      </c>
      <c r="B4872" s="528" t="s">
        <v>13927</v>
      </c>
      <c r="C4872" s="528" t="s">
        <v>13928</v>
      </c>
      <c r="D4872" s="528" t="s">
        <v>264</v>
      </c>
      <c r="E4872" s="528"/>
      <c r="F4872" s="528"/>
      <c r="G4872" s="528" t="s">
        <v>205</v>
      </c>
      <c r="H4872"/>
    </row>
    <row r="4873" spans="1:8" x14ac:dyDescent="0.35">
      <c r="A4873" s="528" t="s">
        <v>13929</v>
      </c>
      <c r="B4873" s="528" t="s">
        <v>13930</v>
      </c>
      <c r="C4873" s="528" t="s">
        <v>13931</v>
      </c>
      <c r="D4873" s="528" t="s">
        <v>264</v>
      </c>
      <c r="E4873" s="528"/>
      <c r="F4873" s="528"/>
      <c r="G4873" s="528" t="s">
        <v>205</v>
      </c>
      <c r="H4873"/>
    </row>
    <row r="4874" spans="1:8" x14ac:dyDescent="0.35">
      <c r="A4874" s="528" t="s">
        <v>13932</v>
      </c>
      <c r="B4874" s="528" t="s">
        <v>13933</v>
      </c>
      <c r="C4874" s="528" t="s">
        <v>13934</v>
      </c>
      <c r="D4874" s="528" t="s">
        <v>264</v>
      </c>
      <c r="E4874" s="528"/>
      <c r="F4874" s="528"/>
      <c r="G4874" s="528" t="s">
        <v>205</v>
      </c>
      <c r="H4874"/>
    </row>
    <row r="4875" spans="1:8" x14ac:dyDescent="0.35">
      <c r="A4875" s="528" t="s">
        <v>13935</v>
      </c>
      <c r="B4875" s="528" t="s">
        <v>13936</v>
      </c>
      <c r="C4875" s="528" t="s">
        <v>13937</v>
      </c>
      <c r="D4875" s="528" t="s">
        <v>225</v>
      </c>
      <c r="E4875" s="528"/>
      <c r="F4875" s="528"/>
      <c r="G4875" s="528" t="s">
        <v>205</v>
      </c>
      <c r="H4875"/>
    </row>
    <row r="4876" spans="1:8" x14ac:dyDescent="0.35">
      <c r="A4876" s="528" t="s">
        <v>13938</v>
      </c>
      <c r="B4876" s="528" t="s">
        <v>13939</v>
      </c>
      <c r="C4876" s="528" t="s">
        <v>13940</v>
      </c>
      <c r="D4876" s="528" t="s">
        <v>238</v>
      </c>
      <c r="E4876" s="528"/>
      <c r="F4876" s="528"/>
      <c r="G4876" s="528" t="s">
        <v>208</v>
      </c>
      <c r="H4876"/>
    </row>
    <row r="4877" spans="1:8" x14ac:dyDescent="0.35">
      <c r="A4877" s="528" t="s">
        <v>13941</v>
      </c>
      <c r="B4877" s="528" t="s">
        <v>13942</v>
      </c>
      <c r="C4877" s="528" t="s">
        <v>13943</v>
      </c>
      <c r="D4877" s="528" t="s">
        <v>225</v>
      </c>
      <c r="E4877" s="528"/>
      <c r="F4877" s="528"/>
      <c r="G4877" s="528" t="s">
        <v>205</v>
      </c>
      <c r="H4877"/>
    </row>
    <row r="4878" spans="1:8" x14ac:dyDescent="0.35">
      <c r="A4878" s="528" t="s">
        <v>13944</v>
      </c>
      <c r="B4878" s="528" t="s">
        <v>13945</v>
      </c>
      <c r="C4878" s="528" t="s">
        <v>13946</v>
      </c>
      <c r="D4878" s="528" t="s">
        <v>225</v>
      </c>
      <c r="E4878" s="528"/>
      <c r="F4878" s="528"/>
      <c r="G4878" s="528" t="s">
        <v>205</v>
      </c>
      <c r="H4878"/>
    </row>
    <row r="4879" spans="1:8" x14ac:dyDescent="0.35">
      <c r="A4879" s="528" t="s">
        <v>13947</v>
      </c>
      <c r="B4879" s="528" t="s">
        <v>13948</v>
      </c>
      <c r="C4879" s="528" t="s">
        <v>13949</v>
      </c>
      <c r="D4879" s="528" t="s">
        <v>238</v>
      </c>
      <c r="E4879" s="528"/>
      <c r="F4879" s="528"/>
      <c r="G4879" s="528" t="s">
        <v>208</v>
      </c>
      <c r="H4879"/>
    </row>
    <row r="4880" spans="1:8" x14ac:dyDescent="0.35">
      <c r="A4880" s="528" t="s">
        <v>13950</v>
      </c>
      <c r="B4880" s="528" t="s">
        <v>13951</v>
      </c>
      <c r="C4880" s="528" t="s">
        <v>13952</v>
      </c>
      <c r="D4880" s="528" t="s">
        <v>264</v>
      </c>
      <c r="E4880" s="528"/>
      <c r="F4880" s="528"/>
      <c r="G4880" s="528" t="s">
        <v>205</v>
      </c>
      <c r="H4880"/>
    </row>
    <row r="4881" spans="1:8" x14ac:dyDescent="0.35">
      <c r="A4881" s="528" t="s">
        <v>13953</v>
      </c>
      <c r="B4881" s="528" t="s">
        <v>13954</v>
      </c>
      <c r="C4881" s="528" t="s">
        <v>13955</v>
      </c>
      <c r="D4881" s="528" t="s">
        <v>264</v>
      </c>
      <c r="E4881" s="528"/>
      <c r="F4881" s="528"/>
      <c r="G4881" s="528" t="s">
        <v>205</v>
      </c>
      <c r="H4881"/>
    </row>
    <row r="4882" spans="1:8" x14ac:dyDescent="0.35">
      <c r="A4882" s="528" t="s">
        <v>13956</v>
      </c>
      <c r="B4882" s="528" t="s">
        <v>13957</v>
      </c>
      <c r="C4882" s="528" t="s">
        <v>13958</v>
      </c>
      <c r="D4882" s="528" t="s">
        <v>225</v>
      </c>
      <c r="E4882" s="528"/>
      <c r="F4882" s="528"/>
      <c r="G4882" s="528" t="s">
        <v>208</v>
      </c>
      <c r="H4882"/>
    </row>
    <row r="4883" spans="1:8" x14ac:dyDescent="0.35">
      <c r="A4883" s="528" t="s">
        <v>13959</v>
      </c>
      <c r="B4883" s="528" t="s">
        <v>13960</v>
      </c>
      <c r="C4883" s="528" t="s">
        <v>13961</v>
      </c>
      <c r="D4883" s="528" t="s">
        <v>225</v>
      </c>
      <c r="E4883" s="528"/>
      <c r="F4883" s="528"/>
      <c r="G4883" s="528" t="s">
        <v>205</v>
      </c>
      <c r="H4883"/>
    </row>
    <row r="4884" spans="1:8" x14ac:dyDescent="0.35">
      <c r="A4884" s="528" t="s">
        <v>13962</v>
      </c>
      <c r="B4884" s="528" t="s">
        <v>13963</v>
      </c>
      <c r="C4884" s="528" t="s">
        <v>13964</v>
      </c>
      <c r="D4884" s="528" t="s">
        <v>277</v>
      </c>
      <c r="E4884" s="528"/>
      <c r="F4884" s="528"/>
      <c r="G4884" s="528" t="s">
        <v>208</v>
      </c>
      <c r="H4884"/>
    </row>
    <row r="4885" spans="1:8" x14ac:dyDescent="0.35">
      <c r="A4885" s="528" t="s">
        <v>13965</v>
      </c>
      <c r="B4885" s="528" t="s">
        <v>13966</v>
      </c>
      <c r="C4885" s="528" t="s">
        <v>13967</v>
      </c>
      <c r="D4885" s="528" t="s">
        <v>264</v>
      </c>
      <c r="E4885" s="528"/>
      <c r="F4885" s="528"/>
      <c r="G4885" s="528" t="s">
        <v>208</v>
      </c>
      <c r="H4885"/>
    </row>
    <row r="4886" spans="1:8" x14ac:dyDescent="0.35">
      <c r="A4886" s="528" t="s">
        <v>13968</v>
      </c>
      <c r="B4886" s="528" t="s">
        <v>13969</v>
      </c>
      <c r="C4886" s="528" t="s">
        <v>13970</v>
      </c>
      <c r="D4886" s="528" t="s">
        <v>264</v>
      </c>
      <c r="E4886" s="528"/>
      <c r="F4886" s="528"/>
      <c r="G4886" s="528" t="s">
        <v>205</v>
      </c>
      <c r="H4886"/>
    </row>
    <row r="4887" spans="1:8" x14ac:dyDescent="0.35">
      <c r="A4887" s="528" t="s">
        <v>13971</v>
      </c>
      <c r="B4887" s="528" t="s">
        <v>13972</v>
      </c>
      <c r="C4887" s="528" t="s">
        <v>13973</v>
      </c>
      <c r="D4887" s="528" t="s">
        <v>277</v>
      </c>
      <c r="E4887" s="528"/>
      <c r="F4887" s="528"/>
      <c r="G4887" s="528" t="s">
        <v>208</v>
      </c>
      <c r="H4887"/>
    </row>
    <row r="4888" spans="1:8" x14ac:dyDescent="0.35">
      <c r="A4888" s="528" t="s">
        <v>13974</v>
      </c>
      <c r="B4888" s="528" t="s">
        <v>13975</v>
      </c>
      <c r="C4888" s="528" t="s">
        <v>13976</v>
      </c>
      <c r="D4888" s="528" t="s">
        <v>277</v>
      </c>
      <c r="E4888" s="528"/>
      <c r="F4888" s="528"/>
      <c r="G4888" s="528" t="s">
        <v>208</v>
      </c>
      <c r="H4888"/>
    </row>
    <row r="4889" spans="1:8" x14ac:dyDescent="0.35">
      <c r="A4889" s="528" t="s">
        <v>13977</v>
      </c>
      <c r="B4889" s="528" t="s">
        <v>13978</v>
      </c>
      <c r="C4889" s="528" t="s">
        <v>13979</v>
      </c>
      <c r="D4889" s="528" t="s">
        <v>277</v>
      </c>
      <c r="E4889" s="528"/>
      <c r="F4889" s="528"/>
      <c r="G4889" s="528" t="s">
        <v>208</v>
      </c>
      <c r="H4889"/>
    </row>
    <row r="4890" spans="1:8" x14ac:dyDescent="0.35">
      <c r="A4890" s="528" t="s">
        <v>13980</v>
      </c>
      <c r="B4890" s="528" t="s">
        <v>13981</v>
      </c>
      <c r="C4890" s="528" t="s">
        <v>13982</v>
      </c>
      <c r="D4890" s="528" t="s">
        <v>251</v>
      </c>
      <c r="E4890" s="528"/>
      <c r="F4890" s="528"/>
      <c r="G4890" s="528" t="s">
        <v>205</v>
      </c>
      <c r="H4890"/>
    </row>
    <row r="4891" spans="1:8" x14ac:dyDescent="0.35">
      <c r="A4891" s="528" t="s">
        <v>13983</v>
      </c>
      <c r="B4891" s="528" t="s">
        <v>13984</v>
      </c>
      <c r="C4891" s="528" t="s">
        <v>13985</v>
      </c>
      <c r="D4891" s="528" t="s">
        <v>277</v>
      </c>
      <c r="E4891" s="528"/>
      <c r="F4891" s="528"/>
      <c r="G4891" s="528" t="s">
        <v>205</v>
      </c>
      <c r="H4891"/>
    </row>
    <row r="4892" spans="1:8" x14ac:dyDescent="0.35">
      <c r="A4892" s="528" t="s">
        <v>13986</v>
      </c>
      <c r="B4892" s="528" t="s">
        <v>13987</v>
      </c>
      <c r="C4892" s="528" t="s">
        <v>13988</v>
      </c>
      <c r="D4892" s="528" t="s">
        <v>251</v>
      </c>
      <c r="E4892" s="528"/>
      <c r="F4892" s="528"/>
      <c r="G4892" s="528" t="s">
        <v>208</v>
      </c>
      <c r="H4892"/>
    </row>
    <row r="4893" spans="1:8" x14ac:dyDescent="0.35">
      <c r="A4893" s="528" t="s">
        <v>13989</v>
      </c>
      <c r="B4893" s="528" t="s">
        <v>13990</v>
      </c>
      <c r="C4893" s="528" t="s">
        <v>13991</v>
      </c>
      <c r="D4893" s="528" t="s">
        <v>251</v>
      </c>
      <c r="E4893" s="528"/>
      <c r="F4893" s="528"/>
      <c r="G4893" s="528" t="s">
        <v>208</v>
      </c>
      <c r="H4893"/>
    </row>
    <row r="4894" spans="1:8" x14ac:dyDescent="0.35">
      <c r="A4894" s="528" t="s">
        <v>13992</v>
      </c>
      <c r="B4894" s="528" t="s">
        <v>13993</v>
      </c>
      <c r="C4894" s="528" t="s">
        <v>13994</v>
      </c>
      <c r="D4894" s="528" t="s">
        <v>251</v>
      </c>
      <c r="E4894" s="528"/>
      <c r="F4894" s="528"/>
      <c r="G4894" s="528" t="s">
        <v>208</v>
      </c>
      <c r="H4894"/>
    </row>
    <row r="4895" spans="1:8" x14ac:dyDescent="0.35">
      <c r="A4895" s="528" t="s">
        <v>13995</v>
      </c>
      <c r="B4895" s="528" t="s">
        <v>13996</v>
      </c>
      <c r="C4895" s="528" t="s">
        <v>13997</v>
      </c>
      <c r="D4895" s="528" t="s">
        <v>225</v>
      </c>
      <c r="E4895" s="528"/>
      <c r="F4895" s="528"/>
      <c r="G4895" s="528" t="s">
        <v>212</v>
      </c>
      <c r="H4895"/>
    </row>
    <row r="4896" spans="1:8" x14ac:dyDescent="0.35">
      <c r="A4896" s="528" t="s">
        <v>13998</v>
      </c>
      <c r="B4896" s="528" t="s">
        <v>13999</v>
      </c>
      <c r="C4896" s="528" t="s">
        <v>14000</v>
      </c>
      <c r="D4896" s="528" t="s">
        <v>264</v>
      </c>
      <c r="E4896" s="528" t="s">
        <v>225</v>
      </c>
      <c r="F4896" s="528"/>
      <c r="G4896" s="528" t="s">
        <v>212</v>
      </c>
      <c r="H4896"/>
    </row>
    <row r="4897" spans="1:8" x14ac:dyDescent="0.35">
      <c r="A4897" s="528" t="s">
        <v>14001</v>
      </c>
      <c r="B4897" s="528" t="s">
        <v>14002</v>
      </c>
      <c r="C4897" s="528" t="s">
        <v>14003</v>
      </c>
      <c r="D4897" s="528" t="s">
        <v>264</v>
      </c>
      <c r="E4897" s="528"/>
      <c r="F4897" s="528"/>
      <c r="G4897" s="528" t="s">
        <v>212</v>
      </c>
      <c r="H4897"/>
    </row>
    <row r="4898" spans="1:8" x14ac:dyDescent="0.35">
      <c r="A4898" s="528" t="s">
        <v>14004</v>
      </c>
      <c r="B4898" s="528" t="s">
        <v>14005</v>
      </c>
      <c r="C4898" s="528" t="s">
        <v>14006</v>
      </c>
      <c r="D4898" s="528" t="s">
        <v>225</v>
      </c>
      <c r="E4898" s="528"/>
      <c r="F4898" s="528"/>
      <c r="G4898" s="528" t="s">
        <v>212</v>
      </c>
      <c r="H4898"/>
    </row>
    <row r="4899" spans="1:8" x14ac:dyDescent="0.35">
      <c r="A4899" s="528" t="s">
        <v>14007</v>
      </c>
      <c r="B4899" s="528" t="s">
        <v>14008</v>
      </c>
      <c r="C4899" s="528" t="s">
        <v>14009</v>
      </c>
      <c r="D4899" s="528" t="s">
        <v>225</v>
      </c>
      <c r="E4899" s="528"/>
      <c r="F4899" s="528"/>
      <c r="G4899" s="528" t="s">
        <v>212</v>
      </c>
      <c r="H4899"/>
    </row>
    <row r="4900" spans="1:8" x14ac:dyDescent="0.35">
      <c r="A4900" s="528" t="s">
        <v>14010</v>
      </c>
      <c r="B4900" s="528" t="s">
        <v>14011</v>
      </c>
      <c r="C4900" s="528" t="s">
        <v>14012</v>
      </c>
      <c r="D4900" s="528" t="s">
        <v>225</v>
      </c>
      <c r="E4900" s="528"/>
      <c r="F4900" s="528"/>
      <c r="G4900" s="528" t="s">
        <v>214</v>
      </c>
      <c r="H4900"/>
    </row>
    <row r="4901" spans="1:8" x14ac:dyDescent="0.35">
      <c r="A4901" s="528" t="s">
        <v>14013</v>
      </c>
      <c r="B4901" s="528" t="s">
        <v>14014</v>
      </c>
      <c r="C4901" s="528" t="s">
        <v>14015</v>
      </c>
      <c r="D4901" s="528" t="s">
        <v>225</v>
      </c>
      <c r="E4901" s="528"/>
      <c r="F4901" s="528"/>
      <c r="G4901" s="528" t="s">
        <v>205</v>
      </c>
      <c r="H4901"/>
    </row>
    <row r="4902" spans="1:8" x14ac:dyDescent="0.35">
      <c r="A4902" s="528" t="s">
        <v>14016</v>
      </c>
      <c r="B4902" s="528" t="s">
        <v>14017</v>
      </c>
      <c r="C4902" s="528" t="s">
        <v>14018</v>
      </c>
      <c r="D4902" s="528" t="s">
        <v>277</v>
      </c>
      <c r="E4902" s="528"/>
      <c r="F4902" s="528"/>
      <c r="G4902" s="528" t="s">
        <v>208</v>
      </c>
      <c r="H4902"/>
    </row>
    <row r="4903" spans="1:8" x14ac:dyDescent="0.35">
      <c r="A4903" s="528" t="s">
        <v>14019</v>
      </c>
      <c r="B4903" s="528" t="s">
        <v>14020</v>
      </c>
      <c r="C4903" s="528" t="s">
        <v>14021</v>
      </c>
      <c r="D4903" s="528" t="s">
        <v>277</v>
      </c>
      <c r="E4903" s="528"/>
      <c r="F4903" s="528"/>
      <c r="G4903" s="528" t="s">
        <v>208</v>
      </c>
      <c r="H4903"/>
    </row>
    <row r="4904" spans="1:8" x14ac:dyDescent="0.35">
      <c r="A4904" s="528" t="s">
        <v>14022</v>
      </c>
      <c r="B4904" s="528" t="s">
        <v>14023</v>
      </c>
      <c r="C4904" s="528" t="s">
        <v>14024</v>
      </c>
      <c r="D4904" s="528" t="s">
        <v>277</v>
      </c>
      <c r="E4904" s="528"/>
      <c r="F4904" s="528"/>
      <c r="G4904" s="528" t="s">
        <v>205</v>
      </c>
      <c r="H4904"/>
    </row>
    <row r="4905" spans="1:8" x14ac:dyDescent="0.35">
      <c r="A4905" s="528" t="s">
        <v>14025</v>
      </c>
      <c r="B4905" s="528" t="s">
        <v>14026</v>
      </c>
      <c r="C4905" s="528" t="s">
        <v>14027</v>
      </c>
      <c r="D4905" s="528" t="s">
        <v>225</v>
      </c>
      <c r="E4905" s="528"/>
      <c r="F4905" s="528"/>
      <c r="G4905" s="528" t="s">
        <v>208</v>
      </c>
      <c r="H4905"/>
    </row>
    <row r="4906" spans="1:8" x14ac:dyDescent="0.35">
      <c r="A4906" s="528" t="s">
        <v>14028</v>
      </c>
      <c r="B4906" s="528" t="s">
        <v>14029</v>
      </c>
      <c r="C4906" s="528" t="s">
        <v>14030</v>
      </c>
      <c r="D4906" s="528" t="s">
        <v>264</v>
      </c>
      <c r="E4906" s="528"/>
      <c r="F4906" s="528"/>
      <c r="G4906" s="528" t="s">
        <v>205</v>
      </c>
      <c r="H4906"/>
    </row>
    <row r="4907" spans="1:8" x14ac:dyDescent="0.35">
      <c r="A4907" s="528" t="s">
        <v>14031</v>
      </c>
      <c r="B4907" s="528" t="s">
        <v>14032</v>
      </c>
      <c r="C4907" s="528" t="s">
        <v>14033</v>
      </c>
      <c r="D4907" s="528" t="s">
        <v>264</v>
      </c>
      <c r="E4907" s="528"/>
      <c r="F4907" s="528"/>
      <c r="G4907" s="528" t="s">
        <v>205</v>
      </c>
      <c r="H4907"/>
    </row>
    <row r="4908" spans="1:8" x14ac:dyDescent="0.35">
      <c r="A4908" s="528" t="s">
        <v>14034</v>
      </c>
      <c r="B4908" s="528" t="s">
        <v>14035</v>
      </c>
      <c r="C4908" s="528" t="s">
        <v>14036</v>
      </c>
      <c r="D4908" s="528" t="s">
        <v>277</v>
      </c>
      <c r="E4908" s="528"/>
      <c r="F4908" s="528"/>
      <c r="G4908" s="528" t="s">
        <v>212</v>
      </c>
      <c r="H4908"/>
    </row>
    <row r="4909" spans="1:8" x14ac:dyDescent="0.35">
      <c r="A4909" s="528" t="s">
        <v>14037</v>
      </c>
      <c r="B4909" s="528" t="s">
        <v>14038</v>
      </c>
      <c r="C4909" s="528" t="s">
        <v>14039</v>
      </c>
      <c r="D4909" s="528" t="s">
        <v>238</v>
      </c>
      <c r="E4909" s="528"/>
      <c r="F4909" s="528"/>
      <c r="G4909" s="528" t="s">
        <v>205</v>
      </c>
      <c r="H4909"/>
    </row>
    <row r="4910" spans="1:8" x14ac:dyDescent="0.35">
      <c r="A4910" s="528" t="s">
        <v>14040</v>
      </c>
      <c r="B4910" s="528" t="s">
        <v>14041</v>
      </c>
      <c r="C4910" s="528" t="s">
        <v>14042</v>
      </c>
      <c r="D4910" s="528" t="s">
        <v>238</v>
      </c>
      <c r="E4910" s="528"/>
      <c r="F4910" s="528"/>
      <c r="G4910" s="528" t="s">
        <v>208</v>
      </c>
      <c r="H4910"/>
    </row>
    <row r="4911" spans="1:8" x14ac:dyDescent="0.35">
      <c r="A4911" s="528" t="s">
        <v>14043</v>
      </c>
      <c r="B4911" s="528" t="s">
        <v>14044</v>
      </c>
      <c r="C4911" s="528" t="s">
        <v>14045</v>
      </c>
      <c r="D4911" s="528" t="s">
        <v>277</v>
      </c>
      <c r="E4911" s="528"/>
      <c r="F4911" s="528"/>
      <c r="G4911" s="528" t="s">
        <v>208</v>
      </c>
      <c r="H4911"/>
    </row>
    <row r="4912" spans="1:8" x14ac:dyDescent="0.35">
      <c r="A4912" s="528" t="s">
        <v>14046</v>
      </c>
      <c r="B4912" s="528" t="s">
        <v>14047</v>
      </c>
      <c r="C4912" s="528" t="s">
        <v>14048</v>
      </c>
      <c r="D4912" s="528" t="s">
        <v>225</v>
      </c>
      <c r="E4912" s="528"/>
      <c r="F4912" s="528"/>
      <c r="G4912" s="528" t="s">
        <v>208</v>
      </c>
      <c r="H4912"/>
    </row>
    <row r="4913" spans="1:8" x14ac:dyDescent="0.35">
      <c r="A4913" s="528" t="s">
        <v>14049</v>
      </c>
      <c r="B4913" s="528" t="s">
        <v>14050</v>
      </c>
      <c r="C4913" s="528" t="s">
        <v>14051</v>
      </c>
      <c r="D4913" s="528" t="s">
        <v>251</v>
      </c>
      <c r="E4913" s="528"/>
      <c r="F4913" s="528"/>
      <c r="G4913" s="528" t="s">
        <v>208</v>
      </c>
      <c r="H4913"/>
    </row>
    <row r="4914" spans="1:8" x14ac:dyDescent="0.35">
      <c r="A4914" s="528" t="s">
        <v>14052</v>
      </c>
      <c r="B4914" s="528" t="s">
        <v>14053</v>
      </c>
      <c r="C4914" s="528" t="s">
        <v>14054</v>
      </c>
      <c r="D4914" s="528" t="s">
        <v>225</v>
      </c>
      <c r="E4914" s="528" t="s">
        <v>238</v>
      </c>
      <c r="F4914" s="528"/>
      <c r="G4914" s="528" t="s">
        <v>205</v>
      </c>
      <c r="H4914"/>
    </row>
    <row r="4915" spans="1:8" x14ac:dyDescent="0.35">
      <c r="A4915" s="528" t="s">
        <v>14055</v>
      </c>
      <c r="B4915" s="528" t="s">
        <v>14056</v>
      </c>
      <c r="C4915" s="528" t="s">
        <v>14057</v>
      </c>
      <c r="D4915" s="528" t="s">
        <v>277</v>
      </c>
      <c r="E4915" s="528"/>
      <c r="F4915" s="528"/>
      <c r="G4915" s="528" t="s">
        <v>205</v>
      </c>
      <c r="H4915"/>
    </row>
    <row r="4916" spans="1:8" x14ac:dyDescent="0.35">
      <c r="A4916" s="528" t="s">
        <v>14058</v>
      </c>
      <c r="B4916" s="528" t="s">
        <v>14059</v>
      </c>
      <c r="C4916" s="528" t="s">
        <v>14060</v>
      </c>
      <c r="D4916" s="528" t="s">
        <v>251</v>
      </c>
      <c r="E4916" s="528"/>
      <c r="F4916" s="528"/>
      <c r="G4916" s="528" t="s">
        <v>208</v>
      </c>
      <c r="H4916"/>
    </row>
    <row r="4917" spans="1:8" x14ac:dyDescent="0.35">
      <c r="A4917" s="528" t="s">
        <v>14061</v>
      </c>
      <c r="B4917" s="528" t="s">
        <v>14062</v>
      </c>
      <c r="C4917" s="528" t="s">
        <v>14063</v>
      </c>
      <c r="D4917" s="528" t="s">
        <v>264</v>
      </c>
      <c r="E4917" s="528"/>
      <c r="F4917" s="528"/>
      <c r="G4917" s="528" t="s">
        <v>205</v>
      </c>
      <c r="H4917"/>
    </row>
    <row r="4918" spans="1:8" x14ac:dyDescent="0.35">
      <c r="A4918" s="528" t="s">
        <v>14064</v>
      </c>
      <c r="B4918" s="528" t="s">
        <v>14065</v>
      </c>
      <c r="C4918" s="528" t="s">
        <v>14066</v>
      </c>
      <c r="D4918" s="528" t="s">
        <v>264</v>
      </c>
      <c r="E4918" s="528" t="s">
        <v>225</v>
      </c>
      <c r="F4918" s="528"/>
      <c r="G4918" s="528" t="s">
        <v>205</v>
      </c>
      <c r="H4918"/>
    </row>
    <row r="4919" spans="1:8" x14ac:dyDescent="0.35">
      <c r="A4919" s="528" t="s">
        <v>14067</v>
      </c>
      <c r="B4919" s="528" t="s">
        <v>14068</v>
      </c>
      <c r="C4919" s="528" t="s">
        <v>14069</v>
      </c>
      <c r="D4919" s="528" t="s">
        <v>264</v>
      </c>
      <c r="E4919" s="528" t="s">
        <v>225</v>
      </c>
      <c r="F4919" s="528"/>
      <c r="G4919" s="528" t="s">
        <v>205</v>
      </c>
      <c r="H4919"/>
    </row>
    <row r="4920" spans="1:8" x14ac:dyDescent="0.35">
      <c r="A4920" s="528" t="s">
        <v>14070</v>
      </c>
      <c r="B4920" s="528" t="s">
        <v>14071</v>
      </c>
      <c r="C4920" s="528" t="s">
        <v>14072</v>
      </c>
      <c r="D4920" s="528" t="s">
        <v>225</v>
      </c>
      <c r="E4920" s="528"/>
      <c r="F4920" s="528"/>
      <c r="G4920" s="528" t="s">
        <v>208</v>
      </c>
      <c r="H4920"/>
    </row>
    <row r="4921" spans="1:8" x14ac:dyDescent="0.35">
      <c r="A4921" s="528" t="s">
        <v>14073</v>
      </c>
      <c r="B4921" s="528" t="s">
        <v>14074</v>
      </c>
      <c r="C4921" s="528" t="s">
        <v>14075</v>
      </c>
      <c r="D4921" s="528" t="s">
        <v>264</v>
      </c>
      <c r="E4921" s="528"/>
      <c r="F4921" s="528"/>
      <c r="G4921" s="528" t="s">
        <v>205</v>
      </c>
      <c r="H4921"/>
    </row>
    <row r="4922" spans="1:8" x14ac:dyDescent="0.35">
      <c r="A4922" s="528" t="s">
        <v>14076</v>
      </c>
      <c r="B4922" s="528" t="s">
        <v>14077</v>
      </c>
      <c r="C4922" s="528" t="s">
        <v>14078</v>
      </c>
      <c r="D4922" s="528" t="s">
        <v>277</v>
      </c>
      <c r="E4922" s="528"/>
      <c r="F4922" s="528"/>
      <c r="G4922" s="528" t="s">
        <v>205</v>
      </c>
      <c r="H4922"/>
    </row>
    <row r="4923" spans="1:8" x14ac:dyDescent="0.35">
      <c r="A4923" s="528" t="s">
        <v>14079</v>
      </c>
      <c r="B4923" s="528" t="s">
        <v>14080</v>
      </c>
      <c r="C4923" s="528" t="s">
        <v>14081</v>
      </c>
      <c r="D4923" s="528" t="s">
        <v>264</v>
      </c>
      <c r="E4923" s="528" t="s">
        <v>277</v>
      </c>
      <c r="F4923" s="528"/>
      <c r="G4923" s="528" t="s">
        <v>205</v>
      </c>
      <c r="H4923"/>
    </row>
    <row r="4924" spans="1:8" x14ac:dyDescent="0.35">
      <c r="A4924" s="528" t="s">
        <v>14082</v>
      </c>
      <c r="B4924" s="528" t="s">
        <v>14083</v>
      </c>
      <c r="C4924" s="528" t="s">
        <v>14084</v>
      </c>
      <c r="D4924" s="528" t="s">
        <v>264</v>
      </c>
      <c r="E4924" s="528"/>
      <c r="F4924" s="528"/>
      <c r="G4924" s="528" t="s">
        <v>205</v>
      </c>
      <c r="H4924"/>
    </row>
    <row r="4925" spans="1:8" x14ac:dyDescent="0.35">
      <c r="A4925" s="528" t="s">
        <v>14085</v>
      </c>
      <c r="B4925" s="528" t="s">
        <v>14086</v>
      </c>
      <c r="C4925" s="528" t="s">
        <v>14087</v>
      </c>
      <c r="D4925" s="528" t="s">
        <v>238</v>
      </c>
      <c r="E4925" s="528"/>
      <c r="F4925" s="528"/>
      <c r="G4925" s="528" t="s">
        <v>205</v>
      </c>
      <c r="H4925"/>
    </row>
    <row r="4926" spans="1:8" x14ac:dyDescent="0.35">
      <c r="A4926" s="528" t="s">
        <v>14088</v>
      </c>
      <c r="B4926" s="528" t="s">
        <v>14089</v>
      </c>
      <c r="C4926" s="528" t="s">
        <v>14090</v>
      </c>
      <c r="D4926" s="528" t="s">
        <v>277</v>
      </c>
      <c r="E4926" s="528"/>
      <c r="F4926" s="528"/>
      <c r="G4926" s="528" t="s">
        <v>205</v>
      </c>
      <c r="H4926"/>
    </row>
    <row r="4927" spans="1:8" x14ac:dyDescent="0.35">
      <c r="A4927" s="528" t="s">
        <v>14091</v>
      </c>
      <c r="B4927" s="528" t="s">
        <v>14092</v>
      </c>
      <c r="C4927" s="528" t="s">
        <v>14093</v>
      </c>
      <c r="D4927" s="528" t="s">
        <v>264</v>
      </c>
      <c r="E4927" s="528" t="s">
        <v>225</v>
      </c>
      <c r="F4927" s="528"/>
      <c r="G4927" s="528" t="s">
        <v>205</v>
      </c>
      <c r="H4927"/>
    </row>
    <row r="4928" spans="1:8" x14ac:dyDescent="0.35">
      <c r="A4928" s="528" t="s">
        <v>14094</v>
      </c>
      <c r="B4928" s="528" t="s">
        <v>14095</v>
      </c>
      <c r="C4928" s="528" t="s">
        <v>14096</v>
      </c>
      <c r="D4928" s="528" t="s">
        <v>277</v>
      </c>
      <c r="E4928" s="528"/>
      <c r="F4928" s="528"/>
      <c r="G4928" s="528" t="s">
        <v>205</v>
      </c>
      <c r="H4928"/>
    </row>
    <row r="4929" spans="1:8" x14ac:dyDescent="0.35">
      <c r="A4929" s="528" t="s">
        <v>14097</v>
      </c>
      <c r="B4929" s="528" t="s">
        <v>14098</v>
      </c>
      <c r="C4929" s="528" t="s">
        <v>14099</v>
      </c>
      <c r="D4929" s="528" t="s">
        <v>277</v>
      </c>
      <c r="E4929" s="528"/>
      <c r="F4929" s="528"/>
      <c r="G4929" s="528" t="s">
        <v>205</v>
      </c>
      <c r="H4929"/>
    </row>
    <row r="4930" spans="1:8" x14ac:dyDescent="0.35">
      <c r="A4930" s="528" t="s">
        <v>14100</v>
      </c>
      <c r="B4930" s="528" t="s">
        <v>14101</v>
      </c>
      <c r="C4930" s="528" t="s">
        <v>14102</v>
      </c>
      <c r="D4930" s="528" t="s">
        <v>277</v>
      </c>
      <c r="E4930" s="528"/>
      <c r="F4930" s="528"/>
      <c r="G4930" s="528" t="s">
        <v>205</v>
      </c>
      <c r="H4930"/>
    </row>
    <row r="4931" spans="1:8" x14ac:dyDescent="0.35">
      <c r="A4931" s="528" t="s">
        <v>14103</v>
      </c>
      <c r="B4931" s="528" t="s">
        <v>14104</v>
      </c>
      <c r="C4931" s="528" t="s">
        <v>14105</v>
      </c>
      <c r="D4931" s="528" t="s">
        <v>277</v>
      </c>
      <c r="E4931" s="528"/>
      <c r="F4931" s="528"/>
      <c r="G4931" s="528" t="s">
        <v>205</v>
      </c>
      <c r="H4931"/>
    </row>
    <row r="4932" spans="1:8" x14ac:dyDescent="0.35">
      <c r="A4932" s="528" t="s">
        <v>14106</v>
      </c>
      <c r="B4932" s="528" t="s">
        <v>14107</v>
      </c>
      <c r="C4932" s="528" t="s">
        <v>14108</v>
      </c>
      <c r="D4932" s="528" t="s">
        <v>225</v>
      </c>
      <c r="E4932" s="528"/>
      <c r="F4932" s="528"/>
      <c r="G4932" s="528" t="s">
        <v>205</v>
      </c>
      <c r="H4932"/>
    </row>
    <row r="4933" spans="1:8" x14ac:dyDescent="0.35">
      <c r="A4933" s="528" t="s">
        <v>14109</v>
      </c>
      <c r="B4933" s="528" t="s">
        <v>14110</v>
      </c>
      <c r="C4933" s="528" t="s">
        <v>14111</v>
      </c>
      <c r="D4933" s="528" t="s">
        <v>277</v>
      </c>
      <c r="E4933" s="528"/>
      <c r="F4933" s="528"/>
      <c r="G4933" s="528" t="s">
        <v>205</v>
      </c>
      <c r="H4933"/>
    </row>
    <row r="4934" spans="1:8" x14ac:dyDescent="0.35">
      <c r="A4934" s="528" t="s">
        <v>14112</v>
      </c>
      <c r="B4934" s="528" t="s">
        <v>14113</v>
      </c>
      <c r="C4934" s="528" t="s">
        <v>14114</v>
      </c>
      <c r="D4934" s="528" t="s">
        <v>277</v>
      </c>
      <c r="E4934" s="528"/>
      <c r="F4934" s="528"/>
      <c r="G4934" s="528" t="s">
        <v>208</v>
      </c>
      <c r="H4934"/>
    </row>
    <row r="4935" spans="1:8" x14ac:dyDescent="0.35">
      <c r="A4935" s="528" t="s">
        <v>14115</v>
      </c>
      <c r="B4935" s="528" t="s">
        <v>14116</v>
      </c>
      <c r="C4935" s="528" t="s">
        <v>14117</v>
      </c>
      <c r="D4935" s="528" t="s">
        <v>277</v>
      </c>
      <c r="E4935" s="528"/>
      <c r="F4935" s="528"/>
      <c r="G4935" s="528" t="s">
        <v>205</v>
      </c>
      <c r="H4935"/>
    </row>
    <row r="4936" spans="1:8" x14ac:dyDescent="0.35">
      <c r="A4936" s="528" t="s">
        <v>14118</v>
      </c>
      <c r="B4936" s="528" t="s">
        <v>14119</v>
      </c>
      <c r="C4936" s="528" t="s">
        <v>14120</v>
      </c>
      <c r="D4936" s="528" t="s">
        <v>277</v>
      </c>
      <c r="E4936" s="528"/>
      <c r="F4936" s="528"/>
      <c r="G4936" s="528" t="s">
        <v>212</v>
      </c>
      <c r="H4936"/>
    </row>
    <row r="4937" spans="1:8" x14ac:dyDescent="0.35">
      <c r="A4937" s="528" t="s">
        <v>14121</v>
      </c>
      <c r="B4937" s="528" t="s">
        <v>14122</v>
      </c>
      <c r="C4937" s="528" t="s">
        <v>14123</v>
      </c>
      <c r="D4937" s="528" t="s">
        <v>251</v>
      </c>
      <c r="E4937" s="528"/>
      <c r="F4937" s="528"/>
      <c r="G4937" s="528" t="s">
        <v>205</v>
      </c>
      <c r="H4937"/>
    </row>
    <row r="4938" spans="1:8" x14ac:dyDescent="0.35">
      <c r="A4938" s="528" t="s">
        <v>14124</v>
      </c>
      <c r="B4938" s="528" t="s">
        <v>14125</v>
      </c>
      <c r="C4938" s="528" t="s">
        <v>14126</v>
      </c>
      <c r="D4938" s="528" t="s">
        <v>251</v>
      </c>
      <c r="E4938" s="528"/>
      <c r="F4938" s="528"/>
      <c r="G4938" s="528" t="s">
        <v>208</v>
      </c>
      <c r="H4938"/>
    </row>
    <row r="4939" spans="1:8" x14ac:dyDescent="0.35">
      <c r="A4939" s="528" t="s">
        <v>14127</v>
      </c>
      <c r="B4939" s="528" t="s">
        <v>14128</v>
      </c>
      <c r="C4939" s="528" t="s">
        <v>14129</v>
      </c>
      <c r="D4939" s="528" t="s">
        <v>251</v>
      </c>
      <c r="E4939" s="528"/>
      <c r="F4939" s="528"/>
      <c r="G4939" s="528" t="s">
        <v>205</v>
      </c>
      <c r="H4939"/>
    </row>
    <row r="4940" spans="1:8" x14ac:dyDescent="0.35">
      <c r="A4940" s="528" t="s">
        <v>14130</v>
      </c>
      <c r="B4940" s="528" t="s">
        <v>14131</v>
      </c>
      <c r="C4940" s="528" t="s">
        <v>14132</v>
      </c>
      <c r="D4940" s="528" t="s">
        <v>251</v>
      </c>
      <c r="E4940" s="528"/>
      <c r="F4940" s="528"/>
      <c r="G4940" s="528" t="s">
        <v>208</v>
      </c>
      <c r="H4940"/>
    </row>
    <row r="4941" spans="1:8" x14ac:dyDescent="0.35">
      <c r="A4941" s="528" t="s">
        <v>14133</v>
      </c>
      <c r="B4941" s="528" t="s">
        <v>14134</v>
      </c>
      <c r="C4941" s="528" t="s">
        <v>14135</v>
      </c>
      <c r="D4941" s="528" t="s">
        <v>251</v>
      </c>
      <c r="E4941" s="528"/>
      <c r="F4941" s="528"/>
      <c r="G4941" s="528" t="s">
        <v>205</v>
      </c>
      <c r="H4941"/>
    </row>
    <row r="4942" spans="1:8" x14ac:dyDescent="0.35">
      <c r="A4942" s="528" t="s">
        <v>14136</v>
      </c>
      <c r="B4942" s="528" t="s">
        <v>14137</v>
      </c>
      <c r="C4942" s="528" t="s">
        <v>14138</v>
      </c>
      <c r="D4942" s="528" t="s">
        <v>251</v>
      </c>
      <c r="E4942" s="528"/>
      <c r="F4942" s="528"/>
      <c r="G4942" s="528" t="s">
        <v>205</v>
      </c>
      <c r="H4942"/>
    </row>
    <row r="4943" spans="1:8" x14ac:dyDescent="0.35">
      <c r="A4943" s="528" t="s">
        <v>14139</v>
      </c>
      <c r="B4943" s="528" t="s">
        <v>14140</v>
      </c>
      <c r="C4943" s="528" t="s">
        <v>14141</v>
      </c>
      <c r="D4943" s="528" t="s">
        <v>251</v>
      </c>
      <c r="E4943" s="528"/>
      <c r="F4943" s="528"/>
      <c r="G4943" s="528" t="s">
        <v>205</v>
      </c>
      <c r="H4943"/>
    </row>
    <row r="4944" spans="1:8" x14ac:dyDescent="0.35">
      <c r="A4944" s="528" t="s">
        <v>14142</v>
      </c>
      <c r="B4944" s="528" t="s">
        <v>14143</v>
      </c>
      <c r="C4944" s="528" t="s">
        <v>14144</v>
      </c>
      <c r="D4944" s="528" t="s">
        <v>238</v>
      </c>
      <c r="E4944" s="528"/>
      <c r="F4944" s="528"/>
      <c r="G4944" s="528" t="s">
        <v>208</v>
      </c>
      <c r="H4944"/>
    </row>
    <row r="4945" spans="1:8" x14ac:dyDescent="0.35">
      <c r="A4945" s="528" t="s">
        <v>14145</v>
      </c>
      <c r="B4945" s="528" t="s">
        <v>14146</v>
      </c>
      <c r="C4945" s="528" t="s">
        <v>14147</v>
      </c>
      <c r="D4945" s="528" t="s">
        <v>264</v>
      </c>
      <c r="E4945" s="528"/>
      <c r="F4945" s="528"/>
      <c r="G4945" s="528" t="s">
        <v>205</v>
      </c>
      <c r="H4945"/>
    </row>
    <row r="4946" spans="1:8" x14ac:dyDescent="0.35">
      <c r="A4946" s="528" t="s">
        <v>14148</v>
      </c>
      <c r="B4946" s="528" t="s">
        <v>14149</v>
      </c>
      <c r="C4946" s="528" t="s">
        <v>14150</v>
      </c>
      <c r="D4946" s="528" t="s">
        <v>225</v>
      </c>
      <c r="E4946" s="528"/>
      <c r="F4946" s="528"/>
      <c r="G4946" s="528" t="s">
        <v>205</v>
      </c>
      <c r="H4946"/>
    </row>
    <row r="4947" spans="1:8" x14ac:dyDescent="0.35">
      <c r="A4947" s="528" t="s">
        <v>14151</v>
      </c>
      <c r="B4947" s="528" t="s">
        <v>14152</v>
      </c>
      <c r="C4947" s="528" t="s">
        <v>14153</v>
      </c>
      <c r="D4947" s="528" t="s">
        <v>277</v>
      </c>
      <c r="E4947" s="528"/>
      <c r="F4947" s="528"/>
      <c r="G4947" s="528" t="s">
        <v>205</v>
      </c>
      <c r="H4947"/>
    </row>
    <row r="4948" spans="1:8" x14ac:dyDescent="0.35">
      <c r="A4948" s="528" t="s">
        <v>14154</v>
      </c>
      <c r="B4948" s="528" t="s">
        <v>14155</v>
      </c>
      <c r="C4948" s="528" t="s">
        <v>14156</v>
      </c>
      <c r="D4948" s="528" t="s">
        <v>277</v>
      </c>
      <c r="E4948" s="528"/>
      <c r="F4948" s="528"/>
      <c r="G4948" s="528" t="s">
        <v>208</v>
      </c>
      <c r="H4948"/>
    </row>
    <row r="4949" spans="1:8" x14ac:dyDescent="0.35">
      <c r="A4949" s="528" t="s">
        <v>14157</v>
      </c>
      <c r="B4949" s="528" t="s">
        <v>14158</v>
      </c>
      <c r="C4949" s="528" t="s">
        <v>14159</v>
      </c>
      <c r="D4949" s="528" t="s">
        <v>264</v>
      </c>
      <c r="E4949" s="528"/>
      <c r="F4949" s="528"/>
      <c r="G4949" s="528" t="s">
        <v>205</v>
      </c>
      <c r="H4949"/>
    </row>
    <row r="4950" spans="1:8" x14ac:dyDescent="0.35">
      <c r="A4950" s="528" t="s">
        <v>14160</v>
      </c>
      <c r="B4950" s="528" t="s">
        <v>14161</v>
      </c>
      <c r="C4950" s="528" t="s">
        <v>14162</v>
      </c>
      <c r="D4950" s="528" t="s">
        <v>277</v>
      </c>
      <c r="E4950" s="528"/>
      <c r="F4950" s="528"/>
      <c r="G4950" s="528" t="s">
        <v>205</v>
      </c>
      <c r="H4950"/>
    </row>
    <row r="4951" spans="1:8" x14ac:dyDescent="0.35">
      <c r="A4951" s="528" t="s">
        <v>14163</v>
      </c>
      <c r="B4951" s="528" t="s">
        <v>14164</v>
      </c>
      <c r="C4951" s="528" t="s">
        <v>14165</v>
      </c>
      <c r="D4951" s="528" t="s">
        <v>264</v>
      </c>
      <c r="E4951" s="528"/>
      <c r="F4951" s="528"/>
      <c r="G4951" s="528" t="s">
        <v>210</v>
      </c>
      <c r="H4951"/>
    </row>
    <row r="4952" spans="1:8" x14ac:dyDescent="0.35">
      <c r="A4952" s="528" t="s">
        <v>14166</v>
      </c>
      <c r="B4952" s="528" t="s">
        <v>14167</v>
      </c>
      <c r="C4952" s="528" t="s">
        <v>14168</v>
      </c>
      <c r="D4952" s="528" t="s">
        <v>264</v>
      </c>
      <c r="E4952" s="528"/>
      <c r="F4952" s="528"/>
      <c r="G4952" s="528" t="s">
        <v>205</v>
      </c>
      <c r="H4952"/>
    </row>
    <row r="4953" spans="1:8" x14ac:dyDescent="0.35">
      <c r="A4953" s="528" t="s">
        <v>14169</v>
      </c>
      <c r="B4953" s="528" t="s">
        <v>14170</v>
      </c>
      <c r="C4953" s="528" t="s">
        <v>14171</v>
      </c>
      <c r="D4953" s="528" t="s">
        <v>277</v>
      </c>
      <c r="E4953" s="528"/>
      <c r="F4953" s="528"/>
      <c r="G4953" s="528" t="s">
        <v>208</v>
      </c>
      <c r="H4953"/>
    </row>
    <row r="4954" spans="1:8" x14ac:dyDescent="0.35">
      <c r="A4954" s="528" t="s">
        <v>14172</v>
      </c>
      <c r="B4954" s="528" t="s">
        <v>14173</v>
      </c>
      <c r="C4954" s="528" t="s">
        <v>6821</v>
      </c>
      <c r="D4954" s="528" t="s">
        <v>264</v>
      </c>
      <c r="E4954" s="528"/>
      <c r="F4954" s="528"/>
      <c r="G4954" s="528" t="s">
        <v>205</v>
      </c>
      <c r="H4954"/>
    </row>
    <row r="4955" spans="1:8" x14ac:dyDescent="0.35">
      <c r="A4955" s="528" t="s">
        <v>14174</v>
      </c>
      <c r="B4955" s="528" t="s">
        <v>14175</v>
      </c>
      <c r="C4955" s="528" t="s">
        <v>14176</v>
      </c>
      <c r="D4955" s="528" t="s">
        <v>264</v>
      </c>
      <c r="E4955" s="528"/>
      <c r="F4955" s="528"/>
      <c r="G4955" s="528" t="s">
        <v>208</v>
      </c>
      <c r="H4955"/>
    </row>
    <row r="4956" spans="1:8" x14ac:dyDescent="0.35">
      <c r="A4956" s="528" t="s">
        <v>14177</v>
      </c>
      <c r="B4956" s="528" t="s">
        <v>14178</v>
      </c>
      <c r="C4956" s="528" t="s">
        <v>14179</v>
      </c>
      <c r="D4956" s="528" t="s">
        <v>264</v>
      </c>
      <c r="E4956" s="528"/>
      <c r="F4956" s="528"/>
      <c r="G4956" s="528" t="s">
        <v>208</v>
      </c>
      <c r="H4956"/>
    </row>
    <row r="4957" spans="1:8" x14ac:dyDescent="0.35">
      <c r="A4957" s="528" t="s">
        <v>14180</v>
      </c>
      <c r="B4957" s="528" t="s">
        <v>14181</v>
      </c>
      <c r="C4957" s="528" t="s">
        <v>1297</v>
      </c>
      <c r="D4957" s="528" t="s">
        <v>251</v>
      </c>
      <c r="E4957" s="528"/>
      <c r="F4957" s="528"/>
      <c r="G4957" s="528" t="s">
        <v>205</v>
      </c>
      <c r="H4957"/>
    </row>
    <row r="4958" spans="1:8" x14ac:dyDescent="0.35">
      <c r="A4958" s="528" t="s">
        <v>14182</v>
      </c>
      <c r="B4958" s="528" t="s">
        <v>14183</v>
      </c>
      <c r="C4958" s="528" t="s">
        <v>14184</v>
      </c>
      <c r="D4958" s="528" t="s">
        <v>277</v>
      </c>
      <c r="E4958" s="528"/>
      <c r="F4958" s="528"/>
      <c r="G4958" s="528" t="s">
        <v>205</v>
      </c>
      <c r="H4958"/>
    </row>
    <row r="4959" spans="1:8" x14ac:dyDescent="0.35">
      <c r="A4959" s="528" t="s">
        <v>14185</v>
      </c>
      <c r="B4959" s="528" t="s">
        <v>14186</v>
      </c>
      <c r="C4959" s="528" t="s">
        <v>14187</v>
      </c>
      <c r="D4959" s="528" t="s">
        <v>277</v>
      </c>
      <c r="E4959" s="528"/>
      <c r="F4959" s="528"/>
      <c r="G4959" s="528" t="s">
        <v>208</v>
      </c>
      <c r="H4959"/>
    </row>
    <row r="4960" spans="1:8" x14ac:dyDescent="0.35">
      <c r="A4960" s="528" t="s">
        <v>14188</v>
      </c>
      <c r="B4960" s="528" t="s">
        <v>14189</v>
      </c>
      <c r="C4960" s="528" t="s">
        <v>14190</v>
      </c>
      <c r="D4960" s="528" t="s">
        <v>225</v>
      </c>
      <c r="E4960" s="528"/>
      <c r="F4960" s="528"/>
      <c r="G4960" s="528" t="s">
        <v>205</v>
      </c>
      <c r="H4960"/>
    </row>
    <row r="4961" spans="1:8" x14ac:dyDescent="0.35">
      <c r="A4961" s="528" t="s">
        <v>14191</v>
      </c>
      <c r="B4961" s="528" t="s">
        <v>14192</v>
      </c>
      <c r="C4961" s="528" t="s">
        <v>14193</v>
      </c>
      <c r="D4961" s="528" t="s">
        <v>225</v>
      </c>
      <c r="E4961" s="528"/>
      <c r="F4961" s="528"/>
      <c r="G4961" s="528" t="s">
        <v>205</v>
      </c>
      <c r="H4961"/>
    </row>
    <row r="4962" spans="1:8" x14ac:dyDescent="0.35">
      <c r="A4962" s="528" t="s">
        <v>14194</v>
      </c>
      <c r="B4962" s="528" t="s">
        <v>14195</v>
      </c>
      <c r="C4962" s="528" t="s">
        <v>14196</v>
      </c>
      <c r="D4962" s="528" t="s">
        <v>277</v>
      </c>
      <c r="E4962" s="528"/>
      <c r="F4962" s="528"/>
      <c r="G4962" s="528" t="s">
        <v>205</v>
      </c>
      <c r="H4962"/>
    </row>
    <row r="4963" spans="1:8" x14ac:dyDescent="0.35">
      <c r="A4963" s="528" t="s">
        <v>14197</v>
      </c>
      <c r="B4963" s="528" t="s">
        <v>14198</v>
      </c>
      <c r="C4963" s="528" t="s">
        <v>14199</v>
      </c>
      <c r="D4963" s="528" t="s">
        <v>264</v>
      </c>
      <c r="E4963" s="528"/>
      <c r="F4963" s="528"/>
      <c r="G4963" s="528" t="s">
        <v>208</v>
      </c>
      <c r="H4963"/>
    </row>
    <row r="4964" spans="1:8" x14ac:dyDescent="0.35">
      <c r="A4964" s="528" t="s">
        <v>14200</v>
      </c>
      <c r="B4964" s="528" t="s">
        <v>14201</v>
      </c>
      <c r="C4964" s="528" t="s">
        <v>14202</v>
      </c>
      <c r="D4964" s="528" t="s">
        <v>264</v>
      </c>
      <c r="E4964" s="528"/>
      <c r="F4964" s="528"/>
      <c r="G4964" s="528" t="s">
        <v>208</v>
      </c>
      <c r="H4964"/>
    </row>
    <row r="4965" spans="1:8" x14ac:dyDescent="0.35">
      <c r="A4965" s="528" t="s">
        <v>14203</v>
      </c>
      <c r="B4965" s="528" t="s">
        <v>14204</v>
      </c>
      <c r="C4965" s="528" t="s">
        <v>14205</v>
      </c>
      <c r="D4965" s="528" t="s">
        <v>277</v>
      </c>
      <c r="E4965" s="528"/>
      <c r="F4965" s="528"/>
      <c r="G4965" s="528" t="s">
        <v>208</v>
      </c>
      <c r="H4965"/>
    </row>
    <row r="4966" spans="1:8" x14ac:dyDescent="0.35">
      <c r="A4966" s="528" t="s">
        <v>14206</v>
      </c>
      <c r="B4966" s="528" t="s">
        <v>14207</v>
      </c>
      <c r="C4966" s="528" t="s">
        <v>14208</v>
      </c>
      <c r="D4966" s="528" t="s">
        <v>264</v>
      </c>
      <c r="E4966" s="528"/>
      <c r="F4966" s="528"/>
      <c r="G4966" s="528" t="s">
        <v>208</v>
      </c>
      <c r="H4966"/>
    </row>
    <row r="4967" spans="1:8" x14ac:dyDescent="0.35">
      <c r="A4967" s="528" t="s">
        <v>14209</v>
      </c>
      <c r="B4967" s="528" t="s">
        <v>14210</v>
      </c>
      <c r="C4967" s="528" t="s">
        <v>14211</v>
      </c>
      <c r="D4967" s="528" t="s">
        <v>277</v>
      </c>
      <c r="E4967" s="528"/>
      <c r="F4967" s="528"/>
      <c r="G4967" s="528" t="s">
        <v>205</v>
      </c>
      <c r="H4967"/>
    </row>
    <row r="4968" spans="1:8" x14ac:dyDescent="0.35">
      <c r="A4968" s="528" t="s">
        <v>14212</v>
      </c>
      <c r="B4968" s="528" t="s">
        <v>14213</v>
      </c>
      <c r="C4968" s="528" t="s">
        <v>14214</v>
      </c>
      <c r="D4968" s="528" t="s">
        <v>277</v>
      </c>
      <c r="E4968" s="528"/>
      <c r="F4968" s="528"/>
      <c r="G4968" s="528" t="s">
        <v>205</v>
      </c>
      <c r="H4968"/>
    </row>
    <row r="4969" spans="1:8" x14ac:dyDescent="0.35">
      <c r="A4969" s="528" t="s">
        <v>14215</v>
      </c>
      <c r="B4969" s="528" t="s">
        <v>14216</v>
      </c>
      <c r="C4969" s="528" t="s">
        <v>14217</v>
      </c>
      <c r="D4969" s="528" t="s">
        <v>264</v>
      </c>
      <c r="E4969" s="528"/>
      <c r="F4969" s="528"/>
      <c r="G4969" s="528" t="s">
        <v>205</v>
      </c>
      <c r="H4969"/>
    </row>
    <row r="4970" spans="1:8" x14ac:dyDescent="0.35">
      <c r="A4970" s="528" t="s">
        <v>14218</v>
      </c>
      <c r="B4970" s="528" t="s">
        <v>14219</v>
      </c>
      <c r="C4970" s="528" t="s">
        <v>14220</v>
      </c>
      <c r="D4970" s="528" t="s">
        <v>264</v>
      </c>
      <c r="E4970" s="528"/>
      <c r="F4970" s="528"/>
      <c r="G4970" s="528" t="s">
        <v>205</v>
      </c>
      <c r="H4970"/>
    </row>
    <row r="4971" spans="1:8" x14ac:dyDescent="0.35">
      <c r="A4971" s="528" t="s">
        <v>14221</v>
      </c>
      <c r="B4971" s="528" t="s">
        <v>14222</v>
      </c>
      <c r="C4971" s="528" t="s">
        <v>14223</v>
      </c>
      <c r="D4971" s="528" t="s">
        <v>264</v>
      </c>
      <c r="E4971" s="528"/>
      <c r="F4971" s="528"/>
      <c r="G4971" s="528" t="s">
        <v>210</v>
      </c>
      <c r="H4971"/>
    </row>
    <row r="4972" spans="1:8" x14ac:dyDescent="0.35">
      <c r="A4972" s="528" t="s">
        <v>14224</v>
      </c>
      <c r="B4972" s="528" t="s">
        <v>14225</v>
      </c>
      <c r="C4972" s="528" t="s">
        <v>14226</v>
      </c>
      <c r="D4972" s="528" t="s">
        <v>225</v>
      </c>
      <c r="E4972" s="528"/>
      <c r="F4972" s="528"/>
      <c r="G4972" s="528" t="s">
        <v>205</v>
      </c>
      <c r="H4972"/>
    </row>
    <row r="4973" spans="1:8" x14ac:dyDescent="0.35">
      <c r="A4973" s="528" t="s">
        <v>14227</v>
      </c>
      <c r="B4973" s="528" t="s">
        <v>14228</v>
      </c>
      <c r="C4973" s="528" t="s">
        <v>14229</v>
      </c>
      <c r="D4973" s="528" t="s">
        <v>264</v>
      </c>
      <c r="E4973" s="528"/>
      <c r="F4973" s="528"/>
      <c r="G4973" s="528" t="s">
        <v>205</v>
      </c>
      <c r="H4973"/>
    </row>
    <row r="4974" spans="1:8" x14ac:dyDescent="0.35">
      <c r="A4974" s="528" t="s">
        <v>14230</v>
      </c>
      <c r="B4974" s="528" t="s">
        <v>14231</v>
      </c>
      <c r="C4974" s="528" t="s">
        <v>14232</v>
      </c>
      <c r="D4974" s="528" t="s">
        <v>264</v>
      </c>
      <c r="E4974" s="528" t="s">
        <v>277</v>
      </c>
      <c r="F4974" s="528"/>
      <c r="G4974" s="528" t="s">
        <v>205</v>
      </c>
      <c r="H4974"/>
    </row>
    <row r="4975" spans="1:8" x14ac:dyDescent="0.35">
      <c r="A4975" s="528" t="s">
        <v>14233</v>
      </c>
      <c r="B4975" s="528" t="s">
        <v>14234</v>
      </c>
      <c r="C4975" s="528" t="s">
        <v>14235</v>
      </c>
      <c r="D4975" s="528" t="s">
        <v>277</v>
      </c>
      <c r="E4975" s="528"/>
      <c r="F4975" s="528"/>
      <c r="G4975" s="528" t="s">
        <v>208</v>
      </c>
      <c r="H4975"/>
    </row>
    <row r="4976" spans="1:8" x14ac:dyDescent="0.35">
      <c r="A4976" s="528" t="s">
        <v>14236</v>
      </c>
      <c r="B4976" s="528" t="s">
        <v>14237</v>
      </c>
      <c r="C4976" s="528" t="s">
        <v>14238</v>
      </c>
      <c r="D4976" s="528" t="s">
        <v>277</v>
      </c>
      <c r="E4976" s="528"/>
      <c r="F4976" s="528"/>
      <c r="G4976" s="528" t="s">
        <v>205</v>
      </c>
      <c r="H4976"/>
    </row>
    <row r="4977" spans="1:8" x14ac:dyDescent="0.35">
      <c r="A4977" s="528" t="s">
        <v>14239</v>
      </c>
      <c r="B4977" s="528" t="s">
        <v>14240</v>
      </c>
      <c r="C4977" s="528" t="s">
        <v>14241</v>
      </c>
      <c r="D4977" s="528" t="s">
        <v>277</v>
      </c>
      <c r="E4977" s="528"/>
      <c r="F4977" s="528"/>
      <c r="G4977" s="528" t="s">
        <v>205</v>
      </c>
      <c r="H4977"/>
    </row>
    <row r="4978" spans="1:8" x14ac:dyDescent="0.35">
      <c r="A4978" s="528" t="s">
        <v>14242</v>
      </c>
      <c r="B4978" s="528" t="s">
        <v>14243</v>
      </c>
      <c r="C4978" s="528" t="s">
        <v>14244</v>
      </c>
      <c r="D4978" s="528" t="s">
        <v>225</v>
      </c>
      <c r="E4978" s="528"/>
      <c r="F4978" s="528"/>
      <c r="G4978" s="528" t="s">
        <v>208</v>
      </c>
      <c r="H4978"/>
    </row>
    <row r="4979" spans="1:8" x14ac:dyDescent="0.35">
      <c r="A4979" s="528" t="s">
        <v>14245</v>
      </c>
      <c r="B4979" s="528" t="s">
        <v>14246</v>
      </c>
      <c r="C4979" s="528" t="s">
        <v>14247</v>
      </c>
      <c r="D4979" s="528" t="s">
        <v>225</v>
      </c>
      <c r="E4979" s="528"/>
      <c r="F4979" s="528"/>
      <c r="G4979" s="528" t="s">
        <v>208</v>
      </c>
      <c r="H4979"/>
    </row>
    <row r="4980" spans="1:8" x14ac:dyDescent="0.35">
      <c r="A4980" s="528" t="s">
        <v>14248</v>
      </c>
      <c r="B4980" s="528" t="s">
        <v>14249</v>
      </c>
      <c r="C4980" s="528" t="s">
        <v>14250</v>
      </c>
      <c r="D4980" s="528" t="s">
        <v>225</v>
      </c>
      <c r="E4980" s="528"/>
      <c r="F4980" s="528"/>
      <c r="G4980" s="528" t="s">
        <v>208</v>
      </c>
      <c r="H4980"/>
    </row>
    <row r="4981" spans="1:8" x14ac:dyDescent="0.35">
      <c r="A4981" s="528" t="s">
        <v>14251</v>
      </c>
      <c r="B4981" s="528" t="s">
        <v>14252</v>
      </c>
      <c r="C4981" s="528" t="s">
        <v>14253</v>
      </c>
      <c r="D4981" s="528" t="s">
        <v>225</v>
      </c>
      <c r="E4981" s="528"/>
      <c r="F4981" s="528"/>
      <c r="G4981" s="528" t="s">
        <v>208</v>
      </c>
      <c r="H4981"/>
    </row>
    <row r="4982" spans="1:8" x14ac:dyDescent="0.35">
      <c r="A4982" s="528" t="s">
        <v>14254</v>
      </c>
      <c r="B4982" s="528" t="s">
        <v>14255</v>
      </c>
      <c r="C4982" s="528" t="s">
        <v>14256</v>
      </c>
      <c r="D4982" s="528" t="s">
        <v>264</v>
      </c>
      <c r="E4982" s="528"/>
      <c r="F4982" s="528"/>
      <c r="G4982" s="528" t="s">
        <v>208</v>
      </c>
      <c r="H4982"/>
    </row>
    <row r="4983" spans="1:8" x14ac:dyDescent="0.35">
      <c r="A4983" s="528" t="s">
        <v>14257</v>
      </c>
      <c r="B4983" s="528" t="s">
        <v>14258</v>
      </c>
      <c r="C4983" s="528" t="s">
        <v>14259</v>
      </c>
      <c r="D4983" s="528" t="s">
        <v>264</v>
      </c>
      <c r="E4983" s="528"/>
      <c r="F4983" s="528"/>
      <c r="G4983" s="528" t="s">
        <v>208</v>
      </c>
      <c r="H4983"/>
    </row>
    <row r="4984" spans="1:8" x14ac:dyDescent="0.35">
      <c r="A4984" s="528" t="s">
        <v>14260</v>
      </c>
      <c r="B4984" s="528" t="s">
        <v>14261</v>
      </c>
      <c r="C4984" s="528" t="s">
        <v>14262</v>
      </c>
      <c r="D4984" s="528" t="s">
        <v>277</v>
      </c>
      <c r="E4984" s="528" t="s">
        <v>225</v>
      </c>
      <c r="F4984" s="528"/>
      <c r="G4984" s="528" t="s">
        <v>212</v>
      </c>
      <c r="H4984"/>
    </row>
    <row r="4985" spans="1:8" x14ac:dyDescent="0.35">
      <c r="A4985" s="528" t="s">
        <v>14263</v>
      </c>
      <c r="B4985" s="528" t="s">
        <v>14264</v>
      </c>
      <c r="C4985" s="528" t="s">
        <v>14265</v>
      </c>
      <c r="D4985" s="528" t="s">
        <v>264</v>
      </c>
      <c r="E4985" s="528"/>
      <c r="F4985" s="528"/>
      <c r="G4985" s="528" t="s">
        <v>212</v>
      </c>
      <c r="H4985"/>
    </row>
    <row r="4986" spans="1:8" x14ac:dyDescent="0.35">
      <c r="A4986" s="528" t="s">
        <v>14266</v>
      </c>
      <c r="B4986" s="528" t="s">
        <v>14267</v>
      </c>
      <c r="C4986" s="528" t="s">
        <v>14268</v>
      </c>
      <c r="D4986" s="528" t="s">
        <v>264</v>
      </c>
      <c r="E4986" s="528" t="s">
        <v>277</v>
      </c>
      <c r="F4986" s="528"/>
      <c r="G4986" s="528" t="s">
        <v>212</v>
      </c>
      <c r="H4986"/>
    </row>
    <row r="4987" spans="1:8" x14ac:dyDescent="0.35">
      <c r="A4987" s="528" t="s">
        <v>14269</v>
      </c>
      <c r="B4987" s="528" t="s">
        <v>14270</v>
      </c>
      <c r="C4987" s="528" t="s">
        <v>14271</v>
      </c>
      <c r="D4987" s="528" t="s">
        <v>264</v>
      </c>
      <c r="E4987" s="528"/>
      <c r="F4987" s="528"/>
      <c r="G4987" s="528" t="s">
        <v>208</v>
      </c>
      <c r="H4987"/>
    </row>
    <row r="4988" spans="1:8" x14ac:dyDescent="0.35">
      <c r="A4988" s="528" t="s">
        <v>14272</v>
      </c>
      <c r="B4988" s="528" t="s">
        <v>14273</v>
      </c>
      <c r="C4988" s="528" t="s">
        <v>14274</v>
      </c>
      <c r="D4988" s="528" t="s">
        <v>225</v>
      </c>
      <c r="E4988" s="528"/>
      <c r="F4988" s="528"/>
      <c r="G4988" s="528" t="s">
        <v>208</v>
      </c>
      <c r="H4988"/>
    </row>
    <row r="4989" spans="1:8" x14ac:dyDescent="0.35">
      <c r="A4989" s="528" t="s">
        <v>14275</v>
      </c>
      <c r="B4989" s="528" t="s">
        <v>14276</v>
      </c>
      <c r="C4989" s="528" t="s">
        <v>14277</v>
      </c>
      <c r="D4989" s="528" t="s">
        <v>225</v>
      </c>
      <c r="E4989" s="528"/>
      <c r="F4989" s="528"/>
      <c r="G4989" s="528" t="s">
        <v>208</v>
      </c>
      <c r="H4989"/>
    </row>
    <row r="4990" spans="1:8" x14ac:dyDescent="0.35">
      <c r="A4990" s="528" t="s">
        <v>14278</v>
      </c>
      <c r="B4990" s="528" t="s">
        <v>14279</v>
      </c>
      <c r="C4990" s="528" t="s">
        <v>14280</v>
      </c>
      <c r="D4990" s="528" t="s">
        <v>225</v>
      </c>
      <c r="E4990" s="528"/>
      <c r="F4990" s="528"/>
      <c r="G4990" s="528" t="s">
        <v>205</v>
      </c>
      <c r="H4990"/>
    </row>
    <row r="4991" spans="1:8" x14ac:dyDescent="0.35">
      <c r="A4991" s="528" t="s">
        <v>14281</v>
      </c>
      <c r="B4991" s="528" t="s">
        <v>14282</v>
      </c>
      <c r="C4991" s="528" t="s">
        <v>883</v>
      </c>
      <c r="D4991" s="528" t="s">
        <v>225</v>
      </c>
      <c r="E4991" s="528"/>
      <c r="F4991" s="528"/>
      <c r="G4991" s="528" t="s">
        <v>208</v>
      </c>
      <c r="H4991"/>
    </row>
    <row r="4992" spans="1:8" x14ac:dyDescent="0.35">
      <c r="A4992" s="528" t="s">
        <v>14283</v>
      </c>
      <c r="B4992" s="528" t="s">
        <v>14284</v>
      </c>
      <c r="C4992" s="528" t="s">
        <v>14271</v>
      </c>
      <c r="D4992" s="528" t="s">
        <v>264</v>
      </c>
      <c r="E4992" s="528"/>
      <c r="F4992" s="528"/>
      <c r="G4992" s="528" t="s">
        <v>208</v>
      </c>
      <c r="H4992"/>
    </row>
    <row r="4993" spans="1:8" x14ac:dyDescent="0.35">
      <c r="A4993" s="528" t="s">
        <v>14285</v>
      </c>
      <c r="B4993" s="528" t="s">
        <v>14286</v>
      </c>
      <c r="C4993" s="528" t="s">
        <v>14287</v>
      </c>
      <c r="D4993" s="528" t="s">
        <v>264</v>
      </c>
      <c r="E4993" s="528"/>
      <c r="F4993" s="528"/>
      <c r="G4993" s="528" t="s">
        <v>205</v>
      </c>
      <c r="H4993"/>
    </row>
    <row r="4994" spans="1:8" x14ac:dyDescent="0.35">
      <c r="A4994" s="528" t="s">
        <v>14288</v>
      </c>
      <c r="B4994" s="528" t="s">
        <v>14289</v>
      </c>
      <c r="C4994" s="528" t="s">
        <v>14290</v>
      </c>
      <c r="D4994" s="528" t="s">
        <v>264</v>
      </c>
      <c r="E4994" s="528"/>
      <c r="F4994" s="528"/>
      <c r="G4994" s="528" t="s">
        <v>205</v>
      </c>
      <c r="H4994"/>
    </row>
    <row r="4995" spans="1:8" x14ac:dyDescent="0.35">
      <c r="A4995" s="528" t="s">
        <v>14291</v>
      </c>
      <c r="B4995" s="528" t="s">
        <v>14292</v>
      </c>
      <c r="C4995" s="528" t="s">
        <v>14293</v>
      </c>
      <c r="D4995" s="528" t="s">
        <v>277</v>
      </c>
      <c r="E4995" s="528"/>
      <c r="F4995" s="528"/>
      <c r="G4995" s="528" t="s">
        <v>205</v>
      </c>
      <c r="H4995"/>
    </row>
    <row r="4996" spans="1:8" x14ac:dyDescent="0.35">
      <c r="A4996" s="528" t="s">
        <v>14294</v>
      </c>
      <c r="B4996" s="528" t="s">
        <v>14295</v>
      </c>
      <c r="C4996" s="528" t="s">
        <v>14296</v>
      </c>
      <c r="D4996" s="528" t="s">
        <v>277</v>
      </c>
      <c r="E4996" s="528"/>
      <c r="F4996" s="528"/>
      <c r="G4996" s="528" t="s">
        <v>205</v>
      </c>
      <c r="H4996"/>
    </row>
    <row r="4997" spans="1:8" x14ac:dyDescent="0.35">
      <c r="A4997" s="528" t="s">
        <v>14297</v>
      </c>
      <c r="B4997" s="528" t="s">
        <v>14298</v>
      </c>
      <c r="C4997" s="528" t="s">
        <v>14299</v>
      </c>
      <c r="D4997" s="528" t="s">
        <v>264</v>
      </c>
      <c r="E4997" s="528"/>
      <c r="F4997" s="528"/>
      <c r="G4997" s="528" t="s">
        <v>205</v>
      </c>
      <c r="H4997"/>
    </row>
    <row r="4998" spans="1:8" x14ac:dyDescent="0.35">
      <c r="A4998" s="528" t="s">
        <v>14300</v>
      </c>
      <c r="B4998" s="528" t="s">
        <v>14301</v>
      </c>
      <c r="C4998" s="528" t="s">
        <v>7796</v>
      </c>
      <c r="D4998" s="528" t="s">
        <v>264</v>
      </c>
      <c r="E4998" s="528"/>
      <c r="F4998" s="528"/>
      <c r="G4998" s="528" t="s">
        <v>208</v>
      </c>
      <c r="H4998"/>
    </row>
    <row r="4999" spans="1:8" x14ac:dyDescent="0.35">
      <c r="A4999" s="528" t="s">
        <v>14302</v>
      </c>
      <c r="B4999" s="528" t="s">
        <v>14303</v>
      </c>
      <c r="C4999" s="528" t="s">
        <v>1014</v>
      </c>
      <c r="D4999" s="528" t="s">
        <v>277</v>
      </c>
      <c r="E4999" s="528"/>
      <c r="F4999" s="528"/>
      <c r="G4999" s="528" t="s">
        <v>208</v>
      </c>
      <c r="H4999"/>
    </row>
    <row r="5000" spans="1:8" x14ac:dyDescent="0.35">
      <c r="A5000" s="528" t="s">
        <v>14304</v>
      </c>
      <c r="B5000" s="528" t="s">
        <v>14305</v>
      </c>
      <c r="C5000" s="528" t="s">
        <v>1341</v>
      </c>
      <c r="D5000" s="528" t="s">
        <v>277</v>
      </c>
      <c r="E5000" s="528"/>
      <c r="F5000" s="528"/>
      <c r="G5000" s="528" t="s">
        <v>205</v>
      </c>
      <c r="H5000"/>
    </row>
    <row r="5001" spans="1:8" x14ac:dyDescent="0.35">
      <c r="A5001" s="528" t="s">
        <v>14306</v>
      </c>
      <c r="B5001" s="528" t="s">
        <v>14307</v>
      </c>
      <c r="C5001" s="528" t="s">
        <v>4445</v>
      </c>
      <c r="D5001" s="528" t="s">
        <v>277</v>
      </c>
      <c r="E5001" s="528"/>
      <c r="F5001" s="528"/>
      <c r="G5001" s="528" t="s">
        <v>205</v>
      </c>
      <c r="H5001"/>
    </row>
    <row r="5002" spans="1:8" x14ac:dyDescent="0.35">
      <c r="A5002" s="528" t="s">
        <v>14308</v>
      </c>
      <c r="B5002" s="528" t="s">
        <v>14309</v>
      </c>
      <c r="C5002" s="528" t="s">
        <v>8017</v>
      </c>
      <c r="D5002" s="528" t="s">
        <v>251</v>
      </c>
      <c r="E5002" s="528"/>
      <c r="F5002" s="528"/>
      <c r="G5002" s="528" t="s">
        <v>208</v>
      </c>
      <c r="H5002"/>
    </row>
    <row r="5003" spans="1:8" x14ac:dyDescent="0.35">
      <c r="A5003" s="528" t="s">
        <v>14310</v>
      </c>
      <c r="B5003" s="528" t="s">
        <v>14311</v>
      </c>
      <c r="C5003" s="528" t="s">
        <v>14312</v>
      </c>
      <c r="D5003" s="528" t="s">
        <v>251</v>
      </c>
      <c r="E5003" s="528"/>
      <c r="F5003" s="528"/>
      <c r="G5003" s="528" t="s">
        <v>208</v>
      </c>
      <c r="H5003"/>
    </row>
    <row r="5004" spans="1:8" x14ac:dyDescent="0.35">
      <c r="A5004" s="528" t="s">
        <v>14313</v>
      </c>
      <c r="B5004" s="528" t="s">
        <v>14314</v>
      </c>
      <c r="C5004" s="528" t="s">
        <v>14315</v>
      </c>
      <c r="D5004" s="528" t="s">
        <v>251</v>
      </c>
      <c r="E5004" s="528"/>
      <c r="F5004" s="528"/>
      <c r="G5004" s="528" t="s">
        <v>205</v>
      </c>
      <c r="H5004"/>
    </row>
    <row r="5005" spans="1:8" x14ac:dyDescent="0.35">
      <c r="A5005" s="528" t="s">
        <v>14316</v>
      </c>
      <c r="B5005" s="528" t="s">
        <v>14317</v>
      </c>
      <c r="C5005" s="528" t="s">
        <v>14318</v>
      </c>
      <c r="D5005" s="528" t="s">
        <v>264</v>
      </c>
      <c r="E5005" s="528"/>
      <c r="F5005" s="528"/>
      <c r="G5005" s="528" t="s">
        <v>205</v>
      </c>
      <c r="H5005"/>
    </row>
    <row r="5006" spans="1:8" x14ac:dyDescent="0.35">
      <c r="A5006" s="528" t="s">
        <v>14319</v>
      </c>
      <c r="B5006" s="528" t="s">
        <v>14320</v>
      </c>
      <c r="C5006" s="528" t="s">
        <v>14321</v>
      </c>
      <c r="D5006" s="528" t="s">
        <v>251</v>
      </c>
      <c r="E5006" s="528"/>
      <c r="F5006" s="528"/>
      <c r="G5006" s="528" t="s">
        <v>208</v>
      </c>
      <c r="H5006"/>
    </row>
    <row r="5007" spans="1:8" x14ac:dyDescent="0.35">
      <c r="A5007" s="528" t="s">
        <v>14322</v>
      </c>
      <c r="B5007" s="528" t="s">
        <v>14323</v>
      </c>
      <c r="C5007" s="528" t="s">
        <v>14324</v>
      </c>
      <c r="D5007" s="528" t="s">
        <v>251</v>
      </c>
      <c r="E5007" s="528"/>
      <c r="F5007" s="528"/>
      <c r="G5007" s="528" t="s">
        <v>208</v>
      </c>
      <c r="H5007"/>
    </row>
    <row r="5008" spans="1:8" x14ac:dyDescent="0.35">
      <c r="A5008" s="528" t="s">
        <v>14325</v>
      </c>
      <c r="B5008" s="528" t="s">
        <v>14326</v>
      </c>
      <c r="C5008" s="528" t="s">
        <v>14327</v>
      </c>
      <c r="D5008" s="528" t="s">
        <v>277</v>
      </c>
      <c r="E5008" s="528"/>
      <c r="F5008" s="528"/>
      <c r="G5008" s="528" t="s">
        <v>208</v>
      </c>
      <c r="H5008"/>
    </row>
    <row r="5009" spans="1:8" x14ac:dyDescent="0.35">
      <c r="A5009" s="528" t="s">
        <v>14328</v>
      </c>
      <c r="B5009" s="528" t="s">
        <v>14329</v>
      </c>
      <c r="C5009" s="528" t="s">
        <v>14330</v>
      </c>
      <c r="D5009" s="528" t="s">
        <v>225</v>
      </c>
      <c r="E5009" s="528"/>
      <c r="F5009" s="528"/>
      <c r="G5009" s="528" t="s">
        <v>205</v>
      </c>
      <c r="H5009"/>
    </row>
    <row r="5010" spans="1:8" x14ac:dyDescent="0.35">
      <c r="A5010" s="528" t="s">
        <v>14331</v>
      </c>
      <c r="B5010" s="528" t="s">
        <v>14332</v>
      </c>
      <c r="C5010" s="528" t="s">
        <v>14333</v>
      </c>
      <c r="D5010" s="528" t="s">
        <v>225</v>
      </c>
      <c r="E5010" s="528"/>
      <c r="F5010" s="528"/>
      <c r="G5010" s="528" t="s">
        <v>208</v>
      </c>
      <c r="H5010"/>
    </row>
    <row r="5011" spans="1:8" x14ac:dyDescent="0.35">
      <c r="A5011" s="528" t="s">
        <v>14334</v>
      </c>
      <c r="B5011" s="528" t="s">
        <v>14335</v>
      </c>
      <c r="C5011" s="528" t="s">
        <v>14318</v>
      </c>
      <c r="D5011" s="528" t="s">
        <v>264</v>
      </c>
      <c r="E5011" s="528"/>
      <c r="F5011" s="528"/>
      <c r="G5011" s="528" t="s">
        <v>205</v>
      </c>
      <c r="H5011"/>
    </row>
    <row r="5012" spans="1:8" x14ac:dyDescent="0.35">
      <c r="A5012" s="528" t="s">
        <v>14336</v>
      </c>
      <c r="B5012" s="528" t="s">
        <v>14337</v>
      </c>
      <c r="C5012" s="528" t="s">
        <v>14338</v>
      </c>
      <c r="D5012" s="528" t="s">
        <v>277</v>
      </c>
      <c r="E5012" s="528"/>
      <c r="F5012" s="528"/>
      <c r="G5012" s="528" t="s">
        <v>208</v>
      </c>
      <c r="H5012"/>
    </row>
    <row r="5013" spans="1:8" x14ac:dyDescent="0.35">
      <c r="A5013" s="528" t="s">
        <v>14339</v>
      </c>
      <c r="B5013" s="528" t="s">
        <v>14340</v>
      </c>
      <c r="C5013" s="528" t="s">
        <v>14341</v>
      </c>
      <c r="D5013" s="528" t="s">
        <v>225</v>
      </c>
      <c r="E5013" s="528"/>
      <c r="F5013" s="528"/>
      <c r="G5013" s="528" t="s">
        <v>208</v>
      </c>
      <c r="H5013"/>
    </row>
    <row r="5014" spans="1:8" x14ac:dyDescent="0.35">
      <c r="A5014" s="528" t="s">
        <v>14342</v>
      </c>
      <c r="B5014" s="528" t="s">
        <v>14343</v>
      </c>
      <c r="C5014" s="528" t="s">
        <v>14344</v>
      </c>
      <c r="D5014" s="528" t="s">
        <v>225</v>
      </c>
      <c r="E5014" s="528"/>
      <c r="F5014" s="528"/>
      <c r="G5014" s="528" t="s">
        <v>212</v>
      </c>
      <c r="H5014"/>
    </row>
    <row r="5015" spans="1:8" x14ac:dyDescent="0.35">
      <c r="A5015" s="528" t="s">
        <v>14345</v>
      </c>
      <c r="B5015" s="528" t="s">
        <v>14346</v>
      </c>
      <c r="C5015" s="528" t="s">
        <v>14347</v>
      </c>
      <c r="D5015" s="528" t="s">
        <v>264</v>
      </c>
      <c r="E5015" s="528"/>
      <c r="F5015" s="528"/>
      <c r="G5015" s="528" t="s">
        <v>208</v>
      </c>
      <c r="H5015"/>
    </row>
    <row r="5016" spans="1:8" x14ac:dyDescent="0.35">
      <c r="A5016" s="528" t="s">
        <v>14348</v>
      </c>
      <c r="B5016" s="528" t="s">
        <v>14349</v>
      </c>
      <c r="C5016" s="528" t="s">
        <v>14350</v>
      </c>
      <c r="D5016" s="528" t="s">
        <v>264</v>
      </c>
      <c r="E5016" s="528"/>
      <c r="F5016" s="528"/>
      <c r="G5016" s="528" t="s">
        <v>205</v>
      </c>
      <c r="H5016"/>
    </row>
    <row r="5017" spans="1:8" x14ac:dyDescent="0.35">
      <c r="A5017" s="528" t="s">
        <v>14351</v>
      </c>
      <c r="B5017" s="528" t="s">
        <v>14352</v>
      </c>
      <c r="C5017" s="528" t="s">
        <v>1695</v>
      </c>
      <c r="D5017" s="528" t="s">
        <v>264</v>
      </c>
      <c r="E5017" s="528"/>
      <c r="F5017" s="528"/>
      <c r="G5017" s="528" t="s">
        <v>205</v>
      </c>
      <c r="H5017"/>
    </row>
    <row r="5018" spans="1:8" x14ac:dyDescent="0.35">
      <c r="A5018" s="528" t="s">
        <v>14353</v>
      </c>
      <c r="B5018" s="528" t="s">
        <v>14354</v>
      </c>
      <c r="C5018" s="528" t="s">
        <v>14355</v>
      </c>
      <c r="D5018" s="528" t="s">
        <v>277</v>
      </c>
      <c r="E5018" s="528"/>
      <c r="F5018" s="528"/>
      <c r="G5018" s="528" t="s">
        <v>208</v>
      </c>
      <c r="H5018"/>
    </row>
    <row r="5019" spans="1:8" x14ac:dyDescent="0.35">
      <c r="A5019" s="528" t="s">
        <v>14356</v>
      </c>
      <c r="B5019" s="528" t="s">
        <v>14357</v>
      </c>
      <c r="C5019" s="528" t="s">
        <v>12072</v>
      </c>
      <c r="D5019" s="528" t="s">
        <v>277</v>
      </c>
      <c r="E5019" s="528"/>
      <c r="F5019" s="528"/>
      <c r="G5019" s="528" t="s">
        <v>205</v>
      </c>
      <c r="H5019"/>
    </row>
    <row r="5020" spans="1:8" x14ac:dyDescent="0.35">
      <c r="A5020" s="528" t="s">
        <v>14358</v>
      </c>
      <c r="B5020" s="528" t="s">
        <v>14359</v>
      </c>
      <c r="C5020" s="528" t="s">
        <v>14360</v>
      </c>
      <c r="D5020" s="528" t="s">
        <v>264</v>
      </c>
      <c r="E5020" s="528" t="s">
        <v>277</v>
      </c>
      <c r="F5020" s="528"/>
      <c r="G5020" s="528" t="s">
        <v>205</v>
      </c>
      <c r="H5020"/>
    </row>
    <row r="5021" spans="1:8" x14ac:dyDescent="0.35">
      <c r="A5021" s="528" t="s">
        <v>14361</v>
      </c>
      <c r="B5021" s="528" t="s">
        <v>14362</v>
      </c>
      <c r="C5021" s="528" t="s">
        <v>14363</v>
      </c>
      <c r="D5021" s="528" t="s">
        <v>264</v>
      </c>
      <c r="E5021" s="528" t="s">
        <v>277</v>
      </c>
      <c r="F5021" s="528"/>
      <c r="G5021" s="528" t="s">
        <v>208</v>
      </c>
      <c r="H5021"/>
    </row>
    <row r="5022" spans="1:8" x14ac:dyDescent="0.35">
      <c r="A5022" s="528" t="s">
        <v>14364</v>
      </c>
      <c r="B5022" s="528" t="s">
        <v>14365</v>
      </c>
      <c r="C5022" s="528" t="s">
        <v>14366</v>
      </c>
      <c r="D5022" s="528" t="s">
        <v>264</v>
      </c>
      <c r="E5022" s="528"/>
      <c r="F5022" s="528"/>
      <c r="G5022" s="528" t="s">
        <v>208</v>
      </c>
      <c r="H5022"/>
    </row>
    <row r="5023" spans="1:8" x14ac:dyDescent="0.35">
      <c r="A5023" s="528" t="s">
        <v>14367</v>
      </c>
      <c r="B5023" s="528" t="s">
        <v>14368</v>
      </c>
      <c r="C5023" s="528" t="s">
        <v>14369</v>
      </c>
      <c r="D5023" s="528" t="s">
        <v>277</v>
      </c>
      <c r="E5023" s="528"/>
      <c r="F5023" s="528"/>
      <c r="G5023" s="528" t="s">
        <v>205</v>
      </c>
      <c r="H5023"/>
    </row>
    <row r="5024" spans="1:8" x14ac:dyDescent="0.35">
      <c r="A5024" s="528" t="s">
        <v>14370</v>
      </c>
      <c r="B5024" s="528" t="s">
        <v>14371</v>
      </c>
      <c r="C5024" s="528" t="s">
        <v>14372</v>
      </c>
      <c r="D5024" s="528" t="s">
        <v>277</v>
      </c>
      <c r="E5024" s="528"/>
      <c r="F5024" s="528"/>
      <c r="G5024" s="528" t="s">
        <v>208</v>
      </c>
      <c r="H5024"/>
    </row>
    <row r="5025" spans="1:8" x14ac:dyDescent="0.35">
      <c r="A5025" s="528" t="s">
        <v>14373</v>
      </c>
      <c r="B5025" s="528" t="s">
        <v>14374</v>
      </c>
      <c r="C5025" s="528" t="s">
        <v>14375</v>
      </c>
      <c r="D5025" s="528" t="s">
        <v>225</v>
      </c>
      <c r="E5025" s="528"/>
      <c r="F5025" s="528"/>
      <c r="G5025" s="528" t="s">
        <v>208</v>
      </c>
      <c r="H5025"/>
    </row>
    <row r="5026" spans="1:8" x14ac:dyDescent="0.35">
      <c r="A5026" s="528" t="s">
        <v>14376</v>
      </c>
      <c r="B5026" s="528" t="s">
        <v>14377</v>
      </c>
      <c r="C5026" s="528" t="s">
        <v>14378</v>
      </c>
      <c r="D5026" s="528" t="s">
        <v>264</v>
      </c>
      <c r="E5026" s="528"/>
      <c r="F5026" s="528"/>
      <c r="G5026" s="528" t="s">
        <v>208</v>
      </c>
      <c r="H5026"/>
    </row>
    <row r="5027" spans="1:8" x14ac:dyDescent="0.35">
      <c r="A5027" s="528" t="s">
        <v>14379</v>
      </c>
      <c r="B5027" s="528" t="s">
        <v>14380</v>
      </c>
      <c r="C5027" s="528" t="s">
        <v>11639</v>
      </c>
      <c r="D5027" s="528" t="s">
        <v>251</v>
      </c>
      <c r="E5027" s="528"/>
      <c r="F5027" s="528"/>
      <c r="G5027" s="528" t="s">
        <v>205</v>
      </c>
      <c r="H5027"/>
    </row>
    <row r="5028" spans="1:8" x14ac:dyDescent="0.35">
      <c r="A5028" s="528" t="s">
        <v>14381</v>
      </c>
      <c r="B5028" s="528" t="s">
        <v>14382</v>
      </c>
      <c r="C5028" s="528" t="s">
        <v>14383</v>
      </c>
      <c r="D5028" s="528" t="s">
        <v>238</v>
      </c>
      <c r="E5028" s="528"/>
      <c r="F5028" s="528"/>
      <c r="G5028" s="528" t="s">
        <v>208</v>
      </c>
      <c r="H5028"/>
    </row>
    <row r="5029" spans="1:8" x14ac:dyDescent="0.35">
      <c r="A5029" s="528" t="s">
        <v>14384</v>
      </c>
      <c r="B5029" s="528" t="s">
        <v>14385</v>
      </c>
      <c r="C5029" s="528" t="s">
        <v>14386</v>
      </c>
      <c r="D5029" s="528" t="s">
        <v>264</v>
      </c>
      <c r="E5029" s="528" t="s">
        <v>277</v>
      </c>
      <c r="F5029" s="528"/>
      <c r="G5029" s="528" t="s">
        <v>205</v>
      </c>
      <c r="H5029"/>
    </row>
    <row r="5030" spans="1:8" x14ac:dyDescent="0.35">
      <c r="A5030" s="528" t="s">
        <v>14387</v>
      </c>
      <c r="B5030" s="528" t="s">
        <v>14388</v>
      </c>
      <c r="C5030" s="528" t="s">
        <v>14389</v>
      </c>
      <c r="D5030" s="528" t="s">
        <v>264</v>
      </c>
      <c r="E5030" s="528"/>
      <c r="F5030" s="528"/>
      <c r="G5030" s="528" t="s">
        <v>205</v>
      </c>
      <c r="H5030"/>
    </row>
    <row r="5031" spans="1:8" x14ac:dyDescent="0.35">
      <c r="A5031" s="528" t="s">
        <v>14390</v>
      </c>
      <c r="B5031" s="528" t="s">
        <v>14391</v>
      </c>
      <c r="C5031" s="528" t="s">
        <v>3085</v>
      </c>
      <c r="D5031" s="528" t="s">
        <v>277</v>
      </c>
      <c r="E5031" s="528"/>
      <c r="F5031" s="528"/>
      <c r="G5031" s="528" t="s">
        <v>208</v>
      </c>
      <c r="H5031"/>
    </row>
    <row r="5032" spans="1:8" x14ac:dyDescent="0.35">
      <c r="A5032" s="528" t="s">
        <v>14392</v>
      </c>
      <c r="B5032" s="528" t="s">
        <v>14393</v>
      </c>
      <c r="C5032" s="528" t="s">
        <v>14394</v>
      </c>
      <c r="D5032" s="528" t="s">
        <v>264</v>
      </c>
      <c r="E5032" s="528"/>
      <c r="F5032" s="528"/>
      <c r="G5032" s="528" t="s">
        <v>205</v>
      </c>
      <c r="H5032"/>
    </row>
    <row r="5033" spans="1:8" x14ac:dyDescent="0.35">
      <c r="A5033" s="528" t="s">
        <v>14395</v>
      </c>
      <c r="B5033" s="528" t="s">
        <v>14396</v>
      </c>
      <c r="C5033" s="528" t="s">
        <v>12975</v>
      </c>
      <c r="D5033" s="528" t="s">
        <v>277</v>
      </c>
      <c r="E5033" s="528"/>
      <c r="F5033" s="528"/>
      <c r="G5033" s="528" t="s">
        <v>205</v>
      </c>
      <c r="H5033"/>
    </row>
    <row r="5034" spans="1:8" x14ac:dyDescent="0.35">
      <c r="A5034" s="528" t="s">
        <v>14397</v>
      </c>
      <c r="B5034" s="528" t="s">
        <v>14398</v>
      </c>
      <c r="C5034" s="528" t="s">
        <v>14399</v>
      </c>
      <c r="D5034" s="528" t="s">
        <v>264</v>
      </c>
      <c r="E5034" s="528"/>
      <c r="F5034" s="528"/>
      <c r="G5034" s="528" t="s">
        <v>205</v>
      </c>
      <c r="H5034"/>
    </row>
    <row r="5035" spans="1:8" x14ac:dyDescent="0.35">
      <c r="A5035" s="528" t="s">
        <v>14400</v>
      </c>
      <c r="B5035" s="528" t="s">
        <v>14401</v>
      </c>
      <c r="C5035" s="528" t="s">
        <v>12981</v>
      </c>
      <c r="D5035" s="528" t="s">
        <v>277</v>
      </c>
      <c r="E5035" s="528"/>
      <c r="F5035" s="528"/>
      <c r="G5035" s="528" t="s">
        <v>205</v>
      </c>
      <c r="H5035"/>
    </row>
    <row r="5036" spans="1:8" x14ac:dyDescent="0.35">
      <c r="A5036" s="528" t="s">
        <v>14402</v>
      </c>
      <c r="B5036" s="528" t="s">
        <v>14403</v>
      </c>
      <c r="C5036" s="528" t="s">
        <v>12984</v>
      </c>
      <c r="D5036" s="528" t="s">
        <v>277</v>
      </c>
      <c r="E5036" s="528"/>
      <c r="F5036" s="528"/>
      <c r="G5036" s="528" t="s">
        <v>205</v>
      </c>
      <c r="H5036"/>
    </row>
    <row r="5037" spans="1:8" x14ac:dyDescent="0.35">
      <c r="A5037" s="528" t="s">
        <v>14404</v>
      </c>
      <c r="B5037" s="528" t="s">
        <v>14405</v>
      </c>
      <c r="C5037" s="528" t="s">
        <v>1371</v>
      </c>
      <c r="D5037" s="528" t="s">
        <v>238</v>
      </c>
      <c r="E5037" s="528"/>
      <c r="F5037" s="528"/>
      <c r="G5037" s="528" t="s">
        <v>205</v>
      </c>
      <c r="H5037"/>
    </row>
    <row r="5038" spans="1:8" x14ac:dyDescent="0.35">
      <c r="A5038" s="528" t="s">
        <v>14406</v>
      </c>
      <c r="B5038" s="528" t="s">
        <v>14407</v>
      </c>
      <c r="C5038" s="528" t="s">
        <v>14408</v>
      </c>
      <c r="D5038" s="528" t="s">
        <v>238</v>
      </c>
      <c r="E5038" s="528"/>
      <c r="F5038" s="528"/>
      <c r="G5038" s="528" t="s">
        <v>205</v>
      </c>
      <c r="H5038"/>
    </row>
    <row r="5039" spans="1:8" x14ac:dyDescent="0.35">
      <c r="A5039" s="528" t="s">
        <v>14409</v>
      </c>
      <c r="B5039" s="528" t="s">
        <v>14410</v>
      </c>
      <c r="C5039" s="528" t="s">
        <v>14411</v>
      </c>
      <c r="D5039" s="528" t="s">
        <v>238</v>
      </c>
      <c r="E5039" s="528"/>
      <c r="F5039" s="528"/>
      <c r="G5039" s="528" t="s">
        <v>205</v>
      </c>
      <c r="H5039"/>
    </row>
    <row r="5040" spans="1:8" x14ac:dyDescent="0.35">
      <c r="A5040" s="528" t="s">
        <v>14412</v>
      </c>
      <c r="B5040" s="528" t="s">
        <v>14413</v>
      </c>
      <c r="C5040" s="528" t="s">
        <v>1377</v>
      </c>
      <c r="D5040" s="528" t="s">
        <v>251</v>
      </c>
      <c r="E5040" s="528"/>
      <c r="F5040" s="528"/>
      <c r="G5040" s="528" t="s">
        <v>208</v>
      </c>
      <c r="H5040"/>
    </row>
    <row r="5041" spans="1:8" x14ac:dyDescent="0.35">
      <c r="A5041" s="528" t="s">
        <v>14414</v>
      </c>
      <c r="B5041" s="528" t="s">
        <v>14415</v>
      </c>
      <c r="C5041" s="528" t="s">
        <v>14416</v>
      </c>
      <c r="D5041" s="528" t="s">
        <v>277</v>
      </c>
      <c r="E5041" s="528"/>
      <c r="F5041" s="528"/>
      <c r="G5041" s="528" t="s">
        <v>205</v>
      </c>
      <c r="H5041"/>
    </row>
    <row r="5042" spans="1:8" x14ac:dyDescent="0.35">
      <c r="A5042" s="528" t="s">
        <v>14417</v>
      </c>
      <c r="B5042" s="528" t="s">
        <v>14418</v>
      </c>
      <c r="C5042" s="528" t="s">
        <v>14419</v>
      </c>
      <c r="D5042" s="528" t="s">
        <v>277</v>
      </c>
      <c r="E5042" s="528"/>
      <c r="F5042" s="528"/>
      <c r="G5042" s="528" t="s">
        <v>205</v>
      </c>
      <c r="H5042"/>
    </row>
    <row r="5043" spans="1:8" x14ac:dyDescent="0.35">
      <c r="A5043" s="528" t="s">
        <v>14420</v>
      </c>
      <c r="B5043" s="528" t="s">
        <v>14421</v>
      </c>
      <c r="C5043" s="528" t="s">
        <v>14422</v>
      </c>
      <c r="D5043" s="528" t="s">
        <v>277</v>
      </c>
      <c r="E5043" s="528"/>
      <c r="F5043" s="528"/>
      <c r="G5043" s="528" t="s">
        <v>205</v>
      </c>
      <c r="H5043"/>
    </row>
    <row r="5044" spans="1:8" x14ac:dyDescent="0.35">
      <c r="A5044" s="528" t="s">
        <v>14423</v>
      </c>
      <c r="B5044" s="528" t="s">
        <v>14424</v>
      </c>
      <c r="C5044" s="528" t="s">
        <v>14425</v>
      </c>
      <c r="D5044" s="528" t="s">
        <v>225</v>
      </c>
      <c r="E5044" s="528"/>
      <c r="F5044" s="528"/>
      <c r="G5044" s="528" t="s">
        <v>208</v>
      </c>
      <c r="H5044"/>
    </row>
    <row r="5045" spans="1:8" x14ac:dyDescent="0.35">
      <c r="A5045" s="528" t="s">
        <v>14426</v>
      </c>
      <c r="B5045" s="528" t="s">
        <v>14427</v>
      </c>
      <c r="C5045" s="528" t="s">
        <v>14428</v>
      </c>
      <c r="D5045" s="528" t="s">
        <v>251</v>
      </c>
      <c r="E5045" s="528"/>
      <c r="F5045" s="528"/>
      <c r="G5045" s="528" t="s">
        <v>205</v>
      </c>
      <c r="H5045"/>
    </row>
    <row r="5046" spans="1:8" x14ac:dyDescent="0.35">
      <c r="A5046" s="528" t="s">
        <v>14429</v>
      </c>
      <c r="B5046" s="528" t="s">
        <v>14430</v>
      </c>
      <c r="C5046" s="528" t="s">
        <v>14431</v>
      </c>
      <c r="D5046" s="528" t="s">
        <v>251</v>
      </c>
      <c r="E5046" s="528"/>
      <c r="F5046" s="528"/>
      <c r="G5046" s="528" t="s">
        <v>205</v>
      </c>
      <c r="H5046"/>
    </row>
    <row r="5047" spans="1:8" x14ac:dyDescent="0.35">
      <c r="A5047" s="528" t="s">
        <v>14432</v>
      </c>
      <c r="B5047" s="528" t="s">
        <v>14433</v>
      </c>
      <c r="C5047" s="528" t="s">
        <v>14434</v>
      </c>
      <c r="D5047" s="528" t="s">
        <v>277</v>
      </c>
      <c r="E5047" s="528"/>
      <c r="F5047" s="528"/>
      <c r="G5047" s="528" t="s">
        <v>205</v>
      </c>
      <c r="H5047"/>
    </row>
    <row r="5048" spans="1:8" x14ac:dyDescent="0.35">
      <c r="A5048" s="528" t="s">
        <v>14435</v>
      </c>
      <c r="B5048" s="528" t="s">
        <v>14436</v>
      </c>
      <c r="C5048" s="528" t="s">
        <v>14437</v>
      </c>
      <c r="D5048" s="528" t="s">
        <v>264</v>
      </c>
      <c r="E5048" s="528"/>
      <c r="F5048" s="528"/>
      <c r="G5048" s="528" t="s">
        <v>205</v>
      </c>
      <c r="H5048"/>
    </row>
    <row r="5049" spans="1:8" x14ac:dyDescent="0.35">
      <c r="A5049" s="528" t="s">
        <v>14438</v>
      </c>
      <c r="B5049" s="528" t="s">
        <v>14439</v>
      </c>
      <c r="C5049" s="528" t="s">
        <v>14440</v>
      </c>
      <c r="D5049" s="528" t="s">
        <v>264</v>
      </c>
      <c r="E5049" s="528"/>
      <c r="F5049" s="528"/>
      <c r="G5049" s="528" t="s">
        <v>208</v>
      </c>
      <c r="H5049"/>
    </row>
    <row r="5050" spans="1:8" x14ac:dyDescent="0.35">
      <c r="A5050" s="528" t="s">
        <v>14441</v>
      </c>
      <c r="B5050" s="528" t="s">
        <v>14442</v>
      </c>
      <c r="C5050" s="528" t="s">
        <v>14443</v>
      </c>
      <c r="D5050" s="528" t="s">
        <v>264</v>
      </c>
      <c r="E5050" s="528"/>
      <c r="F5050" s="528"/>
      <c r="G5050" s="528" t="s">
        <v>208</v>
      </c>
      <c r="H5050"/>
    </row>
    <row r="5051" spans="1:8" x14ac:dyDescent="0.35">
      <c r="A5051" s="528" t="s">
        <v>14444</v>
      </c>
      <c r="B5051" s="528" t="s">
        <v>14445</v>
      </c>
      <c r="C5051" s="528" t="s">
        <v>14446</v>
      </c>
      <c r="D5051" s="528" t="s">
        <v>264</v>
      </c>
      <c r="E5051" s="528"/>
      <c r="F5051" s="528"/>
      <c r="G5051" s="528" t="s">
        <v>208</v>
      </c>
      <c r="H5051"/>
    </row>
    <row r="5052" spans="1:8" x14ac:dyDescent="0.35">
      <c r="A5052" s="528" t="s">
        <v>14447</v>
      </c>
      <c r="B5052" s="528" t="s">
        <v>14448</v>
      </c>
      <c r="C5052" s="528" t="s">
        <v>14449</v>
      </c>
      <c r="D5052" s="528" t="s">
        <v>264</v>
      </c>
      <c r="E5052" s="528"/>
      <c r="F5052" s="528"/>
      <c r="G5052" s="528" t="s">
        <v>208</v>
      </c>
      <c r="H5052"/>
    </row>
    <row r="5053" spans="1:8" x14ac:dyDescent="0.35">
      <c r="A5053" s="528" t="s">
        <v>14450</v>
      </c>
      <c r="B5053" s="528" t="s">
        <v>14451</v>
      </c>
      <c r="C5053" s="528" t="s">
        <v>14452</v>
      </c>
      <c r="D5053" s="528" t="s">
        <v>277</v>
      </c>
      <c r="E5053" s="528"/>
      <c r="F5053" s="528"/>
      <c r="G5053" s="528" t="s">
        <v>208</v>
      </c>
      <c r="H5053"/>
    </row>
    <row r="5054" spans="1:8" x14ac:dyDescent="0.35">
      <c r="A5054" s="528" t="s">
        <v>14453</v>
      </c>
      <c r="B5054" s="528" t="s">
        <v>14454</v>
      </c>
      <c r="C5054" s="528" t="s">
        <v>14455</v>
      </c>
      <c r="D5054" s="528" t="s">
        <v>251</v>
      </c>
      <c r="E5054" s="528"/>
      <c r="F5054" s="528"/>
      <c r="G5054" s="528" t="s">
        <v>205</v>
      </c>
      <c r="H5054"/>
    </row>
    <row r="5055" spans="1:8" x14ac:dyDescent="0.35">
      <c r="A5055" s="528" t="s">
        <v>14456</v>
      </c>
      <c r="B5055" s="528" t="s">
        <v>14457</v>
      </c>
      <c r="C5055" s="528" t="s">
        <v>14458</v>
      </c>
      <c r="D5055" s="528" t="s">
        <v>251</v>
      </c>
      <c r="E5055" s="528"/>
      <c r="F5055" s="528"/>
      <c r="G5055" s="528" t="s">
        <v>205</v>
      </c>
      <c r="H5055"/>
    </row>
    <row r="5056" spans="1:8" x14ac:dyDescent="0.35">
      <c r="A5056" s="528" t="s">
        <v>14459</v>
      </c>
      <c r="B5056" s="528" t="s">
        <v>14460</v>
      </c>
      <c r="C5056" s="528" t="s">
        <v>14461</v>
      </c>
      <c r="D5056" s="528" t="s">
        <v>238</v>
      </c>
      <c r="E5056" s="528"/>
      <c r="F5056" s="528"/>
      <c r="G5056" s="528" t="s">
        <v>205</v>
      </c>
      <c r="H5056"/>
    </row>
    <row r="5057" spans="1:8" x14ac:dyDescent="0.35">
      <c r="A5057" s="528" t="s">
        <v>14462</v>
      </c>
      <c r="B5057" s="528" t="s">
        <v>14463</v>
      </c>
      <c r="C5057" s="528" t="s">
        <v>14464</v>
      </c>
      <c r="D5057" s="528" t="s">
        <v>277</v>
      </c>
      <c r="E5057" s="528"/>
      <c r="F5057" s="528"/>
      <c r="G5057" s="528" t="s">
        <v>214</v>
      </c>
      <c r="H5057"/>
    </row>
    <row r="5058" spans="1:8" x14ac:dyDescent="0.35">
      <c r="A5058" s="528" t="s">
        <v>14465</v>
      </c>
      <c r="B5058" s="528" t="s">
        <v>14466</v>
      </c>
      <c r="C5058" s="528" t="s">
        <v>14467</v>
      </c>
      <c r="D5058" s="528" t="s">
        <v>277</v>
      </c>
      <c r="E5058" s="528"/>
      <c r="F5058" s="528"/>
      <c r="G5058" s="528" t="s">
        <v>205</v>
      </c>
      <c r="H5058"/>
    </row>
    <row r="5059" spans="1:8" x14ac:dyDescent="0.35">
      <c r="A5059" s="528" t="s">
        <v>14468</v>
      </c>
      <c r="B5059" s="528" t="s">
        <v>14469</v>
      </c>
      <c r="C5059" s="528" t="s">
        <v>14470</v>
      </c>
      <c r="D5059" s="528" t="s">
        <v>277</v>
      </c>
      <c r="E5059" s="528"/>
      <c r="F5059" s="528"/>
      <c r="G5059" s="528" t="s">
        <v>208</v>
      </c>
      <c r="H5059"/>
    </row>
    <row r="5060" spans="1:8" x14ac:dyDescent="0.35">
      <c r="A5060" s="528" t="s">
        <v>14471</v>
      </c>
      <c r="B5060" s="528" t="s">
        <v>14472</v>
      </c>
      <c r="C5060" s="528" t="s">
        <v>14473</v>
      </c>
      <c r="D5060" s="528" t="s">
        <v>277</v>
      </c>
      <c r="E5060" s="528"/>
      <c r="F5060" s="528"/>
      <c r="G5060" s="528" t="s">
        <v>208</v>
      </c>
      <c r="H5060"/>
    </row>
    <row r="5061" spans="1:8" x14ac:dyDescent="0.35">
      <c r="A5061" s="528" t="s">
        <v>14474</v>
      </c>
      <c r="B5061" s="528" t="s">
        <v>14475</v>
      </c>
      <c r="C5061" s="528" t="s">
        <v>14476</v>
      </c>
      <c r="D5061" s="528" t="s">
        <v>264</v>
      </c>
      <c r="E5061" s="528"/>
      <c r="F5061" s="528"/>
      <c r="G5061" s="528" t="s">
        <v>205</v>
      </c>
      <c r="H5061"/>
    </row>
    <row r="5062" spans="1:8" x14ac:dyDescent="0.35">
      <c r="A5062" s="528" t="s">
        <v>14477</v>
      </c>
      <c r="B5062" s="528" t="s">
        <v>14478</v>
      </c>
      <c r="C5062" s="528" t="s">
        <v>14479</v>
      </c>
      <c r="D5062" s="528" t="s">
        <v>277</v>
      </c>
      <c r="E5062" s="528"/>
      <c r="F5062" s="528"/>
      <c r="G5062" s="528" t="s">
        <v>208</v>
      </c>
      <c r="H5062"/>
    </row>
    <row r="5063" spans="1:8" x14ac:dyDescent="0.35">
      <c r="A5063" s="528" t="s">
        <v>14480</v>
      </c>
      <c r="B5063" s="528" t="s">
        <v>14481</v>
      </c>
      <c r="C5063" s="528" t="s">
        <v>14482</v>
      </c>
      <c r="D5063" s="528" t="s">
        <v>277</v>
      </c>
      <c r="E5063" s="528"/>
      <c r="F5063" s="528"/>
      <c r="G5063" s="528" t="s">
        <v>208</v>
      </c>
      <c r="H5063"/>
    </row>
    <row r="5064" spans="1:8" x14ac:dyDescent="0.35">
      <c r="A5064" s="528" t="s">
        <v>14483</v>
      </c>
      <c r="B5064" s="528" t="s">
        <v>14484</v>
      </c>
      <c r="C5064" s="528" t="s">
        <v>14485</v>
      </c>
      <c r="D5064" s="528" t="s">
        <v>238</v>
      </c>
      <c r="E5064" s="528"/>
      <c r="F5064" s="528"/>
      <c r="G5064" s="528" t="s">
        <v>208</v>
      </c>
      <c r="H5064"/>
    </row>
    <row r="5065" spans="1:8" x14ac:dyDescent="0.35">
      <c r="A5065" s="528" t="s">
        <v>14486</v>
      </c>
      <c r="B5065" s="528" t="s">
        <v>14487</v>
      </c>
      <c r="C5065" s="528" t="s">
        <v>14488</v>
      </c>
      <c r="D5065" s="528" t="s">
        <v>251</v>
      </c>
      <c r="E5065" s="528"/>
      <c r="F5065" s="528"/>
      <c r="G5065" s="528" t="s">
        <v>208</v>
      </c>
      <c r="H5065"/>
    </row>
    <row r="5066" spans="1:8" x14ac:dyDescent="0.35">
      <c r="A5066" s="528" t="s">
        <v>14489</v>
      </c>
      <c r="B5066" s="528" t="s">
        <v>14490</v>
      </c>
      <c r="C5066" s="528" t="s">
        <v>14491</v>
      </c>
      <c r="D5066" s="528" t="s">
        <v>277</v>
      </c>
      <c r="E5066" s="528"/>
      <c r="F5066" s="528"/>
      <c r="G5066" s="528" t="s">
        <v>208</v>
      </c>
      <c r="H5066"/>
    </row>
    <row r="5067" spans="1:8" x14ac:dyDescent="0.35">
      <c r="A5067" s="528" t="s">
        <v>14492</v>
      </c>
      <c r="B5067" s="528" t="s">
        <v>14493</v>
      </c>
      <c r="C5067" s="528" t="s">
        <v>14494</v>
      </c>
      <c r="D5067" s="528" t="s">
        <v>225</v>
      </c>
      <c r="E5067" s="528"/>
      <c r="F5067" s="528"/>
      <c r="G5067" s="528" t="s">
        <v>208</v>
      </c>
      <c r="H5067"/>
    </row>
    <row r="5068" spans="1:8" x14ac:dyDescent="0.35">
      <c r="A5068" s="528" t="s">
        <v>14495</v>
      </c>
      <c r="B5068" s="528" t="s">
        <v>14496</v>
      </c>
      <c r="C5068" s="528" t="s">
        <v>14497</v>
      </c>
      <c r="D5068" s="528" t="s">
        <v>264</v>
      </c>
      <c r="E5068" s="528"/>
      <c r="F5068" s="528"/>
      <c r="G5068" s="528" t="s">
        <v>210</v>
      </c>
      <c r="H5068"/>
    </row>
    <row r="5069" spans="1:8" x14ac:dyDescent="0.35">
      <c r="A5069" s="528" t="s">
        <v>14498</v>
      </c>
      <c r="B5069" s="528" t="s">
        <v>14499</v>
      </c>
      <c r="C5069" s="528" t="s">
        <v>14500</v>
      </c>
      <c r="D5069" s="528" t="s">
        <v>264</v>
      </c>
      <c r="E5069" s="528"/>
      <c r="F5069" s="528"/>
      <c r="G5069" s="528" t="s">
        <v>208</v>
      </c>
      <c r="H5069"/>
    </row>
    <row r="5070" spans="1:8" x14ac:dyDescent="0.35">
      <c r="A5070" s="528" t="s">
        <v>14501</v>
      </c>
      <c r="B5070" s="528" t="s">
        <v>14502</v>
      </c>
      <c r="C5070" s="528" t="s">
        <v>14503</v>
      </c>
      <c r="D5070" s="528" t="s">
        <v>225</v>
      </c>
      <c r="E5070" s="528"/>
      <c r="F5070" s="528"/>
      <c r="G5070" s="528" t="s">
        <v>205</v>
      </c>
      <c r="H5070"/>
    </row>
    <row r="5071" spans="1:8" x14ac:dyDescent="0.35">
      <c r="A5071" s="528" t="s">
        <v>14504</v>
      </c>
      <c r="B5071" s="528" t="s">
        <v>14505</v>
      </c>
      <c r="C5071" s="528" t="s">
        <v>14506</v>
      </c>
      <c r="D5071" s="528" t="s">
        <v>225</v>
      </c>
      <c r="E5071" s="528"/>
      <c r="F5071" s="528"/>
      <c r="G5071" s="528" t="s">
        <v>205</v>
      </c>
      <c r="H5071"/>
    </row>
    <row r="5072" spans="1:8" x14ac:dyDescent="0.35">
      <c r="A5072" s="528" t="s">
        <v>14507</v>
      </c>
      <c r="B5072" s="528" t="s">
        <v>14508</v>
      </c>
      <c r="C5072" s="528" t="s">
        <v>14506</v>
      </c>
      <c r="D5072" s="528" t="s">
        <v>225</v>
      </c>
      <c r="E5072" s="528"/>
      <c r="F5072" s="528"/>
      <c r="G5072" s="528" t="s">
        <v>205</v>
      </c>
      <c r="H5072"/>
    </row>
    <row r="5073" spans="1:8" x14ac:dyDescent="0.35">
      <c r="A5073" s="528" t="s">
        <v>14509</v>
      </c>
      <c r="B5073" s="528" t="s">
        <v>14510</v>
      </c>
      <c r="C5073" s="528" t="s">
        <v>14511</v>
      </c>
      <c r="D5073" s="528" t="s">
        <v>225</v>
      </c>
      <c r="E5073" s="528"/>
      <c r="F5073" s="528"/>
      <c r="G5073" s="528" t="s">
        <v>205</v>
      </c>
      <c r="H5073"/>
    </row>
    <row r="5074" spans="1:8" x14ac:dyDescent="0.35">
      <c r="A5074" s="528" t="s">
        <v>14512</v>
      </c>
      <c r="B5074" s="528" t="s">
        <v>14513</v>
      </c>
      <c r="C5074" s="528" t="s">
        <v>14514</v>
      </c>
      <c r="D5074" s="528" t="s">
        <v>225</v>
      </c>
      <c r="E5074" s="528"/>
      <c r="F5074" s="528"/>
      <c r="G5074" s="528" t="s">
        <v>205</v>
      </c>
      <c r="H5074"/>
    </row>
    <row r="5075" spans="1:8" x14ac:dyDescent="0.35">
      <c r="A5075" s="528" t="s">
        <v>14515</v>
      </c>
      <c r="B5075" s="528" t="s">
        <v>14516</v>
      </c>
      <c r="C5075" s="528" t="s">
        <v>14517</v>
      </c>
      <c r="D5075" s="528" t="s">
        <v>225</v>
      </c>
      <c r="E5075" s="528"/>
      <c r="F5075" s="528"/>
      <c r="G5075" s="528" t="s">
        <v>205</v>
      </c>
      <c r="H5075"/>
    </row>
    <row r="5076" spans="1:8" x14ac:dyDescent="0.35">
      <c r="A5076" s="528" t="s">
        <v>14518</v>
      </c>
      <c r="B5076" s="528" t="s">
        <v>14519</v>
      </c>
      <c r="C5076" s="528" t="s">
        <v>14520</v>
      </c>
      <c r="D5076" s="528" t="s">
        <v>225</v>
      </c>
      <c r="E5076" s="528"/>
      <c r="F5076" s="528"/>
      <c r="G5076" s="528" t="s">
        <v>208</v>
      </c>
      <c r="H5076"/>
    </row>
    <row r="5077" spans="1:8" x14ac:dyDescent="0.35">
      <c r="A5077" s="528" t="s">
        <v>14521</v>
      </c>
      <c r="B5077" s="528" t="s">
        <v>14522</v>
      </c>
      <c r="C5077" s="528" t="s">
        <v>14523</v>
      </c>
      <c r="D5077" s="528" t="s">
        <v>225</v>
      </c>
      <c r="E5077" s="528"/>
      <c r="F5077" s="528"/>
      <c r="G5077" s="528" t="s">
        <v>208</v>
      </c>
      <c r="H5077"/>
    </row>
    <row r="5078" spans="1:8" x14ac:dyDescent="0.35">
      <c r="A5078" s="528" t="s">
        <v>14524</v>
      </c>
      <c r="B5078" s="528" t="s">
        <v>14525</v>
      </c>
      <c r="C5078" s="528" t="s">
        <v>14526</v>
      </c>
      <c r="D5078" s="528" t="s">
        <v>225</v>
      </c>
      <c r="E5078" s="528"/>
      <c r="F5078" s="528"/>
      <c r="G5078" s="528" t="s">
        <v>208</v>
      </c>
      <c r="H5078"/>
    </row>
    <row r="5079" spans="1:8" x14ac:dyDescent="0.35">
      <c r="A5079" s="528" t="s">
        <v>14527</v>
      </c>
      <c r="B5079" s="528" t="s">
        <v>14528</v>
      </c>
      <c r="C5079" s="528" t="s">
        <v>14529</v>
      </c>
      <c r="D5079" s="528" t="s">
        <v>225</v>
      </c>
      <c r="E5079" s="528"/>
      <c r="F5079" s="528"/>
      <c r="G5079" s="528" t="s">
        <v>208</v>
      </c>
      <c r="H5079"/>
    </row>
    <row r="5080" spans="1:8" x14ac:dyDescent="0.35">
      <c r="A5080" s="528" t="s">
        <v>14530</v>
      </c>
      <c r="B5080" s="528" t="s">
        <v>14531</v>
      </c>
      <c r="C5080" s="528" t="s">
        <v>14532</v>
      </c>
      <c r="D5080" s="528" t="s">
        <v>225</v>
      </c>
      <c r="E5080" s="528"/>
      <c r="F5080" s="528"/>
      <c r="G5080" s="528" t="s">
        <v>208</v>
      </c>
      <c r="H5080"/>
    </row>
    <row r="5081" spans="1:8" x14ac:dyDescent="0.35">
      <c r="A5081" s="528" t="s">
        <v>14533</v>
      </c>
      <c r="B5081" s="528" t="s">
        <v>14534</v>
      </c>
      <c r="C5081" s="528" t="s">
        <v>14535</v>
      </c>
      <c r="D5081" s="528" t="s">
        <v>225</v>
      </c>
      <c r="E5081" s="528"/>
      <c r="F5081" s="528"/>
      <c r="G5081" s="528" t="s">
        <v>208</v>
      </c>
      <c r="H5081"/>
    </row>
    <row r="5082" spans="1:8" x14ac:dyDescent="0.35">
      <c r="A5082" s="528" t="s">
        <v>14536</v>
      </c>
      <c r="B5082" s="528" t="s">
        <v>14537</v>
      </c>
      <c r="C5082" s="528" t="s">
        <v>14538</v>
      </c>
      <c r="D5082" s="528" t="s">
        <v>225</v>
      </c>
      <c r="E5082" s="528"/>
      <c r="F5082" s="528"/>
      <c r="G5082" s="528" t="s">
        <v>208</v>
      </c>
      <c r="H5082"/>
    </row>
    <row r="5083" spans="1:8" x14ac:dyDescent="0.35">
      <c r="A5083" s="528" t="s">
        <v>14539</v>
      </c>
      <c r="B5083" s="528" t="s">
        <v>14540</v>
      </c>
      <c r="C5083" s="528" t="s">
        <v>14541</v>
      </c>
      <c r="D5083" s="528" t="s">
        <v>225</v>
      </c>
      <c r="E5083" s="528"/>
      <c r="F5083" s="528"/>
      <c r="G5083" s="528" t="s">
        <v>212</v>
      </c>
      <c r="H5083"/>
    </row>
    <row r="5084" spans="1:8" x14ac:dyDescent="0.35">
      <c r="A5084" s="528" t="s">
        <v>14542</v>
      </c>
      <c r="B5084" s="528" t="s">
        <v>14543</v>
      </c>
      <c r="C5084" s="528" t="s">
        <v>14544</v>
      </c>
      <c r="D5084" s="528" t="s">
        <v>225</v>
      </c>
      <c r="E5084" s="528"/>
      <c r="F5084" s="528"/>
      <c r="G5084" s="528" t="s">
        <v>214</v>
      </c>
      <c r="H5084"/>
    </row>
    <row r="5085" spans="1:8" x14ac:dyDescent="0.35">
      <c r="A5085" s="528" t="s">
        <v>14545</v>
      </c>
      <c r="B5085" s="528" t="s">
        <v>14546</v>
      </c>
      <c r="C5085" s="528" t="s">
        <v>14547</v>
      </c>
      <c r="D5085" s="528" t="s">
        <v>225</v>
      </c>
      <c r="E5085" s="528"/>
      <c r="F5085" s="528"/>
      <c r="G5085" s="528" t="s">
        <v>214</v>
      </c>
      <c r="H5085"/>
    </row>
    <row r="5086" spans="1:8" x14ac:dyDescent="0.35">
      <c r="A5086" s="528" t="s">
        <v>14548</v>
      </c>
      <c r="B5086" s="528" t="s">
        <v>14549</v>
      </c>
      <c r="C5086" s="528" t="s">
        <v>14550</v>
      </c>
      <c r="D5086" s="528" t="s">
        <v>277</v>
      </c>
      <c r="E5086" s="528"/>
      <c r="F5086" s="528"/>
      <c r="G5086" s="528" t="s">
        <v>205</v>
      </c>
      <c r="H5086"/>
    </row>
    <row r="5087" spans="1:8" x14ac:dyDescent="0.35">
      <c r="A5087" s="528" t="s">
        <v>14551</v>
      </c>
      <c r="B5087" s="528" t="s">
        <v>14552</v>
      </c>
      <c r="C5087" s="528" t="s">
        <v>14553</v>
      </c>
      <c r="D5087" s="528" t="s">
        <v>277</v>
      </c>
      <c r="E5087" s="528"/>
      <c r="F5087" s="528"/>
      <c r="G5087" s="528" t="s">
        <v>208</v>
      </c>
      <c r="H5087"/>
    </row>
    <row r="5088" spans="1:8" x14ac:dyDescent="0.35">
      <c r="A5088" s="528" t="s">
        <v>14554</v>
      </c>
      <c r="B5088" s="528" t="s">
        <v>14555</v>
      </c>
      <c r="C5088" s="528" t="s">
        <v>14556</v>
      </c>
      <c r="D5088" s="528" t="s">
        <v>264</v>
      </c>
      <c r="E5088" s="528"/>
      <c r="F5088" s="528"/>
      <c r="G5088" s="528" t="s">
        <v>208</v>
      </c>
      <c r="H5088"/>
    </row>
    <row r="5089" spans="1:8" x14ac:dyDescent="0.35">
      <c r="A5089" s="528" t="s">
        <v>14557</v>
      </c>
      <c r="B5089" s="528" t="s">
        <v>14558</v>
      </c>
      <c r="C5089" s="528" t="s">
        <v>14559</v>
      </c>
      <c r="D5089" s="528" t="s">
        <v>277</v>
      </c>
      <c r="E5089" s="528"/>
      <c r="F5089" s="528"/>
      <c r="G5089" s="528" t="s">
        <v>208</v>
      </c>
      <c r="H5089"/>
    </row>
    <row r="5090" spans="1:8" x14ac:dyDescent="0.35">
      <c r="A5090" s="528" t="s">
        <v>14560</v>
      </c>
      <c r="B5090" s="528" t="s">
        <v>14561</v>
      </c>
      <c r="C5090" s="528" t="s">
        <v>14562</v>
      </c>
      <c r="D5090" s="528" t="s">
        <v>277</v>
      </c>
      <c r="E5090" s="528"/>
      <c r="F5090" s="528"/>
      <c r="G5090" s="528" t="s">
        <v>208</v>
      </c>
      <c r="H5090"/>
    </row>
    <row r="5091" spans="1:8" x14ac:dyDescent="0.35">
      <c r="A5091" s="528" t="s">
        <v>14563</v>
      </c>
      <c r="B5091" s="528" t="s">
        <v>14564</v>
      </c>
      <c r="C5091" s="528" t="s">
        <v>14565</v>
      </c>
      <c r="D5091" s="528" t="s">
        <v>277</v>
      </c>
      <c r="E5091" s="528"/>
      <c r="F5091" s="528"/>
      <c r="G5091" s="528" t="s">
        <v>208</v>
      </c>
      <c r="H5091"/>
    </row>
    <row r="5092" spans="1:8" x14ac:dyDescent="0.35">
      <c r="A5092" s="528" t="s">
        <v>14566</v>
      </c>
      <c r="B5092" s="528" t="s">
        <v>14567</v>
      </c>
      <c r="C5092" s="528" t="s">
        <v>14568</v>
      </c>
      <c r="D5092" s="528" t="s">
        <v>277</v>
      </c>
      <c r="E5092" s="528"/>
      <c r="F5092" s="528"/>
      <c r="G5092" s="528" t="s">
        <v>205</v>
      </c>
      <c r="H5092"/>
    </row>
    <row r="5093" spans="1:8" x14ac:dyDescent="0.35">
      <c r="A5093" s="528" t="s">
        <v>14569</v>
      </c>
      <c r="B5093" s="528" t="s">
        <v>14570</v>
      </c>
      <c r="C5093" s="528" t="s">
        <v>14571</v>
      </c>
      <c r="D5093" s="528" t="s">
        <v>277</v>
      </c>
      <c r="E5093" s="528"/>
      <c r="F5093" s="528"/>
      <c r="G5093" s="528" t="s">
        <v>205</v>
      </c>
      <c r="H5093"/>
    </row>
    <row r="5094" spans="1:8" x14ac:dyDescent="0.35">
      <c r="A5094" s="528" t="s">
        <v>14572</v>
      </c>
      <c r="B5094" s="528" t="s">
        <v>14573</v>
      </c>
      <c r="C5094" s="528" t="s">
        <v>14574</v>
      </c>
      <c r="D5094" s="528" t="s">
        <v>251</v>
      </c>
      <c r="E5094" s="528"/>
      <c r="F5094" s="528"/>
      <c r="G5094" s="528" t="s">
        <v>208</v>
      </c>
      <c r="H5094"/>
    </row>
    <row r="5095" spans="1:8" x14ac:dyDescent="0.35">
      <c r="A5095" s="528" t="s">
        <v>14575</v>
      </c>
      <c r="B5095" s="528" t="s">
        <v>14576</v>
      </c>
      <c r="C5095" s="528" t="s">
        <v>14577</v>
      </c>
      <c r="D5095" s="528" t="s">
        <v>264</v>
      </c>
      <c r="E5095" s="528"/>
      <c r="F5095" s="528"/>
      <c r="G5095" s="528" t="s">
        <v>205</v>
      </c>
      <c r="H5095"/>
    </row>
    <row r="5096" spans="1:8" x14ac:dyDescent="0.35">
      <c r="A5096" s="528" t="s">
        <v>14578</v>
      </c>
      <c r="B5096" s="528" t="s">
        <v>14579</v>
      </c>
      <c r="C5096" s="528" t="s">
        <v>14580</v>
      </c>
      <c r="D5096" s="528" t="s">
        <v>264</v>
      </c>
      <c r="E5096" s="528"/>
      <c r="F5096" s="528"/>
      <c r="G5096" s="528" t="s">
        <v>208</v>
      </c>
      <c r="H5096"/>
    </row>
    <row r="5097" spans="1:8" x14ac:dyDescent="0.35">
      <c r="A5097" s="528" t="s">
        <v>14581</v>
      </c>
      <c r="B5097" s="528" t="s">
        <v>14582</v>
      </c>
      <c r="C5097" s="528" t="s">
        <v>14583</v>
      </c>
      <c r="D5097" s="528" t="s">
        <v>264</v>
      </c>
      <c r="E5097" s="528"/>
      <c r="F5097" s="528"/>
      <c r="G5097" s="528" t="s">
        <v>208</v>
      </c>
      <c r="H5097"/>
    </row>
    <row r="5098" spans="1:8" x14ac:dyDescent="0.35">
      <c r="A5098" s="528" t="s">
        <v>14584</v>
      </c>
      <c r="B5098" s="528" t="s">
        <v>14585</v>
      </c>
      <c r="C5098" s="528" t="s">
        <v>14586</v>
      </c>
      <c r="D5098" s="528" t="s">
        <v>264</v>
      </c>
      <c r="E5098" s="528"/>
      <c r="F5098" s="528"/>
      <c r="G5098" s="528" t="s">
        <v>205</v>
      </c>
      <c r="H5098"/>
    </row>
    <row r="5099" spans="1:8" x14ac:dyDescent="0.35">
      <c r="A5099" s="528" t="s">
        <v>14587</v>
      </c>
      <c r="B5099" s="528" t="s">
        <v>14588</v>
      </c>
      <c r="C5099" s="528" t="s">
        <v>14589</v>
      </c>
      <c r="D5099" s="528" t="s">
        <v>251</v>
      </c>
      <c r="E5099" s="528"/>
      <c r="F5099" s="528"/>
      <c r="G5099" s="528" t="s">
        <v>208</v>
      </c>
      <c r="H5099"/>
    </row>
    <row r="5100" spans="1:8" x14ac:dyDescent="0.35">
      <c r="A5100" s="528" t="s">
        <v>14590</v>
      </c>
      <c r="B5100" s="528" t="s">
        <v>14591</v>
      </c>
      <c r="C5100" s="528" t="s">
        <v>14592</v>
      </c>
      <c r="D5100" s="528" t="s">
        <v>251</v>
      </c>
      <c r="E5100" s="528"/>
      <c r="F5100" s="528"/>
      <c r="G5100" s="528" t="s">
        <v>208</v>
      </c>
      <c r="H5100"/>
    </row>
    <row r="5101" spans="1:8" x14ac:dyDescent="0.35">
      <c r="A5101" s="528" t="s">
        <v>14593</v>
      </c>
      <c r="B5101" s="528" t="s">
        <v>14594</v>
      </c>
      <c r="C5101" s="528" t="s">
        <v>14595</v>
      </c>
      <c r="D5101" s="528" t="s">
        <v>277</v>
      </c>
      <c r="E5101" s="528"/>
      <c r="F5101" s="528"/>
      <c r="G5101" s="528" t="s">
        <v>208</v>
      </c>
      <c r="H5101"/>
    </row>
    <row r="5102" spans="1:8" x14ac:dyDescent="0.35">
      <c r="A5102" s="528" t="s">
        <v>14596</v>
      </c>
      <c r="B5102" s="528" t="s">
        <v>14597</v>
      </c>
      <c r="C5102" s="528" t="s">
        <v>14598</v>
      </c>
      <c r="D5102" s="528" t="s">
        <v>277</v>
      </c>
      <c r="E5102" s="528"/>
      <c r="F5102" s="528"/>
      <c r="G5102" s="528" t="s">
        <v>208</v>
      </c>
      <c r="H5102"/>
    </row>
    <row r="5103" spans="1:8" x14ac:dyDescent="0.35">
      <c r="A5103" s="528" t="s">
        <v>14599</v>
      </c>
      <c r="B5103" s="528" t="s">
        <v>14600</v>
      </c>
      <c r="C5103" s="528" t="s">
        <v>14601</v>
      </c>
      <c r="D5103" s="528" t="s">
        <v>277</v>
      </c>
      <c r="E5103" s="528"/>
      <c r="F5103" s="528"/>
      <c r="G5103" s="528" t="s">
        <v>205</v>
      </c>
      <c r="H5103"/>
    </row>
    <row r="5104" spans="1:8" x14ac:dyDescent="0.35">
      <c r="A5104" s="528" t="s">
        <v>14602</v>
      </c>
      <c r="B5104" s="528" t="s">
        <v>14603</v>
      </c>
      <c r="C5104" s="528" t="s">
        <v>14604</v>
      </c>
      <c r="D5104" s="528" t="s">
        <v>251</v>
      </c>
      <c r="E5104" s="528"/>
      <c r="F5104" s="528"/>
      <c r="G5104" s="528" t="s">
        <v>205</v>
      </c>
      <c r="H5104"/>
    </row>
    <row r="5105" spans="1:8" x14ac:dyDescent="0.35">
      <c r="A5105" s="528" t="s">
        <v>14605</v>
      </c>
      <c r="B5105" s="528" t="s">
        <v>14606</v>
      </c>
      <c r="C5105" s="528" t="s">
        <v>14607</v>
      </c>
      <c r="D5105" s="528" t="s">
        <v>251</v>
      </c>
      <c r="E5105" s="528"/>
      <c r="F5105" s="528"/>
      <c r="G5105" s="528" t="s">
        <v>205</v>
      </c>
      <c r="H5105"/>
    </row>
    <row r="5106" spans="1:8" x14ac:dyDescent="0.35">
      <c r="A5106" s="528" t="s">
        <v>14608</v>
      </c>
      <c r="B5106" s="528" t="s">
        <v>14609</v>
      </c>
      <c r="C5106" s="528" t="s">
        <v>14610</v>
      </c>
      <c r="D5106" s="528" t="s">
        <v>251</v>
      </c>
      <c r="E5106" s="528"/>
      <c r="F5106" s="528"/>
      <c r="G5106" s="528" t="s">
        <v>205</v>
      </c>
      <c r="H5106"/>
    </row>
    <row r="5107" spans="1:8" x14ac:dyDescent="0.35">
      <c r="A5107" s="528" t="s">
        <v>14611</v>
      </c>
      <c r="B5107" s="528" t="s">
        <v>14612</v>
      </c>
      <c r="C5107" s="528" t="s">
        <v>14613</v>
      </c>
      <c r="D5107" s="528" t="s">
        <v>264</v>
      </c>
      <c r="E5107" s="528"/>
      <c r="F5107" s="528"/>
      <c r="G5107" s="528" t="s">
        <v>205</v>
      </c>
      <c r="H5107"/>
    </row>
    <row r="5108" spans="1:8" x14ac:dyDescent="0.35">
      <c r="A5108" s="528" t="s">
        <v>14614</v>
      </c>
      <c r="B5108" s="528" t="s">
        <v>14615</v>
      </c>
      <c r="C5108" s="528" t="s">
        <v>14616</v>
      </c>
      <c r="D5108" s="528" t="s">
        <v>225</v>
      </c>
      <c r="E5108" s="528"/>
      <c r="F5108" s="528"/>
      <c r="G5108" s="528" t="s">
        <v>205</v>
      </c>
      <c r="H5108"/>
    </row>
    <row r="5109" spans="1:8" x14ac:dyDescent="0.35">
      <c r="A5109" s="528" t="s">
        <v>14617</v>
      </c>
      <c r="B5109" s="528" t="s">
        <v>14618</v>
      </c>
      <c r="C5109" s="528" t="s">
        <v>14616</v>
      </c>
      <c r="D5109" s="528" t="s">
        <v>225</v>
      </c>
      <c r="E5109" s="528"/>
      <c r="F5109" s="528"/>
      <c r="G5109" s="528" t="s">
        <v>205</v>
      </c>
      <c r="H5109"/>
    </row>
    <row r="5110" spans="1:8" x14ac:dyDescent="0.35">
      <c r="A5110" s="528" t="s">
        <v>14619</v>
      </c>
      <c r="B5110" s="528" t="s">
        <v>14620</v>
      </c>
      <c r="C5110" s="528" t="s">
        <v>14621</v>
      </c>
      <c r="D5110" s="528" t="s">
        <v>277</v>
      </c>
      <c r="E5110" s="528"/>
      <c r="F5110" s="528"/>
      <c r="G5110" s="528" t="s">
        <v>205</v>
      </c>
      <c r="H5110"/>
    </row>
    <row r="5111" spans="1:8" x14ac:dyDescent="0.35">
      <c r="A5111" s="528" t="s">
        <v>14622</v>
      </c>
      <c r="B5111" s="528" t="s">
        <v>14623</v>
      </c>
      <c r="C5111" s="528" t="s">
        <v>14624</v>
      </c>
      <c r="D5111" s="528" t="s">
        <v>277</v>
      </c>
      <c r="E5111" s="528"/>
      <c r="F5111" s="528"/>
      <c r="G5111" s="528" t="s">
        <v>205</v>
      </c>
      <c r="H5111"/>
    </row>
    <row r="5112" spans="1:8" x14ac:dyDescent="0.35">
      <c r="A5112" s="528" t="s">
        <v>14625</v>
      </c>
      <c r="B5112" s="528" t="s">
        <v>14626</v>
      </c>
      <c r="C5112" s="528" t="s">
        <v>14627</v>
      </c>
      <c r="D5112" s="528" t="s">
        <v>277</v>
      </c>
      <c r="E5112" s="528"/>
      <c r="F5112" s="528"/>
      <c r="G5112" s="528" t="s">
        <v>205</v>
      </c>
      <c r="H5112"/>
    </row>
    <row r="5113" spans="1:8" x14ac:dyDescent="0.35">
      <c r="A5113" s="528" t="s">
        <v>14628</v>
      </c>
      <c r="B5113" s="528" t="s">
        <v>14629</v>
      </c>
      <c r="C5113" s="528" t="s">
        <v>14630</v>
      </c>
      <c r="D5113" s="528" t="s">
        <v>264</v>
      </c>
      <c r="E5113" s="528"/>
      <c r="F5113" s="528"/>
      <c r="G5113" s="528" t="s">
        <v>208</v>
      </c>
      <c r="H5113"/>
    </row>
    <row r="5114" spans="1:8" x14ac:dyDescent="0.35">
      <c r="A5114" s="528" t="s">
        <v>14631</v>
      </c>
      <c r="B5114" s="528" t="s">
        <v>14632</v>
      </c>
      <c r="C5114" s="528" t="s">
        <v>14633</v>
      </c>
      <c r="D5114" s="528" t="s">
        <v>225</v>
      </c>
      <c r="E5114" s="528"/>
      <c r="F5114" s="528"/>
      <c r="G5114" s="528" t="s">
        <v>205</v>
      </c>
      <c r="H5114"/>
    </row>
    <row r="5115" spans="1:8" x14ac:dyDescent="0.35">
      <c r="A5115" s="528" t="s">
        <v>14634</v>
      </c>
      <c r="B5115" s="528" t="s">
        <v>14635</v>
      </c>
      <c r="C5115" s="528" t="s">
        <v>14636</v>
      </c>
      <c r="D5115" s="528" t="s">
        <v>225</v>
      </c>
      <c r="E5115" s="528"/>
      <c r="F5115" s="528"/>
      <c r="G5115" s="528" t="s">
        <v>205</v>
      </c>
      <c r="H5115"/>
    </row>
    <row r="5116" spans="1:8" x14ac:dyDescent="0.35">
      <c r="A5116" s="528" t="s">
        <v>14637</v>
      </c>
      <c r="B5116" s="528" t="s">
        <v>14638</v>
      </c>
      <c r="C5116" s="528" t="s">
        <v>14639</v>
      </c>
      <c r="D5116" s="528" t="s">
        <v>225</v>
      </c>
      <c r="E5116" s="528"/>
      <c r="F5116" s="528"/>
      <c r="G5116" s="528" t="s">
        <v>205</v>
      </c>
      <c r="H5116"/>
    </row>
    <row r="5117" spans="1:8" x14ac:dyDescent="0.35">
      <c r="A5117" s="528" t="s">
        <v>14640</v>
      </c>
      <c r="B5117" s="528" t="s">
        <v>14641</v>
      </c>
      <c r="C5117" s="528" t="s">
        <v>14642</v>
      </c>
      <c r="D5117" s="528" t="s">
        <v>251</v>
      </c>
      <c r="E5117" s="528"/>
      <c r="F5117" s="528"/>
      <c r="G5117" s="528" t="s">
        <v>208</v>
      </c>
      <c r="H5117"/>
    </row>
    <row r="5118" spans="1:8" x14ac:dyDescent="0.35">
      <c r="A5118" s="528" t="s">
        <v>14643</v>
      </c>
      <c r="B5118" s="528" t="s">
        <v>14644</v>
      </c>
      <c r="C5118" s="528" t="s">
        <v>14645</v>
      </c>
      <c r="D5118" s="528" t="s">
        <v>264</v>
      </c>
      <c r="E5118" s="528"/>
      <c r="F5118" s="528"/>
      <c r="G5118" s="528" t="s">
        <v>208</v>
      </c>
      <c r="H5118"/>
    </row>
    <row r="5119" spans="1:8" x14ac:dyDescent="0.35">
      <c r="A5119" s="528" t="s">
        <v>14646</v>
      </c>
      <c r="B5119" s="528" t="s">
        <v>14647</v>
      </c>
      <c r="C5119" s="528" t="s">
        <v>14648</v>
      </c>
      <c r="D5119" s="528" t="s">
        <v>264</v>
      </c>
      <c r="E5119" s="528"/>
      <c r="F5119" s="528"/>
      <c r="G5119" s="528" t="s">
        <v>208</v>
      </c>
      <c r="H5119"/>
    </row>
    <row r="5120" spans="1:8" x14ac:dyDescent="0.35">
      <c r="A5120" s="528" t="s">
        <v>14649</v>
      </c>
      <c r="B5120" s="528" t="s">
        <v>14650</v>
      </c>
      <c r="C5120" s="528" t="s">
        <v>14651</v>
      </c>
      <c r="D5120" s="528" t="s">
        <v>264</v>
      </c>
      <c r="E5120" s="528"/>
      <c r="F5120" s="528"/>
      <c r="G5120" s="528" t="s">
        <v>205</v>
      </c>
      <c r="H5120"/>
    </row>
    <row r="5121" spans="1:8" x14ac:dyDescent="0.35">
      <c r="A5121" s="528" t="s">
        <v>14652</v>
      </c>
      <c r="B5121" s="528" t="s">
        <v>14653</v>
      </c>
      <c r="C5121" s="528" t="s">
        <v>14654</v>
      </c>
      <c r="D5121" s="528" t="s">
        <v>264</v>
      </c>
      <c r="E5121" s="528"/>
      <c r="F5121" s="528"/>
      <c r="G5121" s="528" t="s">
        <v>205</v>
      </c>
      <c r="H5121"/>
    </row>
    <row r="5122" spans="1:8" x14ac:dyDescent="0.35">
      <c r="A5122" s="528" t="s">
        <v>14655</v>
      </c>
      <c r="B5122" s="528" t="s">
        <v>14656</v>
      </c>
      <c r="C5122" s="528" t="s">
        <v>14657</v>
      </c>
      <c r="D5122" s="528" t="s">
        <v>264</v>
      </c>
      <c r="E5122" s="528"/>
      <c r="F5122" s="528"/>
      <c r="G5122" s="528" t="s">
        <v>210</v>
      </c>
      <c r="H5122"/>
    </row>
    <row r="5123" spans="1:8" x14ac:dyDescent="0.35">
      <c r="A5123" s="528" t="s">
        <v>14658</v>
      </c>
      <c r="B5123" s="528" t="s">
        <v>14659</v>
      </c>
      <c r="C5123" s="528" t="s">
        <v>14660</v>
      </c>
      <c r="D5123" s="528" t="s">
        <v>264</v>
      </c>
      <c r="E5123" s="528"/>
      <c r="F5123" s="528"/>
      <c r="G5123" s="528" t="s">
        <v>208</v>
      </c>
      <c r="H5123"/>
    </row>
    <row r="5124" spans="1:8" x14ac:dyDescent="0.35">
      <c r="A5124" s="528" t="s">
        <v>14661</v>
      </c>
      <c r="B5124" s="528" t="s">
        <v>14662</v>
      </c>
      <c r="C5124" s="528" t="s">
        <v>14663</v>
      </c>
      <c r="D5124" s="528" t="s">
        <v>277</v>
      </c>
      <c r="E5124" s="528"/>
      <c r="F5124" s="528"/>
      <c r="G5124" s="528" t="s">
        <v>208</v>
      </c>
      <c r="H5124"/>
    </row>
    <row r="5125" spans="1:8" x14ac:dyDescent="0.35">
      <c r="A5125" s="528" t="s">
        <v>14664</v>
      </c>
      <c r="B5125" s="528" t="s">
        <v>14665</v>
      </c>
      <c r="C5125" s="528" t="s">
        <v>14666</v>
      </c>
      <c r="D5125" s="528" t="s">
        <v>277</v>
      </c>
      <c r="E5125" s="528"/>
      <c r="F5125" s="528"/>
      <c r="G5125" s="528" t="s">
        <v>208</v>
      </c>
      <c r="H5125"/>
    </row>
    <row r="5126" spans="1:8" x14ac:dyDescent="0.35">
      <c r="A5126" s="528" t="s">
        <v>14667</v>
      </c>
      <c r="B5126" s="528" t="s">
        <v>14668</v>
      </c>
      <c r="C5126" s="528" t="s">
        <v>14669</v>
      </c>
      <c r="D5126" s="528" t="s">
        <v>277</v>
      </c>
      <c r="E5126" s="528"/>
      <c r="F5126" s="528"/>
      <c r="G5126" s="528" t="s">
        <v>208</v>
      </c>
      <c r="H5126"/>
    </row>
    <row r="5127" spans="1:8" x14ac:dyDescent="0.35">
      <c r="A5127" s="528" t="s">
        <v>14670</v>
      </c>
      <c r="B5127" s="528" t="s">
        <v>14671</v>
      </c>
      <c r="C5127" s="528" t="s">
        <v>14672</v>
      </c>
      <c r="D5127" s="528" t="s">
        <v>264</v>
      </c>
      <c r="E5127" s="528"/>
      <c r="F5127" s="528"/>
      <c r="G5127" s="528" t="s">
        <v>208</v>
      </c>
      <c r="H5127"/>
    </row>
    <row r="5128" spans="1:8" x14ac:dyDescent="0.35">
      <c r="A5128" s="528" t="s">
        <v>14673</v>
      </c>
      <c r="B5128" s="528" t="s">
        <v>14674</v>
      </c>
      <c r="C5128" s="528" t="s">
        <v>14675</v>
      </c>
      <c r="D5128" s="528" t="s">
        <v>277</v>
      </c>
      <c r="E5128" s="528"/>
      <c r="F5128" s="528"/>
      <c r="G5128" s="528" t="s">
        <v>208</v>
      </c>
      <c r="H5128"/>
    </row>
    <row r="5129" spans="1:8" x14ac:dyDescent="0.35">
      <c r="A5129" s="528" t="s">
        <v>14676</v>
      </c>
      <c r="B5129" s="528" t="s">
        <v>14677</v>
      </c>
      <c r="C5129" s="528" t="s">
        <v>14675</v>
      </c>
      <c r="D5129" s="528" t="s">
        <v>225</v>
      </c>
      <c r="E5129" s="528"/>
      <c r="F5129" s="528"/>
      <c r="G5129" s="528" t="s">
        <v>208</v>
      </c>
      <c r="H5129"/>
    </row>
    <row r="5130" spans="1:8" x14ac:dyDescent="0.35">
      <c r="A5130" s="528" t="s">
        <v>14678</v>
      </c>
      <c r="B5130" s="528" t="s">
        <v>14679</v>
      </c>
      <c r="C5130" s="528" t="s">
        <v>14675</v>
      </c>
      <c r="D5130" s="528" t="s">
        <v>225</v>
      </c>
      <c r="E5130" s="528"/>
      <c r="F5130" s="528"/>
      <c r="G5130" s="528" t="s">
        <v>208</v>
      </c>
      <c r="H5130"/>
    </row>
    <row r="5131" spans="1:8" x14ac:dyDescent="0.35">
      <c r="A5131" s="528" t="s">
        <v>14680</v>
      </c>
      <c r="B5131" s="528" t="s">
        <v>14681</v>
      </c>
      <c r="C5131" s="528" t="s">
        <v>14675</v>
      </c>
      <c r="D5131" s="528" t="s">
        <v>225</v>
      </c>
      <c r="E5131" s="528"/>
      <c r="F5131" s="528"/>
      <c r="G5131" s="528" t="s">
        <v>208</v>
      </c>
      <c r="H5131"/>
    </row>
    <row r="5132" spans="1:8" x14ac:dyDescent="0.35">
      <c r="A5132" s="528" t="s">
        <v>14682</v>
      </c>
      <c r="B5132" s="528" t="s">
        <v>14683</v>
      </c>
      <c r="C5132" s="528" t="s">
        <v>14684</v>
      </c>
      <c r="D5132" s="528" t="s">
        <v>264</v>
      </c>
      <c r="E5132" s="528"/>
      <c r="F5132" s="528"/>
      <c r="G5132" s="528" t="s">
        <v>208</v>
      </c>
      <c r="H5132"/>
    </row>
    <row r="5133" spans="1:8" x14ac:dyDescent="0.35">
      <c r="A5133" s="528" t="s">
        <v>14685</v>
      </c>
      <c r="B5133" s="528" t="s">
        <v>14686</v>
      </c>
      <c r="C5133" s="528" t="s">
        <v>14687</v>
      </c>
      <c r="D5133" s="528" t="s">
        <v>225</v>
      </c>
      <c r="E5133" s="528"/>
      <c r="F5133" s="528"/>
      <c r="G5133" s="528" t="s">
        <v>208</v>
      </c>
      <c r="H5133"/>
    </row>
    <row r="5134" spans="1:8" x14ac:dyDescent="0.35">
      <c r="A5134" s="528" t="s">
        <v>14688</v>
      </c>
      <c r="B5134" s="528" t="s">
        <v>14689</v>
      </c>
      <c r="C5134" s="528" t="s">
        <v>14690</v>
      </c>
      <c r="D5134" s="528" t="s">
        <v>264</v>
      </c>
      <c r="E5134" s="528"/>
      <c r="F5134" s="528"/>
      <c r="G5134" s="528" t="s">
        <v>208</v>
      </c>
      <c r="H5134"/>
    </row>
    <row r="5135" spans="1:8" x14ac:dyDescent="0.35">
      <c r="A5135" s="528" t="s">
        <v>14691</v>
      </c>
      <c r="B5135" s="528" t="s">
        <v>14692</v>
      </c>
      <c r="C5135" s="528" t="s">
        <v>14693</v>
      </c>
      <c r="D5135" s="528" t="s">
        <v>264</v>
      </c>
      <c r="E5135" s="528"/>
      <c r="F5135" s="528"/>
      <c r="G5135" s="528" t="s">
        <v>208</v>
      </c>
      <c r="H5135"/>
    </row>
    <row r="5136" spans="1:8" x14ac:dyDescent="0.35">
      <c r="A5136" s="528" t="s">
        <v>14694</v>
      </c>
      <c r="B5136" s="528" t="s">
        <v>14695</v>
      </c>
      <c r="C5136" s="528" t="s">
        <v>14696</v>
      </c>
      <c r="D5136" s="528" t="s">
        <v>264</v>
      </c>
      <c r="E5136" s="528"/>
      <c r="F5136" s="528"/>
      <c r="G5136" s="528" t="s">
        <v>208</v>
      </c>
      <c r="H5136"/>
    </row>
    <row r="5137" spans="1:8" x14ac:dyDescent="0.35">
      <c r="A5137" s="528" t="s">
        <v>14697</v>
      </c>
      <c r="B5137" s="528" t="s">
        <v>14698</v>
      </c>
      <c r="C5137" s="528" t="s">
        <v>14699</v>
      </c>
      <c r="D5137" s="528" t="s">
        <v>251</v>
      </c>
      <c r="E5137" s="528"/>
      <c r="F5137" s="528"/>
      <c r="G5137" s="528" t="s">
        <v>208</v>
      </c>
      <c r="H5137"/>
    </row>
    <row r="5138" spans="1:8" x14ac:dyDescent="0.35">
      <c r="A5138" s="528" t="s">
        <v>14700</v>
      </c>
      <c r="B5138" s="528" t="s">
        <v>14701</v>
      </c>
      <c r="C5138" s="528" t="s">
        <v>14702</v>
      </c>
      <c r="D5138" s="528" t="s">
        <v>251</v>
      </c>
      <c r="E5138" s="528"/>
      <c r="F5138" s="528"/>
      <c r="G5138" s="528" t="s">
        <v>208</v>
      </c>
      <c r="H5138"/>
    </row>
    <row r="5139" spans="1:8" x14ac:dyDescent="0.35">
      <c r="A5139" s="528" t="s">
        <v>14703</v>
      </c>
      <c r="B5139" s="528" t="s">
        <v>14704</v>
      </c>
      <c r="C5139" s="528" t="s">
        <v>14705</v>
      </c>
      <c r="D5139" s="528" t="s">
        <v>277</v>
      </c>
      <c r="E5139" s="528"/>
      <c r="F5139" s="528"/>
      <c r="G5139" s="528" t="s">
        <v>208</v>
      </c>
      <c r="H5139"/>
    </row>
    <row r="5140" spans="1:8" x14ac:dyDescent="0.35">
      <c r="A5140" s="528" t="s">
        <v>14706</v>
      </c>
      <c r="B5140" s="528" t="s">
        <v>14707</v>
      </c>
      <c r="C5140" s="528" t="s">
        <v>14708</v>
      </c>
      <c r="D5140" s="528" t="s">
        <v>277</v>
      </c>
      <c r="E5140" s="528"/>
      <c r="F5140" s="528"/>
      <c r="G5140" s="528" t="s">
        <v>212</v>
      </c>
      <c r="H5140"/>
    </row>
    <row r="5141" spans="1:8" x14ac:dyDescent="0.35">
      <c r="A5141" s="528" t="s">
        <v>14709</v>
      </c>
      <c r="B5141" s="528" t="s">
        <v>14710</v>
      </c>
      <c r="C5141" s="528" t="s">
        <v>14711</v>
      </c>
      <c r="D5141" s="528" t="s">
        <v>225</v>
      </c>
      <c r="E5141" s="528"/>
      <c r="F5141" s="528"/>
      <c r="G5141" s="528" t="s">
        <v>205</v>
      </c>
      <c r="H5141"/>
    </row>
    <row r="5142" spans="1:8" x14ac:dyDescent="0.35">
      <c r="A5142" s="528" t="s">
        <v>14712</v>
      </c>
      <c r="B5142" s="528" t="s">
        <v>14713</v>
      </c>
      <c r="C5142" s="528" t="s">
        <v>14714</v>
      </c>
      <c r="D5142" s="528" t="s">
        <v>225</v>
      </c>
      <c r="E5142" s="528"/>
      <c r="F5142" s="528"/>
      <c r="G5142" s="528" t="s">
        <v>205</v>
      </c>
      <c r="H5142"/>
    </row>
    <row r="5143" spans="1:8" x14ac:dyDescent="0.35">
      <c r="A5143" s="528" t="s">
        <v>14715</v>
      </c>
      <c r="B5143" s="528" t="s">
        <v>14716</v>
      </c>
      <c r="C5143" s="528" t="s">
        <v>14717</v>
      </c>
      <c r="D5143" s="528" t="s">
        <v>277</v>
      </c>
      <c r="E5143" s="528"/>
      <c r="F5143" s="528"/>
      <c r="G5143" s="528" t="s">
        <v>205</v>
      </c>
      <c r="H5143"/>
    </row>
    <row r="5144" spans="1:8" x14ac:dyDescent="0.35">
      <c r="A5144" s="528" t="s">
        <v>14718</v>
      </c>
      <c r="B5144" s="528" t="s">
        <v>14719</v>
      </c>
      <c r="C5144" s="528" t="s">
        <v>14720</v>
      </c>
      <c r="D5144" s="528" t="s">
        <v>277</v>
      </c>
      <c r="E5144" s="528"/>
      <c r="F5144" s="528"/>
      <c r="G5144" s="528" t="s">
        <v>205</v>
      </c>
      <c r="H5144"/>
    </row>
    <row r="5145" spans="1:8" x14ac:dyDescent="0.35">
      <c r="A5145" s="528" t="s">
        <v>14721</v>
      </c>
      <c r="B5145" s="528" t="s">
        <v>14722</v>
      </c>
      <c r="C5145" s="528" t="s">
        <v>14723</v>
      </c>
      <c r="D5145" s="528" t="s">
        <v>277</v>
      </c>
      <c r="E5145" s="528"/>
      <c r="F5145" s="528"/>
      <c r="G5145" s="528" t="s">
        <v>205</v>
      </c>
      <c r="H5145"/>
    </row>
    <row r="5146" spans="1:8" x14ac:dyDescent="0.35">
      <c r="A5146" s="528" t="s">
        <v>14724</v>
      </c>
      <c r="B5146" s="528" t="s">
        <v>14725</v>
      </c>
      <c r="C5146" s="528" t="s">
        <v>14726</v>
      </c>
      <c r="D5146" s="528" t="s">
        <v>277</v>
      </c>
      <c r="E5146" s="528"/>
      <c r="F5146" s="528"/>
      <c r="G5146" s="528" t="s">
        <v>208</v>
      </c>
      <c r="H5146"/>
    </row>
    <row r="5147" spans="1:8" x14ac:dyDescent="0.35">
      <c r="A5147" s="528" t="s">
        <v>14727</v>
      </c>
      <c r="B5147" s="528" t="s">
        <v>14728</v>
      </c>
      <c r="C5147" s="528" t="s">
        <v>14729</v>
      </c>
      <c r="D5147" s="528" t="s">
        <v>251</v>
      </c>
      <c r="E5147" s="528"/>
      <c r="F5147" s="528"/>
      <c r="G5147" s="528" t="s">
        <v>205</v>
      </c>
      <c r="H5147"/>
    </row>
    <row r="5148" spans="1:8" x14ac:dyDescent="0.35">
      <c r="A5148" s="528" t="s">
        <v>14730</v>
      </c>
      <c r="B5148" s="528" t="s">
        <v>14731</v>
      </c>
      <c r="C5148" s="528" t="s">
        <v>14732</v>
      </c>
      <c r="D5148" s="528" t="s">
        <v>251</v>
      </c>
      <c r="E5148" s="528"/>
      <c r="F5148" s="528"/>
      <c r="G5148" s="528" t="s">
        <v>208</v>
      </c>
      <c r="H5148"/>
    </row>
    <row r="5149" spans="1:8" x14ac:dyDescent="0.35">
      <c r="A5149" s="528" t="s">
        <v>14733</v>
      </c>
      <c r="B5149" s="528" t="s">
        <v>14734</v>
      </c>
      <c r="C5149" s="528" t="s">
        <v>14735</v>
      </c>
      <c r="D5149" s="528" t="s">
        <v>238</v>
      </c>
      <c r="E5149" s="528"/>
      <c r="F5149" s="528"/>
      <c r="G5149" s="528" t="s">
        <v>205</v>
      </c>
      <c r="H5149"/>
    </row>
    <row r="5150" spans="1:8" x14ac:dyDescent="0.35">
      <c r="A5150" s="528" t="s">
        <v>14736</v>
      </c>
      <c r="B5150" s="528" t="s">
        <v>14737</v>
      </c>
      <c r="C5150" s="528" t="s">
        <v>14738</v>
      </c>
      <c r="D5150" s="528" t="s">
        <v>238</v>
      </c>
      <c r="E5150" s="528"/>
      <c r="F5150" s="528"/>
      <c r="G5150" s="528" t="s">
        <v>208</v>
      </c>
      <c r="H5150"/>
    </row>
    <row r="5151" spans="1:8" x14ac:dyDescent="0.35">
      <c r="A5151" s="528" t="s">
        <v>14739</v>
      </c>
      <c r="B5151" s="528" t="s">
        <v>14740</v>
      </c>
      <c r="C5151" s="528" t="s">
        <v>14741</v>
      </c>
      <c r="D5151" s="528" t="s">
        <v>277</v>
      </c>
      <c r="E5151" s="528"/>
      <c r="F5151" s="528"/>
      <c r="G5151" s="528" t="s">
        <v>208</v>
      </c>
      <c r="H5151"/>
    </row>
    <row r="5152" spans="1:8" x14ac:dyDescent="0.35">
      <c r="A5152" s="528" t="s">
        <v>14742</v>
      </c>
      <c r="B5152" s="528" t="s">
        <v>14743</v>
      </c>
      <c r="C5152" s="528" t="s">
        <v>14744</v>
      </c>
      <c r="D5152" s="528" t="s">
        <v>277</v>
      </c>
      <c r="E5152" s="528"/>
      <c r="F5152" s="528"/>
      <c r="G5152" s="528" t="s">
        <v>208</v>
      </c>
      <c r="H5152"/>
    </row>
    <row r="5153" spans="1:8" x14ac:dyDescent="0.35">
      <c r="A5153" s="528" t="s">
        <v>14745</v>
      </c>
      <c r="B5153" s="528" t="s">
        <v>14746</v>
      </c>
      <c r="C5153" s="528" t="s">
        <v>14747</v>
      </c>
      <c r="D5153" s="528" t="s">
        <v>225</v>
      </c>
      <c r="E5153" s="528"/>
      <c r="F5153" s="528"/>
      <c r="G5153" s="528" t="s">
        <v>205</v>
      </c>
      <c r="H5153"/>
    </row>
    <row r="5154" spans="1:8" x14ac:dyDescent="0.35">
      <c r="A5154" s="528" t="s">
        <v>14748</v>
      </c>
      <c r="B5154" s="528" t="s">
        <v>14749</v>
      </c>
      <c r="C5154" s="528" t="s">
        <v>14750</v>
      </c>
      <c r="D5154" s="528" t="s">
        <v>225</v>
      </c>
      <c r="E5154" s="528"/>
      <c r="F5154" s="528"/>
      <c r="G5154" s="528" t="s">
        <v>208</v>
      </c>
      <c r="H5154"/>
    </row>
    <row r="5155" spans="1:8" x14ac:dyDescent="0.35">
      <c r="A5155" s="528" t="s">
        <v>14751</v>
      </c>
      <c r="B5155" s="528" t="s">
        <v>14752</v>
      </c>
      <c r="C5155" s="528" t="s">
        <v>14753</v>
      </c>
      <c r="D5155" s="528" t="s">
        <v>238</v>
      </c>
      <c r="E5155" s="528"/>
      <c r="F5155" s="528"/>
      <c r="G5155" s="528" t="s">
        <v>205</v>
      </c>
      <c r="H5155"/>
    </row>
    <row r="5156" spans="1:8" x14ac:dyDescent="0.35">
      <c r="A5156" s="528" t="s">
        <v>14754</v>
      </c>
      <c r="B5156" s="528" t="s">
        <v>14755</v>
      </c>
      <c r="C5156" s="528" t="s">
        <v>14756</v>
      </c>
      <c r="D5156" s="528" t="s">
        <v>238</v>
      </c>
      <c r="E5156" s="528"/>
      <c r="F5156" s="528"/>
      <c r="G5156" s="528" t="s">
        <v>208</v>
      </c>
      <c r="H5156"/>
    </row>
    <row r="5157" spans="1:8" x14ac:dyDescent="0.35">
      <c r="A5157" s="528" t="s">
        <v>14757</v>
      </c>
      <c r="B5157" s="528" t="s">
        <v>14758</v>
      </c>
      <c r="C5157" s="528" t="s">
        <v>14759</v>
      </c>
      <c r="D5157" s="528" t="s">
        <v>264</v>
      </c>
      <c r="E5157" s="528"/>
      <c r="F5157" s="528"/>
      <c r="G5157" s="528" t="s">
        <v>205</v>
      </c>
      <c r="H5157"/>
    </row>
    <row r="5158" spans="1:8" x14ac:dyDescent="0.35">
      <c r="A5158" s="528" t="s">
        <v>14760</v>
      </c>
      <c r="B5158" s="528" t="s">
        <v>14761</v>
      </c>
      <c r="C5158" s="528" t="s">
        <v>14762</v>
      </c>
      <c r="D5158" s="528" t="s">
        <v>264</v>
      </c>
      <c r="E5158" s="528"/>
      <c r="F5158" s="528"/>
      <c r="G5158" s="528" t="s">
        <v>208</v>
      </c>
      <c r="H5158"/>
    </row>
    <row r="5159" spans="1:8" x14ac:dyDescent="0.35">
      <c r="A5159" s="528" t="s">
        <v>14763</v>
      </c>
      <c r="B5159" s="528" t="s">
        <v>14764</v>
      </c>
      <c r="C5159" s="528" t="s">
        <v>14765</v>
      </c>
      <c r="D5159" s="528" t="s">
        <v>238</v>
      </c>
      <c r="E5159" s="528"/>
      <c r="F5159" s="528"/>
      <c r="G5159" s="528" t="s">
        <v>208</v>
      </c>
      <c r="H5159"/>
    </row>
    <row r="5160" spans="1:8" x14ac:dyDescent="0.35">
      <c r="A5160" s="528" t="s">
        <v>14766</v>
      </c>
      <c r="B5160" s="528" t="s">
        <v>14767</v>
      </c>
      <c r="C5160" s="528" t="s">
        <v>14768</v>
      </c>
      <c r="D5160" s="528" t="s">
        <v>277</v>
      </c>
      <c r="E5160" s="528"/>
      <c r="F5160" s="528"/>
      <c r="G5160" s="528" t="s">
        <v>208</v>
      </c>
      <c r="H5160"/>
    </row>
    <row r="5161" spans="1:8" x14ac:dyDescent="0.35">
      <c r="A5161" s="528" t="s">
        <v>14769</v>
      </c>
      <c r="B5161" s="528" t="s">
        <v>14770</v>
      </c>
      <c r="C5161" s="528" t="s">
        <v>14771</v>
      </c>
      <c r="D5161" s="528" t="s">
        <v>277</v>
      </c>
      <c r="E5161" s="528"/>
      <c r="F5161" s="528"/>
      <c r="G5161" s="528" t="s">
        <v>208</v>
      </c>
      <c r="H5161"/>
    </row>
    <row r="5162" spans="1:8" x14ac:dyDescent="0.35">
      <c r="A5162" s="528" t="s">
        <v>14772</v>
      </c>
      <c r="B5162" s="528" t="s">
        <v>14773</v>
      </c>
      <c r="C5162" s="528" t="s">
        <v>14774</v>
      </c>
      <c r="D5162" s="528" t="s">
        <v>277</v>
      </c>
      <c r="E5162" s="528"/>
      <c r="F5162" s="528"/>
      <c r="G5162" s="528" t="s">
        <v>205</v>
      </c>
      <c r="H5162"/>
    </row>
    <row r="5163" spans="1:8" x14ac:dyDescent="0.35">
      <c r="A5163" s="528" t="s">
        <v>14775</v>
      </c>
      <c r="B5163" s="528" t="s">
        <v>14776</v>
      </c>
      <c r="C5163" s="528" t="s">
        <v>14777</v>
      </c>
      <c r="D5163" s="528" t="s">
        <v>238</v>
      </c>
      <c r="E5163" s="528"/>
      <c r="F5163" s="528"/>
      <c r="G5163" s="528" t="s">
        <v>208</v>
      </c>
      <c r="H5163"/>
    </row>
    <row r="5164" spans="1:8" x14ac:dyDescent="0.35">
      <c r="A5164" s="528" t="s">
        <v>14778</v>
      </c>
      <c r="B5164" s="528" t="s">
        <v>14779</v>
      </c>
      <c r="C5164" s="528" t="s">
        <v>14780</v>
      </c>
      <c r="D5164" s="528" t="s">
        <v>238</v>
      </c>
      <c r="E5164" s="528"/>
      <c r="F5164" s="528"/>
      <c r="G5164" s="528" t="s">
        <v>205</v>
      </c>
      <c r="H5164"/>
    </row>
    <row r="5165" spans="1:8" x14ac:dyDescent="0.35">
      <c r="A5165" s="528" t="s">
        <v>14781</v>
      </c>
      <c r="B5165" s="528" t="s">
        <v>14782</v>
      </c>
      <c r="C5165" s="528" t="s">
        <v>14783</v>
      </c>
      <c r="D5165" s="528" t="s">
        <v>225</v>
      </c>
      <c r="E5165" s="528"/>
      <c r="F5165" s="528"/>
      <c r="G5165" s="528" t="s">
        <v>205</v>
      </c>
      <c r="H5165"/>
    </row>
    <row r="5166" spans="1:8" x14ac:dyDescent="0.35">
      <c r="A5166" s="528" t="s">
        <v>14784</v>
      </c>
      <c r="B5166" s="528" t="s">
        <v>14785</v>
      </c>
      <c r="C5166" s="528" t="s">
        <v>14786</v>
      </c>
      <c r="D5166" s="528" t="s">
        <v>264</v>
      </c>
      <c r="E5166" s="528"/>
      <c r="F5166" s="528"/>
      <c r="G5166" s="528" t="s">
        <v>208</v>
      </c>
      <c r="H5166"/>
    </row>
    <row r="5167" spans="1:8" x14ac:dyDescent="0.35">
      <c r="A5167" s="528" t="s">
        <v>14787</v>
      </c>
      <c r="B5167" s="528" t="s">
        <v>14788</v>
      </c>
      <c r="C5167" s="528" t="s">
        <v>14789</v>
      </c>
      <c r="D5167" s="528" t="s">
        <v>264</v>
      </c>
      <c r="E5167" s="528"/>
      <c r="F5167" s="528"/>
      <c r="G5167" s="528" t="s">
        <v>210</v>
      </c>
      <c r="H5167"/>
    </row>
    <row r="5168" spans="1:8" x14ac:dyDescent="0.35">
      <c r="A5168" s="528" t="s">
        <v>14790</v>
      </c>
      <c r="B5168" s="528" t="s">
        <v>14791</v>
      </c>
      <c r="C5168" s="528" t="s">
        <v>14792</v>
      </c>
      <c r="D5168" s="528" t="s">
        <v>277</v>
      </c>
      <c r="E5168" s="528"/>
      <c r="F5168" s="528"/>
      <c r="G5168" s="528" t="s">
        <v>205</v>
      </c>
      <c r="H5168"/>
    </row>
    <row r="5169" spans="1:8" x14ac:dyDescent="0.35">
      <c r="A5169" s="528" t="s">
        <v>14793</v>
      </c>
      <c r="B5169" s="528" t="s">
        <v>14794</v>
      </c>
      <c r="C5169" s="528" t="s">
        <v>14795</v>
      </c>
      <c r="D5169" s="528" t="s">
        <v>264</v>
      </c>
      <c r="E5169" s="528"/>
      <c r="F5169" s="528"/>
      <c r="G5169" s="528" t="s">
        <v>205</v>
      </c>
      <c r="H5169"/>
    </row>
    <row r="5170" spans="1:8" x14ac:dyDescent="0.35">
      <c r="A5170" s="528" t="s">
        <v>14796</v>
      </c>
      <c r="B5170" s="528" t="s">
        <v>14797</v>
      </c>
      <c r="C5170" s="528" t="s">
        <v>14798</v>
      </c>
      <c r="D5170" s="528" t="s">
        <v>264</v>
      </c>
      <c r="E5170" s="528"/>
      <c r="F5170" s="528"/>
      <c r="G5170" s="528" t="s">
        <v>205</v>
      </c>
      <c r="H5170"/>
    </row>
    <row r="5171" spans="1:8" x14ac:dyDescent="0.35">
      <c r="A5171" s="528" t="s">
        <v>14799</v>
      </c>
      <c r="B5171" s="528" t="s">
        <v>14800</v>
      </c>
      <c r="C5171" s="528" t="s">
        <v>14801</v>
      </c>
      <c r="D5171" s="528" t="s">
        <v>225</v>
      </c>
      <c r="E5171" s="528"/>
      <c r="F5171" s="528"/>
      <c r="G5171" s="528" t="s">
        <v>205</v>
      </c>
      <c r="H5171"/>
    </row>
    <row r="5172" spans="1:8" x14ac:dyDescent="0.35">
      <c r="A5172" s="528" t="s">
        <v>14802</v>
      </c>
      <c r="B5172" s="528" t="s">
        <v>14803</v>
      </c>
      <c r="C5172" s="528" t="s">
        <v>14804</v>
      </c>
      <c r="D5172" s="528" t="s">
        <v>225</v>
      </c>
      <c r="E5172" s="528"/>
      <c r="F5172" s="528"/>
      <c r="G5172" s="528" t="s">
        <v>205</v>
      </c>
      <c r="H5172"/>
    </row>
    <row r="5173" spans="1:8" x14ac:dyDescent="0.35">
      <c r="A5173" s="528" t="s">
        <v>14805</v>
      </c>
      <c r="B5173" s="528" t="s">
        <v>14806</v>
      </c>
      <c r="C5173" s="528" t="s">
        <v>14807</v>
      </c>
      <c r="D5173" s="528" t="s">
        <v>225</v>
      </c>
      <c r="E5173" s="528"/>
      <c r="F5173" s="528"/>
      <c r="G5173" s="528" t="s">
        <v>205</v>
      </c>
      <c r="H5173"/>
    </row>
    <row r="5174" spans="1:8" x14ac:dyDescent="0.35">
      <c r="A5174" s="528" t="s">
        <v>14808</v>
      </c>
      <c r="B5174" s="528" t="s">
        <v>14809</v>
      </c>
      <c r="C5174" s="528" t="s">
        <v>14810</v>
      </c>
      <c r="D5174" s="528" t="s">
        <v>225</v>
      </c>
      <c r="E5174" s="528"/>
      <c r="F5174" s="528"/>
      <c r="G5174" s="528" t="s">
        <v>205</v>
      </c>
      <c r="H5174"/>
    </row>
    <row r="5175" spans="1:8" x14ac:dyDescent="0.35">
      <c r="A5175" s="528" t="s">
        <v>14811</v>
      </c>
      <c r="B5175" s="528" t="s">
        <v>14812</v>
      </c>
      <c r="C5175" s="528" t="s">
        <v>14813</v>
      </c>
      <c r="D5175" s="528" t="s">
        <v>225</v>
      </c>
      <c r="E5175" s="528"/>
      <c r="F5175" s="528"/>
      <c r="G5175" s="528" t="s">
        <v>205</v>
      </c>
      <c r="H5175"/>
    </row>
    <row r="5176" spans="1:8" x14ac:dyDescent="0.35">
      <c r="A5176" s="528" t="s">
        <v>14814</v>
      </c>
      <c r="B5176" s="528" t="s">
        <v>14815</v>
      </c>
      <c r="C5176" s="528" t="s">
        <v>14816</v>
      </c>
      <c r="D5176" s="528" t="s">
        <v>225</v>
      </c>
      <c r="E5176" s="528"/>
      <c r="F5176" s="528"/>
      <c r="G5176" s="528" t="s">
        <v>205</v>
      </c>
      <c r="H5176"/>
    </row>
    <row r="5177" spans="1:8" x14ac:dyDescent="0.35">
      <c r="A5177" s="528" t="s">
        <v>14817</v>
      </c>
      <c r="B5177" s="528" t="s">
        <v>14818</v>
      </c>
      <c r="C5177" s="528" t="s">
        <v>14819</v>
      </c>
      <c r="D5177" s="528" t="s">
        <v>225</v>
      </c>
      <c r="E5177" s="528"/>
      <c r="F5177" s="528"/>
      <c r="G5177" s="528" t="s">
        <v>208</v>
      </c>
      <c r="H5177"/>
    </row>
    <row r="5178" spans="1:8" x14ac:dyDescent="0.35">
      <c r="A5178" s="528" t="s">
        <v>14820</v>
      </c>
      <c r="B5178" s="528" t="s">
        <v>14821</v>
      </c>
      <c r="C5178" s="528" t="s">
        <v>14822</v>
      </c>
      <c r="D5178" s="528" t="s">
        <v>225</v>
      </c>
      <c r="E5178" s="528"/>
      <c r="F5178" s="528"/>
      <c r="G5178" s="528" t="s">
        <v>208</v>
      </c>
      <c r="H5178"/>
    </row>
    <row r="5179" spans="1:8" x14ac:dyDescent="0.35">
      <c r="A5179" s="528" t="s">
        <v>14823</v>
      </c>
      <c r="B5179" s="528" t="s">
        <v>14824</v>
      </c>
      <c r="C5179" s="528" t="s">
        <v>14825</v>
      </c>
      <c r="D5179" s="528" t="s">
        <v>225</v>
      </c>
      <c r="E5179" s="528"/>
      <c r="F5179" s="528"/>
      <c r="G5179" s="528" t="s">
        <v>208</v>
      </c>
      <c r="H5179"/>
    </row>
    <row r="5180" spans="1:8" x14ac:dyDescent="0.35">
      <c r="A5180" s="528" t="s">
        <v>14826</v>
      </c>
      <c r="B5180" s="528" t="s">
        <v>14827</v>
      </c>
      <c r="C5180" s="528" t="s">
        <v>14828</v>
      </c>
      <c r="D5180" s="528" t="s">
        <v>225</v>
      </c>
      <c r="E5180" s="528"/>
      <c r="F5180" s="528"/>
      <c r="G5180" s="528" t="s">
        <v>208</v>
      </c>
      <c r="H5180"/>
    </row>
    <row r="5181" spans="1:8" x14ac:dyDescent="0.35">
      <c r="A5181" s="528" t="s">
        <v>14829</v>
      </c>
      <c r="B5181" s="528" t="s">
        <v>14830</v>
      </c>
      <c r="C5181" s="528" t="s">
        <v>14831</v>
      </c>
      <c r="D5181" s="528" t="s">
        <v>225</v>
      </c>
      <c r="E5181" s="528"/>
      <c r="F5181" s="528"/>
      <c r="G5181" s="528" t="s">
        <v>208</v>
      </c>
      <c r="H5181"/>
    </row>
    <row r="5182" spans="1:8" x14ac:dyDescent="0.35">
      <c r="A5182" s="528" t="s">
        <v>14832</v>
      </c>
      <c r="B5182" s="528" t="s">
        <v>14833</v>
      </c>
      <c r="C5182" s="528" t="s">
        <v>14834</v>
      </c>
      <c r="D5182" s="528" t="s">
        <v>225</v>
      </c>
      <c r="E5182" s="528"/>
      <c r="F5182" s="528"/>
      <c r="G5182" s="528" t="s">
        <v>208</v>
      </c>
      <c r="H5182"/>
    </row>
    <row r="5183" spans="1:8" x14ac:dyDescent="0.35">
      <c r="A5183" s="528" t="s">
        <v>14835</v>
      </c>
      <c r="B5183" s="528" t="s">
        <v>14836</v>
      </c>
      <c r="C5183" s="528" t="s">
        <v>14837</v>
      </c>
      <c r="D5183" s="528" t="s">
        <v>264</v>
      </c>
      <c r="E5183" s="528"/>
      <c r="F5183" s="528"/>
      <c r="G5183" s="528" t="s">
        <v>205</v>
      </c>
      <c r="H5183"/>
    </row>
    <row r="5184" spans="1:8" x14ac:dyDescent="0.35">
      <c r="A5184" s="528" t="s">
        <v>14838</v>
      </c>
      <c r="B5184" s="528" t="s">
        <v>14839</v>
      </c>
      <c r="C5184" s="528" t="s">
        <v>14840</v>
      </c>
      <c r="D5184" s="528" t="s">
        <v>225</v>
      </c>
      <c r="E5184" s="528"/>
      <c r="F5184" s="528"/>
      <c r="G5184" s="528" t="s">
        <v>208</v>
      </c>
      <c r="H5184"/>
    </row>
    <row r="5185" spans="1:8" x14ac:dyDescent="0.35">
      <c r="A5185" s="528" t="s">
        <v>14841</v>
      </c>
      <c r="B5185" s="528" t="s">
        <v>14842</v>
      </c>
      <c r="C5185" s="528" t="s">
        <v>14843</v>
      </c>
      <c r="D5185" s="528" t="s">
        <v>264</v>
      </c>
      <c r="E5185" s="528"/>
      <c r="F5185" s="528"/>
      <c r="G5185" s="528" t="s">
        <v>208</v>
      </c>
      <c r="H5185"/>
    </row>
    <row r="5186" spans="1:8" x14ac:dyDescent="0.35">
      <c r="A5186" s="528" t="s">
        <v>14844</v>
      </c>
      <c r="B5186" s="528" t="s">
        <v>14845</v>
      </c>
      <c r="C5186" s="528" t="s">
        <v>14846</v>
      </c>
      <c r="D5186" s="528" t="s">
        <v>251</v>
      </c>
      <c r="E5186" s="528"/>
      <c r="F5186" s="528"/>
      <c r="G5186" s="528" t="s">
        <v>205</v>
      </c>
      <c r="H5186"/>
    </row>
    <row r="5187" spans="1:8" x14ac:dyDescent="0.35">
      <c r="A5187" s="528" t="s">
        <v>14847</v>
      </c>
      <c r="B5187" s="528" t="s">
        <v>14848</v>
      </c>
      <c r="C5187" s="528" t="s">
        <v>14849</v>
      </c>
      <c r="D5187" s="528" t="s">
        <v>238</v>
      </c>
      <c r="E5187" s="528"/>
      <c r="F5187" s="528"/>
      <c r="G5187" s="528" t="s">
        <v>208</v>
      </c>
      <c r="H5187"/>
    </row>
    <row r="5188" spans="1:8" x14ac:dyDescent="0.35">
      <c r="A5188" s="528" t="s">
        <v>14850</v>
      </c>
      <c r="B5188" s="528" t="s">
        <v>14851</v>
      </c>
      <c r="C5188" s="528" t="s">
        <v>14852</v>
      </c>
      <c r="D5188" s="528" t="s">
        <v>225</v>
      </c>
      <c r="E5188" s="528"/>
      <c r="F5188" s="528"/>
      <c r="G5188" s="528" t="s">
        <v>208</v>
      </c>
      <c r="H5188"/>
    </row>
    <row r="5189" spans="1:8" x14ac:dyDescent="0.35">
      <c r="A5189" s="528" t="s">
        <v>14853</v>
      </c>
      <c r="B5189" s="528" t="s">
        <v>14854</v>
      </c>
      <c r="C5189" s="528" t="s">
        <v>14855</v>
      </c>
      <c r="D5189" s="528" t="s">
        <v>225</v>
      </c>
      <c r="E5189" s="528"/>
      <c r="F5189" s="528"/>
      <c r="G5189" s="528" t="s">
        <v>208</v>
      </c>
      <c r="H5189"/>
    </row>
    <row r="5190" spans="1:8" x14ac:dyDescent="0.35">
      <c r="A5190" s="528" t="s">
        <v>14856</v>
      </c>
      <c r="B5190" s="528" t="s">
        <v>14857</v>
      </c>
      <c r="C5190" s="528" t="s">
        <v>14858</v>
      </c>
      <c r="D5190" s="528" t="s">
        <v>277</v>
      </c>
      <c r="E5190" s="528"/>
      <c r="F5190" s="528"/>
      <c r="G5190" s="528" t="s">
        <v>205</v>
      </c>
      <c r="H5190"/>
    </row>
    <row r="5191" spans="1:8" x14ac:dyDescent="0.35">
      <c r="A5191" s="528" t="s">
        <v>14859</v>
      </c>
      <c r="B5191" s="528" t="s">
        <v>14860</v>
      </c>
      <c r="C5191" s="528" t="s">
        <v>14726</v>
      </c>
      <c r="D5191" s="528" t="s">
        <v>277</v>
      </c>
      <c r="E5191" s="528"/>
      <c r="F5191" s="528"/>
      <c r="G5191" s="528" t="s">
        <v>208</v>
      </c>
      <c r="H5191"/>
    </row>
    <row r="5192" spans="1:8" x14ac:dyDescent="0.35">
      <c r="A5192" s="528" t="s">
        <v>14861</v>
      </c>
      <c r="B5192" s="528" t="s">
        <v>14862</v>
      </c>
      <c r="C5192" s="528" t="s">
        <v>14729</v>
      </c>
      <c r="D5192" s="528" t="s">
        <v>251</v>
      </c>
      <c r="E5192" s="528"/>
      <c r="F5192" s="528"/>
      <c r="G5192" s="528" t="s">
        <v>205</v>
      </c>
      <c r="H5192"/>
    </row>
    <row r="5193" spans="1:8" x14ac:dyDescent="0.35">
      <c r="A5193" s="528" t="s">
        <v>14863</v>
      </c>
      <c r="B5193" s="528" t="s">
        <v>14864</v>
      </c>
      <c r="C5193" s="528" t="s">
        <v>14865</v>
      </c>
      <c r="D5193" s="528" t="s">
        <v>251</v>
      </c>
      <c r="E5193" s="528"/>
      <c r="F5193" s="528"/>
      <c r="G5193" s="528" t="s">
        <v>208</v>
      </c>
      <c r="H5193"/>
    </row>
    <row r="5194" spans="1:8" x14ac:dyDescent="0.35">
      <c r="A5194" s="528" t="s">
        <v>14866</v>
      </c>
      <c r="B5194" s="528" t="s">
        <v>14867</v>
      </c>
      <c r="C5194" s="528" t="s">
        <v>14868</v>
      </c>
      <c r="D5194" s="528" t="s">
        <v>264</v>
      </c>
      <c r="E5194" s="528"/>
      <c r="F5194" s="528"/>
      <c r="G5194" s="528" t="s">
        <v>205</v>
      </c>
      <c r="H5194"/>
    </row>
    <row r="5195" spans="1:8" x14ac:dyDescent="0.35">
      <c r="A5195" s="528" t="s">
        <v>14869</v>
      </c>
      <c r="B5195" s="528" t="s">
        <v>14870</v>
      </c>
      <c r="C5195" s="528" t="s">
        <v>14871</v>
      </c>
      <c r="D5195" s="528" t="s">
        <v>225</v>
      </c>
      <c r="E5195" s="528"/>
      <c r="F5195" s="528"/>
      <c r="G5195" s="528" t="s">
        <v>212</v>
      </c>
      <c r="H5195"/>
    </row>
    <row r="5196" spans="1:8" x14ac:dyDescent="0.35">
      <c r="A5196" s="528" t="s">
        <v>14872</v>
      </c>
      <c r="B5196" s="528" t="s">
        <v>14873</v>
      </c>
      <c r="C5196" s="528" t="s">
        <v>14874</v>
      </c>
      <c r="D5196" s="528" t="s">
        <v>251</v>
      </c>
      <c r="E5196" s="528"/>
      <c r="F5196" s="528"/>
      <c r="G5196" s="528" t="s">
        <v>205</v>
      </c>
      <c r="H5196"/>
    </row>
    <row r="5197" spans="1:8" x14ac:dyDescent="0.35">
      <c r="A5197" s="528" t="s">
        <v>14875</v>
      </c>
      <c r="B5197" s="528" t="s">
        <v>14876</v>
      </c>
      <c r="C5197" s="528" t="s">
        <v>14877</v>
      </c>
      <c r="D5197" s="528" t="s">
        <v>277</v>
      </c>
      <c r="E5197" s="528"/>
      <c r="F5197" s="528"/>
      <c r="G5197" s="528" t="s">
        <v>205</v>
      </c>
      <c r="H5197"/>
    </row>
    <row r="5198" spans="1:8" x14ac:dyDescent="0.35">
      <c r="A5198" s="528" t="s">
        <v>14878</v>
      </c>
      <c r="B5198" s="528" t="s">
        <v>14879</v>
      </c>
      <c r="C5198" s="528" t="s">
        <v>14880</v>
      </c>
      <c r="D5198" s="528" t="s">
        <v>277</v>
      </c>
      <c r="E5198" s="528"/>
      <c r="F5198" s="528"/>
      <c r="G5198" s="528" t="s">
        <v>205</v>
      </c>
      <c r="H5198"/>
    </row>
    <row r="5199" spans="1:8" x14ac:dyDescent="0.35">
      <c r="A5199" s="528" t="s">
        <v>14881</v>
      </c>
      <c r="B5199" s="528" t="s">
        <v>14882</v>
      </c>
      <c r="C5199" s="528" t="s">
        <v>14883</v>
      </c>
      <c r="D5199" s="528" t="s">
        <v>277</v>
      </c>
      <c r="E5199" s="528"/>
      <c r="F5199" s="528"/>
      <c r="G5199" s="528" t="s">
        <v>205</v>
      </c>
      <c r="H5199"/>
    </row>
    <row r="5200" spans="1:8" x14ac:dyDescent="0.35">
      <c r="A5200" s="528" t="s">
        <v>14884</v>
      </c>
      <c r="B5200" s="528" t="s">
        <v>14885</v>
      </c>
      <c r="C5200" s="528" t="s">
        <v>14886</v>
      </c>
      <c r="D5200" s="528" t="s">
        <v>264</v>
      </c>
      <c r="E5200" s="528"/>
      <c r="F5200" s="528"/>
      <c r="G5200" s="528" t="s">
        <v>205</v>
      </c>
      <c r="H5200"/>
    </row>
    <row r="5201" spans="1:8" x14ac:dyDescent="0.35">
      <c r="A5201" s="528" t="s">
        <v>14887</v>
      </c>
      <c r="B5201" s="528" t="s">
        <v>14888</v>
      </c>
      <c r="C5201" s="528" t="s">
        <v>14889</v>
      </c>
      <c r="D5201" s="528" t="s">
        <v>264</v>
      </c>
      <c r="E5201" s="528"/>
      <c r="F5201" s="528"/>
      <c r="G5201" s="528" t="s">
        <v>205</v>
      </c>
      <c r="H5201"/>
    </row>
    <row r="5202" spans="1:8" x14ac:dyDescent="0.35">
      <c r="A5202" s="528" t="s">
        <v>14890</v>
      </c>
      <c r="B5202" s="528" t="s">
        <v>14891</v>
      </c>
      <c r="C5202" s="528" t="s">
        <v>14892</v>
      </c>
      <c r="D5202" s="528" t="s">
        <v>264</v>
      </c>
      <c r="E5202" s="528"/>
      <c r="F5202" s="528"/>
      <c r="G5202" s="528" t="s">
        <v>208</v>
      </c>
      <c r="H5202"/>
    </row>
    <row r="5203" spans="1:8" x14ac:dyDescent="0.35">
      <c r="A5203" s="528" t="s">
        <v>14893</v>
      </c>
      <c r="B5203" s="528" t="s">
        <v>14894</v>
      </c>
      <c r="C5203" s="528" t="s">
        <v>14895</v>
      </c>
      <c r="D5203" s="528" t="s">
        <v>277</v>
      </c>
      <c r="E5203" s="528"/>
      <c r="F5203" s="528"/>
      <c r="G5203" s="528" t="s">
        <v>205</v>
      </c>
      <c r="H5203"/>
    </row>
    <row r="5204" spans="1:8" x14ac:dyDescent="0.35">
      <c r="A5204" s="528" t="s">
        <v>14896</v>
      </c>
      <c r="B5204" s="528" t="s">
        <v>14897</v>
      </c>
      <c r="C5204" s="528" t="s">
        <v>14898</v>
      </c>
      <c r="D5204" s="528" t="s">
        <v>238</v>
      </c>
      <c r="E5204" s="528"/>
      <c r="F5204" s="528"/>
      <c r="G5204" s="528" t="s">
        <v>205</v>
      </c>
      <c r="H5204"/>
    </row>
    <row r="5205" spans="1:8" x14ac:dyDescent="0.35">
      <c r="A5205" s="528" t="s">
        <v>14899</v>
      </c>
      <c r="B5205" s="528" t="s">
        <v>14900</v>
      </c>
      <c r="C5205" s="528" t="s">
        <v>14901</v>
      </c>
      <c r="D5205" s="528" t="s">
        <v>225</v>
      </c>
      <c r="E5205" s="528"/>
      <c r="F5205" s="528"/>
      <c r="G5205" s="528" t="s">
        <v>205</v>
      </c>
      <c r="H5205"/>
    </row>
    <row r="5206" spans="1:8" x14ac:dyDescent="0.35">
      <c r="A5206" s="528" t="s">
        <v>14902</v>
      </c>
      <c r="B5206" s="528" t="s">
        <v>14903</v>
      </c>
      <c r="C5206" s="528" t="s">
        <v>14904</v>
      </c>
      <c r="D5206" s="528" t="s">
        <v>225</v>
      </c>
      <c r="E5206" s="528"/>
      <c r="F5206" s="528"/>
      <c r="G5206" s="528" t="s">
        <v>208</v>
      </c>
      <c r="H5206"/>
    </row>
    <row r="5207" spans="1:8" x14ac:dyDescent="0.35">
      <c r="A5207" s="528" t="s">
        <v>14905</v>
      </c>
      <c r="B5207" s="528" t="s">
        <v>14906</v>
      </c>
      <c r="C5207" s="528" t="s">
        <v>14907</v>
      </c>
      <c r="D5207" s="528" t="s">
        <v>225</v>
      </c>
      <c r="E5207" s="528"/>
      <c r="F5207" s="528"/>
      <c r="G5207" s="528" t="s">
        <v>205</v>
      </c>
      <c r="H5207"/>
    </row>
    <row r="5208" spans="1:8" x14ac:dyDescent="0.35">
      <c r="A5208" s="528" t="s">
        <v>14908</v>
      </c>
      <c r="B5208" s="528" t="s">
        <v>14909</v>
      </c>
      <c r="C5208" s="528" t="s">
        <v>14910</v>
      </c>
      <c r="D5208" s="528" t="s">
        <v>225</v>
      </c>
      <c r="E5208" s="528"/>
      <c r="F5208" s="528"/>
      <c r="G5208" s="528" t="s">
        <v>208</v>
      </c>
      <c r="H5208"/>
    </row>
    <row r="5209" spans="1:8" x14ac:dyDescent="0.35">
      <c r="A5209" s="528" t="s">
        <v>14911</v>
      </c>
      <c r="B5209" s="528" t="s">
        <v>14912</v>
      </c>
      <c r="C5209" s="528" t="s">
        <v>14913</v>
      </c>
      <c r="D5209" s="528" t="s">
        <v>264</v>
      </c>
      <c r="E5209" s="528"/>
      <c r="F5209" s="528"/>
      <c r="G5209" s="528" t="s">
        <v>205</v>
      </c>
      <c r="H5209"/>
    </row>
    <row r="5210" spans="1:8" x14ac:dyDescent="0.35">
      <c r="A5210" s="528" t="s">
        <v>14914</v>
      </c>
      <c r="B5210" s="528" t="s">
        <v>14915</v>
      </c>
      <c r="C5210" s="528" t="s">
        <v>14916</v>
      </c>
      <c r="D5210" s="528" t="s">
        <v>264</v>
      </c>
      <c r="E5210" s="528"/>
      <c r="F5210" s="528"/>
      <c r="G5210" s="528" t="s">
        <v>205</v>
      </c>
      <c r="H5210"/>
    </row>
    <row r="5211" spans="1:8" x14ac:dyDescent="0.35">
      <c r="A5211" s="528" t="s">
        <v>14917</v>
      </c>
      <c r="B5211" s="528" t="s">
        <v>14918</v>
      </c>
      <c r="C5211" s="528" t="s">
        <v>14919</v>
      </c>
      <c r="D5211" s="528" t="s">
        <v>238</v>
      </c>
      <c r="E5211" s="528"/>
      <c r="F5211" s="528"/>
      <c r="G5211" s="528" t="s">
        <v>205</v>
      </c>
      <c r="H5211"/>
    </row>
    <row r="5212" spans="1:8" x14ac:dyDescent="0.35">
      <c r="A5212" s="528" t="s">
        <v>14920</v>
      </c>
      <c r="B5212" s="528" t="s">
        <v>14921</v>
      </c>
      <c r="C5212" s="528" t="s">
        <v>14922</v>
      </c>
      <c r="D5212" s="528" t="s">
        <v>264</v>
      </c>
      <c r="E5212" s="528"/>
      <c r="F5212" s="528"/>
      <c r="G5212" s="528" t="s">
        <v>208</v>
      </c>
      <c r="H5212"/>
    </row>
    <row r="5213" spans="1:8" x14ac:dyDescent="0.35">
      <c r="A5213" s="528" t="s">
        <v>14923</v>
      </c>
      <c r="B5213" s="528" t="s">
        <v>14924</v>
      </c>
      <c r="C5213" s="528" t="s">
        <v>14925</v>
      </c>
      <c r="D5213" s="528" t="s">
        <v>225</v>
      </c>
      <c r="E5213" s="528"/>
      <c r="F5213" s="528"/>
      <c r="G5213" s="528" t="s">
        <v>205</v>
      </c>
      <c r="H5213"/>
    </row>
    <row r="5214" spans="1:8" x14ac:dyDescent="0.35">
      <c r="A5214" s="528" t="s">
        <v>14926</v>
      </c>
      <c r="B5214" s="528" t="s">
        <v>14927</v>
      </c>
      <c r="C5214" s="528" t="s">
        <v>14928</v>
      </c>
      <c r="D5214" s="528" t="s">
        <v>225</v>
      </c>
      <c r="E5214" s="528"/>
      <c r="F5214" s="528"/>
      <c r="G5214" s="528" t="s">
        <v>205</v>
      </c>
      <c r="H5214"/>
    </row>
    <row r="5215" spans="1:8" x14ac:dyDescent="0.35">
      <c r="A5215" s="528" t="s">
        <v>14929</v>
      </c>
      <c r="B5215" s="528" t="s">
        <v>14930</v>
      </c>
      <c r="C5215" s="528" t="s">
        <v>14931</v>
      </c>
      <c r="D5215" s="528" t="s">
        <v>225</v>
      </c>
      <c r="E5215" s="528"/>
      <c r="F5215" s="528"/>
      <c r="G5215" s="528" t="s">
        <v>208</v>
      </c>
      <c r="H5215"/>
    </row>
    <row r="5216" spans="1:8" x14ac:dyDescent="0.35">
      <c r="A5216" s="528" t="s">
        <v>14932</v>
      </c>
      <c r="B5216" s="528" t="s">
        <v>14933</v>
      </c>
      <c r="C5216" s="528" t="s">
        <v>14934</v>
      </c>
      <c r="D5216" s="528" t="s">
        <v>251</v>
      </c>
      <c r="E5216" s="528"/>
      <c r="F5216" s="528"/>
      <c r="G5216" s="528" t="s">
        <v>208</v>
      </c>
      <c r="H5216"/>
    </row>
    <row r="5217" spans="1:8" x14ac:dyDescent="0.35">
      <c r="A5217" s="528" t="s">
        <v>14935</v>
      </c>
      <c r="B5217" s="528" t="s">
        <v>14936</v>
      </c>
      <c r="C5217" s="528" t="s">
        <v>14937</v>
      </c>
      <c r="D5217" s="528" t="s">
        <v>264</v>
      </c>
      <c r="E5217" s="528"/>
      <c r="F5217" s="528"/>
      <c r="G5217" s="528" t="s">
        <v>205</v>
      </c>
      <c r="H5217"/>
    </row>
    <row r="5218" spans="1:8" x14ac:dyDescent="0.35">
      <c r="A5218" s="528" t="s">
        <v>14938</v>
      </c>
      <c r="B5218" s="528" t="s">
        <v>14939</v>
      </c>
      <c r="C5218" s="528" t="s">
        <v>14940</v>
      </c>
      <c r="D5218" s="528" t="s">
        <v>251</v>
      </c>
      <c r="E5218" s="528"/>
      <c r="F5218" s="528"/>
      <c r="G5218" s="528" t="s">
        <v>205</v>
      </c>
      <c r="H5218"/>
    </row>
    <row r="5219" spans="1:8" x14ac:dyDescent="0.35">
      <c r="A5219" s="528" t="s">
        <v>14941</v>
      </c>
      <c r="B5219" s="528" t="s">
        <v>14942</v>
      </c>
      <c r="C5219" s="528" t="s">
        <v>14943</v>
      </c>
      <c r="D5219" s="528" t="s">
        <v>264</v>
      </c>
      <c r="E5219" s="528"/>
      <c r="F5219" s="528"/>
      <c r="G5219" s="528" t="s">
        <v>205</v>
      </c>
      <c r="H5219"/>
    </row>
    <row r="5220" spans="1:8" x14ac:dyDescent="0.35">
      <c r="A5220" s="528" t="s">
        <v>14944</v>
      </c>
      <c r="B5220" s="528" t="s">
        <v>14945</v>
      </c>
      <c r="C5220" s="528" t="s">
        <v>14946</v>
      </c>
      <c r="D5220" s="528" t="s">
        <v>251</v>
      </c>
      <c r="E5220" s="528"/>
      <c r="F5220" s="528"/>
      <c r="G5220" s="528" t="s">
        <v>205</v>
      </c>
      <c r="H5220"/>
    </row>
    <row r="5221" spans="1:8" x14ac:dyDescent="0.35">
      <c r="A5221" s="528" t="s">
        <v>14947</v>
      </c>
      <c r="B5221" s="528" t="s">
        <v>14948</v>
      </c>
      <c r="C5221" s="528" t="s">
        <v>14949</v>
      </c>
      <c r="D5221" s="528" t="s">
        <v>251</v>
      </c>
      <c r="E5221" s="528"/>
      <c r="F5221" s="528"/>
      <c r="G5221" s="528" t="s">
        <v>208</v>
      </c>
      <c r="H5221"/>
    </row>
    <row r="5222" spans="1:8" x14ac:dyDescent="0.35">
      <c r="A5222" s="528" t="s">
        <v>14950</v>
      </c>
      <c r="B5222" s="528" t="s">
        <v>14951</v>
      </c>
      <c r="C5222" s="528" t="s">
        <v>14952</v>
      </c>
      <c r="D5222" s="528" t="s">
        <v>251</v>
      </c>
      <c r="E5222" s="528"/>
      <c r="F5222" s="528"/>
      <c r="G5222" s="528" t="s">
        <v>208</v>
      </c>
      <c r="H5222"/>
    </row>
    <row r="5223" spans="1:8" x14ac:dyDescent="0.35">
      <c r="A5223" s="528" t="s">
        <v>14953</v>
      </c>
      <c r="B5223" s="528" t="s">
        <v>14954</v>
      </c>
      <c r="C5223" s="528" t="s">
        <v>14955</v>
      </c>
      <c r="D5223" s="528" t="s">
        <v>251</v>
      </c>
      <c r="E5223" s="528"/>
      <c r="F5223" s="528"/>
      <c r="G5223" s="528" t="s">
        <v>205</v>
      </c>
      <c r="H5223"/>
    </row>
    <row r="5224" spans="1:8" x14ac:dyDescent="0.35">
      <c r="A5224" s="528" t="s">
        <v>14956</v>
      </c>
      <c r="B5224" s="528" t="s">
        <v>14957</v>
      </c>
      <c r="C5224" s="528" t="s">
        <v>14958</v>
      </c>
      <c r="D5224" s="528" t="s">
        <v>251</v>
      </c>
      <c r="E5224" s="528"/>
      <c r="F5224" s="528"/>
      <c r="G5224" s="528" t="s">
        <v>205</v>
      </c>
      <c r="H5224"/>
    </row>
    <row r="5225" spans="1:8" x14ac:dyDescent="0.35">
      <c r="A5225" s="528" t="s">
        <v>14959</v>
      </c>
      <c r="B5225" s="528" t="s">
        <v>14960</v>
      </c>
      <c r="C5225" s="528" t="s">
        <v>14961</v>
      </c>
      <c r="D5225" s="528" t="s">
        <v>251</v>
      </c>
      <c r="E5225" s="528"/>
      <c r="F5225" s="528"/>
      <c r="G5225" s="528" t="s">
        <v>205</v>
      </c>
      <c r="H5225"/>
    </row>
    <row r="5226" spans="1:8" x14ac:dyDescent="0.35">
      <c r="A5226" s="528" t="s">
        <v>14962</v>
      </c>
      <c r="B5226" s="528" t="s">
        <v>14963</v>
      </c>
      <c r="C5226" s="528" t="s">
        <v>14964</v>
      </c>
      <c r="D5226" s="528" t="s">
        <v>277</v>
      </c>
      <c r="E5226" s="528"/>
      <c r="F5226" s="528"/>
      <c r="G5226" s="528" t="s">
        <v>208</v>
      </c>
      <c r="H5226"/>
    </row>
    <row r="5227" spans="1:8" x14ac:dyDescent="0.35">
      <c r="A5227" s="528" t="s">
        <v>14965</v>
      </c>
      <c r="B5227" s="528" t="s">
        <v>14966</v>
      </c>
      <c r="C5227" s="528" t="s">
        <v>14967</v>
      </c>
      <c r="D5227" s="528" t="s">
        <v>251</v>
      </c>
      <c r="E5227" s="528"/>
      <c r="F5227" s="528"/>
      <c r="G5227" s="528" t="s">
        <v>208</v>
      </c>
      <c r="H5227"/>
    </row>
    <row r="5228" spans="1:8" x14ac:dyDescent="0.35">
      <c r="A5228" s="528" t="s">
        <v>14968</v>
      </c>
      <c r="B5228" s="528" t="s">
        <v>14969</v>
      </c>
      <c r="C5228" s="528" t="s">
        <v>14970</v>
      </c>
      <c r="D5228" s="528" t="s">
        <v>251</v>
      </c>
      <c r="E5228" s="528"/>
      <c r="F5228" s="528"/>
      <c r="G5228" s="528" t="s">
        <v>205</v>
      </c>
      <c r="H5228"/>
    </row>
    <row r="5229" spans="1:8" x14ac:dyDescent="0.35">
      <c r="A5229" s="528" t="s">
        <v>14971</v>
      </c>
      <c r="B5229" s="528" t="s">
        <v>14972</v>
      </c>
      <c r="C5229" s="528" t="s">
        <v>14973</v>
      </c>
      <c r="D5229" s="528" t="s">
        <v>264</v>
      </c>
      <c r="E5229" s="528"/>
      <c r="F5229" s="528"/>
      <c r="G5229" s="528" t="s">
        <v>205</v>
      </c>
      <c r="H5229"/>
    </row>
    <row r="5230" spans="1:8" x14ac:dyDescent="0.35">
      <c r="A5230" s="528" t="s">
        <v>14974</v>
      </c>
      <c r="B5230" s="528" t="s">
        <v>14975</v>
      </c>
      <c r="C5230" s="528" t="s">
        <v>14976</v>
      </c>
      <c r="D5230" s="528" t="s">
        <v>277</v>
      </c>
      <c r="E5230" s="528"/>
      <c r="F5230" s="528"/>
      <c r="G5230" s="528" t="s">
        <v>208</v>
      </c>
      <c r="H5230"/>
    </row>
    <row r="5231" spans="1:8" x14ac:dyDescent="0.35">
      <c r="A5231" s="528" t="s">
        <v>14977</v>
      </c>
      <c r="B5231" s="528" t="s">
        <v>14978</v>
      </c>
      <c r="C5231" s="528" t="s">
        <v>14979</v>
      </c>
      <c r="D5231" s="528" t="s">
        <v>251</v>
      </c>
      <c r="E5231" s="528"/>
      <c r="F5231" s="528"/>
      <c r="G5231" s="528" t="s">
        <v>205</v>
      </c>
      <c r="H5231"/>
    </row>
    <row r="5232" spans="1:8" x14ac:dyDescent="0.35">
      <c r="A5232" s="528" t="s">
        <v>14980</v>
      </c>
      <c r="B5232" s="528" t="s">
        <v>14981</v>
      </c>
      <c r="C5232" s="528" t="s">
        <v>14982</v>
      </c>
      <c r="D5232" s="528" t="s">
        <v>264</v>
      </c>
      <c r="E5232" s="528"/>
      <c r="F5232" s="528"/>
      <c r="G5232" s="528" t="s">
        <v>205</v>
      </c>
      <c r="H5232"/>
    </row>
    <row r="5233" spans="1:8" x14ac:dyDescent="0.35">
      <c r="A5233" s="528" t="s">
        <v>14983</v>
      </c>
      <c r="B5233" s="528" t="s">
        <v>14984</v>
      </c>
      <c r="C5233" s="528" t="s">
        <v>14985</v>
      </c>
      <c r="D5233" s="528" t="s">
        <v>264</v>
      </c>
      <c r="E5233" s="528"/>
      <c r="F5233" s="528"/>
      <c r="G5233" s="528" t="s">
        <v>208</v>
      </c>
      <c r="H5233"/>
    </row>
    <row r="5234" spans="1:8" x14ac:dyDescent="0.35">
      <c r="A5234" s="528" t="s">
        <v>14986</v>
      </c>
      <c r="B5234" s="528" t="s">
        <v>14987</v>
      </c>
      <c r="C5234" s="528" t="s">
        <v>14988</v>
      </c>
      <c r="D5234" s="528" t="s">
        <v>238</v>
      </c>
      <c r="E5234" s="528"/>
      <c r="F5234" s="528"/>
      <c r="G5234" s="528" t="s">
        <v>208</v>
      </c>
      <c r="H5234"/>
    </row>
    <row r="5235" spans="1:8" x14ac:dyDescent="0.35">
      <c r="A5235" s="528" t="s">
        <v>14989</v>
      </c>
      <c r="B5235" s="528" t="s">
        <v>14990</v>
      </c>
      <c r="C5235" s="528" t="s">
        <v>14991</v>
      </c>
      <c r="D5235" s="528" t="s">
        <v>225</v>
      </c>
      <c r="E5235" s="528"/>
      <c r="F5235" s="528"/>
      <c r="G5235" s="528" t="s">
        <v>205</v>
      </c>
      <c r="H5235"/>
    </row>
    <row r="5236" spans="1:8" x14ac:dyDescent="0.35">
      <c r="A5236" s="528" t="s">
        <v>14992</v>
      </c>
      <c r="B5236" s="528" t="s">
        <v>14993</v>
      </c>
      <c r="C5236" s="528" t="s">
        <v>14994</v>
      </c>
      <c r="D5236" s="528" t="s">
        <v>225</v>
      </c>
      <c r="E5236" s="528"/>
      <c r="F5236" s="528"/>
      <c r="G5236" s="528" t="s">
        <v>205</v>
      </c>
      <c r="H5236"/>
    </row>
    <row r="5237" spans="1:8" x14ac:dyDescent="0.35">
      <c r="A5237" s="528" t="s">
        <v>14995</v>
      </c>
      <c r="B5237" s="528" t="s">
        <v>14996</v>
      </c>
      <c r="C5237" s="528" t="s">
        <v>14997</v>
      </c>
      <c r="D5237" s="528" t="s">
        <v>277</v>
      </c>
      <c r="E5237" s="528"/>
      <c r="F5237" s="528"/>
      <c r="G5237" s="528" t="s">
        <v>205</v>
      </c>
      <c r="H5237"/>
    </row>
    <row r="5238" spans="1:8" x14ac:dyDescent="0.35">
      <c r="A5238" s="528" t="s">
        <v>14998</v>
      </c>
      <c r="B5238" s="528" t="s">
        <v>14999</v>
      </c>
      <c r="C5238" s="528" t="s">
        <v>15000</v>
      </c>
      <c r="D5238" s="528" t="s">
        <v>264</v>
      </c>
      <c r="E5238" s="528"/>
      <c r="F5238" s="528"/>
      <c r="G5238" s="528" t="s">
        <v>208</v>
      </c>
      <c r="H5238"/>
    </row>
    <row r="5239" spans="1:8" x14ac:dyDescent="0.35">
      <c r="A5239" s="528" t="s">
        <v>15001</v>
      </c>
      <c r="B5239" s="528" t="s">
        <v>15002</v>
      </c>
      <c r="C5239" s="528" t="s">
        <v>15003</v>
      </c>
      <c r="D5239" s="528" t="s">
        <v>238</v>
      </c>
      <c r="E5239" s="528"/>
      <c r="F5239" s="528"/>
      <c r="G5239" s="528" t="s">
        <v>205</v>
      </c>
      <c r="H5239"/>
    </row>
    <row r="5240" spans="1:8" x14ac:dyDescent="0.35">
      <c r="A5240" s="528" t="s">
        <v>15004</v>
      </c>
      <c r="B5240" s="528" t="s">
        <v>15005</v>
      </c>
      <c r="C5240" s="528" t="s">
        <v>15006</v>
      </c>
      <c r="D5240" s="528" t="s">
        <v>251</v>
      </c>
      <c r="E5240" s="528"/>
      <c r="F5240" s="528"/>
      <c r="G5240" s="528" t="s">
        <v>205</v>
      </c>
      <c r="H5240"/>
    </row>
    <row r="5241" spans="1:8" x14ac:dyDescent="0.35">
      <c r="A5241" s="528" t="s">
        <v>15007</v>
      </c>
      <c r="B5241" s="528" t="s">
        <v>15008</v>
      </c>
      <c r="C5241" s="528" t="s">
        <v>15009</v>
      </c>
      <c r="D5241" s="528" t="s">
        <v>238</v>
      </c>
      <c r="E5241" s="528"/>
      <c r="F5241" s="528"/>
      <c r="G5241" s="528" t="s">
        <v>208</v>
      </c>
      <c r="H5241"/>
    </row>
    <row r="5242" spans="1:8" x14ac:dyDescent="0.35">
      <c r="A5242" s="528" t="s">
        <v>15010</v>
      </c>
      <c r="B5242" s="528" t="s">
        <v>15011</v>
      </c>
      <c r="C5242" s="528" t="s">
        <v>15012</v>
      </c>
      <c r="D5242" s="528" t="s">
        <v>264</v>
      </c>
      <c r="E5242" s="528"/>
      <c r="F5242" s="528"/>
      <c r="G5242" s="528" t="s">
        <v>205</v>
      </c>
      <c r="H5242"/>
    </row>
    <row r="5243" spans="1:8" x14ac:dyDescent="0.35">
      <c r="A5243" s="528" t="s">
        <v>15013</v>
      </c>
      <c r="B5243" s="528" t="s">
        <v>15014</v>
      </c>
      <c r="C5243" s="528" t="s">
        <v>15015</v>
      </c>
      <c r="D5243" s="528" t="s">
        <v>277</v>
      </c>
      <c r="E5243" s="528"/>
      <c r="F5243" s="528"/>
      <c r="G5243" s="528" t="s">
        <v>205</v>
      </c>
      <c r="H5243"/>
    </row>
    <row r="5244" spans="1:8" x14ac:dyDescent="0.35">
      <c r="A5244" s="528" t="s">
        <v>15016</v>
      </c>
      <c r="B5244" s="528" t="s">
        <v>15017</v>
      </c>
      <c r="C5244" s="528" t="s">
        <v>15018</v>
      </c>
      <c r="D5244" s="528" t="s">
        <v>264</v>
      </c>
      <c r="E5244" s="528"/>
      <c r="F5244" s="528"/>
      <c r="G5244" s="528" t="s">
        <v>208</v>
      </c>
      <c r="H5244"/>
    </row>
    <row r="5245" spans="1:8" x14ac:dyDescent="0.35">
      <c r="A5245" s="528" t="s">
        <v>15019</v>
      </c>
      <c r="B5245" s="528" t="s">
        <v>15020</v>
      </c>
      <c r="C5245" s="528" t="s">
        <v>15021</v>
      </c>
      <c r="D5245" s="528" t="s">
        <v>264</v>
      </c>
      <c r="E5245" s="528"/>
      <c r="F5245" s="528"/>
      <c r="G5245" s="528" t="s">
        <v>208</v>
      </c>
      <c r="H5245"/>
    </row>
    <row r="5246" spans="1:8" x14ac:dyDescent="0.35">
      <c r="A5246" s="528" t="s">
        <v>15022</v>
      </c>
      <c r="B5246" s="528" t="s">
        <v>15023</v>
      </c>
      <c r="C5246" s="528" t="s">
        <v>15024</v>
      </c>
      <c r="D5246" s="528" t="s">
        <v>264</v>
      </c>
      <c r="E5246" s="528"/>
      <c r="F5246" s="528"/>
      <c r="G5246" s="528" t="s">
        <v>205</v>
      </c>
      <c r="H5246"/>
    </row>
    <row r="5247" spans="1:8" x14ac:dyDescent="0.35">
      <c r="A5247" s="528" t="s">
        <v>15025</v>
      </c>
      <c r="B5247" s="528" t="s">
        <v>15026</v>
      </c>
      <c r="C5247" s="528" t="s">
        <v>15027</v>
      </c>
      <c r="D5247" s="528" t="s">
        <v>277</v>
      </c>
      <c r="E5247" s="528"/>
      <c r="F5247" s="528"/>
      <c r="G5247" s="528" t="s">
        <v>208</v>
      </c>
      <c r="H5247"/>
    </row>
    <row r="5248" spans="1:8" x14ac:dyDescent="0.35">
      <c r="A5248" s="528" t="s">
        <v>15028</v>
      </c>
      <c r="B5248" s="528" t="s">
        <v>15029</v>
      </c>
      <c r="C5248" s="528" t="s">
        <v>15030</v>
      </c>
      <c r="D5248" s="528" t="s">
        <v>277</v>
      </c>
      <c r="E5248" s="528"/>
      <c r="F5248" s="528"/>
      <c r="G5248" s="528" t="s">
        <v>214</v>
      </c>
      <c r="H5248"/>
    </row>
    <row r="5249" spans="1:8" x14ac:dyDescent="0.35">
      <c r="A5249" s="528" t="s">
        <v>15031</v>
      </c>
      <c r="B5249" s="528" t="s">
        <v>15032</v>
      </c>
      <c r="C5249" s="528" t="s">
        <v>15033</v>
      </c>
      <c r="D5249" s="528" t="s">
        <v>277</v>
      </c>
      <c r="E5249" s="528"/>
      <c r="F5249" s="528"/>
      <c r="G5249" s="528" t="s">
        <v>205</v>
      </c>
      <c r="H5249"/>
    </row>
    <row r="5250" spans="1:8" x14ac:dyDescent="0.35">
      <c r="A5250" s="528" t="s">
        <v>15034</v>
      </c>
      <c r="B5250" s="528" t="s">
        <v>15035</v>
      </c>
      <c r="C5250" s="528" t="s">
        <v>15036</v>
      </c>
      <c r="D5250" s="528" t="s">
        <v>277</v>
      </c>
      <c r="E5250" s="528"/>
      <c r="F5250" s="528"/>
      <c r="G5250" s="528" t="s">
        <v>205</v>
      </c>
      <c r="H5250"/>
    </row>
    <row r="5251" spans="1:8" x14ac:dyDescent="0.35">
      <c r="A5251" s="528" t="s">
        <v>15037</v>
      </c>
      <c r="B5251" s="528" t="s">
        <v>15038</v>
      </c>
      <c r="C5251" s="528" t="s">
        <v>15039</v>
      </c>
      <c r="D5251" s="528" t="s">
        <v>277</v>
      </c>
      <c r="E5251" s="528"/>
      <c r="F5251" s="528"/>
      <c r="G5251" s="528" t="s">
        <v>205</v>
      </c>
      <c r="H5251"/>
    </row>
    <row r="5252" spans="1:8" x14ac:dyDescent="0.35">
      <c r="A5252" s="528" t="s">
        <v>15040</v>
      </c>
      <c r="B5252" s="528" t="s">
        <v>15041</v>
      </c>
      <c r="C5252" s="528" t="s">
        <v>15042</v>
      </c>
      <c r="D5252" s="528" t="s">
        <v>277</v>
      </c>
      <c r="E5252" s="528"/>
      <c r="F5252" s="528"/>
      <c r="G5252" s="528" t="s">
        <v>205</v>
      </c>
      <c r="H5252"/>
    </row>
    <row r="5253" spans="1:8" x14ac:dyDescent="0.35">
      <c r="A5253" s="528" t="s">
        <v>15043</v>
      </c>
      <c r="B5253" s="528" t="s">
        <v>15044</v>
      </c>
      <c r="C5253" s="528" t="s">
        <v>15045</v>
      </c>
      <c r="D5253" s="528" t="s">
        <v>277</v>
      </c>
      <c r="E5253" s="528"/>
      <c r="F5253" s="528"/>
      <c r="G5253" s="528" t="s">
        <v>205</v>
      </c>
      <c r="H5253"/>
    </row>
    <row r="5254" spans="1:8" x14ac:dyDescent="0.35">
      <c r="A5254" s="528" t="s">
        <v>15046</v>
      </c>
      <c r="B5254" s="528" t="s">
        <v>15047</v>
      </c>
      <c r="C5254" s="528" t="s">
        <v>15048</v>
      </c>
      <c r="D5254" s="528" t="s">
        <v>277</v>
      </c>
      <c r="E5254" s="528"/>
      <c r="F5254" s="528"/>
      <c r="G5254" s="528" t="s">
        <v>205</v>
      </c>
      <c r="H5254"/>
    </row>
    <row r="5255" spans="1:8" x14ac:dyDescent="0.35">
      <c r="A5255" s="528" t="s">
        <v>15049</v>
      </c>
      <c r="B5255" s="528" t="s">
        <v>15050</v>
      </c>
      <c r="C5255" s="528" t="s">
        <v>15051</v>
      </c>
      <c r="D5255" s="528" t="s">
        <v>264</v>
      </c>
      <c r="E5255" s="528"/>
      <c r="F5255" s="528"/>
      <c r="G5255" s="528" t="s">
        <v>205</v>
      </c>
      <c r="H5255"/>
    </row>
    <row r="5256" spans="1:8" x14ac:dyDescent="0.35">
      <c r="A5256" s="528" t="s">
        <v>15052</v>
      </c>
      <c r="B5256" s="528" t="s">
        <v>15053</v>
      </c>
      <c r="C5256" s="528" t="s">
        <v>15054</v>
      </c>
      <c r="D5256" s="528" t="s">
        <v>277</v>
      </c>
      <c r="E5256" s="528"/>
      <c r="F5256" s="528"/>
      <c r="G5256" s="528" t="s">
        <v>208</v>
      </c>
      <c r="H5256"/>
    </row>
    <row r="5257" spans="1:8" x14ac:dyDescent="0.35">
      <c r="A5257" s="528" t="s">
        <v>15055</v>
      </c>
      <c r="B5257" s="528" t="s">
        <v>15056</v>
      </c>
      <c r="C5257" s="528" t="s">
        <v>15057</v>
      </c>
      <c r="D5257" s="528" t="s">
        <v>277</v>
      </c>
      <c r="E5257" s="528"/>
      <c r="F5257" s="528"/>
      <c r="G5257" s="528" t="s">
        <v>208</v>
      </c>
      <c r="H5257"/>
    </row>
    <row r="5258" spans="1:8" x14ac:dyDescent="0.35">
      <c r="A5258" s="528" t="s">
        <v>15058</v>
      </c>
      <c r="B5258" s="528" t="s">
        <v>15059</v>
      </c>
      <c r="C5258" s="528" t="s">
        <v>15060</v>
      </c>
      <c r="D5258" s="528" t="s">
        <v>225</v>
      </c>
      <c r="E5258" s="528"/>
      <c r="F5258" s="528"/>
      <c r="G5258" s="528" t="s">
        <v>208</v>
      </c>
      <c r="H5258"/>
    </row>
    <row r="5259" spans="1:8" x14ac:dyDescent="0.35">
      <c r="A5259" s="528" t="s">
        <v>15061</v>
      </c>
      <c r="B5259" s="528" t="s">
        <v>15062</v>
      </c>
      <c r="C5259" s="528" t="s">
        <v>15063</v>
      </c>
      <c r="D5259" s="528" t="s">
        <v>225</v>
      </c>
      <c r="E5259" s="528" t="s">
        <v>264</v>
      </c>
      <c r="F5259" s="528"/>
      <c r="G5259" s="528" t="s">
        <v>205</v>
      </c>
      <c r="H5259"/>
    </row>
    <row r="5260" spans="1:8" x14ac:dyDescent="0.35">
      <c r="A5260" s="528" t="s">
        <v>15064</v>
      </c>
      <c r="B5260" s="528" t="s">
        <v>15065</v>
      </c>
      <c r="C5260" s="528" t="s">
        <v>15066</v>
      </c>
      <c r="D5260" s="528" t="s">
        <v>225</v>
      </c>
      <c r="E5260" s="528" t="s">
        <v>264</v>
      </c>
      <c r="F5260" s="528"/>
      <c r="G5260" s="528" t="s">
        <v>208</v>
      </c>
      <c r="H5260"/>
    </row>
    <row r="5261" spans="1:8" x14ac:dyDescent="0.35">
      <c r="A5261" s="528" t="s">
        <v>15067</v>
      </c>
      <c r="B5261" s="528" t="s">
        <v>15068</v>
      </c>
      <c r="C5261" s="528" t="s">
        <v>15069</v>
      </c>
      <c r="D5261" s="528" t="s">
        <v>277</v>
      </c>
      <c r="E5261" s="528"/>
      <c r="F5261" s="528"/>
      <c r="G5261" s="528" t="s">
        <v>205</v>
      </c>
      <c r="H5261"/>
    </row>
    <row r="5262" spans="1:8" x14ac:dyDescent="0.35">
      <c r="A5262" s="528" t="s">
        <v>15070</v>
      </c>
      <c r="B5262" s="528" t="s">
        <v>15071</v>
      </c>
      <c r="C5262" s="528" t="s">
        <v>15072</v>
      </c>
      <c r="D5262" s="528" t="s">
        <v>277</v>
      </c>
      <c r="E5262" s="528"/>
      <c r="F5262" s="528"/>
      <c r="G5262" s="528" t="s">
        <v>208</v>
      </c>
      <c r="H5262"/>
    </row>
    <row r="5263" spans="1:8" x14ac:dyDescent="0.35">
      <c r="A5263" s="528" t="s">
        <v>15073</v>
      </c>
      <c r="B5263" s="528" t="s">
        <v>15074</v>
      </c>
      <c r="C5263" s="528" t="s">
        <v>15075</v>
      </c>
      <c r="D5263" s="528" t="s">
        <v>225</v>
      </c>
      <c r="E5263" s="528"/>
      <c r="F5263" s="528"/>
      <c r="G5263" s="528" t="s">
        <v>205</v>
      </c>
      <c r="H5263"/>
    </row>
    <row r="5264" spans="1:8" x14ac:dyDescent="0.35">
      <c r="A5264" s="528" t="s">
        <v>15076</v>
      </c>
      <c r="B5264" s="528" t="s">
        <v>15077</v>
      </c>
      <c r="C5264" s="528" t="s">
        <v>15078</v>
      </c>
      <c r="D5264" s="528" t="s">
        <v>225</v>
      </c>
      <c r="E5264" s="528"/>
      <c r="F5264" s="528"/>
      <c r="G5264" s="528" t="s">
        <v>208</v>
      </c>
      <c r="H5264"/>
    </row>
    <row r="5265" spans="1:8" x14ac:dyDescent="0.35">
      <c r="A5265" s="528" t="s">
        <v>15079</v>
      </c>
      <c r="B5265" s="528" t="s">
        <v>15080</v>
      </c>
      <c r="C5265" s="528" t="s">
        <v>15081</v>
      </c>
      <c r="D5265" s="528" t="s">
        <v>251</v>
      </c>
      <c r="E5265" s="528"/>
      <c r="F5265" s="528"/>
      <c r="G5265" s="528" t="s">
        <v>205</v>
      </c>
      <c r="H5265"/>
    </row>
    <row r="5266" spans="1:8" x14ac:dyDescent="0.35">
      <c r="A5266" s="528" t="s">
        <v>15082</v>
      </c>
      <c r="B5266" s="528" t="s">
        <v>15083</v>
      </c>
      <c r="C5266" s="528" t="s">
        <v>15084</v>
      </c>
      <c r="D5266" s="528" t="s">
        <v>251</v>
      </c>
      <c r="E5266" s="528"/>
      <c r="F5266" s="528"/>
      <c r="G5266" s="528" t="s">
        <v>205</v>
      </c>
      <c r="H5266"/>
    </row>
    <row r="5267" spans="1:8" x14ac:dyDescent="0.35">
      <c r="A5267" s="528" t="s">
        <v>15085</v>
      </c>
      <c r="B5267" s="528" t="s">
        <v>15086</v>
      </c>
      <c r="C5267" s="528" t="s">
        <v>15087</v>
      </c>
      <c r="D5267" s="528" t="s">
        <v>251</v>
      </c>
      <c r="E5267" s="528"/>
      <c r="F5267" s="528"/>
      <c r="G5267" s="528" t="s">
        <v>205</v>
      </c>
      <c r="H5267"/>
    </row>
    <row r="5268" spans="1:8" x14ac:dyDescent="0.35">
      <c r="A5268" s="528" t="s">
        <v>15088</v>
      </c>
      <c r="B5268" s="528" t="s">
        <v>15089</v>
      </c>
      <c r="C5268" s="528" t="s">
        <v>15090</v>
      </c>
      <c r="D5268" s="528" t="s">
        <v>251</v>
      </c>
      <c r="E5268" s="528"/>
      <c r="F5268" s="528"/>
      <c r="G5268" s="528" t="s">
        <v>205</v>
      </c>
      <c r="H5268"/>
    </row>
    <row r="5269" spans="1:8" x14ac:dyDescent="0.35">
      <c r="A5269" s="528" t="s">
        <v>15091</v>
      </c>
      <c r="B5269" s="528" t="s">
        <v>15092</v>
      </c>
      <c r="C5269" s="528" t="s">
        <v>15093</v>
      </c>
      <c r="D5269" s="528" t="s">
        <v>277</v>
      </c>
      <c r="E5269" s="528"/>
      <c r="F5269" s="528"/>
      <c r="G5269" s="528" t="s">
        <v>205</v>
      </c>
      <c r="H5269"/>
    </row>
    <row r="5270" spans="1:8" x14ac:dyDescent="0.35">
      <c r="A5270" s="528" t="s">
        <v>15094</v>
      </c>
      <c r="B5270" s="528" t="s">
        <v>15095</v>
      </c>
      <c r="C5270" s="528" t="s">
        <v>15096</v>
      </c>
      <c r="D5270" s="528" t="s">
        <v>264</v>
      </c>
      <c r="E5270" s="528"/>
      <c r="F5270" s="528"/>
      <c r="G5270" s="528" t="s">
        <v>205</v>
      </c>
      <c r="H5270"/>
    </row>
    <row r="5271" spans="1:8" x14ac:dyDescent="0.35">
      <c r="A5271" s="528" t="s">
        <v>15097</v>
      </c>
      <c r="B5271" s="528" t="s">
        <v>15098</v>
      </c>
      <c r="C5271" s="528" t="s">
        <v>15099</v>
      </c>
      <c r="D5271" s="528" t="s">
        <v>264</v>
      </c>
      <c r="E5271" s="528"/>
      <c r="F5271" s="528"/>
      <c r="G5271" s="528" t="s">
        <v>205</v>
      </c>
      <c r="H5271"/>
    </row>
    <row r="5272" spans="1:8" x14ac:dyDescent="0.35">
      <c r="A5272" s="528" t="s">
        <v>15100</v>
      </c>
      <c r="B5272" s="528" t="s">
        <v>15101</v>
      </c>
      <c r="C5272" s="528" t="s">
        <v>15102</v>
      </c>
      <c r="D5272" s="528" t="s">
        <v>225</v>
      </c>
      <c r="E5272" s="528"/>
      <c r="F5272" s="528"/>
      <c r="G5272" s="528" t="s">
        <v>205</v>
      </c>
      <c r="H5272"/>
    </row>
    <row r="5273" spans="1:8" x14ac:dyDescent="0.35">
      <c r="A5273" s="528" t="s">
        <v>15103</v>
      </c>
      <c r="B5273" s="528" t="s">
        <v>15104</v>
      </c>
      <c r="C5273" s="528" t="s">
        <v>15105</v>
      </c>
      <c r="D5273" s="528" t="s">
        <v>264</v>
      </c>
      <c r="E5273" s="528"/>
      <c r="F5273" s="528"/>
      <c r="G5273" s="528" t="s">
        <v>205</v>
      </c>
      <c r="H5273"/>
    </row>
    <row r="5274" spans="1:8" x14ac:dyDescent="0.35">
      <c r="A5274" s="528" t="s">
        <v>15106</v>
      </c>
      <c r="B5274" s="528" t="s">
        <v>15107</v>
      </c>
      <c r="C5274" s="528" t="s">
        <v>15108</v>
      </c>
      <c r="D5274" s="528" t="s">
        <v>264</v>
      </c>
      <c r="E5274" s="528"/>
      <c r="F5274" s="528"/>
      <c r="G5274" s="528" t="s">
        <v>208</v>
      </c>
      <c r="H5274"/>
    </row>
    <row r="5275" spans="1:8" x14ac:dyDescent="0.35">
      <c r="A5275" s="528" t="s">
        <v>15109</v>
      </c>
      <c r="B5275" s="528" t="s">
        <v>15110</v>
      </c>
      <c r="C5275" s="528" t="s">
        <v>15111</v>
      </c>
      <c r="D5275" s="528" t="s">
        <v>238</v>
      </c>
      <c r="E5275" s="528"/>
      <c r="F5275" s="528"/>
      <c r="G5275" s="528" t="s">
        <v>208</v>
      </c>
      <c r="H5275"/>
    </row>
    <row r="5276" spans="1:8" x14ac:dyDescent="0.35">
      <c r="A5276" s="528" t="s">
        <v>15112</v>
      </c>
      <c r="B5276" s="528" t="s">
        <v>15113</v>
      </c>
      <c r="C5276" s="528" t="s">
        <v>15114</v>
      </c>
      <c r="D5276" s="528" t="s">
        <v>264</v>
      </c>
      <c r="E5276" s="528"/>
      <c r="F5276" s="528"/>
      <c r="G5276" s="528" t="s">
        <v>205</v>
      </c>
      <c r="H5276"/>
    </row>
    <row r="5277" spans="1:8" x14ac:dyDescent="0.35">
      <c r="A5277" s="528" t="s">
        <v>15115</v>
      </c>
      <c r="B5277" s="528" t="s">
        <v>15116</v>
      </c>
      <c r="C5277" s="528" t="s">
        <v>15117</v>
      </c>
      <c r="D5277" s="528" t="s">
        <v>277</v>
      </c>
      <c r="E5277" s="528"/>
      <c r="F5277" s="528"/>
      <c r="G5277" s="528" t="s">
        <v>208</v>
      </c>
      <c r="H5277"/>
    </row>
    <row r="5278" spans="1:8" x14ac:dyDescent="0.35">
      <c r="A5278" s="528" t="s">
        <v>15118</v>
      </c>
      <c r="B5278" s="528" t="s">
        <v>15119</v>
      </c>
      <c r="C5278" s="528" t="s">
        <v>15120</v>
      </c>
      <c r="D5278" s="528" t="s">
        <v>225</v>
      </c>
      <c r="E5278" s="528"/>
      <c r="F5278" s="528"/>
      <c r="G5278" s="528" t="s">
        <v>205</v>
      </c>
      <c r="H5278"/>
    </row>
    <row r="5279" spans="1:8" x14ac:dyDescent="0.35">
      <c r="A5279" s="528" t="s">
        <v>15121</v>
      </c>
      <c r="B5279" s="528" t="s">
        <v>15122</v>
      </c>
      <c r="C5279" s="528" t="s">
        <v>15123</v>
      </c>
      <c r="D5279" s="528" t="s">
        <v>225</v>
      </c>
      <c r="E5279" s="528"/>
      <c r="F5279" s="528"/>
      <c r="G5279" s="528" t="s">
        <v>205</v>
      </c>
      <c r="H5279"/>
    </row>
    <row r="5280" spans="1:8" x14ac:dyDescent="0.35">
      <c r="A5280" s="528" t="s">
        <v>15124</v>
      </c>
      <c r="B5280" s="528" t="s">
        <v>15125</v>
      </c>
      <c r="C5280" s="528" t="s">
        <v>15126</v>
      </c>
      <c r="D5280" s="528" t="s">
        <v>225</v>
      </c>
      <c r="E5280" s="528"/>
      <c r="F5280" s="528"/>
      <c r="G5280" s="528" t="s">
        <v>205</v>
      </c>
      <c r="H5280"/>
    </row>
    <row r="5281" spans="1:8" x14ac:dyDescent="0.35">
      <c r="A5281" s="528" t="s">
        <v>15127</v>
      </c>
      <c r="B5281" s="528" t="s">
        <v>15128</v>
      </c>
      <c r="C5281" s="528" t="s">
        <v>15129</v>
      </c>
      <c r="D5281" s="528" t="s">
        <v>277</v>
      </c>
      <c r="E5281" s="528"/>
      <c r="F5281" s="528"/>
      <c r="G5281" s="528" t="s">
        <v>205</v>
      </c>
      <c r="H5281"/>
    </row>
    <row r="5282" spans="1:8" x14ac:dyDescent="0.35">
      <c r="A5282" s="528" t="s">
        <v>15130</v>
      </c>
      <c r="B5282" s="528" t="s">
        <v>15131</v>
      </c>
      <c r="C5282" s="528" t="s">
        <v>15132</v>
      </c>
      <c r="D5282" s="528" t="s">
        <v>264</v>
      </c>
      <c r="E5282" s="528"/>
      <c r="F5282" s="528"/>
      <c r="G5282" s="528" t="s">
        <v>205</v>
      </c>
      <c r="H5282"/>
    </row>
    <row r="5283" spans="1:8" x14ac:dyDescent="0.35">
      <c r="A5283" s="528" t="s">
        <v>15133</v>
      </c>
      <c r="B5283" s="528" t="s">
        <v>15134</v>
      </c>
      <c r="C5283" s="528" t="s">
        <v>15135</v>
      </c>
      <c r="D5283" s="528" t="s">
        <v>238</v>
      </c>
      <c r="E5283" s="528"/>
      <c r="F5283" s="528"/>
      <c r="G5283" s="528" t="s">
        <v>205</v>
      </c>
      <c r="H5283"/>
    </row>
    <row r="5284" spans="1:8" x14ac:dyDescent="0.35">
      <c r="A5284" s="528" t="s">
        <v>15136</v>
      </c>
      <c r="B5284" s="528" t="s">
        <v>15137</v>
      </c>
      <c r="C5284" s="528" t="s">
        <v>15138</v>
      </c>
      <c r="D5284" s="528" t="s">
        <v>225</v>
      </c>
      <c r="E5284" s="528"/>
      <c r="F5284" s="528"/>
      <c r="G5284" s="528" t="s">
        <v>205</v>
      </c>
      <c r="H5284"/>
    </row>
    <row r="5285" spans="1:8" x14ac:dyDescent="0.35">
      <c r="A5285" s="528" t="s">
        <v>15139</v>
      </c>
      <c r="B5285" s="528" t="s">
        <v>15140</v>
      </c>
      <c r="C5285" s="528" t="s">
        <v>15141</v>
      </c>
      <c r="D5285" s="528" t="s">
        <v>264</v>
      </c>
      <c r="E5285" s="528"/>
      <c r="F5285" s="528"/>
      <c r="G5285" s="528" t="s">
        <v>205</v>
      </c>
      <c r="H5285"/>
    </row>
    <row r="5286" spans="1:8" x14ac:dyDescent="0.35">
      <c r="A5286" s="528" t="s">
        <v>15142</v>
      </c>
      <c r="B5286" s="528" t="s">
        <v>15143</v>
      </c>
      <c r="C5286" s="528" t="s">
        <v>15144</v>
      </c>
      <c r="D5286" s="528" t="s">
        <v>238</v>
      </c>
      <c r="E5286" s="528"/>
      <c r="F5286" s="528"/>
      <c r="G5286" s="528" t="s">
        <v>208</v>
      </c>
      <c r="H5286"/>
    </row>
    <row r="5287" spans="1:8" x14ac:dyDescent="0.35">
      <c r="A5287" s="528" t="s">
        <v>15145</v>
      </c>
      <c r="B5287" s="528" t="s">
        <v>15146</v>
      </c>
      <c r="C5287" s="528" t="s">
        <v>15147</v>
      </c>
      <c r="D5287" s="528" t="s">
        <v>264</v>
      </c>
      <c r="E5287" s="528"/>
      <c r="F5287" s="528"/>
      <c r="G5287" s="528" t="s">
        <v>205</v>
      </c>
      <c r="H5287"/>
    </row>
    <row r="5288" spans="1:8" x14ac:dyDescent="0.35">
      <c r="A5288" s="528" t="s">
        <v>15148</v>
      </c>
      <c r="B5288" s="528" t="s">
        <v>15149</v>
      </c>
      <c r="C5288" s="528" t="s">
        <v>15150</v>
      </c>
      <c r="D5288" s="528" t="s">
        <v>277</v>
      </c>
      <c r="E5288" s="528"/>
      <c r="F5288" s="528"/>
      <c r="G5288" s="528" t="s">
        <v>205</v>
      </c>
      <c r="H5288"/>
    </row>
    <row r="5289" spans="1:8" x14ac:dyDescent="0.35">
      <c r="A5289" s="528" t="s">
        <v>15151</v>
      </c>
      <c r="B5289" s="528" t="s">
        <v>15152</v>
      </c>
      <c r="C5289" s="528" t="s">
        <v>15153</v>
      </c>
      <c r="D5289" s="528" t="s">
        <v>264</v>
      </c>
      <c r="E5289" s="528"/>
      <c r="F5289" s="528"/>
      <c r="G5289" s="528" t="s">
        <v>208</v>
      </c>
      <c r="H5289"/>
    </row>
    <row r="5290" spans="1:8" x14ac:dyDescent="0.35">
      <c r="A5290" s="528" t="s">
        <v>15154</v>
      </c>
      <c r="B5290" s="528" t="s">
        <v>15155</v>
      </c>
      <c r="C5290" s="528" t="s">
        <v>15156</v>
      </c>
      <c r="D5290" s="528" t="s">
        <v>264</v>
      </c>
      <c r="E5290" s="528"/>
      <c r="F5290" s="528"/>
      <c r="G5290" s="528" t="s">
        <v>208</v>
      </c>
      <c r="H5290"/>
    </row>
    <row r="5291" spans="1:8" x14ac:dyDescent="0.35">
      <c r="A5291" s="528" t="s">
        <v>15157</v>
      </c>
      <c r="B5291" s="528" t="s">
        <v>15158</v>
      </c>
      <c r="C5291" s="528" t="s">
        <v>15159</v>
      </c>
      <c r="D5291" s="528" t="s">
        <v>264</v>
      </c>
      <c r="E5291" s="528"/>
      <c r="F5291" s="528"/>
      <c r="G5291" s="528" t="s">
        <v>205</v>
      </c>
      <c r="H5291"/>
    </row>
    <row r="5292" spans="1:8" x14ac:dyDescent="0.35">
      <c r="A5292" s="528" t="s">
        <v>15160</v>
      </c>
      <c r="B5292" s="528" t="s">
        <v>15161</v>
      </c>
      <c r="C5292" s="528" t="s">
        <v>15162</v>
      </c>
      <c r="D5292" s="528" t="s">
        <v>264</v>
      </c>
      <c r="E5292" s="528"/>
      <c r="F5292" s="528"/>
      <c r="G5292" s="528" t="s">
        <v>205</v>
      </c>
      <c r="H5292"/>
    </row>
    <row r="5293" spans="1:8" x14ac:dyDescent="0.35">
      <c r="A5293" s="528" t="s">
        <v>15163</v>
      </c>
      <c r="B5293" s="528" t="s">
        <v>15164</v>
      </c>
      <c r="C5293" s="528" t="s">
        <v>15165</v>
      </c>
      <c r="D5293" s="528" t="s">
        <v>225</v>
      </c>
      <c r="E5293" s="528"/>
      <c r="F5293" s="528"/>
      <c r="G5293" s="528" t="s">
        <v>208</v>
      </c>
      <c r="H5293"/>
    </row>
    <row r="5294" spans="1:8" x14ac:dyDescent="0.35">
      <c r="A5294" s="528" t="s">
        <v>15166</v>
      </c>
      <c r="B5294" s="528" t="s">
        <v>15167</v>
      </c>
      <c r="C5294" s="528" t="s">
        <v>15168</v>
      </c>
      <c r="D5294" s="528" t="s">
        <v>225</v>
      </c>
      <c r="E5294" s="528"/>
      <c r="F5294" s="528"/>
      <c r="G5294" s="528" t="s">
        <v>205</v>
      </c>
      <c r="H5294"/>
    </row>
    <row r="5295" spans="1:8" x14ac:dyDescent="0.35">
      <c r="A5295" s="528" t="s">
        <v>15169</v>
      </c>
      <c r="B5295" s="528" t="s">
        <v>15170</v>
      </c>
      <c r="C5295" s="528" t="s">
        <v>15171</v>
      </c>
      <c r="D5295" s="528" t="s">
        <v>225</v>
      </c>
      <c r="E5295" s="528"/>
      <c r="F5295" s="528"/>
      <c r="G5295" s="528" t="s">
        <v>208</v>
      </c>
      <c r="H5295"/>
    </row>
    <row r="5296" spans="1:8" x14ac:dyDescent="0.35">
      <c r="A5296" s="528" t="s">
        <v>15172</v>
      </c>
      <c r="B5296" s="528" t="s">
        <v>15173</v>
      </c>
      <c r="C5296" s="528" t="s">
        <v>15174</v>
      </c>
      <c r="D5296" s="528" t="s">
        <v>225</v>
      </c>
      <c r="E5296" s="528"/>
      <c r="F5296" s="528"/>
      <c r="G5296" s="528" t="s">
        <v>205</v>
      </c>
      <c r="H5296"/>
    </row>
    <row r="5297" spans="1:8" x14ac:dyDescent="0.35">
      <c r="A5297" s="528" t="s">
        <v>15175</v>
      </c>
      <c r="B5297" s="528" t="s">
        <v>15176</v>
      </c>
      <c r="C5297" s="528" t="s">
        <v>15177</v>
      </c>
      <c r="D5297" s="528" t="s">
        <v>264</v>
      </c>
      <c r="E5297" s="528"/>
      <c r="F5297" s="528"/>
      <c r="G5297" s="528" t="s">
        <v>205</v>
      </c>
      <c r="H5297"/>
    </row>
    <row r="5298" spans="1:8" x14ac:dyDescent="0.35">
      <c r="A5298" s="528" t="s">
        <v>15178</v>
      </c>
      <c r="B5298" s="528" t="s">
        <v>15179</v>
      </c>
      <c r="C5298" s="528" t="s">
        <v>15180</v>
      </c>
      <c r="D5298" s="528" t="s">
        <v>264</v>
      </c>
      <c r="E5298" s="528"/>
      <c r="F5298" s="528"/>
      <c r="G5298" s="528" t="s">
        <v>205</v>
      </c>
      <c r="H5298"/>
    </row>
    <row r="5299" spans="1:8" x14ac:dyDescent="0.35">
      <c r="A5299" s="528" t="s">
        <v>15181</v>
      </c>
      <c r="B5299" s="528" t="s">
        <v>15182</v>
      </c>
      <c r="C5299" s="528" t="s">
        <v>15183</v>
      </c>
      <c r="D5299" s="528" t="s">
        <v>264</v>
      </c>
      <c r="E5299" s="528"/>
      <c r="F5299" s="528"/>
      <c r="G5299" s="528" t="s">
        <v>212</v>
      </c>
      <c r="H5299"/>
    </row>
    <row r="5300" spans="1:8" x14ac:dyDescent="0.35">
      <c r="A5300" s="528" t="s">
        <v>15184</v>
      </c>
      <c r="B5300" s="528" t="s">
        <v>15185</v>
      </c>
      <c r="C5300" s="528" t="s">
        <v>15186</v>
      </c>
      <c r="D5300" s="528" t="s">
        <v>251</v>
      </c>
      <c r="E5300" s="528"/>
      <c r="F5300" s="528"/>
      <c r="G5300" s="528" t="s">
        <v>208</v>
      </c>
      <c r="H5300"/>
    </row>
    <row r="5301" spans="1:8" x14ac:dyDescent="0.35">
      <c r="A5301" s="528" t="s">
        <v>15187</v>
      </c>
      <c r="B5301" s="528" t="s">
        <v>15188</v>
      </c>
      <c r="C5301" s="528" t="s">
        <v>15189</v>
      </c>
      <c r="D5301" s="528" t="s">
        <v>251</v>
      </c>
      <c r="E5301" s="528"/>
      <c r="F5301" s="528"/>
      <c r="G5301" s="528" t="s">
        <v>208</v>
      </c>
      <c r="H5301"/>
    </row>
    <row r="5302" spans="1:8" x14ac:dyDescent="0.35">
      <c r="A5302" s="528" t="s">
        <v>15190</v>
      </c>
      <c r="B5302" s="528" t="s">
        <v>15191</v>
      </c>
      <c r="C5302" s="528" t="s">
        <v>15192</v>
      </c>
      <c r="D5302" s="528" t="s">
        <v>251</v>
      </c>
      <c r="E5302" s="528"/>
      <c r="F5302" s="528"/>
      <c r="G5302" s="528" t="s">
        <v>208</v>
      </c>
      <c r="H5302"/>
    </row>
    <row r="5303" spans="1:8" x14ac:dyDescent="0.35">
      <c r="A5303" s="528" t="s">
        <v>15193</v>
      </c>
      <c r="B5303" s="528" t="s">
        <v>15194</v>
      </c>
      <c r="C5303" s="528" t="s">
        <v>15195</v>
      </c>
      <c r="D5303" s="528" t="s">
        <v>251</v>
      </c>
      <c r="E5303" s="528"/>
      <c r="F5303" s="528"/>
      <c r="G5303" s="528" t="s">
        <v>208</v>
      </c>
      <c r="H5303"/>
    </row>
    <row r="5304" spans="1:8" x14ac:dyDescent="0.35">
      <c r="A5304" s="528" t="s">
        <v>15196</v>
      </c>
      <c r="B5304" s="528" t="s">
        <v>15197</v>
      </c>
      <c r="C5304" s="528" t="s">
        <v>15198</v>
      </c>
      <c r="D5304" s="528" t="s">
        <v>225</v>
      </c>
      <c r="E5304" s="528"/>
      <c r="F5304" s="528"/>
      <c r="G5304" s="528" t="s">
        <v>205</v>
      </c>
      <c r="H5304"/>
    </row>
    <row r="5305" spans="1:8" x14ac:dyDescent="0.35">
      <c r="A5305" s="528" t="s">
        <v>15199</v>
      </c>
      <c r="B5305" s="528" t="s">
        <v>15200</v>
      </c>
      <c r="C5305" s="528" t="s">
        <v>15201</v>
      </c>
      <c r="D5305" s="528" t="s">
        <v>225</v>
      </c>
      <c r="E5305" s="528"/>
      <c r="F5305" s="528"/>
      <c r="G5305" s="528" t="s">
        <v>208</v>
      </c>
      <c r="H5305"/>
    </row>
    <row r="5306" spans="1:8" x14ac:dyDescent="0.35">
      <c r="A5306" s="528" t="s">
        <v>15202</v>
      </c>
      <c r="B5306" s="528" t="s">
        <v>15203</v>
      </c>
      <c r="C5306" s="528" t="s">
        <v>15204</v>
      </c>
      <c r="D5306" s="528" t="s">
        <v>225</v>
      </c>
      <c r="E5306" s="528"/>
      <c r="F5306" s="528"/>
      <c r="G5306" s="528" t="s">
        <v>205</v>
      </c>
      <c r="H5306"/>
    </row>
    <row r="5307" spans="1:8" x14ac:dyDescent="0.35">
      <c r="A5307" s="528" t="s">
        <v>15205</v>
      </c>
      <c r="B5307" s="528" t="s">
        <v>15206</v>
      </c>
      <c r="C5307" s="528" t="s">
        <v>15207</v>
      </c>
      <c r="D5307" s="528" t="s">
        <v>225</v>
      </c>
      <c r="E5307" s="528"/>
      <c r="F5307" s="528"/>
      <c r="G5307" s="528" t="s">
        <v>208</v>
      </c>
      <c r="H5307"/>
    </row>
    <row r="5308" spans="1:8" x14ac:dyDescent="0.35">
      <c r="A5308" s="528" t="s">
        <v>15208</v>
      </c>
      <c r="B5308" s="528" t="s">
        <v>15209</v>
      </c>
      <c r="C5308" s="528" t="s">
        <v>15210</v>
      </c>
      <c r="D5308" s="528" t="s">
        <v>264</v>
      </c>
      <c r="E5308" s="528"/>
      <c r="F5308" s="528"/>
      <c r="G5308" s="528" t="s">
        <v>205</v>
      </c>
      <c r="H5308"/>
    </row>
    <row r="5309" spans="1:8" x14ac:dyDescent="0.35">
      <c r="A5309" s="528" t="s">
        <v>15211</v>
      </c>
      <c r="B5309" s="528" t="s">
        <v>15212</v>
      </c>
      <c r="C5309" s="528" t="s">
        <v>15213</v>
      </c>
      <c r="D5309" s="528" t="s">
        <v>277</v>
      </c>
      <c r="E5309" s="528"/>
      <c r="F5309" s="528"/>
      <c r="G5309" s="528" t="s">
        <v>208</v>
      </c>
      <c r="H5309"/>
    </row>
    <row r="5310" spans="1:8" x14ac:dyDescent="0.35">
      <c r="A5310" s="528" t="s">
        <v>15214</v>
      </c>
      <c r="B5310" s="528" t="s">
        <v>15215</v>
      </c>
      <c r="C5310" s="528" t="s">
        <v>15216</v>
      </c>
      <c r="D5310" s="528" t="s">
        <v>238</v>
      </c>
      <c r="E5310" s="528"/>
      <c r="F5310" s="528"/>
      <c r="G5310" s="528" t="s">
        <v>208</v>
      </c>
      <c r="H5310"/>
    </row>
    <row r="5311" spans="1:8" x14ac:dyDescent="0.35">
      <c r="A5311" s="528" t="s">
        <v>15217</v>
      </c>
      <c r="B5311" s="528" t="s">
        <v>15218</v>
      </c>
      <c r="C5311" s="528" t="s">
        <v>15219</v>
      </c>
      <c r="D5311" s="528" t="s">
        <v>238</v>
      </c>
      <c r="E5311" s="528"/>
      <c r="F5311" s="528"/>
      <c r="G5311" s="528" t="s">
        <v>208</v>
      </c>
      <c r="H5311"/>
    </row>
    <row r="5312" spans="1:8" x14ac:dyDescent="0.35">
      <c r="A5312" s="528" t="s">
        <v>15220</v>
      </c>
      <c r="B5312" s="528" t="s">
        <v>15221</v>
      </c>
      <c r="C5312" s="528" t="s">
        <v>15222</v>
      </c>
      <c r="D5312" s="528" t="s">
        <v>238</v>
      </c>
      <c r="E5312" s="528"/>
      <c r="F5312" s="528"/>
      <c r="G5312" s="528" t="s">
        <v>208</v>
      </c>
      <c r="H5312"/>
    </row>
    <row r="5313" spans="1:8" x14ac:dyDescent="0.35">
      <c r="A5313" s="528" t="s">
        <v>15223</v>
      </c>
      <c r="B5313" s="528" t="s">
        <v>15224</v>
      </c>
      <c r="C5313" s="528" t="s">
        <v>15225</v>
      </c>
      <c r="D5313" s="528" t="s">
        <v>238</v>
      </c>
      <c r="E5313" s="528"/>
      <c r="F5313" s="528"/>
      <c r="G5313" s="528" t="s">
        <v>208</v>
      </c>
      <c r="H5313"/>
    </row>
    <row r="5314" spans="1:8" x14ac:dyDescent="0.35">
      <c r="A5314" s="528" t="s">
        <v>15226</v>
      </c>
      <c r="B5314" s="528" t="s">
        <v>15227</v>
      </c>
      <c r="C5314" s="528" t="s">
        <v>15228</v>
      </c>
      <c r="D5314" s="528" t="s">
        <v>277</v>
      </c>
      <c r="E5314" s="528"/>
      <c r="F5314" s="528"/>
      <c r="G5314" s="528" t="s">
        <v>205</v>
      </c>
      <c r="H5314"/>
    </row>
    <row r="5315" spans="1:8" x14ac:dyDescent="0.35">
      <c r="A5315" s="528" t="s">
        <v>15229</v>
      </c>
      <c r="B5315" s="528" t="s">
        <v>15230</v>
      </c>
      <c r="C5315" s="528" t="s">
        <v>15231</v>
      </c>
      <c r="D5315" s="528" t="s">
        <v>251</v>
      </c>
      <c r="E5315" s="528"/>
      <c r="F5315" s="528"/>
      <c r="G5315" s="528" t="s">
        <v>208</v>
      </c>
      <c r="H5315"/>
    </row>
    <row r="5316" spans="1:8" x14ac:dyDescent="0.35">
      <c r="A5316" s="528" t="s">
        <v>15232</v>
      </c>
      <c r="B5316" s="528" t="s">
        <v>15233</v>
      </c>
      <c r="C5316" s="528" t="s">
        <v>15234</v>
      </c>
      <c r="D5316" s="528" t="s">
        <v>251</v>
      </c>
      <c r="E5316" s="528"/>
      <c r="F5316" s="528"/>
      <c r="G5316" s="528" t="s">
        <v>208</v>
      </c>
      <c r="H5316"/>
    </row>
    <row r="5317" spans="1:8" x14ac:dyDescent="0.35">
      <c r="A5317" s="528" t="s">
        <v>15235</v>
      </c>
      <c r="B5317" s="528" t="s">
        <v>15236</v>
      </c>
      <c r="C5317" s="528" t="s">
        <v>15237</v>
      </c>
      <c r="D5317" s="528" t="s">
        <v>251</v>
      </c>
      <c r="E5317" s="528"/>
      <c r="F5317" s="528"/>
      <c r="G5317" s="528" t="s">
        <v>208</v>
      </c>
      <c r="H5317"/>
    </row>
    <row r="5318" spans="1:8" x14ac:dyDescent="0.35">
      <c r="A5318" s="528" t="s">
        <v>15238</v>
      </c>
      <c r="B5318" s="528" t="s">
        <v>15239</v>
      </c>
      <c r="C5318" s="528" t="s">
        <v>15240</v>
      </c>
      <c r="D5318" s="528" t="s">
        <v>251</v>
      </c>
      <c r="E5318" s="528"/>
      <c r="F5318" s="528"/>
      <c r="G5318" s="528" t="s">
        <v>208</v>
      </c>
      <c r="H5318"/>
    </row>
    <row r="5319" spans="1:8" x14ac:dyDescent="0.35">
      <c r="A5319" s="528" t="s">
        <v>15241</v>
      </c>
      <c r="B5319" s="528" t="s">
        <v>15242</v>
      </c>
      <c r="C5319" s="528" t="s">
        <v>15243</v>
      </c>
      <c r="D5319" s="528" t="s">
        <v>251</v>
      </c>
      <c r="E5319" s="528"/>
      <c r="F5319" s="528"/>
      <c r="G5319" s="528" t="s">
        <v>208</v>
      </c>
      <c r="H5319"/>
    </row>
    <row r="5320" spans="1:8" x14ac:dyDescent="0.35">
      <c r="A5320" s="528" t="s">
        <v>15244</v>
      </c>
      <c r="B5320" s="528" t="s">
        <v>15245</v>
      </c>
      <c r="C5320" s="528" t="s">
        <v>15246</v>
      </c>
      <c r="D5320" s="528" t="s">
        <v>277</v>
      </c>
      <c r="E5320" s="528"/>
      <c r="F5320" s="528"/>
      <c r="G5320" s="528" t="s">
        <v>208</v>
      </c>
      <c r="H5320"/>
    </row>
    <row r="5321" spans="1:8" x14ac:dyDescent="0.35">
      <c r="A5321" s="528" t="s">
        <v>15247</v>
      </c>
      <c r="B5321" s="528" t="s">
        <v>15248</v>
      </c>
      <c r="C5321" s="528" t="s">
        <v>15249</v>
      </c>
      <c r="D5321" s="528" t="s">
        <v>277</v>
      </c>
      <c r="E5321" s="528"/>
      <c r="F5321" s="528"/>
      <c r="G5321" s="528" t="s">
        <v>205</v>
      </c>
      <c r="H5321"/>
    </row>
    <row r="5322" spans="1:8" x14ac:dyDescent="0.35">
      <c r="A5322" s="528" t="s">
        <v>15250</v>
      </c>
      <c r="B5322" s="528" t="s">
        <v>15251</v>
      </c>
      <c r="C5322" s="528" t="s">
        <v>15252</v>
      </c>
      <c r="D5322" s="528" t="s">
        <v>251</v>
      </c>
      <c r="E5322" s="528"/>
      <c r="F5322" s="528"/>
      <c r="G5322" s="528" t="s">
        <v>208</v>
      </c>
      <c r="H5322"/>
    </row>
    <row r="5323" spans="1:8" x14ac:dyDescent="0.35">
      <c r="A5323" s="528" t="s">
        <v>15253</v>
      </c>
      <c r="B5323" s="528" t="s">
        <v>15254</v>
      </c>
      <c r="C5323" s="528" t="s">
        <v>15255</v>
      </c>
      <c r="D5323" s="528" t="s">
        <v>264</v>
      </c>
      <c r="E5323" s="528"/>
      <c r="F5323" s="528"/>
      <c r="G5323" s="528" t="s">
        <v>208</v>
      </c>
      <c r="H5323"/>
    </row>
    <row r="5324" spans="1:8" x14ac:dyDescent="0.35">
      <c r="A5324" s="528" t="s">
        <v>15256</v>
      </c>
      <c r="B5324" s="528" t="s">
        <v>15257</v>
      </c>
      <c r="C5324" s="528" t="s">
        <v>15258</v>
      </c>
      <c r="D5324" s="528" t="s">
        <v>264</v>
      </c>
      <c r="E5324" s="528"/>
      <c r="F5324" s="528"/>
      <c r="G5324" s="528" t="s">
        <v>208</v>
      </c>
      <c r="H5324"/>
    </row>
    <row r="5325" spans="1:8" x14ac:dyDescent="0.35">
      <c r="A5325" s="528" t="s">
        <v>15259</v>
      </c>
      <c r="B5325" s="528" t="s">
        <v>15260</v>
      </c>
      <c r="C5325" s="528" t="s">
        <v>15261</v>
      </c>
      <c r="D5325" s="528" t="s">
        <v>251</v>
      </c>
      <c r="E5325" s="528"/>
      <c r="F5325" s="528"/>
      <c r="G5325" s="528" t="s">
        <v>205</v>
      </c>
      <c r="H5325"/>
    </row>
    <row r="5326" spans="1:8" x14ac:dyDescent="0.35">
      <c r="A5326" s="528" t="s">
        <v>15262</v>
      </c>
      <c r="B5326" s="528" t="s">
        <v>15263</v>
      </c>
      <c r="C5326" s="528" t="s">
        <v>15264</v>
      </c>
      <c r="D5326" s="528" t="s">
        <v>264</v>
      </c>
      <c r="E5326" s="528"/>
      <c r="F5326" s="528"/>
      <c r="G5326" s="528" t="s">
        <v>208</v>
      </c>
      <c r="H5326"/>
    </row>
    <row r="5327" spans="1:8" x14ac:dyDescent="0.35">
      <c r="A5327" s="528" t="s">
        <v>15265</v>
      </c>
      <c r="B5327" s="528" t="s">
        <v>15266</v>
      </c>
      <c r="C5327" s="528" t="s">
        <v>15267</v>
      </c>
      <c r="D5327" s="528" t="s">
        <v>277</v>
      </c>
      <c r="E5327" s="528"/>
      <c r="F5327" s="528"/>
      <c r="G5327" s="528" t="s">
        <v>208</v>
      </c>
      <c r="H5327"/>
    </row>
    <row r="5328" spans="1:8" x14ac:dyDescent="0.35">
      <c r="A5328" s="528" t="s">
        <v>15268</v>
      </c>
      <c r="B5328" s="528" t="s">
        <v>15269</v>
      </c>
      <c r="C5328" s="528" t="s">
        <v>15270</v>
      </c>
      <c r="D5328" s="528" t="s">
        <v>277</v>
      </c>
      <c r="E5328" s="528"/>
      <c r="F5328" s="528"/>
      <c r="G5328" s="528" t="s">
        <v>208</v>
      </c>
      <c r="H5328"/>
    </row>
    <row r="5329" spans="1:8" x14ac:dyDescent="0.35">
      <c r="A5329" s="528" t="s">
        <v>15271</v>
      </c>
      <c r="B5329" s="528" t="s">
        <v>15272</v>
      </c>
      <c r="C5329" s="528" t="s">
        <v>15273</v>
      </c>
      <c r="D5329" s="528" t="s">
        <v>277</v>
      </c>
      <c r="E5329" s="528"/>
      <c r="F5329" s="528"/>
      <c r="G5329" s="528" t="s">
        <v>208</v>
      </c>
      <c r="H5329"/>
    </row>
    <row r="5330" spans="1:8" x14ac:dyDescent="0.35">
      <c r="A5330" s="528" t="s">
        <v>15274</v>
      </c>
      <c r="B5330" s="528" t="s">
        <v>15275</v>
      </c>
      <c r="C5330" s="528" t="s">
        <v>15276</v>
      </c>
      <c r="D5330" s="528" t="s">
        <v>251</v>
      </c>
      <c r="E5330" s="528"/>
      <c r="F5330" s="528"/>
      <c r="G5330" s="528" t="s">
        <v>205</v>
      </c>
      <c r="H5330"/>
    </row>
    <row r="5331" spans="1:8" x14ac:dyDescent="0.35">
      <c r="A5331" s="528" t="s">
        <v>15277</v>
      </c>
      <c r="B5331" s="528" t="s">
        <v>15278</v>
      </c>
      <c r="C5331" s="528" t="s">
        <v>15279</v>
      </c>
      <c r="D5331" s="528" t="s">
        <v>277</v>
      </c>
      <c r="E5331" s="528"/>
      <c r="F5331" s="528"/>
      <c r="G5331" s="528" t="s">
        <v>205</v>
      </c>
      <c r="H5331"/>
    </row>
    <row r="5332" spans="1:8" x14ac:dyDescent="0.35">
      <c r="A5332" s="528" t="s">
        <v>15280</v>
      </c>
      <c r="B5332" s="528" t="s">
        <v>15281</v>
      </c>
      <c r="C5332" s="528" t="s">
        <v>15282</v>
      </c>
      <c r="D5332" s="528" t="s">
        <v>251</v>
      </c>
      <c r="E5332" s="528"/>
      <c r="F5332" s="528"/>
      <c r="G5332" s="528" t="s">
        <v>205</v>
      </c>
      <c r="H5332"/>
    </row>
    <row r="5333" spans="1:8" x14ac:dyDescent="0.35">
      <c r="A5333" s="528" t="s">
        <v>15283</v>
      </c>
      <c r="B5333" s="528" t="s">
        <v>15284</v>
      </c>
      <c r="C5333" s="528" t="s">
        <v>15285</v>
      </c>
      <c r="D5333" s="528" t="s">
        <v>238</v>
      </c>
      <c r="E5333" s="528"/>
      <c r="F5333" s="528"/>
      <c r="G5333" s="528" t="s">
        <v>208</v>
      </c>
      <c r="H5333"/>
    </row>
    <row r="5334" spans="1:8" x14ac:dyDescent="0.35">
      <c r="A5334" s="528" t="s">
        <v>15286</v>
      </c>
      <c r="B5334" s="528" t="s">
        <v>15287</v>
      </c>
      <c r="C5334" s="528" t="s">
        <v>15288</v>
      </c>
      <c r="D5334" s="528" t="s">
        <v>264</v>
      </c>
      <c r="E5334" s="528" t="s">
        <v>277</v>
      </c>
      <c r="F5334" s="528"/>
      <c r="G5334" s="528" t="s">
        <v>208</v>
      </c>
      <c r="H5334"/>
    </row>
    <row r="5335" spans="1:8" x14ac:dyDescent="0.35">
      <c r="A5335" s="528" t="s">
        <v>15289</v>
      </c>
      <c r="B5335" s="528" t="s">
        <v>15290</v>
      </c>
      <c r="C5335" s="528" t="s">
        <v>15291</v>
      </c>
      <c r="D5335" s="528" t="s">
        <v>225</v>
      </c>
      <c r="E5335" s="528" t="s">
        <v>277</v>
      </c>
      <c r="F5335" s="528"/>
      <c r="G5335" s="528" t="s">
        <v>208</v>
      </c>
      <c r="H5335"/>
    </row>
    <row r="5336" spans="1:8" x14ac:dyDescent="0.35">
      <c r="A5336" s="528" t="s">
        <v>15292</v>
      </c>
      <c r="B5336" s="528" t="s">
        <v>15293</v>
      </c>
      <c r="C5336" s="528" t="s">
        <v>15294</v>
      </c>
      <c r="D5336" s="528" t="s">
        <v>264</v>
      </c>
      <c r="E5336" s="528" t="s">
        <v>277</v>
      </c>
      <c r="F5336" s="528"/>
      <c r="G5336" s="528" t="s">
        <v>208</v>
      </c>
      <c r="H5336"/>
    </row>
    <row r="5337" spans="1:8" x14ac:dyDescent="0.35">
      <c r="A5337" s="528" t="s">
        <v>15295</v>
      </c>
      <c r="B5337" s="528" t="s">
        <v>15296</v>
      </c>
      <c r="C5337" s="528" t="s">
        <v>15297</v>
      </c>
      <c r="D5337" s="528" t="s">
        <v>264</v>
      </c>
      <c r="E5337" s="528"/>
      <c r="F5337" s="528"/>
      <c r="G5337" s="528" t="s">
        <v>205</v>
      </c>
      <c r="H5337"/>
    </row>
    <row r="5338" spans="1:8" x14ac:dyDescent="0.35">
      <c r="A5338" s="528" t="s">
        <v>15298</v>
      </c>
      <c r="B5338" s="528" t="s">
        <v>15299</v>
      </c>
      <c r="C5338" s="528" t="s">
        <v>15300</v>
      </c>
      <c r="D5338" s="528" t="s">
        <v>277</v>
      </c>
      <c r="E5338" s="528"/>
      <c r="F5338" s="528"/>
      <c r="G5338" s="528" t="s">
        <v>205</v>
      </c>
      <c r="H5338"/>
    </row>
    <row r="5339" spans="1:8" x14ac:dyDescent="0.35">
      <c r="A5339" s="528" t="s">
        <v>15301</v>
      </c>
      <c r="B5339" s="528" t="s">
        <v>15302</v>
      </c>
      <c r="C5339" s="528" t="s">
        <v>15303</v>
      </c>
      <c r="D5339" s="528" t="s">
        <v>264</v>
      </c>
      <c r="E5339" s="528"/>
      <c r="F5339" s="528"/>
      <c r="G5339" s="528" t="s">
        <v>205</v>
      </c>
      <c r="H5339"/>
    </row>
    <row r="5340" spans="1:8" x14ac:dyDescent="0.35">
      <c r="A5340" s="528" t="s">
        <v>15304</v>
      </c>
      <c r="B5340" s="528" t="s">
        <v>15305</v>
      </c>
      <c r="C5340" s="528" t="s">
        <v>15306</v>
      </c>
      <c r="D5340" s="528" t="s">
        <v>264</v>
      </c>
      <c r="E5340" s="528"/>
      <c r="F5340" s="528"/>
      <c r="G5340" s="528" t="s">
        <v>208</v>
      </c>
      <c r="H5340"/>
    </row>
    <row r="5341" spans="1:8" x14ac:dyDescent="0.35">
      <c r="A5341" s="528" t="s">
        <v>15307</v>
      </c>
      <c r="B5341" s="528" t="s">
        <v>15308</v>
      </c>
      <c r="C5341" s="528" t="s">
        <v>15309</v>
      </c>
      <c r="D5341" s="528" t="s">
        <v>264</v>
      </c>
      <c r="E5341" s="528"/>
      <c r="F5341" s="528"/>
      <c r="G5341" s="528" t="s">
        <v>208</v>
      </c>
      <c r="H5341"/>
    </row>
    <row r="5342" spans="1:8" x14ac:dyDescent="0.35">
      <c r="A5342" s="528" t="s">
        <v>15310</v>
      </c>
      <c r="B5342" s="528" t="s">
        <v>15311</v>
      </c>
      <c r="C5342" s="528" t="s">
        <v>15312</v>
      </c>
      <c r="D5342" s="528" t="s">
        <v>238</v>
      </c>
      <c r="E5342" s="528"/>
      <c r="F5342" s="528"/>
      <c r="G5342" s="528" t="s">
        <v>208</v>
      </c>
      <c r="H5342"/>
    </row>
    <row r="5343" spans="1:8" x14ac:dyDescent="0.35">
      <c r="A5343" s="528" t="s">
        <v>15313</v>
      </c>
      <c r="B5343" s="528" t="s">
        <v>15314</v>
      </c>
      <c r="C5343" s="528" t="s">
        <v>15315</v>
      </c>
      <c r="D5343" s="528" t="s">
        <v>264</v>
      </c>
      <c r="E5343" s="528"/>
      <c r="F5343" s="528"/>
      <c r="G5343" s="528" t="s">
        <v>205</v>
      </c>
      <c r="H5343"/>
    </row>
    <row r="5344" spans="1:8" x14ac:dyDescent="0.35">
      <c r="A5344" s="528" t="s">
        <v>15316</v>
      </c>
      <c r="B5344" s="528" t="s">
        <v>15317</v>
      </c>
      <c r="C5344" s="528" t="s">
        <v>15318</v>
      </c>
      <c r="D5344" s="528" t="s">
        <v>251</v>
      </c>
      <c r="E5344" s="528"/>
      <c r="F5344" s="528"/>
      <c r="G5344" s="528" t="s">
        <v>205</v>
      </c>
      <c r="H5344"/>
    </row>
    <row r="5345" spans="1:8" x14ac:dyDescent="0.35">
      <c r="A5345" s="528" t="s">
        <v>15319</v>
      </c>
      <c r="B5345" s="528" t="s">
        <v>15320</v>
      </c>
      <c r="C5345" s="528" t="s">
        <v>15321</v>
      </c>
      <c r="D5345" s="528" t="s">
        <v>225</v>
      </c>
      <c r="E5345" s="528"/>
      <c r="F5345" s="528"/>
      <c r="G5345" s="528" t="s">
        <v>208</v>
      </c>
      <c r="H5345"/>
    </row>
    <row r="5346" spans="1:8" x14ac:dyDescent="0.35">
      <c r="A5346" s="528" t="s">
        <v>15322</v>
      </c>
      <c r="B5346" s="528" t="s">
        <v>15323</v>
      </c>
      <c r="C5346" s="528" t="s">
        <v>15324</v>
      </c>
      <c r="D5346" s="528" t="s">
        <v>251</v>
      </c>
      <c r="E5346" s="528"/>
      <c r="F5346" s="528"/>
      <c r="G5346" s="528" t="s">
        <v>208</v>
      </c>
      <c r="H5346"/>
    </row>
    <row r="5347" spans="1:8" x14ac:dyDescent="0.35">
      <c r="A5347" s="528" t="s">
        <v>15325</v>
      </c>
      <c r="B5347" s="528" t="s">
        <v>15326</v>
      </c>
      <c r="C5347" s="528" t="s">
        <v>15327</v>
      </c>
      <c r="D5347" s="528" t="s">
        <v>251</v>
      </c>
      <c r="E5347" s="528"/>
      <c r="F5347" s="528"/>
      <c r="G5347" s="528" t="s">
        <v>208</v>
      </c>
      <c r="H5347"/>
    </row>
    <row r="5348" spans="1:8" x14ac:dyDescent="0.35">
      <c r="A5348" s="528" t="s">
        <v>15328</v>
      </c>
      <c r="B5348" s="528" t="s">
        <v>15329</v>
      </c>
      <c r="C5348" s="528" t="s">
        <v>15330</v>
      </c>
      <c r="D5348" s="528" t="s">
        <v>277</v>
      </c>
      <c r="E5348" s="528"/>
      <c r="F5348" s="528"/>
      <c r="G5348" s="528" t="s">
        <v>208</v>
      </c>
      <c r="H5348"/>
    </row>
    <row r="5349" spans="1:8" x14ac:dyDescent="0.35">
      <c r="A5349" s="528" t="s">
        <v>15331</v>
      </c>
      <c r="B5349" s="528" t="s">
        <v>15332</v>
      </c>
      <c r="C5349" s="528" t="s">
        <v>15333</v>
      </c>
      <c r="D5349" s="528" t="s">
        <v>251</v>
      </c>
      <c r="E5349" s="528"/>
      <c r="F5349" s="528"/>
      <c r="G5349" s="528" t="s">
        <v>208</v>
      </c>
      <c r="H5349"/>
    </row>
    <row r="5350" spans="1:8" x14ac:dyDescent="0.35">
      <c r="A5350" s="528" t="s">
        <v>15334</v>
      </c>
      <c r="B5350" s="528" t="s">
        <v>15335</v>
      </c>
      <c r="C5350" s="528" t="s">
        <v>15336</v>
      </c>
      <c r="D5350" s="528" t="s">
        <v>238</v>
      </c>
      <c r="E5350" s="528"/>
      <c r="F5350" s="528"/>
      <c r="G5350" s="528" t="s">
        <v>208</v>
      </c>
      <c r="H5350"/>
    </row>
    <row r="5351" spans="1:8" x14ac:dyDescent="0.35">
      <c r="A5351" s="528" t="s">
        <v>15337</v>
      </c>
      <c r="B5351" s="528" t="s">
        <v>15338</v>
      </c>
      <c r="C5351" s="528" t="s">
        <v>15339</v>
      </c>
      <c r="D5351" s="528" t="s">
        <v>225</v>
      </c>
      <c r="E5351" s="528"/>
      <c r="F5351" s="528"/>
      <c r="G5351" s="528" t="s">
        <v>205</v>
      </c>
      <c r="H5351"/>
    </row>
    <row r="5352" spans="1:8" x14ac:dyDescent="0.35">
      <c r="A5352" s="528" t="s">
        <v>15340</v>
      </c>
      <c r="B5352" s="528" t="s">
        <v>15341</v>
      </c>
      <c r="C5352" s="528" t="s">
        <v>15342</v>
      </c>
      <c r="D5352" s="528" t="s">
        <v>225</v>
      </c>
      <c r="E5352" s="528"/>
      <c r="F5352" s="528"/>
      <c r="G5352" s="528" t="s">
        <v>205</v>
      </c>
      <c r="H5352"/>
    </row>
    <row r="5353" spans="1:8" x14ac:dyDescent="0.35">
      <c r="A5353" s="528" t="s">
        <v>15343</v>
      </c>
      <c r="B5353" s="528" t="s">
        <v>15344</v>
      </c>
      <c r="C5353" s="528" t="s">
        <v>15345</v>
      </c>
      <c r="D5353" s="528" t="s">
        <v>238</v>
      </c>
      <c r="E5353" s="528"/>
      <c r="F5353" s="528"/>
      <c r="G5353" s="528" t="s">
        <v>205</v>
      </c>
      <c r="H5353"/>
    </row>
    <row r="5354" spans="1:8" x14ac:dyDescent="0.35">
      <c r="A5354" s="528" t="s">
        <v>15346</v>
      </c>
      <c r="B5354" s="528" t="s">
        <v>15347</v>
      </c>
      <c r="C5354" s="528" t="s">
        <v>15348</v>
      </c>
      <c r="D5354" s="528" t="s">
        <v>251</v>
      </c>
      <c r="E5354" s="528"/>
      <c r="F5354" s="528"/>
      <c r="G5354" s="528" t="s">
        <v>205</v>
      </c>
      <c r="H5354"/>
    </row>
    <row r="5355" spans="1:8" x14ac:dyDescent="0.35">
      <c r="A5355" s="528" t="s">
        <v>15349</v>
      </c>
      <c r="B5355" s="528" t="s">
        <v>15350</v>
      </c>
      <c r="C5355" s="528" t="s">
        <v>15351</v>
      </c>
      <c r="D5355" s="528" t="s">
        <v>277</v>
      </c>
      <c r="E5355" s="528"/>
      <c r="F5355" s="528"/>
      <c r="G5355" s="528" t="s">
        <v>205</v>
      </c>
      <c r="H5355"/>
    </row>
    <row r="5356" spans="1:8" x14ac:dyDescent="0.35">
      <c r="A5356" s="528" t="s">
        <v>15352</v>
      </c>
      <c r="B5356" s="528" t="s">
        <v>15353</v>
      </c>
      <c r="C5356" s="528" t="s">
        <v>15354</v>
      </c>
      <c r="D5356" s="528" t="s">
        <v>251</v>
      </c>
      <c r="E5356" s="528"/>
      <c r="F5356" s="528"/>
      <c r="G5356" s="528" t="s">
        <v>205</v>
      </c>
      <c r="H5356"/>
    </row>
    <row r="5357" spans="1:8" x14ac:dyDescent="0.35">
      <c r="A5357" s="528" t="s">
        <v>15355</v>
      </c>
      <c r="B5357" s="528" t="s">
        <v>15356</v>
      </c>
      <c r="C5357" s="528" t="s">
        <v>15357</v>
      </c>
      <c r="D5357" s="528" t="s">
        <v>251</v>
      </c>
      <c r="E5357" s="528"/>
      <c r="F5357" s="528"/>
      <c r="G5357" s="528" t="s">
        <v>205</v>
      </c>
      <c r="H5357"/>
    </row>
    <row r="5358" spans="1:8" x14ac:dyDescent="0.35">
      <c r="A5358" s="528" t="s">
        <v>15358</v>
      </c>
      <c r="B5358" s="528" t="s">
        <v>15359</v>
      </c>
      <c r="C5358" s="528" t="s">
        <v>15360</v>
      </c>
      <c r="D5358" s="528" t="s">
        <v>277</v>
      </c>
      <c r="E5358" s="528"/>
      <c r="F5358" s="528"/>
      <c r="G5358" s="528" t="s">
        <v>205</v>
      </c>
      <c r="H5358"/>
    </row>
    <row r="5359" spans="1:8" x14ac:dyDescent="0.35">
      <c r="A5359" s="528" t="s">
        <v>15361</v>
      </c>
      <c r="B5359" s="528" t="s">
        <v>15362</v>
      </c>
      <c r="C5359" s="528" t="s">
        <v>15363</v>
      </c>
      <c r="D5359" s="528" t="s">
        <v>264</v>
      </c>
      <c r="E5359" s="528"/>
      <c r="F5359" s="528"/>
      <c r="G5359" s="528" t="s">
        <v>205</v>
      </c>
      <c r="H5359"/>
    </row>
    <row r="5360" spans="1:8" x14ac:dyDescent="0.35">
      <c r="A5360" s="528" t="s">
        <v>15364</v>
      </c>
      <c r="B5360" s="528" t="s">
        <v>15365</v>
      </c>
      <c r="C5360" s="528" t="s">
        <v>15366</v>
      </c>
      <c r="D5360" s="528" t="s">
        <v>277</v>
      </c>
      <c r="E5360" s="528"/>
      <c r="F5360" s="528"/>
      <c r="G5360" s="528" t="s">
        <v>205</v>
      </c>
      <c r="H5360"/>
    </row>
    <row r="5361" spans="1:8" x14ac:dyDescent="0.35">
      <c r="A5361" s="528" t="s">
        <v>15367</v>
      </c>
      <c r="B5361" s="528" t="s">
        <v>15368</v>
      </c>
      <c r="C5361" s="528" t="s">
        <v>15369</v>
      </c>
      <c r="D5361" s="528" t="s">
        <v>238</v>
      </c>
      <c r="E5361" s="528"/>
      <c r="F5361" s="528"/>
      <c r="G5361" s="528" t="s">
        <v>208</v>
      </c>
      <c r="H5361"/>
    </row>
    <row r="5362" spans="1:8" x14ac:dyDescent="0.35">
      <c r="A5362" s="528" t="s">
        <v>15370</v>
      </c>
      <c r="B5362" s="528" t="s">
        <v>15371</v>
      </c>
      <c r="C5362" s="528" t="s">
        <v>15372</v>
      </c>
      <c r="D5362" s="528" t="s">
        <v>277</v>
      </c>
      <c r="E5362" s="528"/>
      <c r="F5362" s="528"/>
      <c r="G5362" s="528" t="s">
        <v>208</v>
      </c>
      <c r="H5362"/>
    </row>
    <row r="5363" spans="1:8" x14ac:dyDescent="0.35">
      <c r="A5363" s="528" t="s">
        <v>15373</v>
      </c>
      <c r="B5363" s="528" t="s">
        <v>15374</v>
      </c>
      <c r="C5363" s="528" t="s">
        <v>15375</v>
      </c>
      <c r="D5363" s="528" t="s">
        <v>264</v>
      </c>
      <c r="E5363" s="528"/>
      <c r="F5363" s="528"/>
      <c r="G5363" s="528" t="s">
        <v>208</v>
      </c>
      <c r="H5363"/>
    </row>
    <row r="5364" spans="1:8" x14ac:dyDescent="0.35">
      <c r="A5364" s="528" t="s">
        <v>15376</v>
      </c>
      <c r="B5364" s="528" t="s">
        <v>15377</v>
      </c>
      <c r="C5364" s="528" t="s">
        <v>15378</v>
      </c>
      <c r="D5364" s="528" t="s">
        <v>264</v>
      </c>
      <c r="E5364" s="528"/>
      <c r="F5364" s="528"/>
      <c r="G5364" s="528" t="s">
        <v>208</v>
      </c>
      <c r="H5364"/>
    </row>
    <row r="5365" spans="1:8" x14ac:dyDescent="0.35">
      <c r="A5365" s="528" t="s">
        <v>15379</v>
      </c>
      <c r="B5365" s="528" t="s">
        <v>15380</v>
      </c>
      <c r="C5365" s="528" t="s">
        <v>15381</v>
      </c>
      <c r="D5365" s="528" t="s">
        <v>277</v>
      </c>
      <c r="E5365" s="528"/>
      <c r="F5365" s="528"/>
      <c r="G5365" s="528" t="s">
        <v>205</v>
      </c>
      <c r="H5365"/>
    </row>
    <row r="5366" spans="1:8" x14ac:dyDescent="0.35">
      <c r="A5366" s="528" t="s">
        <v>15382</v>
      </c>
      <c r="B5366" s="528" t="s">
        <v>15383</v>
      </c>
      <c r="C5366" s="528" t="s">
        <v>15384</v>
      </c>
      <c r="D5366" s="528" t="s">
        <v>277</v>
      </c>
      <c r="E5366" s="528"/>
      <c r="F5366" s="528"/>
      <c r="G5366" s="528" t="s">
        <v>208</v>
      </c>
      <c r="H5366"/>
    </row>
    <row r="5367" spans="1:8" x14ac:dyDescent="0.35">
      <c r="A5367" s="528" t="s">
        <v>15385</v>
      </c>
      <c r="B5367" s="528" t="s">
        <v>15386</v>
      </c>
      <c r="C5367" s="528" t="s">
        <v>15387</v>
      </c>
      <c r="D5367" s="528" t="s">
        <v>277</v>
      </c>
      <c r="E5367" s="528"/>
      <c r="F5367" s="528"/>
      <c r="G5367" s="528" t="s">
        <v>208</v>
      </c>
      <c r="H5367"/>
    </row>
    <row r="5368" spans="1:8" x14ac:dyDescent="0.35">
      <c r="A5368" s="528" t="s">
        <v>15388</v>
      </c>
      <c r="B5368" s="528" t="s">
        <v>15389</v>
      </c>
      <c r="C5368" s="528" t="s">
        <v>15390</v>
      </c>
      <c r="D5368" s="528" t="s">
        <v>264</v>
      </c>
      <c r="E5368" s="528"/>
      <c r="F5368" s="528"/>
      <c r="G5368" s="528" t="s">
        <v>205</v>
      </c>
      <c r="H5368"/>
    </row>
    <row r="5369" spans="1:8" x14ac:dyDescent="0.35">
      <c r="A5369" s="528" t="s">
        <v>15391</v>
      </c>
      <c r="B5369" s="528" t="s">
        <v>15392</v>
      </c>
      <c r="C5369" s="528" t="s">
        <v>15393</v>
      </c>
      <c r="D5369" s="528" t="s">
        <v>277</v>
      </c>
      <c r="E5369" s="528"/>
      <c r="F5369" s="528"/>
      <c r="G5369" s="528" t="s">
        <v>208</v>
      </c>
      <c r="H5369"/>
    </row>
    <row r="5370" spans="1:8" x14ac:dyDescent="0.35">
      <c r="A5370" s="528" t="s">
        <v>15394</v>
      </c>
      <c r="B5370" s="528" t="s">
        <v>15395</v>
      </c>
      <c r="C5370" s="528" t="s">
        <v>15396</v>
      </c>
      <c r="D5370" s="528" t="s">
        <v>277</v>
      </c>
      <c r="E5370" s="528"/>
      <c r="F5370" s="528"/>
      <c r="G5370" s="528" t="s">
        <v>205</v>
      </c>
      <c r="H5370"/>
    </row>
    <row r="5371" spans="1:8" x14ac:dyDescent="0.35">
      <c r="A5371" s="528" t="s">
        <v>15397</v>
      </c>
      <c r="B5371" s="528" t="s">
        <v>15398</v>
      </c>
      <c r="C5371" s="528" t="s">
        <v>15399</v>
      </c>
      <c r="D5371" s="528" t="s">
        <v>238</v>
      </c>
      <c r="E5371" s="528"/>
      <c r="F5371" s="528"/>
      <c r="G5371" s="528" t="s">
        <v>205</v>
      </c>
      <c r="H5371"/>
    </row>
    <row r="5372" spans="1:8" x14ac:dyDescent="0.35">
      <c r="A5372" s="528" t="s">
        <v>15400</v>
      </c>
      <c r="B5372" s="528" t="s">
        <v>15401</v>
      </c>
      <c r="C5372" s="528" t="s">
        <v>15402</v>
      </c>
      <c r="D5372" s="528" t="s">
        <v>251</v>
      </c>
      <c r="E5372" s="528"/>
      <c r="F5372" s="528"/>
      <c r="G5372" s="528" t="s">
        <v>208</v>
      </c>
      <c r="H5372"/>
    </row>
    <row r="5373" spans="1:8" x14ac:dyDescent="0.35">
      <c r="A5373" s="528" t="s">
        <v>15403</v>
      </c>
      <c r="B5373" s="528" t="s">
        <v>15404</v>
      </c>
      <c r="C5373" s="528" t="s">
        <v>15405</v>
      </c>
      <c r="D5373" s="528" t="s">
        <v>277</v>
      </c>
      <c r="E5373" s="528"/>
      <c r="F5373" s="528"/>
      <c r="G5373" s="528" t="s">
        <v>205</v>
      </c>
      <c r="H5373"/>
    </row>
    <row r="5374" spans="1:8" x14ac:dyDescent="0.35">
      <c r="A5374" s="528" t="s">
        <v>15406</v>
      </c>
      <c r="B5374" s="528" t="s">
        <v>15407</v>
      </c>
      <c r="C5374" s="528" t="s">
        <v>15408</v>
      </c>
      <c r="D5374" s="528" t="s">
        <v>277</v>
      </c>
      <c r="E5374" s="528"/>
      <c r="F5374" s="528"/>
      <c r="G5374" s="528" t="s">
        <v>208</v>
      </c>
      <c r="H5374"/>
    </row>
    <row r="5375" spans="1:8" x14ac:dyDescent="0.35">
      <c r="A5375" s="528" t="s">
        <v>15409</v>
      </c>
      <c r="B5375" s="528" t="s">
        <v>15410</v>
      </c>
      <c r="C5375" s="528" t="s">
        <v>15411</v>
      </c>
      <c r="D5375" s="528" t="s">
        <v>225</v>
      </c>
      <c r="E5375" s="528"/>
      <c r="F5375" s="528"/>
      <c r="G5375" s="528" t="s">
        <v>205</v>
      </c>
      <c r="H5375"/>
    </row>
    <row r="5376" spans="1:8" x14ac:dyDescent="0.35">
      <c r="A5376" s="528" t="s">
        <v>15412</v>
      </c>
      <c r="B5376" s="528" t="s">
        <v>15413</v>
      </c>
      <c r="C5376" s="528" t="s">
        <v>15414</v>
      </c>
      <c r="D5376" s="528" t="s">
        <v>225</v>
      </c>
      <c r="E5376" s="528"/>
      <c r="F5376" s="528"/>
      <c r="G5376" s="528" t="s">
        <v>205</v>
      </c>
      <c r="H5376"/>
    </row>
    <row r="5377" spans="1:8" x14ac:dyDescent="0.35">
      <c r="A5377" s="528" t="s">
        <v>15415</v>
      </c>
      <c r="B5377" s="528" t="s">
        <v>15416</v>
      </c>
      <c r="C5377" s="528" t="s">
        <v>15417</v>
      </c>
      <c r="D5377" s="528" t="s">
        <v>225</v>
      </c>
      <c r="E5377" s="528"/>
      <c r="F5377" s="528"/>
      <c r="G5377" s="528" t="s">
        <v>208</v>
      </c>
      <c r="H5377"/>
    </row>
    <row r="5378" spans="1:8" x14ac:dyDescent="0.35">
      <c r="A5378" s="528" t="s">
        <v>15418</v>
      </c>
      <c r="B5378" s="528" t="s">
        <v>15419</v>
      </c>
      <c r="C5378" s="528" t="s">
        <v>15420</v>
      </c>
      <c r="D5378" s="528" t="s">
        <v>225</v>
      </c>
      <c r="E5378" s="528"/>
      <c r="F5378" s="528"/>
      <c r="G5378" s="528" t="s">
        <v>208</v>
      </c>
      <c r="H5378"/>
    </row>
    <row r="5379" spans="1:8" x14ac:dyDescent="0.35">
      <c r="A5379" s="528" t="s">
        <v>15421</v>
      </c>
      <c r="B5379" s="528" t="s">
        <v>15422</v>
      </c>
      <c r="C5379" s="528" t="s">
        <v>15423</v>
      </c>
      <c r="D5379" s="528" t="s">
        <v>277</v>
      </c>
      <c r="E5379" s="528"/>
      <c r="F5379" s="528"/>
      <c r="G5379" s="528" t="s">
        <v>205</v>
      </c>
      <c r="H5379"/>
    </row>
    <row r="5380" spans="1:8" x14ac:dyDescent="0.35">
      <c r="A5380" s="528" t="s">
        <v>15424</v>
      </c>
      <c r="B5380" s="528" t="s">
        <v>15425</v>
      </c>
      <c r="C5380" s="528" t="s">
        <v>15426</v>
      </c>
      <c r="D5380" s="528" t="s">
        <v>264</v>
      </c>
      <c r="E5380" s="528"/>
      <c r="F5380" s="528"/>
      <c r="G5380" s="528" t="s">
        <v>205</v>
      </c>
      <c r="H5380"/>
    </row>
    <row r="5381" spans="1:8" x14ac:dyDescent="0.35">
      <c r="A5381" s="528" t="s">
        <v>15427</v>
      </c>
      <c r="B5381" s="528" t="s">
        <v>15428</v>
      </c>
      <c r="C5381" s="528" t="s">
        <v>15429</v>
      </c>
      <c r="D5381" s="528" t="s">
        <v>264</v>
      </c>
      <c r="E5381" s="528"/>
      <c r="F5381" s="528"/>
      <c r="G5381" s="528" t="s">
        <v>205</v>
      </c>
      <c r="H5381"/>
    </row>
    <row r="5382" spans="1:8" x14ac:dyDescent="0.35">
      <c r="A5382" s="528" t="s">
        <v>15430</v>
      </c>
      <c r="B5382" s="528" t="s">
        <v>15431</v>
      </c>
      <c r="C5382" s="528" t="s">
        <v>15432</v>
      </c>
      <c r="D5382" s="528" t="s">
        <v>264</v>
      </c>
      <c r="E5382" s="528"/>
      <c r="F5382" s="528"/>
      <c r="G5382" s="528" t="s">
        <v>208</v>
      </c>
      <c r="H5382"/>
    </row>
    <row r="5383" spans="1:8" x14ac:dyDescent="0.35">
      <c r="A5383" s="528" t="s">
        <v>15433</v>
      </c>
      <c r="B5383" s="528" t="s">
        <v>15434</v>
      </c>
      <c r="C5383" s="528" t="s">
        <v>15435</v>
      </c>
      <c r="D5383" s="528" t="s">
        <v>277</v>
      </c>
      <c r="E5383" s="528"/>
      <c r="F5383" s="528"/>
      <c r="G5383" s="528" t="s">
        <v>208</v>
      </c>
      <c r="H5383"/>
    </row>
    <row r="5384" spans="1:8" x14ac:dyDescent="0.35">
      <c r="A5384" s="528" t="s">
        <v>15436</v>
      </c>
      <c r="B5384" s="528" t="s">
        <v>15437</v>
      </c>
      <c r="C5384" s="528" t="s">
        <v>15438</v>
      </c>
      <c r="D5384" s="528" t="s">
        <v>251</v>
      </c>
      <c r="E5384" s="528"/>
      <c r="F5384" s="528"/>
      <c r="G5384" s="528" t="s">
        <v>205</v>
      </c>
      <c r="H5384"/>
    </row>
    <row r="5385" spans="1:8" x14ac:dyDescent="0.35">
      <c r="A5385" s="528" t="s">
        <v>15439</v>
      </c>
      <c r="B5385" s="528" t="s">
        <v>15440</v>
      </c>
      <c r="C5385" s="528" t="s">
        <v>15441</v>
      </c>
      <c r="D5385" s="528" t="s">
        <v>264</v>
      </c>
      <c r="E5385" s="528"/>
      <c r="F5385" s="528"/>
      <c r="G5385" s="528" t="s">
        <v>205</v>
      </c>
      <c r="H5385"/>
    </row>
    <row r="5386" spans="1:8" x14ac:dyDescent="0.35">
      <c r="A5386" s="528" t="s">
        <v>15442</v>
      </c>
      <c r="B5386" s="528" t="s">
        <v>15443</v>
      </c>
      <c r="C5386" s="528" t="s">
        <v>15444</v>
      </c>
      <c r="D5386" s="528" t="s">
        <v>264</v>
      </c>
      <c r="E5386" s="528"/>
      <c r="F5386" s="528"/>
      <c r="G5386" s="528" t="s">
        <v>210</v>
      </c>
      <c r="H5386"/>
    </row>
    <row r="5387" spans="1:8" x14ac:dyDescent="0.35">
      <c r="A5387" s="528" t="s">
        <v>15445</v>
      </c>
      <c r="B5387" s="528" t="s">
        <v>15446</v>
      </c>
      <c r="C5387" s="528" t="s">
        <v>15447</v>
      </c>
      <c r="D5387" s="528" t="s">
        <v>277</v>
      </c>
      <c r="E5387" s="528"/>
      <c r="F5387" s="528"/>
      <c r="G5387" s="528" t="s">
        <v>208</v>
      </c>
      <c r="H5387"/>
    </row>
    <row r="5388" spans="1:8" x14ac:dyDescent="0.35">
      <c r="A5388" s="528" t="s">
        <v>15448</v>
      </c>
      <c r="B5388" s="528" t="s">
        <v>15449</v>
      </c>
      <c r="C5388" s="528" t="s">
        <v>15450</v>
      </c>
      <c r="D5388" s="528" t="s">
        <v>277</v>
      </c>
      <c r="E5388" s="528"/>
      <c r="F5388" s="528"/>
      <c r="G5388" s="528" t="s">
        <v>208</v>
      </c>
      <c r="H5388"/>
    </row>
    <row r="5389" spans="1:8" x14ac:dyDescent="0.35">
      <c r="A5389" s="528" t="s">
        <v>15451</v>
      </c>
      <c r="B5389" s="528" t="s">
        <v>15452</v>
      </c>
      <c r="C5389" s="528" t="s">
        <v>15453</v>
      </c>
      <c r="D5389" s="528" t="s">
        <v>277</v>
      </c>
      <c r="E5389" s="528"/>
      <c r="F5389" s="528"/>
      <c r="G5389" s="528" t="s">
        <v>208</v>
      </c>
      <c r="H5389"/>
    </row>
    <row r="5390" spans="1:8" x14ac:dyDescent="0.35">
      <c r="A5390" s="528" t="s">
        <v>15454</v>
      </c>
      <c r="B5390" s="528" t="s">
        <v>15455</v>
      </c>
      <c r="C5390" s="528" t="s">
        <v>15456</v>
      </c>
      <c r="D5390" s="528" t="s">
        <v>277</v>
      </c>
      <c r="E5390" s="528"/>
      <c r="F5390" s="528"/>
      <c r="G5390" s="528" t="s">
        <v>208</v>
      </c>
      <c r="H5390"/>
    </row>
    <row r="5391" spans="1:8" x14ac:dyDescent="0.35">
      <c r="A5391" s="528" t="s">
        <v>15457</v>
      </c>
      <c r="B5391" s="528" t="s">
        <v>15458</v>
      </c>
      <c r="C5391" s="528" t="s">
        <v>15459</v>
      </c>
      <c r="D5391" s="528" t="s">
        <v>277</v>
      </c>
      <c r="E5391" s="528"/>
      <c r="F5391" s="528"/>
      <c r="G5391" s="528" t="s">
        <v>205</v>
      </c>
      <c r="H5391"/>
    </row>
    <row r="5392" spans="1:8" x14ac:dyDescent="0.35">
      <c r="A5392" s="528" t="s">
        <v>15460</v>
      </c>
      <c r="B5392" s="528" t="s">
        <v>15461</v>
      </c>
      <c r="C5392" s="528" t="s">
        <v>15462</v>
      </c>
      <c r="D5392" s="528" t="s">
        <v>277</v>
      </c>
      <c r="E5392" s="528"/>
      <c r="F5392" s="528"/>
      <c r="G5392" s="528" t="s">
        <v>208</v>
      </c>
      <c r="H5392"/>
    </row>
    <row r="5393" spans="1:8" x14ac:dyDescent="0.35">
      <c r="A5393" s="528" t="s">
        <v>15463</v>
      </c>
      <c r="B5393" s="528" t="s">
        <v>15464</v>
      </c>
      <c r="C5393" s="528" t="s">
        <v>15465</v>
      </c>
      <c r="D5393" s="528" t="s">
        <v>238</v>
      </c>
      <c r="E5393" s="528"/>
      <c r="F5393" s="528"/>
      <c r="G5393" s="528" t="s">
        <v>208</v>
      </c>
      <c r="H5393"/>
    </row>
    <row r="5394" spans="1:8" x14ac:dyDescent="0.35">
      <c r="A5394" s="528" t="s">
        <v>15466</v>
      </c>
      <c r="B5394" s="528" t="s">
        <v>15467</v>
      </c>
      <c r="C5394" s="528" t="s">
        <v>15468</v>
      </c>
      <c r="D5394" s="528" t="s">
        <v>264</v>
      </c>
      <c r="E5394" s="528"/>
      <c r="F5394" s="528"/>
      <c r="G5394" s="528" t="s">
        <v>212</v>
      </c>
      <c r="H5394"/>
    </row>
    <row r="5395" spans="1:8" x14ac:dyDescent="0.35">
      <c r="A5395" s="528" t="s">
        <v>15469</v>
      </c>
      <c r="B5395" s="528" t="s">
        <v>15470</v>
      </c>
      <c r="C5395" s="528" t="s">
        <v>15471</v>
      </c>
      <c r="D5395" s="528" t="s">
        <v>225</v>
      </c>
      <c r="E5395" s="528"/>
      <c r="F5395" s="528"/>
      <c r="G5395" s="528" t="s">
        <v>205</v>
      </c>
      <c r="H5395"/>
    </row>
    <row r="5396" spans="1:8" x14ac:dyDescent="0.35">
      <c r="A5396" s="528" t="s">
        <v>15472</v>
      </c>
      <c r="B5396" s="528" t="s">
        <v>15473</v>
      </c>
      <c r="C5396" s="528" t="s">
        <v>15474</v>
      </c>
      <c r="D5396" s="528" t="s">
        <v>264</v>
      </c>
      <c r="E5396" s="528"/>
      <c r="F5396" s="528"/>
      <c r="G5396" s="528" t="s">
        <v>210</v>
      </c>
      <c r="H5396"/>
    </row>
    <row r="5397" spans="1:8" x14ac:dyDescent="0.35">
      <c r="A5397" s="528" t="s">
        <v>15475</v>
      </c>
      <c r="B5397" s="528" t="s">
        <v>15476</v>
      </c>
      <c r="C5397" s="528" t="s">
        <v>15477</v>
      </c>
      <c r="D5397" s="528" t="s">
        <v>264</v>
      </c>
      <c r="E5397" s="528"/>
      <c r="F5397" s="528"/>
      <c r="G5397" s="528" t="s">
        <v>208</v>
      </c>
      <c r="H5397"/>
    </row>
    <row r="5398" spans="1:8" x14ac:dyDescent="0.35">
      <c r="A5398" s="528" t="s">
        <v>15478</v>
      </c>
      <c r="B5398" s="528" t="s">
        <v>15479</v>
      </c>
      <c r="C5398" s="528" t="s">
        <v>15480</v>
      </c>
      <c r="D5398" s="528" t="s">
        <v>264</v>
      </c>
      <c r="E5398" s="528"/>
      <c r="F5398" s="528"/>
      <c r="G5398" s="528" t="s">
        <v>208</v>
      </c>
      <c r="H5398"/>
    </row>
    <row r="5399" spans="1:8" x14ac:dyDescent="0.35">
      <c r="A5399" s="528" t="s">
        <v>15481</v>
      </c>
      <c r="B5399" s="528" t="s">
        <v>15482</v>
      </c>
      <c r="C5399" s="528" t="s">
        <v>15483</v>
      </c>
      <c r="D5399" s="528" t="s">
        <v>264</v>
      </c>
      <c r="E5399" s="528"/>
      <c r="F5399" s="528"/>
      <c r="G5399" s="528" t="s">
        <v>208</v>
      </c>
      <c r="H5399"/>
    </row>
    <row r="5400" spans="1:8" x14ac:dyDescent="0.35">
      <c r="A5400" s="528" t="s">
        <v>15484</v>
      </c>
      <c r="B5400" s="528" t="s">
        <v>15485</v>
      </c>
      <c r="C5400" s="528" t="s">
        <v>15486</v>
      </c>
      <c r="D5400" s="528" t="s">
        <v>264</v>
      </c>
      <c r="E5400" s="528"/>
      <c r="F5400" s="528"/>
      <c r="G5400" s="528" t="s">
        <v>205</v>
      </c>
      <c r="H5400"/>
    </row>
    <row r="5401" spans="1:8" x14ac:dyDescent="0.35">
      <c r="A5401" s="528" t="s">
        <v>15487</v>
      </c>
      <c r="B5401" s="528" t="s">
        <v>15488</v>
      </c>
      <c r="C5401" s="528" t="s">
        <v>15489</v>
      </c>
      <c r="D5401" s="528" t="s">
        <v>225</v>
      </c>
      <c r="E5401" s="528"/>
      <c r="F5401" s="528"/>
      <c r="G5401" s="528" t="s">
        <v>208</v>
      </c>
      <c r="H5401"/>
    </row>
    <row r="5402" spans="1:8" x14ac:dyDescent="0.35">
      <c r="A5402" s="528" t="s">
        <v>15490</v>
      </c>
      <c r="B5402" s="528" t="s">
        <v>15491</v>
      </c>
      <c r="C5402" s="528" t="s">
        <v>15492</v>
      </c>
      <c r="D5402" s="528" t="s">
        <v>225</v>
      </c>
      <c r="E5402" s="528"/>
      <c r="F5402" s="528"/>
      <c r="G5402" s="528" t="s">
        <v>208</v>
      </c>
      <c r="H5402"/>
    </row>
    <row r="5403" spans="1:8" x14ac:dyDescent="0.35">
      <c r="A5403" s="528" t="s">
        <v>15493</v>
      </c>
      <c r="B5403" s="528" t="s">
        <v>15494</v>
      </c>
      <c r="C5403" s="528" t="s">
        <v>15495</v>
      </c>
      <c r="D5403" s="528" t="s">
        <v>225</v>
      </c>
      <c r="E5403" s="528"/>
      <c r="F5403" s="528"/>
      <c r="G5403" s="528" t="s">
        <v>208</v>
      </c>
      <c r="H5403"/>
    </row>
    <row r="5404" spans="1:8" x14ac:dyDescent="0.35">
      <c r="A5404" s="528" t="s">
        <v>15496</v>
      </c>
      <c r="B5404" s="528" t="s">
        <v>15497</v>
      </c>
      <c r="C5404" s="528" t="s">
        <v>15498</v>
      </c>
      <c r="D5404" s="528" t="s">
        <v>225</v>
      </c>
      <c r="E5404" s="528"/>
      <c r="F5404" s="528"/>
      <c r="G5404" s="528" t="s">
        <v>208</v>
      </c>
      <c r="H5404"/>
    </row>
    <row r="5405" spans="1:8" x14ac:dyDescent="0.35">
      <c r="A5405" s="528" t="s">
        <v>15499</v>
      </c>
      <c r="B5405" s="528" t="s">
        <v>15500</v>
      </c>
      <c r="C5405" s="528" t="s">
        <v>15501</v>
      </c>
      <c r="D5405" s="528" t="s">
        <v>225</v>
      </c>
      <c r="E5405" s="528"/>
      <c r="F5405" s="528"/>
      <c r="G5405" s="528" t="s">
        <v>205</v>
      </c>
      <c r="H5405"/>
    </row>
    <row r="5406" spans="1:8" x14ac:dyDescent="0.35">
      <c r="A5406" s="528" t="s">
        <v>15502</v>
      </c>
      <c r="B5406" s="528" t="s">
        <v>15503</v>
      </c>
      <c r="C5406" s="528" t="s">
        <v>15504</v>
      </c>
      <c r="D5406" s="528" t="s">
        <v>277</v>
      </c>
      <c r="E5406" s="528"/>
      <c r="F5406" s="528"/>
      <c r="G5406" s="528" t="s">
        <v>208</v>
      </c>
      <c r="H5406"/>
    </row>
    <row r="5407" spans="1:8" x14ac:dyDescent="0.35">
      <c r="A5407" s="528" t="s">
        <v>15505</v>
      </c>
      <c r="B5407" s="528" t="s">
        <v>15506</v>
      </c>
      <c r="C5407" s="528" t="s">
        <v>15507</v>
      </c>
      <c r="D5407" s="528" t="s">
        <v>277</v>
      </c>
      <c r="E5407" s="528"/>
      <c r="F5407" s="528"/>
      <c r="G5407" s="528" t="s">
        <v>205</v>
      </c>
      <c r="H5407"/>
    </row>
    <row r="5408" spans="1:8" x14ac:dyDescent="0.35">
      <c r="A5408" s="528" t="s">
        <v>15508</v>
      </c>
      <c r="B5408" s="528" t="s">
        <v>15509</v>
      </c>
      <c r="C5408" s="528" t="s">
        <v>15510</v>
      </c>
      <c r="D5408" s="528" t="s">
        <v>225</v>
      </c>
      <c r="E5408" s="528"/>
      <c r="F5408" s="528"/>
      <c r="G5408" s="528" t="s">
        <v>208</v>
      </c>
      <c r="H5408"/>
    </row>
    <row r="5409" spans="1:8" x14ac:dyDescent="0.35">
      <c r="A5409" s="528" t="s">
        <v>15511</v>
      </c>
      <c r="B5409" s="528" t="s">
        <v>15512</v>
      </c>
      <c r="C5409" s="528" t="s">
        <v>15513</v>
      </c>
      <c r="D5409" s="528" t="s">
        <v>225</v>
      </c>
      <c r="E5409" s="528"/>
      <c r="F5409" s="528"/>
      <c r="G5409" s="528" t="s">
        <v>208</v>
      </c>
      <c r="H5409"/>
    </row>
    <row r="5410" spans="1:8" x14ac:dyDescent="0.35">
      <c r="A5410" s="528" t="s">
        <v>15514</v>
      </c>
      <c r="B5410" s="528" t="s">
        <v>15515</v>
      </c>
      <c r="C5410" s="528" t="s">
        <v>15516</v>
      </c>
      <c r="D5410" s="528" t="s">
        <v>264</v>
      </c>
      <c r="E5410" s="528"/>
      <c r="F5410" s="528"/>
      <c r="G5410" s="528" t="s">
        <v>208</v>
      </c>
      <c r="H5410"/>
    </row>
    <row r="5411" spans="1:8" x14ac:dyDescent="0.35">
      <c r="A5411" s="528" t="s">
        <v>15517</v>
      </c>
      <c r="B5411" s="528" t="s">
        <v>15518</v>
      </c>
      <c r="C5411" s="528" t="s">
        <v>15519</v>
      </c>
      <c r="D5411" s="528" t="s">
        <v>225</v>
      </c>
      <c r="E5411" s="528"/>
      <c r="F5411" s="528"/>
      <c r="G5411" s="528" t="s">
        <v>208</v>
      </c>
      <c r="H5411"/>
    </row>
    <row r="5412" spans="1:8" x14ac:dyDescent="0.35">
      <c r="A5412" s="528" t="s">
        <v>15520</v>
      </c>
      <c r="B5412" s="528" t="s">
        <v>15521</v>
      </c>
      <c r="C5412" s="528" t="s">
        <v>15522</v>
      </c>
      <c r="D5412" s="528" t="s">
        <v>264</v>
      </c>
      <c r="E5412" s="528"/>
      <c r="F5412" s="528"/>
      <c r="G5412" s="528" t="s">
        <v>205</v>
      </c>
      <c r="H5412"/>
    </row>
    <row r="5413" spans="1:8" x14ac:dyDescent="0.35">
      <c r="A5413" s="528" t="s">
        <v>15523</v>
      </c>
      <c r="B5413" s="528" t="s">
        <v>15524</v>
      </c>
      <c r="C5413" s="528" t="s">
        <v>15525</v>
      </c>
      <c r="D5413" s="528" t="s">
        <v>277</v>
      </c>
      <c r="E5413" s="528"/>
      <c r="F5413" s="528"/>
      <c r="G5413" s="528" t="s">
        <v>208</v>
      </c>
      <c r="H5413"/>
    </row>
    <row r="5414" spans="1:8" x14ac:dyDescent="0.35">
      <c r="A5414" s="528" t="s">
        <v>15526</v>
      </c>
      <c r="B5414" s="528" t="s">
        <v>15527</v>
      </c>
      <c r="C5414" s="528" t="s">
        <v>15528</v>
      </c>
      <c r="D5414" s="528" t="s">
        <v>251</v>
      </c>
      <c r="E5414" s="528"/>
      <c r="F5414" s="528"/>
      <c r="G5414" s="528" t="s">
        <v>208</v>
      </c>
      <c r="H5414"/>
    </row>
    <row r="5415" spans="1:8" x14ac:dyDescent="0.35">
      <c r="A5415" s="528" t="s">
        <v>15529</v>
      </c>
      <c r="B5415" s="528" t="s">
        <v>15530</v>
      </c>
      <c r="C5415" s="528" t="s">
        <v>15531</v>
      </c>
      <c r="D5415" s="528" t="s">
        <v>264</v>
      </c>
      <c r="E5415" s="528"/>
      <c r="F5415" s="528"/>
      <c r="G5415" s="528" t="s">
        <v>208</v>
      </c>
      <c r="H5415"/>
    </row>
    <row r="5416" spans="1:8" x14ac:dyDescent="0.35">
      <c r="A5416" s="528" t="s">
        <v>15532</v>
      </c>
      <c r="B5416" s="528" t="s">
        <v>15533</v>
      </c>
      <c r="C5416" s="528" t="s">
        <v>15534</v>
      </c>
      <c r="D5416" s="528" t="s">
        <v>264</v>
      </c>
      <c r="E5416" s="528"/>
      <c r="F5416" s="528"/>
      <c r="G5416" s="528" t="s">
        <v>208</v>
      </c>
      <c r="H5416"/>
    </row>
    <row r="5417" spans="1:8" x14ac:dyDescent="0.35">
      <c r="A5417" s="528" t="s">
        <v>15535</v>
      </c>
      <c r="B5417" s="528" t="s">
        <v>15536</v>
      </c>
      <c r="C5417" s="528" t="s">
        <v>15537</v>
      </c>
      <c r="D5417" s="528" t="s">
        <v>277</v>
      </c>
      <c r="E5417" s="528"/>
      <c r="F5417" s="528"/>
      <c r="G5417" s="528" t="s">
        <v>205</v>
      </c>
      <c r="H5417"/>
    </row>
    <row r="5418" spans="1:8" x14ac:dyDescent="0.35">
      <c r="A5418" s="528" t="s">
        <v>15538</v>
      </c>
      <c r="B5418" s="528" t="s">
        <v>15539</v>
      </c>
      <c r="C5418" s="528" t="s">
        <v>15540</v>
      </c>
      <c r="D5418" s="528" t="s">
        <v>225</v>
      </c>
      <c r="E5418" s="528"/>
      <c r="F5418" s="528"/>
      <c r="G5418" s="528" t="s">
        <v>208</v>
      </c>
      <c r="H5418"/>
    </row>
    <row r="5419" spans="1:8" x14ac:dyDescent="0.35">
      <c r="A5419" s="528" t="s">
        <v>15541</v>
      </c>
      <c r="B5419" s="528" t="s">
        <v>15542</v>
      </c>
      <c r="C5419" s="528" t="s">
        <v>15543</v>
      </c>
      <c r="D5419" s="528" t="s">
        <v>225</v>
      </c>
      <c r="E5419" s="528"/>
      <c r="F5419" s="528"/>
      <c r="G5419" s="528" t="s">
        <v>208</v>
      </c>
      <c r="H5419"/>
    </row>
    <row r="5420" spans="1:8" x14ac:dyDescent="0.35">
      <c r="A5420" s="528" t="s">
        <v>15544</v>
      </c>
      <c r="B5420" s="528" t="s">
        <v>15545</v>
      </c>
      <c r="C5420" s="528" t="s">
        <v>15546</v>
      </c>
      <c r="D5420" s="528" t="s">
        <v>277</v>
      </c>
      <c r="E5420" s="528"/>
      <c r="F5420" s="528"/>
      <c r="G5420" s="528" t="s">
        <v>208</v>
      </c>
      <c r="H5420"/>
    </row>
    <row r="5421" spans="1:8" x14ac:dyDescent="0.35">
      <c r="A5421" s="528" t="s">
        <v>15547</v>
      </c>
      <c r="B5421" s="528" t="s">
        <v>15548</v>
      </c>
      <c r="C5421" s="528" t="s">
        <v>15549</v>
      </c>
      <c r="D5421" s="528" t="s">
        <v>238</v>
      </c>
      <c r="E5421" s="528"/>
      <c r="F5421" s="528"/>
      <c r="G5421" s="528" t="s">
        <v>208</v>
      </c>
      <c r="H5421"/>
    </row>
    <row r="5422" spans="1:8" x14ac:dyDescent="0.35">
      <c r="A5422" s="528" t="s">
        <v>15550</v>
      </c>
      <c r="B5422" s="528" t="s">
        <v>15551</v>
      </c>
      <c r="C5422" s="528" t="s">
        <v>15552</v>
      </c>
      <c r="D5422" s="528" t="s">
        <v>277</v>
      </c>
      <c r="E5422" s="528"/>
      <c r="F5422" s="528"/>
      <c r="G5422" s="528" t="s">
        <v>208</v>
      </c>
      <c r="H5422"/>
    </row>
    <row r="5423" spans="1:8" x14ac:dyDescent="0.35">
      <c r="A5423" s="528" t="s">
        <v>15553</v>
      </c>
      <c r="B5423" s="528" t="s">
        <v>15554</v>
      </c>
      <c r="C5423" s="528" t="s">
        <v>15555</v>
      </c>
      <c r="D5423" s="528" t="s">
        <v>277</v>
      </c>
      <c r="E5423" s="528"/>
      <c r="F5423" s="528"/>
      <c r="G5423" s="528" t="s">
        <v>212</v>
      </c>
      <c r="H5423"/>
    </row>
    <row r="5424" spans="1:8" x14ac:dyDescent="0.35">
      <c r="A5424" s="528" t="s">
        <v>15556</v>
      </c>
      <c r="B5424" s="528" t="s">
        <v>15557</v>
      </c>
      <c r="C5424" s="528" t="s">
        <v>15558</v>
      </c>
      <c r="D5424" s="528" t="s">
        <v>264</v>
      </c>
      <c r="E5424" s="528"/>
      <c r="F5424" s="528"/>
      <c r="G5424" s="528" t="s">
        <v>210</v>
      </c>
      <c r="H5424"/>
    </row>
    <row r="5425" spans="1:8" x14ac:dyDescent="0.35">
      <c r="A5425" s="528" t="s">
        <v>15559</v>
      </c>
      <c r="B5425" s="528" t="s">
        <v>15560</v>
      </c>
      <c r="C5425" s="528" t="s">
        <v>15561</v>
      </c>
      <c r="D5425" s="528" t="s">
        <v>264</v>
      </c>
      <c r="E5425" s="528"/>
      <c r="F5425" s="528"/>
      <c r="G5425" s="528" t="s">
        <v>210</v>
      </c>
      <c r="H5425"/>
    </row>
    <row r="5426" spans="1:8" x14ac:dyDescent="0.35">
      <c r="A5426" s="528" t="s">
        <v>15562</v>
      </c>
      <c r="B5426" s="528" t="s">
        <v>15563</v>
      </c>
      <c r="C5426" s="528" t="s">
        <v>15564</v>
      </c>
      <c r="D5426" s="528" t="s">
        <v>264</v>
      </c>
      <c r="E5426" s="528"/>
      <c r="F5426" s="528"/>
      <c r="G5426" s="528" t="s">
        <v>210</v>
      </c>
      <c r="H5426"/>
    </row>
    <row r="5427" spans="1:8" x14ac:dyDescent="0.35">
      <c r="A5427" s="528" t="s">
        <v>15565</v>
      </c>
      <c r="B5427" s="528" t="s">
        <v>15566</v>
      </c>
      <c r="C5427" s="528" t="s">
        <v>15567</v>
      </c>
      <c r="D5427" s="528" t="s">
        <v>264</v>
      </c>
      <c r="E5427" s="528"/>
      <c r="F5427" s="528"/>
      <c r="G5427" s="528" t="s">
        <v>210</v>
      </c>
      <c r="H5427"/>
    </row>
    <row r="5428" spans="1:8" x14ac:dyDescent="0.35">
      <c r="A5428" s="528" t="s">
        <v>15568</v>
      </c>
      <c r="B5428" s="528" t="s">
        <v>15569</v>
      </c>
      <c r="C5428" s="528" t="s">
        <v>15570</v>
      </c>
      <c r="D5428" s="528" t="s">
        <v>277</v>
      </c>
      <c r="E5428" s="528"/>
      <c r="F5428" s="528"/>
      <c r="G5428" s="528" t="s">
        <v>208</v>
      </c>
      <c r="H5428"/>
    </row>
    <row r="5429" spans="1:8" x14ac:dyDescent="0.35">
      <c r="A5429" s="528" t="s">
        <v>15571</v>
      </c>
      <c r="B5429" s="528" t="s">
        <v>15572</v>
      </c>
      <c r="C5429" s="528" t="s">
        <v>15570</v>
      </c>
      <c r="D5429" s="528" t="s">
        <v>277</v>
      </c>
      <c r="E5429" s="528"/>
      <c r="F5429" s="528"/>
      <c r="G5429" s="528" t="s">
        <v>208</v>
      </c>
      <c r="H5429"/>
    </row>
    <row r="5430" spans="1:8" x14ac:dyDescent="0.35">
      <c r="A5430" s="528" t="s">
        <v>15573</v>
      </c>
      <c r="B5430" s="528" t="s">
        <v>15574</v>
      </c>
      <c r="C5430" s="528" t="s">
        <v>15575</v>
      </c>
      <c r="D5430" s="528" t="s">
        <v>238</v>
      </c>
      <c r="E5430" s="528"/>
      <c r="F5430" s="528"/>
      <c r="G5430" s="528" t="s">
        <v>208</v>
      </c>
      <c r="H5430"/>
    </row>
    <row r="5431" spans="1:8" x14ac:dyDescent="0.35">
      <c r="A5431" s="528" t="s">
        <v>15576</v>
      </c>
      <c r="B5431" s="528" t="s">
        <v>15577</v>
      </c>
      <c r="C5431" s="528" t="s">
        <v>15578</v>
      </c>
      <c r="D5431" s="528" t="s">
        <v>238</v>
      </c>
      <c r="E5431" s="528"/>
      <c r="F5431" s="528"/>
      <c r="G5431" s="528" t="s">
        <v>208</v>
      </c>
      <c r="H5431"/>
    </row>
    <row r="5432" spans="1:8" x14ac:dyDescent="0.35">
      <c r="A5432" s="528" t="s">
        <v>15579</v>
      </c>
      <c r="B5432" s="528" t="s">
        <v>15580</v>
      </c>
      <c r="C5432" s="528" t="s">
        <v>15581</v>
      </c>
      <c r="D5432" s="528" t="s">
        <v>238</v>
      </c>
      <c r="E5432" s="528"/>
      <c r="F5432" s="528"/>
      <c r="G5432" s="528" t="s">
        <v>208</v>
      </c>
      <c r="H5432"/>
    </row>
    <row r="5433" spans="1:8" x14ac:dyDescent="0.35">
      <c r="A5433" s="528" t="s">
        <v>15582</v>
      </c>
      <c r="B5433" s="528" t="s">
        <v>15583</v>
      </c>
      <c r="C5433" s="528" t="s">
        <v>15584</v>
      </c>
      <c r="D5433" s="528" t="s">
        <v>277</v>
      </c>
      <c r="E5433" s="528"/>
      <c r="F5433" s="528"/>
      <c r="G5433" s="528" t="s">
        <v>208</v>
      </c>
      <c r="H5433"/>
    </row>
    <row r="5434" spans="1:8" x14ac:dyDescent="0.35">
      <c r="A5434" s="528" t="s">
        <v>15585</v>
      </c>
      <c r="B5434" s="528" t="s">
        <v>15586</v>
      </c>
      <c r="C5434" s="528" t="s">
        <v>15587</v>
      </c>
      <c r="D5434" s="528" t="s">
        <v>277</v>
      </c>
      <c r="E5434" s="528"/>
      <c r="F5434" s="528"/>
      <c r="G5434" s="528" t="s">
        <v>212</v>
      </c>
      <c r="H5434"/>
    </row>
    <row r="5435" spans="1:8" x14ac:dyDescent="0.35">
      <c r="A5435" s="528" t="s">
        <v>15588</v>
      </c>
      <c r="B5435" s="528" t="s">
        <v>15589</v>
      </c>
      <c r="C5435" s="528" t="s">
        <v>15590</v>
      </c>
      <c r="D5435" s="528" t="s">
        <v>277</v>
      </c>
      <c r="E5435" s="528"/>
      <c r="F5435" s="528"/>
      <c r="G5435" s="528" t="s">
        <v>208</v>
      </c>
      <c r="H5435"/>
    </row>
    <row r="5436" spans="1:8" x14ac:dyDescent="0.35">
      <c r="A5436" s="528" t="s">
        <v>15591</v>
      </c>
      <c r="B5436" s="528" t="s">
        <v>15592</v>
      </c>
      <c r="C5436" s="528" t="s">
        <v>15593</v>
      </c>
      <c r="D5436" s="528" t="s">
        <v>277</v>
      </c>
      <c r="E5436" s="528"/>
      <c r="F5436" s="528"/>
      <c r="G5436" s="528" t="s">
        <v>208</v>
      </c>
      <c r="H5436"/>
    </row>
    <row r="5437" spans="1:8" x14ac:dyDescent="0.35">
      <c r="A5437" s="528" t="s">
        <v>15594</v>
      </c>
      <c r="B5437" s="528" t="s">
        <v>15595</v>
      </c>
      <c r="C5437" s="528" t="s">
        <v>15596</v>
      </c>
      <c r="D5437" s="528" t="s">
        <v>264</v>
      </c>
      <c r="E5437" s="528"/>
      <c r="F5437" s="528"/>
      <c r="G5437" s="528" t="s">
        <v>205</v>
      </c>
      <c r="H5437"/>
    </row>
    <row r="5438" spans="1:8" x14ac:dyDescent="0.35">
      <c r="A5438" s="528" t="s">
        <v>15597</v>
      </c>
      <c r="B5438" s="528" t="s">
        <v>15598</v>
      </c>
      <c r="C5438" s="528" t="s">
        <v>15599</v>
      </c>
      <c r="D5438" s="528" t="s">
        <v>225</v>
      </c>
      <c r="E5438" s="528"/>
      <c r="F5438" s="528"/>
      <c r="G5438" s="528" t="s">
        <v>208</v>
      </c>
      <c r="H5438"/>
    </row>
    <row r="5439" spans="1:8" x14ac:dyDescent="0.35">
      <c r="A5439" s="528" t="s">
        <v>15600</v>
      </c>
      <c r="B5439" s="528" t="s">
        <v>15601</v>
      </c>
      <c r="C5439" s="528" t="s">
        <v>15602</v>
      </c>
      <c r="D5439" s="528" t="s">
        <v>238</v>
      </c>
      <c r="E5439" s="528"/>
      <c r="F5439" s="528"/>
      <c r="G5439" s="528" t="s">
        <v>208</v>
      </c>
      <c r="H5439"/>
    </row>
    <row r="5440" spans="1:8" x14ac:dyDescent="0.35">
      <c r="A5440" s="528" t="s">
        <v>15603</v>
      </c>
      <c r="B5440" s="528" t="s">
        <v>15604</v>
      </c>
      <c r="C5440" s="528" t="s">
        <v>15605</v>
      </c>
      <c r="D5440" s="528" t="s">
        <v>277</v>
      </c>
      <c r="E5440" s="528"/>
      <c r="F5440" s="528"/>
      <c r="G5440" s="528" t="s">
        <v>208</v>
      </c>
      <c r="H5440"/>
    </row>
    <row r="5441" spans="1:8" x14ac:dyDescent="0.35">
      <c r="A5441" s="528" t="s">
        <v>15606</v>
      </c>
      <c r="B5441" s="528" t="s">
        <v>15607</v>
      </c>
      <c r="C5441" s="528" t="s">
        <v>15608</v>
      </c>
      <c r="D5441" s="528" t="s">
        <v>277</v>
      </c>
      <c r="E5441" s="528"/>
      <c r="F5441" s="528"/>
      <c r="G5441" s="528" t="s">
        <v>208</v>
      </c>
      <c r="H5441"/>
    </row>
    <row r="5442" spans="1:8" x14ac:dyDescent="0.35">
      <c r="A5442" s="528" t="s">
        <v>15609</v>
      </c>
      <c r="B5442" s="528" t="s">
        <v>15610</v>
      </c>
      <c r="C5442" s="528" t="s">
        <v>15611</v>
      </c>
      <c r="D5442" s="528" t="s">
        <v>251</v>
      </c>
      <c r="E5442" s="528"/>
      <c r="F5442" s="528"/>
      <c r="G5442" s="528" t="s">
        <v>208</v>
      </c>
      <c r="H5442"/>
    </row>
    <row r="5443" spans="1:8" x14ac:dyDescent="0.35">
      <c r="A5443" s="528" t="s">
        <v>15612</v>
      </c>
      <c r="B5443" s="528" t="s">
        <v>15613</v>
      </c>
      <c r="C5443" s="528" t="s">
        <v>15614</v>
      </c>
      <c r="D5443" s="528" t="s">
        <v>251</v>
      </c>
      <c r="E5443" s="528"/>
      <c r="F5443" s="528"/>
      <c r="G5443" s="528" t="s">
        <v>208</v>
      </c>
      <c r="H5443"/>
    </row>
    <row r="5444" spans="1:8" x14ac:dyDescent="0.35">
      <c r="A5444" s="528" t="s">
        <v>15615</v>
      </c>
      <c r="B5444" s="528" t="s">
        <v>15616</v>
      </c>
      <c r="C5444" s="528" t="s">
        <v>15617</v>
      </c>
      <c r="D5444" s="528" t="s">
        <v>264</v>
      </c>
      <c r="E5444" s="528"/>
      <c r="F5444" s="528"/>
      <c r="G5444" s="528" t="s">
        <v>208</v>
      </c>
      <c r="H5444"/>
    </row>
    <row r="5445" spans="1:8" x14ac:dyDescent="0.35">
      <c r="A5445" s="528" t="s">
        <v>15618</v>
      </c>
      <c r="B5445" s="528" t="s">
        <v>15619</v>
      </c>
      <c r="C5445" s="528" t="s">
        <v>15620</v>
      </c>
      <c r="D5445" s="528" t="s">
        <v>264</v>
      </c>
      <c r="E5445" s="528"/>
      <c r="F5445" s="528"/>
      <c r="G5445" s="528" t="s">
        <v>208</v>
      </c>
      <c r="H5445"/>
    </row>
    <row r="5446" spans="1:8" x14ac:dyDescent="0.35">
      <c r="A5446" s="528" t="s">
        <v>15621</v>
      </c>
      <c r="B5446" s="528" t="s">
        <v>15622</v>
      </c>
      <c r="C5446" s="528" t="s">
        <v>15623</v>
      </c>
      <c r="D5446" s="528" t="s">
        <v>264</v>
      </c>
      <c r="E5446" s="528"/>
      <c r="F5446" s="528"/>
      <c r="G5446" s="528" t="s">
        <v>205</v>
      </c>
      <c r="H5446"/>
    </row>
    <row r="5447" spans="1:8" x14ac:dyDescent="0.35">
      <c r="A5447" s="528" t="s">
        <v>15624</v>
      </c>
      <c r="B5447" s="528" t="s">
        <v>15625</v>
      </c>
      <c r="C5447" s="528" t="s">
        <v>15626</v>
      </c>
      <c r="D5447" s="528" t="s">
        <v>277</v>
      </c>
      <c r="E5447" s="528"/>
      <c r="F5447" s="528"/>
      <c r="G5447" s="528" t="s">
        <v>205</v>
      </c>
      <c r="H5447"/>
    </row>
    <row r="5448" spans="1:8" x14ac:dyDescent="0.35">
      <c r="A5448" s="528" t="s">
        <v>15627</v>
      </c>
      <c r="B5448" s="528" t="s">
        <v>15628</v>
      </c>
      <c r="C5448" s="528" t="s">
        <v>15629</v>
      </c>
      <c r="D5448" s="528" t="s">
        <v>264</v>
      </c>
      <c r="E5448" s="528"/>
      <c r="F5448" s="528"/>
      <c r="G5448" s="528" t="s">
        <v>205</v>
      </c>
      <c r="H5448"/>
    </row>
    <row r="5449" spans="1:8" x14ac:dyDescent="0.35">
      <c r="A5449" s="528" t="s">
        <v>15630</v>
      </c>
      <c r="B5449" s="528" t="s">
        <v>15631</v>
      </c>
      <c r="C5449" s="528" t="s">
        <v>15632</v>
      </c>
      <c r="D5449" s="528" t="s">
        <v>225</v>
      </c>
      <c r="E5449" s="528"/>
      <c r="F5449" s="528"/>
      <c r="G5449" s="528" t="s">
        <v>205</v>
      </c>
      <c r="H5449"/>
    </row>
    <row r="5450" spans="1:8" x14ac:dyDescent="0.35">
      <c r="A5450" s="528" t="s">
        <v>15633</v>
      </c>
      <c r="B5450" s="528" t="s">
        <v>15634</v>
      </c>
      <c r="C5450" s="528" t="s">
        <v>15635</v>
      </c>
      <c r="D5450" s="528" t="s">
        <v>225</v>
      </c>
      <c r="E5450" s="528"/>
      <c r="F5450" s="528"/>
      <c r="G5450" s="528" t="s">
        <v>205</v>
      </c>
      <c r="H5450"/>
    </row>
    <row r="5451" spans="1:8" x14ac:dyDescent="0.35">
      <c r="A5451" s="528" t="s">
        <v>15636</v>
      </c>
      <c r="B5451" s="528" t="s">
        <v>15637</v>
      </c>
      <c r="C5451" s="528" t="s">
        <v>15638</v>
      </c>
      <c r="D5451" s="528" t="s">
        <v>225</v>
      </c>
      <c r="E5451" s="528"/>
      <c r="F5451" s="528"/>
      <c r="G5451" s="528" t="s">
        <v>208</v>
      </c>
      <c r="H5451"/>
    </row>
    <row r="5452" spans="1:8" x14ac:dyDescent="0.35">
      <c r="A5452" s="528" t="s">
        <v>15639</v>
      </c>
      <c r="B5452" s="528" t="s">
        <v>15640</v>
      </c>
      <c r="C5452" s="528" t="s">
        <v>15641</v>
      </c>
      <c r="D5452" s="528" t="s">
        <v>277</v>
      </c>
      <c r="E5452" s="528"/>
      <c r="F5452" s="528"/>
      <c r="G5452" s="528" t="s">
        <v>208</v>
      </c>
      <c r="H5452"/>
    </row>
    <row r="5453" spans="1:8" x14ac:dyDescent="0.35">
      <c r="A5453" s="528" t="s">
        <v>15642</v>
      </c>
      <c r="B5453" s="528" t="s">
        <v>15643</v>
      </c>
      <c r="C5453" s="528" t="s">
        <v>15644</v>
      </c>
      <c r="D5453" s="528" t="s">
        <v>225</v>
      </c>
      <c r="E5453" s="528"/>
      <c r="F5453" s="528"/>
      <c r="G5453" s="528" t="s">
        <v>212</v>
      </c>
      <c r="H5453"/>
    </row>
    <row r="5454" spans="1:8" x14ac:dyDescent="0.35">
      <c r="A5454" s="528" t="s">
        <v>15645</v>
      </c>
      <c r="B5454" s="528" t="s">
        <v>15646</v>
      </c>
      <c r="C5454" s="528" t="s">
        <v>15647</v>
      </c>
      <c r="D5454" s="528" t="s">
        <v>225</v>
      </c>
      <c r="E5454" s="528"/>
      <c r="F5454" s="528"/>
      <c r="G5454" s="528" t="s">
        <v>214</v>
      </c>
      <c r="H5454"/>
    </row>
    <row r="5455" spans="1:8" x14ac:dyDescent="0.35">
      <c r="A5455" s="528" t="s">
        <v>15648</v>
      </c>
      <c r="B5455" s="528" t="s">
        <v>15649</v>
      </c>
      <c r="C5455" s="528" t="s">
        <v>15650</v>
      </c>
      <c r="D5455" s="528" t="s">
        <v>225</v>
      </c>
      <c r="E5455" s="528"/>
      <c r="F5455" s="528"/>
      <c r="G5455" s="528" t="s">
        <v>214</v>
      </c>
      <c r="H5455"/>
    </row>
    <row r="5456" spans="1:8" x14ac:dyDescent="0.35">
      <c r="A5456" s="528" t="s">
        <v>15651</v>
      </c>
      <c r="B5456" s="528" t="s">
        <v>15652</v>
      </c>
      <c r="C5456" s="528" t="s">
        <v>15653</v>
      </c>
      <c r="D5456" s="528" t="s">
        <v>264</v>
      </c>
      <c r="E5456" s="528"/>
      <c r="F5456" s="528"/>
      <c r="G5456" s="528" t="s">
        <v>208</v>
      </c>
      <c r="H5456"/>
    </row>
    <row r="5457" spans="1:8" x14ac:dyDescent="0.35">
      <c r="A5457" s="528" t="s">
        <v>15654</v>
      </c>
      <c r="B5457" s="528" t="s">
        <v>15655</v>
      </c>
      <c r="C5457" s="528" t="s">
        <v>15656</v>
      </c>
      <c r="D5457" s="528" t="s">
        <v>277</v>
      </c>
      <c r="E5457" s="528"/>
      <c r="F5457" s="528"/>
      <c r="G5457" s="528" t="s">
        <v>205</v>
      </c>
      <c r="H5457"/>
    </row>
    <row r="5458" spans="1:8" x14ac:dyDescent="0.35">
      <c r="A5458" s="528" t="s">
        <v>15657</v>
      </c>
      <c r="B5458" s="528" t="s">
        <v>15658</v>
      </c>
      <c r="C5458" s="528" t="s">
        <v>15659</v>
      </c>
      <c r="D5458" s="528" t="s">
        <v>238</v>
      </c>
      <c r="E5458" s="528"/>
      <c r="F5458" s="528"/>
      <c r="G5458" s="528" t="s">
        <v>208</v>
      </c>
      <c r="H5458"/>
    </row>
    <row r="5459" spans="1:8" x14ac:dyDescent="0.35">
      <c r="A5459" s="528" t="s">
        <v>15660</v>
      </c>
      <c r="B5459" s="528" t="s">
        <v>15661</v>
      </c>
      <c r="C5459" s="528" t="s">
        <v>15662</v>
      </c>
      <c r="D5459" s="528" t="s">
        <v>277</v>
      </c>
      <c r="E5459" s="528"/>
      <c r="F5459" s="528"/>
      <c r="G5459" s="528" t="s">
        <v>205</v>
      </c>
      <c r="H5459"/>
    </row>
    <row r="5460" spans="1:8" x14ac:dyDescent="0.35">
      <c r="A5460" s="528" t="s">
        <v>15663</v>
      </c>
      <c r="B5460" s="528" t="s">
        <v>15664</v>
      </c>
      <c r="C5460" s="528" t="s">
        <v>15665</v>
      </c>
      <c r="D5460" s="528" t="s">
        <v>251</v>
      </c>
      <c r="E5460" s="528"/>
      <c r="F5460" s="528"/>
      <c r="G5460" s="528" t="s">
        <v>208</v>
      </c>
      <c r="H5460"/>
    </row>
    <row r="5461" spans="1:8" x14ac:dyDescent="0.35">
      <c r="A5461" s="528" t="s">
        <v>15666</v>
      </c>
      <c r="B5461" s="528" t="s">
        <v>15667</v>
      </c>
      <c r="C5461" s="528" t="s">
        <v>15668</v>
      </c>
      <c r="D5461" s="528" t="s">
        <v>238</v>
      </c>
      <c r="E5461" s="528"/>
      <c r="F5461" s="528"/>
      <c r="G5461" s="528" t="s">
        <v>208</v>
      </c>
      <c r="H5461"/>
    </row>
    <row r="5462" spans="1:8" x14ac:dyDescent="0.35">
      <c r="A5462" s="528" t="s">
        <v>15669</v>
      </c>
      <c r="B5462" s="528" t="s">
        <v>15670</v>
      </c>
      <c r="C5462" s="528" t="s">
        <v>15671</v>
      </c>
      <c r="D5462" s="528" t="s">
        <v>251</v>
      </c>
      <c r="E5462" s="528"/>
      <c r="F5462" s="528"/>
      <c r="G5462" s="528" t="s">
        <v>205</v>
      </c>
      <c r="H5462"/>
    </row>
    <row r="5463" spans="1:8" x14ac:dyDescent="0.35">
      <c r="A5463" s="528" t="s">
        <v>15672</v>
      </c>
      <c r="B5463" s="528" t="s">
        <v>15673</v>
      </c>
      <c r="C5463" s="528" t="s">
        <v>15665</v>
      </c>
      <c r="D5463" s="528" t="s">
        <v>251</v>
      </c>
      <c r="E5463" s="528"/>
      <c r="F5463" s="528"/>
      <c r="G5463" s="528" t="s">
        <v>208</v>
      </c>
      <c r="H5463"/>
    </row>
    <row r="5464" spans="1:8" x14ac:dyDescent="0.35">
      <c r="A5464" s="528" t="s">
        <v>15674</v>
      </c>
      <c r="B5464" s="528" t="s">
        <v>15675</v>
      </c>
      <c r="C5464" s="528" t="s">
        <v>15676</v>
      </c>
      <c r="D5464" s="528" t="s">
        <v>277</v>
      </c>
      <c r="E5464" s="528"/>
      <c r="F5464" s="528"/>
      <c r="G5464" s="528" t="s">
        <v>208</v>
      </c>
      <c r="H5464"/>
    </row>
    <row r="5465" spans="1:8" x14ac:dyDescent="0.35">
      <c r="A5465" s="528" t="s">
        <v>15677</v>
      </c>
      <c r="B5465" s="528" t="s">
        <v>15678</v>
      </c>
      <c r="C5465" s="528" t="s">
        <v>15679</v>
      </c>
      <c r="D5465" s="528" t="s">
        <v>277</v>
      </c>
      <c r="E5465" s="528"/>
      <c r="F5465" s="528"/>
      <c r="G5465" s="528" t="s">
        <v>205</v>
      </c>
      <c r="H5465"/>
    </row>
    <row r="5466" spans="1:8" x14ac:dyDescent="0.35">
      <c r="A5466" s="528" t="s">
        <v>15680</v>
      </c>
      <c r="B5466" s="528" t="s">
        <v>15681</v>
      </c>
      <c r="C5466" s="528" t="s">
        <v>15682</v>
      </c>
      <c r="D5466" s="528" t="s">
        <v>264</v>
      </c>
      <c r="E5466" s="528"/>
      <c r="F5466" s="528"/>
      <c r="G5466" s="528" t="s">
        <v>205</v>
      </c>
      <c r="H5466"/>
    </row>
    <row r="5467" spans="1:8" x14ac:dyDescent="0.35">
      <c r="A5467" s="528" t="s">
        <v>15683</v>
      </c>
      <c r="B5467" s="528" t="s">
        <v>15684</v>
      </c>
      <c r="C5467" s="528" t="s">
        <v>15685</v>
      </c>
      <c r="D5467" s="528" t="s">
        <v>264</v>
      </c>
      <c r="E5467" s="528"/>
      <c r="F5467" s="528"/>
      <c r="G5467" s="528" t="s">
        <v>208</v>
      </c>
      <c r="H5467"/>
    </row>
    <row r="5468" spans="1:8" x14ac:dyDescent="0.35">
      <c r="A5468" s="528" t="s">
        <v>15686</v>
      </c>
      <c r="B5468" s="528" t="s">
        <v>15687</v>
      </c>
      <c r="C5468" s="528" t="s">
        <v>15688</v>
      </c>
      <c r="D5468" s="528" t="s">
        <v>264</v>
      </c>
      <c r="E5468" s="528"/>
      <c r="F5468" s="528"/>
      <c r="G5468" s="528" t="s">
        <v>205</v>
      </c>
      <c r="H5468"/>
    </row>
    <row r="5469" spans="1:8" x14ac:dyDescent="0.35">
      <c r="A5469" s="528" t="s">
        <v>15689</v>
      </c>
      <c r="B5469" s="528" t="s">
        <v>15690</v>
      </c>
      <c r="C5469" s="528" t="s">
        <v>15691</v>
      </c>
      <c r="D5469" s="528" t="s">
        <v>251</v>
      </c>
      <c r="E5469" s="528"/>
      <c r="F5469" s="528"/>
      <c r="G5469" s="528" t="s">
        <v>205</v>
      </c>
      <c r="H5469"/>
    </row>
    <row r="5470" spans="1:8" x14ac:dyDescent="0.35">
      <c r="A5470" s="528" t="s">
        <v>15692</v>
      </c>
      <c r="B5470" s="528" t="s">
        <v>15693</v>
      </c>
      <c r="C5470" s="528" t="s">
        <v>15694</v>
      </c>
      <c r="D5470" s="528" t="s">
        <v>251</v>
      </c>
      <c r="E5470" s="528"/>
      <c r="F5470" s="528"/>
      <c r="G5470" s="528" t="s">
        <v>208</v>
      </c>
      <c r="H5470"/>
    </row>
    <row r="5471" spans="1:8" x14ac:dyDescent="0.35">
      <c r="A5471" s="528" t="s">
        <v>15695</v>
      </c>
      <c r="B5471" s="528" t="s">
        <v>15696</v>
      </c>
      <c r="C5471" s="528" t="s">
        <v>15697</v>
      </c>
      <c r="D5471" s="528" t="s">
        <v>251</v>
      </c>
      <c r="E5471" s="528"/>
      <c r="F5471" s="528"/>
      <c r="G5471" s="528" t="s">
        <v>208</v>
      </c>
      <c r="H5471"/>
    </row>
    <row r="5472" spans="1:8" x14ac:dyDescent="0.35">
      <c r="A5472" s="528" t="s">
        <v>15698</v>
      </c>
      <c r="B5472" s="528" t="s">
        <v>15699</v>
      </c>
      <c r="C5472" s="528" t="s">
        <v>15700</v>
      </c>
      <c r="D5472" s="528" t="s">
        <v>264</v>
      </c>
      <c r="E5472" s="528"/>
      <c r="F5472" s="528"/>
      <c r="G5472" s="528" t="s">
        <v>208</v>
      </c>
      <c r="H5472"/>
    </row>
    <row r="5473" spans="1:8" x14ac:dyDescent="0.35">
      <c r="A5473" s="528" t="s">
        <v>15701</v>
      </c>
      <c r="B5473" s="528" t="s">
        <v>15702</v>
      </c>
      <c r="C5473" s="528" t="s">
        <v>15703</v>
      </c>
      <c r="D5473" s="528" t="s">
        <v>264</v>
      </c>
      <c r="E5473" s="528"/>
      <c r="F5473" s="528"/>
      <c r="G5473" s="528" t="s">
        <v>205</v>
      </c>
      <c r="H5473"/>
    </row>
    <row r="5474" spans="1:8" x14ac:dyDescent="0.35">
      <c r="A5474" s="528" t="s">
        <v>15704</v>
      </c>
      <c r="B5474" s="528" t="s">
        <v>15705</v>
      </c>
      <c r="C5474" s="528" t="s">
        <v>15706</v>
      </c>
      <c r="D5474" s="528" t="s">
        <v>277</v>
      </c>
      <c r="E5474" s="528"/>
      <c r="F5474" s="528"/>
      <c r="G5474" s="528" t="s">
        <v>208</v>
      </c>
      <c r="H5474"/>
    </row>
    <row r="5475" spans="1:8" x14ac:dyDescent="0.35">
      <c r="A5475" s="528" t="s">
        <v>15707</v>
      </c>
      <c r="B5475" s="528" t="s">
        <v>15708</v>
      </c>
      <c r="C5475" s="528" t="s">
        <v>15709</v>
      </c>
      <c r="D5475" s="528" t="s">
        <v>251</v>
      </c>
      <c r="E5475" s="528"/>
      <c r="F5475" s="528"/>
      <c r="G5475" s="528" t="s">
        <v>205</v>
      </c>
      <c r="H5475"/>
    </row>
    <row r="5476" spans="1:8" x14ac:dyDescent="0.35">
      <c r="A5476" s="528" t="s">
        <v>15710</v>
      </c>
      <c r="B5476" s="528" t="s">
        <v>15711</v>
      </c>
      <c r="C5476" s="528" t="s">
        <v>15712</v>
      </c>
      <c r="D5476" s="528" t="s">
        <v>251</v>
      </c>
      <c r="E5476" s="528"/>
      <c r="F5476" s="528"/>
      <c r="G5476" s="528" t="s">
        <v>208</v>
      </c>
      <c r="H5476"/>
    </row>
    <row r="5477" spans="1:8" x14ac:dyDescent="0.35">
      <c r="A5477" s="528" t="s">
        <v>15713</v>
      </c>
      <c r="B5477" s="528" t="s">
        <v>15714</v>
      </c>
      <c r="C5477" s="528" t="s">
        <v>15715</v>
      </c>
      <c r="D5477" s="528" t="s">
        <v>264</v>
      </c>
      <c r="E5477" s="528"/>
      <c r="F5477" s="528"/>
      <c r="G5477" s="528" t="s">
        <v>208</v>
      </c>
      <c r="H5477"/>
    </row>
    <row r="5478" spans="1:8" x14ac:dyDescent="0.35">
      <c r="A5478" s="528" t="s">
        <v>15716</v>
      </c>
      <c r="B5478" s="528" t="s">
        <v>15717</v>
      </c>
      <c r="C5478" s="528" t="s">
        <v>15718</v>
      </c>
      <c r="D5478" s="528" t="s">
        <v>277</v>
      </c>
      <c r="E5478" s="528"/>
      <c r="F5478" s="528"/>
      <c r="G5478" s="528" t="s">
        <v>205</v>
      </c>
      <c r="H5478"/>
    </row>
    <row r="5479" spans="1:8" x14ac:dyDescent="0.35">
      <c r="A5479" s="528" t="s">
        <v>15719</v>
      </c>
      <c r="B5479" s="528" t="s">
        <v>15720</v>
      </c>
      <c r="C5479" s="528" t="s">
        <v>15721</v>
      </c>
      <c r="D5479" s="528" t="s">
        <v>277</v>
      </c>
      <c r="E5479" s="528"/>
      <c r="F5479" s="528"/>
      <c r="G5479" s="528" t="s">
        <v>205</v>
      </c>
      <c r="H5479"/>
    </row>
    <row r="5480" spans="1:8" x14ac:dyDescent="0.35">
      <c r="A5480" s="528" t="s">
        <v>15722</v>
      </c>
      <c r="B5480" s="528" t="s">
        <v>15723</v>
      </c>
      <c r="C5480" s="528" t="s">
        <v>15724</v>
      </c>
      <c r="D5480" s="528" t="s">
        <v>277</v>
      </c>
      <c r="E5480" s="528"/>
      <c r="F5480" s="528"/>
      <c r="G5480" s="528" t="s">
        <v>205</v>
      </c>
      <c r="H5480"/>
    </row>
    <row r="5481" spans="1:8" x14ac:dyDescent="0.35">
      <c r="A5481" s="528" t="s">
        <v>15725</v>
      </c>
      <c r="B5481" s="528" t="s">
        <v>15726</v>
      </c>
      <c r="C5481" s="528" t="s">
        <v>15727</v>
      </c>
      <c r="D5481" s="528" t="s">
        <v>277</v>
      </c>
      <c r="E5481" s="528"/>
      <c r="F5481" s="528"/>
      <c r="G5481" s="528" t="s">
        <v>205</v>
      </c>
      <c r="H5481"/>
    </row>
    <row r="5482" spans="1:8" x14ac:dyDescent="0.35">
      <c r="A5482" s="528" t="s">
        <v>15728</v>
      </c>
      <c r="B5482" s="528" t="s">
        <v>15729</v>
      </c>
      <c r="C5482" s="528" t="s">
        <v>15730</v>
      </c>
      <c r="D5482" s="528" t="s">
        <v>264</v>
      </c>
      <c r="E5482" s="528" t="s">
        <v>277</v>
      </c>
      <c r="F5482" s="528"/>
      <c r="G5482" s="528" t="s">
        <v>208</v>
      </c>
      <c r="H5482"/>
    </row>
    <row r="5483" spans="1:8" x14ac:dyDescent="0.35">
      <c r="A5483" s="528" t="s">
        <v>15731</v>
      </c>
      <c r="B5483" s="528" t="s">
        <v>15732</v>
      </c>
      <c r="C5483" s="528" t="s">
        <v>15733</v>
      </c>
      <c r="D5483" s="528" t="s">
        <v>264</v>
      </c>
      <c r="E5483" s="528"/>
      <c r="F5483" s="528"/>
      <c r="G5483" s="528" t="s">
        <v>208</v>
      </c>
      <c r="H5483"/>
    </row>
    <row r="5484" spans="1:8" x14ac:dyDescent="0.35">
      <c r="A5484" s="528" t="s">
        <v>15734</v>
      </c>
      <c r="B5484" s="528" t="s">
        <v>15735</v>
      </c>
      <c r="C5484" s="528" t="s">
        <v>15736</v>
      </c>
      <c r="D5484" s="528" t="s">
        <v>264</v>
      </c>
      <c r="E5484" s="528"/>
      <c r="F5484" s="528"/>
      <c r="G5484" s="528" t="s">
        <v>208</v>
      </c>
      <c r="H5484"/>
    </row>
    <row r="5485" spans="1:8" x14ac:dyDescent="0.35">
      <c r="A5485" s="528" t="s">
        <v>15737</v>
      </c>
      <c r="B5485" s="528" t="s">
        <v>15738</v>
      </c>
      <c r="C5485" s="528" t="s">
        <v>15739</v>
      </c>
      <c r="D5485" s="528" t="s">
        <v>264</v>
      </c>
      <c r="E5485" s="528"/>
      <c r="F5485" s="528"/>
      <c r="G5485" s="528" t="s">
        <v>208</v>
      </c>
      <c r="H5485"/>
    </row>
    <row r="5486" spans="1:8" x14ac:dyDescent="0.35">
      <c r="A5486" s="528" t="s">
        <v>15740</v>
      </c>
      <c r="B5486" s="528" t="s">
        <v>15741</v>
      </c>
      <c r="C5486" s="528" t="s">
        <v>15742</v>
      </c>
      <c r="D5486" s="528" t="s">
        <v>264</v>
      </c>
      <c r="E5486" s="528"/>
      <c r="F5486" s="528"/>
      <c r="G5486" s="528" t="s">
        <v>208</v>
      </c>
      <c r="H5486"/>
    </row>
    <row r="5487" spans="1:8" x14ac:dyDescent="0.35">
      <c r="A5487" s="528" t="s">
        <v>15743</v>
      </c>
      <c r="B5487" s="528" t="s">
        <v>15744</v>
      </c>
      <c r="C5487" s="528" t="s">
        <v>15745</v>
      </c>
      <c r="D5487" s="528" t="s">
        <v>264</v>
      </c>
      <c r="E5487" s="528"/>
      <c r="F5487" s="528"/>
      <c r="G5487" s="528" t="s">
        <v>205</v>
      </c>
      <c r="H5487"/>
    </row>
    <row r="5488" spans="1:8" x14ac:dyDescent="0.35">
      <c r="A5488" s="528" t="s">
        <v>15746</v>
      </c>
      <c r="B5488" s="528" t="s">
        <v>15747</v>
      </c>
      <c r="C5488" s="528" t="s">
        <v>15748</v>
      </c>
      <c r="D5488" s="528" t="s">
        <v>264</v>
      </c>
      <c r="E5488" s="528"/>
      <c r="F5488" s="528"/>
      <c r="G5488" s="528" t="s">
        <v>205</v>
      </c>
      <c r="H5488"/>
    </row>
    <row r="5489" spans="1:8" x14ac:dyDescent="0.35">
      <c r="A5489" s="528" t="s">
        <v>15749</v>
      </c>
      <c r="B5489" s="528" t="s">
        <v>15750</v>
      </c>
      <c r="C5489" s="528" t="s">
        <v>12987</v>
      </c>
      <c r="D5489" s="528" t="s">
        <v>264</v>
      </c>
      <c r="E5489" s="528"/>
      <c r="F5489" s="528"/>
      <c r="G5489" s="528" t="s">
        <v>205</v>
      </c>
      <c r="H5489"/>
    </row>
    <row r="5490" spans="1:8" x14ac:dyDescent="0.35">
      <c r="A5490" s="528" t="s">
        <v>15751</v>
      </c>
      <c r="B5490" s="528" t="s">
        <v>15752</v>
      </c>
      <c r="C5490" s="528" t="s">
        <v>15753</v>
      </c>
      <c r="D5490" s="528" t="s">
        <v>238</v>
      </c>
      <c r="E5490" s="528"/>
      <c r="F5490" s="528"/>
      <c r="G5490" s="528" t="s">
        <v>208</v>
      </c>
      <c r="H5490"/>
    </row>
    <row r="5491" spans="1:8" x14ac:dyDescent="0.35">
      <c r="A5491" s="528" t="s">
        <v>15754</v>
      </c>
      <c r="B5491" s="528" t="s">
        <v>15755</v>
      </c>
      <c r="C5491" s="528" t="s">
        <v>15756</v>
      </c>
      <c r="D5491" s="528" t="s">
        <v>251</v>
      </c>
      <c r="E5491" s="528"/>
      <c r="F5491" s="528"/>
      <c r="G5491" s="528" t="s">
        <v>208</v>
      </c>
      <c r="H5491"/>
    </row>
    <row r="5492" spans="1:8" x14ac:dyDescent="0.35">
      <c r="A5492" s="528" t="s">
        <v>15757</v>
      </c>
      <c r="B5492" s="528" t="s">
        <v>15758</v>
      </c>
      <c r="C5492" s="528" t="s">
        <v>15759</v>
      </c>
      <c r="D5492" s="528" t="s">
        <v>264</v>
      </c>
      <c r="E5492" s="528"/>
      <c r="F5492" s="528"/>
      <c r="G5492" s="528" t="s">
        <v>208</v>
      </c>
      <c r="H5492"/>
    </row>
    <row r="5493" spans="1:8" x14ac:dyDescent="0.35">
      <c r="A5493" s="528" t="s">
        <v>15760</v>
      </c>
      <c r="B5493" s="528" t="s">
        <v>15761</v>
      </c>
      <c r="C5493" s="528" t="s">
        <v>15762</v>
      </c>
      <c r="D5493" s="528" t="s">
        <v>277</v>
      </c>
      <c r="E5493" s="528"/>
      <c r="F5493" s="528"/>
      <c r="G5493" s="528" t="s">
        <v>208</v>
      </c>
      <c r="H5493"/>
    </row>
    <row r="5494" spans="1:8" x14ac:dyDescent="0.35">
      <c r="A5494" s="528" t="s">
        <v>15763</v>
      </c>
      <c r="B5494" s="528" t="s">
        <v>15764</v>
      </c>
      <c r="C5494" s="528" t="s">
        <v>15765</v>
      </c>
      <c r="D5494" s="528" t="s">
        <v>277</v>
      </c>
      <c r="E5494" s="528"/>
      <c r="F5494" s="528"/>
      <c r="G5494" s="528" t="s">
        <v>208</v>
      </c>
      <c r="H5494"/>
    </row>
    <row r="5495" spans="1:8" x14ac:dyDescent="0.35">
      <c r="A5495" s="528" t="s">
        <v>15766</v>
      </c>
      <c r="B5495" s="528" t="s">
        <v>15767</v>
      </c>
      <c r="C5495" s="528" t="s">
        <v>15768</v>
      </c>
      <c r="D5495" s="528" t="s">
        <v>277</v>
      </c>
      <c r="E5495" s="528"/>
      <c r="F5495" s="528"/>
      <c r="G5495" s="528" t="s">
        <v>208</v>
      </c>
      <c r="H5495"/>
    </row>
    <row r="5496" spans="1:8" x14ac:dyDescent="0.35">
      <c r="A5496" s="528" t="s">
        <v>15769</v>
      </c>
      <c r="B5496" s="528" t="s">
        <v>15770</v>
      </c>
      <c r="C5496" s="528" t="s">
        <v>15771</v>
      </c>
      <c r="D5496" s="528" t="s">
        <v>277</v>
      </c>
      <c r="E5496" s="528"/>
      <c r="F5496" s="528"/>
      <c r="G5496" s="528" t="s">
        <v>205</v>
      </c>
      <c r="H5496"/>
    </row>
    <row r="5497" spans="1:8" x14ac:dyDescent="0.35">
      <c r="A5497" s="528" t="s">
        <v>15772</v>
      </c>
      <c r="B5497" s="528" t="s">
        <v>15773</v>
      </c>
      <c r="C5497" s="528" t="s">
        <v>15774</v>
      </c>
      <c r="D5497" s="528" t="s">
        <v>277</v>
      </c>
      <c r="E5497" s="528"/>
      <c r="F5497" s="528"/>
      <c r="G5497" s="528" t="s">
        <v>208</v>
      </c>
      <c r="H5497"/>
    </row>
    <row r="5498" spans="1:8" x14ac:dyDescent="0.35">
      <c r="A5498" s="528" t="s">
        <v>15775</v>
      </c>
      <c r="B5498" s="528" t="s">
        <v>15776</v>
      </c>
      <c r="C5498" s="528" t="s">
        <v>15777</v>
      </c>
      <c r="D5498" s="528" t="s">
        <v>264</v>
      </c>
      <c r="E5498" s="528"/>
      <c r="F5498" s="528"/>
      <c r="G5498" s="528" t="s">
        <v>208</v>
      </c>
      <c r="H5498"/>
    </row>
    <row r="5499" spans="1:8" x14ac:dyDescent="0.35">
      <c r="A5499" s="528" t="s">
        <v>15778</v>
      </c>
      <c r="B5499" s="528" t="s">
        <v>15779</v>
      </c>
      <c r="C5499" s="528" t="s">
        <v>15780</v>
      </c>
      <c r="D5499" s="528" t="s">
        <v>251</v>
      </c>
      <c r="E5499" s="528"/>
      <c r="F5499" s="528"/>
      <c r="G5499" s="528" t="s">
        <v>208</v>
      </c>
      <c r="H5499"/>
    </row>
    <row r="5500" spans="1:8" x14ac:dyDescent="0.35">
      <c r="A5500" s="528" t="s">
        <v>15781</v>
      </c>
      <c r="B5500" s="528" t="s">
        <v>15782</v>
      </c>
      <c r="C5500" s="528" t="s">
        <v>15783</v>
      </c>
      <c r="D5500" s="528" t="s">
        <v>277</v>
      </c>
      <c r="E5500" s="528" t="s">
        <v>264</v>
      </c>
      <c r="F5500" s="528"/>
      <c r="G5500" s="528" t="s">
        <v>205</v>
      </c>
      <c r="H5500"/>
    </row>
    <row r="5501" spans="1:8" x14ac:dyDescent="0.35">
      <c r="A5501" s="528" t="s">
        <v>15784</v>
      </c>
      <c r="B5501" s="528" t="s">
        <v>15785</v>
      </c>
      <c r="C5501" s="528" t="s">
        <v>15786</v>
      </c>
      <c r="D5501" s="528" t="s">
        <v>277</v>
      </c>
      <c r="E5501" s="528"/>
      <c r="F5501" s="528"/>
      <c r="G5501" s="528" t="s">
        <v>205</v>
      </c>
      <c r="H5501"/>
    </row>
    <row r="5502" spans="1:8" x14ac:dyDescent="0.35">
      <c r="A5502" s="528" t="s">
        <v>15787</v>
      </c>
      <c r="B5502" s="528" t="s">
        <v>15788</v>
      </c>
      <c r="C5502" s="528" t="s">
        <v>15789</v>
      </c>
      <c r="D5502" s="528" t="s">
        <v>225</v>
      </c>
      <c r="E5502" s="528"/>
      <c r="F5502" s="528"/>
      <c r="G5502" s="528" t="s">
        <v>205</v>
      </c>
      <c r="H5502"/>
    </row>
    <row r="5503" spans="1:8" x14ac:dyDescent="0.35">
      <c r="A5503" s="528" t="s">
        <v>15790</v>
      </c>
      <c r="B5503" s="528" t="s">
        <v>15791</v>
      </c>
      <c r="C5503" s="528" t="s">
        <v>15792</v>
      </c>
      <c r="D5503" s="528" t="s">
        <v>225</v>
      </c>
      <c r="E5503" s="528"/>
      <c r="F5503" s="528"/>
      <c r="G5503" s="528" t="s">
        <v>205</v>
      </c>
      <c r="H5503"/>
    </row>
    <row r="5504" spans="1:8" x14ac:dyDescent="0.35">
      <c r="A5504" s="528" t="s">
        <v>15793</v>
      </c>
      <c r="B5504" s="528" t="s">
        <v>15794</v>
      </c>
      <c r="C5504" s="528" t="s">
        <v>15795</v>
      </c>
      <c r="D5504" s="528" t="s">
        <v>225</v>
      </c>
      <c r="E5504" s="528"/>
      <c r="F5504" s="528"/>
      <c r="G5504" s="528" t="s">
        <v>205</v>
      </c>
      <c r="H5504"/>
    </row>
    <row r="5505" spans="1:8" x14ac:dyDescent="0.35">
      <c r="A5505" s="528" t="s">
        <v>15796</v>
      </c>
      <c r="B5505" s="528" t="s">
        <v>15797</v>
      </c>
      <c r="C5505" s="528" t="s">
        <v>15798</v>
      </c>
      <c r="D5505" s="528" t="s">
        <v>225</v>
      </c>
      <c r="E5505" s="528"/>
      <c r="F5505" s="528"/>
      <c r="G5505" s="528" t="s">
        <v>205</v>
      </c>
      <c r="H5505"/>
    </row>
    <row r="5506" spans="1:8" x14ac:dyDescent="0.35">
      <c r="A5506" s="528" t="s">
        <v>15799</v>
      </c>
      <c r="B5506" s="528" t="s">
        <v>15800</v>
      </c>
      <c r="C5506" s="528" t="s">
        <v>15801</v>
      </c>
      <c r="D5506" s="528" t="s">
        <v>238</v>
      </c>
      <c r="E5506" s="528"/>
      <c r="F5506" s="528"/>
      <c r="G5506" s="528" t="s">
        <v>205</v>
      </c>
      <c r="H5506"/>
    </row>
    <row r="5507" spans="1:8" x14ac:dyDescent="0.35">
      <c r="A5507" s="528" t="s">
        <v>15802</v>
      </c>
      <c r="B5507" s="528" t="s">
        <v>15803</v>
      </c>
      <c r="C5507" s="528" t="s">
        <v>15804</v>
      </c>
      <c r="D5507" s="528" t="s">
        <v>238</v>
      </c>
      <c r="E5507" s="528"/>
      <c r="F5507" s="528"/>
      <c r="G5507" s="528" t="s">
        <v>205</v>
      </c>
      <c r="H5507"/>
    </row>
    <row r="5508" spans="1:8" x14ac:dyDescent="0.35">
      <c r="A5508" s="528" t="s">
        <v>15805</v>
      </c>
      <c r="B5508" s="528" t="s">
        <v>15806</v>
      </c>
      <c r="C5508" s="528" t="s">
        <v>15807</v>
      </c>
      <c r="D5508" s="528" t="s">
        <v>238</v>
      </c>
      <c r="E5508" s="528"/>
      <c r="F5508" s="528"/>
      <c r="G5508" s="528" t="s">
        <v>208</v>
      </c>
      <c r="H5508"/>
    </row>
    <row r="5509" spans="1:8" x14ac:dyDescent="0.35">
      <c r="A5509" s="528" t="s">
        <v>15808</v>
      </c>
      <c r="B5509" s="528" t="s">
        <v>15809</v>
      </c>
      <c r="C5509" s="528" t="s">
        <v>15810</v>
      </c>
      <c r="D5509" s="528" t="s">
        <v>238</v>
      </c>
      <c r="E5509" s="528"/>
      <c r="F5509" s="528"/>
      <c r="G5509" s="528" t="s">
        <v>208</v>
      </c>
      <c r="H5509"/>
    </row>
    <row r="5510" spans="1:8" x14ac:dyDescent="0.35">
      <c r="A5510" s="528" t="s">
        <v>15811</v>
      </c>
      <c r="B5510" s="528" t="s">
        <v>15812</v>
      </c>
      <c r="C5510" s="528" t="s">
        <v>15813</v>
      </c>
      <c r="D5510" s="528" t="s">
        <v>277</v>
      </c>
      <c r="E5510" s="528"/>
      <c r="F5510" s="528"/>
      <c r="G5510" s="528" t="s">
        <v>208</v>
      </c>
      <c r="H5510"/>
    </row>
    <row r="5511" spans="1:8" x14ac:dyDescent="0.35">
      <c r="A5511" s="528" t="s">
        <v>15814</v>
      </c>
      <c r="B5511" s="528" t="s">
        <v>15815</v>
      </c>
      <c r="C5511" s="528" t="s">
        <v>15816</v>
      </c>
      <c r="D5511" s="528" t="s">
        <v>264</v>
      </c>
      <c r="E5511" s="528"/>
      <c r="F5511" s="528"/>
      <c r="G5511" s="528" t="s">
        <v>205</v>
      </c>
      <c r="H5511"/>
    </row>
    <row r="5512" spans="1:8" x14ac:dyDescent="0.35">
      <c r="A5512" s="528" t="s">
        <v>15817</v>
      </c>
      <c r="B5512" s="528" t="s">
        <v>15818</v>
      </c>
      <c r="C5512" s="528" t="s">
        <v>15819</v>
      </c>
      <c r="D5512" s="528" t="s">
        <v>277</v>
      </c>
      <c r="E5512" s="528"/>
      <c r="F5512" s="528"/>
      <c r="G5512" s="528" t="s">
        <v>205</v>
      </c>
      <c r="H5512"/>
    </row>
    <row r="5513" spans="1:8" x14ac:dyDescent="0.35">
      <c r="A5513" s="528" t="s">
        <v>15820</v>
      </c>
      <c r="B5513" s="528" t="s">
        <v>15821</v>
      </c>
      <c r="C5513" s="528" t="s">
        <v>15822</v>
      </c>
      <c r="D5513" s="528" t="s">
        <v>264</v>
      </c>
      <c r="E5513" s="528"/>
      <c r="F5513" s="528"/>
      <c r="G5513" s="528" t="s">
        <v>205</v>
      </c>
      <c r="H5513"/>
    </row>
    <row r="5514" spans="1:8" x14ac:dyDescent="0.35">
      <c r="A5514" s="528" t="s">
        <v>15823</v>
      </c>
      <c r="B5514" s="528" t="s">
        <v>15824</v>
      </c>
      <c r="C5514" s="528" t="s">
        <v>15825</v>
      </c>
      <c r="D5514" s="528" t="s">
        <v>264</v>
      </c>
      <c r="E5514" s="528"/>
      <c r="F5514" s="528"/>
      <c r="G5514" s="528" t="s">
        <v>205</v>
      </c>
      <c r="H5514"/>
    </row>
    <row r="5515" spans="1:8" x14ac:dyDescent="0.35">
      <c r="A5515" s="528" t="s">
        <v>15826</v>
      </c>
      <c r="B5515" s="528" t="s">
        <v>15827</v>
      </c>
      <c r="C5515" s="528" t="s">
        <v>15828</v>
      </c>
      <c r="D5515" s="528" t="s">
        <v>225</v>
      </c>
      <c r="E5515" s="528"/>
      <c r="F5515" s="528"/>
      <c r="G5515" s="528" t="s">
        <v>205</v>
      </c>
      <c r="H5515"/>
    </row>
    <row r="5516" spans="1:8" x14ac:dyDescent="0.35">
      <c r="A5516" s="528" t="s">
        <v>15829</v>
      </c>
      <c r="B5516" s="528" t="s">
        <v>15830</v>
      </c>
      <c r="C5516" s="528" t="s">
        <v>15831</v>
      </c>
      <c r="D5516" s="528" t="s">
        <v>277</v>
      </c>
      <c r="E5516" s="528"/>
      <c r="F5516" s="528"/>
      <c r="G5516" s="528" t="s">
        <v>205</v>
      </c>
      <c r="H5516"/>
    </row>
    <row r="5517" spans="1:8" x14ac:dyDescent="0.35">
      <c r="A5517" s="528" t="s">
        <v>15832</v>
      </c>
      <c r="B5517" s="528" t="s">
        <v>15833</v>
      </c>
      <c r="C5517" s="528" t="s">
        <v>15834</v>
      </c>
      <c r="D5517" s="528" t="s">
        <v>277</v>
      </c>
      <c r="E5517" s="528"/>
      <c r="F5517" s="528"/>
      <c r="G5517" s="528" t="s">
        <v>205</v>
      </c>
      <c r="H5517"/>
    </row>
    <row r="5518" spans="1:8" x14ac:dyDescent="0.35">
      <c r="A5518" s="528" t="s">
        <v>15835</v>
      </c>
      <c r="B5518" s="528" t="s">
        <v>15836</v>
      </c>
      <c r="C5518" s="528" t="s">
        <v>15837</v>
      </c>
      <c r="D5518" s="528" t="s">
        <v>225</v>
      </c>
      <c r="E5518" s="528"/>
      <c r="F5518" s="528"/>
      <c r="G5518" s="528" t="s">
        <v>208</v>
      </c>
      <c r="H5518"/>
    </row>
    <row r="5519" spans="1:8" x14ac:dyDescent="0.35">
      <c r="A5519" s="528" t="s">
        <v>15838</v>
      </c>
      <c r="B5519" s="528" t="s">
        <v>15839</v>
      </c>
      <c r="C5519" s="528" t="s">
        <v>15840</v>
      </c>
      <c r="D5519" s="528" t="s">
        <v>225</v>
      </c>
      <c r="E5519" s="528"/>
      <c r="F5519" s="528"/>
      <c r="G5519" s="528" t="s">
        <v>208</v>
      </c>
      <c r="H5519"/>
    </row>
    <row r="5520" spans="1:8" x14ac:dyDescent="0.35">
      <c r="A5520" s="528" t="s">
        <v>15841</v>
      </c>
      <c r="B5520" s="528" t="s">
        <v>15842</v>
      </c>
      <c r="C5520" s="528" t="s">
        <v>15843</v>
      </c>
      <c r="D5520" s="528" t="s">
        <v>238</v>
      </c>
      <c r="E5520" s="528"/>
      <c r="F5520" s="528"/>
      <c r="G5520" s="528" t="s">
        <v>205</v>
      </c>
      <c r="H5520"/>
    </row>
    <row r="5521" spans="1:8" x14ac:dyDescent="0.35">
      <c r="A5521" s="528" t="s">
        <v>15844</v>
      </c>
      <c r="B5521" s="528" t="s">
        <v>15845</v>
      </c>
      <c r="C5521" s="528" t="s">
        <v>15846</v>
      </c>
      <c r="D5521" s="528" t="s">
        <v>238</v>
      </c>
      <c r="E5521" s="528"/>
      <c r="F5521" s="528"/>
      <c r="G5521" s="528" t="s">
        <v>208</v>
      </c>
      <c r="H5521"/>
    </row>
    <row r="5522" spans="1:8" x14ac:dyDescent="0.35">
      <c r="A5522" s="528" t="s">
        <v>15847</v>
      </c>
      <c r="B5522" s="528" t="s">
        <v>15848</v>
      </c>
      <c r="C5522" s="528" t="s">
        <v>15849</v>
      </c>
      <c r="D5522" s="528" t="s">
        <v>238</v>
      </c>
      <c r="E5522" s="528"/>
      <c r="F5522" s="528"/>
      <c r="G5522" s="528" t="s">
        <v>205</v>
      </c>
      <c r="H5522"/>
    </row>
    <row r="5523" spans="1:8" x14ac:dyDescent="0.35">
      <c r="A5523" s="528" t="s">
        <v>15850</v>
      </c>
      <c r="B5523" s="528" t="s">
        <v>15851</v>
      </c>
      <c r="C5523" s="528" t="s">
        <v>15852</v>
      </c>
      <c r="D5523" s="528" t="s">
        <v>238</v>
      </c>
      <c r="E5523" s="528"/>
      <c r="F5523" s="528"/>
      <c r="G5523" s="528" t="s">
        <v>208</v>
      </c>
      <c r="H5523"/>
    </row>
    <row r="5524" spans="1:8" x14ac:dyDescent="0.35">
      <c r="A5524" s="528" t="s">
        <v>15853</v>
      </c>
      <c r="B5524" s="528" t="s">
        <v>15854</v>
      </c>
      <c r="C5524" s="528" t="s">
        <v>15855</v>
      </c>
      <c r="D5524" s="528" t="s">
        <v>264</v>
      </c>
      <c r="E5524" s="528"/>
      <c r="F5524" s="528"/>
      <c r="G5524" s="528" t="s">
        <v>208</v>
      </c>
      <c r="H5524"/>
    </row>
    <row r="5525" spans="1:8" x14ac:dyDescent="0.35">
      <c r="A5525" s="528" t="s">
        <v>15856</v>
      </c>
      <c r="B5525" s="528" t="s">
        <v>15857</v>
      </c>
      <c r="C5525" s="528" t="s">
        <v>15858</v>
      </c>
      <c r="D5525" s="528" t="s">
        <v>277</v>
      </c>
      <c r="E5525" s="528"/>
      <c r="F5525" s="528"/>
      <c r="G5525" s="528" t="s">
        <v>212</v>
      </c>
      <c r="H5525"/>
    </row>
    <row r="5526" spans="1:8" x14ac:dyDescent="0.35">
      <c r="A5526" s="528" t="s">
        <v>15859</v>
      </c>
      <c r="B5526" s="528" t="s">
        <v>15860</v>
      </c>
      <c r="C5526" s="528" t="s">
        <v>15861</v>
      </c>
      <c r="D5526" s="528" t="s">
        <v>264</v>
      </c>
      <c r="E5526" s="528"/>
      <c r="F5526" s="528"/>
      <c r="G5526" s="528" t="s">
        <v>208</v>
      </c>
      <c r="H5526"/>
    </row>
    <row r="5527" spans="1:8" x14ac:dyDescent="0.35">
      <c r="A5527" s="528" t="s">
        <v>15862</v>
      </c>
      <c r="B5527" s="528" t="s">
        <v>15863</v>
      </c>
      <c r="C5527" s="528" t="s">
        <v>15864</v>
      </c>
      <c r="D5527" s="528" t="s">
        <v>277</v>
      </c>
      <c r="E5527" s="528"/>
      <c r="F5527" s="528"/>
      <c r="G5527" s="528" t="s">
        <v>208</v>
      </c>
      <c r="H5527"/>
    </row>
    <row r="5528" spans="1:8" x14ac:dyDescent="0.35">
      <c r="A5528" s="528" t="s">
        <v>15865</v>
      </c>
      <c r="B5528" s="528" t="s">
        <v>15866</v>
      </c>
      <c r="C5528" s="528" t="s">
        <v>15867</v>
      </c>
      <c r="D5528" s="528" t="s">
        <v>277</v>
      </c>
      <c r="E5528" s="528"/>
      <c r="F5528" s="528"/>
      <c r="G5528" s="528" t="s">
        <v>205</v>
      </c>
      <c r="H5528"/>
    </row>
    <row r="5529" spans="1:8" x14ac:dyDescent="0.35">
      <c r="A5529" s="528" t="s">
        <v>15868</v>
      </c>
      <c r="B5529" s="528" t="s">
        <v>15869</v>
      </c>
      <c r="C5529" s="528" t="s">
        <v>15870</v>
      </c>
      <c r="D5529" s="528" t="s">
        <v>277</v>
      </c>
      <c r="E5529" s="528"/>
      <c r="F5529" s="528"/>
      <c r="G5529" s="528" t="s">
        <v>205</v>
      </c>
      <c r="H5529"/>
    </row>
    <row r="5530" spans="1:8" x14ac:dyDescent="0.35">
      <c r="A5530" s="528" t="s">
        <v>15871</v>
      </c>
      <c r="B5530" s="528" t="s">
        <v>15872</v>
      </c>
      <c r="C5530" s="528" t="s">
        <v>15873</v>
      </c>
      <c r="D5530" s="528" t="s">
        <v>264</v>
      </c>
      <c r="E5530" s="528"/>
      <c r="F5530" s="528"/>
      <c r="G5530" s="528" t="s">
        <v>205</v>
      </c>
      <c r="H5530"/>
    </row>
    <row r="5531" spans="1:8" x14ac:dyDescent="0.35">
      <c r="A5531" s="528" t="s">
        <v>15874</v>
      </c>
      <c r="B5531" s="528" t="s">
        <v>15875</v>
      </c>
      <c r="C5531" s="528" t="s">
        <v>15876</v>
      </c>
      <c r="D5531" s="528" t="s">
        <v>225</v>
      </c>
      <c r="E5531" s="528"/>
      <c r="F5531" s="528"/>
      <c r="G5531" s="528" t="s">
        <v>208</v>
      </c>
      <c r="H5531"/>
    </row>
    <row r="5532" spans="1:8" x14ac:dyDescent="0.35">
      <c r="A5532" s="528" t="s">
        <v>15877</v>
      </c>
      <c r="B5532" s="528" t="s">
        <v>15878</v>
      </c>
      <c r="C5532" s="528" t="s">
        <v>15879</v>
      </c>
      <c r="D5532" s="528" t="s">
        <v>225</v>
      </c>
      <c r="E5532" s="528"/>
      <c r="F5532" s="528"/>
      <c r="G5532" s="528" t="s">
        <v>212</v>
      </c>
      <c r="H5532"/>
    </row>
    <row r="5533" spans="1:8" x14ac:dyDescent="0.35">
      <c r="A5533" s="528" t="s">
        <v>15880</v>
      </c>
      <c r="B5533" s="528" t="s">
        <v>15881</v>
      </c>
      <c r="C5533" s="528" t="s">
        <v>15882</v>
      </c>
      <c r="D5533" s="528" t="s">
        <v>264</v>
      </c>
      <c r="E5533" s="528"/>
      <c r="F5533" s="528"/>
      <c r="G5533" s="528" t="s">
        <v>205</v>
      </c>
      <c r="H5533"/>
    </row>
    <row r="5534" spans="1:8" x14ac:dyDescent="0.35">
      <c r="A5534" s="528" t="s">
        <v>15883</v>
      </c>
      <c r="B5534" s="528" t="s">
        <v>15884</v>
      </c>
      <c r="C5534" s="528" t="s">
        <v>15885</v>
      </c>
      <c r="D5534" s="528" t="s">
        <v>277</v>
      </c>
      <c r="E5534" s="528"/>
      <c r="F5534" s="528"/>
      <c r="G5534" s="528" t="s">
        <v>205</v>
      </c>
      <c r="H5534"/>
    </row>
    <row r="5535" spans="1:8" x14ac:dyDescent="0.35">
      <c r="A5535" s="528" t="s">
        <v>15886</v>
      </c>
      <c r="B5535" s="528" t="s">
        <v>15887</v>
      </c>
      <c r="C5535" s="528" t="s">
        <v>15888</v>
      </c>
      <c r="D5535" s="528" t="s">
        <v>264</v>
      </c>
      <c r="E5535" s="528"/>
      <c r="F5535" s="528"/>
      <c r="G5535" s="528" t="s">
        <v>205</v>
      </c>
      <c r="H5535"/>
    </row>
    <row r="5536" spans="1:8" x14ac:dyDescent="0.35">
      <c r="A5536" s="528" t="s">
        <v>15889</v>
      </c>
      <c r="B5536" s="528" t="s">
        <v>15890</v>
      </c>
      <c r="C5536" s="528" t="s">
        <v>15891</v>
      </c>
      <c r="D5536" s="528" t="s">
        <v>277</v>
      </c>
      <c r="E5536" s="528"/>
      <c r="F5536" s="528"/>
      <c r="G5536" s="528" t="s">
        <v>205</v>
      </c>
      <c r="H5536"/>
    </row>
    <row r="5537" spans="1:8" x14ac:dyDescent="0.35">
      <c r="A5537" s="528" t="s">
        <v>15892</v>
      </c>
      <c r="B5537" s="528" t="s">
        <v>15893</v>
      </c>
      <c r="C5537" s="528" t="s">
        <v>15894</v>
      </c>
      <c r="D5537" s="528" t="s">
        <v>225</v>
      </c>
      <c r="E5537" s="528"/>
      <c r="F5537" s="528"/>
      <c r="G5537" s="528" t="s">
        <v>205</v>
      </c>
      <c r="H5537"/>
    </row>
    <row r="5538" spans="1:8" x14ac:dyDescent="0.35">
      <c r="A5538" s="528" t="s">
        <v>15895</v>
      </c>
      <c r="B5538" s="528" t="s">
        <v>15896</v>
      </c>
      <c r="C5538" s="528" t="s">
        <v>15897</v>
      </c>
      <c r="D5538" s="528" t="s">
        <v>225</v>
      </c>
      <c r="E5538" s="528"/>
      <c r="F5538" s="528"/>
      <c r="G5538" s="528" t="s">
        <v>208</v>
      </c>
      <c r="H5538"/>
    </row>
    <row r="5539" spans="1:8" x14ac:dyDescent="0.35">
      <c r="A5539" s="528" t="s">
        <v>15898</v>
      </c>
      <c r="B5539" s="528" t="s">
        <v>15899</v>
      </c>
      <c r="C5539" s="528" t="s">
        <v>15900</v>
      </c>
      <c r="D5539" s="528" t="s">
        <v>225</v>
      </c>
      <c r="E5539" s="528"/>
      <c r="F5539" s="528"/>
      <c r="G5539" s="528" t="s">
        <v>208</v>
      </c>
      <c r="H5539"/>
    </row>
    <row r="5540" spans="1:8" x14ac:dyDescent="0.35">
      <c r="A5540" s="528" t="s">
        <v>15901</v>
      </c>
      <c r="B5540" s="528" t="s">
        <v>15902</v>
      </c>
      <c r="C5540" s="528" t="s">
        <v>15903</v>
      </c>
      <c r="D5540" s="528" t="s">
        <v>225</v>
      </c>
      <c r="E5540" s="528"/>
      <c r="F5540" s="528"/>
      <c r="G5540" s="528" t="s">
        <v>208</v>
      </c>
      <c r="H5540"/>
    </row>
    <row r="5541" spans="1:8" x14ac:dyDescent="0.35">
      <c r="A5541" s="528" t="s">
        <v>15904</v>
      </c>
      <c r="B5541" s="528" t="s">
        <v>15905</v>
      </c>
      <c r="C5541" s="528" t="s">
        <v>15906</v>
      </c>
      <c r="D5541" s="528" t="s">
        <v>225</v>
      </c>
      <c r="E5541" s="528"/>
      <c r="F5541" s="528"/>
      <c r="G5541" s="528" t="s">
        <v>208</v>
      </c>
      <c r="H5541"/>
    </row>
    <row r="5542" spans="1:8" x14ac:dyDescent="0.35">
      <c r="A5542" s="528" t="s">
        <v>15907</v>
      </c>
      <c r="B5542" s="528" t="s">
        <v>15908</v>
      </c>
      <c r="C5542" s="528" t="s">
        <v>15909</v>
      </c>
      <c r="D5542" s="528" t="s">
        <v>225</v>
      </c>
      <c r="E5542" s="528"/>
      <c r="F5542" s="528"/>
      <c r="G5542" s="528" t="s">
        <v>208</v>
      </c>
      <c r="H5542"/>
    </row>
    <row r="5543" spans="1:8" x14ac:dyDescent="0.35">
      <c r="A5543" s="528" t="s">
        <v>15910</v>
      </c>
      <c r="B5543" s="528" t="s">
        <v>15911</v>
      </c>
      <c r="C5543" s="528" t="s">
        <v>15912</v>
      </c>
      <c r="D5543" s="528" t="s">
        <v>225</v>
      </c>
      <c r="E5543" s="528"/>
      <c r="F5543" s="528"/>
      <c r="G5543" s="528" t="s">
        <v>208</v>
      </c>
      <c r="H5543"/>
    </row>
    <row r="5544" spans="1:8" x14ac:dyDescent="0.35">
      <c r="A5544" s="528" t="s">
        <v>15913</v>
      </c>
      <c r="B5544" s="528" t="s">
        <v>15914</v>
      </c>
      <c r="C5544" s="528" t="s">
        <v>15915</v>
      </c>
      <c r="D5544" s="528" t="s">
        <v>225</v>
      </c>
      <c r="E5544" s="528"/>
      <c r="F5544" s="528"/>
      <c r="G5544" s="528" t="s">
        <v>205</v>
      </c>
      <c r="H5544"/>
    </row>
    <row r="5545" spans="1:8" x14ac:dyDescent="0.35">
      <c r="A5545" s="528" t="s">
        <v>15916</v>
      </c>
      <c r="B5545" s="528" t="s">
        <v>15917</v>
      </c>
      <c r="C5545" s="528" t="s">
        <v>15918</v>
      </c>
      <c r="D5545" s="528" t="s">
        <v>225</v>
      </c>
      <c r="E5545" s="528"/>
      <c r="F5545" s="528"/>
      <c r="G5545" s="528" t="s">
        <v>205</v>
      </c>
      <c r="H5545"/>
    </row>
    <row r="5546" spans="1:8" x14ac:dyDescent="0.35">
      <c r="A5546" s="528" t="s">
        <v>15919</v>
      </c>
      <c r="B5546" s="528" t="s">
        <v>15920</v>
      </c>
      <c r="C5546" s="528" t="s">
        <v>15921</v>
      </c>
      <c r="D5546" s="528" t="s">
        <v>225</v>
      </c>
      <c r="E5546" s="528"/>
      <c r="F5546" s="528"/>
      <c r="G5546" s="528" t="s">
        <v>205</v>
      </c>
      <c r="H5546"/>
    </row>
    <row r="5547" spans="1:8" x14ac:dyDescent="0.35">
      <c r="A5547" s="528" t="s">
        <v>15922</v>
      </c>
      <c r="B5547" s="528" t="s">
        <v>15923</v>
      </c>
      <c r="C5547" s="528" t="s">
        <v>15924</v>
      </c>
      <c r="D5547" s="528" t="s">
        <v>225</v>
      </c>
      <c r="E5547" s="528"/>
      <c r="F5547" s="528"/>
      <c r="G5547" s="528" t="s">
        <v>205</v>
      </c>
      <c r="H5547"/>
    </row>
    <row r="5548" spans="1:8" x14ac:dyDescent="0.35">
      <c r="A5548" s="528" t="s">
        <v>15925</v>
      </c>
      <c r="B5548" s="528" t="s">
        <v>15926</v>
      </c>
      <c r="C5548" s="528" t="s">
        <v>15927</v>
      </c>
      <c r="D5548" s="528" t="s">
        <v>251</v>
      </c>
      <c r="E5548" s="528"/>
      <c r="F5548" s="528"/>
      <c r="G5548" s="528" t="s">
        <v>205</v>
      </c>
      <c r="H5548"/>
    </row>
    <row r="5549" spans="1:8" x14ac:dyDescent="0.35">
      <c r="A5549" s="528" t="s">
        <v>15928</v>
      </c>
      <c r="B5549" s="528" t="s">
        <v>15929</v>
      </c>
      <c r="C5549" s="528" t="s">
        <v>15930</v>
      </c>
      <c r="D5549" s="528" t="s">
        <v>277</v>
      </c>
      <c r="E5549" s="528"/>
      <c r="F5549" s="528"/>
      <c r="G5549" s="528" t="s">
        <v>205</v>
      </c>
      <c r="H5549"/>
    </row>
    <row r="5550" spans="1:8" x14ac:dyDescent="0.35">
      <c r="A5550" s="528" t="s">
        <v>15931</v>
      </c>
      <c r="B5550" s="528" t="s">
        <v>15932</v>
      </c>
      <c r="C5550" s="528" t="s">
        <v>15933</v>
      </c>
      <c r="D5550" s="528" t="s">
        <v>277</v>
      </c>
      <c r="E5550" s="528"/>
      <c r="F5550" s="528"/>
      <c r="G5550" s="528" t="s">
        <v>208</v>
      </c>
      <c r="H5550"/>
    </row>
    <row r="5551" spans="1:8" x14ac:dyDescent="0.35">
      <c r="A5551" s="528" t="s">
        <v>15934</v>
      </c>
      <c r="B5551" s="528" t="s">
        <v>15935</v>
      </c>
      <c r="C5551" s="528" t="s">
        <v>15936</v>
      </c>
      <c r="D5551" s="528" t="s">
        <v>277</v>
      </c>
      <c r="E5551" s="528"/>
      <c r="F5551" s="528"/>
      <c r="G5551" s="528" t="s">
        <v>205</v>
      </c>
      <c r="H5551"/>
    </row>
    <row r="5552" spans="1:8" x14ac:dyDescent="0.35">
      <c r="A5552" s="528" t="s">
        <v>15937</v>
      </c>
      <c r="B5552" s="528" t="s">
        <v>15938</v>
      </c>
      <c r="C5552" s="528" t="s">
        <v>15939</v>
      </c>
      <c r="D5552" s="528" t="s">
        <v>277</v>
      </c>
      <c r="E5552" s="528"/>
      <c r="F5552" s="528"/>
      <c r="G5552" s="528" t="s">
        <v>208</v>
      </c>
      <c r="H5552"/>
    </row>
    <row r="5553" spans="1:8" x14ac:dyDescent="0.35">
      <c r="A5553" s="528" t="s">
        <v>15940</v>
      </c>
      <c r="B5553" s="528" t="s">
        <v>15941</v>
      </c>
      <c r="C5553" s="528" t="s">
        <v>15942</v>
      </c>
      <c r="D5553" s="528" t="s">
        <v>264</v>
      </c>
      <c r="E5553" s="528"/>
      <c r="F5553" s="528"/>
      <c r="G5553" s="528" t="s">
        <v>210</v>
      </c>
      <c r="H5553"/>
    </row>
    <row r="5554" spans="1:8" x14ac:dyDescent="0.35">
      <c r="A5554" s="528" t="s">
        <v>15943</v>
      </c>
      <c r="B5554" s="528" t="s">
        <v>15944</v>
      </c>
      <c r="C5554" s="528" t="s">
        <v>15945</v>
      </c>
      <c r="D5554" s="528" t="s">
        <v>277</v>
      </c>
      <c r="E5554" s="528"/>
      <c r="F5554" s="528"/>
      <c r="G5554" s="528" t="s">
        <v>205</v>
      </c>
      <c r="H5554"/>
    </row>
    <row r="5555" spans="1:8" x14ac:dyDescent="0.35">
      <c r="A5555" s="528" t="s">
        <v>15946</v>
      </c>
      <c r="B5555" s="528" t="s">
        <v>15947</v>
      </c>
      <c r="C5555" s="528" t="s">
        <v>15948</v>
      </c>
      <c r="D5555" s="528" t="s">
        <v>277</v>
      </c>
      <c r="E5555" s="528"/>
      <c r="F5555" s="528"/>
      <c r="G5555" s="528" t="s">
        <v>205</v>
      </c>
      <c r="H5555"/>
    </row>
    <row r="5556" spans="1:8" x14ac:dyDescent="0.35">
      <c r="A5556" s="528" t="s">
        <v>15949</v>
      </c>
      <c r="B5556" s="528" t="s">
        <v>15950</v>
      </c>
      <c r="C5556" s="528" t="s">
        <v>15951</v>
      </c>
      <c r="D5556" s="528" t="s">
        <v>277</v>
      </c>
      <c r="E5556" s="528"/>
      <c r="F5556" s="528"/>
      <c r="G5556" s="528" t="s">
        <v>208</v>
      </c>
      <c r="H5556"/>
    </row>
    <row r="5557" spans="1:8" x14ac:dyDescent="0.35">
      <c r="A5557" s="528" t="s">
        <v>15952</v>
      </c>
      <c r="B5557" s="528" t="s">
        <v>15953</v>
      </c>
      <c r="C5557" s="528" t="s">
        <v>15954</v>
      </c>
      <c r="D5557" s="528" t="s">
        <v>251</v>
      </c>
      <c r="E5557" s="528"/>
      <c r="F5557" s="528"/>
      <c r="G5557" s="528" t="s">
        <v>208</v>
      </c>
      <c r="H5557"/>
    </row>
    <row r="5558" spans="1:8" x14ac:dyDescent="0.35">
      <c r="A5558" s="528" t="s">
        <v>15955</v>
      </c>
      <c r="B5558" s="528" t="s">
        <v>15956</v>
      </c>
      <c r="C5558" s="528" t="s">
        <v>15957</v>
      </c>
      <c r="D5558" s="528" t="s">
        <v>251</v>
      </c>
      <c r="E5558" s="528"/>
      <c r="F5558" s="528"/>
      <c r="G5558" s="528" t="s">
        <v>205</v>
      </c>
      <c r="H5558"/>
    </row>
    <row r="5559" spans="1:8" x14ac:dyDescent="0.35">
      <c r="A5559" s="528" t="s">
        <v>15958</v>
      </c>
      <c r="B5559" s="528" t="s">
        <v>15959</v>
      </c>
      <c r="C5559" s="528" t="s">
        <v>15960</v>
      </c>
      <c r="D5559" s="528" t="s">
        <v>277</v>
      </c>
      <c r="E5559" s="528"/>
      <c r="F5559" s="528"/>
      <c r="G5559" s="528" t="s">
        <v>205</v>
      </c>
      <c r="H5559"/>
    </row>
    <row r="5560" spans="1:8" x14ac:dyDescent="0.35">
      <c r="A5560" s="528" t="s">
        <v>15961</v>
      </c>
      <c r="B5560" s="528" t="s">
        <v>15962</v>
      </c>
      <c r="C5560" s="528" t="s">
        <v>15963</v>
      </c>
      <c r="D5560" s="528" t="s">
        <v>264</v>
      </c>
      <c r="E5560" s="528"/>
      <c r="F5560" s="528"/>
      <c r="G5560" s="528" t="s">
        <v>205</v>
      </c>
      <c r="H5560"/>
    </row>
    <row r="5561" spans="1:8" x14ac:dyDescent="0.35">
      <c r="A5561" s="528" t="s">
        <v>15964</v>
      </c>
      <c r="B5561" s="528" t="s">
        <v>15965</v>
      </c>
      <c r="C5561" s="528" t="s">
        <v>15966</v>
      </c>
      <c r="D5561" s="528" t="s">
        <v>277</v>
      </c>
      <c r="E5561" s="528"/>
      <c r="F5561" s="528"/>
      <c r="G5561" s="528" t="s">
        <v>208</v>
      </c>
      <c r="H5561"/>
    </row>
    <row r="5562" spans="1:8" x14ac:dyDescent="0.35">
      <c r="A5562" s="528" t="s">
        <v>15967</v>
      </c>
      <c r="B5562" s="528" t="s">
        <v>15968</v>
      </c>
      <c r="C5562" s="528" t="s">
        <v>15969</v>
      </c>
      <c r="D5562" s="528" t="s">
        <v>277</v>
      </c>
      <c r="E5562" s="528"/>
      <c r="F5562" s="528"/>
      <c r="G5562" s="528" t="s">
        <v>208</v>
      </c>
      <c r="H5562"/>
    </row>
    <row r="5563" spans="1:8" x14ac:dyDescent="0.35">
      <c r="A5563" s="528" t="s">
        <v>15970</v>
      </c>
      <c r="B5563" s="528" t="s">
        <v>15971</v>
      </c>
      <c r="C5563" s="528" t="s">
        <v>15972</v>
      </c>
      <c r="D5563" s="528" t="s">
        <v>238</v>
      </c>
      <c r="E5563" s="528"/>
      <c r="F5563" s="528"/>
      <c r="G5563" s="528" t="s">
        <v>208</v>
      </c>
      <c r="H5563"/>
    </row>
    <row r="5564" spans="1:8" x14ac:dyDescent="0.35">
      <c r="A5564" s="528" t="s">
        <v>15973</v>
      </c>
      <c r="B5564" s="528" t="s">
        <v>15974</v>
      </c>
      <c r="C5564" s="528" t="s">
        <v>15975</v>
      </c>
      <c r="D5564" s="528" t="s">
        <v>238</v>
      </c>
      <c r="E5564" s="528"/>
      <c r="F5564" s="528"/>
      <c r="G5564" s="528" t="s">
        <v>208</v>
      </c>
      <c r="H5564"/>
    </row>
    <row r="5565" spans="1:8" x14ac:dyDescent="0.35">
      <c r="A5565" s="528" t="s">
        <v>15976</v>
      </c>
      <c r="B5565" s="528" t="s">
        <v>15977</v>
      </c>
      <c r="C5565" s="528" t="s">
        <v>15978</v>
      </c>
      <c r="D5565" s="528" t="s">
        <v>238</v>
      </c>
      <c r="E5565" s="528"/>
      <c r="F5565" s="528"/>
      <c r="G5565" s="528" t="s">
        <v>208</v>
      </c>
      <c r="H5565"/>
    </row>
    <row r="5566" spans="1:8" x14ac:dyDescent="0.35">
      <c r="A5566" s="528" t="s">
        <v>15979</v>
      </c>
      <c r="B5566" s="528" t="s">
        <v>15980</v>
      </c>
      <c r="C5566" s="528" t="s">
        <v>15981</v>
      </c>
      <c r="D5566" s="528" t="s">
        <v>238</v>
      </c>
      <c r="E5566" s="528"/>
      <c r="F5566" s="528"/>
      <c r="G5566" s="528" t="s">
        <v>208</v>
      </c>
      <c r="H5566"/>
    </row>
    <row r="5567" spans="1:8" x14ac:dyDescent="0.35">
      <c r="A5567" s="528" t="s">
        <v>15982</v>
      </c>
      <c r="B5567" s="528" t="s">
        <v>15983</v>
      </c>
      <c r="C5567" s="528" t="s">
        <v>15984</v>
      </c>
      <c r="D5567" s="528" t="s">
        <v>277</v>
      </c>
      <c r="E5567" s="528"/>
      <c r="F5567" s="528"/>
      <c r="G5567" s="528" t="s">
        <v>208</v>
      </c>
      <c r="H5567"/>
    </row>
    <row r="5568" spans="1:8" x14ac:dyDescent="0.35">
      <c r="A5568" s="528" t="s">
        <v>15985</v>
      </c>
      <c r="B5568" s="528" t="s">
        <v>15986</v>
      </c>
      <c r="C5568" s="528" t="s">
        <v>15987</v>
      </c>
      <c r="D5568" s="528" t="s">
        <v>277</v>
      </c>
      <c r="E5568" s="528"/>
      <c r="F5568" s="528"/>
      <c r="G5568" s="528" t="s">
        <v>208</v>
      </c>
      <c r="H5568"/>
    </row>
    <row r="5569" spans="1:8" x14ac:dyDescent="0.35">
      <c r="A5569" s="528" t="s">
        <v>15988</v>
      </c>
      <c r="B5569" s="528" t="s">
        <v>15989</v>
      </c>
      <c r="C5569" s="528" t="s">
        <v>15990</v>
      </c>
      <c r="D5569" s="528" t="s">
        <v>225</v>
      </c>
      <c r="E5569" s="528"/>
      <c r="F5569" s="528"/>
      <c r="G5569" s="528" t="s">
        <v>208</v>
      </c>
      <c r="H5569"/>
    </row>
    <row r="5570" spans="1:8" x14ac:dyDescent="0.35">
      <c r="A5570" s="528" t="s">
        <v>15991</v>
      </c>
      <c r="B5570" s="528" t="s">
        <v>15992</v>
      </c>
      <c r="C5570" s="528" t="s">
        <v>15993</v>
      </c>
      <c r="D5570" s="528" t="s">
        <v>238</v>
      </c>
      <c r="E5570" s="528"/>
      <c r="F5570" s="528"/>
      <c r="G5570" s="528" t="s">
        <v>208</v>
      </c>
      <c r="H5570"/>
    </row>
    <row r="5571" spans="1:8" x14ac:dyDescent="0.35">
      <c r="A5571" s="528" t="s">
        <v>15994</v>
      </c>
      <c r="B5571" s="528" t="s">
        <v>15995</v>
      </c>
      <c r="C5571" s="528" t="s">
        <v>15996</v>
      </c>
      <c r="D5571" s="528" t="s">
        <v>251</v>
      </c>
      <c r="E5571" s="528"/>
      <c r="F5571" s="528"/>
      <c r="G5571" s="528" t="s">
        <v>205</v>
      </c>
      <c r="H5571"/>
    </row>
    <row r="5572" spans="1:8" x14ac:dyDescent="0.35">
      <c r="A5572" s="528" t="s">
        <v>15997</v>
      </c>
      <c r="B5572" s="528" t="s">
        <v>15998</v>
      </c>
      <c r="C5572" s="528" t="s">
        <v>15999</v>
      </c>
      <c r="D5572" s="528" t="s">
        <v>264</v>
      </c>
      <c r="E5572" s="528"/>
      <c r="F5572" s="528"/>
      <c r="G5572" s="528" t="s">
        <v>205</v>
      </c>
      <c r="H5572"/>
    </row>
    <row r="5573" spans="1:8" x14ac:dyDescent="0.35">
      <c r="A5573" s="528" t="s">
        <v>16000</v>
      </c>
      <c r="B5573" s="528" t="s">
        <v>16001</v>
      </c>
      <c r="C5573" s="528" t="s">
        <v>16002</v>
      </c>
      <c r="D5573" s="528" t="s">
        <v>225</v>
      </c>
      <c r="E5573" s="528"/>
      <c r="F5573" s="528"/>
      <c r="G5573" s="528" t="s">
        <v>205</v>
      </c>
      <c r="H5573"/>
    </row>
    <row r="5574" spans="1:8" x14ac:dyDescent="0.35">
      <c r="A5574" s="528" t="s">
        <v>16003</v>
      </c>
      <c r="B5574" s="528" t="s">
        <v>16004</v>
      </c>
      <c r="C5574" s="528" t="s">
        <v>16005</v>
      </c>
      <c r="D5574" s="528" t="s">
        <v>225</v>
      </c>
      <c r="E5574" s="528"/>
      <c r="F5574" s="528"/>
      <c r="G5574" s="528" t="s">
        <v>205</v>
      </c>
      <c r="H5574"/>
    </row>
    <row r="5575" spans="1:8" x14ac:dyDescent="0.35">
      <c r="A5575" s="528" t="s">
        <v>16006</v>
      </c>
      <c r="B5575" s="528" t="s">
        <v>16007</v>
      </c>
      <c r="C5575" s="528" t="s">
        <v>16008</v>
      </c>
      <c r="D5575" s="528" t="s">
        <v>225</v>
      </c>
      <c r="E5575" s="528"/>
      <c r="F5575" s="528"/>
      <c r="G5575" s="528" t="s">
        <v>205</v>
      </c>
      <c r="H5575"/>
    </row>
    <row r="5576" spans="1:8" x14ac:dyDescent="0.35">
      <c r="A5576" s="528" t="s">
        <v>16009</v>
      </c>
      <c r="B5576" s="528" t="s">
        <v>16010</v>
      </c>
      <c r="C5576" s="528" t="s">
        <v>16011</v>
      </c>
      <c r="D5576" s="528" t="s">
        <v>264</v>
      </c>
      <c r="E5576" s="528"/>
      <c r="F5576" s="528"/>
      <c r="G5576" s="528" t="s">
        <v>205</v>
      </c>
      <c r="H5576"/>
    </row>
    <row r="5577" spans="1:8" x14ac:dyDescent="0.35">
      <c r="A5577" s="528" t="s">
        <v>16012</v>
      </c>
      <c r="B5577" s="528" t="s">
        <v>16013</v>
      </c>
      <c r="C5577" s="528" t="s">
        <v>16014</v>
      </c>
      <c r="D5577" s="528" t="s">
        <v>225</v>
      </c>
      <c r="E5577" s="528"/>
      <c r="F5577" s="528"/>
      <c r="G5577" s="528" t="s">
        <v>205</v>
      </c>
      <c r="H5577"/>
    </row>
    <row r="5578" spans="1:8" x14ac:dyDescent="0.35">
      <c r="A5578" s="528" t="s">
        <v>16015</v>
      </c>
      <c r="B5578" s="528" t="s">
        <v>16016</v>
      </c>
      <c r="C5578" s="528" t="s">
        <v>16017</v>
      </c>
      <c r="D5578" s="528" t="s">
        <v>277</v>
      </c>
      <c r="E5578" s="528"/>
      <c r="F5578" s="528"/>
      <c r="G5578" s="528" t="s">
        <v>205</v>
      </c>
      <c r="H5578"/>
    </row>
    <row r="5579" spans="1:8" x14ac:dyDescent="0.35">
      <c r="A5579" s="528" t="s">
        <v>16018</v>
      </c>
      <c r="B5579" s="528" t="s">
        <v>16019</v>
      </c>
      <c r="C5579" s="528" t="s">
        <v>16020</v>
      </c>
      <c r="D5579" s="528" t="s">
        <v>277</v>
      </c>
      <c r="E5579" s="528"/>
      <c r="F5579" s="528"/>
      <c r="G5579" s="528" t="s">
        <v>208</v>
      </c>
      <c r="H5579"/>
    </row>
    <row r="5580" spans="1:8" x14ac:dyDescent="0.35">
      <c r="A5580" s="528" t="s">
        <v>16021</v>
      </c>
      <c r="B5580" s="528" t="s">
        <v>16022</v>
      </c>
      <c r="C5580" s="528" t="s">
        <v>16023</v>
      </c>
      <c r="D5580" s="528" t="s">
        <v>238</v>
      </c>
      <c r="E5580" s="528"/>
      <c r="F5580" s="528"/>
      <c r="G5580" s="528" t="s">
        <v>205</v>
      </c>
      <c r="H5580"/>
    </row>
    <row r="5581" spans="1:8" x14ac:dyDescent="0.35">
      <c r="A5581" s="528" t="s">
        <v>16024</v>
      </c>
      <c r="B5581" s="528" t="s">
        <v>16025</v>
      </c>
      <c r="C5581" s="528" t="s">
        <v>16026</v>
      </c>
      <c r="D5581" s="528" t="s">
        <v>277</v>
      </c>
      <c r="E5581" s="528"/>
      <c r="F5581" s="528"/>
      <c r="G5581" s="528" t="s">
        <v>205</v>
      </c>
      <c r="H5581"/>
    </row>
    <row r="5582" spans="1:8" x14ac:dyDescent="0.35">
      <c r="A5582" s="528" t="s">
        <v>16027</v>
      </c>
      <c r="B5582" s="528" t="s">
        <v>16028</v>
      </c>
      <c r="C5582" s="528" t="s">
        <v>16029</v>
      </c>
      <c r="D5582" s="528" t="s">
        <v>277</v>
      </c>
      <c r="E5582" s="528"/>
      <c r="F5582" s="528"/>
      <c r="G5582" s="528" t="s">
        <v>208</v>
      </c>
      <c r="H5582"/>
    </row>
    <row r="5583" spans="1:8" x14ac:dyDescent="0.35">
      <c r="A5583" s="528" t="s">
        <v>16030</v>
      </c>
      <c r="B5583" s="528" t="s">
        <v>16031</v>
      </c>
      <c r="C5583" s="528" t="s">
        <v>16032</v>
      </c>
      <c r="D5583" s="528" t="s">
        <v>277</v>
      </c>
      <c r="E5583" s="528"/>
      <c r="F5583" s="528"/>
      <c r="G5583" s="528" t="s">
        <v>208</v>
      </c>
      <c r="H5583"/>
    </row>
    <row r="5584" spans="1:8" x14ac:dyDescent="0.35">
      <c r="A5584" s="528" t="s">
        <v>16033</v>
      </c>
      <c r="B5584" s="528" t="s">
        <v>16034</v>
      </c>
      <c r="C5584" s="528" t="s">
        <v>16035</v>
      </c>
      <c r="D5584" s="528" t="s">
        <v>277</v>
      </c>
      <c r="E5584" s="528"/>
      <c r="F5584" s="528"/>
      <c r="G5584" s="528" t="s">
        <v>208</v>
      </c>
      <c r="H5584"/>
    </row>
    <row r="5585" spans="1:8" x14ac:dyDescent="0.35">
      <c r="A5585" s="528" t="s">
        <v>16036</v>
      </c>
      <c r="B5585" s="528" t="s">
        <v>16037</v>
      </c>
      <c r="C5585" s="528" t="s">
        <v>16038</v>
      </c>
      <c r="D5585" s="528" t="s">
        <v>277</v>
      </c>
      <c r="E5585" s="528"/>
      <c r="F5585" s="528"/>
      <c r="G5585" s="528" t="s">
        <v>205</v>
      </c>
      <c r="H5585"/>
    </row>
    <row r="5586" spans="1:8" x14ac:dyDescent="0.35">
      <c r="A5586" s="528" t="s">
        <v>16039</v>
      </c>
      <c r="B5586" s="528" t="s">
        <v>16040</v>
      </c>
      <c r="C5586" s="528" t="s">
        <v>16041</v>
      </c>
      <c r="D5586" s="528" t="s">
        <v>238</v>
      </c>
      <c r="E5586" s="528"/>
      <c r="F5586" s="528"/>
      <c r="G5586" s="528" t="s">
        <v>205</v>
      </c>
      <c r="H5586"/>
    </row>
    <row r="5587" spans="1:8" x14ac:dyDescent="0.35">
      <c r="A5587" s="528" t="s">
        <v>16042</v>
      </c>
      <c r="B5587" s="528" t="s">
        <v>16043</v>
      </c>
      <c r="C5587" s="528" t="s">
        <v>16044</v>
      </c>
      <c r="D5587" s="528" t="s">
        <v>251</v>
      </c>
      <c r="E5587" s="528"/>
      <c r="F5587" s="528"/>
      <c r="G5587" s="528" t="s">
        <v>208</v>
      </c>
      <c r="H5587"/>
    </row>
    <row r="5588" spans="1:8" x14ac:dyDescent="0.35">
      <c r="A5588" s="528" t="s">
        <v>16045</v>
      </c>
      <c r="B5588" s="528" t="s">
        <v>16046</v>
      </c>
      <c r="C5588" s="528" t="s">
        <v>16047</v>
      </c>
      <c r="D5588" s="528" t="s">
        <v>251</v>
      </c>
      <c r="E5588" s="528"/>
      <c r="F5588" s="528"/>
      <c r="G5588" s="528" t="s">
        <v>208</v>
      </c>
      <c r="H5588"/>
    </row>
    <row r="5589" spans="1:8" x14ac:dyDescent="0.35">
      <c r="A5589" s="528" t="s">
        <v>16048</v>
      </c>
      <c r="B5589" s="528" t="s">
        <v>16049</v>
      </c>
      <c r="C5589" s="528" t="s">
        <v>16050</v>
      </c>
      <c r="D5589" s="528" t="s">
        <v>251</v>
      </c>
      <c r="E5589" s="528"/>
      <c r="F5589" s="528"/>
      <c r="G5589" s="528" t="s">
        <v>208</v>
      </c>
      <c r="H5589"/>
    </row>
    <row r="5590" spans="1:8" x14ac:dyDescent="0.35">
      <c r="A5590" s="528" t="s">
        <v>16051</v>
      </c>
      <c r="B5590" s="528" t="s">
        <v>16052</v>
      </c>
      <c r="C5590" s="528" t="s">
        <v>16053</v>
      </c>
      <c r="D5590" s="528" t="s">
        <v>251</v>
      </c>
      <c r="E5590" s="528"/>
      <c r="F5590" s="528"/>
      <c r="G5590" s="528" t="s">
        <v>208</v>
      </c>
      <c r="H5590"/>
    </row>
    <row r="5591" spans="1:8" x14ac:dyDescent="0.35">
      <c r="A5591" s="528" t="s">
        <v>16054</v>
      </c>
      <c r="B5591" s="528" t="s">
        <v>16055</v>
      </c>
      <c r="C5591" s="528" t="s">
        <v>16056</v>
      </c>
      <c r="D5591" s="528" t="s">
        <v>251</v>
      </c>
      <c r="E5591" s="528"/>
      <c r="F5591" s="528"/>
      <c r="G5591" s="528" t="s">
        <v>208</v>
      </c>
      <c r="H5591"/>
    </row>
    <row r="5592" spans="1:8" x14ac:dyDescent="0.35">
      <c r="A5592" s="528" t="s">
        <v>16057</v>
      </c>
      <c r="B5592" s="528" t="s">
        <v>16058</v>
      </c>
      <c r="C5592" s="528" t="s">
        <v>14488</v>
      </c>
      <c r="D5592" s="528" t="s">
        <v>251</v>
      </c>
      <c r="E5592" s="528"/>
      <c r="F5592" s="528"/>
      <c r="G5592" s="528" t="s">
        <v>208</v>
      </c>
      <c r="H5592"/>
    </row>
    <row r="5593" spans="1:8" x14ac:dyDescent="0.35">
      <c r="A5593" s="528" t="s">
        <v>16059</v>
      </c>
      <c r="B5593" s="528" t="s">
        <v>16060</v>
      </c>
      <c r="C5593" s="528" t="s">
        <v>16061</v>
      </c>
      <c r="D5593" s="528" t="s">
        <v>251</v>
      </c>
      <c r="E5593" s="528"/>
      <c r="F5593" s="528"/>
      <c r="G5593" s="528" t="s">
        <v>208</v>
      </c>
      <c r="H5593"/>
    </row>
    <row r="5594" spans="1:8" x14ac:dyDescent="0.35">
      <c r="A5594" s="528" t="s">
        <v>16062</v>
      </c>
      <c r="B5594" s="528" t="s">
        <v>16063</v>
      </c>
      <c r="C5594" s="528" t="s">
        <v>16064</v>
      </c>
      <c r="D5594" s="528" t="s">
        <v>251</v>
      </c>
      <c r="E5594" s="528"/>
      <c r="F5594" s="528"/>
      <c r="G5594" s="528" t="s">
        <v>208</v>
      </c>
      <c r="H5594"/>
    </row>
    <row r="5595" spans="1:8" x14ac:dyDescent="0.35">
      <c r="A5595" s="528" t="s">
        <v>16065</v>
      </c>
      <c r="B5595" s="528" t="s">
        <v>16066</v>
      </c>
      <c r="C5595" s="528" t="s">
        <v>16067</v>
      </c>
      <c r="D5595" s="528" t="s">
        <v>251</v>
      </c>
      <c r="E5595" s="528"/>
      <c r="F5595" s="528"/>
      <c r="G5595" s="528" t="s">
        <v>208</v>
      </c>
      <c r="H5595"/>
    </row>
    <row r="5596" spans="1:8" x14ac:dyDescent="0.35">
      <c r="A5596" s="528" t="s">
        <v>16068</v>
      </c>
      <c r="B5596" s="528" t="s">
        <v>16069</v>
      </c>
      <c r="C5596" s="528" t="s">
        <v>16070</v>
      </c>
      <c r="D5596" s="528" t="s">
        <v>251</v>
      </c>
      <c r="E5596" s="528"/>
      <c r="F5596" s="528"/>
      <c r="G5596" s="528" t="s">
        <v>208</v>
      </c>
      <c r="H5596"/>
    </row>
    <row r="5597" spans="1:8" x14ac:dyDescent="0.35">
      <c r="A5597" s="528" t="s">
        <v>16071</v>
      </c>
      <c r="B5597" s="528" t="s">
        <v>16072</v>
      </c>
      <c r="C5597" s="528" t="s">
        <v>16073</v>
      </c>
      <c r="D5597" s="528" t="s">
        <v>251</v>
      </c>
      <c r="E5597" s="528"/>
      <c r="F5597" s="528"/>
      <c r="G5597" s="528" t="s">
        <v>212</v>
      </c>
      <c r="H5597"/>
    </row>
    <row r="5598" spans="1:8" x14ac:dyDescent="0.35">
      <c r="A5598" s="528" t="s">
        <v>16074</v>
      </c>
      <c r="B5598" s="528" t="s">
        <v>16075</v>
      </c>
      <c r="C5598" s="528" t="s">
        <v>16076</v>
      </c>
      <c r="D5598" s="528" t="s">
        <v>238</v>
      </c>
      <c r="E5598" s="528"/>
      <c r="F5598" s="528"/>
      <c r="G5598" s="528" t="s">
        <v>208</v>
      </c>
      <c r="H5598"/>
    </row>
    <row r="5599" spans="1:8" x14ac:dyDescent="0.35">
      <c r="A5599" s="528" t="s">
        <v>16077</v>
      </c>
      <c r="B5599" s="528" t="s">
        <v>16078</v>
      </c>
      <c r="C5599" s="528" t="s">
        <v>16079</v>
      </c>
      <c r="D5599" s="528" t="s">
        <v>238</v>
      </c>
      <c r="E5599" s="528"/>
      <c r="F5599" s="528"/>
      <c r="G5599" s="528" t="s">
        <v>208</v>
      </c>
      <c r="H5599"/>
    </row>
    <row r="5600" spans="1:8" x14ac:dyDescent="0.35">
      <c r="A5600" s="528" t="s">
        <v>16080</v>
      </c>
      <c r="B5600" s="528" t="s">
        <v>16081</v>
      </c>
      <c r="C5600" s="528" t="s">
        <v>16082</v>
      </c>
      <c r="D5600" s="528" t="s">
        <v>238</v>
      </c>
      <c r="E5600" s="528"/>
      <c r="F5600" s="528"/>
      <c r="G5600" s="528" t="s">
        <v>208</v>
      </c>
      <c r="H5600"/>
    </row>
    <row r="5601" spans="1:8" x14ac:dyDescent="0.35">
      <c r="A5601" s="528" t="s">
        <v>16083</v>
      </c>
      <c r="B5601" s="528" t="s">
        <v>16084</v>
      </c>
      <c r="C5601" s="528" t="s">
        <v>16085</v>
      </c>
      <c r="D5601" s="528" t="s">
        <v>238</v>
      </c>
      <c r="E5601" s="528"/>
      <c r="F5601" s="528"/>
      <c r="G5601" s="528" t="s">
        <v>208</v>
      </c>
      <c r="H5601"/>
    </row>
    <row r="5602" spans="1:8" x14ac:dyDescent="0.35">
      <c r="A5602" s="528" t="s">
        <v>16086</v>
      </c>
      <c r="B5602" s="528" t="s">
        <v>16087</v>
      </c>
      <c r="C5602" s="528" t="s">
        <v>16088</v>
      </c>
      <c r="D5602" s="528" t="s">
        <v>238</v>
      </c>
      <c r="E5602" s="528"/>
      <c r="F5602" s="528"/>
      <c r="G5602" s="528" t="s">
        <v>208</v>
      </c>
      <c r="H5602"/>
    </row>
    <row r="5603" spans="1:8" x14ac:dyDescent="0.35">
      <c r="A5603" s="528" t="s">
        <v>16089</v>
      </c>
      <c r="B5603" s="528" t="s">
        <v>16090</v>
      </c>
      <c r="C5603" s="528" t="s">
        <v>16091</v>
      </c>
      <c r="D5603" s="528" t="s">
        <v>238</v>
      </c>
      <c r="E5603" s="528"/>
      <c r="F5603" s="528"/>
      <c r="G5603" s="528" t="s">
        <v>212</v>
      </c>
      <c r="H5603"/>
    </row>
    <row r="5604" spans="1:8" x14ac:dyDescent="0.35">
      <c r="A5604" s="528" t="s">
        <v>16092</v>
      </c>
      <c r="B5604" s="528" t="s">
        <v>16093</v>
      </c>
      <c r="C5604" s="528" t="s">
        <v>16094</v>
      </c>
      <c r="D5604" s="528" t="s">
        <v>264</v>
      </c>
      <c r="E5604" s="528"/>
      <c r="F5604" s="528"/>
      <c r="G5604" s="528" t="s">
        <v>208</v>
      </c>
      <c r="H5604"/>
    </row>
    <row r="5605" spans="1:8" x14ac:dyDescent="0.35">
      <c r="A5605" s="528" t="s">
        <v>16095</v>
      </c>
      <c r="B5605" s="528" t="s">
        <v>16096</v>
      </c>
      <c r="C5605" s="528" t="s">
        <v>16097</v>
      </c>
      <c r="D5605" s="528" t="s">
        <v>225</v>
      </c>
      <c r="E5605" s="528"/>
      <c r="F5605" s="528"/>
      <c r="G5605" s="528" t="s">
        <v>205</v>
      </c>
      <c r="H5605"/>
    </row>
    <row r="5606" spans="1:8" x14ac:dyDescent="0.35">
      <c r="A5606" s="528" t="s">
        <v>16098</v>
      </c>
      <c r="B5606" s="528" t="s">
        <v>16099</v>
      </c>
      <c r="C5606" s="528" t="s">
        <v>16100</v>
      </c>
      <c r="D5606" s="528" t="s">
        <v>225</v>
      </c>
      <c r="E5606" s="528"/>
      <c r="F5606" s="528"/>
      <c r="G5606" s="528" t="s">
        <v>208</v>
      </c>
      <c r="H5606"/>
    </row>
    <row r="5607" spans="1:8" x14ac:dyDescent="0.35">
      <c r="A5607" s="528" t="s">
        <v>16101</v>
      </c>
      <c r="B5607" s="528" t="s">
        <v>16102</v>
      </c>
      <c r="C5607" s="528" t="s">
        <v>16103</v>
      </c>
      <c r="D5607" s="528" t="s">
        <v>225</v>
      </c>
      <c r="E5607" s="528"/>
      <c r="F5607" s="528"/>
      <c r="G5607" s="528" t="s">
        <v>208</v>
      </c>
      <c r="H5607"/>
    </row>
    <row r="5608" spans="1:8" x14ac:dyDescent="0.35">
      <c r="A5608" s="528" t="s">
        <v>16104</v>
      </c>
      <c r="B5608" s="528" t="s">
        <v>16105</v>
      </c>
      <c r="C5608" s="528" t="s">
        <v>16106</v>
      </c>
      <c r="D5608" s="528" t="s">
        <v>277</v>
      </c>
      <c r="E5608" s="528"/>
      <c r="F5608" s="528"/>
      <c r="G5608" s="528" t="s">
        <v>205</v>
      </c>
      <c r="H5608"/>
    </row>
    <row r="5609" spans="1:8" x14ac:dyDescent="0.35">
      <c r="A5609" s="528" t="s">
        <v>16107</v>
      </c>
      <c r="B5609" s="528" t="s">
        <v>16108</v>
      </c>
      <c r="C5609" s="528" t="s">
        <v>16109</v>
      </c>
      <c r="D5609" s="528" t="s">
        <v>264</v>
      </c>
      <c r="E5609" s="528"/>
      <c r="F5609" s="528"/>
      <c r="G5609" s="528" t="s">
        <v>208</v>
      </c>
      <c r="H5609"/>
    </row>
    <row r="5610" spans="1:8" x14ac:dyDescent="0.35">
      <c r="A5610" s="528" t="s">
        <v>16110</v>
      </c>
      <c r="B5610" s="528" t="s">
        <v>16111</v>
      </c>
      <c r="C5610" s="528" t="s">
        <v>16112</v>
      </c>
      <c r="D5610" s="528" t="s">
        <v>238</v>
      </c>
      <c r="E5610" s="528"/>
      <c r="F5610" s="528"/>
      <c r="G5610" s="528" t="s">
        <v>208</v>
      </c>
      <c r="H5610"/>
    </row>
    <row r="5611" spans="1:8" x14ac:dyDescent="0.35">
      <c r="A5611" s="528" t="s">
        <v>16113</v>
      </c>
      <c r="B5611" s="528" t="s">
        <v>16114</v>
      </c>
      <c r="C5611" s="528" t="s">
        <v>16115</v>
      </c>
      <c r="D5611" s="528" t="s">
        <v>277</v>
      </c>
      <c r="E5611" s="528"/>
      <c r="F5611" s="528"/>
      <c r="G5611" s="528" t="s">
        <v>208</v>
      </c>
      <c r="H5611"/>
    </row>
    <row r="5612" spans="1:8" x14ac:dyDescent="0.35">
      <c r="A5612" s="528" t="s">
        <v>16116</v>
      </c>
      <c r="B5612" s="528" t="s">
        <v>16117</v>
      </c>
      <c r="C5612" s="528" t="s">
        <v>16118</v>
      </c>
      <c r="D5612" s="528" t="s">
        <v>277</v>
      </c>
      <c r="E5612" s="528"/>
      <c r="F5612" s="528"/>
      <c r="G5612" s="528" t="s">
        <v>208</v>
      </c>
      <c r="H5612"/>
    </row>
    <row r="5613" spans="1:8" x14ac:dyDescent="0.35">
      <c r="A5613" s="528" t="s">
        <v>16119</v>
      </c>
      <c r="B5613" s="528" t="s">
        <v>16120</v>
      </c>
      <c r="C5613" s="528" t="s">
        <v>16121</v>
      </c>
      <c r="D5613" s="528" t="s">
        <v>277</v>
      </c>
      <c r="E5613" s="528"/>
      <c r="F5613" s="528"/>
      <c r="G5613" s="528" t="s">
        <v>208</v>
      </c>
      <c r="H5613"/>
    </row>
    <row r="5614" spans="1:8" x14ac:dyDescent="0.35">
      <c r="A5614" s="528" t="s">
        <v>16122</v>
      </c>
      <c r="B5614" s="528" t="s">
        <v>16123</v>
      </c>
      <c r="C5614" s="528" t="s">
        <v>16124</v>
      </c>
      <c r="D5614" s="528" t="s">
        <v>277</v>
      </c>
      <c r="E5614" s="528"/>
      <c r="F5614" s="528"/>
      <c r="G5614" s="528" t="s">
        <v>208</v>
      </c>
      <c r="H5614"/>
    </row>
    <row r="5615" spans="1:8" x14ac:dyDescent="0.35">
      <c r="A5615" s="528" t="s">
        <v>16125</v>
      </c>
      <c r="B5615" s="528" t="s">
        <v>16126</v>
      </c>
      <c r="C5615" s="528" t="s">
        <v>16127</v>
      </c>
      <c r="D5615" s="528" t="s">
        <v>277</v>
      </c>
      <c r="E5615" s="528"/>
      <c r="F5615" s="528"/>
      <c r="G5615" s="528" t="s">
        <v>208</v>
      </c>
      <c r="H5615"/>
    </row>
    <row r="5616" spans="1:8" x14ac:dyDescent="0.35">
      <c r="A5616" s="528" t="s">
        <v>16128</v>
      </c>
      <c r="B5616" s="528" t="s">
        <v>16129</v>
      </c>
      <c r="C5616" s="528" t="s">
        <v>16130</v>
      </c>
      <c r="D5616" s="528" t="s">
        <v>277</v>
      </c>
      <c r="E5616" s="528"/>
      <c r="F5616" s="528"/>
      <c r="G5616" s="528" t="s">
        <v>208</v>
      </c>
      <c r="H5616"/>
    </row>
    <row r="5617" spans="1:8" x14ac:dyDescent="0.35">
      <c r="A5617" s="528" t="s">
        <v>16131</v>
      </c>
      <c r="B5617" s="528" t="s">
        <v>16132</v>
      </c>
      <c r="C5617" s="528" t="s">
        <v>16133</v>
      </c>
      <c r="D5617" s="528" t="s">
        <v>277</v>
      </c>
      <c r="E5617" s="528"/>
      <c r="F5617" s="528"/>
      <c r="G5617" s="528" t="s">
        <v>208</v>
      </c>
      <c r="H5617"/>
    </row>
    <row r="5618" spans="1:8" x14ac:dyDescent="0.35">
      <c r="A5618" s="528" t="s">
        <v>16134</v>
      </c>
      <c r="B5618" s="528" t="s">
        <v>16135</v>
      </c>
      <c r="C5618" s="528" t="s">
        <v>16136</v>
      </c>
      <c r="D5618" s="528" t="s">
        <v>277</v>
      </c>
      <c r="E5618" s="528"/>
      <c r="F5618" s="528"/>
      <c r="G5618" s="528" t="s">
        <v>212</v>
      </c>
      <c r="H5618"/>
    </row>
    <row r="5619" spans="1:8" x14ac:dyDescent="0.35">
      <c r="A5619" s="528" t="s">
        <v>16137</v>
      </c>
      <c r="B5619" s="528" t="s">
        <v>16138</v>
      </c>
      <c r="C5619" s="528" t="s">
        <v>16139</v>
      </c>
      <c r="D5619" s="528" t="s">
        <v>277</v>
      </c>
      <c r="E5619" s="528"/>
      <c r="F5619" s="528"/>
      <c r="G5619" s="528" t="s">
        <v>212</v>
      </c>
      <c r="H5619"/>
    </row>
    <row r="5620" spans="1:8" x14ac:dyDescent="0.35">
      <c r="A5620" s="528" t="s">
        <v>16140</v>
      </c>
      <c r="B5620" s="528" t="s">
        <v>16141</v>
      </c>
      <c r="C5620" s="528" t="s">
        <v>15153</v>
      </c>
      <c r="D5620" s="528" t="s">
        <v>264</v>
      </c>
      <c r="E5620" s="528"/>
      <c r="F5620" s="528"/>
      <c r="G5620" s="528" t="s">
        <v>208</v>
      </c>
      <c r="H5620"/>
    </row>
    <row r="5621" spans="1:8" x14ac:dyDescent="0.35">
      <c r="A5621" s="528" t="s">
        <v>16142</v>
      </c>
      <c r="B5621" s="528" t="s">
        <v>16143</v>
      </c>
      <c r="C5621" s="528" t="s">
        <v>16144</v>
      </c>
      <c r="D5621" s="528" t="s">
        <v>277</v>
      </c>
      <c r="E5621" s="528"/>
      <c r="F5621" s="528"/>
      <c r="G5621" s="528" t="s">
        <v>205</v>
      </c>
      <c r="H5621"/>
    </row>
    <row r="5622" spans="1:8" x14ac:dyDescent="0.35">
      <c r="A5622" s="528" t="s">
        <v>16145</v>
      </c>
      <c r="B5622" s="528" t="s">
        <v>16146</v>
      </c>
      <c r="C5622" s="528" t="s">
        <v>16147</v>
      </c>
      <c r="D5622" s="528" t="s">
        <v>277</v>
      </c>
      <c r="E5622" s="528"/>
      <c r="F5622" s="528"/>
      <c r="G5622" s="528" t="s">
        <v>208</v>
      </c>
      <c r="H5622"/>
    </row>
    <row r="5623" spans="1:8" x14ac:dyDescent="0.35">
      <c r="A5623" s="528" t="s">
        <v>16148</v>
      </c>
      <c r="B5623" s="528" t="s">
        <v>16149</v>
      </c>
      <c r="C5623" s="528" t="s">
        <v>16150</v>
      </c>
      <c r="D5623" s="528" t="s">
        <v>277</v>
      </c>
      <c r="E5623" s="528"/>
      <c r="F5623" s="528"/>
      <c r="G5623" s="528" t="s">
        <v>208</v>
      </c>
      <c r="H5623"/>
    </row>
    <row r="5624" spans="1:8" x14ac:dyDescent="0.35">
      <c r="A5624" s="528" t="s">
        <v>16151</v>
      </c>
      <c r="B5624" s="528" t="s">
        <v>16152</v>
      </c>
      <c r="C5624" s="528" t="s">
        <v>16153</v>
      </c>
      <c r="D5624" s="528" t="s">
        <v>277</v>
      </c>
      <c r="E5624" s="528"/>
      <c r="F5624" s="528"/>
      <c r="G5624" s="528" t="s">
        <v>208</v>
      </c>
      <c r="H5624"/>
    </row>
    <row r="5625" spans="1:8" x14ac:dyDescent="0.35">
      <c r="A5625" s="528" t="s">
        <v>16154</v>
      </c>
      <c r="B5625" s="528" t="s">
        <v>16155</v>
      </c>
      <c r="C5625" s="528" t="s">
        <v>16156</v>
      </c>
      <c r="D5625" s="528" t="s">
        <v>277</v>
      </c>
      <c r="E5625" s="528"/>
      <c r="F5625" s="528"/>
      <c r="G5625" s="528" t="s">
        <v>208</v>
      </c>
      <c r="H5625"/>
    </row>
    <row r="5626" spans="1:8" x14ac:dyDescent="0.35">
      <c r="A5626" s="528" t="s">
        <v>16157</v>
      </c>
      <c r="B5626" s="528" t="s">
        <v>16158</v>
      </c>
      <c r="C5626" s="528" t="s">
        <v>16159</v>
      </c>
      <c r="D5626" s="528" t="s">
        <v>264</v>
      </c>
      <c r="E5626" s="528"/>
      <c r="F5626" s="528"/>
      <c r="G5626" s="528" t="s">
        <v>205</v>
      </c>
      <c r="H5626"/>
    </row>
    <row r="5627" spans="1:8" x14ac:dyDescent="0.35">
      <c r="A5627" s="528" t="s">
        <v>16160</v>
      </c>
      <c r="B5627" s="528" t="s">
        <v>16161</v>
      </c>
      <c r="C5627" s="528" t="s">
        <v>16162</v>
      </c>
      <c r="D5627" s="528" t="s">
        <v>264</v>
      </c>
      <c r="E5627" s="528"/>
      <c r="F5627" s="528"/>
      <c r="G5627" s="528" t="s">
        <v>205</v>
      </c>
      <c r="H5627"/>
    </row>
    <row r="5628" spans="1:8" x14ac:dyDescent="0.35">
      <c r="A5628" s="528" t="s">
        <v>16163</v>
      </c>
      <c r="B5628" s="528" t="s">
        <v>16164</v>
      </c>
      <c r="C5628" s="528" t="s">
        <v>16165</v>
      </c>
      <c r="D5628" s="528" t="s">
        <v>264</v>
      </c>
      <c r="E5628" s="528"/>
      <c r="F5628" s="528"/>
      <c r="G5628" s="528" t="s">
        <v>208</v>
      </c>
      <c r="H5628"/>
    </row>
    <row r="5629" spans="1:8" x14ac:dyDescent="0.35">
      <c r="A5629" s="528" t="s">
        <v>16166</v>
      </c>
      <c r="B5629" s="528" t="s">
        <v>16167</v>
      </c>
      <c r="C5629" s="528" t="s">
        <v>16168</v>
      </c>
      <c r="D5629" s="528" t="s">
        <v>277</v>
      </c>
      <c r="E5629" s="528"/>
      <c r="F5629" s="528"/>
      <c r="G5629" s="528" t="s">
        <v>205</v>
      </c>
      <c r="H5629"/>
    </row>
    <row r="5630" spans="1:8" x14ac:dyDescent="0.35">
      <c r="A5630" s="528" t="s">
        <v>16169</v>
      </c>
      <c r="B5630" s="528" t="s">
        <v>16170</v>
      </c>
      <c r="C5630" s="528" t="s">
        <v>16171</v>
      </c>
      <c r="D5630" s="528" t="s">
        <v>277</v>
      </c>
      <c r="E5630" s="528"/>
      <c r="F5630" s="528"/>
      <c r="G5630" s="528" t="s">
        <v>208</v>
      </c>
      <c r="H5630"/>
    </row>
    <row r="5631" spans="1:8" x14ac:dyDescent="0.35">
      <c r="A5631" s="528" t="s">
        <v>16172</v>
      </c>
      <c r="B5631" s="528" t="s">
        <v>16173</v>
      </c>
      <c r="C5631" s="528" t="s">
        <v>16174</v>
      </c>
      <c r="D5631" s="528" t="s">
        <v>277</v>
      </c>
      <c r="E5631" s="528" t="s">
        <v>264</v>
      </c>
      <c r="F5631" s="528"/>
      <c r="G5631" s="528" t="s">
        <v>205</v>
      </c>
      <c r="H5631"/>
    </row>
    <row r="5632" spans="1:8" x14ac:dyDescent="0.35">
      <c r="A5632" s="528" t="s">
        <v>16175</v>
      </c>
      <c r="B5632" s="528" t="s">
        <v>16176</v>
      </c>
      <c r="C5632" s="528" t="s">
        <v>9884</v>
      </c>
      <c r="D5632" s="528" t="s">
        <v>277</v>
      </c>
      <c r="E5632" s="528" t="s">
        <v>264</v>
      </c>
      <c r="F5632" s="528"/>
      <c r="G5632" s="528" t="s">
        <v>208</v>
      </c>
      <c r="H5632"/>
    </row>
    <row r="5633" spans="1:8" x14ac:dyDescent="0.35">
      <c r="A5633" s="528" t="s">
        <v>16177</v>
      </c>
      <c r="B5633" s="528" t="s">
        <v>16178</v>
      </c>
      <c r="C5633" s="528" t="s">
        <v>16179</v>
      </c>
      <c r="D5633" s="528" t="s">
        <v>225</v>
      </c>
      <c r="E5633" s="528"/>
      <c r="F5633" s="528"/>
      <c r="G5633" s="528" t="s">
        <v>205</v>
      </c>
      <c r="H5633"/>
    </row>
    <row r="5634" spans="1:8" x14ac:dyDescent="0.35">
      <c r="A5634" s="528" t="s">
        <v>16180</v>
      </c>
      <c r="B5634" s="528" t="s">
        <v>16181</v>
      </c>
      <c r="C5634" s="528" t="s">
        <v>16182</v>
      </c>
      <c r="D5634" s="528" t="s">
        <v>264</v>
      </c>
      <c r="E5634" s="528"/>
      <c r="F5634" s="528"/>
      <c r="G5634" s="528" t="s">
        <v>208</v>
      </c>
      <c r="H5634"/>
    </row>
    <row r="5635" spans="1:8" x14ac:dyDescent="0.35">
      <c r="A5635" s="528" t="s">
        <v>16183</v>
      </c>
      <c r="B5635" s="528" t="s">
        <v>16184</v>
      </c>
      <c r="C5635" s="528" t="s">
        <v>16185</v>
      </c>
      <c r="D5635" s="528" t="s">
        <v>238</v>
      </c>
      <c r="E5635" s="528"/>
      <c r="F5635" s="528"/>
      <c r="G5635" s="528" t="s">
        <v>208</v>
      </c>
      <c r="H5635"/>
    </row>
    <row r="5636" spans="1:8" x14ac:dyDescent="0.35">
      <c r="A5636" s="528" t="s">
        <v>16186</v>
      </c>
      <c r="B5636" s="528" t="s">
        <v>16187</v>
      </c>
      <c r="C5636" s="528" t="s">
        <v>16188</v>
      </c>
      <c r="D5636" s="528" t="s">
        <v>238</v>
      </c>
      <c r="E5636" s="528"/>
      <c r="F5636" s="528"/>
      <c r="G5636" s="528" t="s">
        <v>208</v>
      </c>
      <c r="H5636"/>
    </row>
    <row r="5637" spans="1:8" x14ac:dyDescent="0.35">
      <c r="A5637" s="528" t="s">
        <v>16189</v>
      </c>
      <c r="B5637" s="528" t="s">
        <v>16190</v>
      </c>
      <c r="C5637" s="528" t="s">
        <v>16191</v>
      </c>
      <c r="D5637" s="528" t="s">
        <v>238</v>
      </c>
      <c r="E5637" s="528"/>
      <c r="F5637" s="528"/>
      <c r="G5637" s="528" t="s">
        <v>208</v>
      </c>
      <c r="H5637"/>
    </row>
    <row r="5638" spans="1:8" x14ac:dyDescent="0.35">
      <c r="A5638" s="528" t="s">
        <v>16192</v>
      </c>
      <c r="B5638" s="528" t="s">
        <v>16193</v>
      </c>
      <c r="C5638" s="528" t="s">
        <v>16194</v>
      </c>
      <c r="D5638" s="528" t="s">
        <v>251</v>
      </c>
      <c r="E5638" s="528"/>
      <c r="F5638" s="528"/>
      <c r="G5638" s="528" t="s">
        <v>205</v>
      </c>
      <c r="H5638"/>
    </row>
    <row r="5639" spans="1:8" x14ac:dyDescent="0.35">
      <c r="A5639" s="528" t="s">
        <v>16195</v>
      </c>
      <c r="B5639" s="528" t="s">
        <v>16196</v>
      </c>
      <c r="C5639" s="528" t="s">
        <v>16197</v>
      </c>
      <c r="D5639" s="528" t="s">
        <v>251</v>
      </c>
      <c r="E5639" s="528"/>
      <c r="F5639" s="528"/>
      <c r="G5639" s="528" t="s">
        <v>208</v>
      </c>
      <c r="H5639"/>
    </row>
    <row r="5640" spans="1:8" x14ac:dyDescent="0.35">
      <c r="A5640" s="528" t="s">
        <v>16198</v>
      </c>
      <c r="B5640" s="528" t="s">
        <v>16199</v>
      </c>
      <c r="C5640" s="528" t="s">
        <v>16200</v>
      </c>
      <c r="D5640" s="528" t="s">
        <v>225</v>
      </c>
      <c r="E5640" s="528"/>
      <c r="F5640" s="528"/>
      <c r="G5640" s="528" t="s">
        <v>205</v>
      </c>
      <c r="H5640"/>
    </row>
    <row r="5641" spans="1:8" x14ac:dyDescent="0.35">
      <c r="A5641" s="528" t="s">
        <v>16201</v>
      </c>
      <c r="B5641" s="528" t="s">
        <v>16202</v>
      </c>
      <c r="C5641" s="528" t="s">
        <v>16203</v>
      </c>
      <c r="D5641" s="528" t="s">
        <v>225</v>
      </c>
      <c r="E5641" s="528"/>
      <c r="F5641" s="528"/>
      <c r="G5641" s="528" t="s">
        <v>208</v>
      </c>
      <c r="H5641"/>
    </row>
    <row r="5642" spans="1:8" x14ac:dyDescent="0.35">
      <c r="A5642" s="528" t="s">
        <v>16204</v>
      </c>
      <c r="B5642" s="528" t="s">
        <v>16205</v>
      </c>
      <c r="C5642" s="528" t="s">
        <v>16206</v>
      </c>
      <c r="D5642" s="528" t="s">
        <v>264</v>
      </c>
      <c r="E5642" s="528"/>
      <c r="F5642" s="528"/>
      <c r="G5642" s="528" t="s">
        <v>210</v>
      </c>
      <c r="H5642"/>
    </row>
    <row r="5643" spans="1:8" x14ac:dyDescent="0.35">
      <c r="A5643" s="528" t="s">
        <v>16207</v>
      </c>
      <c r="B5643" s="528" t="s">
        <v>16208</v>
      </c>
      <c r="C5643" s="528" t="s">
        <v>16209</v>
      </c>
      <c r="D5643" s="528" t="s">
        <v>264</v>
      </c>
      <c r="E5643" s="528"/>
      <c r="F5643" s="528"/>
      <c r="G5643" s="528" t="s">
        <v>205</v>
      </c>
      <c r="H5643"/>
    </row>
    <row r="5644" spans="1:8" x14ac:dyDescent="0.35">
      <c r="A5644" s="528" t="s">
        <v>16210</v>
      </c>
      <c r="B5644" s="528" t="s">
        <v>16211</v>
      </c>
      <c r="C5644" s="528" t="s">
        <v>16212</v>
      </c>
      <c r="D5644" s="528" t="s">
        <v>277</v>
      </c>
      <c r="E5644" s="528"/>
      <c r="F5644" s="528"/>
      <c r="G5644" s="528" t="s">
        <v>212</v>
      </c>
      <c r="H5644"/>
    </row>
    <row r="5645" spans="1:8" x14ac:dyDescent="0.35">
      <c r="A5645" s="528" t="s">
        <v>16213</v>
      </c>
      <c r="B5645" s="528" t="s">
        <v>16214</v>
      </c>
      <c r="C5645" s="528" t="s">
        <v>16215</v>
      </c>
      <c r="D5645" s="528" t="s">
        <v>238</v>
      </c>
      <c r="E5645" s="528"/>
      <c r="F5645" s="528"/>
      <c r="G5645" s="528" t="s">
        <v>208</v>
      </c>
      <c r="H5645"/>
    </row>
    <row r="5646" spans="1:8" x14ac:dyDescent="0.35">
      <c r="A5646" s="528" t="s">
        <v>16216</v>
      </c>
      <c r="B5646" s="528" t="s">
        <v>16217</v>
      </c>
      <c r="C5646" s="528" t="s">
        <v>16218</v>
      </c>
      <c r="D5646" s="528" t="s">
        <v>238</v>
      </c>
      <c r="E5646" s="528"/>
      <c r="F5646" s="528"/>
      <c r="G5646" s="528" t="s">
        <v>208</v>
      </c>
      <c r="H5646"/>
    </row>
    <row r="5647" spans="1:8" x14ac:dyDescent="0.35">
      <c r="A5647" s="528" t="s">
        <v>16219</v>
      </c>
      <c r="B5647" s="528" t="s">
        <v>16220</v>
      </c>
      <c r="C5647" s="528" t="s">
        <v>16221</v>
      </c>
      <c r="D5647" s="528" t="s">
        <v>277</v>
      </c>
      <c r="E5647" s="528"/>
      <c r="F5647" s="528"/>
      <c r="G5647" s="528" t="s">
        <v>208</v>
      </c>
      <c r="H5647"/>
    </row>
    <row r="5648" spans="1:8" x14ac:dyDescent="0.35">
      <c r="A5648" s="528" t="s">
        <v>16222</v>
      </c>
      <c r="B5648" s="528" t="s">
        <v>16223</v>
      </c>
      <c r="C5648" s="528" t="s">
        <v>16224</v>
      </c>
      <c r="D5648" s="528" t="s">
        <v>277</v>
      </c>
      <c r="E5648" s="528"/>
      <c r="F5648" s="528"/>
      <c r="G5648" s="528" t="s">
        <v>208</v>
      </c>
      <c r="H5648"/>
    </row>
    <row r="5649" spans="1:8" x14ac:dyDescent="0.35">
      <c r="A5649" s="528" t="s">
        <v>16225</v>
      </c>
      <c r="B5649" s="528" t="s">
        <v>16226</v>
      </c>
      <c r="C5649" s="528" t="s">
        <v>16227</v>
      </c>
      <c r="D5649" s="528" t="s">
        <v>277</v>
      </c>
      <c r="E5649" s="528"/>
      <c r="F5649" s="528"/>
      <c r="G5649" s="528" t="s">
        <v>205</v>
      </c>
      <c r="H5649"/>
    </row>
    <row r="5650" spans="1:8" x14ac:dyDescent="0.35">
      <c r="A5650" s="528" t="s">
        <v>16228</v>
      </c>
      <c r="B5650" s="528" t="s">
        <v>16229</v>
      </c>
      <c r="C5650" s="528" t="s">
        <v>16230</v>
      </c>
      <c r="D5650" s="528" t="s">
        <v>277</v>
      </c>
      <c r="E5650" s="528"/>
      <c r="F5650" s="528"/>
      <c r="G5650" s="528" t="s">
        <v>205</v>
      </c>
      <c r="H5650"/>
    </row>
    <row r="5651" spans="1:8" x14ac:dyDescent="0.35">
      <c r="A5651" s="528" t="s">
        <v>16231</v>
      </c>
      <c r="B5651" s="528" t="s">
        <v>16232</v>
      </c>
      <c r="C5651" s="528" t="s">
        <v>16233</v>
      </c>
      <c r="D5651" s="528" t="s">
        <v>277</v>
      </c>
      <c r="E5651" s="528"/>
      <c r="F5651" s="528"/>
      <c r="G5651" s="528" t="s">
        <v>205</v>
      </c>
      <c r="H5651"/>
    </row>
    <row r="5652" spans="1:8" x14ac:dyDescent="0.35">
      <c r="A5652" s="528" t="s">
        <v>16234</v>
      </c>
      <c r="B5652" s="528" t="s">
        <v>16235</v>
      </c>
      <c r="C5652" s="528" t="s">
        <v>16236</v>
      </c>
      <c r="D5652" s="528" t="s">
        <v>277</v>
      </c>
      <c r="E5652" s="528"/>
      <c r="F5652" s="528"/>
      <c r="G5652" s="528" t="s">
        <v>208</v>
      </c>
      <c r="H5652"/>
    </row>
    <row r="5653" spans="1:8" x14ac:dyDescent="0.35">
      <c r="A5653" s="528" t="s">
        <v>16237</v>
      </c>
      <c r="B5653" s="528" t="s">
        <v>16238</v>
      </c>
      <c r="C5653" s="528" t="s">
        <v>16239</v>
      </c>
      <c r="D5653" s="528" t="s">
        <v>264</v>
      </c>
      <c r="E5653" s="528"/>
      <c r="F5653" s="528"/>
      <c r="G5653" s="528" t="s">
        <v>208</v>
      </c>
      <c r="H5653"/>
    </row>
    <row r="5654" spans="1:8" x14ac:dyDescent="0.35">
      <c r="A5654" s="528" t="s">
        <v>16240</v>
      </c>
      <c r="B5654" s="528" t="s">
        <v>16241</v>
      </c>
      <c r="C5654" s="528" t="s">
        <v>16242</v>
      </c>
      <c r="D5654" s="528" t="s">
        <v>277</v>
      </c>
      <c r="E5654" s="528"/>
      <c r="F5654" s="528"/>
      <c r="G5654" s="528" t="s">
        <v>208</v>
      </c>
      <c r="H5654"/>
    </row>
    <row r="5655" spans="1:8" x14ac:dyDescent="0.35">
      <c r="A5655" s="528" t="s">
        <v>16243</v>
      </c>
      <c r="B5655" s="528" t="s">
        <v>16244</v>
      </c>
      <c r="C5655" s="528" t="s">
        <v>16245</v>
      </c>
      <c r="D5655" s="528" t="s">
        <v>264</v>
      </c>
      <c r="E5655" s="528"/>
      <c r="F5655" s="528"/>
      <c r="G5655" s="528" t="s">
        <v>208</v>
      </c>
      <c r="H5655"/>
    </row>
    <row r="5656" spans="1:8" x14ac:dyDescent="0.35">
      <c r="A5656" s="528" t="s">
        <v>16246</v>
      </c>
      <c r="B5656" s="528" t="s">
        <v>16247</v>
      </c>
      <c r="C5656" s="528" t="s">
        <v>16248</v>
      </c>
      <c r="D5656" s="528" t="s">
        <v>264</v>
      </c>
      <c r="E5656" s="528"/>
      <c r="F5656" s="528"/>
      <c r="G5656" s="528" t="s">
        <v>208</v>
      </c>
      <c r="H5656"/>
    </row>
    <row r="5657" spans="1:8" x14ac:dyDescent="0.35">
      <c r="A5657" s="528" t="s">
        <v>16249</v>
      </c>
      <c r="B5657" s="528" t="s">
        <v>16250</v>
      </c>
      <c r="C5657" s="528" t="s">
        <v>16251</v>
      </c>
      <c r="D5657" s="528" t="s">
        <v>277</v>
      </c>
      <c r="E5657" s="528"/>
      <c r="F5657" s="528"/>
      <c r="G5657" s="528" t="s">
        <v>212</v>
      </c>
      <c r="H5657"/>
    </row>
    <row r="5658" spans="1:8" x14ac:dyDescent="0.35">
      <c r="A5658" s="528" t="s">
        <v>16252</v>
      </c>
      <c r="B5658" s="528" t="s">
        <v>16253</v>
      </c>
      <c r="C5658" s="528" t="s">
        <v>16254</v>
      </c>
      <c r="D5658" s="528" t="s">
        <v>264</v>
      </c>
      <c r="E5658" s="528"/>
      <c r="F5658" s="528"/>
      <c r="G5658" s="528" t="s">
        <v>205</v>
      </c>
      <c r="H5658"/>
    </row>
    <row r="5659" spans="1:8" x14ac:dyDescent="0.35">
      <c r="A5659" s="528" t="s">
        <v>16255</v>
      </c>
      <c r="B5659" s="528" t="s">
        <v>16256</v>
      </c>
      <c r="C5659" s="528" t="s">
        <v>16257</v>
      </c>
      <c r="D5659" s="528" t="s">
        <v>277</v>
      </c>
      <c r="E5659" s="528"/>
      <c r="F5659" s="528"/>
      <c r="G5659" s="528" t="s">
        <v>208</v>
      </c>
      <c r="H5659"/>
    </row>
    <row r="5660" spans="1:8" x14ac:dyDescent="0.35">
      <c r="A5660" s="528" t="s">
        <v>16258</v>
      </c>
      <c r="B5660" s="528" t="s">
        <v>16259</v>
      </c>
      <c r="C5660" s="528" t="s">
        <v>16260</v>
      </c>
      <c r="D5660" s="528" t="s">
        <v>264</v>
      </c>
      <c r="E5660" s="528"/>
      <c r="F5660" s="528"/>
      <c r="G5660" s="528" t="s">
        <v>208</v>
      </c>
      <c r="H5660"/>
    </row>
    <row r="5661" spans="1:8" x14ac:dyDescent="0.35">
      <c r="A5661" s="528" t="s">
        <v>16261</v>
      </c>
      <c r="B5661" s="528" t="s">
        <v>16262</v>
      </c>
      <c r="C5661" s="528" t="s">
        <v>16263</v>
      </c>
      <c r="D5661" s="528" t="s">
        <v>277</v>
      </c>
      <c r="E5661" s="528"/>
      <c r="F5661" s="528"/>
      <c r="G5661" s="528" t="s">
        <v>208</v>
      </c>
      <c r="H5661"/>
    </row>
    <row r="5662" spans="1:8" x14ac:dyDescent="0.35">
      <c r="A5662" s="528" t="s">
        <v>16264</v>
      </c>
      <c r="B5662" s="528" t="s">
        <v>16265</v>
      </c>
      <c r="C5662" s="528" t="s">
        <v>16266</v>
      </c>
      <c r="D5662" s="528" t="s">
        <v>277</v>
      </c>
      <c r="E5662" s="528"/>
      <c r="F5662" s="528"/>
      <c r="G5662" s="528" t="s">
        <v>208</v>
      </c>
      <c r="H5662"/>
    </row>
    <row r="5663" spans="1:8" x14ac:dyDescent="0.35">
      <c r="A5663" s="528" t="s">
        <v>16267</v>
      </c>
      <c r="B5663" s="528" t="s">
        <v>16268</v>
      </c>
      <c r="C5663" s="528" t="s">
        <v>16269</v>
      </c>
      <c r="D5663" s="528" t="s">
        <v>264</v>
      </c>
      <c r="E5663" s="528"/>
      <c r="F5663" s="528"/>
      <c r="G5663" s="528" t="s">
        <v>210</v>
      </c>
      <c r="H5663"/>
    </row>
    <row r="5664" spans="1:8" x14ac:dyDescent="0.35">
      <c r="A5664" s="528" t="s">
        <v>16270</v>
      </c>
      <c r="B5664" s="528" t="s">
        <v>16271</v>
      </c>
      <c r="C5664" s="528" t="s">
        <v>16272</v>
      </c>
      <c r="D5664" s="528" t="s">
        <v>264</v>
      </c>
      <c r="E5664" s="528"/>
      <c r="F5664" s="528"/>
      <c r="G5664" s="528" t="s">
        <v>210</v>
      </c>
      <c r="H5664"/>
    </row>
    <row r="5665" spans="1:8" x14ac:dyDescent="0.35">
      <c r="A5665" s="528" t="s">
        <v>16273</v>
      </c>
      <c r="B5665" s="528" t="s">
        <v>16274</v>
      </c>
      <c r="C5665" s="528" t="s">
        <v>16275</v>
      </c>
      <c r="D5665" s="528" t="s">
        <v>264</v>
      </c>
      <c r="E5665" s="528"/>
      <c r="F5665" s="528"/>
      <c r="G5665" s="528" t="s">
        <v>210</v>
      </c>
      <c r="H5665"/>
    </row>
    <row r="5666" spans="1:8" x14ac:dyDescent="0.35">
      <c r="A5666" s="528" t="s">
        <v>16276</v>
      </c>
      <c r="B5666" s="528" t="s">
        <v>16277</v>
      </c>
      <c r="C5666" s="528" t="s">
        <v>16278</v>
      </c>
      <c r="D5666" s="528" t="s">
        <v>264</v>
      </c>
      <c r="E5666" s="528"/>
      <c r="F5666" s="528"/>
      <c r="G5666" s="528" t="s">
        <v>210</v>
      </c>
      <c r="H5666"/>
    </row>
    <row r="5667" spans="1:8" x14ac:dyDescent="0.35">
      <c r="A5667" s="528" t="s">
        <v>16279</v>
      </c>
      <c r="B5667" s="528" t="s">
        <v>16280</v>
      </c>
      <c r="C5667" s="528" t="s">
        <v>16281</v>
      </c>
      <c r="D5667" s="528" t="s">
        <v>264</v>
      </c>
      <c r="E5667" s="528"/>
      <c r="F5667" s="528"/>
      <c r="G5667" s="528" t="s">
        <v>210</v>
      </c>
      <c r="H5667"/>
    </row>
    <row r="5668" spans="1:8" x14ac:dyDescent="0.35">
      <c r="A5668" s="528" t="s">
        <v>16282</v>
      </c>
      <c r="B5668" s="528" t="s">
        <v>16283</v>
      </c>
      <c r="C5668" s="528" t="s">
        <v>16284</v>
      </c>
      <c r="D5668" s="528" t="s">
        <v>264</v>
      </c>
      <c r="E5668" s="528"/>
      <c r="F5668" s="528"/>
      <c r="G5668" s="528" t="s">
        <v>210</v>
      </c>
      <c r="H5668"/>
    </row>
    <row r="5669" spans="1:8" x14ac:dyDescent="0.35">
      <c r="A5669" s="528" t="s">
        <v>16285</v>
      </c>
      <c r="B5669" s="528" t="s">
        <v>16286</v>
      </c>
      <c r="C5669" s="528" t="s">
        <v>16287</v>
      </c>
      <c r="D5669" s="528" t="s">
        <v>264</v>
      </c>
      <c r="E5669" s="528"/>
      <c r="F5669" s="528"/>
      <c r="G5669" s="528" t="s">
        <v>210</v>
      </c>
      <c r="H5669"/>
    </row>
    <row r="5670" spans="1:8" x14ac:dyDescent="0.35">
      <c r="A5670" s="528" t="s">
        <v>16288</v>
      </c>
      <c r="B5670" s="528" t="s">
        <v>16289</v>
      </c>
      <c r="C5670" s="528" t="s">
        <v>16290</v>
      </c>
      <c r="D5670" s="528" t="s">
        <v>264</v>
      </c>
      <c r="E5670" s="528"/>
      <c r="F5670" s="528"/>
      <c r="G5670" s="528" t="s">
        <v>210</v>
      </c>
      <c r="H5670"/>
    </row>
    <row r="5671" spans="1:8" x14ac:dyDescent="0.35">
      <c r="A5671" s="528" t="s">
        <v>16291</v>
      </c>
      <c r="B5671" s="528" t="s">
        <v>16292</v>
      </c>
      <c r="C5671" s="528" t="s">
        <v>16293</v>
      </c>
      <c r="D5671" s="528" t="s">
        <v>264</v>
      </c>
      <c r="E5671" s="528"/>
      <c r="F5671" s="528"/>
      <c r="G5671" s="528" t="s">
        <v>210</v>
      </c>
      <c r="H5671"/>
    </row>
    <row r="5672" spans="1:8" x14ac:dyDescent="0.35">
      <c r="A5672" s="528" t="s">
        <v>16294</v>
      </c>
      <c r="B5672" s="528" t="s">
        <v>16295</v>
      </c>
      <c r="C5672" s="528" t="s">
        <v>16296</v>
      </c>
      <c r="D5672" s="528" t="s">
        <v>264</v>
      </c>
      <c r="E5672" s="528"/>
      <c r="F5672" s="528"/>
      <c r="G5672" s="528" t="s">
        <v>210</v>
      </c>
      <c r="H5672"/>
    </row>
    <row r="5673" spans="1:8" x14ac:dyDescent="0.35">
      <c r="A5673" s="528" t="s">
        <v>16297</v>
      </c>
      <c r="B5673" s="528" t="s">
        <v>16298</v>
      </c>
      <c r="C5673" s="528" t="s">
        <v>16299</v>
      </c>
      <c r="D5673" s="528" t="s">
        <v>264</v>
      </c>
      <c r="E5673" s="528"/>
      <c r="F5673" s="528"/>
      <c r="G5673" s="528" t="s">
        <v>210</v>
      </c>
      <c r="H5673"/>
    </row>
    <row r="5674" spans="1:8" x14ac:dyDescent="0.35">
      <c r="A5674" s="528" t="s">
        <v>16300</v>
      </c>
      <c r="B5674" s="528" t="s">
        <v>16301</v>
      </c>
      <c r="C5674" s="528" t="s">
        <v>16302</v>
      </c>
      <c r="D5674" s="528" t="s">
        <v>264</v>
      </c>
      <c r="E5674" s="528"/>
      <c r="F5674" s="528"/>
      <c r="G5674" s="528" t="s">
        <v>210</v>
      </c>
      <c r="H5674"/>
    </row>
    <row r="5675" spans="1:8" x14ac:dyDescent="0.35">
      <c r="A5675" s="528" t="s">
        <v>16303</v>
      </c>
      <c r="B5675" s="528" t="s">
        <v>16304</v>
      </c>
      <c r="C5675" s="528" t="s">
        <v>16305</v>
      </c>
      <c r="D5675" s="528" t="s">
        <v>264</v>
      </c>
      <c r="E5675" s="528"/>
      <c r="F5675" s="528"/>
      <c r="G5675" s="528" t="s">
        <v>210</v>
      </c>
      <c r="H5675"/>
    </row>
    <row r="5676" spans="1:8" x14ac:dyDescent="0.35">
      <c r="A5676" s="528" t="s">
        <v>16306</v>
      </c>
      <c r="B5676" s="528" t="s">
        <v>16307</v>
      </c>
      <c r="C5676" s="528" t="s">
        <v>16308</v>
      </c>
      <c r="D5676" s="528" t="s">
        <v>264</v>
      </c>
      <c r="E5676" s="528"/>
      <c r="F5676" s="528"/>
      <c r="G5676" s="528" t="s">
        <v>210</v>
      </c>
      <c r="H5676"/>
    </row>
    <row r="5677" spans="1:8" x14ac:dyDescent="0.35">
      <c r="A5677" s="528" t="s">
        <v>16309</v>
      </c>
      <c r="B5677" s="528" t="s">
        <v>16310</v>
      </c>
      <c r="C5677" s="528" t="s">
        <v>16311</v>
      </c>
      <c r="D5677" s="528" t="s">
        <v>264</v>
      </c>
      <c r="E5677" s="528"/>
      <c r="F5677" s="528"/>
      <c r="G5677" s="528" t="s">
        <v>210</v>
      </c>
      <c r="H5677"/>
    </row>
    <row r="5678" spans="1:8" x14ac:dyDescent="0.35">
      <c r="A5678" s="528" t="s">
        <v>16312</v>
      </c>
      <c r="B5678" s="528" t="s">
        <v>16313</v>
      </c>
      <c r="C5678" s="528" t="s">
        <v>16314</v>
      </c>
      <c r="D5678" s="528" t="s">
        <v>264</v>
      </c>
      <c r="E5678" s="528"/>
      <c r="F5678" s="528"/>
      <c r="G5678" s="528" t="s">
        <v>210</v>
      </c>
      <c r="H5678"/>
    </row>
    <row r="5679" spans="1:8" x14ac:dyDescent="0.35">
      <c r="A5679" s="528" t="s">
        <v>16315</v>
      </c>
      <c r="B5679" s="528" t="s">
        <v>16316</v>
      </c>
      <c r="C5679" s="528" t="s">
        <v>16317</v>
      </c>
      <c r="D5679" s="528" t="s">
        <v>264</v>
      </c>
      <c r="E5679" s="528"/>
      <c r="F5679" s="528"/>
      <c r="G5679" s="528" t="s">
        <v>210</v>
      </c>
      <c r="H5679"/>
    </row>
    <row r="5680" spans="1:8" x14ac:dyDescent="0.35">
      <c r="A5680" s="528" t="s">
        <v>16318</v>
      </c>
      <c r="B5680" s="528" t="s">
        <v>16319</v>
      </c>
      <c r="C5680" s="528" t="s">
        <v>16320</v>
      </c>
      <c r="D5680" s="528" t="s">
        <v>264</v>
      </c>
      <c r="E5680" s="528"/>
      <c r="F5680" s="528"/>
      <c r="G5680" s="528" t="s">
        <v>210</v>
      </c>
      <c r="H5680"/>
    </row>
    <row r="5681" spans="1:8" x14ac:dyDescent="0.35">
      <c r="A5681" s="528" t="s">
        <v>16321</v>
      </c>
      <c r="B5681" s="528" t="s">
        <v>16322</v>
      </c>
      <c r="C5681" s="528" t="s">
        <v>16323</v>
      </c>
      <c r="D5681" s="528" t="s">
        <v>264</v>
      </c>
      <c r="E5681" s="528"/>
      <c r="F5681" s="528"/>
      <c r="G5681" s="528" t="s">
        <v>210</v>
      </c>
      <c r="H5681"/>
    </row>
    <row r="5682" spans="1:8" x14ac:dyDescent="0.35">
      <c r="A5682" s="528" t="s">
        <v>16324</v>
      </c>
      <c r="B5682" s="528" t="s">
        <v>16325</v>
      </c>
      <c r="C5682" s="528" t="s">
        <v>16326</v>
      </c>
      <c r="D5682" s="528" t="s">
        <v>264</v>
      </c>
      <c r="E5682" s="528"/>
      <c r="F5682" s="528"/>
      <c r="G5682" s="528" t="s">
        <v>210</v>
      </c>
      <c r="H5682"/>
    </row>
    <row r="5683" spans="1:8" x14ac:dyDescent="0.35">
      <c r="A5683" s="528" t="s">
        <v>16327</v>
      </c>
      <c r="B5683" s="528" t="s">
        <v>16328</v>
      </c>
      <c r="C5683" s="528" t="s">
        <v>16329</v>
      </c>
      <c r="D5683" s="528" t="s">
        <v>264</v>
      </c>
      <c r="E5683" s="528"/>
      <c r="F5683" s="528"/>
      <c r="G5683" s="528" t="s">
        <v>210</v>
      </c>
      <c r="H5683"/>
    </row>
    <row r="5684" spans="1:8" x14ac:dyDescent="0.35">
      <c r="A5684" s="528" t="s">
        <v>16330</v>
      </c>
      <c r="B5684" s="528" t="s">
        <v>16331</v>
      </c>
      <c r="C5684" s="528" t="s">
        <v>16332</v>
      </c>
      <c r="D5684" s="528" t="s">
        <v>264</v>
      </c>
      <c r="E5684" s="528"/>
      <c r="F5684" s="528"/>
      <c r="G5684" s="528" t="s">
        <v>210</v>
      </c>
      <c r="H5684"/>
    </row>
    <row r="5685" spans="1:8" x14ac:dyDescent="0.35">
      <c r="A5685" s="528" t="s">
        <v>16333</v>
      </c>
      <c r="B5685" s="528" t="s">
        <v>16334</v>
      </c>
      <c r="C5685" s="528" t="s">
        <v>16335</v>
      </c>
      <c r="D5685" s="528" t="s">
        <v>264</v>
      </c>
      <c r="E5685" s="528"/>
      <c r="F5685" s="528"/>
      <c r="G5685" s="528" t="s">
        <v>210</v>
      </c>
      <c r="H5685"/>
    </row>
    <row r="5686" spans="1:8" x14ac:dyDescent="0.35">
      <c r="A5686" s="528" t="s">
        <v>16336</v>
      </c>
      <c r="B5686" s="528" t="s">
        <v>16337</v>
      </c>
      <c r="C5686" s="528" t="s">
        <v>16338</v>
      </c>
      <c r="D5686" s="528" t="s">
        <v>277</v>
      </c>
      <c r="E5686" s="528"/>
      <c r="F5686" s="528"/>
      <c r="G5686" s="528" t="s">
        <v>212</v>
      </c>
      <c r="H5686"/>
    </row>
    <row r="5687" spans="1:8" x14ac:dyDescent="0.35">
      <c r="A5687" s="528" t="s">
        <v>16339</v>
      </c>
      <c r="B5687" s="528" t="s">
        <v>16340</v>
      </c>
      <c r="C5687" s="528" t="s">
        <v>16341</v>
      </c>
      <c r="D5687" s="528" t="s">
        <v>277</v>
      </c>
      <c r="E5687" s="528"/>
      <c r="F5687" s="528"/>
      <c r="G5687" s="528" t="s">
        <v>212</v>
      </c>
      <c r="H5687"/>
    </row>
    <row r="5688" spans="1:8" x14ac:dyDescent="0.35">
      <c r="A5688" s="528" t="s">
        <v>16342</v>
      </c>
      <c r="B5688" s="528" t="s">
        <v>16343</v>
      </c>
      <c r="C5688" s="528" t="s">
        <v>16344</v>
      </c>
      <c r="D5688" s="528" t="s">
        <v>277</v>
      </c>
      <c r="E5688" s="528"/>
      <c r="F5688" s="528"/>
      <c r="G5688" s="528" t="s">
        <v>212</v>
      </c>
      <c r="H5688"/>
    </row>
    <row r="5689" spans="1:8" x14ac:dyDescent="0.35">
      <c r="A5689" s="528" t="s">
        <v>16345</v>
      </c>
      <c r="B5689" s="528" t="s">
        <v>16346</v>
      </c>
      <c r="C5689" s="528" t="s">
        <v>16347</v>
      </c>
      <c r="D5689" s="528" t="s">
        <v>277</v>
      </c>
      <c r="E5689" s="528" t="s">
        <v>238</v>
      </c>
      <c r="F5689" s="528"/>
      <c r="G5689" s="528" t="s">
        <v>212</v>
      </c>
      <c r="H5689"/>
    </row>
    <row r="5690" spans="1:8" x14ac:dyDescent="0.35">
      <c r="A5690" s="528" t="s">
        <v>16348</v>
      </c>
      <c r="B5690" s="528" t="s">
        <v>16349</v>
      </c>
      <c r="C5690" s="528" t="s">
        <v>16350</v>
      </c>
      <c r="D5690" s="528" t="s">
        <v>277</v>
      </c>
      <c r="E5690" s="528"/>
      <c r="F5690" s="528"/>
      <c r="G5690" s="528" t="s">
        <v>212</v>
      </c>
      <c r="H5690"/>
    </row>
    <row r="5691" spans="1:8" x14ac:dyDescent="0.35">
      <c r="A5691" s="528" t="s">
        <v>16351</v>
      </c>
      <c r="B5691" s="528" t="s">
        <v>16352</v>
      </c>
      <c r="C5691" s="528" t="s">
        <v>16353</v>
      </c>
      <c r="D5691" s="528" t="s">
        <v>277</v>
      </c>
      <c r="E5691" s="528"/>
      <c r="F5691" s="528"/>
      <c r="G5691" s="528" t="s">
        <v>208</v>
      </c>
      <c r="H5691"/>
    </row>
    <row r="5692" spans="1:8" x14ac:dyDescent="0.35">
      <c r="A5692" s="528" t="s">
        <v>16354</v>
      </c>
      <c r="B5692" s="528" t="s">
        <v>16355</v>
      </c>
      <c r="C5692" s="528" t="s">
        <v>16356</v>
      </c>
      <c r="D5692" s="528" t="s">
        <v>264</v>
      </c>
      <c r="E5692" s="528"/>
      <c r="F5692" s="528"/>
      <c r="G5692" s="528" t="s">
        <v>205</v>
      </c>
      <c r="H5692"/>
    </row>
    <row r="5693" spans="1:8" x14ac:dyDescent="0.35">
      <c r="A5693" s="528" t="s">
        <v>16357</v>
      </c>
      <c r="B5693" s="528" t="s">
        <v>16358</v>
      </c>
      <c r="C5693" s="528" t="s">
        <v>16359</v>
      </c>
      <c r="D5693" s="528" t="s">
        <v>225</v>
      </c>
      <c r="E5693" s="528"/>
      <c r="F5693" s="528"/>
      <c r="G5693" s="528" t="s">
        <v>205</v>
      </c>
      <c r="H5693"/>
    </row>
    <row r="5694" spans="1:8" x14ac:dyDescent="0.35">
      <c r="A5694" s="528" t="s">
        <v>16360</v>
      </c>
      <c r="B5694" s="528" t="s">
        <v>16361</v>
      </c>
      <c r="C5694" s="528" t="s">
        <v>16362</v>
      </c>
      <c r="D5694" s="528" t="s">
        <v>264</v>
      </c>
      <c r="E5694" s="528"/>
      <c r="F5694" s="528"/>
      <c r="G5694" s="528" t="s">
        <v>205</v>
      </c>
      <c r="H5694"/>
    </row>
    <row r="5695" spans="1:8" x14ac:dyDescent="0.35">
      <c r="A5695" s="528" t="s">
        <v>16363</v>
      </c>
      <c r="B5695" s="528" t="s">
        <v>16364</v>
      </c>
      <c r="C5695" s="528" t="s">
        <v>16365</v>
      </c>
      <c r="D5695" s="528" t="s">
        <v>225</v>
      </c>
      <c r="E5695" s="528"/>
      <c r="F5695" s="528"/>
      <c r="G5695" s="528" t="s">
        <v>205</v>
      </c>
      <c r="H5695"/>
    </row>
    <row r="5696" spans="1:8" x14ac:dyDescent="0.35">
      <c r="A5696" s="528" t="s">
        <v>16366</v>
      </c>
      <c r="B5696" s="528" t="s">
        <v>16367</v>
      </c>
      <c r="C5696" s="528" t="s">
        <v>16368</v>
      </c>
      <c r="D5696" s="528" t="s">
        <v>225</v>
      </c>
      <c r="E5696" s="528"/>
      <c r="F5696" s="528"/>
      <c r="G5696" s="528" t="s">
        <v>205</v>
      </c>
      <c r="H5696"/>
    </row>
    <row r="5697" spans="1:8" x14ac:dyDescent="0.35">
      <c r="A5697" s="528" t="s">
        <v>16369</v>
      </c>
      <c r="B5697" s="528" t="s">
        <v>16370</v>
      </c>
      <c r="C5697" s="528" t="s">
        <v>16371</v>
      </c>
      <c r="D5697" s="528" t="s">
        <v>225</v>
      </c>
      <c r="E5697" s="528"/>
      <c r="F5697" s="528"/>
      <c r="G5697" s="528" t="s">
        <v>205</v>
      </c>
      <c r="H5697"/>
    </row>
    <row r="5698" spans="1:8" x14ac:dyDescent="0.35">
      <c r="A5698" s="528" t="s">
        <v>16372</v>
      </c>
      <c r="B5698" s="528" t="s">
        <v>16373</v>
      </c>
      <c r="C5698" s="528" t="s">
        <v>16374</v>
      </c>
      <c r="D5698" s="528" t="s">
        <v>238</v>
      </c>
      <c r="E5698" s="528"/>
      <c r="F5698" s="528"/>
      <c r="G5698" s="528" t="s">
        <v>208</v>
      </c>
      <c r="H5698"/>
    </row>
    <row r="5699" spans="1:8" x14ac:dyDescent="0.35">
      <c r="A5699" s="528" t="s">
        <v>16375</v>
      </c>
      <c r="B5699" s="528" t="s">
        <v>16376</v>
      </c>
      <c r="C5699" s="528" t="s">
        <v>16377</v>
      </c>
      <c r="D5699" s="528" t="s">
        <v>264</v>
      </c>
      <c r="E5699" s="528"/>
      <c r="F5699" s="528"/>
      <c r="G5699" s="528" t="s">
        <v>208</v>
      </c>
      <c r="H5699"/>
    </row>
    <row r="5700" spans="1:8" x14ac:dyDescent="0.35">
      <c r="A5700" s="528" t="s">
        <v>16378</v>
      </c>
      <c r="B5700" s="528" t="s">
        <v>16379</v>
      </c>
      <c r="C5700" s="528" t="s">
        <v>16380</v>
      </c>
      <c r="D5700" s="528" t="s">
        <v>277</v>
      </c>
      <c r="E5700" s="528"/>
      <c r="F5700" s="528"/>
      <c r="G5700" s="528" t="s">
        <v>208</v>
      </c>
      <c r="H5700"/>
    </row>
    <row r="5701" spans="1:8" x14ac:dyDescent="0.35">
      <c r="A5701" s="528" t="s">
        <v>16381</v>
      </c>
      <c r="B5701" s="528" t="s">
        <v>16382</v>
      </c>
      <c r="C5701" s="528" t="s">
        <v>16383</v>
      </c>
      <c r="D5701" s="528" t="s">
        <v>264</v>
      </c>
      <c r="E5701" s="528"/>
      <c r="F5701" s="528"/>
      <c r="G5701" s="528" t="s">
        <v>205</v>
      </c>
      <c r="H5701"/>
    </row>
    <row r="5702" spans="1:8" x14ac:dyDescent="0.35">
      <c r="A5702" s="528" t="s">
        <v>16384</v>
      </c>
      <c r="B5702" s="528" t="s">
        <v>16385</v>
      </c>
      <c r="C5702" s="528" t="s">
        <v>16386</v>
      </c>
      <c r="D5702" s="528" t="s">
        <v>264</v>
      </c>
      <c r="E5702" s="528"/>
      <c r="F5702" s="528"/>
      <c r="G5702" s="528" t="s">
        <v>210</v>
      </c>
      <c r="H5702"/>
    </row>
    <row r="5703" spans="1:8" x14ac:dyDescent="0.35">
      <c r="A5703" s="528" t="s">
        <v>16387</v>
      </c>
      <c r="B5703" s="528" t="s">
        <v>16388</v>
      </c>
      <c r="C5703" s="528" t="s">
        <v>16389</v>
      </c>
      <c r="D5703" s="528" t="s">
        <v>277</v>
      </c>
      <c r="E5703" s="528"/>
      <c r="F5703" s="528"/>
      <c r="G5703" s="528" t="s">
        <v>205</v>
      </c>
      <c r="H5703"/>
    </row>
    <row r="5704" spans="1:8" x14ac:dyDescent="0.35">
      <c r="A5704" s="528" t="s">
        <v>16390</v>
      </c>
      <c r="B5704" s="528" t="s">
        <v>16391</v>
      </c>
      <c r="C5704" s="528" t="s">
        <v>16392</v>
      </c>
      <c r="D5704" s="528" t="s">
        <v>238</v>
      </c>
      <c r="E5704" s="528"/>
      <c r="F5704" s="528"/>
      <c r="G5704" s="528" t="s">
        <v>208</v>
      </c>
      <c r="H5704"/>
    </row>
    <row r="5705" spans="1:8" x14ac:dyDescent="0.35">
      <c r="A5705" s="528" t="s">
        <v>16393</v>
      </c>
      <c r="B5705" s="528" t="s">
        <v>16394</v>
      </c>
      <c r="C5705" s="528" t="s">
        <v>16395</v>
      </c>
      <c r="D5705" s="528" t="s">
        <v>225</v>
      </c>
      <c r="E5705" s="528"/>
      <c r="F5705" s="528"/>
      <c r="G5705" s="528" t="s">
        <v>208</v>
      </c>
      <c r="H5705"/>
    </row>
    <row r="5706" spans="1:8" x14ac:dyDescent="0.35">
      <c r="A5706" s="528" t="s">
        <v>16396</v>
      </c>
      <c r="B5706" s="528" t="s">
        <v>16397</v>
      </c>
      <c r="C5706" s="528" t="s">
        <v>16398</v>
      </c>
      <c r="D5706" s="528" t="s">
        <v>251</v>
      </c>
      <c r="E5706" s="528"/>
      <c r="F5706" s="528"/>
      <c r="G5706" s="528" t="s">
        <v>205</v>
      </c>
      <c r="H5706"/>
    </row>
    <row r="5707" spans="1:8" x14ac:dyDescent="0.35">
      <c r="A5707" s="528" t="s">
        <v>16399</v>
      </c>
      <c r="B5707" s="528" t="s">
        <v>16400</v>
      </c>
      <c r="C5707" s="528" t="s">
        <v>16401</v>
      </c>
      <c r="D5707" s="528" t="s">
        <v>251</v>
      </c>
      <c r="E5707" s="528"/>
      <c r="F5707" s="528"/>
      <c r="G5707" s="528" t="s">
        <v>205</v>
      </c>
      <c r="H5707"/>
    </row>
    <row r="5708" spans="1:8" x14ac:dyDescent="0.35">
      <c r="A5708" s="528" t="s">
        <v>16402</v>
      </c>
      <c r="B5708" s="528" t="s">
        <v>16403</v>
      </c>
      <c r="C5708" s="528" t="s">
        <v>16404</v>
      </c>
      <c r="D5708" s="528" t="s">
        <v>251</v>
      </c>
      <c r="E5708" s="528"/>
      <c r="F5708" s="528"/>
      <c r="G5708" s="528" t="s">
        <v>205</v>
      </c>
      <c r="H5708"/>
    </row>
    <row r="5709" spans="1:8" x14ac:dyDescent="0.35">
      <c r="A5709" s="528" t="s">
        <v>16405</v>
      </c>
      <c r="B5709" s="528" t="s">
        <v>16406</v>
      </c>
      <c r="C5709" s="528" t="s">
        <v>16407</v>
      </c>
      <c r="D5709" s="528" t="s">
        <v>238</v>
      </c>
      <c r="E5709" s="528"/>
      <c r="F5709" s="528"/>
      <c r="G5709" s="528" t="s">
        <v>205</v>
      </c>
      <c r="H5709"/>
    </row>
    <row r="5710" spans="1:8" x14ac:dyDescent="0.35">
      <c r="A5710" s="528" t="s">
        <v>16408</v>
      </c>
      <c r="B5710" s="528" t="s">
        <v>16409</v>
      </c>
      <c r="C5710" s="528" t="s">
        <v>16410</v>
      </c>
      <c r="D5710" s="528" t="s">
        <v>277</v>
      </c>
      <c r="E5710" s="528"/>
      <c r="F5710" s="528"/>
      <c r="G5710" s="528" t="s">
        <v>205</v>
      </c>
      <c r="H5710"/>
    </row>
    <row r="5711" spans="1:8" x14ac:dyDescent="0.35">
      <c r="A5711" s="528" t="s">
        <v>16411</v>
      </c>
      <c r="B5711" s="528" t="s">
        <v>16412</v>
      </c>
      <c r="C5711" s="528" t="s">
        <v>16413</v>
      </c>
      <c r="D5711" s="528" t="s">
        <v>238</v>
      </c>
      <c r="E5711" s="528"/>
      <c r="F5711" s="528"/>
      <c r="G5711" s="528" t="s">
        <v>205</v>
      </c>
      <c r="H5711"/>
    </row>
    <row r="5712" spans="1:8" x14ac:dyDescent="0.35">
      <c r="A5712" s="528" t="s">
        <v>16414</v>
      </c>
      <c r="B5712" s="528" t="s">
        <v>16415</v>
      </c>
      <c r="C5712" s="528" t="s">
        <v>16416</v>
      </c>
      <c r="D5712" s="528" t="s">
        <v>251</v>
      </c>
      <c r="E5712" s="528"/>
      <c r="F5712" s="528"/>
      <c r="G5712" s="528" t="s">
        <v>205</v>
      </c>
      <c r="H5712"/>
    </row>
    <row r="5713" spans="1:8" x14ac:dyDescent="0.35">
      <c r="A5713" s="528" t="s">
        <v>16417</v>
      </c>
      <c r="B5713" s="528" t="s">
        <v>16418</v>
      </c>
      <c r="C5713" s="528" t="s">
        <v>16419</v>
      </c>
      <c r="D5713" s="528" t="s">
        <v>251</v>
      </c>
      <c r="E5713" s="528"/>
      <c r="F5713" s="528"/>
      <c r="G5713" s="528" t="s">
        <v>208</v>
      </c>
      <c r="H5713"/>
    </row>
    <row r="5714" spans="1:8" x14ac:dyDescent="0.35">
      <c r="A5714" s="528" t="s">
        <v>16420</v>
      </c>
      <c r="B5714" s="528" t="s">
        <v>16421</v>
      </c>
      <c r="C5714" s="528" t="s">
        <v>16422</v>
      </c>
      <c r="D5714" s="528" t="s">
        <v>264</v>
      </c>
      <c r="E5714" s="528"/>
      <c r="F5714" s="528"/>
      <c r="G5714" s="528" t="s">
        <v>208</v>
      </c>
      <c r="H5714"/>
    </row>
    <row r="5715" spans="1:8" x14ac:dyDescent="0.35">
      <c r="A5715" s="528" t="s">
        <v>16423</v>
      </c>
      <c r="B5715" s="528" t="s">
        <v>16424</v>
      </c>
      <c r="C5715" s="528" t="s">
        <v>16425</v>
      </c>
      <c r="D5715" s="528" t="s">
        <v>277</v>
      </c>
      <c r="E5715" s="528"/>
      <c r="F5715" s="528"/>
      <c r="G5715" s="528" t="s">
        <v>208</v>
      </c>
      <c r="H5715"/>
    </row>
    <row r="5716" spans="1:8" x14ac:dyDescent="0.35">
      <c r="A5716" s="528" t="s">
        <v>16426</v>
      </c>
      <c r="B5716" s="528" t="s">
        <v>16427</v>
      </c>
      <c r="C5716" s="528" t="s">
        <v>16428</v>
      </c>
      <c r="D5716" s="528" t="s">
        <v>277</v>
      </c>
      <c r="E5716" s="528"/>
      <c r="F5716" s="528"/>
      <c r="G5716" s="528" t="s">
        <v>208</v>
      </c>
      <c r="H5716"/>
    </row>
    <row r="5717" spans="1:8" x14ac:dyDescent="0.35">
      <c r="A5717" s="528" t="s">
        <v>16429</v>
      </c>
      <c r="B5717" s="528" t="s">
        <v>16430</v>
      </c>
      <c r="C5717" s="528" t="s">
        <v>16431</v>
      </c>
      <c r="D5717" s="528" t="s">
        <v>277</v>
      </c>
      <c r="E5717" s="528"/>
      <c r="F5717" s="528"/>
      <c r="G5717" s="528" t="s">
        <v>208</v>
      </c>
      <c r="H5717"/>
    </row>
    <row r="5718" spans="1:8" x14ac:dyDescent="0.35">
      <c r="A5718" s="528" t="s">
        <v>16432</v>
      </c>
      <c r="B5718" s="528" t="s">
        <v>16433</v>
      </c>
      <c r="C5718" s="528" t="s">
        <v>16434</v>
      </c>
      <c r="D5718" s="528" t="s">
        <v>277</v>
      </c>
      <c r="E5718" s="528"/>
      <c r="F5718" s="528"/>
      <c r="G5718" s="528" t="s">
        <v>208</v>
      </c>
      <c r="H5718"/>
    </row>
    <row r="5719" spans="1:8" x14ac:dyDescent="0.35">
      <c r="A5719" s="528" t="s">
        <v>16435</v>
      </c>
      <c r="B5719" s="528" t="s">
        <v>16436</v>
      </c>
      <c r="C5719" s="528" t="s">
        <v>16437</v>
      </c>
      <c r="D5719" s="528" t="s">
        <v>251</v>
      </c>
      <c r="E5719" s="528"/>
      <c r="F5719" s="528"/>
      <c r="G5719" s="528" t="s">
        <v>208</v>
      </c>
      <c r="H5719"/>
    </row>
    <row r="5720" spans="1:8" x14ac:dyDescent="0.35">
      <c r="A5720" s="528" t="s">
        <v>16438</v>
      </c>
      <c r="B5720" s="528" t="s">
        <v>16439</v>
      </c>
      <c r="C5720" s="528" t="s">
        <v>16440</v>
      </c>
      <c r="D5720" s="528" t="s">
        <v>251</v>
      </c>
      <c r="E5720" s="528"/>
      <c r="F5720" s="528"/>
      <c r="G5720" s="528" t="s">
        <v>208</v>
      </c>
      <c r="H5720"/>
    </row>
    <row r="5721" spans="1:8" x14ac:dyDescent="0.35">
      <c r="A5721" s="528" t="s">
        <v>16441</v>
      </c>
      <c r="B5721" s="528" t="s">
        <v>16442</v>
      </c>
      <c r="C5721" s="528" t="s">
        <v>16443</v>
      </c>
      <c r="D5721" s="528" t="s">
        <v>277</v>
      </c>
      <c r="E5721" s="528"/>
      <c r="F5721" s="528"/>
      <c r="G5721" s="528" t="s">
        <v>208</v>
      </c>
      <c r="H5721"/>
    </row>
    <row r="5722" spans="1:8" x14ac:dyDescent="0.35">
      <c r="A5722" s="528" t="s">
        <v>16444</v>
      </c>
      <c r="B5722" s="528" t="s">
        <v>16445</v>
      </c>
      <c r="C5722" s="528" t="s">
        <v>16446</v>
      </c>
      <c r="D5722" s="528" t="s">
        <v>251</v>
      </c>
      <c r="E5722" s="528"/>
      <c r="F5722" s="528"/>
      <c r="G5722" s="528" t="s">
        <v>208</v>
      </c>
      <c r="H5722"/>
    </row>
    <row r="5723" spans="1:8" x14ac:dyDescent="0.35">
      <c r="A5723" s="528" t="s">
        <v>16447</v>
      </c>
      <c r="B5723" s="528" t="s">
        <v>16448</v>
      </c>
      <c r="C5723" s="528" t="s">
        <v>16449</v>
      </c>
      <c r="D5723" s="528" t="s">
        <v>277</v>
      </c>
      <c r="E5723" s="528"/>
      <c r="F5723" s="528"/>
      <c r="G5723" s="528" t="s">
        <v>208</v>
      </c>
      <c r="H5723"/>
    </row>
    <row r="5724" spans="1:8" x14ac:dyDescent="0.35">
      <c r="A5724" s="528" t="s">
        <v>16450</v>
      </c>
      <c r="B5724" s="528" t="s">
        <v>16451</v>
      </c>
      <c r="C5724" s="528" t="s">
        <v>16452</v>
      </c>
      <c r="D5724" s="528" t="s">
        <v>225</v>
      </c>
      <c r="E5724" s="528"/>
      <c r="F5724" s="528"/>
      <c r="G5724" s="528" t="s">
        <v>208</v>
      </c>
      <c r="H5724"/>
    </row>
    <row r="5725" spans="1:8" x14ac:dyDescent="0.35">
      <c r="A5725" s="528" t="s">
        <v>16453</v>
      </c>
      <c r="B5725" s="528" t="s">
        <v>16454</v>
      </c>
      <c r="C5725" s="528" t="s">
        <v>16455</v>
      </c>
      <c r="D5725" s="528" t="s">
        <v>225</v>
      </c>
      <c r="E5725" s="528"/>
      <c r="F5725" s="528"/>
      <c r="G5725" s="528" t="s">
        <v>208</v>
      </c>
      <c r="H5725"/>
    </row>
    <row r="5726" spans="1:8" x14ac:dyDescent="0.35">
      <c r="A5726" s="528" t="s">
        <v>16456</v>
      </c>
      <c r="B5726" s="528" t="s">
        <v>16457</v>
      </c>
      <c r="C5726" s="528" t="s">
        <v>16458</v>
      </c>
      <c r="D5726" s="528" t="s">
        <v>264</v>
      </c>
      <c r="E5726" s="528"/>
      <c r="F5726" s="528"/>
      <c r="G5726" s="528" t="s">
        <v>208</v>
      </c>
      <c r="H5726"/>
    </row>
    <row r="5727" spans="1:8" x14ac:dyDescent="0.35">
      <c r="A5727" s="528" t="s">
        <v>16459</v>
      </c>
      <c r="B5727" s="528" t="s">
        <v>16460</v>
      </c>
      <c r="C5727" s="528" t="s">
        <v>16461</v>
      </c>
      <c r="D5727" s="528" t="s">
        <v>225</v>
      </c>
      <c r="E5727" s="528"/>
      <c r="F5727" s="528"/>
      <c r="G5727" s="528" t="s">
        <v>208</v>
      </c>
      <c r="H5727"/>
    </row>
    <row r="5728" spans="1:8" x14ac:dyDescent="0.35">
      <c r="A5728" s="528" t="s">
        <v>16462</v>
      </c>
      <c r="B5728" s="528" t="s">
        <v>16463</v>
      </c>
      <c r="C5728" s="528" t="s">
        <v>16464</v>
      </c>
      <c r="D5728" s="528" t="s">
        <v>277</v>
      </c>
      <c r="E5728" s="528"/>
      <c r="F5728" s="528"/>
      <c r="G5728" s="528" t="s">
        <v>212</v>
      </c>
      <c r="H5728"/>
    </row>
    <row r="5729" spans="1:8" x14ac:dyDescent="0.35">
      <c r="A5729" s="528" t="s">
        <v>16465</v>
      </c>
      <c r="B5729" s="528" t="s">
        <v>16466</v>
      </c>
      <c r="C5729" s="528" t="s">
        <v>16467</v>
      </c>
      <c r="D5729" s="528" t="s">
        <v>277</v>
      </c>
      <c r="E5729" s="528"/>
      <c r="F5729" s="528"/>
      <c r="G5729" s="528" t="s">
        <v>212</v>
      </c>
      <c r="H5729"/>
    </row>
    <row r="5730" spans="1:8" x14ac:dyDescent="0.35">
      <c r="A5730" s="528" t="s">
        <v>16468</v>
      </c>
      <c r="B5730" s="528" t="s">
        <v>16469</v>
      </c>
      <c r="C5730" s="528" t="s">
        <v>16470</v>
      </c>
      <c r="D5730" s="528" t="s">
        <v>238</v>
      </c>
      <c r="E5730" s="528"/>
      <c r="F5730" s="528"/>
      <c r="G5730" s="528" t="s">
        <v>208</v>
      </c>
      <c r="H5730"/>
    </row>
    <row r="5731" spans="1:8" x14ac:dyDescent="0.35">
      <c r="A5731" s="528" t="s">
        <v>16471</v>
      </c>
      <c r="B5731" s="528" t="s">
        <v>16472</v>
      </c>
      <c r="C5731" s="528" t="s">
        <v>16473</v>
      </c>
      <c r="D5731" s="528" t="s">
        <v>238</v>
      </c>
      <c r="E5731" s="528"/>
      <c r="F5731" s="528"/>
      <c r="G5731" s="528" t="s">
        <v>208</v>
      </c>
      <c r="H5731"/>
    </row>
    <row r="5732" spans="1:8" x14ac:dyDescent="0.35">
      <c r="A5732" s="528" t="s">
        <v>16474</v>
      </c>
      <c r="B5732" s="528" t="s">
        <v>16475</v>
      </c>
      <c r="C5732" s="528" t="s">
        <v>16476</v>
      </c>
      <c r="D5732" s="528" t="s">
        <v>238</v>
      </c>
      <c r="E5732" s="528"/>
      <c r="F5732" s="528"/>
      <c r="G5732" s="528" t="s">
        <v>208</v>
      </c>
      <c r="H5732"/>
    </row>
    <row r="5733" spans="1:8" x14ac:dyDescent="0.35">
      <c r="A5733" s="528" t="s">
        <v>16477</v>
      </c>
      <c r="B5733" s="528" t="s">
        <v>16478</v>
      </c>
      <c r="C5733" s="528" t="s">
        <v>16479</v>
      </c>
      <c r="D5733" s="528" t="s">
        <v>277</v>
      </c>
      <c r="E5733" s="528"/>
      <c r="F5733" s="528"/>
      <c r="G5733" s="528" t="s">
        <v>205</v>
      </c>
      <c r="H5733"/>
    </row>
    <row r="5734" spans="1:8" x14ac:dyDescent="0.35">
      <c r="A5734" s="528" t="s">
        <v>16480</v>
      </c>
      <c r="B5734" s="528" t="s">
        <v>16481</v>
      </c>
      <c r="C5734" s="528" t="s">
        <v>3413</v>
      </c>
      <c r="D5734" s="528" t="s">
        <v>238</v>
      </c>
      <c r="E5734" s="528"/>
      <c r="F5734" s="528"/>
      <c r="G5734" s="528" t="s">
        <v>208</v>
      </c>
      <c r="H5734"/>
    </row>
    <row r="5735" spans="1:8" x14ac:dyDescent="0.35">
      <c r="A5735" s="528" t="s">
        <v>16482</v>
      </c>
      <c r="B5735" s="528" t="s">
        <v>16483</v>
      </c>
      <c r="C5735" s="528" t="s">
        <v>16484</v>
      </c>
      <c r="D5735" s="528" t="s">
        <v>264</v>
      </c>
      <c r="E5735" s="528"/>
      <c r="F5735" s="528"/>
      <c r="G5735" s="528" t="s">
        <v>205</v>
      </c>
      <c r="H5735"/>
    </row>
    <row r="5736" spans="1:8" x14ac:dyDescent="0.35">
      <c r="A5736" s="528" t="s">
        <v>16485</v>
      </c>
      <c r="B5736" s="528" t="s">
        <v>16486</v>
      </c>
      <c r="C5736" s="528" t="s">
        <v>16487</v>
      </c>
      <c r="D5736" s="528" t="s">
        <v>264</v>
      </c>
      <c r="E5736" s="528"/>
      <c r="F5736" s="528"/>
      <c r="G5736" s="528" t="s">
        <v>205</v>
      </c>
      <c r="H5736"/>
    </row>
    <row r="5737" spans="1:8" x14ac:dyDescent="0.35">
      <c r="A5737" s="528" t="s">
        <v>16488</v>
      </c>
      <c r="B5737" s="528" t="s">
        <v>16489</v>
      </c>
      <c r="C5737" s="528" t="s">
        <v>16490</v>
      </c>
      <c r="D5737" s="528" t="s">
        <v>277</v>
      </c>
      <c r="E5737" s="528"/>
      <c r="F5737" s="528"/>
      <c r="G5737" s="528" t="s">
        <v>208</v>
      </c>
      <c r="H5737"/>
    </row>
    <row r="5738" spans="1:8" x14ac:dyDescent="0.35">
      <c r="A5738" s="528" t="s">
        <v>16491</v>
      </c>
      <c r="B5738" s="528" t="s">
        <v>16492</v>
      </c>
      <c r="C5738" s="528" t="s">
        <v>16493</v>
      </c>
      <c r="D5738" s="528" t="s">
        <v>264</v>
      </c>
      <c r="E5738" s="528"/>
      <c r="F5738" s="528"/>
      <c r="G5738" s="528" t="s">
        <v>205</v>
      </c>
      <c r="H5738"/>
    </row>
    <row r="5739" spans="1:8" x14ac:dyDescent="0.35">
      <c r="A5739" s="528" t="s">
        <v>16494</v>
      </c>
      <c r="B5739" s="528" t="s">
        <v>16495</v>
      </c>
      <c r="C5739" s="528" t="s">
        <v>16496</v>
      </c>
      <c r="D5739" s="528" t="s">
        <v>238</v>
      </c>
      <c r="E5739" s="528"/>
      <c r="F5739" s="528"/>
      <c r="G5739" s="528" t="s">
        <v>205</v>
      </c>
      <c r="H5739"/>
    </row>
    <row r="5740" spans="1:8" x14ac:dyDescent="0.35">
      <c r="A5740" s="528" t="s">
        <v>16497</v>
      </c>
      <c r="B5740" s="528" t="s">
        <v>16498</v>
      </c>
      <c r="C5740" s="528" t="s">
        <v>16499</v>
      </c>
      <c r="D5740" s="528" t="s">
        <v>251</v>
      </c>
      <c r="E5740" s="528"/>
      <c r="F5740" s="528"/>
      <c r="G5740" s="528" t="s">
        <v>208</v>
      </c>
      <c r="H5740"/>
    </row>
    <row r="5741" spans="1:8" x14ac:dyDescent="0.35">
      <c r="A5741" s="528" t="s">
        <v>16500</v>
      </c>
      <c r="B5741" s="528" t="s">
        <v>16501</v>
      </c>
      <c r="C5741" s="528" t="s">
        <v>16502</v>
      </c>
      <c r="D5741" s="528" t="s">
        <v>277</v>
      </c>
      <c r="E5741" s="528"/>
      <c r="F5741" s="528"/>
      <c r="G5741" s="528" t="s">
        <v>208</v>
      </c>
      <c r="H5741"/>
    </row>
    <row r="5742" spans="1:8" x14ac:dyDescent="0.35">
      <c r="A5742" s="528" t="s">
        <v>16503</v>
      </c>
      <c r="B5742" s="528" t="s">
        <v>16504</v>
      </c>
      <c r="C5742" s="528" t="s">
        <v>16505</v>
      </c>
      <c r="D5742" s="528" t="s">
        <v>264</v>
      </c>
      <c r="E5742" s="528"/>
      <c r="F5742" s="528"/>
      <c r="G5742" s="528" t="s">
        <v>205</v>
      </c>
      <c r="H5742"/>
    </row>
    <row r="5743" spans="1:8" x14ac:dyDescent="0.35">
      <c r="A5743" s="528" t="s">
        <v>16506</v>
      </c>
      <c r="B5743" s="528" t="s">
        <v>16507</v>
      </c>
      <c r="C5743" s="528" t="s">
        <v>16508</v>
      </c>
      <c r="D5743" s="528" t="s">
        <v>264</v>
      </c>
      <c r="E5743" s="528" t="s">
        <v>277</v>
      </c>
      <c r="F5743" s="528"/>
      <c r="G5743" s="528" t="s">
        <v>205</v>
      </c>
      <c r="H5743"/>
    </row>
    <row r="5744" spans="1:8" x14ac:dyDescent="0.35">
      <c r="A5744" s="528" t="s">
        <v>16509</v>
      </c>
      <c r="B5744" s="528" t="s">
        <v>16510</v>
      </c>
      <c r="C5744" s="528" t="s">
        <v>16511</v>
      </c>
      <c r="D5744" s="528" t="s">
        <v>264</v>
      </c>
      <c r="E5744" s="528"/>
      <c r="F5744" s="528"/>
      <c r="G5744" s="528" t="s">
        <v>205</v>
      </c>
      <c r="H5744"/>
    </row>
    <row r="5745" spans="1:8" x14ac:dyDescent="0.35">
      <c r="A5745" s="528" t="s">
        <v>16512</v>
      </c>
      <c r="B5745" s="528" t="s">
        <v>16513</v>
      </c>
      <c r="C5745" s="528" t="s">
        <v>16514</v>
      </c>
      <c r="D5745" s="528" t="s">
        <v>238</v>
      </c>
      <c r="E5745" s="528"/>
      <c r="F5745" s="528"/>
      <c r="G5745" s="528" t="s">
        <v>205</v>
      </c>
      <c r="H5745"/>
    </row>
    <row r="5746" spans="1:8" x14ac:dyDescent="0.35">
      <c r="A5746" s="528" t="s">
        <v>16515</v>
      </c>
      <c r="B5746" s="528" t="s">
        <v>16516</v>
      </c>
      <c r="C5746" s="528" t="s">
        <v>16517</v>
      </c>
      <c r="D5746" s="528" t="s">
        <v>238</v>
      </c>
      <c r="E5746" s="528"/>
      <c r="F5746" s="528"/>
      <c r="G5746" s="528" t="s">
        <v>205</v>
      </c>
      <c r="H5746"/>
    </row>
    <row r="5747" spans="1:8" x14ac:dyDescent="0.35">
      <c r="A5747" s="528" t="s">
        <v>16518</v>
      </c>
      <c r="B5747" s="528" t="s">
        <v>16519</v>
      </c>
      <c r="C5747" s="528" t="s">
        <v>16520</v>
      </c>
      <c r="D5747" s="528" t="s">
        <v>238</v>
      </c>
      <c r="E5747" s="528"/>
      <c r="F5747" s="528"/>
      <c r="G5747" s="528" t="s">
        <v>208</v>
      </c>
      <c r="H5747"/>
    </row>
    <row r="5748" spans="1:8" x14ac:dyDescent="0.35">
      <c r="A5748" s="528" t="s">
        <v>16521</v>
      </c>
      <c r="B5748" s="528" t="s">
        <v>16522</v>
      </c>
      <c r="C5748" s="528" t="s">
        <v>16523</v>
      </c>
      <c r="D5748" s="528" t="s">
        <v>238</v>
      </c>
      <c r="E5748" s="528"/>
      <c r="F5748" s="528"/>
      <c r="G5748" s="528" t="s">
        <v>208</v>
      </c>
      <c r="H5748"/>
    </row>
    <row r="5749" spans="1:8" x14ac:dyDescent="0.35">
      <c r="A5749" s="528" t="s">
        <v>16524</v>
      </c>
      <c r="B5749" s="528" t="s">
        <v>16525</v>
      </c>
      <c r="C5749" s="528" t="s">
        <v>16526</v>
      </c>
      <c r="D5749" s="528" t="s">
        <v>277</v>
      </c>
      <c r="E5749" s="528"/>
      <c r="F5749" s="528"/>
      <c r="G5749" s="528" t="s">
        <v>205</v>
      </c>
      <c r="H5749"/>
    </row>
    <row r="5750" spans="1:8" x14ac:dyDescent="0.35">
      <c r="A5750" s="528" t="s">
        <v>16527</v>
      </c>
      <c r="B5750" s="528" t="s">
        <v>16528</v>
      </c>
      <c r="C5750" s="528" t="s">
        <v>16529</v>
      </c>
      <c r="D5750" s="528" t="s">
        <v>277</v>
      </c>
      <c r="E5750" s="528"/>
      <c r="F5750" s="528"/>
      <c r="G5750" s="528" t="s">
        <v>208</v>
      </c>
      <c r="H5750"/>
    </row>
    <row r="5751" spans="1:8" x14ac:dyDescent="0.35">
      <c r="A5751" s="528" t="s">
        <v>16530</v>
      </c>
      <c r="B5751" s="528" t="s">
        <v>16531</v>
      </c>
      <c r="C5751" s="528" t="s">
        <v>16532</v>
      </c>
      <c r="D5751" s="528" t="s">
        <v>277</v>
      </c>
      <c r="E5751" s="528"/>
      <c r="F5751" s="528"/>
      <c r="G5751" s="528" t="s">
        <v>208</v>
      </c>
      <c r="H5751"/>
    </row>
    <row r="5752" spans="1:8" x14ac:dyDescent="0.35">
      <c r="A5752" s="528" t="s">
        <v>16533</v>
      </c>
      <c r="B5752" s="528" t="s">
        <v>16534</v>
      </c>
      <c r="C5752" s="528" t="s">
        <v>16535</v>
      </c>
      <c r="D5752" s="528" t="s">
        <v>277</v>
      </c>
      <c r="E5752" s="528"/>
      <c r="F5752" s="528"/>
      <c r="G5752" s="528" t="s">
        <v>208</v>
      </c>
      <c r="H5752"/>
    </row>
    <row r="5753" spans="1:8" x14ac:dyDescent="0.35">
      <c r="A5753" s="528" t="s">
        <v>16536</v>
      </c>
      <c r="B5753" s="528" t="s">
        <v>16537</v>
      </c>
      <c r="C5753" s="528" t="s">
        <v>16538</v>
      </c>
      <c r="D5753" s="528" t="s">
        <v>277</v>
      </c>
      <c r="E5753" s="528"/>
      <c r="F5753" s="528"/>
      <c r="G5753" s="528" t="s">
        <v>212</v>
      </c>
      <c r="H5753"/>
    </row>
    <row r="5754" spans="1:8" x14ac:dyDescent="0.35">
      <c r="A5754" s="528" t="s">
        <v>16539</v>
      </c>
      <c r="B5754" s="528" t="s">
        <v>16540</v>
      </c>
      <c r="C5754" s="528" t="s">
        <v>16541</v>
      </c>
      <c r="D5754" s="528" t="s">
        <v>277</v>
      </c>
      <c r="E5754" s="528"/>
      <c r="F5754" s="528"/>
      <c r="G5754" s="528" t="s">
        <v>212</v>
      </c>
      <c r="H5754"/>
    </row>
    <row r="5755" spans="1:8" x14ac:dyDescent="0.35">
      <c r="A5755" s="528" t="s">
        <v>16542</v>
      </c>
      <c r="B5755" s="528" t="s">
        <v>16543</v>
      </c>
      <c r="C5755" s="528" t="s">
        <v>16544</v>
      </c>
      <c r="D5755" s="528" t="s">
        <v>264</v>
      </c>
      <c r="E5755" s="528"/>
      <c r="F5755" s="528"/>
      <c r="G5755" s="528" t="s">
        <v>205</v>
      </c>
      <c r="H5755"/>
    </row>
    <row r="5756" spans="1:8" x14ac:dyDescent="0.35">
      <c r="A5756" s="528" t="s">
        <v>16545</v>
      </c>
      <c r="B5756" s="528" t="s">
        <v>16546</v>
      </c>
      <c r="C5756" s="528" t="s">
        <v>16547</v>
      </c>
      <c r="D5756" s="528" t="s">
        <v>277</v>
      </c>
      <c r="E5756" s="528"/>
      <c r="F5756" s="528"/>
      <c r="G5756" s="528" t="s">
        <v>205</v>
      </c>
      <c r="H5756"/>
    </row>
    <row r="5757" spans="1:8" x14ac:dyDescent="0.35">
      <c r="A5757" s="528" t="s">
        <v>16548</v>
      </c>
      <c r="B5757" s="528" t="s">
        <v>16549</v>
      </c>
      <c r="C5757" s="528" t="s">
        <v>16550</v>
      </c>
      <c r="D5757" s="528" t="s">
        <v>225</v>
      </c>
      <c r="E5757" s="528"/>
      <c r="F5757" s="528"/>
      <c r="G5757" s="528" t="s">
        <v>208</v>
      </c>
      <c r="H5757"/>
    </row>
    <row r="5758" spans="1:8" x14ac:dyDescent="0.35">
      <c r="A5758" s="528" t="s">
        <v>16551</v>
      </c>
      <c r="B5758" s="528" t="s">
        <v>16552</v>
      </c>
      <c r="C5758" s="528" t="s">
        <v>16553</v>
      </c>
      <c r="D5758" s="528" t="s">
        <v>277</v>
      </c>
      <c r="E5758" s="528"/>
      <c r="F5758" s="528"/>
      <c r="G5758" s="528" t="s">
        <v>205</v>
      </c>
      <c r="H5758"/>
    </row>
    <row r="5759" spans="1:8" x14ac:dyDescent="0.35">
      <c r="A5759" s="528" t="s">
        <v>16554</v>
      </c>
      <c r="B5759" s="528" t="s">
        <v>16555</v>
      </c>
      <c r="C5759" s="528" t="s">
        <v>16556</v>
      </c>
      <c r="D5759" s="528" t="s">
        <v>277</v>
      </c>
      <c r="E5759" s="528"/>
      <c r="F5759" s="528"/>
      <c r="G5759" s="528" t="s">
        <v>208</v>
      </c>
      <c r="H5759"/>
    </row>
    <row r="5760" spans="1:8" x14ac:dyDescent="0.35">
      <c r="A5760" s="528" t="s">
        <v>16557</v>
      </c>
      <c r="B5760" s="528" t="s">
        <v>16558</v>
      </c>
      <c r="C5760" s="528" t="s">
        <v>16559</v>
      </c>
      <c r="D5760" s="528" t="s">
        <v>277</v>
      </c>
      <c r="E5760" s="528"/>
      <c r="F5760" s="528"/>
      <c r="G5760" s="528" t="s">
        <v>205</v>
      </c>
      <c r="H5760"/>
    </row>
    <row r="5761" spans="1:8" x14ac:dyDescent="0.35">
      <c r="A5761" s="528" t="s">
        <v>16560</v>
      </c>
      <c r="B5761" s="528" t="s">
        <v>16561</v>
      </c>
      <c r="C5761" s="528" t="s">
        <v>16562</v>
      </c>
      <c r="D5761" s="528" t="s">
        <v>277</v>
      </c>
      <c r="E5761" s="528"/>
      <c r="F5761" s="528"/>
      <c r="G5761" s="528" t="s">
        <v>205</v>
      </c>
      <c r="H5761"/>
    </row>
    <row r="5762" spans="1:8" x14ac:dyDescent="0.35">
      <c r="A5762" s="528" t="s">
        <v>16563</v>
      </c>
      <c r="B5762" s="528" t="s">
        <v>16564</v>
      </c>
      <c r="C5762" s="528" t="s">
        <v>16565</v>
      </c>
      <c r="D5762" s="528" t="s">
        <v>277</v>
      </c>
      <c r="E5762" s="528"/>
      <c r="F5762" s="528"/>
      <c r="G5762" s="528" t="s">
        <v>208</v>
      </c>
      <c r="H5762"/>
    </row>
    <row r="5763" spans="1:8" x14ac:dyDescent="0.35">
      <c r="A5763" s="528" t="s">
        <v>16566</v>
      </c>
      <c r="B5763" s="528" t="s">
        <v>16567</v>
      </c>
      <c r="C5763" s="528" t="s">
        <v>16568</v>
      </c>
      <c r="D5763" s="528" t="s">
        <v>264</v>
      </c>
      <c r="E5763" s="528"/>
      <c r="F5763" s="528"/>
      <c r="G5763" s="528" t="s">
        <v>208</v>
      </c>
      <c r="H5763"/>
    </row>
    <row r="5764" spans="1:8" x14ac:dyDescent="0.35">
      <c r="A5764" s="528" t="s">
        <v>16569</v>
      </c>
      <c r="B5764" s="528" t="s">
        <v>16570</v>
      </c>
      <c r="C5764" s="528" t="s">
        <v>16571</v>
      </c>
      <c r="D5764" s="528" t="s">
        <v>238</v>
      </c>
      <c r="E5764" s="528"/>
      <c r="F5764" s="528"/>
      <c r="G5764" s="528" t="s">
        <v>208</v>
      </c>
      <c r="H5764"/>
    </row>
    <row r="5765" spans="1:8" x14ac:dyDescent="0.35">
      <c r="A5765" s="528" t="s">
        <v>16572</v>
      </c>
      <c r="B5765" s="528" t="s">
        <v>16573</v>
      </c>
      <c r="C5765" s="528" t="s">
        <v>16574</v>
      </c>
      <c r="D5765" s="528" t="s">
        <v>238</v>
      </c>
      <c r="E5765" s="528"/>
      <c r="F5765" s="528"/>
      <c r="G5765" s="528" t="s">
        <v>208</v>
      </c>
      <c r="H5765"/>
    </row>
    <row r="5766" spans="1:8" x14ac:dyDescent="0.35">
      <c r="A5766" s="528" t="s">
        <v>16575</v>
      </c>
      <c r="B5766" s="528" t="s">
        <v>16576</v>
      </c>
      <c r="C5766" s="528" t="s">
        <v>16577</v>
      </c>
      <c r="D5766" s="528" t="s">
        <v>264</v>
      </c>
      <c r="E5766" s="528"/>
      <c r="F5766" s="528"/>
      <c r="G5766" s="528" t="s">
        <v>208</v>
      </c>
      <c r="H5766"/>
    </row>
    <row r="5767" spans="1:8" x14ac:dyDescent="0.35">
      <c r="A5767" s="528" t="s">
        <v>16578</v>
      </c>
      <c r="B5767" s="528" t="s">
        <v>16579</v>
      </c>
      <c r="C5767" s="528" t="s">
        <v>16580</v>
      </c>
      <c r="D5767" s="528" t="s">
        <v>264</v>
      </c>
      <c r="E5767" s="528"/>
      <c r="F5767" s="528"/>
      <c r="G5767" s="528" t="s">
        <v>208</v>
      </c>
      <c r="H5767"/>
    </row>
    <row r="5768" spans="1:8" x14ac:dyDescent="0.35">
      <c r="A5768" s="528" t="s">
        <v>16581</v>
      </c>
      <c r="B5768" s="528" t="s">
        <v>16582</v>
      </c>
      <c r="C5768" s="528" t="s">
        <v>16583</v>
      </c>
      <c r="D5768" s="528" t="s">
        <v>264</v>
      </c>
      <c r="E5768" s="528"/>
      <c r="F5768" s="528"/>
      <c r="G5768" s="528" t="s">
        <v>208</v>
      </c>
      <c r="H5768"/>
    </row>
    <row r="5769" spans="1:8" x14ac:dyDescent="0.35">
      <c r="A5769" s="528" t="s">
        <v>16584</v>
      </c>
      <c r="B5769" s="528" t="s">
        <v>16585</v>
      </c>
      <c r="C5769" s="528" t="s">
        <v>16586</v>
      </c>
      <c r="D5769" s="528" t="s">
        <v>264</v>
      </c>
      <c r="E5769" s="528"/>
      <c r="F5769" s="528"/>
      <c r="G5769" s="528" t="s">
        <v>205</v>
      </c>
      <c r="H5769"/>
    </row>
    <row r="5770" spans="1:8" x14ac:dyDescent="0.35">
      <c r="A5770" s="528" t="s">
        <v>16587</v>
      </c>
      <c r="B5770" s="528" t="s">
        <v>16588</v>
      </c>
      <c r="C5770" s="528" t="s">
        <v>16589</v>
      </c>
      <c r="D5770" s="528" t="s">
        <v>264</v>
      </c>
      <c r="E5770" s="528"/>
      <c r="F5770" s="528"/>
      <c r="G5770" s="528" t="s">
        <v>205</v>
      </c>
      <c r="H5770"/>
    </row>
    <row r="5771" spans="1:8" x14ac:dyDescent="0.35">
      <c r="A5771" s="528" t="s">
        <v>16590</v>
      </c>
      <c r="B5771" s="528" t="s">
        <v>16591</v>
      </c>
      <c r="C5771" s="528" t="s">
        <v>16592</v>
      </c>
      <c r="D5771" s="528" t="s">
        <v>264</v>
      </c>
      <c r="E5771" s="528"/>
      <c r="F5771" s="528"/>
      <c r="G5771" s="528" t="s">
        <v>205</v>
      </c>
      <c r="H5771"/>
    </row>
    <row r="5772" spans="1:8" x14ac:dyDescent="0.35">
      <c r="A5772" s="528" t="s">
        <v>16593</v>
      </c>
      <c r="B5772" s="528" t="s">
        <v>16594</v>
      </c>
      <c r="C5772" s="528" t="s">
        <v>16595</v>
      </c>
      <c r="D5772" s="528" t="s">
        <v>225</v>
      </c>
      <c r="E5772" s="528"/>
      <c r="F5772" s="528"/>
      <c r="G5772" s="528" t="s">
        <v>208</v>
      </c>
      <c r="H5772"/>
    </row>
    <row r="5773" spans="1:8" x14ac:dyDescent="0.35">
      <c r="A5773" s="528" t="s">
        <v>16596</v>
      </c>
      <c r="B5773" s="528" t="s">
        <v>16597</v>
      </c>
      <c r="C5773" s="528" t="s">
        <v>16598</v>
      </c>
      <c r="D5773" s="528" t="s">
        <v>225</v>
      </c>
      <c r="E5773" s="528"/>
      <c r="F5773" s="528"/>
      <c r="G5773" s="528" t="s">
        <v>208</v>
      </c>
      <c r="H5773"/>
    </row>
    <row r="5774" spans="1:8" x14ac:dyDescent="0.35">
      <c r="A5774" s="528" t="s">
        <v>16599</v>
      </c>
      <c r="B5774" s="528" t="s">
        <v>16600</v>
      </c>
      <c r="C5774" s="528" t="s">
        <v>16601</v>
      </c>
      <c r="D5774" s="528" t="s">
        <v>225</v>
      </c>
      <c r="E5774" s="528"/>
      <c r="F5774" s="528"/>
      <c r="G5774" s="528" t="s">
        <v>208</v>
      </c>
      <c r="H5774"/>
    </row>
    <row r="5775" spans="1:8" x14ac:dyDescent="0.35">
      <c r="A5775" s="528" t="s">
        <v>16602</v>
      </c>
      <c r="B5775" s="528" t="s">
        <v>16603</v>
      </c>
      <c r="C5775" s="528" t="s">
        <v>16604</v>
      </c>
      <c r="D5775" s="528" t="s">
        <v>225</v>
      </c>
      <c r="E5775" s="528"/>
      <c r="F5775" s="528"/>
      <c r="G5775" s="528" t="s">
        <v>208</v>
      </c>
      <c r="H5775"/>
    </row>
    <row r="5776" spans="1:8" x14ac:dyDescent="0.35">
      <c r="A5776" s="528" t="s">
        <v>16605</v>
      </c>
      <c r="B5776" s="528" t="s">
        <v>16606</v>
      </c>
      <c r="C5776" s="528" t="s">
        <v>16607</v>
      </c>
      <c r="D5776" s="528" t="s">
        <v>225</v>
      </c>
      <c r="E5776" s="528"/>
      <c r="F5776" s="528"/>
      <c r="G5776" s="528" t="s">
        <v>208</v>
      </c>
      <c r="H5776"/>
    </row>
    <row r="5777" spans="1:8" x14ac:dyDescent="0.35">
      <c r="A5777" s="528" t="s">
        <v>16608</v>
      </c>
      <c r="B5777" s="528" t="s">
        <v>16609</v>
      </c>
      <c r="C5777" s="528" t="s">
        <v>16610</v>
      </c>
      <c r="D5777" s="528" t="s">
        <v>264</v>
      </c>
      <c r="E5777" s="528"/>
      <c r="F5777" s="528"/>
      <c r="G5777" s="528" t="s">
        <v>212</v>
      </c>
      <c r="H5777"/>
    </row>
    <row r="5778" spans="1:8" x14ac:dyDescent="0.35">
      <c r="A5778" s="528" t="s">
        <v>16611</v>
      </c>
      <c r="B5778" s="528" t="s">
        <v>16612</v>
      </c>
      <c r="C5778" s="528" t="s">
        <v>16613</v>
      </c>
      <c r="D5778" s="528" t="s">
        <v>264</v>
      </c>
      <c r="E5778" s="528"/>
      <c r="F5778" s="528"/>
      <c r="G5778" s="528" t="s">
        <v>212</v>
      </c>
      <c r="H5778"/>
    </row>
    <row r="5779" spans="1:8" x14ac:dyDescent="0.35">
      <c r="A5779" s="528" t="s">
        <v>16614</v>
      </c>
      <c r="B5779" s="528" t="s">
        <v>16615</v>
      </c>
      <c r="C5779" s="528" t="s">
        <v>16616</v>
      </c>
      <c r="D5779" s="528" t="s">
        <v>264</v>
      </c>
      <c r="E5779" s="528"/>
      <c r="F5779" s="528"/>
      <c r="G5779" s="528" t="s">
        <v>212</v>
      </c>
      <c r="H5779"/>
    </row>
    <row r="5780" spans="1:8" x14ac:dyDescent="0.35">
      <c r="A5780" s="528" t="s">
        <v>16617</v>
      </c>
      <c r="B5780" s="528" t="s">
        <v>16618</v>
      </c>
      <c r="C5780" s="528" t="s">
        <v>16610</v>
      </c>
      <c r="D5780" s="528" t="s">
        <v>225</v>
      </c>
      <c r="E5780" s="528"/>
      <c r="F5780" s="528"/>
      <c r="G5780" s="528" t="s">
        <v>212</v>
      </c>
      <c r="H5780"/>
    </row>
    <row r="5781" spans="1:8" x14ac:dyDescent="0.35">
      <c r="A5781" s="528" t="s">
        <v>16619</v>
      </c>
      <c r="B5781" s="528" t="s">
        <v>16620</v>
      </c>
      <c r="C5781" s="528" t="s">
        <v>16621</v>
      </c>
      <c r="D5781" s="528" t="s">
        <v>264</v>
      </c>
      <c r="E5781" s="528"/>
      <c r="F5781" s="528"/>
      <c r="G5781" s="528" t="s">
        <v>212</v>
      </c>
      <c r="H5781"/>
    </row>
    <row r="5782" spans="1:8" x14ac:dyDescent="0.35">
      <c r="A5782" s="528" t="s">
        <v>16622</v>
      </c>
      <c r="B5782" s="528" t="s">
        <v>16623</v>
      </c>
      <c r="C5782" s="528" t="s">
        <v>16624</v>
      </c>
      <c r="D5782" s="528" t="s">
        <v>277</v>
      </c>
      <c r="E5782" s="528"/>
      <c r="F5782" s="528"/>
      <c r="G5782" s="528" t="s">
        <v>212</v>
      </c>
      <c r="H5782"/>
    </row>
    <row r="5783" spans="1:8" x14ac:dyDescent="0.35">
      <c r="A5783" s="528" t="s">
        <v>16625</v>
      </c>
      <c r="B5783" s="528" t="s">
        <v>16626</v>
      </c>
      <c r="C5783" s="528" t="s">
        <v>16627</v>
      </c>
      <c r="D5783" s="528" t="s">
        <v>238</v>
      </c>
      <c r="E5783" s="528"/>
      <c r="F5783" s="528"/>
      <c r="G5783" s="528" t="s">
        <v>208</v>
      </c>
      <c r="H5783"/>
    </row>
    <row r="5784" spans="1:8" x14ac:dyDescent="0.35">
      <c r="A5784" s="528" t="s">
        <v>16628</v>
      </c>
      <c r="B5784" s="528" t="s">
        <v>16629</v>
      </c>
      <c r="C5784" s="528" t="s">
        <v>16630</v>
      </c>
      <c r="D5784" s="528" t="s">
        <v>264</v>
      </c>
      <c r="E5784" s="528"/>
      <c r="F5784" s="528"/>
      <c r="G5784" s="528" t="s">
        <v>208</v>
      </c>
      <c r="H5784"/>
    </row>
    <row r="5785" spans="1:8" x14ac:dyDescent="0.35">
      <c r="A5785" s="528" t="s">
        <v>16631</v>
      </c>
      <c r="B5785" s="528" t="s">
        <v>16632</v>
      </c>
      <c r="C5785" s="528" t="s">
        <v>16633</v>
      </c>
      <c r="D5785" s="528" t="s">
        <v>251</v>
      </c>
      <c r="E5785" s="528"/>
      <c r="F5785" s="528"/>
      <c r="G5785" s="528" t="s">
        <v>205</v>
      </c>
      <c r="H5785"/>
    </row>
    <row r="5786" spans="1:8" x14ac:dyDescent="0.35">
      <c r="A5786" s="528" t="s">
        <v>16634</v>
      </c>
      <c r="B5786" s="528" t="s">
        <v>16635</v>
      </c>
      <c r="C5786" s="528" t="s">
        <v>16636</v>
      </c>
      <c r="D5786" s="528" t="s">
        <v>251</v>
      </c>
      <c r="E5786" s="528"/>
      <c r="F5786" s="528"/>
      <c r="G5786" s="528" t="s">
        <v>208</v>
      </c>
      <c r="H5786"/>
    </row>
    <row r="5787" spans="1:8" x14ac:dyDescent="0.35">
      <c r="A5787" s="528" t="s">
        <v>16637</v>
      </c>
      <c r="B5787" s="528" t="s">
        <v>16638</v>
      </c>
      <c r="C5787" s="528" t="s">
        <v>16639</v>
      </c>
      <c r="D5787" s="528" t="s">
        <v>251</v>
      </c>
      <c r="E5787" s="528"/>
      <c r="F5787" s="528"/>
      <c r="G5787" s="528" t="s">
        <v>208</v>
      </c>
      <c r="H5787"/>
    </row>
    <row r="5788" spans="1:8" x14ac:dyDescent="0.35">
      <c r="A5788" s="528" t="s">
        <v>16640</v>
      </c>
      <c r="B5788" s="528" t="s">
        <v>16641</v>
      </c>
      <c r="C5788" s="528" t="s">
        <v>16642</v>
      </c>
      <c r="D5788" s="528" t="s">
        <v>251</v>
      </c>
      <c r="E5788" s="528"/>
      <c r="F5788" s="528"/>
      <c r="G5788" s="528" t="s">
        <v>208</v>
      </c>
      <c r="H5788"/>
    </row>
    <row r="5789" spans="1:8" x14ac:dyDescent="0.35">
      <c r="A5789" s="528" t="s">
        <v>16643</v>
      </c>
      <c r="B5789" s="528" t="s">
        <v>16644</v>
      </c>
      <c r="C5789" s="528" t="s">
        <v>16645</v>
      </c>
      <c r="D5789" s="528" t="s">
        <v>277</v>
      </c>
      <c r="E5789" s="528"/>
      <c r="F5789" s="528"/>
      <c r="G5789" s="528" t="s">
        <v>208</v>
      </c>
      <c r="H5789"/>
    </row>
    <row r="5790" spans="1:8" x14ac:dyDescent="0.35">
      <c r="A5790" s="528" t="s">
        <v>16646</v>
      </c>
      <c r="B5790" s="528" t="s">
        <v>16647</v>
      </c>
      <c r="C5790" s="528" t="s">
        <v>16648</v>
      </c>
      <c r="D5790" s="528" t="s">
        <v>238</v>
      </c>
      <c r="E5790" s="528"/>
      <c r="F5790" s="528"/>
      <c r="G5790" s="528" t="s">
        <v>208</v>
      </c>
      <c r="H5790"/>
    </row>
    <row r="5791" spans="1:8" x14ac:dyDescent="0.35">
      <c r="A5791" s="528" t="s">
        <v>16649</v>
      </c>
      <c r="B5791" s="528" t="s">
        <v>16650</v>
      </c>
      <c r="C5791" s="528" t="s">
        <v>16651</v>
      </c>
      <c r="D5791" s="528" t="s">
        <v>238</v>
      </c>
      <c r="E5791" s="528"/>
      <c r="F5791" s="528"/>
      <c r="G5791" s="528" t="s">
        <v>208</v>
      </c>
      <c r="H5791"/>
    </row>
    <row r="5792" spans="1:8" x14ac:dyDescent="0.35">
      <c r="A5792" s="528" t="s">
        <v>16652</v>
      </c>
      <c r="B5792" s="528" t="s">
        <v>16653</v>
      </c>
      <c r="C5792" s="528" t="s">
        <v>16654</v>
      </c>
      <c r="D5792" s="528" t="s">
        <v>225</v>
      </c>
      <c r="E5792" s="528"/>
      <c r="F5792" s="528"/>
      <c r="G5792" s="528" t="s">
        <v>208</v>
      </c>
      <c r="H5792"/>
    </row>
    <row r="5793" spans="1:8" x14ac:dyDescent="0.35">
      <c r="A5793" s="528" t="s">
        <v>16655</v>
      </c>
      <c r="B5793" s="528" t="s">
        <v>16656</v>
      </c>
      <c r="C5793" s="528" t="s">
        <v>16657</v>
      </c>
      <c r="D5793" s="528" t="s">
        <v>264</v>
      </c>
      <c r="E5793" s="528"/>
      <c r="F5793" s="528"/>
      <c r="G5793" s="528" t="s">
        <v>210</v>
      </c>
      <c r="H5793"/>
    </row>
    <row r="5794" spans="1:8" x14ac:dyDescent="0.35">
      <c r="A5794" s="528" t="s">
        <v>16658</v>
      </c>
      <c r="B5794" s="528" t="s">
        <v>16659</v>
      </c>
      <c r="C5794" s="528" t="s">
        <v>16660</v>
      </c>
      <c r="D5794" s="528" t="s">
        <v>238</v>
      </c>
      <c r="E5794" s="528"/>
      <c r="F5794" s="528"/>
      <c r="G5794" s="528" t="s">
        <v>208</v>
      </c>
      <c r="H5794"/>
    </row>
    <row r="5795" spans="1:8" x14ac:dyDescent="0.35">
      <c r="A5795" s="528" t="s">
        <v>16661</v>
      </c>
      <c r="B5795" s="528" t="s">
        <v>16662</v>
      </c>
      <c r="C5795" s="528" t="s">
        <v>16663</v>
      </c>
      <c r="D5795" s="528" t="s">
        <v>251</v>
      </c>
      <c r="E5795" s="528"/>
      <c r="F5795" s="528"/>
      <c r="G5795" s="528" t="s">
        <v>208</v>
      </c>
      <c r="H5795"/>
    </row>
    <row r="5796" spans="1:8" x14ac:dyDescent="0.35">
      <c r="A5796" s="528" t="s">
        <v>16664</v>
      </c>
      <c r="B5796" s="528" t="s">
        <v>16665</v>
      </c>
      <c r="C5796" s="528" t="s">
        <v>16666</v>
      </c>
      <c r="D5796" s="528" t="s">
        <v>277</v>
      </c>
      <c r="E5796" s="528"/>
      <c r="F5796" s="528"/>
      <c r="G5796" s="528" t="s">
        <v>208</v>
      </c>
      <c r="H5796"/>
    </row>
    <row r="5797" spans="1:8" x14ac:dyDescent="0.35">
      <c r="A5797" s="528" t="s">
        <v>16667</v>
      </c>
      <c r="B5797" s="528" t="s">
        <v>16668</v>
      </c>
      <c r="C5797" s="528" t="s">
        <v>16669</v>
      </c>
      <c r="D5797" s="528" t="s">
        <v>238</v>
      </c>
      <c r="E5797" s="528"/>
      <c r="F5797" s="528"/>
      <c r="G5797" s="528" t="s">
        <v>208</v>
      </c>
      <c r="H5797"/>
    </row>
    <row r="5798" spans="1:8" x14ac:dyDescent="0.35">
      <c r="A5798" s="528" t="s">
        <v>16670</v>
      </c>
      <c r="B5798" s="528" t="s">
        <v>16671</v>
      </c>
      <c r="C5798" s="528" t="s">
        <v>16672</v>
      </c>
      <c r="D5798" s="528" t="s">
        <v>238</v>
      </c>
      <c r="E5798" s="528"/>
      <c r="F5798" s="528"/>
      <c r="G5798" s="528" t="s">
        <v>208</v>
      </c>
      <c r="H5798"/>
    </row>
    <row r="5799" spans="1:8" x14ac:dyDescent="0.35">
      <c r="A5799" s="528" t="s">
        <v>16673</v>
      </c>
      <c r="B5799" s="528" t="s">
        <v>16674</v>
      </c>
      <c r="C5799" s="528" t="s">
        <v>16675</v>
      </c>
      <c r="D5799" s="528" t="s">
        <v>238</v>
      </c>
      <c r="E5799" s="528"/>
      <c r="F5799" s="528"/>
      <c r="G5799" s="528" t="s">
        <v>208</v>
      </c>
      <c r="H5799"/>
    </row>
    <row r="5800" spans="1:8" x14ac:dyDescent="0.35">
      <c r="A5800" s="528" t="s">
        <v>16676</v>
      </c>
      <c r="B5800" s="528" t="s">
        <v>16677</v>
      </c>
      <c r="C5800" s="528" t="s">
        <v>16678</v>
      </c>
      <c r="D5800" s="528" t="s">
        <v>238</v>
      </c>
      <c r="E5800" s="528"/>
      <c r="F5800" s="528"/>
      <c r="G5800" s="528" t="s">
        <v>208</v>
      </c>
      <c r="H5800"/>
    </row>
    <row r="5801" spans="1:8" x14ac:dyDescent="0.35">
      <c r="A5801" s="528" t="s">
        <v>16679</v>
      </c>
      <c r="B5801" s="528" t="s">
        <v>16680</v>
      </c>
      <c r="C5801" s="528" t="s">
        <v>16681</v>
      </c>
      <c r="D5801" s="528" t="s">
        <v>225</v>
      </c>
      <c r="E5801" s="528"/>
      <c r="F5801" s="528"/>
      <c r="G5801" s="528" t="s">
        <v>212</v>
      </c>
      <c r="H5801"/>
    </row>
    <row r="5802" spans="1:8" x14ac:dyDescent="0.35">
      <c r="A5802" s="528" t="s">
        <v>16682</v>
      </c>
      <c r="B5802" s="528" t="s">
        <v>16683</v>
      </c>
      <c r="C5802" s="528" t="s">
        <v>16684</v>
      </c>
      <c r="D5802" s="528" t="s">
        <v>225</v>
      </c>
      <c r="E5802" s="528"/>
      <c r="F5802" s="528"/>
      <c r="G5802" s="528" t="s">
        <v>212</v>
      </c>
      <c r="H5802"/>
    </row>
    <row r="5803" spans="1:8" x14ac:dyDescent="0.35">
      <c r="A5803" s="528" t="s">
        <v>16685</v>
      </c>
      <c r="B5803" s="528" t="s">
        <v>16686</v>
      </c>
      <c r="C5803" s="528" t="s">
        <v>16687</v>
      </c>
      <c r="D5803" s="528" t="s">
        <v>225</v>
      </c>
      <c r="E5803" s="528"/>
      <c r="F5803" s="528"/>
      <c r="G5803" s="528" t="s">
        <v>212</v>
      </c>
      <c r="H5803"/>
    </row>
    <row r="5804" spans="1:8" x14ac:dyDescent="0.35">
      <c r="A5804" s="528" t="s">
        <v>16688</v>
      </c>
      <c r="B5804" s="528" t="s">
        <v>16689</v>
      </c>
      <c r="C5804" s="528" t="s">
        <v>16690</v>
      </c>
      <c r="D5804" s="528" t="s">
        <v>264</v>
      </c>
      <c r="E5804" s="528"/>
      <c r="F5804" s="528"/>
      <c r="G5804" s="528" t="s">
        <v>208</v>
      </c>
      <c r="H5804"/>
    </row>
    <row r="5805" spans="1:8" x14ac:dyDescent="0.35">
      <c r="A5805" s="528" t="s">
        <v>16691</v>
      </c>
      <c r="B5805" s="528" t="s">
        <v>16692</v>
      </c>
      <c r="C5805" s="528" t="s">
        <v>16693</v>
      </c>
      <c r="D5805" s="528" t="s">
        <v>264</v>
      </c>
      <c r="E5805" s="528"/>
      <c r="F5805" s="528"/>
      <c r="G5805" s="528" t="s">
        <v>208</v>
      </c>
      <c r="H5805"/>
    </row>
    <row r="5806" spans="1:8" x14ac:dyDescent="0.35">
      <c r="A5806" s="528" t="s">
        <v>16694</v>
      </c>
      <c r="B5806" s="528" t="s">
        <v>16695</v>
      </c>
      <c r="C5806" s="528" t="s">
        <v>16696</v>
      </c>
      <c r="D5806" s="528" t="s">
        <v>225</v>
      </c>
      <c r="E5806" s="528"/>
      <c r="F5806" s="528"/>
      <c r="G5806" s="528" t="s">
        <v>208</v>
      </c>
      <c r="H5806"/>
    </row>
    <row r="5807" spans="1:8" x14ac:dyDescent="0.35">
      <c r="A5807" s="528" t="s">
        <v>16697</v>
      </c>
      <c r="B5807" s="528" t="s">
        <v>16698</v>
      </c>
      <c r="C5807" s="528" t="s">
        <v>16699</v>
      </c>
      <c r="D5807" s="528" t="s">
        <v>225</v>
      </c>
      <c r="E5807" s="528"/>
      <c r="F5807" s="528"/>
      <c r="G5807" s="528" t="s">
        <v>205</v>
      </c>
      <c r="H5807"/>
    </row>
    <row r="5808" spans="1:8" x14ac:dyDescent="0.35">
      <c r="A5808" s="528" t="s">
        <v>16700</v>
      </c>
      <c r="B5808" s="528" t="s">
        <v>16701</v>
      </c>
      <c r="C5808" s="528" t="s">
        <v>16702</v>
      </c>
      <c r="D5808" s="528" t="s">
        <v>277</v>
      </c>
      <c r="E5808" s="528"/>
      <c r="F5808" s="528"/>
      <c r="G5808" s="528" t="s">
        <v>208</v>
      </c>
      <c r="H5808"/>
    </row>
    <row r="5809" spans="1:8" x14ac:dyDescent="0.35">
      <c r="A5809" s="528" t="s">
        <v>16703</v>
      </c>
      <c r="B5809" s="528" t="s">
        <v>16704</v>
      </c>
      <c r="C5809" s="528" t="s">
        <v>16705</v>
      </c>
      <c r="D5809" s="528" t="s">
        <v>225</v>
      </c>
      <c r="E5809" s="528"/>
      <c r="F5809" s="528"/>
      <c r="G5809" s="528" t="s">
        <v>208</v>
      </c>
      <c r="H5809"/>
    </row>
    <row r="5810" spans="1:8" x14ac:dyDescent="0.35">
      <c r="A5810" s="528" t="s">
        <v>16706</v>
      </c>
      <c r="B5810" s="528" t="s">
        <v>16707</v>
      </c>
      <c r="C5810" s="528" t="s">
        <v>16708</v>
      </c>
      <c r="D5810" s="528" t="s">
        <v>264</v>
      </c>
      <c r="E5810" s="528"/>
      <c r="F5810" s="528"/>
      <c r="G5810" s="528" t="s">
        <v>208</v>
      </c>
      <c r="H5810"/>
    </row>
    <row r="5811" spans="1:8" x14ac:dyDescent="0.35">
      <c r="A5811" s="528" t="s">
        <v>16709</v>
      </c>
      <c r="B5811" s="528" t="s">
        <v>16710</v>
      </c>
      <c r="C5811" s="528" t="s">
        <v>16711</v>
      </c>
      <c r="D5811" s="528" t="s">
        <v>264</v>
      </c>
      <c r="E5811" s="528"/>
      <c r="F5811" s="528"/>
      <c r="G5811" s="528" t="s">
        <v>205</v>
      </c>
      <c r="H5811"/>
    </row>
    <row r="5812" spans="1:8" x14ac:dyDescent="0.35">
      <c r="A5812" s="528" t="s">
        <v>16712</v>
      </c>
      <c r="B5812" s="528" t="s">
        <v>16713</v>
      </c>
      <c r="C5812" s="528" t="s">
        <v>16714</v>
      </c>
      <c r="D5812" s="528" t="s">
        <v>264</v>
      </c>
      <c r="E5812" s="528"/>
      <c r="F5812" s="528"/>
      <c r="G5812" s="528" t="s">
        <v>205</v>
      </c>
      <c r="H5812"/>
    </row>
    <row r="5813" spans="1:8" x14ac:dyDescent="0.35">
      <c r="A5813" s="528" t="s">
        <v>16715</v>
      </c>
      <c r="B5813" s="528" t="s">
        <v>16716</v>
      </c>
      <c r="C5813" s="528" t="s">
        <v>16717</v>
      </c>
      <c r="D5813" s="528" t="s">
        <v>264</v>
      </c>
      <c r="E5813" s="528"/>
      <c r="F5813" s="528"/>
      <c r="G5813" s="528" t="s">
        <v>205</v>
      </c>
      <c r="H5813"/>
    </row>
    <row r="5814" spans="1:8" x14ac:dyDescent="0.35">
      <c r="A5814" s="528" t="s">
        <v>16718</v>
      </c>
      <c r="B5814" s="528" t="s">
        <v>16719</v>
      </c>
      <c r="C5814" s="528" t="s">
        <v>16720</v>
      </c>
      <c r="D5814" s="528" t="s">
        <v>264</v>
      </c>
      <c r="E5814" s="528"/>
      <c r="F5814" s="528"/>
      <c r="G5814" s="528" t="s">
        <v>208</v>
      </c>
      <c r="H5814"/>
    </row>
    <row r="5815" spans="1:8" x14ac:dyDescent="0.35">
      <c r="A5815" s="528" t="s">
        <v>16721</v>
      </c>
      <c r="B5815" s="528" t="s">
        <v>16722</v>
      </c>
      <c r="C5815" s="528" t="s">
        <v>16723</v>
      </c>
      <c r="D5815" s="528" t="s">
        <v>225</v>
      </c>
      <c r="E5815" s="528"/>
      <c r="F5815" s="528"/>
      <c r="G5815" s="528" t="s">
        <v>205</v>
      </c>
      <c r="H5815"/>
    </row>
    <row r="5816" spans="1:8" x14ac:dyDescent="0.35">
      <c r="A5816" s="528" t="s">
        <v>16724</v>
      </c>
      <c r="B5816" s="528" t="s">
        <v>16725</v>
      </c>
      <c r="C5816" s="528" t="s">
        <v>16726</v>
      </c>
      <c r="D5816" s="528" t="s">
        <v>277</v>
      </c>
      <c r="E5816" s="528"/>
      <c r="F5816" s="528"/>
      <c r="G5816" s="528" t="s">
        <v>205</v>
      </c>
      <c r="H5816"/>
    </row>
    <row r="5817" spans="1:8" x14ac:dyDescent="0.35">
      <c r="A5817" s="528" t="s">
        <v>16727</v>
      </c>
      <c r="B5817" s="528" t="s">
        <v>16728</v>
      </c>
      <c r="C5817" s="528" t="s">
        <v>16729</v>
      </c>
      <c r="D5817" s="528" t="s">
        <v>264</v>
      </c>
      <c r="E5817" s="528"/>
      <c r="F5817" s="528"/>
      <c r="G5817" s="528" t="s">
        <v>205</v>
      </c>
      <c r="H5817"/>
    </row>
    <row r="5818" spans="1:8" x14ac:dyDescent="0.35">
      <c r="A5818" s="528" t="s">
        <v>16730</v>
      </c>
      <c r="B5818" s="528" t="s">
        <v>16731</v>
      </c>
      <c r="C5818" s="528" t="s">
        <v>16732</v>
      </c>
      <c r="D5818" s="528" t="s">
        <v>264</v>
      </c>
      <c r="E5818" s="528"/>
      <c r="F5818" s="528"/>
      <c r="G5818" s="528" t="s">
        <v>208</v>
      </c>
      <c r="H5818"/>
    </row>
    <row r="5819" spans="1:8" x14ac:dyDescent="0.35">
      <c r="A5819" s="528" t="s">
        <v>16733</v>
      </c>
      <c r="B5819" s="528" t="s">
        <v>16734</v>
      </c>
      <c r="C5819" s="528" t="s">
        <v>16735</v>
      </c>
      <c r="D5819" s="528" t="s">
        <v>225</v>
      </c>
      <c r="E5819" s="528"/>
      <c r="F5819" s="528"/>
      <c r="G5819" s="528" t="s">
        <v>208</v>
      </c>
      <c r="H5819"/>
    </row>
    <row r="5820" spans="1:8" x14ac:dyDescent="0.35">
      <c r="A5820" s="528" t="s">
        <v>16736</v>
      </c>
      <c r="B5820" s="528" t="s">
        <v>16737</v>
      </c>
      <c r="C5820" s="528" t="s">
        <v>16738</v>
      </c>
      <c r="D5820" s="528" t="s">
        <v>225</v>
      </c>
      <c r="E5820" s="528"/>
      <c r="F5820" s="528"/>
      <c r="G5820" s="528" t="s">
        <v>208</v>
      </c>
      <c r="H5820"/>
    </row>
    <row r="5821" spans="1:8" x14ac:dyDescent="0.35">
      <c r="A5821" s="528" t="s">
        <v>16739</v>
      </c>
      <c r="B5821" s="528" t="s">
        <v>16740</v>
      </c>
      <c r="C5821" s="528" t="s">
        <v>16741</v>
      </c>
      <c r="D5821" s="528" t="s">
        <v>225</v>
      </c>
      <c r="E5821" s="528"/>
      <c r="F5821" s="528"/>
      <c r="G5821" s="528" t="s">
        <v>208</v>
      </c>
      <c r="H5821"/>
    </row>
    <row r="5822" spans="1:8" x14ac:dyDescent="0.35">
      <c r="A5822" s="528" t="s">
        <v>16742</v>
      </c>
      <c r="B5822" s="528" t="s">
        <v>16743</v>
      </c>
      <c r="C5822" s="528" t="s">
        <v>16744</v>
      </c>
      <c r="D5822" s="528" t="s">
        <v>225</v>
      </c>
      <c r="E5822" s="528"/>
      <c r="F5822" s="528"/>
      <c r="G5822" s="528" t="s">
        <v>208</v>
      </c>
      <c r="H5822"/>
    </row>
    <row r="5823" spans="1:8" x14ac:dyDescent="0.35">
      <c r="A5823" s="528" t="s">
        <v>16745</v>
      </c>
      <c r="B5823" s="528" t="s">
        <v>16746</v>
      </c>
      <c r="C5823" s="528" t="s">
        <v>16747</v>
      </c>
      <c r="D5823" s="528" t="s">
        <v>264</v>
      </c>
      <c r="E5823" s="528"/>
      <c r="F5823" s="528"/>
      <c r="G5823" s="528" t="s">
        <v>205</v>
      </c>
      <c r="H5823"/>
    </row>
    <row r="5824" spans="1:8" x14ac:dyDescent="0.35">
      <c r="A5824" s="528" t="s">
        <v>16748</v>
      </c>
      <c r="B5824" s="528" t="s">
        <v>16749</v>
      </c>
      <c r="C5824" s="528" t="s">
        <v>16750</v>
      </c>
      <c r="D5824" s="528" t="s">
        <v>277</v>
      </c>
      <c r="E5824" s="528"/>
      <c r="F5824" s="528"/>
      <c r="G5824" s="528" t="s">
        <v>205</v>
      </c>
      <c r="H5824"/>
    </row>
    <row r="5825" spans="1:8" x14ac:dyDescent="0.35">
      <c r="A5825" s="528" t="s">
        <v>16751</v>
      </c>
      <c r="B5825" s="528" t="s">
        <v>16752</v>
      </c>
      <c r="C5825" s="528" t="s">
        <v>16753</v>
      </c>
      <c r="D5825" s="528" t="s">
        <v>251</v>
      </c>
      <c r="E5825" s="528"/>
      <c r="F5825" s="528"/>
      <c r="G5825" s="528" t="s">
        <v>205</v>
      </c>
      <c r="H5825"/>
    </row>
    <row r="5826" spans="1:8" x14ac:dyDescent="0.35">
      <c r="A5826" s="528" t="s">
        <v>16754</v>
      </c>
      <c r="B5826" s="528" t="s">
        <v>16755</v>
      </c>
      <c r="C5826" s="528" t="s">
        <v>16756</v>
      </c>
      <c r="D5826" s="528" t="s">
        <v>251</v>
      </c>
      <c r="E5826" s="528"/>
      <c r="F5826" s="528"/>
      <c r="G5826" s="528" t="s">
        <v>205</v>
      </c>
      <c r="H5826"/>
    </row>
    <row r="5827" spans="1:8" x14ac:dyDescent="0.35">
      <c r="A5827" s="528" t="s">
        <v>16757</v>
      </c>
      <c r="B5827" s="528" t="s">
        <v>16758</v>
      </c>
      <c r="C5827" s="528" t="s">
        <v>16759</v>
      </c>
      <c r="D5827" s="528" t="s">
        <v>225</v>
      </c>
      <c r="E5827" s="528"/>
      <c r="F5827" s="528"/>
      <c r="G5827" s="528" t="s">
        <v>205</v>
      </c>
      <c r="H5827"/>
    </row>
    <row r="5828" spans="1:8" x14ac:dyDescent="0.35">
      <c r="A5828" s="528" t="s">
        <v>16760</v>
      </c>
      <c r="B5828" s="528" t="s">
        <v>16761</v>
      </c>
      <c r="C5828" s="528" t="s">
        <v>16762</v>
      </c>
      <c r="D5828" s="528" t="s">
        <v>225</v>
      </c>
      <c r="E5828" s="528"/>
      <c r="F5828" s="528"/>
      <c r="G5828" s="528" t="s">
        <v>205</v>
      </c>
      <c r="H5828"/>
    </row>
    <row r="5829" spans="1:8" x14ac:dyDescent="0.35">
      <c r="A5829" s="528" t="s">
        <v>16763</v>
      </c>
      <c r="B5829" s="528" t="s">
        <v>16764</v>
      </c>
      <c r="C5829" s="528" t="s">
        <v>16696</v>
      </c>
      <c r="D5829" s="528" t="s">
        <v>225</v>
      </c>
      <c r="E5829" s="528"/>
      <c r="F5829" s="528"/>
      <c r="G5829" s="528" t="s">
        <v>208</v>
      </c>
      <c r="H5829"/>
    </row>
    <row r="5830" spans="1:8" x14ac:dyDescent="0.35">
      <c r="A5830" s="528" t="s">
        <v>16765</v>
      </c>
      <c r="B5830" s="528" t="s">
        <v>16766</v>
      </c>
      <c r="C5830" s="528" t="s">
        <v>16767</v>
      </c>
      <c r="D5830" s="528" t="s">
        <v>277</v>
      </c>
      <c r="E5830" s="528"/>
      <c r="F5830" s="528"/>
      <c r="G5830" s="528" t="s">
        <v>208</v>
      </c>
      <c r="H5830"/>
    </row>
    <row r="5831" spans="1:8" x14ac:dyDescent="0.35">
      <c r="A5831" s="528" t="s">
        <v>16768</v>
      </c>
      <c r="B5831" s="528" t="s">
        <v>16769</v>
      </c>
      <c r="C5831" s="528" t="s">
        <v>16770</v>
      </c>
      <c r="D5831" s="528" t="s">
        <v>264</v>
      </c>
      <c r="E5831" s="528"/>
      <c r="F5831" s="528"/>
      <c r="G5831" s="528" t="s">
        <v>208</v>
      </c>
      <c r="H5831"/>
    </row>
    <row r="5832" spans="1:8" x14ac:dyDescent="0.35">
      <c r="A5832" s="528" t="s">
        <v>16771</v>
      </c>
      <c r="B5832" s="528" t="s">
        <v>16772</v>
      </c>
      <c r="C5832" s="528" t="s">
        <v>16773</v>
      </c>
      <c r="D5832" s="528" t="s">
        <v>264</v>
      </c>
      <c r="E5832" s="528"/>
      <c r="F5832" s="528"/>
      <c r="G5832" s="528" t="s">
        <v>208</v>
      </c>
      <c r="H5832"/>
    </row>
    <row r="5833" spans="1:8" x14ac:dyDescent="0.35">
      <c r="A5833" s="528" t="s">
        <v>16774</v>
      </c>
      <c r="B5833" s="528" t="s">
        <v>16775</v>
      </c>
      <c r="C5833" s="528" t="s">
        <v>16776</v>
      </c>
      <c r="D5833" s="528" t="s">
        <v>277</v>
      </c>
      <c r="E5833" s="528"/>
      <c r="F5833" s="528"/>
      <c r="G5833" s="528" t="s">
        <v>208</v>
      </c>
      <c r="H5833"/>
    </row>
    <row r="5834" spans="1:8" x14ac:dyDescent="0.35">
      <c r="A5834" s="528" t="s">
        <v>16777</v>
      </c>
      <c r="B5834" s="528" t="s">
        <v>16778</v>
      </c>
      <c r="C5834" s="528" t="s">
        <v>16779</v>
      </c>
      <c r="D5834" s="528" t="s">
        <v>225</v>
      </c>
      <c r="E5834" s="528"/>
      <c r="F5834" s="528"/>
      <c r="G5834" s="528" t="s">
        <v>208</v>
      </c>
      <c r="H5834"/>
    </row>
    <row r="5835" spans="1:8" x14ac:dyDescent="0.35">
      <c r="A5835" s="528" t="s">
        <v>16780</v>
      </c>
      <c r="B5835" s="528" t="s">
        <v>16781</v>
      </c>
      <c r="C5835" s="528" t="s">
        <v>16782</v>
      </c>
      <c r="D5835" s="528" t="s">
        <v>225</v>
      </c>
      <c r="E5835" s="528"/>
      <c r="F5835" s="528"/>
      <c r="G5835" s="528" t="s">
        <v>205</v>
      </c>
      <c r="H5835"/>
    </row>
    <row r="5836" spans="1:8" x14ac:dyDescent="0.35">
      <c r="A5836" s="528" t="s">
        <v>16783</v>
      </c>
      <c r="B5836" s="528" t="s">
        <v>16784</v>
      </c>
      <c r="C5836" s="528" t="s">
        <v>16785</v>
      </c>
      <c r="D5836" s="528" t="s">
        <v>264</v>
      </c>
      <c r="E5836" s="528"/>
      <c r="F5836" s="528"/>
      <c r="G5836" s="528" t="s">
        <v>208</v>
      </c>
      <c r="H5836"/>
    </row>
    <row r="5837" spans="1:8" x14ac:dyDescent="0.35">
      <c r="A5837" s="528" t="s">
        <v>16786</v>
      </c>
      <c r="B5837" s="528" t="s">
        <v>16787</v>
      </c>
      <c r="C5837" s="528" t="s">
        <v>16788</v>
      </c>
      <c r="D5837" s="528" t="s">
        <v>264</v>
      </c>
      <c r="E5837" s="528"/>
      <c r="F5837" s="528"/>
      <c r="G5837" s="528" t="s">
        <v>205</v>
      </c>
      <c r="H5837"/>
    </row>
    <row r="5838" spans="1:8" x14ac:dyDescent="0.35">
      <c r="A5838" s="528" t="s">
        <v>16789</v>
      </c>
      <c r="B5838" s="528" t="s">
        <v>16790</v>
      </c>
      <c r="C5838" s="528" t="s">
        <v>16791</v>
      </c>
      <c r="D5838" s="528" t="s">
        <v>277</v>
      </c>
      <c r="E5838" s="528" t="s">
        <v>264</v>
      </c>
      <c r="F5838" s="528"/>
      <c r="G5838" s="528" t="s">
        <v>208</v>
      </c>
      <c r="H5838"/>
    </row>
    <row r="5839" spans="1:8" x14ac:dyDescent="0.35">
      <c r="A5839" s="528" t="s">
        <v>16792</v>
      </c>
      <c r="B5839" s="528" t="s">
        <v>16793</v>
      </c>
      <c r="C5839" s="528" t="s">
        <v>16794</v>
      </c>
      <c r="D5839" s="528" t="s">
        <v>277</v>
      </c>
      <c r="E5839" s="528" t="s">
        <v>264</v>
      </c>
      <c r="F5839" s="528"/>
      <c r="G5839" s="528" t="s">
        <v>205</v>
      </c>
      <c r="H5839"/>
    </row>
    <row r="5840" spans="1:8" x14ac:dyDescent="0.35">
      <c r="A5840" s="528" t="s">
        <v>16795</v>
      </c>
      <c r="B5840" s="528" t="s">
        <v>16796</v>
      </c>
      <c r="C5840" s="528" t="s">
        <v>16797</v>
      </c>
      <c r="D5840" s="528" t="s">
        <v>225</v>
      </c>
      <c r="E5840" s="528" t="s">
        <v>264</v>
      </c>
      <c r="F5840" s="528"/>
      <c r="G5840" s="528" t="s">
        <v>208</v>
      </c>
      <c r="H5840"/>
    </row>
    <row r="5841" spans="1:8" x14ac:dyDescent="0.35">
      <c r="A5841" s="528" t="s">
        <v>16798</v>
      </c>
      <c r="B5841" s="528" t="s">
        <v>16799</v>
      </c>
      <c r="C5841" s="528" t="s">
        <v>16800</v>
      </c>
      <c r="D5841" s="528" t="s">
        <v>225</v>
      </c>
      <c r="E5841" s="528" t="s">
        <v>264</v>
      </c>
      <c r="F5841" s="528"/>
      <c r="G5841" s="528" t="s">
        <v>205</v>
      </c>
      <c r="H5841"/>
    </row>
    <row r="5842" spans="1:8" x14ac:dyDescent="0.35">
      <c r="A5842" s="528" t="s">
        <v>16801</v>
      </c>
      <c r="B5842" s="528" t="s">
        <v>16802</v>
      </c>
      <c r="C5842" s="528" t="s">
        <v>16803</v>
      </c>
      <c r="D5842" s="528" t="s">
        <v>277</v>
      </c>
      <c r="E5842" s="528"/>
      <c r="F5842" s="528"/>
      <c r="G5842" s="528" t="s">
        <v>208</v>
      </c>
      <c r="H5842"/>
    </row>
    <row r="5843" spans="1:8" x14ac:dyDescent="0.35">
      <c r="A5843" s="528" t="s">
        <v>16804</v>
      </c>
      <c r="B5843" s="528" t="s">
        <v>16805</v>
      </c>
      <c r="C5843" s="528" t="s">
        <v>16806</v>
      </c>
      <c r="D5843" s="528" t="s">
        <v>225</v>
      </c>
      <c r="E5843" s="528"/>
      <c r="F5843" s="528"/>
      <c r="G5843" s="528" t="s">
        <v>208</v>
      </c>
      <c r="H5843"/>
    </row>
    <row r="5844" spans="1:8" x14ac:dyDescent="0.35">
      <c r="A5844" s="528" t="s">
        <v>16807</v>
      </c>
      <c r="B5844" s="528" t="s">
        <v>16808</v>
      </c>
      <c r="C5844" s="528" t="s">
        <v>16809</v>
      </c>
      <c r="D5844" s="528" t="s">
        <v>225</v>
      </c>
      <c r="E5844" s="528"/>
      <c r="F5844" s="528"/>
      <c r="G5844" s="528" t="s">
        <v>208</v>
      </c>
      <c r="H5844"/>
    </row>
    <row r="5845" spans="1:8" x14ac:dyDescent="0.35">
      <c r="A5845" s="528" t="s">
        <v>16810</v>
      </c>
      <c r="B5845" s="528" t="s">
        <v>16811</v>
      </c>
      <c r="C5845" s="528" t="s">
        <v>16812</v>
      </c>
      <c r="D5845" s="528" t="s">
        <v>277</v>
      </c>
      <c r="E5845" s="528"/>
      <c r="F5845" s="528"/>
      <c r="G5845" s="528" t="s">
        <v>208</v>
      </c>
      <c r="H5845"/>
    </row>
    <row r="5846" spans="1:8" x14ac:dyDescent="0.35">
      <c r="A5846" s="528" t="s">
        <v>16813</v>
      </c>
      <c r="B5846" s="528" t="s">
        <v>16814</v>
      </c>
      <c r="C5846" s="528" t="s">
        <v>16815</v>
      </c>
      <c r="D5846" s="528" t="s">
        <v>264</v>
      </c>
      <c r="E5846" s="528"/>
      <c r="F5846" s="528"/>
      <c r="G5846" s="528" t="s">
        <v>205</v>
      </c>
      <c r="H5846"/>
    </row>
    <row r="5847" spans="1:8" x14ac:dyDescent="0.35">
      <c r="A5847" s="528" t="s">
        <v>16816</v>
      </c>
      <c r="B5847" s="528" t="s">
        <v>16817</v>
      </c>
      <c r="C5847" s="528" t="s">
        <v>16818</v>
      </c>
      <c r="D5847" s="528" t="s">
        <v>277</v>
      </c>
      <c r="E5847" s="528"/>
      <c r="F5847" s="528"/>
      <c r="G5847" s="528" t="s">
        <v>208</v>
      </c>
      <c r="H5847"/>
    </row>
    <row r="5848" spans="1:8" x14ac:dyDescent="0.35">
      <c r="A5848" s="528" t="s">
        <v>16819</v>
      </c>
      <c r="B5848" s="528" t="s">
        <v>16820</v>
      </c>
      <c r="C5848" s="528" t="s">
        <v>16821</v>
      </c>
      <c r="D5848" s="528" t="s">
        <v>225</v>
      </c>
      <c r="E5848" s="528"/>
      <c r="F5848" s="528"/>
      <c r="G5848" s="528" t="s">
        <v>208</v>
      </c>
      <c r="H5848"/>
    </row>
    <row r="5849" spans="1:8" x14ac:dyDescent="0.35">
      <c r="A5849" s="528" t="s">
        <v>16822</v>
      </c>
      <c r="B5849" s="528" t="s">
        <v>16823</v>
      </c>
      <c r="C5849" s="528" t="s">
        <v>16824</v>
      </c>
      <c r="D5849" s="528" t="s">
        <v>264</v>
      </c>
      <c r="E5849" s="528"/>
      <c r="F5849" s="528"/>
      <c r="G5849" s="528" t="s">
        <v>208</v>
      </c>
      <c r="H5849"/>
    </row>
    <row r="5850" spans="1:8" x14ac:dyDescent="0.35">
      <c r="A5850" s="528" t="s">
        <v>16825</v>
      </c>
      <c r="B5850" s="528" t="s">
        <v>16826</v>
      </c>
      <c r="C5850" s="528" t="s">
        <v>16827</v>
      </c>
      <c r="D5850" s="528" t="s">
        <v>264</v>
      </c>
      <c r="E5850" s="528"/>
      <c r="F5850" s="528"/>
      <c r="G5850" s="528" t="s">
        <v>208</v>
      </c>
      <c r="H5850"/>
    </row>
    <row r="5851" spans="1:8" x14ac:dyDescent="0.35">
      <c r="A5851" s="528" t="s">
        <v>16828</v>
      </c>
      <c r="B5851" s="528" t="s">
        <v>16829</v>
      </c>
      <c r="C5851" s="528" t="s">
        <v>16830</v>
      </c>
      <c r="D5851" s="528" t="s">
        <v>225</v>
      </c>
      <c r="E5851" s="528"/>
      <c r="F5851" s="528"/>
      <c r="G5851" s="528" t="s">
        <v>208</v>
      </c>
      <c r="H5851"/>
    </row>
    <row r="5852" spans="1:8" x14ac:dyDescent="0.35">
      <c r="A5852" s="528" t="s">
        <v>16831</v>
      </c>
      <c r="B5852" s="528" t="s">
        <v>16832</v>
      </c>
      <c r="C5852" s="528" t="s">
        <v>16833</v>
      </c>
      <c r="D5852" s="528" t="s">
        <v>251</v>
      </c>
      <c r="E5852" s="528"/>
      <c r="F5852" s="528"/>
      <c r="G5852" s="528" t="s">
        <v>208</v>
      </c>
      <c r="H5852"/>
    </row>
    <row r="5853" spans="1:8" x14ac:dyDescent="0.35">
      <c r="A5853" s="528" t="s">
        <v>16834</v>
      </c>
      <c r="B5853" s="528" t="s">
        <v>16835</v>
      </c>
      <c r="C5853" s="528" t="s">
        <v>16836</v>
      </c>
      <c r="D5853" s="528" t="s">
        <v>277</v>
      </c>
      <c r="E5853" s="528"/>
      <c r="F5853" s="528"/>
      <c r="G5853" s="528" t="s">
        <v>205</v>
      </c>
      <c r="H5853"/>
    </row>
    <row r="5854" spans="1:8" x14ac:dyDescent="0.35">
      <c r="A5854" s="528" t="s">
        <v>16837</v>
      </c>
      <c r="B5854" s="528" t="s">
        <v>16838</v>
      </c>
      <c r="C5854" s="528" t="s">
        <v>16839</v>
      </c>
      <c r="D5854" s="528" t="s">
        <v>277</v>
      </c>
      <c r="E5854" s="528"/>
      <c r="F5854" s="528"/>
      <c r="G5854" s="528" t="s">
        <v>208</v>
      </c>
      <c r="H5854"/>
    </row>
    <row r="5855" spans="1:8" x14ac:dyDescent="0.35">
      <c r="A5855" s="528" t="s">
        <v>16840</v>
      </c>
      <c r="B5855" s="528" t="s">
        <v>16841</v>
      </c>
      <c r="C5855" s="528" t="s">
        <v>16842</v>
      </c>
      <c r="D5855" s="528" t="s">
        <v>264</v>
      </c>
      <c r="E5855" s="528"/>
      <c r="F5855" s="528"/>
      <c r="G5855" s="528" t="s">
        <v>208</v>
      </c>
      <c r="H5855"/>
    </row>
    <row r="5856" spans="1:8" x14ac:dyDescent="0.35">
      <c r="A5856" s="528" t="s">
        <v>16843</v>
      </c>
      <c r="B5856" s="528" t="s">
        <v>16844</v>
      </c>
      <c r="C5856" s="528" t="s">
        <v>16845</v>
      </c>
      <c r="D5856" s="528" t="s">
        <v>277</v>
      </c>
      <c r="E5856" s="528"/>
      <c r="F5856" s="528"/>
      <c r="G5856" s="528" t="s">
        <v>205</v>
      </c>
      <c r="H5856"/>
    </row>
    <row r="5857" spans="1:8" x14ac:dyDescent="0.35">
      <c r="A5857" s="528" t="s">
        <v>16846</v>
      </c>
      <c r="B5857" s="528" t="s">
        <v>16847</v>
      </c>
      <c r="C5857" s="528" t="s">
        <v>16848</v>
      </c>
      <c r="D5857" s="528" t="s">
        <v>225</v>
      </c>
      <c r="E5857" s="528"/>
      <c r="F5857" s="528"/>
      <c r="G5857" s="528" t="s">
        <v>208</v>
      </c>
      <c r="H5857"/>
    </row>
    <row r="5858" spans="1:8" x14ac:dyDescent="0.35">
      <c r="A5858" s="528" t="s">
        <v>16849</v>
      </c>
      <c r="B5858" s="528" t="s">
        <v>16850</v>
      </c>
      <c r="C5858" s="528" t="s">
        <v>16851</v>
      </c>
      <c r="D5858" s="528" t="s">
        <v>277</v>
      </c>
      <c r="E5858" s="528"/>
      <c r="F5858" s="528"/>
      <c r="G5858" s="528" t="s">
        <v>208</v>
      </c>
      <c r="H5858"/>
    </row>
    <row r="5859" spans="1:8" x14ac:dyDescent="0.35">
      <c r="A5859" s="528" t="s">
        <v>16852</v>
      </c>
      <c r="B5859" s="528" t="s">
        <v>16853</v>
      </c>
      <c r="C5859" s="528" t="s">
        <v>16854</v>
      </c>
      <c r="D5859" s="528" t="s">
        <v>277</v>
      </c>
      <c r="E5859" s="528"/>
      <c r="F5859" s="528"/>
      <c r="G5859" s="528" t="s">
        <v>208</v>
      </c>
      <c r="H5859"/>
    </row>
    <row r="5860" spans="1:8" x14ac:dyDescent="0.35">
      <c r="A5860" s="528" t="s">
        <v>16855</v>
      </c>
      <c r="B5860" s="528" t="s">
        <v>16856</v>
      </c>
      <c r="C5860" s="528" t="s">
        <v>16857</v>
      </c>
      <c r="D5860" s="528" t="s">
        <v>238</v>
      </c>
      <c r="E5860" s="528"/>
      <c r="F5860" s="528"/>
      <c r="G5860" s="528" t="s">
        <v>208</v>
      </c>
      <c r="H5860"/>
    </row>
    <row r="5861" spans="1:8" x14ac:dyDescent="0.35">
      <c r="A5861" s="528" t="s">
        <v>16858</v>
      </c>
      <c r="B5861" s="528" t="s">
        <v>16859</v>
      </c>
      <c r="C5861" s="528" t="s">
        <v>16860</v>
      </c>
      <c r="D5861" s="528" t="s">
        <v>264</v>
      </c>
      <c r="E5861" s="528"/>
      <c r="F5861" s="528"/>
      <c r="G5861" s="528" t="s">
        <v>205</v>
      </c>
      <c r="H5861"/>
    </row>
    <row r="5862" spans="1:8" x14ac:dyDescent="0.35">
      <c r="A5862" s="528" t="s">
        <v>16861</v>
      </c>
      <c r="B5862" s="528" t="s">
        <v>16862</v>
      </c>
      <c r="C5862" s="528" t="s">
        <v>16863</v>
      </c>
      <c r="D5862" s="528" t="s">
        <v>264</v>
      </c>
      <c r="E5862" s="528"/>
      <c r="F5862" s="528"/>
      <c r="G5862" s="528" t="s">
        <v>205</v>
      </c>
      <c r="H5862"/>
    </row>
    <row r="5863" spans="1:8" x14ac:dyDescent="0.35">
      <c r="A5863" s="528" t="s">
        <v>16864</v>
      </c>
      <c r="B5863" s="528" t="s">
        <v>16865</v>
      </c>
      <c r="C5863" s="528" t="s">
        <v>16866</v>
      </c>
      <c r="D5863" s="528" t="s">
        <v>264</v>
      </c>
      <c r="E5863" s="528"/>
      <c r="F5863" s="528"/>
      <c r="G5863" s="528" t="s">
        <v>205</v>
      </c>
      <c r="H5863"/>
    </row>
    <row r="5864" spans="1:8" x14ac:dyDescent="0.35">
      <c r="A5864" s="528" t="s">
        <v>16867</v>
      </c>
      <c r="B5864" s="528" t="s">
        <v>16868</v>
      </c>
      <c r="C5864" s="528" t="s">
        <v>16869</v>
      </c>
      <c r="D5864" s="528" t="s">
        <v>264</v>
      </c>
      <c r="E5864" s="528"/>
      <c r="F5864" s="528"/>
      <c r="G5864" s="528" t="s">
        <v>205</v>
      </c>
      <c r="H5864"/>
    </row>
    <row r="5865" spans="1:8" x14ac:dyDescent="0.35">
      <c r="A5865" s="528" t="s">
        <v>16870</v>
      </c>
      <c r="B5865" s="528" t="s">
        <v>16871</v>
      </c>
      <c r="C5865" s="528" t="s">
        <v>16872</v>
      </c>
      <c r="D5865" s="528" t="s">
        <v>264</v>
      </c>
      <c r="E5865" s="528"/>
      <c r="F5865" s="528"/>
      <c r="G5865" s="528" t="s">
        <v>205</v>
      </c>
      <c r="H5865"/>
    </row>
    <row r="5866" spans="1:8" x14ac:dyDescent="0.35">
      <c r="A5866" s="528" t="s">
        <v>16873</v>
      </c>
      <c r="B5866" s="528" t="s">
        <v>16874</v>
      </c>
      <c r="C5866" s="528" t="s">
        <v>16875</v>
      </c>
      <c r="D5866" s="528" t="s">
        <v>225</v>
      </c>
      <c r="E5866" s="528"/>
      <c r="F5866" s="528"/>
      <c r="G5866" s="528" t="s">
        <v>208</v>
      </c>
      <c r="H5866"/>
    </row>
    <row r="5867" spans="1:8" x14ac:dyDescent="0.35">
      <c r="A5867" s="528" t="s">
        <v>16876</v>
      </c>
      <c r="B5867" s="528" t="s">
        <v>16877</v>
      </c>
      <c r="C5867" s="528" t="s">
        <v>16878</v>
      </c>
      <c r="D5867" s="528" t="s">
        <v>277</v>
      </c>
      <c r="E5867" s="528"/>
      <c r="F5867" s="528"/>
      <c r="G5867" s="528" t="s">
        <v>208</v>
      </c>
      <c r="H5867"/>
    </row>
    <row r="5868" spans="1:8" x14ac:dyDescent="0.35">
      <c r="A5868" s="528" t="s">
        <v>16879</v>
      </c>
      <c r="B5868" s="528" t="s">
        <v>16880</v>
      </c>
      <c r="C5868" s="528" t="s">
        <v>16881</v>
      </c>
      <c r="D5868" s="528" t="s">
        <v>277</v>
      </c>
      <c r="E5868" s="528"/>
      <c r="F5868" s="528"/>
      <c r="G5868" s="528" t="s">
        <v>205</v>
      </c>
      <c r="H5868"/>
    </row>
    <row r="5869" spans="1:8" x14ac:dyDescent="0.35">
      <c r="A5869" s="528" t="s">
        <v>16882</v>
      </c>
      <c r="B5869" s="528" t="s">
        <v>16883</v>
      </c>
      <c r="C5869" s="528" t="s">
        <v>16884</v>
      </c>
      <c r="D5869" s="528" t="s">
        <v>277</v>
      </c>
      <c r="E5869" s="528"/>
      <c r="F5869" s="528"/>
      <c r="G5869" s="528" t="s">
        <v>208</v>
      </c>
      <c r="H5869"/>
    </row>
    <row r="5870" spans="1:8" x14ac:dyDescent="0.35">
      <c r="A5870" s="528" t="s">
        <v>16885</v>
      </c>
      <c r="B5870" s="528" t="s">
        <v>16886</v>
      </c>
      <c r="C5870" s="528" t="s">
        <v>16887</v>
      </c>
      <c r="D5870" s="528" t="s">
        <v>264</v>
      </c>
      <c r="E5870" s="528"/>
      <c r="F5870" s="528"/>
      <c r="G5870" s="528" t="s">
        <v>205</v>
      </c>
      <c r="H5870"/>
    </row>
    <row r="5871" spans="1:8" x14ac:dyDescent="0.35">
      <c r="A5871" s="528" t="s">
        <v>16888</v>
      </c>
      <c r="B5871" s="528" t="s">
        <v>16889</v>
      </c>
      <c r="C5871" s="528" t="s">
        <v>16890</v>
      </c>
      <c r="D5871" s="528" t="s">
        <v>277</v>
      </c>
      <c r="E5871" s="528"/>
      <c r="F5871" s="528"/>
      <c r="G5871" s="528" t="s">
        <v>208</v>
      </c>
      <c r="H5871"/>
    </row>
    <row r="5872" spans="1:8" x14ac:dyDescent="0.35">
      <c r="A5872" s="528" t="s">
        <v>16891</v>
      </c>
      <c r="B5872" s="528" t="s">
        <v>16892</v>
      </c>
      <c r="C5872" s="528" t="s">
        <v>16893</v>
      </c>
      <c r="D5872" s="528" t="s">
        <v>277</v>
      </c>
      <c r="E5872" s="528"/>
      <c r="F5872" s="528"/>
      <c r="G5872" s="528" t="s">
        <v>205</v>
      </c>
      <c r="H5872"/>
    </row>
    <row r="5873" spans="1:8" x14ac:dyDescent="0.35">
      <c r="A5873" s="528" t="s">
        <v>16894</v>
      </c>
      <c r="B5873" s="528" t="s">
        <v>16895</v>
      </c>
      <c r="C5873" s="528" t="s">
        <v>16896</v>
      </c>
      <c r="D5873" s="528" t="s">
        <v>277</v>
      </c>
      <c r="E5873" s="528"/>
      <c r="F5873" s="528"/>
      <c r="G5873" s="528" t="s">
        <v>208</v>
      </c>
      <c r="H5873"/>
    </row>
    <row r="5874" spans="1:8" x14ac:dyDescent="0.35">
      <c r="A5874" s="528" t="s">
        <v>16897</v>
      </c>
      <c r="B5874" s="528" t="s">
        <v>16898</v>
      </c>
      <c r="C5874" s="528" t="s">
        <v>16899</v>
      </c>
      <c r="D5874" s="528" t="s">
        <v>277</v>
      </c>
      <c r="E5874" s="528"/>
      <c r="F5874" s="528"/>
      <c r="G5874" s="528" t="s">
        <v>205</v>
      </c>
      <c r="H5874"/>
    </row>
    <row r="5875" spans="1:8" x14ac:dyDescent="0.35">
      <c r="A5875" s="528" t="s">
        <v>16900</v>
      </c>
      <c r="B5875" s="528" t="s">
        <v>16901</v>
      </c>
      <c r="C5875" s="528" t="s">
        <v>16902</v>
      </c>
      <c r="D5875" s="528" t="s">
        <v>251</v>
      </c>
      <c r="E5875" s="528"/>
      <c r="F5875" s="528"/>
      <c r="G5875" s="528" t="s">
        <v>208</v>
      </c>
      <c r="H5875"/>
    </row>
    <row r="5876" spans="1:8" x14ac:dyDescent="0.35">
      <c r="A5876" s="528" t="s">
        <v>16903</v>
      </c>
      <c r="B5876" s="528" t="s">
        <v>16904</v>
      </c>
      <c r="C5876" s="528" t="s">
        <v>16905</v>
      </c>
      <c r="D5876" s="528" t="s">
        <v>277</v>
      </c>
      <c r="E5876" s="528"/>
      <c r="F5876" s="528"/>
      <c r="G5876" s="528" t="s">
        <v>208</v>
      </c>
      <c r="H5876"/>
    </row>
    <row r="5877" spans="1:8" x14ac:dyDescent="0.35">
      <c r="A5877" s="528" t="s">
        <v>16906</v>
      </c>
      <c r="B5877" s="528" t="s">
        <v>16907</v>
      </c>
      <c r="C5877" s="528" t="s">
        <v>16908</v>
      </c>
      <c r="D5877" s="528" t="s">
        <v>277</v>
      </c>
      <c r="E5877" s="528"/>
      <c r="F5877" s="528"/>
      <c r="G5877" s="528" t="s">
        <v>208</v>
      </c>
      <c r="H5877"/>
    </row>
    <row r="5878" spans="1:8" x14ac:dyDescent="0.35">
      <c r="A5878" s="528" t="s">
        <v>16909</v>
      </c>
      <c r="B5878" s="528" t="s">
        <v>16910</v>
      </c>
      <c r="C5878" s="528" t="s">
        <v>16911</v>
      </c>
      <c r="D5878" s="528" t="s">
        <v>277</v>
      </c>
      <c r="E5878" s="528"/>
      <c r="F5878" s="528"/>
      <c r="G5878" s="528" t="s">
        <v>212</v>
      </c>
      <c r="H5878"/>
    </row>
    <row r="5879" spans="1:8" x14ac:dyDescent="0.35">
      <c r="A5879" s="528" t="s">
        <v>16912</v>
      </c>
      <c r="B5879" s="528" t="s">
        <v>16913</v>
      </c>
      <c r="C5879" s="528" t="s">
        <v>16914</v>
      </c>
      <c r="D5879" s="528" t="s">
        <v>264</v>
      </c>
      <c r="E5879" s="528"/>
      <c r="F5879" s="528"/>
      <c r="G5879" s="528" t="s">
        <v>208</v>
      </c>
      <c r="H5879"/>
    </row>
    <row r="5880" spans="1:8" x14ac:dyDescent="0.35">
      <c r="A5880" s="528" t="s">
        <v>16915</v>
      </c>
      <c r="B5880" s="528" t="s">
        <v>16916</v>
      </c>
      <c r="C5880" s="528" t="s">
        <v>16917</v>
      </c>
      <c r="D5880" s="528" t="s">
        <v>225</v>
      </c>
      <c r="E5880" s="528"/>
      <c r="F5880" s="528"/>
      <c r="G5880" s="528" t="s">
        <v>208</v>
      </c>
      <c r="H5880"/>
    </row>
    <row r="5881" spans="1:8" x14ac:dyDescent="0.35">
      <c r="A5881" s="528" t="s">
        <v>16918</v>
      </c>
      <c r="B5881" s="528" t="s">
        <v>16919</v>
      </c>
      <c r="C5881" s="528" t="s">
        <v>16920</v>
      </c>
      <c r="D5881" s="528" t="s">
        <v>225</v>
      </c>
      <c r="E5881" s="528"/>
      <c r="F5881" s="528"/>
      <c r="G5881" s="528" t="s">
        <v>208</v>
      </c>
      <c r="H5881"/>
    </row>
    <row r="5882" spans="1:8" x14ac:dyDescent="0.35">
      <c r="A5882" s="528" t="s">
        <v>16921</v>
      </c>
      <c r="B5882" s="528" t="s">
        <v>16922</v>
      </c>
      <c r="C5882" s="528" t="s">
        <v>16923</v>
      </c>
      <c r="D5882" s="528" t="s">
        <v>277</v>
      </c>
      <c r="E5882" s="528"/>
      <c r="F5882" s="528"/>
      <c r="G5882" s="528" t="s">
        <v>208</v>
      </c>
      <c r="H5882"/>
    </row>
    <row r="5883" spans="1:8" x14ac:dyDescent="0.35">
      <c r="A5883" s="528" t="s">
        <v>16924</v>
      </c>
      <c r="B5883" s="528" t="s">
        <v>16925</v>
      </c>
      <c r="C5883" s="528" t="s">
        <v>16926</v>
      </c>
      <c r="D5883" s="528" t="s">
        <v>251</v>
      </c>
      <c r="E5883" s="528"/>
      <c r="F5883" s="528"/>
      <c r="G5883" s="528" t="s">
        <v>208</v>
      </c>
      <c r="H5883"/>
    </row>
    <row r="5884" spans="1:8" x14ac:dyDescent="0.35">
      <c r="A5884" s="528" t="s">
        <v>16927</v>
      </c>
      <c r="B5884" s="528" t="s">
        <v>16928</v>
      </c>
      <c r="C5884" s="528" t="s">
        <v>16929</v>
      </c>
      <c r="D5884" s="528" t="s">
        <v>264</v>
      </c>
      <c r="E5884" s="528"/>
      <c r="F5884" s="528"/>
      <c r="G5884" s="528" t="s">
        <v>208</v>
      </c>
      <c r="H5884"/>
    </row>
    <row r="5885" spans="1:8" x14ac:dyDescent="0.35">
      <c r="A5885" s="528" t="s">
        <v>16930</v>
      </c>
      <c r="B5885" s="528" t="s">
        <v>16931</v>
      </c>
      <c r="C5885" s="528" t="s">
        <v>16932</v>
      </c>
      <c r="D5885" s="528" t="s">
        <v>238</v>
      </c>
      <c r="E5885" s="528"/>
      <c r="F5885" s="528"/>
      <c r="G5885" s="528" t="s">
        <v>208</v>
      </c>
      <c r="H5885"/>
    </row>
    <row r="5886" spans="1:8" x14ac:dyDescent="0.35">
      <c r="A5886" s="528" t="s">
        <v>16933</v>
      </c>
      <c r="B5886" s="528" t="s">
        <v>16934</v>
      </c>
      <c r="C5886" s="528" t="s">
        <v>16935</v>
      </c>
      <c r="D5886" s="528" t="s">
        <v>238</v>
      </c>
      <c r="E5886" s="528"/>
      <c r="F5886" s="528"/>
      <c r="G5886" s="528" t="s">
        <v>208</v>
      </c>
      <c r="H5886"/>
    </row>
    <row r="5887" spans="1:8" x14ac:dyDescent="0.35">
      <c r="A5887" s="528" t="s">
        <v>16936</v>
      </c>
      <c r="B5887" s="528" t="s">
        <v>16937</v>
      </c>
      <c r="C5887" s="528" t="s">
        <v>16938</v>
      </c>
      <c r="D5887" s="528" t="s">
        <v>251</v>
      </c>
      <c r="E5887" s="528"/>
      <c r="F5887" s="528"/>
      <c r="G5887" s="528" t="s">
        <v>208</v>
      </c>
      <c r="H5887"/>
    </row>
    <row r="5888" spans="1:8" x14ac:dyDescent="0.35">
      <c r="A5888" s="528" t="s">
        <v>16939</v>
      </c>
      <c r="B5888" s="528" t="s">
        <v>16940</v>
      </c>
      <c r="C5888" s="528" t="s">
        <v>16941</v>
      </c>
      <c r="D5888" s="528" t="s">
        <v>251</v>
      </c>
      <c r="E5888" s="528"/>
      <c r="F5888" s="528"/>
      <c r="G5888" s="528" t="s">
        <v>208</v>
      </c>
      <c r="H5888"/>
    </row>
    <row r="5889" spans="1:8" x14ac:dyDescent="0.35">
      <c r="A5889" s="528" t="s">
        <v>16942</v>
      </c>
      <c r="B5889" s="528" t="s">
        <v>16943</v>
      </c>
      <c r="C5889" s="528" t="s">
        <v>16944</v>
      </c>
      <c r="D5889" s="528" t="s">
        <v>277</v>
      </c>
      <c r="E5889" s="528"/>
      <c r="F5889" s="528"/>
      <c r="G5889" s="528" t="s">
        <v>208</v>
      </c>
      <c r="H5889"/>
    </row>
    <row r="5890" spans="1:8" x14ac:dyDescent="0.35">
      <c r="A5890" s="528" t="s">
        <v>16945</v>
      </c>
      <c r="B5890" s="528" t="s">
        <v>16946</v>
      </c>
      <c r="C5890" s="528" t="s">
        <v>16947</v>
      </c>
      <c r="D5890" s="528" t="s">
        <v>277</v>
      </c>
      <c r="E5890" s="528"/>
      <c r="F5890" s="528"/>
      <c r="G5890" s="528" t="s">
        <v>208</v>
      </c>
      <c r="H5890"/>
    </row>
    <row r="5891" spans="1:8" x14ac:dyDescent="0.35">
      <c r="A5891" s="528" t="s">
        <v>16948</v>
      </c>
      <c r="B5891" s="528" t="s">
        <v>16949</v>
      </c>
      <c r="C5891" s="528" t="s">
        <v>16950</v>
      </c>
      <c r="D5891" s="528" t="s">
        <v>277</v>
      </c>
      <c r="E5891" s="528"/>
      <c r="F5891" s="528"/>
      <c r="G5891" s="528" t="s">
        <v>208</v>
      </c>
      <c r="H5891"/>
    </row>
    <row r="5892" spans="1:8" x14ac:dyDescent="0.35">
      <c r="A5892" s="528" t="s">
        <v>16951</v>
      </c>
      <c r="B5892" s="528" t="s">
        <v>16952</v>
      </c>
      <c r="C5892" s="528" t="s">
        <v>16953</v>
      </c>
      <c r="D5892" s="528" t="s">
        <v>277</v>
      </c>
      <c r="E5892" s="528"/>
      <c r="F5892" s="528"/>
      <c r="G5892" s="528" t="s">
        <v>208</v>
      </c>
      <c r="H5892"/>
    </row>
    <row r="5893" spans="1:8" x14ac:dyDescent="0.35">
      <c r="A5893" s="528" t="s">
        <v>16954</v>
      </c>
      <c r="B5893" s="528" t="s">
        <v>16955</v>
      </c>
      <c r="C5893" s="528" t="s">
        <v>16956</v>
      </c>
      <c r="D5893" s="528" t="s">
        <v>277</v>
      </c>
      <c r="E5893" s="528" t="s">
        <v>264</v>
      </c>
      <c r="F5893" s="528"/>
      <c r="G5893" s="528" t="s">
        <v>208</v>
      </c>
      <c r="H5893"/>
    </row>
    <row r="5894" spans="1:8" x14ac:dyDescent="0.35">
      <c r="A5894" s="528" t="s">
        <v>16957</v>
      </c>
      <c r="B5894" s="528" t="s">
        <v>16958</v>
      </c>
      <c r="C5894" s="528" t="s">
        <v>16959</v>
      </c>
      <c r="D5894" s="528" t="s">
        <v>238</v>
      </c>
      <c r="E5894" s="528"/>
      <c r="F5894" s="528"/>
      <c r="G5894" s="528" t="s">
        <v>205</v>
      </c>
      <c r="H5894"/>
    </row>
    <row r="5895" spans="1:8" x14ac:dyDescent="0.35">
      <c r="A5895" s="528" t="s">
        <v>16960</v>
      </c>
      <c r="B5895" s="528" t="s">
        <v>16961</v>
      </c>
      <c r="C5895" s="528" t="s">
        <v>16962</v>
      </c>
      <c r="D5895" s="528" t="s">
        <v>277</v>
      </c>
      <c r="E5895" s="528"/>
      <c r="F5895" s="528"/>
      <c r="G5895" s="528" t="s">
        <v>205</v>
      </c>
      <c r="H5895"/>
    </row>
    <row r="5896" spans="1:8" x14ac:dyDescent="0.35">
      <c r="A5896" s="528" t="s">
        <v>16963</v>
      </c>
      <c r="B5896" s="528" t="s">
        <v>16964</v>
      </c>
      <c r="C5896" s="528" t="s">
        <v>16965</v>
      </c>
      <c r="D5896" s="528" t="s">
        <v>251</v>
      </c>
      <c r="E5896" s="528"/>
      <c r="F5896" s="528"/>
      <c r="G5896" s="528" t="s">
        <v>205</v>
      </c>
      <c r="H5896"/>
    </row>
    <row r="5897" spans="1:8" x14ac:dyDescent="0.35">
      <c r="A5897" s="528" t="s">
        <v>16966</v>
      </c>
      <c r="B5897" s="528" t="s">
        <v>16967</v>
      </c>
      <c r="C5897" s="528" t="s">
        <v>16968</v>
      </c>
      <c r="D5897" s="528" t="s">
        <v>238</v>
      </c>
      <c r="E5897" s="528"/>
      <c r="F5897" s="528"/>
      <c r="G5897" s="528" t="s">
        <v>208</v>
      </c>
      <c r="H5897"/>
    </row>
    <row r="5898" spans="1:8" x14ac:dyDescent="0.35">
      <c r="A5898" s="528" t="s">
        <v>16969</v>
      </c>
      <c r="B5898" s="528" t="s">
        <v>16970</v>
      </c>
      <c r="C5898" s="528" t="s">
        <v>16971</v>
      </c>
      <c r="D5898" s="528" t="s">
        <v>277</v>
      </c>
      <c r="E5898" s="528"/>
      <c r="F5898" s="528"/>
      <c r="G5898" s="528" t="s">
        <v>208</v>
      </c>
      <c r="H5898"/>
    </row>
    <row r="5899" spans="1:8" x14ac:dyDescent="0.35">
      <c r="A5899" s="528" t="s">
        <v>16972</v>
      </c>
      <c r="B5899" s="528" t="s">
        <v>16973</v>
      </c>
      <c r="C5899" s="528" t="s">
        <v>16974</v>
      </c>
      <c r="D5899" s="528" t="s">
        <v>264</v>
      </c>
      <c r="E5899" s="528"/>
      <c r="F5899" s="528"/>
      <c r="G5899" s="528" t="s">
        <v>205</v>
      </c>
      <c r="H5899"/>
    </row>
    <row r="5900" spans="1:8" x14ac:dyDescent="0.35">
      <c r="A5900" s="528" t="s">
        <v>16975</v>
      </c>
      <c r="B5900" s="528" t="s">
        <v>16976</v>
      </c>
      <c r="C5900" s="528" t="s">
        <v>16977</v>
      </c>
      <c r="D5900" s="528" t="s">
        <v>264</v>
      </c>
      <c r="E5900" s="528"/>
      <c r="F5900" s="528"/>
      <c r="G5900" s="528" t="s">
        <v>208</v>
      </c>
      <c r="H5900"/>
    </row>
    <row r="5901" spans="1:8" x14ac:dyDescent="0.35">
      <c r="A5901" s="528" t="s">
        <v>16978</v>
      </c>
      <c r="B5901" s="528" t="s">
        <v>16979</v>
      </c>
      <c r="C5901" s="528" t="s">
        <v>16980</v>
      </c>
      <c r="D5901" s="528" t="s">
        <v>264</v>
      </c>
      <c r="E5901" s="528"/>
      <c r="F5901" s="528"/>
      <c r="G5901" s="528" t="s">
        <v>208</v>
      </c>
      <c r="H5901"/>
    </row>
    <row r="5902" spans="1:8" x14ac:dyDescent="0.35">
      <c r="A5902" s="528" t="s">
        <v>16981</v>
      </c>
      <c r="B5902" s="528" t="s">
        <v>16982</v>
      </c>
      <c r="C5902" s="528" t="s">
        <v>16983</v>
      </c>
      <c r="D5902" s="528" t="s">
        <v>264</v>
      </c>
      <c r="E5902" s="528"/>
      <c r="F5902" s="528"/>
      <c r="G5902" s="528" t="s">
        <v>208</v>
      </c>
      <c r="H5902"/>
    </row>
    <row r="5903" spans="1:8" x14ac:dyDescent="0.35">
      <c r="A5903" s="528" t="s">
        <v>16984</v>
      </c>
      <c r="B5903" s="528" t="s">
        <v>16985</v>
      </c>
      <c r="C5903" s="528" t="s">
        <v>16986</v>
      </c>
      <c r="D5903" s="528" t="s">
        <v>238</v>
      </c>
      <c r="E5903" s="528"/>
      <c r="F5903" s="528"/>
      <c r="G5903" s="528" t="s">
        <v>208</v>
      </c>
      <c r="H5903"/>
    </row>
    <row r="5904" spans="1:8" x14ac:dyDescent="0.35">
      <c r="A5904" s="528" t="s">
        <v>16987</v>
      </c>
      <c r="B5904" s="528" t="s">
        <v>16988</v>
      </c>
      <c r="C5904" s="528" t="s">
        <v>16989</v>
      </c>
      <c r="D5904" s="528" t="s">
        <v>225</v>
      </c>
      <c r="E5904" s="528"/>
      <c r="F5904" s="528"/>
      <c r="G5904" s="528" t="s">
        <v>208</v>
      </c>
      <c r="H5904"/>
    </row>
    <row r="5905" spans="1:8" x14ac:dyDescent="0.35">
      <c r="A5905" s="528" t="s">
        <v>16990</v>
      </c>
      <c r="B5905" s="528" t="s">
        <v>16991</v>
      </c>
      <c r="C5905" s="528" t="s">
        <v>16992</v>
      </c>
      <c r="D5905" s="528" t="s">
        <v>277</v>
      </c>
      <c r="E5905" s="528"/>
      <c r="F5905" s="528"/>
      <c r="G5905" s="528" t="s">
        <v>208</v>
      </c>
      <c r="H5905"/>
    </row>
    <row r="5906" spans="1:8" x14ac:dyDescent="0.35">
      <c r="A5906" s="528" t="s">
        <v>16993</v>
      </c>
      <c r="B5906" s="528" t="s">
        <v>16994</v>
      </c>
      <c r="C5906" s="528" t="s">
        <v>16995</v>
      </c>
      <c r="D5906" s="528" t="s">
        <v>277</v>
      </c>
      <c r="E5906" s="528"/>
      <c r="F5906" s="528"/>
      <c r="G5906" s="528" t="s">
        <v>208</v>
      </c>
      <c r="H5906"/>
    </row>
    <row r="5907" spans="1:8" x14ac:dyDescent="0.35">
      <c r="A5907" s="528" t="s">
        <v>16996</v>
      </c>
      <c r="B5907" s="528" t="s">
        <v>16997</v>
      </c>
      <c r="C5907" s="528" t="s">
        <v>16998</v>
      </c>
      <c r="D5907" s="528" t="s">
        <v>277</v>
      </c>
      <c r="E5907" s="528"/>
      <c r="F5907" s="528"/>
      <c r="G5907" s="528" t="s">
        <v>205</v>
      </c>
      <c r="H5907"/>
    </row>
    <row r="5908" spans="1:8" x14ac:dyDescent="0.35">
      <c r="A5908" s="528" t="s">
        <v>16999</v>
      </c>
      <c r="B5908" s="528" t="s">
        <v>17000</v>
      </c>
      <c r="C5908" s="528" t="s">
        <v>17001</v>
      </c>
      <c r="D5908" s="528" t="s">
        <v>225</v>
      </c>
      <c r="E5908" s="528"/>
      <c r="F5908" s="528"/>
      <c r="G5908" s="528" t="s">
        <v>208</v>
      </c>
      <c r="H5908"/>
    </row>
    <row r="5909" spans="1:8" x14ac:dyDescent="0.35">
      <c r="A5909" s="528" t="s">
        <v>17002</v>
      </c>
      <c r="B5909" s="528" t="s">
        <v>17003</v>
      </c>
      <c r="C5909" s="528" t="s">
        <v>17004</v>
      </c>
      <c r="D5909" s="528" t="s">
        <v>264</v>
      </c>
      <c r="E5909" s="528"/>
      <c r="F5909" s="528"/>
      <c r="G5909" s="528" t="s">
        <v>205</v>
      </c>
      <c r="H5909"/>
    </row>
    <row r="5910" spans="1:8" x14ac:dyDescent="0.35">
      <c r="A5910" s="528" t="s">
        <v>17005</v>
      </c>
      <c r="B5910" s="528" t="s">
        <v>17006</v>
      </c>
      <c r="C5910" s="528" t="s">
        <v>17007</v>
      </c>
      <c r="D5910" s="528" t="s">
        <v>251</v>
      </c>
      <c r="E5910" s="528"/>
      <c r="F5910" s="528"/>
      <c r="G5910" s="528" t="s">
        <v>208</v>
      </c>
      <c r="H5910"/>
    </row>
    <row r="5911" spans="1:8" x14ac:dyDescent="0.35">
      <c r="A5911" s="528" t="s">
        <v>17008</v>
      </c>
      <c r="B5911" s="528" t="s">
        <v>17009</v>
      </c>
      <c r="C5911" s="528" t="s">
        <v>17010</v>
      </c>
      <c r="D5911" s="528" t="s">
        <v>251</v>
      </c>
      <c r="E5911" s="528"/>
      <c r="F5911" s="528"/>
      <c r="G5911" s="528" t="s">
        <v>205</v>
      </c>
      <c r="H5911"/>
    </row>
    <row r="5912" spans="1:8" x14ac:dyDescent="0.35">
      <c r="A5912" s="528" t="s">
        <v>17011</v>
      </c>
      <c r="B5912" s="528" t="s">
        <v>17012</v>
      </c>
      <c r="C5912" s="528" t="s">
        <v>17013</v>
      </c>
      <c r="D5912" s="528" t="s">
        <v>251</v>
      </c>
      <c r="E5912" s="528"/>
      <c r="F5912" s="528"/>
      <c r="G5912" s="528" t="s">
        <v>205</v>
      </c>
      <c r="H5912"/>
    </row>
    <row r="5913" spans="1:8" x14ac:dyDescent="0.35">
      <c r="A5913" s="528" t="s">
        <v>17014</v>
      </c>
      <c r="B5913" s="528" t="s">
        <v>17015</v>
      </c>
      <c r="C5913" s="528" t="s">
        <v>17016</v>
      </c>
      <c r="D5913" s="528" t="s">
        <v>264</v>
      </c>
      <c r="E5913" s="528"/>
      <c r="F5913" s="528"/>
      <c r="G5913" s="528" t="s">
        <v>208</v>
      </c>
      <c r="H5913"/>
    </row>
    <row r="5914" spans="1:8" x14ac:dyDescent="0.35">
      <c r="A5914" s="528" t="s">
        <v>17017</v>
      </c>
      <c r="B5914" s="528" t="s">
        <v>17018</v>
      </c>
      <c r="C5914" s="528" t="s">
        <v>17019</v>
      </c>
      <c r="D5914" s="528" t="s">
        <v>277</v>
      </c>
      <c r="E5914" s="528"/>
      <c r="F5914" s="528"/>
      <c r="G5914" s="528" t="s">
        <v>208</v>
      </c>
      <c r="H5914"/>
    </row>
    <row r="5915" spans="1:8" x14ac:dyDescent="0.35">
      <c r="A5915" s="528" t="s">
        <v>17020</v>
      </c>
      <c r="B5915" s="528" t="s">
        <v>17021</v>
      </c>
      <c r="C5915" s="528" t="s">
        <v>17022</v>
      </c>
      <c r="D5915" s="528" t="s">
        <v>251</v>
      </c>
      <c r="E5915" s="528"/>
      <c r="F5915" s="528"/>
      <c r="G5915" s="528" t="s">
        <v>208</v>
      </c>
      <c r="H5915"/>
    </row>
    <row r="5916" spans="1:8" x14ac:dyDescent="0.35">
      <c r="A5916" s="528" t="s">
        <v>17023</v>
      </c>
      <c r="B5916" s="528" t="s">
        <v>17024</v>
      </c>
      <c r="C5916" s="528" t="s">
        <v>17025</v>
      </c>
      <c r="D5916" s="528" t="s">
        <v>251</v>
      </c>
      <c r="E5916" s="528"/>
      <c r="F5916" s="528"/>
      <c r="G5916" s="528" t="s">
        <v>208</v>
      </c>
      <c r="H5916"/>
    </row>
    <row r="5917" spans="1:8" x14ac:dyDescent="0.35">
      <c r="A5917" s="528" t="s">
        <v>17026</v>
      </c>
      <c r="B5917" s="528" t="s">
        <v>17027</v>
      </c>
      <c r="C5917" s="528" t="s">
        <v>17028</v>
      </c>
      <c r="D5917" s="528" t="s">
        <v>277</v>
      </c>
      <c r="E5917" s="528"/>
      <c r="F5917" s="528"/>
      <c r="G5917" s="528" t="s">
        <v>208</v>
      </c>
      <c r="H5917"/>
    </row>
    <row r="5918" spans="1:8" x14ac:dyDescent="0.35">
      <c r="A5918" s="528" t="s">
        <v>17029</v>
      </c>
      <c r="B5918" s="528" t="s">
        <v>17030</v>
      </c>
      <c r="C5918" s="528" t="s">
        <v>17031</v>
      </c>
      <c r="D5918" s="528" t="s">
        <v>264</v>
      </c>
      <c r="E5918" s="528"/>
      <c r="F5918" s="528"/>
      <c r="G5918" s="528" t="s">
        <v>205</v>
      </c>
      <c r="H5918"/>
    </row>
    <row r="5919" spans="1:8" x14ac:dyDescent="0.35">
      <c r="A5919" s="528" t="s">
        <v>17032</v>
      </c>
      <c r="B5919" s="528" t="s">
        <v>17033</v>
      </c>
      <c r="C5919" s="528" t="s">
        <v>17034</v>
      </c>
      <c r="D5919" s="528" t="s">
        <v>225</v>
      </c>
      <c r="E5919" s="528"/>
      <c r="F5919" s="528"/>
      <c r="G5919" s="528" t="s">
        <v>208</v>
      </c>
      <c r="H5919"/>
    </row>
    <row r="5920" spans="1:8" x14ac:dyDescent="0.35">
      <c r="A5920" s="528" t="s">
        <v>17035</v>
      </c>
      <c r="B5920" s="528" t="s">
        <v>17036</v>
      </c>
      <c r="C5920" s="528" t="s">
        <v>17037</v>
      </c>
      <c r="D5920" s="528" t="s">
        <v>238</v>
      </c>
      <c r="E5920" s="528"/>
      <c r="F5920" s="528"/>
      <c r="G5920" s="528" t="s">
        <v>208</v>
      </c>
      <c r="H5920"/>
    </row>
    <row r="5921" spans="1:8" x14ac:dyDescent="0.35">
      <c r="A5921" s="528" t="s">
        <v>17038</v>
      </c>
      <c r="B5921" s="528" t="s">
        <v>17039</v>
      </c>
      <c r="C5921" s="528" t="s">
        <v>17040</v>
      </c>
      <c r="D5921" s="528" t="s">
        <v>251</v>
      </c>
      <c r="E5921" s="528"/>
      <c r="F5921" s="528"/>
      <c r="G5921" s="528" t="s">
        <v>208</v>
      </c>
      <c r="H5921"/>
    </row>
    <row r="5922" spans="1:8" x14ac:dyDescent="0.35">
      <c r="A5922" s="528" t="s">
        <v>17041</v>
      </c>
      <c r="B5922" s="528" t="s">
        <v>17042</v>
      </c>
      <c r="C5922" s="528" t="s">
        <v>17043</v>
      </c>
      <c r="D5922" s="528" t="s">
        <v>251</v>
      </c>
      <c r="E5922" s="528"/>
      <c r="F5922" s="528"/>
      <c r="G5922" s="528" t="s">
        <v>208</v>
      </c>
      <c r="H5922"/>
    </row>
    <row r="5923" spans="1:8" x14ac:dyDescent="0.35">
      <c r="A5923" s="528" t="s">
        <v>17044</v>
      </c>
      <c r="B5923" s="528" t="s">
        <v>17045</v>
      </c>
      <c r="C5923" s="528" t="s">
        <v>17046</v>
      </c>
      <c r="D5923" s="528" t="s">
        <v>277</v>
      </c>
      <c r="E5923" s="528"/>
      <c r="F5923" s="528"/>
      <c r="G5923" s="528" t="s">
        <v>208</v>
      </c>
      <c r="H5923"/>
    </row>
    <row r="5924" spans="1:8" x14ac:dyDescent="0.35">
      <c r="A5924" s="528" t="s">
        <v>17047</v>
      </c>
      <c r="B5924" s="528" t="s">
        <v>17048</v>
      </c>
      <c r="C5924" s="528" t="s">
        <v>17049</v>
      </c>
      <c r="D5924" s="528" t="s">
        <v>238</v>
      </c>
      <c r="E5924" s="528"/>
      <c r="F5924" s="528"/>
      <c r="G5924" s="528" t="s">
        <v>208</v>
      </c>
      <c r="H5924"/>
    </row>
    <row r="5925" spans="1:8" x14ac:dyDescent="0.35">
      <c r="A5925" s="528" t="s">
        <v>17050</v>
      </c>
      <c r="B5925" s="528" t="s">
        <v>17051</v>
      </c>
      <c r="C5925" s="528" t="s">
        <v>17052</v>
      </c>
      <c r="D5925" s="528" t="s">
        <v>238</v>
      </c>
      <c r="E5925" s="528"/>
      <c r="F5925" s="528"/>
      <c r="G5925" s="528" t="s">
        <v>208</v>
      </c>
      <c r="H5925"/>
    </row>
    <row r="5926" spans="1:8" x14ac:dyDescent="0.35">
      <c r="A5926" s="528" t="s">
        <v>17053</v>
      </c>
      <c r="B5926" s="528" t="s">
        <v>17054</v>
      </c>
      <c r="C5926" s="528" t="s">
        <v>17055</v>
      </c>
      <c r="D5926" s="528" t="s">
        <v>251</v>
      </c>
      <c r="E5926" s="528"/>
      <c r="F5926" s="528"/>
      <c r="G5926" s="528" t="s">
        <v>208</v>
      </c>
      <c r="H5926"/>
    </row>
    <row r="5927" spans="1:8" x14ac:dyDescent="0.35">
      <c r="A5927" s="528" t="s">
        <v>17056</v>
      </c>
      <c r="B5927" s="528" t="s">
        <v>17057</v>
      </c>
      <c r="C5927" s="528" t="s">
        <v>17058</v>
      </c>
      <c r="D5927" s="528" t="s">
        <v>264</v>
      </c>
      <c r="E5927" s="528"/>
      <c r="F5927" s="528"/>
      <c r="G5927" s="528" t="s">
        <v>208</v>
      </c>
      <c r="H5927"/>
    </row>
    <row r="5928" spans="1:8" x14ac:dyDescent="0.35">
      <c r="A5928" s="528" t="s">
        <v>17059</v>
      </c>
      <c r="B5928" s="528" t="s">
        <v>17060</v>
      </c>
      <c r="C5928" s="528" t="s">
        <v>17061</v>
      </c>
      <c r="D5928" s="528" t="s">
        <v>238</v>
      </c>
      <c r="E5928" s="528"/>
      <c r="F5928" s="528"/>
      <c r="G5928" s="528" t="s">
        <v>208</v>
      </c>
      <c r="H5928"/>
    </row>
    <row r="5929" spans="1:8" x14ac:dyDescent="0.35">
      <c r="A5929" s="528" t="s">
        <v>17062</v>
      </c>
      <c r="B5929" s="528" t="s">
        <v>17063</v>
      </c>
      <c r="C5929" s="528" t="s">
        <v>17064</v>
      </c>
      <c r="D5929" s="528" t="s">
        <v>251</v>
      </c>
      <c r="E5929" s="528"/>
      <c r="F5929" s="528"/>
      <c r="G5929" s="528" t="s">
        <v>208</v>
      </c>
      <c r="H5929"/>
    </row>
    <row r="5930" spans="1:8" x14ac:dyDescent="0.35">
      <c r="A5930" s="528" t="s">
        <v>17065</v>
      </c>
      <c r="B5930" s="528" t="s">
        <v>17066</v>
      </c>
      <c r="C5930" s="528" t="s">
        <v>17067</v>
      </c>
      <c r="D5930" s="528" t="s">
        <v>264</v>
      </c>
      <c r="E5930" s="528"/>
      <c r="F5930" s="528"/>
      <c r="G5930" s="528" t="s">
        <v>208</v>
      </c>
      <c r="H5930"/>
    </row>
    <row r="5931" spans="1:8" x14ac:dyDescent="0.35">
      <c r="A5931" s="528" t="s">
        <v>17068</v>
      </c>
      <c r="B5931" s="528" t="s">
        <v>17069</v>
      </c>
      <c r="C5931" s="528" t="s">
        <v>17070</v>
      </c>
      <c r="D5931" s="528" t="s">
        <v>264</v>
      </c>
      <c r="E5931" s="528"/>
      <c r="F5931" s="528"/>
      <c r="G5931" s="528" t="s">
        <v>208</v>
      </c>
      <c r="H5931"/>
    </row>
    <row r="5932" spans="1:8" x14ac:dyDescent="0.35">
      <c r="A5932" s="528" t="s">
        <v>17071</v>
      </c>
      <c r="B5932" s="528" t="s">
        <v>17072</v>
      </c>
      <c r="C5932" s="528" t="s">
        <v>17073</v>
      </c>
      <c r="D5932" s="528" t="s">
        <v>264</v>
      </c>
      <c r="E5932" s="528"/>
      <c r="F5932" s="528"/>
      <c r="G5932" s="528" t="s">
        <v>208</v>
      </c>
      <c r="H5932"/>
    </row>
    <row r="5933" spans="1:8" x14ac:dyDescent="0.35">
      <c r="A5933" s="528" t="s">
        <v>17074</v>
      </c>
      <c r="B5933" s="528" t="s">
        <v>17075</v>
      </c>
      <c r="C5933" s="528" t="s">
        <v>17076</v>
      </c>
      <c r="D5933" s="528" t="s">
        <v>264</v>
      </c>
      <c r="E5933" s="528"/>
      <c r="F5933" s="528"/>
      <c r="G5933" s="528" t="s">
        <v>208</v>
      </c>
      <c r="H5933"/>
    </row>
    <row r="5934" spans="1:8" x14ac:dyDescent="0.35">
      <c r="A5934" s="528" t="s">
        <v>17077</v>
      </c>
      <c r="B5934" s="528" t="s">
        <v>17078</v>
      </c>
      <c r="C5934" s="528" t="s">
        <v>17079</v>
      </c>
      <c r="D5934" s="528" t="s">
        <v>225</v>
      </c>
      <c r="E5934" s="528"/>
      <c r="F5934" s="528"/>
      <c r="G5934" s="528" t="s">
        <v>208</v>
      </c>
      <c r="H5934"/>
    </row>
    <row r="5935" spans="1:8" x14ac:dyDescent="0.35">
      <c r="A5935" s="528" t="s">
        <v>17080</v>
      </c>
      <c r="B5935" s="528" t="s">
        <v>17081</v>
      </c>
      <c r="C5935" s="528" t="s">
        <v>17082</v>
      </c>
      <c r="D5935" s="528" t="s">
        <v>277</v>
      </c>
      <c r="E5935" s="528"/>
      <c r="F5935" s="528"/>
      <c r="G5935" s="528" t="s">
        <v>208</v>
      </c>
      <c r="H5935"/>
    </row>
    <row r="5936" spans="1:8" x14ac:dyDescent="0.35">
      <c r="A5936" s="528" t="s">
        <v>17083</v>
      </c>
      <c r="B5936" s="528" t="s">
        <v>17084</v>
      </c>
      <c r="C5936" s="528" t="s">
        <v>17085</v>
      </c>
      <c r="D5936" s="528" t="s">
        <v>225</v>
      </c>
      <c r="E5936" s="528"/>
      <c r="F5936" s="528"/>
      <c r="G5936" s="528" t="s">
        <v>208</v>
      </c>
      <c r="H5936"/>
    </row>
    <row r="5937" spans="1:8" x14ac:dyDescent="0.35">
      <c r="A5937" s="528" t="s">
        <v>17086</v>
      </c>
      <c r="B5937" s="528" t="s">
        <v>17087</v>
      </c>
      <c r="C5937" s="528" t="s">
        <v>17088</v>
      </c>
      <c r="D5937" s="528" t="s">
        <v>225</v>
      </c>
      <c r="E5937" s="528"/>
      <c r="F5937" s="528"/>
      <c r="G5937" s="528" t="s">
        <v>208</v>
      </c>
      <c r="H5937"/>
    </row>
    <row r="5938" spans="1:8" x14ac:dyDescent="0.35">
      <c r="A5938" s="528" t="s">
        <v>17089</v>
      </c>
      <c r="B5938" s="528" t="s">
        <v>17090</v>
      </c>
      <c r="C5938" s="528" t="s">
        <v>17091</v>
      </c>
      <c r="D5938" s="528" t="s">
        <v>225</v>
      </c>
      <c r="E5938" s="528"/>
      <c r="F5938" s="528"/>
      <c r="G5938" s="528" t="s">
        <v>208</v>
      </c>
      <c r="H5938"/>
    </row>
    <row r="5939" spans="1:8" x14ac:dyDescent="0.35">
      <c r="A5939" s="528" t="s">
        <v>17092</v>
      </c>
      <c r="B5939" s="528" t="s">
        <v>17093</v>
      </c>
      <c r="C5939" s="528" t="s">
        <v>17094</v>
      </c>
      <c r="D5939" s="528" t="s">
        <v>225</v>
      </c>
      <c r="E5939" s="528" t="s">
        <v>277</v>
      </c>
      <c r="F5939" s="528"/>
      <c r="G5939" s="528" t="s">
        <v>208</v>
      </c>
      <c r="H5939"/>
    </row>
    <row r="5940" spans="1:8" x14ac:dyDescent="0.35">
      <c r="A5940" s="528" t="s">
        <v>17095</v>
      </c>
      <c r="B5940" s="528" t="s">
        <v>17096</v>
      </c>
      <c r="C5940" s="528" t="s">
        <v>17097</v>
      </c>
      <c r="D5940" s="528" t="s">
        <v>225</v>
      </c>
      <c r="E5940" s="528"/>
      <c r="F5940" s="528"/>
      <c r="G5940" s="528" t="s">
        <v>208</v>
      </c>
      <c r="H5940"/>
    </row>
    <row r="5941" spans="1:8" x14ac:dyDescent="0.35">
      <c r="A5941" s="528" t="s">
        <v>17098</v>
      </c>
      <c r="B5941" s="528" t="s">
        <v>17099</v>
      </c>
      <c r="C5941" s="528" t="s">
        <v>17100</v>
      </c>
      <c r="D5941" s="528" t="s">
        <v>225</v>
      </c>
      <c r="E5941" s="528"/>
      <c r="F5941" s="528"/>
      <c r="G5941" s="528" t="s">
        <v>205</v>
      </c>
      <c r="H5941"/>
    </row>
    <row r="5942" spans="1:8" x14ac:dyDescent="0.35">
      <c r="A5942" s="528" t="s">
        <v>17101</v>
      </c>
      <c r="B5942" s="528" t="s">
        <v>17102</v>
      </c>
      <c r="C5942" s="528" t="s">
        <v>17103</v>
      </c>
      <c r="D5942" s="528" t="s">
        <v>225</v>
      </c>
      <c r="E5942" s="528"/>
      <c r="F5942" s="528"/>
      <c r="G5942" s="528" t="s">
        <v>205</v>
      </c>
      <c r="H5942"/>
    </row>
    <row r="5943" spans="1:8" x14ac:dyDescent="0.35">
      <c r="A5943" s="528" t="s">
        <v>17104</v>
      </c>
      <c r="B5943" s="528" t="s">
        <v>17105</v>
      </c>
      <c r="C5943" s="528" t="s">
        <v>17106</v>
      </c>
      <c r="D5943" s="528" t="s">
        <v>225</v>
      </c>
      <c r="E5943" s="528"/>
      <c r="F5943" s="528"/>
      <c r="G5943" s="528" t="s">
        <v>205</v>
      </c>
      <c r="H5943"/>
    </row>
    <row r="5944" spans="1:8" x14ac:dyDescent="0.35">
      <c r="A5944" s="528" t="s">
        <v>17107</v>
      </c>
      <c r="B5944" s="528" t="s">
        <v>17108</v>
      </c>
      <c r="C5944" s="528" t="s">
        <v>17109</v>
      </c>
      <c r="D5944" s="528" t="s">
        <v>225</v>
      </c>
      <c r="E5944" s="528"/>
      <c r="F5944" s="528"/>
      <c r="G5944" s="528" t="s">
        <v>205</v>
      </c>
      <c r="H5944"/>
    </row>
    <row r="5945" spans="1:8" x14ac:dyDescent="0.35">
      <c r="A5945" s="528" t="s">
        <v>17110</v>
      </c>
      <c r="B5945" s="528" t="s">
        <v>17111</v>
      </c>
      <c r="C5945" s="528" t="s">
        <v>17112</v>
      </c>
      <c r="D5945" s="528" t="s">
        <v>225</v>
      </c>
      <c r="E5945" s="528" t="s">
        <v>277</v>
      </c>
      <c r="F5945" s="528"/>
      <c r="G5945" s="528" t="s">
        <v>205</v>
      </c>
      <c r="H5945"/>
    </row>
    <row r="5946" spans="1:8" x14ac:dyDescent="0.35">
      <c r="A5946" s="528" t="s">
        <v>17113</v>
      </c>
      <c r="B5946" s="528" t="s">
        <v>17114</v>
      </c>
      <c r="C5946" s="528" t="s">
        <v>17115</v>
      </c>
      <c r="D5946" s="528" t="s">
        <v>225</v>
      </c>
      <c r="E5946" s="528"/>
      <c r="F5946" s="528"/>
      <c r="G5946" s="528" t="s">
        <v>208</v>
      </c>
      <c r="H5946"/>
    </row>
    <row r="5947" spans="1:8" x14ac:dyDescent="0.35">
      <c r="A5947" s="528" t="s">
        <v>17116</v>
      </c>
      <c r="B5947" s="528" t="s">
        <v>17117</v>
      </c>
      <c r="C5947" s="528" t="s">
        <v>17118</v>
      </c>
      <c r="D5947" s="528" t="s">
        <v>238</v>
      </c>
      <c r="E5947" s="528"/>
      <c r="F5947" s="528"/>
      <c r="G5947" s="528" t="s">
        <v>205</v>
      </c>
      <c r="H5947"/>
    </row>
    <row r="5948" spans="1:8" x14ac:dyDescent="0.35">
      <c r="A5948" s="528" t="s">
        <v>17119</v>
      </c>
      <c r="B5948" s="528" t="s">
        <v>17120</v>
      </c>
      <c r="C5948" s="528" t="s">
        <v>17121</v>
      </c>
      <c r="D5948" s="528" t="s">
        <v>225</v>
      </c>
      <c r="E5948" s="528"/>
      <c r="F5948" s="528"/>
      <c r="G5948" s="528" t="s">
        <v>208</v>
      </c>
      <c r="H5948"/>
    </row>
    <row r="5949" spans="1:8" x14ac:dyDescent="0.35">
      <c r="A5949" s="528" t="s">
        <v>17122</v>
      </c>
      <c r="B5949" s="528" t="s">
        <v>17123</v>
      </c>
      <c r="C5949" s="528" t="s">
        <v>17124</v>
      </c>
      <c r="D5949" s="528" t="s">
        <v>225</v>
      </c>
      <c r="E5949" s="528"/>
      <c r="F5949" s="528"/>
      <c r="G5949" s="528" t="s">
        <v>205</v>
      </c>
      <c r="H5949"/>
    </row>
    <row r="5950" spans="1:8" x14ac:dyDescent="0.35">
      <c r="A5950" s="528" t="s">
        <v>17125</v>
      </c>
      <c r="B5950" s="528" t="s">
        <v>17126</v>
      </c>
      <c r="C5950" s="528" t="s">
        <v>17127</v>
      </c>
      <c r="D5950" s="528" t="s">
        <v>225</v>
      </c>
      <c r="E5950" s="528"/>
      <c r="F5950" s="528"/>
      <c r="G5950" s="528" t="s">
        <v>205</v>
      </c>
      <c r="H5950"/>
    </row>
    <row r="5951" spans="1:8" x14ac:dyDescent="0.35">
      <c r="A5951" s="528" t="s">
        <v>17128</v>
      </c>
      <c r="B5951" s="528" t="s">
        <v>17129</v>
      </c>
      <c r="C5951" s="528" t="s">
        <v>17130</v>
      </c>
      <c r="D5951" s="528" t="s">
        <v>225</v>
      </c>
      <c r="E5951" s="528"/>
      <c r="F5951" s="528"/>
      <c r="G5951" s="528" t="s">
        <v>205</v>
      </c>
      <c r="H5951"/>
    </row>
    <row r="5952" spans="1:8" x14ac:dyDescent="0.35">
      <c r="A5952" s="528" t="s">
        <v>17131</v>
      </c>
      <c r="B5952" s="528" t="s">
        <v>17132</v>
      </c>
      <c r="C5952" s="528" t="s">
        <v>17133</v>
      </c>
      <c r="D5952" s="528" t="s">
        <v>277</v>
      </c>
      <c r="E5952" s="528"/>
      <c r="F5952" s="528"/>
      <c r="G5952" s="528" t="s">
        <v>205</v>
      </c>
      <c r="H5952"/>
    </row>
    <row r="5953" spans="1:8" x14ac:dyDescent="0.35">
      <c r="A5953" s="528" t="s">
        <v>17134</v>
      </c>
      <c r="B5953" s="528" t="s">
        <v>17135</v>
      </c>
      <c r="C5953" s="528" t="s">
        <v>17136</v>
      </c>
      <c r="D5953" s="528" t="s">
        <v>251</v>
      </c>
      <c r="E5953" s="528"/>
      <c r="F5953" s="528"/>
      <c r="G5953" s="528" t="s">
        <v>208</v>
      </c>
      <c r="H5953"/>
    </row>
    <row r="5954" spans="1:8" x14ac:dyDescent="0.35">
      <c r="A5954" s="528" t="s">
        <v>17137</v>
      </c>
      <c r="B5954" s="528" t="s">
        <v>17138</v>
      </c>
      <c r="C5954" s="528" t="s">
        <v>17139</v>
      </c>
      <c r="D5954" s="528" t="s">
        <v>277</v>
      </c>
      <c r="E5954" s="528"/>
      <c r="F5954" s="528"/>
      <c r="G5954" s="528" t="s">
        <v>205</v>
      </c>
      <c r="H5954"/>
    </row>
    <row r="5955" spans="1:8" x14ac:dyDescent="0.35">
      <c r="A5955" s="528" t="s">
        <v>17140</v>
      </c>
      <c r="B5955" s="528" t="s">
        <v>17141</v>
      </c>
      <c r="C5955" s="528" t="s">
        <v>17142</v>
      </c>
      <c r="D5955" s="528" t="s">
        <v>225</v>
      </c>
      <c r="E5955" s="528" t="s">
        <v>264</v>
      </c>
      <c r="F5955" s="528"/>
      <c r="G5955" s="528" t="s">
        <v>208</v>
      </c>
      <c r="H5955"/>
    </row>
    <row r="5956" spans="1:8" x14ac:dyDescent="0.35">
      <c r="A5956" s="528" t="s">
        <v>17143</v>
      </c>
      <c r="B5956" s="528" t="s">
        <v>17144</v>
      </c>
      <c r="C5956" s="528" t="s">
        <v>17145</v>
      </c>
      <c r="D5956" s="528" t="s">
        <v>225</v>
      </c>
      <c r="E5956" s="528"/>
      <c r="F5956" s="528"/>
      <c r="G5956" s="528" t="s">
        <v>208</v>
      </c>
      <c r="H5956"/>
    </row>
    <row r="5957" spans="1:8" x14ac:dyDescent="0.35">
      <c r="A5957" s="528" t="s">
        <v>17146</v>
      </c>
      <c r="B5957" s="528" t="s">
        <v>17147</v>
      </c>
      <c r="C5957" s="528" t="s">
        <v>17148</v>
      </c>
      <c r="D5957" s="528" t="s">
        <v>225</v>
      </c>
      <c r="E5957" s="528"/>
      <c r="F5957" s="528"/>
      <c r="G5957" s="528" t="s">
        <v>208</v>
      </c>
      <c r="H5957"/>
    </row>
    <row r="5958" spans="1:8" x14ac:dyDescent="0.35">
      <c r="A5958" s="528" t="s">
        <v>17149</v>
      </c>
      <c r="B5958" s="528" t="s">
        <v>17150</v>
      </c>
      <c r="C5958" s="528" t="s">
        <v>17151</v>
      </c>
      <c r="D5958" s="528" t="s">
        <v>225</v>
      </c>
      <c r="E5958" s="528"/>
      <c r="F5958" s="528"/>
      <c r="G5958" s="528" t="s">
        <v>208</v>
      </c>
      <c r="H5958"/>
    </row>
    <row r="5959" spans="1:8" x14ac:dyDescent="0.35">
      <c r="A5959" s="528" t="s">
        <v>17152</v>
      </c>
      <c r="B5959" s="528" t="s">
        <v>17153</v>
      </c>
      <c r="C5959" s="528" t="s">
        <v>17154</v>
      </c>
      <c r="D5959" s="528" t="s">
        <v>225</v>
      </c>
      <c r="E5959" s="528"/>
      <c r="F5959" s="528"/>
      <c r="G5959" s="528" t="s">
        <v>208</v>
      </c>
      <c r="H5959"/>
    </row>
    <row r="5960" spans="1:8" x14ac:dyDescent="0.35">
      <c r="A5960" s="528" t="s">
        <v>17155</v>
      </c>
      <c r="B5960" s="528" t="s">
        <v>17156</v>
      </c>
      <c r="C5960" s="528" t="s">
        <v>17157</v>
      </c>
      <c r="D5960" s="528" t="s">
        <v>225</v>
      </c>
      <c r="E5960" s="528"/>
      <c r="F5960" s="528"/>
      <c r="G5960" s="528" t="s">
        <v>205</v>
      </c>
      <c r="H5960"/>
    </row>
    <row r="5961" spans="1:8" x14ac:dyDescent="0.35">
      <c r="A5961" s="528" t="s">
        <v>17158</v>
      </c>
      <c r="B5961" s="528" t="s">
        <v>17159</v>
      </c>
      <c r="C5961" s="528" t="s">
        <v>17160</v>
      </c>
      <c r="D5961" s="528" t="s">
        <v>225</v>
      </c>
      <c r="E5961" s="528"/>
      <c r="F5961" s="528"/>
      <c r="G5961" s="528" t="s">
        <v>205</v>
      </c>
      <c r="H5961"/>
    </row>
    <row r="5962" spans="1:8" x14ac:dyDescent="0.35">
      <c r="A5962" s="528" t="s">
        <v>17161</v>
      </c>
      <c r="B5962" s="528" t="s">
        <v>17162</v>
      </c>
      <c r="C5962" s="528" t="s">
        <v>17163</v>
      </c>
      <c r="D5962" s="528" t="s">
        <v>238</v>
      </c>
      <c r="E5962" s="528"/>
      <c r="F5962" s="528"/>
      <c r="G5962" s="528" t="s">
        <v>208</v>
      </c>
      <c r="H5962"/>
    </row>
    <row r="5963" spans="1:8" x14ac:dyDescent="0.35">
      <c r="A5963" s="528" t="s">
        <v>17164</v>
      </c>
      <c r="B5963" s="528" t="s">
        <v>17165</v>
      </c>
      <c r="C5963" s="528" t="s">
        <v>17166</v>
      </c>
      <c r="D5963" s="528" t="s">
        <v>225</v>
      </c>
      <c r="E5963" s="528"/>
      <c r="F5963" s="528"/>
      <c r="G5963" s="528" t="s">
        <v>212</v>
      </c>
      <c r="H5963"/>
    </row>
    <row r="5964" spans="1:8" x14ac:dyDescent="0.35">
      <c r="A5964" s="528" t="s">
        <v>17167</v>
      </c>
      <c r="B5964" s="528" t="s">
        <v>17168</v>
      </c>
      <c r="C5964" s="528" t="s">
        <v>17169</v>
      </c>
      <c r="D5964" s="528" t="s">
        <v>264</v>
      </c>
      <c r="E5964" s="528"/>
      <c r="F5964" s="528"/>
      <c r="G5964" s="528" t="s">
        <v>205</v>
      </c>
      <c r="H5964"/>
    </row>
    <row r="5965" spans="1:8" x14ac:dyDescent="0.35">
      <c r="A5965" s="528" t="s">
        <v>17170</v>
      </c>
      <c r="B5965" s="528" t="s">
        <v>17171</v>
      </c>
      <c r="C5965" s="528" t="s">
        <v>17172</v>
      </c>
      <c r="D5965" s="528" t="s">
        <v>264</v>
      </c>
      <c r="E5965" s="528"/>
      <c r="F5965" s="528"/>
      <c r="G5965" s="528" t="s">
        <v>205</v>
      </c>
      <c r="H5965"/>
    </row>
    <row r="5966" spans="1:8" x14ac:dyDescent="0.35">
      <c r="A5966" s="528" t="s">
        <v>17173</v>
      </c>
      <c r="B5966" s="528" t="s">
        <v>17174</v>
      </c>
      <c r="C5966" s="528" t="s">
        <v>17175</v>
      </c>
      <c r="D5966" s="528" t="s">
        <v>277</v>
      </c>
      <c r="E5966" s="528"/>
      <c r="F5966" s="528"/>
      <c r="G5966" s="528" t="s">
        <v>205</v>
      </c>
      <c r="H5966"/>
    </row>
    <row r="5967" spans="1:8" x14ac:dyDescent="0.35">
      <c r="A5967" s="528" t="s">
        <v>17176</v>
      </c>
      <c r="B5967" s="528" t="s">
        <v>17177</v>
      </c>
      <c r="C5967" s="528" t="s">
        <v>17178</v>
      </c>
      <c r="D5967" s="528" t="s">
        <v>264</v>
      </c>
      <c r="E5967" s="528"/>
      <c r="F5967" s="528"/>
      <c r="G5967" s="528" t="s">
        <v>214</v>
      </c>
      <c r="H5967"/>
    </row>
    <row r="5968" spans="1:8" x14ac:dyDescent="0.35">
      <c r="A5968" s="528" t="s">
        <v>17179</v>
      </c>
      <c r="B5968" s="528" t="s">
        <v>17180</v>
      </c>
      <c r="C5968" s="528" t="s">
        <v>17181</v>
      </c>
      <c r="D5968" s="528" t="s">
        <v>238</v>
      </c>
      <c r="E5968" s="528"/>
      <c r="F5968" s="528"/>
      <c r="G5968" s="528" t="s">
        <v>208</v>
      </c>
      <c r="H5968"/>
    </row>
    <row r="5969" spans="1:8" x14ac:dyDescent="0.35">
      <c r="A5969" s="528" t="s">
        <v>17182</v>
      </c>
      <c r="B5969" s="528" t="s">
        <v>17183</v>
      </c>
      <c r="C5969" s="528" t="s">
        <v>17184</v>
      </c>
      <c r="D5969" s="528" t="s">
        <v>277</v>
      </c>
      <c r="E5969" s="528"/>
      <c r="F5969" s="528"/>
      <c r="G5969" s="528" t="s">
        <v>208</v>
      </c>
      <c r="H5969"/>
    </row>
    <row r="5970" spans="1:8" x14ac:dyDescent="0.35">
      <c r="A5970" s="528" t="s">
        <v>17185</v>
      </c>
      <c r="B5970" s="528" t="s">
        <v>17186</v>
      </c>
      <c r="C5970" s="528" t="s">
        <v>17187</v>
      </c>
      <c r="D5970" s="528" t="s">
        <v>264</v>
      </c>
      <c r="E5970" s="528"/>
      <c r="F5970" s="528"/>
      <c r="G5970" s="528" t="s">
        <v>208</v>
      </c>
      <c r="H5970"/>
    </row>
    <row r="5971" spans="1:8" x14ac:dyDescent="0.35">
      <c r="A5971" s="528" t="s">
        <v>17188</v>
      </c>
      <c r="B5971" s="528" t="s">
        <v>17189</v>
      </c>
      <c r="C5971" s="528" t="s">
        <v>17190</v>
      </c>
      <c r="D5971" s="528" t="s">
        <v>238</v>
      </c>
      <c r="E5971" s="528"/>
      <c r="F5971" s="528"/>
      <c r="G5971" s="528" t="s">
        <v>208</v>
      </c>
      <c r="H5971"/>
    </row>
    <row r="5972" spans="1:8" x14ac:dyDescent="0.35">
      <c r="A5972" s="528" t="s">
        <v>17191</v>
      </c>
      <c r="B5972" s="528" t="s">
        <v>17192</v>
      </c>
      <c r="C5972" s="528" t="s">
        <v>17193</v>
      </c>
      <c r="D5972" s="528" t="s">
        <v>238</v>
      </c>
      <c r="E5972" s="528"/>
      <c r="F5972" s="528"/>
      <c r="G5972" s="528" t="s">
        <v>205</v>
      </c>
      <c r="H5972"/>
    </row>
    <row r="5973" spans="1:8" x14ac:dyDescent="0.35">
      <c r="A5973" s="528" t="s">
        <v>17194</v>
      </c>
      <c r="B5973" s="528" t="s">
        <v>17195</v>
      </c>
      <c r="C5973" s="528" t="s">
        <v>17196</v>
      </c>
      <c r="D5973" s="528" t="s">
        <v>238</v>
      </c>
      <c r="E5973" s="528"/>
      <c r="F5973" s="528"/>
      <c r="G5973" s="528" t="s">
        <v>208</v>
      </c>
      <c r="H5973"/>
    </row>
    <row r="5974" spans="1:8" x14ac:dyDescent="0.35">
      <c r="A5974" s="528" t="s">
        <v>17197</v>
      </c>
      <c r="B5974" s="528" t="s">
        <v>17198</v>
      </c>
      <c r="C5974" s="528" t="s">
        <v>17199</v>
      </c>
      <c r="D5974" s="528" t="s">
        <v>225</v>
      </c>
      <c r="E5974" s="528"/>
      <c r="F5974" s="528"/>
      <c r="G5974" s="528" t="s">
        <v>208</v>
      </c>
      <c r="H5974"/>
    </row>
    <row r="5975" spans="1:8" x14ac:dyDescent="0.35">
      <c r="A5975" s="528" t="s">
        <v>17200</v>
      </c>
      <c r="B5975" s="528" t="s">
        <v>17201</v>
      </c>
      <c r="C5975" s="528" t="s">
        <v>17202</v>
      </c>
      <c r="D5975" s="528" t="s">
        <v>277</v>
      </c>
      <c r="E5975" s="528"/>
      <c r="F5975" s="528"/>
      <c r="G5975" s="528" t="s">
        <v>212</v>
      </c>
      <c r="H5975"/>
    </row>
    <row r="5976" spans="1:8" x14ac:dyDescent="0.35">
      <c r="A5976" s="528" t="s">
        <v>17203</v>
      </c>
      <c r="B5976" s="528" t="s">
        <v>17204</v>
      </c>
      <c r="C5976" s="528" t="s">
        <v>17205</v>
      </c>
      <c r="D5976" s="528" t="s">
        <v>238</v>
      </c>
      <c r="E5976" s="528"/>
      <c r="F5976" s="528"/>
      <c r="G5976" s="528" t="s">
        <v>208</v>
      </c>
      <c r="H5976"/>
    </row>
    <row r="5977" spans="1:8" x14ac:dyDescent="0.35">
      <c r="A5977" s="528" t="s">
        <v>17206</v>
      </c>
      <c r="B5977" s="528" t="s">
        <v>17207</v>
      </c>
      <c r="C5977" s="528" t="s">
        <v>17208</v>
      </c>
      <c r="D5977" s="528" t="s">
        <v>264</v>
      </c>
      <c r="E5977" s="528"/>
      <c r="F5977" s="528"/>
      <c r="G5977" s="528" t="s">
        <v>208</v>
      </c>
      <c r="H5977"/>
    </row>
    <row r="5978" spans="1:8" x14ac:dyDescent="0.35">
      <c r="A5978" s="528" t="s">
        <v>17209</v>
      </c>
      <c r="B5978" s="528" t="s">
        <v>17210</v>
      </c>
      <c r="C5978" s="528" t="s">
        <v>17211</v>
      </c>
      <c r="D5978" s="528" t="s">
        <v>225</v>
      </c>
      <c r="E5978" s="528"/>
      <c r="F5978" s="528"/>
      <c r="G5978" s="528" t="s">
        <v>208</v>
      </c>
      <c r="H5978"/>
    </row>
    <row r="5979" spans="1:8" x14ac:dyDescent="0.35">
      <c r="A5979" s="528" t="s">
        <v>17212</v>
      </c>
      <c r="B5979" s="528" t="s">
        <v>17213</v>
      </c>
      <c r="C5979" s="528" t="s">
        <v>17214</v>
      </c>
      <c r="D5979" s="528" t="s">
        <v>277</v>
      </c>
      <c r="E5979" s="528"/>
      <c r="F5979" s="528"/>
      <c r="G5979" s="528" t="s">
        <v>212</v>
      </c>
      <c r="H5979"/>
    </row>
    <row r="5980" spans="1:8" x14ac:dyDescent="0.35">
      <c r="A5980" s="528" t="s">
        <v>17215</v>
      </c>
      <c r="B5980" s="528" t="s">
        <v>17216</v>
      </c>
      <c r="C5980" s="528" t="s">
        <v>17217</v>
      </c>
      <c r="D5980" s="528" t="s">
        <v>238</v>
      </c>
      <c r="E5980" s="528"/>
      <c r="F5980" s="528"/>
      <c r="G5980" s="528" t="s">
        <v>208</v>
      </c>
      <c r="H5980"/>
    </row>
    <row r="5981" spans="1:8" x14ac:dyDescent="0.35">
      <c r="A5981" s="528" t="s">
        <v>17218</v>
      </c>
      <c r="B5981" s="528" t="s">
        <v>17219</v>
      </c>
      <c r="C5981" s="528" t="s">
        <v>17220</v>
      </c>
      <c r="D5981" s="528" t="s">
        <v>238</v>
      </c>
      <c r="E5981" s="528"/>
      <c r="F5981" s="528"/>
      <c r="G5981" s="528" t="s">
        <v>208</v>
      </c>
      <c r="H5981"/>
    </row>
    <row r="5982" spans="1:8" x14ac:dyDescent="0.35">
      <c r="A5982" s="528" t="s">
        <v>17221</v>
      </c>
      <c r="B5982" s="528" t="s">
        <v>17222</v>
      </c>
      <c r="C5982" s="528" t="s">
        <v>17223</v>
      </c>
      <c r="D5982" s="528" t="s">
        <v>251</v>
      </c>
      <c r="E5982" s="528"/>
      <c r="F5982" s="528"/>
      <c r="G5982" s="528" t="s">
        <v>208</v>
      </c>
      <c r="H5982"/>
    </row>
    <row r="5983" spans="1:8" x14ac:dyDescent="0.35">
      <c r="A5983" s="528" t="s">
        <v>17224</v>
      </c>
      <c r="B5983" s="528" t="s">
        <v>17225</v>
      </c>
      <c r="C5983" s="528" t="s">
        <v>17226</v>
      </c>
      <c r="D5983" s="528" t="s">
        <v>225</v>
      </c>
      <c r="E5983" s="528"/>
      <c r="F5983" s="528"/>
      <c r="G5983" s="528" t="s">
        <v>208</v>
      </c>
      <c r="H5983"/>
    </row>
    <row r="5984" spans="1:8" x14ac:dyDescent="0.35">
      <c r="A5984" s="528" t="s">
        <v>17227</v>
      </c>
      <c r="B5984" s="528" t="s">
        <v>17228</v>
      </c>
      <c r="C5984" s="528" t="s">
        <v>17229</v>
      </c>
      <c r="D5984" s="528" t="s">
        <v>225</v>
      </c>
      <c r="E5984" s="528"/>
      <c r="F5984" s="528"/>
      <c r="G5984" s="528" t="s">
        <v>212</v>
      </c>
      <c r="H5984"/>
    </row>
    <row r="5985" spans="1:8" x14ac:dyDescent="0.35">
      <c r="A5985" s="528" t="s">
        <v>17230</v>
      </c>
      <c r="B5985" s="528" t="s">
        <v>17231</v>
      </c>
      <c r="C5985" s="528" t="s">
        <v>17232</v>
      </c>
      <c r="D5985" s="528" t="s">
        <v>251</v>
      </c>
      <c r="E5985" s="528"/>
      <c r="F5985" s="528"/>
      <c r="G5985" s="528" t="s">
        <v>208</v>
      </c>
      <c r="H5985"/>
    </row>
    <row r="5986" spans="1:8" x14ac:dyDescent="0.35">
      <c r="A5986" s="528" t="s">
        <v>17233</v>
      </c>
      <c r="B5986" s="528" t="s">
        <v>17234</v>
      </c>
      <c r="C5986" s="528" t="s">
        <v>17235</v>
      </c>
      <c r="D5986" s="528" t="s">
        <v>277</v>
      </c>
      <c r="E5986" s="528" t="s">
        <v>264</v>
      </c>
      <c r="F5986" s="528"/>
      <c r="G5986" s="528" t="s">
        <v>205</v>
      </c>
      <c r="H5986"/>
    </row>
    <row r="5987" spans="1:8" x14ac:dyDescent="0.35">
      <c r="A5987" s="528" t="s">
        <v>17236</v>
      </c>
      <c r="B5987" s="528" t="s">
        <v>17237</v>
      </c>
      <c r="C5987" s="528" t="s">
        <v>17238</v>
      </c>
      <c r="D5987" s="528" t="s">
        <v>251</v>
      </c>
      <c r="E5987" s="528" t="s">
        <v>225</v>
      </c>
      <c r="F5987" s="528"/>
      <c r="G5987" s="528" t="s">
        <v>205</v>
      </c>
      <c r="H5987"/>
    </row>
    <row r="5988" spans="1:8" x14ac:dyDescent="0.35">
      <c r="A5988" s="528" t="s">
        <v>17239</v>
      </c>
      <c r="B5988" s="528" t="s">
        <v>17240</v>
      </c>
      <c r="C5988" s="528" t="s">
        <v>17241</v>
      </c>
      <c r="D5988" s="528" t="s">
        <v>277</v>
      </c>
      <c r="E5988" s="528"/>
      <c r="F5988" s="528"/>
      <c r="G5988" s="528" t="s">
        <v>205</v>
      </c>
      <c r="H5988"/>
    </row>
    <row r="5989" spans="1:8" x14ac:dyDescent="0.35">
      <c r="A5989" s="528" t="s">
        <v>17242</v>
      </c>
      <c r="B5989" s="528" t="s">
        <v>17243</v>
      </c>
      <c r="C5989" s="528" t="s">
        <v>17244</v>
      </c>
      <c r="D5989" s="528" t="s">
        <v>277</v>
      </c>
      <c r="E5989" s="528"/>
      <c r="F5989" s="528"/>
      <c r="G5989" s="528" t="s">
        <v>205</v>
      </c>
      <c r="H5989"/>
    </row>
    <row r="5990" spans="1:8" x14ac:dyDescent="0.35">
      <c r="A5990" s="528" t="s">
        <v>17245</v>
      </c>
      <c r="B5990" s="528" t="s">
        <v>17246</v>
      </c>
      <c r="C5990" s="528" t="s">
        <v>17247</v>
      </c>
      <c r="D5990" s="528" t="s">
        <v>277</v>
      </c>
      <c r="E5990" s="528"/>
      <c r="F5990" s="528"/>
      <c r="G5990" s="528" t="s">
        <v>205</v>
      </c>
      <c r="H5990"/>
    </row>
    <row r="5991" spans="1:8" x14ac:dyDescent="0.35">
      <c r="A5991" s="528" t="s">
        <v>17248</v>
      </c>
      <c r="B5991" s="528" t="s">
        <v>17249</v>
      </c>
      <c r="C5991" s="528" t="s">
        <v>17250</v>
      </c>
      <c r="D5991" s="528" t="s">
        <v>251</v>
      </c>
      <c r="E5991" s="528"/>
      <c r="F5991" s="528"/>
      <c r="G5991" s="528" t="s">
        <v>205</v>
      </c>
      <c r="H5991"/>
    </row>
    <row r="5992" spans="1:8" x14ac:dyDescent="0.35">
      <c r="A5992" s="528" t="s">
        <v>17251</v>
      </c>
      <c r="B5992" s="528" t="s">
        <v>17252</v>
      </c>
      <c r="C5992" s="528" t="s">
        <v>17253</v>
      </c>
      <c r="D5992" s="528" t="s">
        <v>277</v>
      </c>
      <c r="E5992" s="528"/>
      <c r="F5992" s="528"/>
      <c r="G5992" s="528" t="s">
        <v>205</v>
      </c>
      <c r="H5992"/>
    </row>
    <row r="5993" spans="1:8" x14ac:dyDescent="0.35">
      <c r="A5993" s="528" t="s">
        <v>17254</v>
      </c>
      <c r="B5993" s="528" t="s">
        <v>17255</v>
      </c>
      <c r="C5993" s="528" t="s">
        <v>17256</v>
      </c>
      <c r="D5993" s="528" t="s">
        <v>277</v>
      </c>
      <c r="E5993" s="528"/>
      <c r="F5993" s="528"/>
      <c r="G5993" s="528" t="s">
        <v>208</v>
      </c>
      <c r="H5993"/>
    </row>
    <row r="5994" spans="1:8" x14ac:dyDescent="0.35">
      <c r="A5994" s="528" t="s">
        <v>17257</v>
      </c>
      <c r="B5994" s="528" t="s">
        <v>17258</v>
      </c>
      <c r="C5994" s="528" t="s">
        <v>17259</v>
      </c>
      <c r="D5994" s="528" t="s">
        <v>277</v>
      </c>
      <c r="E5994" s="528"/>
      <c r="F5994" s="528"/>
      <c r="G5994" s="528" t="s">
        <v>208</v>
      </c>
      <c r="H5994"/>
    </row>
    <row r="5995" spans="1:8" x14ac:dyDescent="0.35">
      <c r="A5995" s="528" t="s">
        <v>17260</v>
      </c>
      <c r="B5995" s="528" t="s">
        <v>17261</v>
      </c>
      <c r="C5995" s="528" t="s">
        <v>17262</v>
      </c>
      <c r="D5995" s="528" t="s">
        <v>264</v>
      </c>
      <c r="E5995" s="528"/>
      <c r="F5995" s="528"/>
      <c r="G5995" s="528" t="s">
        <v>208</v>
      </c>
      <c r="H5995"/>
    </row>
    <row r="5996" spans="1:8" x14ac:dyDescent="0.35">
      <c r="A5996" s="528" t="s">
        <v>17263</v>
      </c>
      <c r="B5996" s="528" t="s">
        <v>17264</v>
      </c>
      <c r="C5996" s="528" t="s">
        <v>17265</v>
      </c>
      <c r="D5996" s="528" t="s">
        <v>238</v>
      </c>
      <c r="E5996" s="528"/>
      <c r="F5996" s="528"/>
      <c r="G5996" s="528" t="s">
        <v>208</v>
      </c>
      <c r="H5996"/>
    </row>
    <row r="5997" spans="1:8" x14ac:dyDescent="0.35">
      <c r="A5997" s="528" t="s">
        <v>17266</v>
      </c>
      <c r="B5997" s="528" t="s">
        <v>17267</v>
      </c>
      <c r="C5997" s="528" t="s">
        <v>17268</v>
      </c>
      <c r="D5997" s="528" t="s">
        <v>264</v>
      </c>
      <c r="E5997" s="528"/>
      <c r="F5997" s="528"/>
      <c r="G5997" s="528" t="s">
        <v>205</v>
      </c>
      <c r="H5997"/>
    </row>
    <row r="5998" spans="1:8" x14ac:dyDescent="0.35">
      <c r="A5998" s="528" t="s">
        <v>17269</v>
      </c>
      <c r="B5998" s="528" t="s">
        <v>17270</v>
      </c>
      <c r="C5998" s="528" t="s">
        <v>17271</v>
      </c>
      <c r="D5998" s="528" t="s">
        <v>277</v>
      </c>
      <c r="E5998" s="528"/>
      <c r="F5998" s="528"/>
      <c r="G5998" s="528" t="s">
        <v>208</v>
      </c>
      <c r="H5998"/>
    </row>
    <row r="5999" spans="1:8" x14ac:dyDescent="0.35">
      <c r="A5999" s="528" t="s">
        <v>17272</v>
      </c>
      <c r="B5999" s="528" t="s">
        <v>17273</v>
      </c>
      <c r="C5999" s="528" t="s">
        <v>17274</v>
      </c>
      <c r="D5999" s="528" t="s">
        <v>251</v>
      </c>
      <c r="E5999" s="528"/>
      <c r="F5999" s="528"/>
      <c r="G5999" s="528" t="s">
        <v>208</v>
      </c>
      <c r="H5999"/>
    </row>
    <row r="6000" spans="1:8" x14ac:dyDescent="0.35">
      <c r="A6000" s="528" t="s">
        <v>17275</v>
      </c>
      <c r="B6000" s="528" t="s">
        <v>17276</v>
      </c>
      <c r="C6000" s="528" t="s">
        <v>17277</v>
      </c>
      <c r="D6000" s="528" t="s">
        <v>225</v>
      </c>
      <c r="E6000" s="528"/>
      <c r="F6000" s="528"/>
      <c r="G6000" s="528" t="s">
        <v>208</v>
      </c>
      <c r="H6000"/>
    </row>
    <row r="6001" spans="1:8" x14ac:dyDescent="0.35">
      <c r="A6001" s="528" t="s">
        <v>17278</v>
      </c>
      <c r="B6001" s="528" t="s">
        <v>17279</v>
      </c>
      <c r="C6001" s="528" t="s">
        <v>17280</v>
      </c>
      <c r="D6001" s="528" t="s">
        <v>225</v>
      </c>
      <c r="E6001" s="528"/>
      <c r="F6001" s="528"/>
      <c r="G6001" s="528" t="s">
        <v>208</v>
      </c>
      <c r="H6001"/>
    </row>
    <row r="6002" spans="1:8" x14ac:dyDescent="0.35">
      <c r="A6002" s="528" t="s">
        <v>17281</v>
      </c>
      <c r="B6002" s="528" t="s">
        <v>17282</v>
      </c>
      <c r="C6002" s="528" t="s">
        <v>17283</v>
      </c>
      <c r="D6002" s="528" t="s">
        <v>225</v>
      </c>
      <c r="E6002" s="528"/>
      <c r="F6002" s="528"/>
      <c r="G6002" s="528" t="s">
        <v>208</v>
      </c>
      <c r="H6002"/>
    </row>
    <row r="6003" spans="1:8" x14ac:dyDescent="0.35">
      <c r="A6003" s="528" t="s">
        <v>17284</v>
      </c>
      <c r="B6003" s="528" t="s">
        <v>17285</v>
      </c>
      <c r="C6003" s="528" t="s">
        <v>17286</v>
      </c>
      <c r="D6003" s="528" t="s">
        <v>277</v>
      </c>
      <c r="E6003" s="528"/>
      <c r="F6003" s="528"/>
      <c r="G6003" s="528" t="s">
        <v>208</v>
      </c>
      <c r="H6003"/>
    </row>
    <row r="6004" spans="1:8" x14ac:dyDescent="0.35">
      <c r="A6004" s="528" t="s">
        <v>17287</v>
      </c>
      <c r="B6004" s="528" t="s">
        <v>17288</v>
      </c>
      <c r="C6004" s="528" t="s">
        <v>17289</v>
      </c>
      <c r="D6004" s="528" t="s">
        <v>264</v>
      </c>
      <c r="E6004" s="528"/>
      <c r="F6004" s="528"/>
      <c r="G6004" s="528" t="s">
        <v>205</v>
      </c>
      <c r="H6004"/>
    </row>
    <row r="6005" spans="1:8" x14ac:dyDescent="0.35">
      <c r="A6005" s="528" t="s">
        <v>17290</v>
      </c>
      <c r="B6005" s="528" t="s">
        <v>17291</v>
      </c>
      <c r="C6005" s="528" t="s">
        <v>17292</v>
      </c>
      <c r="D6005" s="528" t="s">
        <v>251</v>
      </c>
      <c r="E6005" s="528"/>
      <c r="F6005" s="528"/>
      <c r="G6005" s="528" t="s">
        <v>208</v>
      </c>
      <c r="H6005"/>
    </row>
    <row r="6006" spans="1:8" x14ac:dyDescent="0.35">
      <c r="A6006" s="528" t="s">
        <v>17293</v>
      </c>
      <c r="B6006" s="528" t="s">
        <v>17294</v>
      </c>
      <c r="C6006" s="528" t="s">
        <v>17295</v>
      </c>
      <c r="D6006" s="528" t="s">
        <v>264</v>
      </c>
      <c r="E6006" s="528"/>
      <c r="F6006" s="528"/>
      <c r="G6006" s="528" t="s">
        <v>210</v>
      </c>
      <c r="H6006"/>
    </row>
    <row r="6007" spans="1:8" x14ac:dyDescent="0.35">
      <c r="A6007" s="528" t="s">
        <v>17296</v>
      </c>
      <c r="B6007" s="528" t="s">
        <v>17297</v>
      </c>
      <c r="C6007" s="528" t="s">
        <v>17298</v>
      </c>
      <c r="D6007" s="528" t="s">
        <v>264</v>
      </c>
      <c r="E6007" s="528"/>
      <c r="F6007" s="528"/>
      <c r="G6007" s="528" t="s">
        <v>210</v>
      </c>
      <c r="H6007"/>
    </row>
    <row r="6008" spans="1:8" x14ac:dyDescent="0.35">
      <c r="A6008" s="528" t="s">
        <v>17299</v>
      </c>
      <c r="B6008" s="528" t="s">
        <v>17300</v>
      </c>
      <c r="C6008" s="528" t="s">
        <v>17301</v>
      </c>
      <c r="D6008" s="528" t="s">
        <v>225</v>
      </c>
      <c r="E6008" s="528"/>
      <c r="F6008" s="528"/>
      <c r="G6008" s="528" t="s">
        <v>205</v>
      </c>
      <c r="H6008"/>
    </row>
    <row r="6009" spans="1:8" x14ac:dyDescent="0.35">
      <c r="A6009" s="528" t="s">
        <v>17302</v>
      </c>
      <c r="B6009" s="528" t="s">
        <v>17303</v>
      </c>
      <c r="C6009" s="528" t="s">
        <v>17304</v>
      </c>
      <c r="D6009" s="528" t="s">
        <v>225</v>
      </c>
      <c r="E6009" s="528"/>
      <c r="F6009" s="528"/>
      <c r="G6009" s="528" t="s">
        <v>205</v>
      </c>
      <c r="H6009"/>
    </row>
    <row r="6010" spans="1:8" x14ac:dyDescent="0.35">
      <c r="A6010" s="528" t="s">
        <v>17305</v>
      </c>
      <c r="B6010" s="528" t="s">
        <v>17306</v>
      </c>
      <c r="C6010" s="528" t="s">
        <v>17307</v>
      </c>
      <c r="D6010" s="528" t="s">
        <v>277</v>
      </c>
      <c r="E6010" s="528"/>
      <c r="F6010" s="528"/>
      <c r="G6010" s="528" t="s">
        <v>208</v>
      </c>
      <c r="H6010"/>
    </row>
    <row r="6011" spans="1:8" x14ac:dyDescent="0.35">
      <c r="A6011" s="528" t="s">
        <v>17308</v>
      </c>
      <c r="B6011" s="528" t="s">
        <v>17309</v>
      </c>
      <c r="C6011" s="528" t="s">
        <v>17310</v>
      </c>
      <c r="D6011" s="528" t="s">
        <v>277</v>
      </c>
      <c r="E6011" s="528"/>
      <c r="F6011" s="528"/>
      <c r="G6011" s="528" t="s">
        <v>205</v>
      </c>
      <c r="H6011"/>
    </row>
    <row r="6012" spans="1:8" x14ac:dyDescent="0.35">
      <c r="A6012" s="528" t="s">
        <v>17311</v>
      </c>
      <c r="B6012" s="528" t="s">
        <v>17312</v>
      </c>
      <c r="C6012" s="528" t="s">
        <v>17313</v>
      </c>
      <c r="D6012" s="528" t="s">
        <v>225</v>
      </c>
      <c r="E6012" s="528"/>
      <c r="F6012" s="528"/>
      <c r="G6012" s="528" t="s">
        <v>205</v>
      </c>
      <c r="H6012"/>
    </row>
    <row r="6013" spans="1:8" x14ac:dyDescent="0.35">
      <c r="A6013" s="528" t="s">
        <v>17314</v>
      </c>
      <c r="B6013" s="528" t="s">
        <v>17315</v>
      </c>
      <c r="C6013" s="528" t="s">
        <v>17316</v>
      </c>
      <c r="D6013" s="528" t="s">
        <v>251</v>
      </c>
      <c r="E6013" s="528"/>
      <c r="F6013" s="528"/>
      <c r="G6013" s="528" t="s">
        <v>205</v>
      </c>
      <c r="H6013"/>
    </row>
    <row r="6014" spans="1:8" x14ac:dyDescent="0.35">
      <c r="A6014" s="528" t="s">
        <v>17317</v>
      </c>
      <c r="B6014" s="528" t="s">
        <v>17318</v>
      </c>
      <c r="C6014" s="528" t="s">
        <v>17319</v>
      </c>
      <c r="D6014" s="528" t="s">
        <v>251</v>
      </c>
      <c r="E6014" s="528"/>
      <c r="F6014" s="528"/>
      <c r="G6014" s="528" t="s">
        <v>205</v>
      </c>
      <c r="H6014"/>
    </row>
    <row r="6015" spans="1:8" x14ac:dyDescent="0.35">
      <c r="A6015" s="528" t="s">
        <v>17320</v>
      </c>
      <c r="B6015" s="528" t="s">
        <v>17321</v>
      </c>
      <c r="C6015" s="528" t="s">
        <v>17322</v>
      </c>
      <c r="D6015" s="528" t="s">
        <v>264</v>
      </c>
      <c r="E6015" s="528"/>
      <c r="F6015" s="528"/>
      <c r="G6015" s="528" t="s">
        <v>205</v>
      </c>
      <c r="H6015"/>
    </row>
    <row r="6016" spans="1:8" x14ac:dyDescent="0.35">
      <c r="A6016" s="528" t="s">
        <v>17323</v>
      </c>
      <c r="B6016" s="528" t="s">
        <v>17324</v>
      </c>
      <c r="C6016" s="528" t="s">
        <v>17325</v>
      </c>
      <c r="D6016" s="528" t="s">
        <v>251</v>
      </c>
      <c r="E6016" s="528"/>
      <c r="F6016" s="528"/>
      <c r="G6016" s="528" t="s">
        <v>208</v>
      </c>
      <c r="H6016"/>
    </row>
    <row r="6017" spans="1:8" x14ac:dyDescent="0.35">
      <c r="A6017" s="528" t="s">
        <v>17326</v>
      </c>
      <c r="B6017" s="528" t="s">
        <v>17327</v>
      </c>
      <c r="C6017" s="528" t="s">
        <v>17328</v>
      </c>
      <c r="D6017" s="528" t="s">
        <v>238</v>
      </c>
      <c r="E6017" s="528"/>
      <c r="F6017" s="528"/>
      <c r="G6017" s="528" t="s">
        <v>208</v>
      </c>
      <c r="H6017"/>
    </row>
    <row r="6018" spans="1:8" x14ac:dyDescent="0.35">
      <c r="A6018" s="528" t="s">
        <v>17329</v>
      </c>
      <c r="B6018" s="528" t="s">
        <v>17330</v>
      </c>
      <c r="C6018" s="528" t="s">
        <v>17331</v>
      </c>
      <c r="D6018" s="528" t="s">
        <v>251</v>
      </c>
      <c r="E6018" s="528"/>
      <c r="F6018" s="528"/>
      <c r="G6018" s="528" t="s">
        <v>208</v>
      </c>
      <c r="H6018"/>
    </row>
    <row r="6019" spans="1:8" x14ac:dyDescent="0.35">
      <c r="A6019" s="528" t="s">
        <v>17332</v>
      </c>
      <c r="B6019" s="528" t="s">
        <v>17333</v>
      </c>
      <c r="C6019" s="528" t="s">
        <v>17334</v>
      </c>
      <c r="D6019" s="528" t="s">
        <v>251</v>
      </c>
      <c r="E6019" s="528"/>
      <c r="F6019" s="528"/>
      <c r="G6019" s="528" t="s">
        <v>208</v>
      </c>
      <c r="H6019"/>
    </row>
    <row r="6020" spans="1:8" x14ac:dyDescent="0.35">
      <c r="A6020" s="528" t="s">
        <v>17335</v>
      </c>
      <c r="B6020" s="528" t="s">
        <v>17336</v>
      </c>
      <c r="C6020" s="528" t="s">
        <v>17337</v>
      </c>
      <c r="D6020" s="528" t="s">
        <v>225</v>
      </c>
      <c r="E6020" s="528"/>
      <c r="F6020" s="528"/>
      <c r="G6020" s="528" t="s">
        <v>208</v>
      </c>
      <c r="H6020"/>
    </row>
    <row r="6021" spans="1:8" x14ac:dyDescent="0.35">
      <c r="A6021" s="528" t="s">
        <v>17338</v>
      </c>
      <c r="B6021" s="528" t="s">
        <v>17339</v>
      </c>
      <c r="C6021" s="528" t="s">
        <v>17340</v>
      </c>
      <c r="D6021" s="528" t="s">
        <v>225</v>
      </c>
      <c r="E6021" s="528"/>
      <c r="F6021" s="528"/>
      <c r="G6021" s="528" t="s">
        <v>205</v>
      </c>
      <c r="H6021"/>
    </row>
    <row r="6022" spans="1:8" x14ac:dyDescent="0.35">
      <c r="A6022" s="528" t="s">
        <v>17341</v>
      </c>
      <c r="B6022" s="528" t="s">
        <v>17342</v>
      </c>
      <c r="C6022" s="528" t="s">
        <v>17343</v>
      </c>
      <c r="D6022" s="528" t="s">
        <v>225</v>
      </c>
      <c r="E6022" s="528"/>
      <c r="F6022" s="528"/>
      <c r="G6022" s="528" t="s">
        <v>212</v>
      </c>
      <c r="H6022"/>
    </row>
    <row r="6023" spans="1:8" x14ac:dyDescent="0.35">
      <c r="A6023" s="528" t="s">
        <v>17344</v>
      </c>
      <c r="B6023" s="528" t="s">
        <v>17345</v>
      </c>
      <c r="C6023" s="528" t="s">
        <v>17346</v>
      </c>
      <c r="D6023" s="528" t="s">
        <v>225</v>
      </c>
      <c r="E6023" s="528"/>
      <c r="F6023" s="528"/>
      <c r="G6023" s="528" t="s">
        <v>208</v>
      </c>
      <c r="H6023"/>
    </row>
    <row r="6024" spans="1:8" x14ac:dyDescent="0.35">
      <c r="A6024" s="528" t="s">
        <v>17347</v>
      </c>
      <c r="B6024" s="528" t="s">
        <v>17348</v>
      </c>
      <c r="C6024" s="528" t="s">
        <v>17349</v>
      </c>
      <c r="D6024" s="528" t="s">
        <v>264</v>
      </c>
      <c r="E6024" s="528"/>
      <c r="F6024" s="528"/>
      <c r="G6024" s="528" t="s">
        <v>210</v>
      </c>
      <c r="H6024"/>
    </row>
    <row r="6025" spans="1:8" x14ac:dyDescent="0.35">
      <c r="A6025" s="528" t="s">
        <v>17350</v>
      </c>
      <c r="B6025" s="528" t="s">
        <v>17351</v>
      </c>
      <c r="C6025" s="528" t="s">
        <v>17352</v>
      </c>
      <c r="D6025" s="528" t="s">
        <v>264</v>
      </c>
      <c r="E6025" s="528"/>
      <c r="F6025" s="528"/>
      <c r="G6025" s="528" t="s">
        <v>208</v>
      </c>
      <c r="H6025"/>
    </row>
    <row r="6026" spans="1:8" x14ac:dyDescent="0.35">
      <c r="A6026" s="528" t="s">
        <v>17353</v>
      </c>
      <c r="B6026" s="528" t="s">
        <v>17354</v>
      </c>
      <c r="C6026" s="528" t="s">
        <v>5622</v>
      </c>
      <c r="D6026" s="528" t="s">
        <v>264</v>
      </c>
      <c r="E6026" s="528"/>
      <c r="F6026" s="528"/>
      <c r="G6026" s="528" t="s">
        <v>205</v>
      </c>
      <c r="H6026"/>
    </row>
    <row r="6027" spans="1:8" x14ac:dyDescent="0.35">
      <c r="A6027" s="528" t="s">
        <v>17355</v>
      </c>
      <c r="B6027" s="528" t="s">
        <v>17356</v>
      </c>
      <c r="C6027" s="528" t="s">
        <v>17357</v>
      </c>
      <c r="D6027" s="528" t="s">
        <v>264</v>
      </c>
      <c r="E6027" s="528"/>
      <c r="F6027" s="528"/>
      <c r="G6027" s="528" t="s">
        <v>208</v>
      </c>
      <c r="H6027"/>
    </row>
    <row r="6028" spans="1:8" x14ac:dyDescent="0.35">
      <c r="A6028" s="528" t="s">
        <v>17358</v>
      </c>
      <c r="B6028" s="528" t="s">
        <v>17359</v>
      </c>
      <c r="C6028" s="528" t="s">
        <v>17360</v>
      </c>
      <c r="D6028" s="528" t="s">
        <v>225</v>
      </c>
      <c r="E6028" s="528"/>
      <c r="F6028" s="528"/>
      <c r="G6028" s="528" t="s">
        <v>205</v>
      </c>
      <c r="H6028"/>
    </row>
    <row r="6029" spans="1:8" x14ac:dyDescent="0.35">
      <c r="A6029" s="528" t="s">
        <v>17361</v>
      </c>
      <c r="B6029" s="528" t="s">
        <v>17362</v>
      </c>
      <c r="C6029" s="528" t="s">
        <v>17363</v>
      </c>
      <c r="D6029" s="528" t="s">
        <v>225</v>
      </c>
      <c r="E6029" s="528"/>
      <c r="F6029" s="528"/>
      <c r="G6029" s="528" t="s">
        <v>205</v>
      </c>
      <c r="H6029"/>
    </row>
    <row r="6030" spans="1:8" x14ac:dyDescent="0.35">
      <c r="A6030" s="528" t="s">
        <v>17364</v>
      </c>
      <c r="B6030" s="528" t="s">
        <v>17365</v>
      </c>
      <c r="C6030" s="528" t="s">
        <v>17366</v>
      </c>
      <c r="D6030" s="528" t="s">
        <v>277</v>
      </c>
      <c r="E6030" s="528"/>
      <c r="F6030" s="528"/>
      <c r="G6030" s="528" t="s">
        <v>205</v>
      </c>
      <c r="H6030"/>
    </row>
    <row r="6031" spans="1:8" x14ac:dyDescent="0.35">
      <c r="A6031" s="528" t="s">
        <v>17367</v>
      </c>
      <c r="B6031" s="528" t="s">
        <v>17368</v>
      </c>
      <c r="C6031" s="528" t="s">
        <v>17369</v>
      </c>
      <c r="D6031" s="528" t="s">
        <v>277</v>
      </c>
      <c r="E6031" s="528"/>
      <c r="F6031" s="528"/>
      <c r="G6031" s="528" t="s">
        <v>205</v>
      </c>
      <c r="H6031"/>
    </row>
    <row r="6032" spans="1:8" x14ac:dyDescent="0.35">
      <c r="A6032" s="528" t="s">
        <v>17370</v>
      </c>
      <c r="B6032" s="528" t="s">
        <v>17371</v>
      </c>
      <c r="C6032" s="528" t="s">
        <v>17372</v>
      </c>
      <c r="D6032" s="528" t="s">
        <v>264</v>
      </c>
      <c r="E6032" s="528"/>
      <c r="F6032" s="528"/>
      <c r="G6032" s="528" t="s">
        <v>205</v>
      </c>
      <c r="H6032"/>
    </row>
    <row r="6033" spans="1:8" x14ac:dyDescent="0.35">
      <c r="A6033" s="528" t="s">
        <v>17373</v>
      </c>
      <c r="B6033" s="528" t="s">
        <v>17374</v>
      </c>
      <c r="C6033" s="528" t="s">
        <v>17375</v>
      </c>
      <c r="D6033" s="528" t="s">
        <v>225</v>
      </c>
      <c r="E6033" s="528"/>
      <c r="F6033" s="528"/>
      <c r="G6033" s="528" t="s">
        <v>205</v>
      </c>
      <c r="H6033"/>
    </row>
    <row r="6034" spans="1:8" x14ac:dyDescent="0.35">
      <c r="A6034" s="528" t="s">
        <v>17376</v>
      </c>
      <c r="B6034" s="528" t="s">
        <v>17377</v>
      </c>
      <c r="C6034" s="528" t="s">
        <v>17378</v>
      </c>
      <c r="D6034" s="528" t="s">
        <v>225</v>
      </c>
      <c r="E6034" s="528"/>
      <c r="F6034" s="528"/>
      <c r="G6034" s="528" t="s">
        <v>205</v>
      </c>
      <c r="H6034"/>
    </row>
    <row r="6035" spans="1:8" x14ac:dyDescent="0.35">
      <c r="A6035" s="528" t="s">
        <v>17379</v>
      </c>
      <c r="B6035" s="528" t="s">
        <v>17380</v>
      </c>
      <c r="C6035" s="528" t="s">
        <v>17381</v>
      </c>
      <c r="D6035" s="528" t="s">
        <v>225</v>
      </c>
      <c r="E6035" s="528"/>
      <c r="F6035" s="528"/>
      <c r="G6035" s="528" t="s">
        <v>205</v>
      </c>
      <c r="H6035"/>
    </row>
    <row r="6036" spans="1:8" x14ac:dyDescent="0.35">
      <c r="A6036" s="528" t="s">
        <v>17382</v>
      </c>
      <c r="B6036" s="528" t="s">
        <v>17383</v>
      </c>
      <c r="C6036" s="528" t="s">
        <v>17384</v>
      </c>
      <c r="D6036" s="528" t="s">
        <v>251</v>
      </c>
      <c r="E6036" s="528"/>
      <c r="F6036" s="528"/>
      <c r="G6036" s="528" t="s">
        <v>205</v>
      </c>
      <c r="H6036"/>
    </row>
    <row r="6037" spans="1:8" x14ac:dyDescent="0.35">
      <c r="A6037" s="528" t="s">
        <v>17385</v>
      </c>
      <c r="B6037" s="528" t="s">
        <v>17386</v>
      </c>
      <c r="C6037" s="528" t="s">
        <v>17387</v>
      </c>
      <c r="D6037" s="528" t="s">
        <v>277</v>
      </c>
      <c r="E6037" s="528"/>
      <c r="F6037" s="528"/>
      <c r="G6037" s="528" t="s">
        <v>208</v>
      </c>
      <c r="H6037"/>
    </row>
    <row r="6038" spans="1:8" x14ac:dyDescent="0.35">
      <c r="A6038" s="528" t="s">
        <v>17388</v>
      </c>
      <c r="B6038" s="528" t="s">
        <v>17389</v>
      </c>
      <c r="C6038" s="528" t="s">
        <v>17390</v>
      </c>
      <c r="D6038" s="528" t="s">
        <v>264</v>
      </c>
      <c r="E6038" s="528"/>
      <c r="F6038" s="528"/>
      <c r="G6038" s="528" t="s">
        <v>208</v>
      </c>
      <c r="H6038"/>
    </row>
    <row r="6039" spans="1:8" x14ac:dyDescent="0.35">
      <c r="A6039" s="528" t="s">
        <v>17391</v>
      </c>
      <c r="B6039" s="528" t="s">
        <v>17392</v>
      </c>
      <c r="C6039" s="528" t="s">
        <v>17393</v>
      </c>
      <c r="D6039" s="528" t="s">
        <v>225</v>
      </c>
      <c r="E6039" s="528"/>
      <c r="F6039" s="528"/>
      <c r="G6039" s="528" t="s">
        <v>208</v>
      </c>
      <c r="H6039"/>
    </row>
    <row r="6040" spans="1:8" x14ac:dyDescent="0.35">
      <c r="A6040" s="528" t="s">
        <v>17394</v>
      </c>
      <c r="B6040" s="528" t="s">
        <v>17395</v>
      </c>
      <c r="C6040" s="528" t="s">
        <v>17396</v>
      </c>
      <c r="D6040" s="528" t="s">
        <v>225</v>
      </c>
      <c r="E6040" s="528"/>
      <c r="F6040" s="528"/>
      <c r="G6040" s="528" t="s">
        <v>208</v>
      </c>
      <c r="H6040"/>
    </row>
    <row r="6041" spans="1:8" x14ac:dyDescent="0.35">
      <c r="A6041" s="528" t="s">
        <v>17397</v>
      </c>
      <c r="B6041" s="528" t="s">
        <v>17398</v>
      </c>
      <c r="C6041" s="528" t="s">
        <v>17399</v>
      </c>
      <c r="D6041" s="528" t="s">
        <v>264</v>
      </c>
      <c r="E6041" s="528"/>
      <c r="F6041" s="528"/>
      <c r="G6041" s="528" t="s">
        <v>208</v>
      </c>
      <c r="H6041"/>
    </row>
    <row r="6042" spans="1:8" x14ac:dyDescent="0.35">
      <c r="A6042" s="528" t="s">
        <v>17400</v>
      </c>
      <c r="B6042" s="528" t="s">
        <v>17401</v>
      </c>
      <c r="C6042" s="528" t="s">
        <v>17402</v>
      </c>
      <c r="D6042" s="528" t="s">
        <v>225</v>
      </c>
      <c r="E6042" s="528"/>
      <c r="F6042" s="528"/>
      <c r="G6042" s="528" t="s">
        <v>208</v>
      </c>
      <c r="H6042"/>
    </row>
    <row r="6043" spans="1:8" x14ac:dyDescent="0.35">
      <c r="A6043" s="528" t="s">
        <v>17403</v>
      </c>
      <c r="B6043" s="528" t="s">
        <v>17404</v>
      </c>
      <c r="C6043" s="528" t="s">
        <v>17405</v>
      </c>
      <c r="D6043" s="528" t="s">
        <v>277</v>
      </c>
      <c r="E6043" s="528"/>
      <c r="F6043" s="528"/>
      <c r="G6043" s="528" t="s">
        <v>208</v>
      </c>
      <c r="H6043"/>
    </row>
    <row r="6044" spans="1:8" x14ac:dyDescent="0.35">
      <c r="A6044" s="528" t="s">
        <v>17406</v>
      </c>
      <c r="B6044" s="528" t="s">
        <v>17407</v>
      </c>
      <c r="C6044" s="528" t="s">
        <v>17408</v>
      </c>
      <c r="D6044" s="528" t="s">
        <v>264</v>
      </c>
      <c r="E6044" s="528"/>
      <c r="F6044" s="528"/>
      <c r="G6044" s="528" t="s">
        <v>208</v>
      </c>
      <c r="H6044"/>
    </row>
    <row r="6045" spans="1:8" x14ac:dyDescent="0.35">
      <c r="A6045" s="528" t="s">
        <v>17409</v>
      </c>
      <c r="B6045" s="528" t="s">
        <v>17410</v>
      </c>
      <c r="C6045" s="528" t="s">
        <v>17411</v>
      </c>
      <c r="D6045" s="528" t="s">
        <v>264</v>
      </c>
      <c r="E6045" s="528"/>
      <c r="F6045" s="528"/>
      <c r="G6045" s="528" t="s">
        <v>208</v>
      </c>
      <c r="H6045"/>
    </row>
    <row r="6046" spans="1:8" x14ac:dyDescent="0.35">
      <c r="A6046" s="528" t="s">
        <v>17412</v>
      </c>
      <c r="B6046" s="528" t="s">
        <v>17413</v>
      </c>
      <c r="C6046" s="528" t="s">
        <v>17414</v>
      </c>
      <c r="D6046" s="528" t="s">
        <v>264</v>
      </c>
      <c r="E6046" s="528"/>
      <c r="F6046" s="528"/>
      <c r="G6046" s="528" t="s">
        <v>208</v>
      </c>
      <c r="H6046"/>
    </row>
    <row r="6047" spans="1:8" x14ac:dyDescent="0.35">
      <c r="A6047" s="528" t="s">
        <v>17415</v>
      </c>
      <c r="B6047" s="528" t="s">
        <v>17416</v>
      </c>
      <c r="C6047" s="528" t="s">
        <v>17417</v>
      </c>
      <c r="D6047" s="528" t="s">
        <v>277</v>
      </c>
      <c r="E6047" s="528"/>
      <c r="F6047" s="528"/>
      <c r="G6047" s="528" t="s">
        <v>214</v>
      </c>
      <c r="H6047"/>
    </row>
    <row r="6048" spans="1:8" x14ac:dyDescent="0.35">
      <c r="A6048" s="528" t="s">
        <v>17418</v>
      </c>
      <c r="B6048" s="528" t="s">
        <v>17419</v>
      </c>
      <c r="C6048" s="528" t="s">
        <v>17420</v>
      </c>
      <c r="D6048" s="528" t="s">
        <v>225</v>
      </c>
      <c r="E6048" s="528"/>
      <c r="F6048" s="528"/>
      <c r="G6048" s="528" t="s">
        <v>214</v>
      </c>
      <c r="H6048"/>
    </row>
    <row r="6049" spans="1:8" x14ac:dyDescent="0.35">
      <c r="A6049" s="528" t="s">
        <v>17421</v>
      </c>
      <c r="B6049" s="528" t="s">
        <v>17422</v>
      </c>
      <c r="C6049" s="528" t="s">
        <v>17423</v>
      </c>
      <c r="D6049" s="528" t="s">
        <v>264</v>
      </c>
      <c r="E6049" s="528"/>
      <c r="F6049" s="528"/>
      <c r="G6049" s="528" t="s">
        <v>210</v>
      </c>
      <c r="H6049"/>
    </row>
    <row r="6050" spans="1:8" x14ac:dyDescent="0.35">
      <c r="A6050" s="528" t="s">
        <v>17424</v>
      </c>
      <c r="B6050" s="528" t="s">
        <v>17425</v>
      </c>
      <c r="C6050" s="528" t="s">
        <v>17426</v>
      </c>
      <c r="D6050" s="528" t="s">
        <v>264</v>
      </c>
      <c r="E6050" s="528"/>
      <c r="F6050" s="528"/>
      <c r="G6050" s="528" t="s">
        <v>208</v>
      </c>
      <c r="H6050"/>
    </row>
    <row r="6051" spans="1:8" x14ac:dyDescent="0.35">
      <c r="A6051" s="528" t="s">
        <v>17427</v>
      </c>
      <c r="B6051" s="528" t="s">
        <v>17428</v>
      </c>
      <c r="C6051" s="528" t="s">
        <v>17429</v>
      </c>
      <c r="D6051" s="528" t="s">
        <v>264</v>
      </c>
      <c r="E6051" s="528"/>
      <c r="F6051" s="528"/>
      <c r="G6051" s="528" t="s">
        <v>210</v>
      </c>
      <c r="H6051"/>
    </row>
    <row r="6052" spans="1:8" x14ac:dyDescent="0.35">
      <c r="A6052" s="528" t="s">
        <v>17430</v>
      </c>
      <c r="B6052" s="528" t="s">
        <v>17431</v>
      </c>
      <c r="C6052" s="528" t="s">
        <v>17432</v>
      </c>
      <c r="D6052" s="528" t="s">
        <v>277</v>
      </c>
      <c r="E6052" s="528"/>
      <c r="F6052" s="528"/>
      <c r="G6052" s="528" t="s">
        <v>205</v>
      </c>
      <c r="H6052"/>
    </row>
    <row r="6053" spans="1:8" x14ac:dyDescent="0.35">
      <c r="A6053" s="528" t="s">
        <v>17433</v>
      </c>
      <c r="B6053" s="528" t="s">
        <v>17434</v>
      </c>
      <c r="C6053" s="528" t="s">
        <v>17435</v>
      </c>
      <c r="D6053" s="528" t="s">
        <v>277</v>
      </c>
      <c r="E6053" s="528"/>
      <c r="F6053" s="528"/>
      <c r="G6053" s="528" t="s">
        <v>208</v>
      </c>
      <c r="H6053"/>
    </row>
    <row r="6054" spans="1:8" x14ac:dyDescent="0.35">
      <c r="A6054" s="528" t="s">
        <v>17436</v>
      </c>
      <c r="B6054" s="528" t="s">
        <v>17437</v>
      </c>
      <c r="C6054" s="528" t="s">
        <v>17438</v>
      </c>
      <c r="D6054" s="528" t="s">
        <v>277</v>
      </c>
      <c r="E6054" s="528"/>
      <c r="F6054" s="528"/>
      <c r="G6054" s="528" t="s">
        <v>208</v>
      </c>
      <c r="H6054"/>
    </row>
    <row r="6055" spans="1:8" x14ac:dyDescent="0.35">
      <c r="A6055" s="528" t="s">
        <v>17439</v>
      </c>
      <c r="B6055" s="528" t="s">
        <v>17440</v>
      </c>
      <c r="C6055" s="528" t="s">
        <v>17441</v>
      </c>
      <c r="D6055" s="528" t="s">
        <v>238</v>
      </c>
      <c r="E6055" s="528"/>
      <c r="F6055" s="528"/>
      <c r="G6055" s="528" t="s">
        <v>208</v>
      </c>
      <c r="H6055"/>
    </row>
    <row r="6056" spans="1:8" x14ac:dyDescent="0.35">
      <c r="A6056" s="528" t="s">
        <v>17442</v>
      </c>
      <c r="B6056" s="528" t="s">
        <v>17443</v>
      </c>
      <c r="C6056" s="528" t="s">
        <v>17444</v>
      </c>
      <c r="D6056" s="528" t="s">
        <v>277</v>
      </c>
      <c r="E6056" s="528"/>
      <c r="F6056" s="528"/>
      <c r="G6056" s="528" t="s">
        <v>208</v>
      </c>
      <c r="H6056"/>
    </row>
    <row r="6057" spans="1:8" x14ac:dyDescent="0.35">
      <c r="A6057" s="528" t="s">
        <v>17445</v>
      </c>
      <c r="B6057" s="528" t="s">
        <v>17446</v>
      </c>
      <c r="C6057" s="528" t="s">
        <v>17447</v>
      </c>
      <c r="D6057" s="528" t="s">
        <v>277</v>
      </c>
      <c r="E6057" s="528"/>
      <c r="F6057" s="528"/>
      <c r="G6057" s="528" t="s">
        <v>208</v>
      </c>
      <c r="H6057"/>
    </row>
    <row r="6058" spans="1:8" x14ac:dyDescent="0.35">
      <c r="A6058" s="528" t="s">
        <v>17448</v>
      </c>
      <c r="B6058" s="528" t="s">
        <v>17449</v>
      </c>
      <c r="C6058" s="528" t="s">
        <v>17450</v>
      </c>
      <c r="D6058" s="528" t="s">
        <v>264</v>
      </c>
      <c r="E6058" s="528"/>
      <c r="F6058" s="528"/>
      <c r="G6058" s="528" t="s">
        <v>205</v>
      </c>
      <c r="H6058"/>
    </row>
    <row r="6059" spans="1:8" x14ac:dyDescent="0.35">
      <c r="A6059" s="528" t="s">
        <v>17451</v>
      </c>
      <c r="B6059" s="528" t="s">
        <v>17452</v>
      </c>
      <c r="C6059" s="528" t="s">
        <v>17453</v>
      </c>
      <c r="D6059" s="528" t="s">
        <v>251</v>
      </c>
      <c r="E6059" s="528"/>
      <c r="F6059" s="528"/>
      <c r="G6059" s="528" t="s">
        <v>208</v>
      </c>
      <c r="H6059"/>
    </row>
    <row r="6060" spans="1:8" x14ac:dyDescent="0.35">
      <c r="A6060" s="528" t="s">
        <v>17454</v>
      </c>
      <c r="B6060" s="528" t="s">
        <v>17455</v>
      </c>
      <c r="C6060" s="528" t="s">
        <v>17456</v>
      </c>
      <c r="D6060" s="528" t="s">
        <v>251</v>
      </c>
      <c r="E6060" s="528"/>
      <c r="F6060" s="528"/>
      <c r="G6060" s="528" t="s">
        <v>208</v>
      </c>
      <c r="H6060"/>
    </row>
    <row r="6061" spans="1:8" x14ac:dyDescent="0.35">
      <c r="A6061" s="528" t="s">
        <v>17457</v>
      </c>
      <c r="B6061" s="528" t="s">
        <v>17458</v>
      </c>
      <c r="C6061" s="528" t="s">
        <v>17459</v>
      </c>
      <c r="D6061" s="528" t="s">
        <v>251</v>
      </c>
      <c r="E6061" s="528"/>
      <c r="F6061" s="528"/>
      <c r="G6061" s="528" t="s">
        <v>208</v>
      </c>
      <c r="H6061"/>
    </row>
    <row r="6062" spans="1:8" x14ac:dyDescent="0.35">
      <c r="A6062" s="528" t="s">
        <v>17460</v>
      </c>
      <c r="B6062" s="528" t="s">
        <v>17461</v>
      </c>
      <c r="C6062" s="528" t="s">
        <v>17462</v>
      </c>
      <c r="D6062" s="528" t="s">
        <v>251</v>
      </c>
      <c r="E6062" s="528"/>
      <c r="F6062" s="528"/>
      <c r="G6062" s="528" t="s">
        <v>208</v>
      </c>
      <c r="H6062"/>
    </row>
    <row r="6063" spans="1:8" x14ac:dyDescent="0.35">
      <c r="A6063" s="528" t="s">
        <v>17463</v>
      </c>
      <c r="B6063" s="528" t="s">
        <v>17464</v>
      </c>
      <c r="C6063" s="528" t="s">
        <v>17465</v>
      </c>
      <c r="D6063" s="528" t="s">
        <v>251</v>
      </c>
      <c r="E6063" s="528"/>
      <c r="F6063" s="528"/>
      <c r="G6063" s="528" t="s">
        <v>208</v>
      </c>
      <c r="H6063"/>
    </row>
    <row r="6064" spans="1:8" x14ac:dyDescent="0.35">
      <c r="A6064" s="528" t="s">
        <v>17466</v>
      </c>
      <c r="B6064" s="528" t="s">
        <v>17467</v>
      </c>
      <c r="C6064" s="528" t="s">
        <v>17468</v>
      </c>
      <c r="D6064" s="528" t="s">
        <v>251</v>
      </c>
      <c r="E6064" s="528"/>
      <c r="F6064" s="528"/>
      <c r="G6064" s="528" t="s">
        <v>208</v>
      </c>
      <c r="H6064"/>
    </row>
    <row r="6065" spans="1:8" x14ac:dyDescent="0.35">
      <c r="A6065" s="528" t="s">
        <v>17469</v>
      </c>
      <c r="B6065" s="528" t="s">
        <v>17470</v>
      </c>
      <c r="C6065" s="528" t="s">
        <v>17471</v>
      </c>
      <c r="D6065" s="528" t="s">
        <v>277</v>
      </c>
      <c r="E6065" s="528"/>
      <c r="F6065" s="528"/>
      <c r="G6065" s="528" t="s">
        <v>208</v>
      </c>
      <c r="H6065"/>
    </row>
    <row r="6066" spans="1:8" x14ac:dyDescent="0.35">
      <c r="A6066" s="528" t="s">
        <v>17472</v>
      </c>
      <c r="B6066" s="528" t="s">
        <v>17473</v>
      </c>
      <c r="C6066" s="528" t="s">
        <v>17474</v>
      </c>
      <c r="D6066" s="528" t="s">
        <v>264</v>
      </c>
      <c r="E6066" s="528"/>
      <c r="F6066" s="528"/>
      <c r="G6066" s="528" t="s">
        <v>208</v>
      </c>
      <c r="H6066"/>
    </row>
    <row r="6067" spans="1:8" x14ac:dyDescent="0.35">
      <c r="A6067" s="528" t="s">
        <v>17475</v>
      </c>
      <c r="B6067" s="528" t="s">
        <v>17476</v>
      </c>
      <c r="C6067" s="528" t="s">
        <v>17477</v>
      </c>
      <c r="D6067" s="528" t="s">
        <v>277</v>
      </c>
      <c r="E6067" s="528"/>
      <c r="F6067" s="528"/>
      <c r="G6067" s="528" t="s">
        <v>205</v>
      </c>
      <c r="H6067"/>
    </row>
    <row r="6068" spans="1:8" x14ac:dyDescent="0.35">
      <c r="A6068" s="528" t="s">
        <v>17478</v>
      </c>
      <c r="B6068" s="528" t="s">
        <v>17479</v>
      </c>
      <c r="C6068" s="528" t="s">
        <v>17480</v>
      </c>
      <c r="D6068" s="528" t="s">
        <v>264</v>
      </c>
      <c r="E6068" s="528" t="s">
        <v>277</v>
      </c>
      <c r="F6068" s="528"/>
      <c r="G6068" s="528" t="s">
        <v>205</v>
      </c>
      <c r="H6068"/>
    </row>
    <row r="6069" spans="1:8" x14ac:dyDescent="0.35">
      <c r="A6069" s="528" t="s">
        <v>17481</v>
      </c>
      <c r="B6069" s="528" t="s">
        <v>17482</v>
      </c>
      <c r="C6069" s="528" t="s">
        <v>17483</v>
      </c>
      <c r="D6069" s="528" t="s">
        <v>251</v>
      </c>
      <c r="E6069" s="528" t="s">
        <v>277</v>
      </c>
      <c r="F6069" s="528"/>
      <c r="G6069" s="528" t="s">
        <v>214</v>
      </c>
      <c r="H6069"/>
    </row>
    <row r="6070" spans="1:8" x14ac:dyDescent="0.35">
      <c r="A6070" s="528" t="s">
        <v>17484</v>
      </c>
      <c r="B6070" s="528" t="s">
        <v>17485</v>
      </c>
      <c r="C6070" s="528" t="s">
        <v>17486</v>
      </c>
      <c r="D6070" s="528" t="s">
        <v>225</v>
      </c>
      <c r="E6070" s="528" t="s">
        <v>277</v>
      </c>
      <c r="F6070" s="528"/>
      <c r="G6070" s="528" t="s">
        <v>208</v>
      </c>
      <c r="H6070"/>
    </row>
    <row r="6071" spans="1:8" x14ac:dyDescent="0.35">
      <c r="A6071" s="528" t="s">
        <v>17487</v>
      </c>
      <c r="B6071" s="528" t="s">
        <v>17488</v>
      </c>
      <c r="C6071" s="528" t="s">
        <v>17489</v>
      </c>
      <c r="D6071" s="528" t="s">
        <v>277</v>
      </c>
      <c r="E6071" s="528"/>
      <c r="F6071" s="528"/>
      <c r="G6071" s="528" t="s">
        <v>208</v>
      </c>
      <c r="H6071"/>
    </row>
    <row r="6072" spans="1:8" x14ac:dyDescent="0.35">
      <c r="A6072" s="528" t="s">
        <v>17490</v>
      </c>
      <c r="B6072" s="528" t="s">
        <v>17491</v>
      </c>
      <c r="C6072" s="528" t="s">
        <v>17492</v>
      </c>
      <c r="D6072" s="528" t="s">
        <v>264</v>
      </c>
      <c r="E6072" s="528"/>
      <c r="F6072" s="528"/>
      <c r="G6072" s="528" t="s">
        <v>208</v>
      </c>
      <c r="H6072"/>
    </row>
    <row r="6073" spans="1:8" x14ac:dyDescent="0.35">
      <c r="A6073" s="528" t="s">
        <v>17493</v>
      </c>
      <c r="B6073" s="528" t="s">
        <v>17494</v>
      </c>
      <c r="C6073" s="528" t="s">
        <v>17495</v>
      </c>
      <c r="D6073" s="528" t="s">
        <v>264</v>
      </c>
      <c r="E6073" s="528"/>
      <c r="F6073" s="528"/>
      <c r="G6073" s="528" t="s">
        <v>208</v>
      </c>
      <c r="H6073"/>
    </row>
    <row r="6074" spans="1:8" x14ac:dyDescent="0.35">
      <c r="A6074" s="528" t="s">
        <v>17496</v>
      </c>
      <c r="B6074" s="528" t="s">
        <v>17497</v>
      </c>
      <c r="C6074" s="528" t="s">
        <v>17498</v>
      </c>
      <c r="D6074" s="528" t="s">
        <v>264</v>
      </c>
      <c r="E6074" s="528"/>
      <c r="F6074" s="528"/>
      <c r="G6074" s="528" t="s">
        <v>208</v>
      </c>
      <c r="H6074"/>
    </row>
    <row r="6075" spans="1:8" x14ac:dyDescent="0.35">
      <c r="A6075" s="528" t="s">
        <v>17499</v>
      </c>
      <c r="B6075" s="528" t="s">
        <v>17500</v>
      </c>
      <c r="C6075" s="528" t="s">
        <v>17501</v>
      </c>
      <c r="D6075" s="528" t="s">
        <v>238</v>
      </c>
      <c r="E6075" s="528"/>
      <c r="F6075" s="528"/>
      <c r="G6075" s="528" t="s">
        <v>208</v>
      </c>
      <c r="H6075"/>
    </row>
    <row r="6076" spans="1:8" x14ac:dyDescent="0.35">
      <c r="A6076" s="528" t="s">
        <v>17502</v>
      </c>
      <c r="B6076" s="528" t="s">
        <v>17503</v>
      </c>
      <c r="C6076" s="528" t="s">
        <v>17504</v>
      </c>
      <c r="D6076" s="528" t="s">
        <v>238</v>
      </c>
      <c r="E6076" s="528"/>
      <c r="F6076" s="528"/>
      <c r="G6076" s="528" t="s">
        <v>208</v>
      </c>
      <c r="H6076"/>
    </row>
    <row r="6077" spans="1:8" x14ac:dyDescent="0.35">
      <c r="A6077" s="528" t="s">
        <v>17505</v>
      </c>
      <c r="B6077" s="528" t="s">
        <v>17506</v>
      </c>
      <c r="C6077" s="528" t="s">
        <v>17507</v>
      </c>
      <c r="D6077" s="528" t="s">
        <v>238</v>
      </c>
      <c r="E6077" s="528"/>
      <c r="F6077" s="528"/>
      <c r="G6077" s="528" t="s">
        <v>208</v>
      </c>
      <c r="H6077"/>
    </row>
    <row r="6078" spans="1:8" x14ac:dyDescent="0.35">
      <c r="A6078" s="528" t="s">
        <v>17508</v>
      </c>
      <c r="B6078" s="528" t="s">
        <v>17509</v>
      </c>
      <c r="C6078" s="528" t="s">
        <v>17510</v>
      </c>
      <c r="D6078" s="528" t="s">
        <v>277</v>
      </c>
      <c r="E6078" s="528"/>
      <c r="F6078" s="528"/>
      <c r="G6078" s="528" t="s">
        <v>208</v>
      </c>
      <c r="H6078"/>
    </row>
    <row r="6079" spans="1:8" x14ac:dyDescent="0.35">
      <c r="A6079" s="528" t="s">
        <v>17511</v>
      </c>
      <c r="B6079" s="528" t="s">
        <v>17512</v>
      </c>
      <c r="C6079" s="528" t="s">
        <v>17513</v>
      </c>
      <c r="D6079" s="528" t="s">
        <v>264</v>
      </c>
      <c r="E6079" s="528"/>
      <c r="F6079" s="528"/>
      <c r="G6079" s="528" t="s">
        <v>208</v>
      </c>
      <c r="H6079"/>
    </row>
    <row r="6080" spans="1:8" x14ac:dyDescent="0.35">
      <c r="A6080" s="528" t="s">
        <v>17514</v>
      </c>
      <c r="B6080" s="528" t="s">
        <v>17515</v>
      </c>
      <c r="C6080" s="528" t="s">
        <v>17516</v>
      </c>
      <c r="D6080" s="528" t="s">
        <v>225</v>
      </c>
      <c r="E6080" s="528"/>
      <c r="F6080" s="528"/>
      <c r="G6080" s="528" t="s">
        <v>205</v>
      </c>
      <c r="H6080"/>
    </row>
    <row r="6081" spans="1:8" x14ac:dyDescent="0.35">
      <c r="A6081" s="528" t="s">
        <v>17517</v>
      </c>
      <c r="B6081" s="528" t="s">
        <v>17518</v>
      </c>
      <c r="C6081" s="528" t="s">
        <v>17519</v>
      </c>
      <c r="D6081" s="528" t="s">
        <v>225</v>
      </c>
      <c r="E6081" s="528"/>
      <c r="F6081" s="528"/>
      <c r="G6081" s="528" t="s">
        <v>208</v>
      </c>
      <c r="H6081"/>
    </row>
    <row r="6082" spans="1:8" x14ac:dyDescent="0.35">
      <c r="A6082" s="528" t="s">
        <v>17520</v>
      </c>
      <c r="B6082" s="528" t="s">
        <v>17521</v>
      </c>
      <c r="C6082" s="528" t="s">
        <v>17522</v>
      </c>
      <c r="D6082" s="528" t="s">
        <v>225</v>
      </c>
      <c r="E6082" s="528"/>
      <c r="F6082" s="528"/>
      <c r="G6082" s="528" t="s">
        <v>208</v>
      </c>
      <c r="H6082"/>
    </row>
    <row r="6083" spans="1:8" x14ac:dyDescent="0.35">
      <c r="A6083" s="528" t="s">
        <v>17523</v>
      </c>
      <c r="B6083" s="528" t="s">
        <v>17524</v>
      </c>
      <c r="C6083" s="528" t="s">
        <v>17525</v>
      </c>
      <c r="D6083" s="528" t="s">
        <v>264</v>
      </c>
      <c r="E6083" s="528"/>
      <c r="F6083" s="528"/>
      <c r="G6083" s="528" t="s">
        <v>208</v>
      </c>
      <c r="H6083"/>
    </row>
    <row r="6084" spans="1:8" x14ac:dyDescent="0.35">
      <c r="A6084" s="528" t="s">
        <v>17526</v>
      </c>
      <c r="B6084" s="528" t="s">
        <v>17527</v>
      </c>
      <c r="C6084" s="528" t="s">
        <v>17528</v>
      </c>
      <c r="D6084" s="528" t="s">
        <v>225</v>
      </c>
      <c r="E6084" s="528"/>
      <c r="F6084" s="528"/>
      <c r="G6084" s="528" t="s">
        <v>208</v>
      </c>
      <c r="H6084"/>
    </row>
    <row r="6085" spans="1:8" x14ac:dyDescent="0.35">
      <c r="A6085" s="528" t="s">
        <v>17529</v>
      </c>
      <c r="B6085" s="528" t="s">
        <v>17530</v>
      </c>
      <c r="C6085" s="528" t="s">
        <v>17531</v>
      </c>
      <c r="D6085" s="528" t="s">
        <v>251</v>
      </c>
      <c r="E6085" s="528"/>
      <c r="F6085" s="528"/>
      <c r="G6085" s="528" t="s">
        <v>208</v>
      </c>
      <c r="H6085"/>
    </row>
    <row r="6086" spans="1:8" x14ac:dyDescent="0.35">
      <c r="A6086" s="528" t="s">
        <v>17532</v>
      </c>
      <c r="B6086" s="528" t="s">
        <v>17533</v>
      </c>
      <c r="C6086" s="528" t="s">
        <v>17534</v>
      </c>
      <c r="D6086" s="528" t="s">
        <v>264</v>
      </c>
      <c r="E6086" s="528"/>
      <c r="F6086" s="528"/>
      <c r="G6086" s="528" t="s">
        <v>208</v>
      </c>
      <c r="H6086"/>
    </row>
    <row r="6087" spans="1:8" x14ac:dyDescent="0.35">
      <c r="A6087" s="528" t="s">
        <v>17535</v>
      </c>
      <c r="B6087" s="528" t="s">
        <v>17536</v>
      </c>
      <c r="C6087" s="528" t="s">
        <v>17537</v>
      </c>
      <c r="D6087" s="528" t="s">
        <v>238</v>
      </c>
      <c r="E6087" s="528"/>
      <c r="F6087" s="528"/>
      <c r="G6087" s="528" t="s">
        <v>208</v>
      </c>
      <c r="H6087"/>
    </row>
    <row r="6088" spans="1:8" x14ac:dyDescent="0.35">
      <c r="A6088" s="528" t="s">
        <v>17538</v>
      </c>
      <c r="B6088" s="528" t="s">
        <v>17539</v>
      </c>
      <c r="C6088" s="528" t="s">
        <v>17540</v>
      </c>
      <c r="D6088" s="528" t="s">
        <v>238</v>
      </c>
      <c r="E6088" s="528"/>
      <c r="F6088" s="528"/>
      <c r="G6088" s="528" t="s">
        <v>208</v>
      </c>
      <c r="H6088"/>
    </row>
    <row r="6089" spans="1:8" x14ac:dyDescent="0.35">
      <c r="A6089" s="528" t="s">
        <v>17541</v>
      </c>
      <c r="B6089" s="528" t="s">
        <v>17542</v>
      </c>
      <c r="C6089" s="528" t="s">
        <v>17543</v>
      </c>
      <c r="D6089" s="528" t="s">
        <v>238</v>
      </c>
      <c r="E6089" s="528"/>
      <c r="F6089" s="528"/>
      <c r="G6089" s="528" t="s">
        <v>205</v>
      </c>
      <c r="H6089"/>
    </row>
    <row r="6090" spans="1:8" x14ac:dyDescent="0.35">
      <c r="A6090" s="528" t="s">
        <v>17544</v>
      </c>
      <c r="B6090" s="528" t="s">
        <v>17545</v>
      </c>
      <c r="C6090" s="528" t="s">
        <v>17546</v>
      </c>
      <c r="D6090" s="528" t="s">
        <v>238</v>
      </c>
      <c r="E6090" s="528"/>
      <c r="F6090" s="528"/>
      <c r="G6090" s="528" t="s">
        <v>205</v>
      </c>
      <c r="H6090"/>
    </row>
    <row r="6091" spans="1:8" x14ac:dyDescent="0.35">
      <c r="A6091" s="528" t="s">
        <v>17547</v>
      </c>
      <c r="B6091" s="528" t="s">
        <v>17548</v>
      </c>
      <c r="C6091" s="528" t="s">
        <v>17549</v>
      </c>
      <c r="D6091" s="528" t="s">
        <v>277</v>
      </c>
      <c r="E6091" s="528"/>
      <c r="F6091" s="528"/>
      <c r="G6091" s="528" t="s">
        <v>205</v>
      </c>
      <c r="H6091"/>
    </row>
    <row r="6092" spans="1:8" x14ac:dyDescent="0.35">
      <c r="A6092" s="528" t="s">
        <v>17550</v>
      </c>
      <c r="B6092" s="528" t="s">
        <v>17551</v>
      </c>
      <c r="C6092" s="528" t="s">
        <v>17552</v>
      </c>
      <c r="D6092" s="528" t="s">
        <v>277</v>
      </c>
      <c r="E6092" s="528"/>
      <c r="F6092" s="528"/>
      <c r="G6092" s="528" t="s">
        <v>208</v>
      </c>
      <c r="H6092"/>
    </row>
    <row r="6093" spans="1:8" x14ac:dyDescent="0.35">
      <c r="A6093" s="528" t="s">
        <v>17553</v>
      </c>
      <c r="B6093" s="528" t="s">
        <v>17554</v>
      </c>
      <c r="C6093" s="528" t="s">
        <v>17555</v>
      </c>
      <c r="D6093" s="528" t="s">
        <v>277</v>
      </c>
      <c r="E6093" s="528"/>
      <c r="F6093" s="528"/>
      <c r="G6093" s="528" t="s">
        <v>205</v>
      </c>
      <c r="H6093"/>
    </row>
    <row r="6094" spans="1:8" x14ac:dyDescent="0.35">
      <c r="A6094" s="528" t="s">
        <v>17556</v>
      </c>
      <c r="B6094" s="528" t="s">
        <v>17557</v>
      </c>
      <c r="C6094" s="528" t="s">
        <v>17558</v>
      </c>
      <c r="D6094" s="528" t="s">
        <v>264</v>
      </c>
      <c r="E6094" s="528"/>
      <c r="F6094" s="528"/>
      <c r="G6094" s="528" t="s">
        <v>210</v>
      </c>
      <c r="H6094"/>
    </row>
    <row r="6095" spans="1:8" x14ac:dyDescent="0.35">
      <c r="A6095" s="528" t="s">
        <v>17559</v>
      </c>
      <c r="B6095" s="528" t="s">
        <v>17560</v>
      </c>
      <c r="C6095" s="528" t="s">
        <v>17561</v>
      </c>
      <c r="D6095" s="528" t="s">
        <v>238</v>
      </c>
      <c r="E6095" s="528"/>
      <c r="F6095" s="528"/>
      <c r="G6095" s="528" t="s">
        <v>205</v>
      </c>
      <c r="H6095"/>
    </row>
    <row r="6096" spans="1:8" x14ac:dyDescent="0.35">
      <c r="A6096" s="528" t="s">
        <v>17562</v>
      </c>
      <c r="B6096" s="528" t="s">
        <v>17563</v>
      </c>
      <c r="C6096" s="528" t="s">
        <v>17564</v>
      </c>
      <c r="D6096" s="528" t="s">
        <v>277</v>
      </c>
      <c r="E6096" s="528"/>
      <c r="F6096" s="528"/>
      <c r="G6096" s="528" t="s">
        <v>205</v>
      </c>
      <c r="H6096"/>
    </row>
    <row r="6097" spans="1:8" x14ac:dyDescent="0.35">
      <c r="A6097" s="528" t="s">
        <v>17565</v>
      </c>
      <c r="B6097" s="528" t="s">
        <v>17566</v>
      </c>
      <c r="C6097" s="528" t="s">
        <v>17567</v>
      </c>
      <c r="D6097" s="528" t="s">
        <v>277</v>
      </c>
      <c r="E6097" s="528"/>
      <c r="F6097" s="528"/>
      <c r="G6097" s="528" t="s">
        <v>205</v>
      </c>
      <c r="H6097"/>
    </row>
    <row r="6098" spans="1:8" x14ac:dyDescent="0.35">
      <c r="A6098" s="528" t="s">
        <v>17568</v>
      </c>
      <c r="B6098" s="528" t="s">
        <v>17569</v>
      </c>
      <c r="C6098" s="528" t="s">
        <v>17570</v>
      </c>
      <c r="D6098" s="528" t="s">
        <v>277</v>
      </c>
      <c r="E6098" s="528"/>
      <c r="F6098" s="528"/>
      <c r="G6098" s="528" t="s">
        <v>208</v>
      </c>
      <c r="H6098"/>
    </row>
    <row r="6099" spans="1:8" x14ac:dyDescent="0.35">
      <c r="A6099" s="528" t="s">
        <v>17571</v>
      </c>
      <c r="B6099" s="528" t="s">
        <v>17572</v>
      </c>
      <c r="C6099" s="528" t="s">
        <v>17573</v>
      </c>
      <c r="D6099" s="528" t="s">
        <v>264</v>
      </c>
      <c r="E6099" s="528"/>
      <c r="F6099" s="528"/>
      <c r="G6099" s="528" t="s">
        <v>212</v>
      </c>
      <c r="H6099"/>
    </row>
    <row r="6100" spans="1:8" x14ac:dyDescent="0.35">
      <c r="A6100" s="528" t="s">
        <v>17574</v>
      </c>
      <c r="B6100" s="528" t="s">
        <v>17575</v>
      </c>
      <c r="C6100" s="528" t="s">
        <v>17576</v>
      </c>
      <c r="D6100" s="528" t="s">
        <v>264</v>
      </c>
      <c r="E6100" s="528"/>
      <c r="F6100" s="528"/>
      <c r="G6100" s="528" t="s">
        <v>212</v>
      </c>
      <c r="H6100"/>
    </row>
    <row r="6101" spans="1:8" x14ac:dyDescent="0.35">
      <c r="A6101" s="528" t="s">
        <v>17577</v>
      </c>
      <c r="B6101" s="528" t="s">
        <v>17578</v>
      </c>
      <c r="C6101" s="528" t="s">
        <v>17579</v>
      </c>
      <c r="D6101" s="528" t="s">
        <v>225</v>
      </c>
      <c r="E6101" s="528"/>
      <c r="F6101" s="528"/>
      <c r="G6101" s="528" t="s">
        <v>212</v>
      </c>
      <c r="H6101"/>
    </row>
    <row r="6102" spans="1:8" x14ac:dyDescent="0.35">
      <c r="A6102" s="528" t="s">
        <v>17580</v>
      </c>
      <c r="B6102" s="528" t="s">
        <v>17581</v>
      </c>
      <c r="C6102" s="528" t="s">
        <v>17582</v>
      </c>
      <c r="D6102" s="528" t="s">
        <v>225</v>
      </c>
      <c r="E6102" s="528"/>
      <c r="F6102" s="528"/>
      <c r="G6102" s="528" t="s">
        <v>212</v>
      </c>
      <c r="H6102"/>
    </row>
    <row r="6103" spans="1:8" x14ac:dyDescent="0.35">
      <c r="A6103" s="528" t="s">
        <v>17583</v>
      </c>
      <c r="B6103" s="528" t="s">
        <v>17584</v>
      </c>
      <c r="C6103" s="528" t="s">
        <v>17585</v>
      </c>
      <c r="D6103" s="528" t="s">
        <v>225</v>
      </c>
      <c r="E6103" s="528"/>
      <c r="F6103" s="528"/>
      <c r="G6103" s="528" t="s">
        <v>212</v>
      </c>
      <c r="H6103"/>
    </row>
    <row r="6104" spans="1:8" x14ac:dyDescent="0.35">
      <c r="A6104" s="528" t="s">
        <v>17586</v>
      </c>
      <c r="B6104" s="528" t="s">
        <v>17587</v>
      </c>
      <c r="C6104" s="528" t="s">
        <v>17588</v>
      </c>
      <c r="D6104" s="528" t="s">
        <v>264</v>
      </c>
      <c r="E6104" s="528"/>
      <c r="F6104" s="528"/>
      <c r="G6104" s="528" t="s">
        <v>208</v>
      </c>
      <c r="H6104"/>
    </row>
    <row r="6105" spans="1:8" x14ac:dyDescent="0.35">
      <c r="A6105" s="528" t="s">
        <v>17589</v>
      </c>
      <c r="B6105" s="528" t="s">
        <v>17590</v>
      </c>
      <c r="C6105" s="528" t="s">
        <v>17591</v>
      </c>
      <c r="D6105" s="528" t="s">
        <v>264</v>
      </c>
      <c r="E6105" s="528"/>
      <c r="F6105" s="528"/>
      <c r="G6105" s="528" t="s">
        <v>208</v>
      </c>
      <c r="H6105"/>
    </row>
    <row r="6106" spans="1:8" x14ac:dyDescent="0.35">
      <c r="A6106" s="528" t="s">
        <v>17592</v>
      </c>
      <c r="B6106" s="528" t="s">
        <v>17593</v>
      </c>
      <c r="C6106" s="528" t="s">
        <v>17594</v>
      </c>
      <c r="D6106" s="528" t="s">
        <v>264</v>
      </c>
      <c r="E6106" s="528"/>
      <c r="F6106" s="528"/>
      <c r="G6106" s="528" t="s">
        <v>208</v>
      </c>
      <c r="H6106"/>
    </row>
    <row r="6107" spans="1:8" x14ac:dyDescent="0.35">
      <c r="A6107" s="528" t="s">
        <v>17595</v>
      </c>
      <c r="B6107" s="528" t="s">
        <v>17596</v>
      </c>
      <c r="C6107" s="528" t="s">
        <v>17597</v>
      </c>
      <c r="D6107" s="528" t="s">
        <v>264</v>
      </c>
      <c r="E6107" s="528"/>
      <c r="F6107" s="528"/>
      <c r="G6107" s="528" t="s">
        <v>208</v>
      </c>
      <c r="H6107"/>
    </row>
    <row r="6108" spans="1:8" x14ac:dyDescent="0.35">
      <c r="A6108" s="528" t="s">
        <v>17598</v>
      </c>
      <c r="B6108" s="528" t="s">
        <v>17599</v>
      </c>
      <c r="C6108" s="528" t="s">
        <v>17600</v>
      </c>
      <c r="D6108" s="528" t="s">
        <v>225</v>
      </c>
      <c r="E6108" s="528"/>
      <c r="F6108" s="528"/>
      <c r="G6108" s="528" t="s">
        <v>208</v>
      </c>
      <c r="H6108"/>
    </row>
    <row r="6109" spans="1:8" x14ac:dyDescent="0.35">
      <c r="A6109" s="528" t="s">
        <v>17601</v>
      </c>
      <c r="B6109" s="528" t="s">
        <v>17602</v>
      </c>
      <c r="C6109" s="528" t="s">
        <v>17603</v>
      </c>
      <c r="D6109" s="528" t="s">
        <v>277</v>
      </c>
      <c r="E6109" s="528"/>
      <c r="F6109" s="528"/>
      <c r="G6109" s="528" t="s">
        <v>208</v>
      </c>
      <c r="H6109"/>
    </row>
    <row r="6110" spans="1:8" x14ac:dyDescent="0.35">
      <c r="A6110" s="528" t="s">
        <v>17604</v>
      </c>
      <c r="B6110" s="528" t="s">
        <v>17605</v>
      </c>
      <c r="C6110" s="528" t="s">
        <v>17606</v>
      </c>
      <c r="D6110" s="528" t="s">
        <v>225</v>
      </c>
      <c r="E6110" s="528"/>
      <c r="F6110" s="528"/>
      <c r="G6110" s="528" t="s">
        <v>208</v>
      </c>
      <c r="H6110"/>
    </row>
    <row r="6111" spans="1:8" x14ac:dyDescent="0.35">
      <c r="A6111" s="528" t="s">
        <v>17607</v>
      </c>
      <c r="B6111" s="528" t="s">
        <v>17608</v>
      </c>
      <c r="C6111" s="528" t="s">
        <v>17609</v>
      </c>
      <c r="D6111" s="528" t="s">
        <v>225</v>
      </c>
      <c r="E6111" s="528"/>
      <c r="F6111" s="528"/>
      <c r="G6111" s="528" t="s">
        <v>208</v>
      </c>
      <c r="H6111"/>
    </row>
    <row r="6112" spans="1:8" x14ac:dyDescent="0.35">
      <c r="A6112" s="528" t="s">
        <v>17610</v>
      </c>
      <c r="B6112" s="528" t="s">
        <v>17611</v>
      </c>
      <c r="C6112" s="528" t="s">
        <v>17612</v>
      </c>
      <c r="D6112" s="528" t="s">
        <v>225</v>
      </c>
      <c r="E6112" s="528"/>
      <c r="F6112" s="528"/>
      <c r="G6112" s="528" t="s">
        <v>208</v>
      </c>
      <c r="H6112"/>
    </row>
    <row r="6113" spans="1:8" x14ac:dyDescent="0.35">
      <c r="A6113" s="528" t="s">
        <v>17613</v>
      </c>
      <c r="B6113" s="528" t="s">
        <v>17614</v>
      </c>
      <c r="C6113" s="528" t="s">
        <v>17615</v>
      </c>
      <c r="D6113" s="528" t="s">
        <v>238</v>
      </c>
      <c r="E6113" s="528"/>
      <c r="F6113" s="528"/>
      <c r="G6113" s="528" t="s">
        <v>208</v>
      </c>
      <c r="H6113"/>
    </row>
    <row r="6114" spans="1:8" x14ac:dyDescent="0.35">
      <c r="A6114" s="528" t="s">
        <v>17616</v>
      </c>
      <c r="B6114" s="528" t="s">
        <v>17617</v>
      </c>
      <c r="C6114" s="528" t="s">
        <v>17618</v>
      </c>
      <c r="D6114" s="528" t="s">
        <v>277</v>
      </c>
      <c r="E6114" s="528"/>
      <c r="F6114" s="528"/>
      <c r="G6114" s="528" t="s">
        <v>208</v>
      </c>
      <c r="H6114"/>
    </row>
    <row r="6115" spans="1:8" x14ac:dyDescent="0.35">
      <c r="A6115" s="528" t="s">
        <v>17619</v>
      </c>
      <c r="B6115" s="528" t="s">
        <v>17620</v>
      </c>
      <c r="C6115" s="528" t="s">
        <v>17621</v>
      </c>
      <c r="D6115" s="528" t="s">
        <v>264</v>
      </c>
      <c r="E6115" s="528"/>
      <c r="F6115" s="528"/>
      <c r="G6115" s="528" t="s">
        <v>208</v>
      </c>
      <c r="H6115"/>
    </row>
    <row r="6116" spans="1:8" x14ac:dyDescent="0.35">
      <c r="A6116" s="528" t="s">
        <v>17622</v>
      </c>
      <c r="B6116" s="528" t="s">
        <v>17623</v>
      </c>
      <c r="C6116" s="528" t="s">
        <v>17624</v>
      </c>
      <c r="D6116" s="528" t="s">
        <v>238</v>
      </c>
      <c r="E6116" s="528"/>
      <c r="F6116" s="528"/>
      <c r="G6116" s="528" t="s">
        <v>208</v>
      </c>
      <c r="H6116"/>
    </row>
    <row r="6117" spans="1:8" x14ac:dyDescent="0.35">
      <c r="A6117" s="528" t="s">
        <v>17625</v>
      </c>
      <c r="B6117" s="528" t="s">
        <v>17626</v>
      </c>
      <c r="C6117" s="528" t="s">
        <v>17627</v>
      </c>
      <c r="D6117" s="528" t="s">
        <v>277</v>
      </c>
      <c r="E6117" s="528"/>
      <c r="F6117" s="528"/>
      <c r="G6117" s="528" t="s">
        <v>208</v>
      </c>
      <c r="H6117"/>
    </row>
    <row r="6118" spans="1:8" x14ac:dyDescent="0.35">
      <c r="A6118" s="528" t="s">
        <v>17628</v>
      </c>
      <c r="B6118" s="528" t="s">
        <v>17629</v>
      </c>
      <c r="C6118" s="528" t="s">
        <v>17630</v>
      </c>
      <c r="D6118" s="528" t="s">
        <v>225</v>
      </c>
      <c r="E6118" s="528"/>
      <c r="F6118" s="528"/>
      <c r="G6118" s="528" t="s">
        <v>205</v>
      </c>
      <c r="H6118"/>
    </row>
    <row r="6119" spans="1:8" x14ac:dyDescent="0.35">
      <c r="A6119" s="528" t="s">
        <v>17631</v>
      </c>
      <c r="B6119" s="528" t="s">
        <v>17632</v>
      </c>
      <c r="C6119" s="528" t="s">
        <v>17633</v>
      </c>
      <c r="D6119" s="528" t="s">
        <v>264</v>
      </c>
      <c r="E6119" s="528"/>
      <c r="F6119" s="528"/>
      <c r="G6119" s="528" t="s">
        <v>208</v>
      </c>
      <c r="H6119"/>
    </row>
    <row r="6120" spans="1:8" x14ac:dyDescent="0.35">
      <c r="A6120" s="528" t="s">
        <v>17634</v>
      </c>
      <c r="B6120" s="528" t="s">
        <v>17635</v>
      </c>
      <c r="C6120" s="528" t="s">
        <v>17636</v>
      </c>
      <c r="D6120" s="528" t="s">
        <v>277</v>
      </c>
      <c r="E6120" s="528"/>
      <c r="F6120" s="528"/>
      <c r="G6120" s="528" t="s">
        <v>208</v>
      </c>
      <c r="H6120"/>
    </row>
    <row r="6121" spans="1:8" x14ac:dyDescent="0.35">
      <c r="A6121" s="528" t="s">
        <v>17637</v>
      </c>
      <c r="B6121" s="528" t="s">
        <v>17638</v>
      </c>
      <c r="C6121" s="528" t="s">
        <v>17639</v>
      </c>
      <c r="D6121" s="528" t="s">
        <v>264</v>
      </c>
      <c r="E6121" s="528"/>
      <c r="F6121" s="528"/>
      <c r="G6121" s="528" t="s">
        <v>205</v>
      </c>
      <c r="H6121"/>
    </row>
    <row r="6122" spans="1:8" x14ac:dyDescent="0.35">
      <c r="A6122" s="528" t="s">
        <v>17640</v>
      </c>
      <c r="B6122" s="528" t="s">
        <v>17641</v>
      </c>
      <c r="C6122" s="528" t="s">
        <v>17642</v>
      </c>
      <c r="D6122" s="528" t="s">
        <v>264</v>
      </c>
      <c r="E6122" s="528"/>
      <c r="F6122" s="528"/>
      <c r="G6122" s="528" t="s">
        <v>208</v>
      </c>
      <c r="H6122"/>
    </row>
    <row r="6123" spans="1:8" x14ac:dyDescent="0.35">
      <c r="A6123" s="528" t="s">
        <v>17643</v>
      </c>
      <c r="B6123" s="528" t="s">
        <v>17644</v>
      </c>
      <c r="C6123" s="528" t="s">
        <v>17645</v>
      </c>
      <c r="D6123" s="528" t="s">
        <v>264</v>
      </c>
      <c r="E6123" s="528"/>
      <c r="F6123" s="528"/>
      <c r="G6123" s="528" t="s">
        <v>208</v>
      </c>
      <c r="H6123"/>
    </row>
    <row r="6124" spans="1:8" x14ac:dyDescent="0.35">
      <c r="A6124" s="528" t="s">
        <v>17646</v>
      </c>
      <c r="B6124" s="528" t="s">
        <v>17647</v>
      </c>
      <c r="C6124" s="528" t="s">
        <v>17648</v>
      </c>
      <c r="D6124" s="528" t="s">
        <v>264</v>
      </c>
      <c r="E6124" s="528"/>
      <c r="F6124" s="528"/>
      <c r="G6124" s="528" t="s">
        <v>208</v>
      </c>
      <c r="H6124"/>
    </row>
    <row r="6125" spans="1:8" x14ac:dyDescent="0.35">
      <c r="A6125" s="528" t="s">
        <v>17649</v>
      </c>
      <c r="B6125" s="528" t="s">
        <v>17650</v>
      </c>
      <c r="C6125" s="528" t="s">
        <v>17651</v>
      </c>
      <c r="D6125" s="528" t="s">
        <v>264</v>
      </c>
      <c r="E6125" s="528"/>
      <c r="F6125" s="528"/>
      <c r="G6125" s="528" t="s">
        <v>208</v>
      </c>
      <c r="H6125"/>
    </row>
    <row r="6126" spans="1:8" x14ac:dyDescent="0.35">
      <c r="A6126" s="528" t="s">
        <v>17652</v>
      </c>
      <c r="B6126" s="528" t="s">
        <v>17653</v>
      </c>
      <c r="C6126" s="528" t="s">
        <v>17654</v>
      </c>
      <c r="D6126" s="528" t="s">
        <v>264</v>
      </c>
      <c r="E6126" s="528"/>
      <c r="F6126" s="528"/>
      <c r="G6126" s="528" t="s">
        <v>208</v>
      </c>
      <c r="H6126"/>
    </row>
    <row r="6127" spans="1:8" x14ac:dyDescent="0.35">
      <c r="A6127" s="528" t="s">
        <v>17655</v>
      </c>
      <c r="B6127" s="528" t="s">
        <v>17656</v>
      </c>
      <c r="C6127" s="528" t="s">
        <v>17657</v>
      </c>
      <c r="D6127" s="528" t="s">
        <v>238</v>
      </c>
      <c r="E6127" s="528"/>
      <c r="F6127" s="528"/>
      <c r="G6127" s="528" t="s">
        <v>208</v>
      </c>
      <c r="H6127"/>
    </row>
    <row r="6128" spans="1:8" x14ac:dyDescent="0.35">
      <c r="A6128" s="528" t="s">
        <v>17658</v>
      </c>
      <c r="B6128" s="528" t="s">
        <v>17659</v>
      </c>
      <c r="C6128" s="528" t="s">
        <v>17660</v>
      </c>
      <c r="D6128" s="528" t="s">
        <v>277</v>
      </c>
      <c r="E6128" s="528"/>
      <c r="F6128" s="528"/>
      <c r="G6128" s="528" t="s">
        <v>208</v>
      </c>
      <c r="H6128"/>
    </row>
    <row r="6129" spans="1:8" x14ac:dyDescent="0.35">
      <c r="A6129" s="528" t="s">
        <v>17661</v>
      </c>
      <c r="B6129" s="528" t="s">
        <v>17662</v>
      </c>
      <c r="C6129" s="528" t="s">
        <v>17663</v>
      </c>
      <c r="D6129" s="528" t="s">
        <v>264</v>
      </c>
      <c r="E6129" s="528"/>
      <c r="F6129" s="528"/>
      <c r="G6129" s="528" t="s">
        <v>205</v>
      </c>
      <c r="H6129"/>
    </row>
    <row r="6130" spans="1:8" x14ac:dyDescent="0.35">
      <c r="A6130" s="528" t="s">
        <v>17664</v>
      </c>
      <c r="B6130" s="528" t="s">
        <v>17665</v>
      </c>
      <c r="C6130" s="528" t="s">
        <v>17666</v>
      </c>
      <c r="D6130" s="528" t="s">
        <v>277</v>
      </c>
      <c r="E6130" s="528"/>
      <c r="F6130" s="528"/>
      <c r="G6130" s="528" t="s">
        <v>208</v>
      </c>
      <c r="H6130"/>
    </row>
    <row r="6131" spans="1:8" x14ac:dyDescent="0.35">
      <c r="A6131" s="528" t="s">
        <v>17667</v>
      </c>
      <c r="B6131" s="528" t="s">
        <v>17668</v>
      </c>
      <c r="C6131" s="528" t="s">
        <v>17669</v>
      </c>
      <c r="D6131" s="528" t="s">
        <v>277</v>
      </c>
      <c r="E6131" s="528"/>
      <c r="F6131" s="528"/>
      <c r="G6131" s="528" t="s">
        <v>208</v>
      </c>
      <c r="H6131"/>
    </row>
    <row r="6132" spans="1:8" x14ac:dyDescent="0.35">
      <c r="A6132" s="528" t="s">
        <v>17670</v>
      </c>
      <c r="B6132" s="528" t="s">
        <v>17671</v>
      </c>
      <c r="C6132" s="528" t="s">
        <v>17672</v>
      </c>
      <c r="D6132" s="528" t="s">
        <v>225</v>
      </c>
      <c r="E6132" s="528"/>
      <c r="F6132" s="528"/>
      <c r="G6132" s="528" t="s">
        <v>205</v>
      </c>
      <c r="H6132"/>
    </row>
    <row r="6133" spans="1:8" x14ac:dyDescent="0.35">
      <c r="A6133" s="528" t="s">
        <v>17673</v>
      </c>
      <c r="B6133" s="528" t="s">
        <v>17674</v>
      </c>
      <c r="C6133" s="528" t="s">
        <v>17675</v>
      </c>
      <c r="D6133" s="528" t="s">
        <v>225</v>
      </c>
      <c r="E6133" s="528"/>
      <c r="F6133" s="528"/>
      <c r="G6133" s="528" t="s">
        <v>205</v>
      </c>
      <c r="H6133"/>
    </row>
    <row r="6134" spans="1:8" x14ac:dyDescent="0.35">
      <c r="A6134" s="528" t="s">
        <v>17676</v>
      </c>
      <c r="B6134" s="528" t="s">
        <v>17677</v>
      </c>
      <c r="C6134" s="528" t="s">
        <v>17678</v>
      </c>
      <c r="D6134" s="528" t="s">
        <v>277</v>
      </c>
      <c r="E6134" s="528"/>
      <c r="F6134" s="528"/>
      <c r="G6134" s="528" t="s">
        <v>208</v>
      </c>
      <c r="H6134"/>
    </row>
    <row r="6135" spans="1:8" x14ac:dyDescent="0.35">
      <c r="A6135" s="528" t="s">
        <v>17679</v>
      </c>
      <c r="B6135" s="528" t="s">
        <v>17680</v>
      </c>
      <c r="C6135" s="528" t="s">
        <v>17681</v>
      </c>
      <c r="D6135" s="528" t="s">
        <v>251</v>
      </c>
      <c r="E6135" s="528"/>
      <c r="F6135" s="528"/>
      <c r="G6135" s="528" t="s">
        <v>205</v>
      </c>
      <c r="H6135"/>
    </row>
    <row r="6136" spans="1:8" x14ac:dyDescent="0.35">
      <c r="A6136" s="528" t="s">
        <v>17682</v>
      </c>
      <c r="B6136" s="528" t="s">
        <v>17683</v>
      </c>
      <c r="C6136" s="528" t="s">
        <v>17684</v>
      </c>
      <c r="D6136" s="528" t="s">
        <v>251</v>
      </c>
      <c r="E6136" s="528"/>
      <c r="F6136" s="528"/>
      <c r="G6136" s="528" t="s">
        <v>208</v>
      </c>
      <c r="H6136"/>
    </row>
    <row r="6137" spans="1:8" x14ac:dyDescent="0.35">
      <c r="A6137" s="528" t="s">
        <v>17685</v>
      </c>
      <c r="B6137" s="528" t="s">
        <v>17686</v>
      </c>
      <c r="C6137" s="528" t="s">
        <v>17687</v>
      </c>
      <c r="D6137" s="528" t="s">
        <v>251</v>
      </c>
      <c r="E6137" s="528"/>
      <c r="F6137" s="528"/>
      <c r="G6137" s="528" t="s">
        <v>208</v>
      </c>
      <c r="H6137"/>
    </row>
    <row r="6138" spans="1:8" x14ac:dyDescent="0.35">
      <c r="A6138" s="528" t="s">
        <v>17688</v>
      </c>
      <c r="B6138" s="528" t="s">
        <v>17689</v>
      </c>
      <c r="C6138" s="528" t="s">
        <v>17690</v>
      </c>
      <c r="D6138" s="528" t="s">
        <v>264</v>
      </c>
      <c r="E6138" s="528"/>
      <c r="F6138" s="528"/>
      <c r="G6138" s="528" t="s">
        <v>205</v>
      </c>
      <c r="H6138"/>
    </row>
    <row r="6139" spans="1:8" x14ac:dyDescent="0.35">
      <c r="A6139" s="528" t="s">
        <v>17691</v>
      </c>
      <c r="B6139" s="528" t="s">
        <v>17692</v>
      </c>
      <c r="C6139" s="528" t="s">
        <v>17693</v>
      </c>
      <c r="D6139" s="528" t="s">
        <v>277</v>
      </c>
      <c r="E6139" s="528"/>
      <c r="F6139" s="528"/>
      <c r="G6139" s="528" t="s">
        <v>214</v>
      </c>
      <c r="H6139"/>
    </row>
    <row r="6140" spans="1:8" x14ac:dyDescent="0.35">
      <c r="A6140" s="528" t="s">
        <v>17694</v>
      </c>
      <c r="B6140" s="528" t="s">
        <v>17695</v>
      </c>
      <c r="C6140" s="528" t="s">
        <v>17696</v>
      </c>
      <c r="D6140" s="528" t="s">
        <v>277</v>
      </c>
      <c r="E6140" s="528"/>
      <c r="F6140" s="528"/>
      <c r="G6140" s="528" t="s">
        <v>208</v>
      </c>
      <c r="H6140"/>
    </row>
    <row r="6141" spans="1:8" x14ac:dyDescent="0.35">
      <c r="A6141" s="528" t="s">
        <v>17697</v>
      </c>
      <c r="B6141" s="528" t="s">
        <v>17698</v>
      </c>
      <c r="C6141" s="528" t="s">
        <v>17699</v>
      </c>
      <c r="D6141" s="528" t="s">
        <v>277</v>
      </c>
      <c r="E6141" s="528"/>
      <c r="F6141" s="528"/>
      <c r="G6141" s="528" t="s">
        <v>208</v>
      </c>
      <c r="H6141"/>
    </row>
    <row r="6142" spans="1:8" x14ac:dyDescent="0.35">
      <c r="A6142" s="528" t="s">
        <v>17700</v>
      </c>
      <c r="B6142" s="528" t="s">
        <v>17701</v>
      </c>
      <c r="C6142" s="528" t="s">
        <v>17702</v>
      </c>
      <c r="D6142" s="528" t="s">
        <v>277</v>
      </c>
      <c r="E6142" s="528"/>
      <c r="F6142" s="528"/>
      <c r="G6142" s="528" t="s">
        <v>205</v>
      </c>
      <c r="H6142"/>
    </row>
    <row r="6143" spans="1:8" x14ac:dyDescent="0.35">
      <c r="A6143" s="528" t="s">
        <v>17703</v>
      </c>
      <c r="B6143" s="528" t="s">
        <v>17704</v>
      </c>
      <c r="C6143" s="528" t="s">
        <v>17705</v>
      </c>
      <c r="D6143" s="528" t="s">
        <v>277</v>
      </c>
      <c r="E6143" s="528"/>
      <c r="F6143" s="528"/>
      <c r="G6143" s="528" t="s">
        <v>205</v>
      </c>
      <c r="H6143"/>
    </row>
    <row r="6144" spans="1:8" x14ac:dyDescent="0.35">
      <c r="A6144" s="528" t="s">
        <v>17706</v>
      </c>
      <c r="B6144" s="528" t="s">
        <v>17707</v>
      </c>
      <c r="C6144" s="528" t="s">
        <v>17708</v>
      </c>
      <c r="D6144" s="528" t="s">
        <v>277</v>
      </c>
      <c r="E6144" s="528"/>
      <c r="F6144" s="528"/>
      <c r="G6144" s="528" t="s">
        <v>205</v>
      </c>
      <c r="H6144"/>
    </row>
    <row r="6145" spans="1:8" x14ac:dyDescent="0.35">
      <c r="A6145" s="528" t="s">
        <v>17709</v>
      </c>
      <c r="B6145" s="528" t="s">
        <v>17710</v>
      </c>
      <c r="C6145" s="528" t="s">
        <v>17711</v>
      </c>
      <c r="D6145" s="528" t="s">
        <v>264</v>
      </c>
      <c r="E6145" s="528"/>
      <c r="F6145" s="528"/>
      <c r="G6145" s="528" t="s">
        <v>208</v>
      </c>
      <c r="H6145"/>
    </row>
    <row r="6146" spans="1:8" x14ac:dyDescent="0.35">
      <c r="A6146" s="528" t="s">
        <v>17712</v>
      </c>
      <c r="B6146" s="528" t="s">
        <v>17713</v>
      </c>
      <c r="C6146" s="528" t="s">
        <v>17714</v>
      </c>
      <c r="D6146" s="528" t="s">
        <v>277</v>
      </c>
      <c r="E6146" s="528"/>
      <c r="F6146" s="528"/>
      <c r="G6146" s="528" t="s">
        <v>208</v>
      </c>
      <c r="H6146"/>
    </row>
    <row r="6147" spans="1:8" x14ac:dyDescent="0.35">
      <c r="A6147" s="528" t="s">
        <v>17715</v>
      </c>
      <c r="B6147" s="528" t="s">
        <v>17716</v>
      </c>
      <c r="C6147" s="528" t="s">
        <v>17717</v>
      </c>
      <c r="D6147" s="528" t="s">
        <v>277</v>
      </c>
      <c r="E6147" s="528"/>
      <c r="F6147" s="528"/>
      <c r="G6147" s="528" t="s">
        <v>208</v>
      </c>
      <c r="H6147"/>
    </row>
    <row r="6148" spans="1:8" x14ac:dyDescent="0.35">
      <c r="A6148" s="528" t="s">
        <v>17718</v>
      </c>
      <c r="B6148" s="528" t="s">
        <v>17719</v>
      </c>
      <c r="C6148" s="528" t="s">
        <v>17720</v>
      </c>
      <c r="D6148" s="528" t="s">
        <v>277</v>
      </c>
      <c r="E6148" s="528"/>
      <c r="F6148" s="528"/>
      <c r="G6148" s="528" t="s">
        <v>208</v>
      </c>
      <c r="H6148"/>
    </row>
    <row r="6149" spans="1:8" x14ac:dyDescent="0.35">
      <c r="A6149" s="528" t="s">
        <v>17721</v>
      </c>
      <c r="B6149" s="528" t="s">
        <v>17722</v>
      </c>
      <c r="C6149" s="528" t="s">
        <v>17723</v>
      </c>
      <c r="D6149" s="528" t="s">
        <v>277</v>
      </c>
      <c r="E6149" s="528"/>
      <c r="F6149" s="528"/>
      <c r="G6149" s="528" t="s">
        <v>208</v>
      </c>
      <c r="H6149"/>
    </row>
    <row r="6150" spans="1:8" x14ac:dyDescent="0.35">
      <c r="A6150" s="528" t="s">
        <v>17724</v>
      </c>
      <c r="B6150" s="528" t="s">
        <v>17725</v>
      </c>
      <c r="C6150" s="528" t="s">
        <v>17726</v>
      </c>
      <c r="D6150" s="528" t="s">
        <v>264</v>
      </c>
      <c r="E6150" s="528"/>
      <c r="F6150" s="528"/>
      <c r="G6150" s="528" t="s">
        <v>205</v>
      </c>
      <c r="H6150"/>
    </row>
    <row r="6151" spans="1:8" x14ac:dyDescent="0.35">
      <c r="A6151" s="528" t="s">
        <v>17727</v>
      </c>
      <c r="B6151" s="528" t="s">
        <v>17728</v>
      </c>
      <c r="C6151" s="528" t="s">
        <v>17729</v>
      </c>
      <c r="D6151" s="528" t="s">
        <v>251</v>
      </c>
      <c r="E6151" s="528"/>
      <c r="F6151" s="528"/>
      <c r="G6151" s="528" t="s">
        <v>205</v>
      </c>
      <c r="H6151"/>
    </row>
    <row r="6152" spans="1:8" x14ac:dyDescent="0.35">
      <c r="A6152" s="528" t="s">
        <v>17730</v>
      </c>
      <c r="B6152" s="528" t="s">
        <v>17731</v>
      </c>
      <c r="C6152" s="528" t="s">
        <v>17732</v>
      </c>
      <c r="D6152" s="528" t="s">
        <v>264</v>
      </c>
      <c r="E6152" s="528"/>
      <c r="F6152" s="528"/>
      <c r="G6152" s="528" t="s">
        <v>205</v>
      </c>
      <c r="H6152"/>
    </row>
    <row r="6153" spans="1:8" x14ac:dyDescent="0.35">
      <c r="A6153" s="528" t="s">
        <v>17733</v>
      </c>
      <c r="B6153" s="528" t="s">
        <v>17734</v>
      </c>
      <c r="C6153" s="528" t="s">
        <v>17735</v>
      </c>
      <c r="D6153" s="528" t="s">
        <v>277</v>
      </c>
      <c r="E6153" s="528"/>
      <c r="F6153" s="528"/>
      <c r="G6153" s="528" t="s">
        <v>208</v>
      </c>
      <c r="H6153"/>
    </row>
    <row r="6154" spans="1:8" x14ac:dyDescent="0.35">
      <c r="A6154" s="528" t="s">
        <v>17736</v>
      </c>
      <c r="B6154" s="528" t="s">
        <v>17737</v>
      </c>
      <c r="C6154" s="528" t="s">
        <v>17738</v>
      </c>
      <c r="D6154" s="528" t="s">
        <v>264</v>
      </c>
      <c r="E6154" s="528"/>
      <c r="F6154" s="528"/>
      <c r="G6154" s="528" t="s">
        <v>208</v>
      </c>
      <c r="H6154"/>
    </row>
    <row r="6155" spans="1:8" x14ac:dyDescent="0.35">
      <c r="A6155" s="528" t="s">
        <v>17739</v>
      </c>
      <c r="B6155" s="528" t="s">
        <v>17740</v>
      </c>
      <c r="C6155" s="528" t="s">
        <v>17741</v>
      </c>
      <c r="D6155" s="528" t="s">
        <v>251</v>
      </c>
      <c r="E6155" s="528"/>
      <c r="F6155" s="528"/>
      <c r="G6155" s="528" t="s">
        <v>205</v>
      </c>
      <c r="H6155"/>
    </row>
    <row r="6156" spans="1:8" x14ac:dyDescent="0.35">
      <c r="A6156" s="528" t="s">
        <v>17742</v>
      </c>
      <c r="B6156" s="528" t="s">
        <v>17743</v>
      </c>
      <c r="C6156" s="528" t="s">
        <v>17744</v>
      </c>
      <c r="D6156" s="528" t="s">
        <v>264</v>
      </c>
      <c r="E6156" s="528"/>
      <c r="F6156" s="528"/>
      <c r="G6156" s="528" t="s">
        <v>205</v>
      </c>
      <c r="H6156"/>
    </row>
    <row r="6157" spans="1:8" x14ac:dyDescent="0.35">
      <c r="A6157" s="528" t="s">
        <v>17745</v>
      </c>
      <c r="B6157" s="528" t="s">
        <v>17746</v>
      </c>
      <c r="C6157" s="528" t="s">
        <v>17747</v>
      </c>
      <c r="D6157" s="528" t="s">
        <v>277</v>
      </c>
      <c r="E6157" s="528"/>
      <c r="F6157" s="528"/>
      <c r="G6157" s="528" t="s">
        <v>205</v>
      </c>
      <c r="H6157"/>
    </row>
    <row r="6158" spans="1:8" x14ac:dyDescent="0.35">
      <c r="A6158" s="528" t="s">
        <v>17748</v>
      </c>
      <c r="B6158" s="528" t="s">
        <v>17749</v>
      </c>
      <c r="C6158" s="528" t="s">
        <v>17750</v>
      </c>
      <c r="D6158" s="528" t="s">
        <v>277</v>
      </c>
      <c r="E6158" s="528"/>
      <c r="F6158" s="528"/>
      <c r="G6158" s="528" t="s">
        <v>208</v>
      </c>
      <c r="H6158"/>
    </row>
    <row r="6159" spans="1:8" x14ac:dyDescent="0.35">
      <c r="A6159" s="528" t="s">
        <v>17751</v>
      </c>
      <c r="B6159" s="528" t="s">
        <v>17752</v>
      </c>
      <c r="C6159" s="528" t="s">
        <v>17753</v>
      </c>
      <c r="D6159" s="528" t="s">
        <v>277</v>
      </c>
      <c r="E6159" s="528"/>
      <c r="F6159" s="528"/>
      <c r="G6159" s="528" t="s">
        <v>205</v>
      </c>
      <c r="H6159"/>
    </row>
    <row r="6160" spans="1:8" x14ac:dyDescent="0.35">
      <c r="A6160" s="528" t="s">
        <v>17754</v>
      </c>
      <c r="B6160" s="528" t="s">
        <v>17755</v>
      </c>
      <c r="C6160" s="528" t="s">
        <v>17756</v>
      </c>
      <c r="D6160" s="528" t="s">
        <v>238</v>
      </c>
      <c r="E6160" s="528"/>
      <c r="F6160" s="528"/>
      <c r="G6160" s="528" t="s">
        <v>205</v>
      </c>
      <c r="H6160"/>
    </row>
    <row r="6161" spans="1:8" x14ac:dyDescent="0.35">
      <c r="A6161" s="528" t="s">
        <v>17757</v>
      </c>
      <c r="B6161" s="528" t="s">
        <v>17758</v>
      </c>
      <c r="C6161" s="528" t="s">
        <v>17759</v>
      </c>
      <c r="D6161" s="528" t="s">
        <v>225</v>
      </c>
      <c r="E6161" s="528"/>
      <c r="F6161" s="528"/>
      <c r="G6161" s="528" t="s">
        <v>208</v>
      </c>
      <c r="H6161"/>
    </row>
    <row r="6162" spans="1:8" x14ac:dyDescent="0.35">
      <c r="A6162" s="528" t="s">
        <v>17760</v>
      </c>
      <c r="B6162" s="528" t="s">
        <v>17761</v>
      </c>
      <c r="C6162" s="528" t="s">
        <v>17762</v>
      </c>
      <c r="D6162" s="528" t="s">
        <v>225</v>
      </c>
      <c r="E6162" s="528"/>
      <c r="F6162" s="528"/>
      <c r="G6162" s="528" t="s">
        <v>205</v>
      </c>
      <c r="H6162"/>
    </row>
    <row r="6163" spans="1:8" x14ac:dyDescent="0.35">
      <c r="A6163" s="528" t="s">
        <v>17763</v>
      </c>
      <c r="B6163" s="528" t="s">
        <v>17764</v>
      </c>
      <c r="C6163" s="528" t="s">
        <v>17765</v>
      </c>
      <c r="D6163" s="528" t="s">
        <v>225</v>
      </c>
      <c r="E6163" s="528"/>
      <c r="F6163" s="528"/>
      <c r="G6163" s="528" t="s">
        <v>205</v>
      </c>
      <c r="H6163"/>
    </row>
    <row r="6164" spans="1:8" x14ac:dyDescent="0.35">
      <c r="A6164" s="528" t="s">
        <v>17766</v>
      </c>
      <c r="B6164" s="528" t="s">
        <v>17767</v>
      </c>
      <c r="C6164" s="528" t="s">
        <v>17768</v>
      </c>
      <c r="D6164" s="528" t="s">
        <v>225</v>
      </c>
      <c r="E6164" s="528"/>
      <c r="F6164" s="528"/>
      <c r="G6164" s="528" t="s">
        <v>205</v>
      </c>
      <c r="H6164"/>
    </row>
    <row r="6165" spans="1:8" x14ac:dyDescent="0.35">
      <c r="A6165" s="528" t="s">
        <v>17769</v>
      </c>
      <c r="B6165" s="528" t="s">
        <v>17770</v>
      </c>
      <c r="C6165" s="528" t="s">
        <v>17771</v>
      </c>
      <c r="D6165" s="528" t="s">
        <v>264</v>
      </c>
      <c r="E6165" s="528"/>
      <c r="F6165" s="528"/>
      <c r="G6165" s="528" t="s">
        <v>208</v>
      </c>
      <c r="H6165"/>
    </row>
    <row r="6166" spans="1:8" x14ac:dyDescent="0.35">
      <c r="A6166" s="528" t="s">
        <v>17772</v>
      </c>
      <c r="B6166" s="528" t="s">
        <v>17773</v>
      </c>
      <c r="C6166" s="528" t="s">
        <v>17774</v>
      </c>
      <c r="D6166" s="528" t="s">
        <v>264</v>
      </c>
      <c r="E6166" s="528"/>
      <c r="F6166" s="528"/>
      <c r="G6166" s="528" t="s">
        <v>210</v>
      </c>
      <c r="H6166"/>
    </row>
    <row r="6167" spans="1:8" x14ac:dyDescent="0.35">
      <c r="A6167" s="528" t="s">
        <v>17775</v>
      </c>
      <c r="B6167" s="528" t="s">
        <v>17776</v>
      </c>
      <c r="C6167" s="528" t="s">
        <v>17777</v>
      </c>
      <c r="D6167" s="528" t="s">
        <v>264</v>
      </c>
      <c r="E6167" s="528"/>
      <c r="F6167" s="528"/>
      <c r="G6167" s="528" t="s">
        <v>208</v>
      </c>
      <c r="H6167"/>
    </row>
    <row r="6168" spans="1:8" x14ac:dyDescent="0.35">
      <c r="A6168" s="528" t="s">
        <v>17778</v>
      </c>
      <c r="B6168" s="528" t="s">
        <v>17779</v>
      </c>
      <c r="C6168" s="528" t="s">
        <v>17780</v>
      </c>
      <c r="D6168" s="528" t="s">
        <v>264</v>
      </c>
      <c r="E6168" s="528"/>
      <c r="F6168" s="528"/>
      <c r="G6168" s="528" t="s">
        <v>208</v>
      </c>
      <c r="H6168"/>
    </row>
    <row r="6169" spans="1:8" x14ac:dyDescent="0.35">
      <c r="A6169" s="528" t="s">
        <v>17781</v>
      </c>
      <c r="B6169" s="528" t="s">
        <v>17782</v>
      </c>
      <c r="C6169" s="528" t="s">
        <v>17783</v>
      </c>
      <c r="D6169" s="528" t="s">
        <v>264</v>
      </c>
      <c r="E6169" s="528"/>
      <c r="F6169" s="528"/>
      <c r="G6169" s="528" t="s">
        <v>208</v>
      </c>
      <c r="H6169"/>
    </row>
    <row r="6170" spans="1:8" x14ac:dyDescent="0.35">
      <c r="A6170" s="528" t="s">
        <v>17784</v>
      </c>
      <c r="B6170" s="528" t="s">
        <v>17785</v>
      </c>
      <c r="C6170" s="528" t="s">
        <v>17786</v>
      </c>
      <c r="D6170" s="528" t="s">
        <v>277</v>
      </c>
      <c r="E6170" s="528"/>
      <c r="F6170" s="528"/>
      <c r="G6170" s="528" t="s">
        <v>205</v>
      </c>
      <c r="H6170"/>
    </row>
    <row r="6171" spans="1:8" x14ac:dyDescent="0.35">
      <c r="A6171" s="528" t="s">
        <v>17787</v>
      </c>
      <c r="B6171" s="528" t="s">
        <v>17788</v>
      </c>
      <c r="C6171" s="528" t="s">
        <v>17789</v>
      </c>
      <c r="D6171" s="528" t="s">
        <v>225</v>
      </c>
      <c r="E6171" s="528"/>
      <c r="F6171" s="528"/>
      <c r="G6171" s="528" t="s">
        <v>208</v>
      </c>
      <c r="H6171"/>
    </row>
    <row r="6172" spans="1:8" x14ac:dyDescent="0.35">
      <c r="A6172" s="528" t="s">
        <v>17790</v>
      </c>
      <c r="B6172" s="528" t="s">
        <v>17791</v>
      </c>
      <c r="C6172" s="528" t="s">
        <v>17792</v>
      </c>
      <c r="D6172" s="528" t="s">
        <v>225</v>
      </c>
      <c r="E6172" s="528"/>
      <c r="F6172" s="528"/>
      <c r="G6172" s="528" t="s">
        <v>208</v>
      </c>
      <c r="H6172"/>
    </row>
    <row r="6173" spans="1:8" x14ac:dyDescent="0.35">
      <c r="A6173" s="528" t="s">
        <v>17793</v>
      </c>
      <c r="B6173" s="528" t="s">
        <v>17794</v>
      </c>
      <c r="C6173" s="528" t="s">
        <v>17795</v>
      </c>
      <c r="D6173" s="528" t="s">
        <v>251</v>
      </c>
      <c r="E6173" s="528"/>
      <c r="F6173" s="528"/>
      <c r="G6173" s="528" t="s">
        <v>208</v>
      </c>
      <c r="H6173"/>
    </row>
    <row r="6174" spans="1:8" x14ac:dyDescent="0.35">
      <c r="A6174" s="528" t="s">
        <v>17796</v>
      </c>
      <c r="B6174" s="528" t="s">
        <v>17797</v>
      </c>
      <c r="C6174" s="528" t="s">
        <v>17798</v>
      </c>
      <c r="D6174" s="528" t="s">
        <v>277</v>
      </c>
      <c r="E6174" s="528"/>
      <c r="F6174" s="528"/>
      <c r="G6174" s="528" t="s">
        <v>205</v>
      </c>
      <c r="H6174"/>
    </row>
    <row r="6175" spans="1:8" x14ac:dyDescent="0.35">
      <c r="A6175" s="528" t="s">
        <v>17799</v>
      </c>
      <c r="B6175" s="528" t="s">
        <v>17800</v>
      </c>
      <c r="C6175" s="528" t="s">
        <v>17801</v>
      </c>
      <c r="D6175" s="528" t="s">
        <v>277</v>
      </c>
      <c r="E6175" s="528"/>
      <c r="F6175" s="528"/>
      <c r="G6175" s="528" t="s">
        <v>205</v>
      </c>
      <c r="H6175"/>
    </row>
    <row r="6176" spans="1:8" x14ac:dyDescent="0.35">
      <c r="A6176" s="528" t="s">
        <v>17802</v>
      </c>
      <c r="B6176" s="528" t="s">
        <v>17803</v>
      </c>
      <c r="C6176" s="528" t="s">
        <v>17804</v>
      </c>
      <c r="D6176" s="528" t="s">
        <v>264</v>
      </c>
      <c r="E6176" s="528"/>
      <c r="F6176" s="528"/>
      <c r="G6176" s="528" t="s">
        <v>208</v>
      </c>
      <c r="H6176"/>
    </row>
    <row r="6177" spans="1:8" x14ac:dyDescent="0.35">
      <c r="A6177" s="528" t="s">
        <v>17805</v>
      </c>
      <c r="B6177" s="528" t="s">
        <v>17806</v>
      </c>
      <c r="C6177" s="528" t="s">
        <v>17807</v>
      </c>
      <c r="D6177" s="528" t="s">
        <v>264</v>
      </c>
      <c r="E6177" s="528"/>
      <c r="F6177" s="528"/>
      <c r="G6177" s="528" t="s">
        <v>208</v>
      </c>
      <c r="H6177"/>
    </row>
    <row r="6178" spans="1:8" x14ac:dyDescent="0.35">
      <c r="A6178" s="528" t="s">
        <v>17808</v>
      </c>
      <c r="B6178" s="528" t="s">
        <v>17809</v>
      </c>
      <c r="C6178" s="528" t="s">
        <v>17810</v>
      </c>
      <c r="D6178" s="528" t="s">
        <v>264</v>
      </c>
      <c r="E6178" s="528"/>
      <c r="F6178" s="528"/>
      <c r="G6178" s="528" t="s">
        <v>208</v>
      </c>
      <c r="H6178"/>
    </row>
    <row r="6179" spans="1:8" x14ac:dyDescent="0.35">
      <c r="A6179" s="528" t="s">
        <v>17811</v>
      </c>
      <c r="B6179" s="528" t="s">
        <v>17812</v>
      </c>
      <c r="C6179" s="528" t="s">
        <v>17813</v>
      </c>
      <c r="D6179" s="528" t="s">
        <v>277</v>
      </c>
      <c r="E6179" s="528"/>
      <c r="F6179" s="528"/>
      <c r="G6179" s="528" t="s">
        <v>205</v>
      </c>
      <c r="H6179"/>
    </row>
    <row r="6180" spans="1:8" x14ac:dyDescent="0.35">
      <c r="A6180" s="528" t="s">
        <v>17814</v>
      </c>
      <c r="B6180" s="528" t="s">
        <v>17815</v>
      </c>
      <c r="C6180" s="528" t="s">
        <v>17816</v>
      </c>
      <c r="D6180" s="528" t="s">
        <v>277</v>
      </c>
      <c r="E6180" s="528"/>
      <c r="F6180" s="528"/>
      <c r="G6180" s="528" t="s">
        <v>208</v>
      </c>
      <c r="H6180"/>
    </row>
    <row r="6181" spans="1:8" x14ac:dyDescent="0.35">
      <c r="A6181" s="528" t="s">
        <v>17817</v>
      </c>
      <c r="B6181" s="528" t="s">
        <v>17818</v>
      </c>
      <c r="C6181" s="528" t="s">
        <v>17819</v>
      </c>
      <c r="D6181" s="528" t="s">
        <v>277</v>
      </c>
      <c r="E6181" s="528"/>
      <c r="F6181" s="528"/>
      <c r="G6181" s="528" t="s">
        <v>205</v>
      </c>
      <c r="H6181"/>
    </row>
    <row r="6182" spans="1:8" x14ac:dyDescent="0.35">
      <c r="A6182" s="528" t="s">
        <v>17820</v>
      </c>
      <c r="B6182" s="528" t="s">
        <v>17821</v>
      </c>
      <c r="C6182" s="528" t="s">
        <v>17822</v>
      </c>
      <c r="D6182" s="528" t="s">
        <v>277</v>
      </c>
      <c r="E6182" s="528"/>
      <c r="F6182" s="528"/>
      <c r="G6182" s="528" t="s">
        <v>205</v>
      </c>
      <c r="H6182"/>
    </row>
    <row r="6183" spans="1:8" x14ac:dyDescent="0.35">
      <c r="A6183" s="528" t="s">
        <v>17823</v>
      </c>
      <c r="B6183" s="528" t="s">
        <v>17824</v>
      </c>
      <c r="C6183" s="528" t="s">
        <v>17825</v>
      </c>
      <c r="D6183" s="528" t="s">
        <v>238</v>
      </c>
      <c r="E6183" s="528"/>
      <c r="F6183" s="528"/>
      <c r="G6183" s="528" t="s">
        <v>208</v>
      </c>
      <c r="H6183"/>
    </row>
    <row r="6184" spans="1:8" x14ac:dyDescent="0.35">
      <c r="A6184" s="528" t="s">
        <v>17826</v>
      </c>
      <c r="B6184" s="528" t="s">
        <v>17827</v>
      </c>
      <c r="C6184" s="528" t="s">
        <v>17828</v>
      </c>
      <c r="D6184" s="528" t="s">
        <v>251</v>
      </c>
      <c r="E6184" s="528"/>
      <c r="F6184" s="528"/>
      <c r="G6184" s="528" t="s">
        <v>208</v>
      </c>
      <c r="H6184"/>
    </row>
    <row r="6185" spans="1:8" x14ac:dyDescent="0.35">
      <c r="A6185" s="528" t="s">
        <v>17829</v>
      </c>
      <c r="B6185" s="528" t="s">
        <v>17830</v>
      </c>
      <c r="C6185" s="528" t="s">
        <v>17831</v>
      </c>
      <c r="D6185" s="528" t="s">
        <v>264</v>
      </c>
      <c r="E6185" s="528"/>
      <c r="F6185" s="528"/>
      <c r="G6185" s="528" t="s">
        <v>205</v>
      </c>
      <c r="H6185"/>
    </row>
    <row r="6186" spans="1:8" x14ac:dyDescent="0.35">
      <c r="A6186" s="528" t="s">
        <v>17832</v>
      </c>
      <c r="B6186" s="528" t="s">
        <v>17833</v>
      </c>
      <c r="C6186" s="528" t="s">
        <v>17834</v>
      </c>
      <c r="D6186" s="528" t="s">
        <v>264</v>
      </c>
      <c r="E6186" s="528"/>
      <c r="F6186" s="528"/>
      <c r="G6186" s="528" t="s">
        <v>205</v>
      </c>
      <c r="H6186"/>
    </row>
    <row r="6187" spans="1:8" x14ac:dyDescent="0.35">
      <c r="A6187" s="528" t="s">
        <v>17835</v>
      </c>
      <c r="B6187" s="528" t="s">
        <v>17836</v>
      </c>
      <c r="C6187" s="528" t="s">
        <v>17837</v>
      </c>
      <c r="D6187" s="528" t="s">
        <v>264</v>
      </c>
      <c r="E6187" s="528"/>
      <c r="F6187" s="528"/>
      <c r="G6187" s="528" t="s">
        <v>205</v>
      </c>
      <c r="H6187"/>
    </row>
    <row r="6188" spans="1:8" x14ac:dyDescent="0.35">
      <c r="A6188" s="528" t="s">
        <v>17838</v>
      </c>
      <c r="B6188" s="528" t="s">
        <v>17839</v>
      </c>
      <c r="C6188" s="528" t="s">
        <v>17840</v>
      </c>
      <c r="D6188" s="528" t="s">
        <v>264</v>
      </c>
      <c r="E6188" s="528"/>
      <c r="F6188" s="528"/>
      <c r="G6188" s="528" t="s">
        <v>205</v>
      </c>
      <c r="H6188"/>
    </row>
    <row r="6189" spans="1:8" x14ac:dyDescent="0.35">
      <c r="A6189" s="528" t="s">
        <v>17841</v>
      </c>
      <c r="B6189" s="528" t="s">
        <v>17842</v>
      </c>
      <c r="C6189" s="528" t="s">
        <v>17843</v>
      </c>
      <c r="D6189" s="528" t="s">
        <v>264</v>
      </c>
      <c r="E6189" s="528"/>
      <c r="F6189" s="528"/>
      <c r="G6189" s="528" t="s">
        <v>205</v>
      </c>
      <c r="H6189"/>
    </row>
    <row r="6190" spans="1:8" x14ac:dyDescent="0.35">
      <c r="A6190" s="528" t="s">
        <v>17844</v>
      </c>
      <c r="B6190" s="528" t="s">
        <v>17845</v>
      </c>
      <c r="C6190" s="528" t="s">
        <v>17846</v>
      </c>
      <c r="D6190" s="528" t="s">
        <v>264</v>
      </c>
      <c r="E6190" s="528"/>
      <c r="F6190" s="528"/>
      <c r="G6190" s="528" t="s">
        <v>205</v>
      </c>
      <c r="H6190"/>
    </row>
    <row r="6191" spans="1:8" x14ac:dyDescent="0.35">
      <c r="A6191" s="528" t="s">
        <v>17847</v>
      </c>
      <c r="B6191" s="528" t="s">
        <v>17848</v>
      </c>
      <c r="C6191" s="528" t="s">
        <v>17849</v>
      </c>
      <c r="D6191" s="528" t="s">
        <v>264</v>
      </c>
      <c r="E6191" s="528"/>
      <c r="F6191" s="528"/>
      <c r="G6191" s="528" t="s">
        <v>212</v>
      </c>
      <c r="H6191"/>
    </row>
    <row r="6192" spans="1:8" x14ac:dyDescent="0.35">
      <c r="A6192" s="528" t="s">
        <v>17850</v>
      </c>
      <c r="B6192" s="528" t="s">
        <v>17851</v>
      </c>
      <c r="C6192" s="528" t="s">
        <v>17852</v>
      </c>
      <c r="D6192" s="528" t="s">
        <v>264</v>
      </c>
      <c r="E6192" s="528"/>
      <c r="F6192" s="528"/>
      <c r="G6192" s="528" t="s">
        <v>214</v>
      </c>
      <c r="H6192"/>
    </row>
    <row r="6193" spans="1:8" x14ac:dyDescent="0.35">
      <c r="A6193" s="528" t="s">
        <v>17853</v>
      </c>
      <c r="B6193" s="528" t="s">
        <v>17854</v>
      </c>
      <c r="C6193" s="528" t="s">
        <v>17855</v>
      </c>
      <c r="D6193" s="528" t="s">
        <v>264</v>
      </c>
      <c r="E6193" s="528"/>
      <c r="F6193" s="528"/>
      <c r="G6193" s="528" t="s">
        <v>214</v>
      </c>
      <c r="H6193"/>
    </row>
    <row r="6194" spans="1:8" x14ac:dyDescent="0.35">
      <c r="A6194" s="528" t="s">
        <v>17856</v>
      </c>
      <c r="B6194" s="528" t="s">
        <v>17857</v>
      </c>
      <c r="C6194" s="528" t="s">
        <v>17858</v>
      </c>
      <c r="D6194" s="528" t="s">
        <v>238</v>
      </c>
      <c r="E6194" s="528"/>
      <c r="F6194" s="528"/>
      <c r="G6194" s="528" t="s">
        <v>212</v>
      </c>
      <c r="H6194"/>
    </row>
    <row r="6195" spans="1:8" x14ac:dyDescent="0.35">
      <c r="A6195" s="528" t="s">
        <v>17859</v>
      </c>
      <c r="B6195" s="528" t="s">
        <v>17860</v>
      </c>
      <c r="C6195" s="528" t="s">
        <v>17861</v>
      </c>
      <c r="D6195" s="528" t="s">
        <v>238</v>
      </c>
      <c r="E6195" s="528"/>
      <c r="F6195" s="528"/>
      <c r="G6195" s="528" t="s">
        <v>214</v>
      </c>
      <c r="H6195"/>
    </row>
    <row r="6196" spans="1:8" x14ac:dyDescent="0.35">
      <c r="A6196" s="528" t="s">
        <v>17862</v>
      </c>
      <c r="B6196" s="528" t="s">
        <v>17863</v>
      </c>
      <c r="C6196" s="528" t="s">
        <v>17864</v>
      </c>
      <c r="D6196" s="528" t="s">
        <v>238</v>
      </c>
      <c r="E6196" s="528"/>
      <c r="F6196" s="528"/>
      <c r="G6196" s="528" t="s">
        <v>214</v>
      </c>
      <c r="H6196"/>
    </row>
    <row r="6197" spans="1:8" x14ac:dyDescent="0.35">
      <c r="A6197" s="528" t="s">
        <v>17865</v>
      </c>
      <c r="B6197" s="528" t="s">
        <v>17866</v>
      </c>
      <c r="C6197" s="528" t="s">
        <v>17867</v>
      </c>
      <c r="D6197" s="528" t="s">
        <v>225</v>
      </c>
      <c r="E6197" s="528"/>
      <c r="F6197" s="528"/>
      <c r="G6197" s="528" t="s">
        <v>208</v>
      </c>
      <c r="H6197"/>
    </row>
    <row r="6198" spans="1:8" x14ac:dyDescent="0.35">
      <c r="A6198" s="528" t="s">
        <v>17868</v>
      </c>
      <c r="B6198" s="528" t="s">
        <v>17869</v>
      </c>
      <c r="C6198" s="528" t="s">
        <v>17870</v>
      </c>
      <c r="D6198" s="528" t="s">
        <v>225</v>
      </c>
      <c r="E6198" s="528"/>
      <c r="F6198" s="528"/>
      <c r="G6198" s="528" t="s">
        <v>205</v>
      </c>
      <c r="H6198"/>
    </row>
    <row r="6199" spans="1:8" x14ac:dyDescent="0.35">
      <c r="A6199" s="528" t="s">
        <v>17871</v>
      </c>
      <c r="B6199" s="528" t="s">
        <v>17872</v>
      </c>
      <c r="C6199" s="528" t="s">
        <v>17873</v>
      </c>
      <c r="D6199" s="528" t="s">
        <v>225</v>
      </c>
      <c r="E6199" s="528"/>
      <c r="F6199" s="528"/>
      <c r="G6199" s="528" t="s">
        <v>205</v>
      </c>
      <c r="H6199"/>
    </row>
    <row r="6200" spans="1:8" x14ac:dyDescent="0.35">
      <c r="A6200" s="528" t="s">
        <v>17874</v>
      </c>
      <c r="B6200" s="528" t="s">
        <v>17875</v>
      </c>
      <c r="C6200" s="528" t="s">
        <v>17876</v>
      </c>
      <c r="D6200" s="528" t="s">
        <v>264</v>
      </c>
      <c r="E6200" s="528"/>
      <c r="F6200" s="528"/>
      <c r="G6200" s="528" t="s">
        <v>205</v>
      </c>
      <c r="H6200"/>
    </row>
    <row r="6201" spans="1:8" x14ac:dyDescent="0.35">
      <c r="A6201" s="528" t="s">
        <v>17877</v>
      </c>
      <c r="B6201" s="528" t="s">
        <v>17878</v>
      </c>
      <c r="C6201" s="528" t="s">
        <v>17879</v>
      </c>
      <c r="D6201" s="528" t="s">
        <v>264</v>
      </c>
      <c r="E6201" s="528"/>
      <c r="F6201" s="528"/>
      <c r="G6201" s="528" t="s">
        <v>210</v>
      </c>
      <c r="H6201"/>
    </row>
    <row r="6202" spans="1:8" x14ac:dyDescent="0.35">
      <c r="A6202" s="528" t="s">
        <v>17880</v>
      </c>
      <c r="B6202" s="528" t="s">
        <v>17881</v>
      </c>
      <c r="C6202" s="528" t="s">
        <v>17882</v>
      </c>
      <c r="D6202" s="528" t="s">
        <v>277</v>
      </c>
      <c r="E6202" s="528"/>
      <c r="F6202" s="528"/>
      <c r="G6202" s="528" t="s">
        <v>208</v>
      </c>
      <c r="H6202"/>
    </row>
    <row r="6203" spans="1:8" x14ac:dyDescent="0.35">
      <c r="A6203" s="528" t="s">
        <v>17883</v>
      </c>
      <c r="B6203" s="528" t="s">
        <v>17884</v>
      </c>
      <c r="C6203" s="528" t="s">
        <v>17885</v>
      </c>
      <c r="D6203" s="528" t="s">
        <v>277</v>
      </c>
      <c r="E6203" s="528"/>
      <c r="F6203" s="528"/>
      <c r="G6203" s="528" t="s">
        <v>205</v>
      </c>
      <c r="H6203"/>
    </row>
    <row r="6204" spans="1:8" x14ac:dyDescent="0.35">
      <c r="A6204" s="528" t="s">
        <v>17886</v>
      </c>
      <c r="B6204" s="528" t="s">
        <v>17887</v>
      </c>
      <c r="C6204" s="528" t="s">
        <v>17888</v>
      </c>
      <c r="D6204" s="528" t="s">
        <v>264</v>
      </c>
      <c r="E6204" s="528"/>
      <c r="F6204" s="528"/>
      <c r="G6204" s="528" t="s">
        <v>205</v>
      </c>
      <c r="H6204"/>
    </row>
    <row r="6205" spans="1:8" x14ac:dyDescent="0.35">
      <c r="A6205" s="528" t="s">
        <v>17889</v>
      </c>
      <c r="B6205" s="528" t="s">
        <v>17890</v>
      </c>
      <c r="C6205" s="528" t="s">
        <v>17891</v>
      </c>
      <c r="D6205" s="528" t="s">
        <v>251</v>
      </c>
      <c r="E6205" s="528"/>
      <c r="F6205" s="528"/>
      <c r="G6205" s="528" t="s">
        <v>205</v>
      </c>
      <c r="H6205"/>
    </row>
    <row r="6206" spans="1:8" x14ac:dyDescent="0.35">
      <c r="A6206" s="528" t="s">
        <v>17892</v>
      </c>
      <c r="B6206" s="528" t="s">
        <v>17893</v>
      </c>
      <c r="C6206" s="528" t="s">
        <v>17894</v>
      </c>
      <c r="D6206" s="528" t="s">
        <v>277</v>
      </c>
      <c r="E6206" s="528"/>
      <c r="F6206" s="528"/>
      <c r="G6206" s="528" t="s">
        <v>208</v>
      </c>
      <c r="H6206"/>
    </row>
    <row r="6207" spans="1:8" x14ac:dyDescent="0.35">
      <c r="A6207" s="528" t="s">
        <v>17895</v>
      </c>
      <c r="B6207" s="528" t="s">
        <v>17896</v>
      </c>
      <c r="C6207" s="528" t="s">
        <v>17897</v>
      </c>
      <c r="D6207" s="528" t="s">
        <v>238</v>
      </c>
      <c r="E6207" s="528"/>
      <c r="F6207" s="528"/>
      <c r="G6207" s="528" t="s">
        <v>208</v>
      </c>
      <c r="H6207"/>
    </row>
    <row r="6208" spans="1:8" x14ac:dyDescent="0.35">
      <c r="A6208" s="528" t="s">
        <v>17898</v>
      </c>
      <c r="B6208" s="528" t="s">
        <v>17899</v>
      </c>
      <c r="C6208" s="528" t="s">
        <v>17900</v>
      </c>
      <c r="D6208" s="528" t="s">
        <v>264</v>
      </c>
      <c r="E6208" s="528"/>
      <c r="F6208" s="528"/>
      <c r="G6208" s="528" t="s">
        <v>205</v>
      </c>
      <c r="H6208"/>
    </row>
    <row r="6209" spans="1:8" x14ac:dyDescent="0.35">
      <c r="A6209" s="528" t="s">
        <v>17901</v>
      </c>
      <c r="B6209" s="528" t="s">
        <v>17902</v>
      </c>
      <c r="C6209" s="528" t="s">
        <v>17903</v>
      </c>
      <c r="D6209" s="528" t="s">
        <v>264</v>
      </c>
      <c r="E6209" s="528"/>
      <c r="F6209" s="528"/>
      <c r="G6209" s="528" t="s">
        <v>208</v>
      </c>
      <c r="H6209"/>
    </row>
    <row r="6210" spans="1:8" x14ac:dyDescent="0.35">
      <c r="A6210" s="528" t="s">
        <v>17904</v>
      </c>
      <c r="B6210" s="528" t="s">
        <v>17905</v>
      </c>
      <c r="C6210" s="528" t="s">
        <v>17906</v>
      </c>
      <c r="D6210" s="528" t="s">
        <v>225</v>
      </c>
      <c r="E6210" s="528"/>
      <c r="F6210" s="528"/>
      <c r="G6210" s="528" t="s">
        <v>208</v>
      </c>
      <c r="H6210"/>
    </row>
    <row r="6211" spans="1:8" x14ac:dyDescent="0.35">
      <c r="A6211" s="528" t="s">
        <v>17907</v>
      </c>
      <c r="B6211" s="528" t="s">
        <v>17908</v>
      </c>
      <c r="C6211" s="528" t="s">
        <v>17909</v>
      </c>
      <c r="D6211" s="528" t="s">
        <v>225</v>
      </c>
      <c r="E6211" s="528"/>
      <c r="F6211" s="528"/>
      <c r="G6211" s="528" t="s">
        <v>208</v>
      </c>
      <c r="H6211"/>
    </row>
    <row r="6212" spans="1:8" x14ac:dyDescent="0.35">
      <c r="A6212" s="528" t="s">
        <v>17910</v>
      </c>
      <c r="B6212" s="528" t="s">
        <v>17911</v>
      </c>
      <c r="C6212" s="528" t="s">
        <v>17912</v>
      </c>
      <c r="D6212" s="528" t="s">
        <v>277</v>
      </c>
      <c r="E6212" s="528"/>
      <c r="F6212" s="528"/>
      <c r="G6212" s="528" t="s">
        <v>205</v>
      </c>
      <c r="H6212"/>
    </row>
    <row r="6213" spans="1:8" x14ac:dyDescent="0.35">
      <c r="A6213" s="528" t="s">
        <v>17913</v>
      </c>
      <c r="B6213" s="528" t="s">
        <v>17914</v>
      </c>
      <c r="C6213" s="528" t="s">
        <v>17915</v>
      </c>
      <c r="D6213" s="528" t="s">
        <v>225</v>
      </c>
      <c r="E6213" s="528"/>
      <c r="F6213" s="528"/>
      <c r="G6213" s="528" t="s">
        <v>205</v>
      </c>
      <c r="H6213"/>
    </row>
    <row r="6214" spans="1:8" x14ac:dyDescent="0.35">
      <c r="A6214" s="528" t="s">
        <v>17916</v>
      </c>
      <c r="B6214" s="528" t="s">
        <v>17917</v>
      </c>
      <c r="C6214" s="528" t="s">
        <v>17918</v>
      </c>
      <c r="D6214" s="528" t="s">
        <v>225</v>
      </c>
      <c r="E6214" s="528"/>
      <c r="F6214" s="528"/>
      <c r="G6214" s="528" t="s">
        <v>205</v>
      </c>
      <c r="H6214"/>
    </row>
    <row r="6215" spans="1:8" x14ac:dyDescent="0.35">
      <c r="A6215" s="528" t="s">
        <v>17919</v>
      </c>
      <c r="B6215" s="528" t="s">
        <v>17920</v>
      </c>
      <c r="C6215" s="528" t="s">
        <v>17921</v>
      </c>
      <c r="D6215" s="528" t="s">
        <v>225</v>
      </c>
      <c r="E6215" s="528"/>
      <c r="F6215" s="528"/>
      <c r="G6215" s="528" t="s">
        <v>208</v>
      </c>
      <c r="H6215"/>
    </row>
    <row r="6216" spans="1:8" x14ac:dyDescent="0.35">
      <c r="A6216" s="528" t="s">
        <v>17922</v>
      </c>
      <c r="B6216" s="528" t="s">
        <v>17923</v>
      </c>
      <c r="C6216" s="528" t="s">
        <v>17924</v>
      </c>
      <c r="D6216" s="528" t="s">
        <v>225</v>
      </c>
      <c r="E6216" s="528"/>
      <c r="F6216" s="528"/>
      <c r="G6216" s="528" t="s">
        <v>208</v>
      </c>
      <c r="H6216"/>
    </row>
    <row r="6217" spans="1:8" x14ac:dyDescent="0.35">
      <c r="A6217" s="528" t="s">
        <v>17925</v>
      </c>
      <c r="B6217" s="528" t="s">
        <v>17926</v>
      </c>
      <c r="C6217" s="528" t="s">
        <v>17927</v>
      </c>
      <c r="D6217" s="528" t="s">
        <v>225</v>
      </c>
      <c r="E6217" s="528"/>
      <c r="F6217" s="528"/>
      <c r="G6217" s="528" t="s">
        <v>212</v>
      </c>
      <c r="H6217"/>
    </row>
    <row r="6218" spans="1:8" x14ac:dyDescent="0.35">
      <c r="A6218" s="528" t="s">
        <v>17928</v>
      </c>
      <c r="B6218" s="528" t="s">
        <v>17929</v>
      </c>
      <c r="C6218" s="528" t="s">
        <v>17930</v>
      </c>
      <c r="D6218" s="528" t="s">
        <v>277</v>
      </c>
      <c r="E6218" s="528"/>
      <c r="F6218" s="528"/>
      <c r="G6218" s="528" t="s">
        <v>205</v>
      </c>
      <c r="H6218"/>
    </row>
    <row r="6219" spans="1:8" x14ac:dyDescent="0.35">
      <c r="A6219" s="528" t="s">
        <v>17931</v>
      </c>
      <c r="B6219" s="528" t="s">
        <v>17932</v>
      </c>
      <c r="C6219" s="528" t="s">
        <v>17933</v>
      </c>
      <c r="D6219" s="528" t="s">
        <v>225</v>
      </c>
      <c r="E6219" s="528"/>
      <c r="F6219" s="528"/>
      <c r="G6219" s="528" t="s">
        <v>208</v>
      </c>
      <c r="H6219"/>
    </row>
    <row r="6220" spans="1:8" x14ac:dyDescent="0.35">
      <c r="A6220" s="528" t="s">
        <v>17934</v>
      </c>
      <c r="B6220" s="528" t="s">
        <v>17935</v>
      </c>
      <c r="C6220" s="528" t="s">
        <v>17936</v>
      </c>
      <c r="D6220" s="528" t="s">
        <v>264</v>
      </c>
      <c r="E6220" s="528" t="s">
        <v>277</v>
      </c>
      <c r="F6220" s="528"/>
      <c r="G6220" s="528" t="s">
        <v>208</v>
      </c>
      <c r="H6220"/>
    </row>
    <row r="6221" spans="1:8" x14ac:dyDescent="0.35">
      <c r="A6221" s="528" t="s">
        <v>17937</v>
      </c>
      <c r="B6221" s="528" t="s">
        <v>17938</v>
      </c>
      <c r="C6221" s="528" t="s">
        <v>17939</v>
      </c>
      <c r="D6221" s="528" t="s">
        <v>264</v>
      </c>
      <c r="E6221" s="528"/>
      <c r="F6221" s="528"/>
      <c r="G6221" s="528" t="s">
        <v>208</v>
      </c>
      <c r="H6221"/>
    </row>
    <row r="6222" spans="1:8" x14ac:dyDescent="0.35">
      <c r="A6222" s="528" t="s">
        <v>17940</v>
      </c>
      <c r="B6222" s="528" t="s">
        <v>17941</v>
      </c>
      <c r="C6222" s="528" t="s">
        <v>17942</v>
      </c>
      <c r="D6222" s="528" t="s">
        <v>264</v>
      </c>
      <c r="E6222" s="528" t="s">
        <v>277</v>
      </c>
      <c r="F6222" s="528"/>
      <c r="G6222" s="528" t="s">
        <v>205</v>
      </c>
      <c r="H6222"/>
    </row>
    <row r="6223" spans="1:8" x14ac:dyDescent="0.35">
      <c r="A6223" s="528" t="s">
        <v>17943</v>
      </c>
      <c r="B6223" s="528" t="s">
        <v>17944</v>
      </c>
      <c r="C6223" s="528" t="s">
        <v>17945</v>
      </c>
      <c r="D6223" s="528" t="s">
        <v>264</v>
      </c>
      <c r="E6223" s="528" t="s">
        <v>277</v>
      </c>
      <c r="F6223" s="528"/>
      <c r="G6223" s="528" t="s">
        <v>205</v>
      </c>
      <c r="H6223"/>
    </row>
    <row r="6224" spans="1:8" x14ac:dyDescent="0.35">
      <c r="A6224" s="528" t="s">
        <v>17946</v>
      </c>
      <c r="B6224" s="528" t="s">
        <v>17947</v>
      </c>
      <c r="C6224" s="528" t="s">
        <v>17948</v>
      </c>
      <c r="D6224" s="528" t="s">
        <v>277</v>
      </c>
      <c r="E6224" s="528"/>
      <c r="F6224" s="528"/>
      <c r="G6224" s="528" t="s">
        <v>205</v>
      </c>
      <c r="H6224"/>
    </row>
    <row r="6225" spans="1:8" x14ac:dyDescent="0.35">
      <c r="A6225" s="528" t="s">
        <v>17949</v>
      </c>
      <c r="B6225" s="528" t="s">
        <v>17950</v>
      </c>
      <c r="C6225" s="528" t="s">
        <v>17951</v>
      </c>
      <c r="D6225" s="528" t="s">
        <v>277</v>
      </c>
      <c r="E6225" s="528"/>
      <c r="F6225" s="528"/>
      <c r="G6225" s="528" t="s">
        <v>205</v>
      </c>
      <c r="H6225"/>
    </row>
    <row r="6226" spans="1:8" x14ac:dyDescent="0.35">
      <c r="A6226" s="528" t="s">
        <v>17952</v>
      </c>
      <c r="B6226" s="528" t="s">
        <v>17953</v>
      </c>
      <c r="C6226" s="528" t="s">
        <v>17954</v>
      </c>
      <c r="D6226" s="528" t="s">
        <v>277</v>
      </c>
      <c r="E6226" s="528"/>
      <c r="F6226" s="528"/>
      <c r="G6226" s="528" t="s">
        <v>208</v>
      </c>
      <c r="H6226"/>
    </row>
    <row r="6227" spans="1:8" x14ac:dyDescent="0.35">
      <c r="A6227" s="528" t="s">
        <v>17955</v>
      </c>
      <c r="B6227" s="528" t="s">
        <v>17956</v>
      </c>
      <c r="C6227" s="528" t="s">
        <v>17957</v>
      </c>
      <c r="D6227" s="528" t="s">
        <v>238</v>
      </c>
      <c r="E6227" s="528"/>
      <c r="F6227" s="528"/>
      <c r="G6227" s="528" t="s">
        <v>205</v>
      </c>
      <c r="H6227"/>
    </row>
    <row r="6228" spans="1:8" x14ac:dyDescent="0.35">
      <c r="A6228" s="528" t="s">
        <v>17958</v>
      </c>
      <c r="B6228" s="528" t="s">
        <v>17959</v>
      </c>
      <c r="C6228" s="528" t="s">
        <v>17960</v>
      </c>
      <c r="D6228" s="528" t="s">
        <v>238</v>
      </c>
      <c r="E6228" s="528"/>
      <c r="F6228" s="528"/>
      <c r="G6228" s="528" t="s">
        <v>208</v>
      </c>
      <c r="H6228"/>
    </row>
    <row r="6229" spans="1:8" x14ac:dyDescent="0.35">
      <c r="A6229" s="528" t="s">
        <v>17961</v>
      </c>
      <c r="B6229" s="528" t="s">
        <v>17962</v>
      </c>
      <c r="C6229" s="528" t="s">
        <v>17963</v>
      </c>
      <c r="D6229" s="528" t="s">
        <v>277</v>
      </c>
      <c r="E6229" s="528"/>
      <c r="F6229" s="528"/>
      <c r="G6229" s="528" t="s">
        <v>205</v>
      </c>
      <c r="H6229"/>
    </row>
    <row r="6230" spans="1:8" x14ac:dyDescent="0.35">
      <c r="A6230" s="528" t="s">
        <v>17964</v>
      </c>
      <c r="B6230" s="528" t="s">
        <v>17965</v>
      </c>
      <c r="C6230" s="528" t="s">
        <v>17966</v>
      </c>
      <c r="D6230" s="528" t="s">
        <v>251</v>
      </c>
      <c r="E6230" s="528"/>
      <c r="F6230" s="528"/>
      <c r="G6230" s="528" t="s">
        <v>205</v>
      </c>
      <c r="H6230"/>
    </row>
    <row r="6231" spans="1:8" x14ac:dyDescent="0.35">
      <c r="A6231" s="528" t="s">
        <v>17967</v>
      </c>
      <c r="B6231" s="528" t="s">
        <v>17968</v>
      </c>
      <c r="C6231" s="528" t="s">
        <v>17969</v>
      </c>
      <c r="D6231" s="528" t="s">
        <v>238</v>
      </c>
      <c r="E6231" s="528"/>
      <c r="F6231" s="528"/>
      <c r="G6231" s="528" t="s">
        <v>205</v>
      </c>
      <c r="H6231"/>
    </row>
    <row r="6232" spans="1:8" x14ac:dyDescent="0.35">
      <c r="A6232" s="528" t="s">
        <v>17970</v>
      </c>
      <c r="B6232" s="528" t="s">
        <v>17971</v>
      </c>
      <c r="C6232" s="528" t="s">
        <v>17972</v>
      </c>
      <c r="D6232" s="528" t="s">
        <v>251</v>
      </c>
      <c r="E6232" s="528"/>
      <c r="F6232" s="528"/>
      <c r="G6232" s="528" t="s">
        <v>205</v>
      </c>
      <c r="H6232"/>
    </row>
    <row r="6233" spans="1:8" x14ac:dyDescent="0.35">
      <c r="A6233" s="528" t="s">
        <v>17973</v>
      </c>
      <c r="B6233" s="528" t="s">
        <v>17974</v>
      </c>
      <c r="C6233" s="528" t="s">
        <v>17975</v>
      </c>
      <c r="D6233" s="528" t="s">
        <v>251</v>
      </c>
      <c r="E6233" s="528"/>
      <c r="F6233" s="528"/>
      <c r="G6233" s="528" t="s">
        <v>208</v>
      </c>
      <c r="H6233"/>
    </row>
    <row r="6234" spans="1:8" x14ac:dyDescent="0.35">
      <c r="A6234" s="528" t="s">
        <v>17976</v>
      </c>
      <c r="B6234" s="528" t="s">
        <v>17977</v>
      </c>
      <c r="C6234" s="528" t="s">
        <v>17978</v>
      </c>
      <c r="D6234" s="528" t="s">
        <v>277</v>
      </c>
      <c r="E6234" s="528"/>
      <c r="F6234" s="528"/>
      <c r="G6234" s="528" t="s">
        <v>208</v>
      </c>
      <c r="H6234"/>
    </row>
    <row r="6235" spans="1:8" x14ac:dyDescent="0.35">
      <c r="A6235" s="528" t="s">
        <v>17979</v>
      </c>
      <c r="B6235" s="528" t="s">
        <v>17980</v>
      </c>
      <c r="C6235" s="528" t="s">
        <v>17981</v>
      </c>
      <c r="D6235" s="528" t="s">
        <v>277</v>
      </c>
      <c r="E6235" s="528" t="s">
        <v>238</v>
      </c>
      <c r="F6235" s="528"/>
      <c r="G6235" s="528" t="s">
        <v>208</v>
      </c>
      <c r="H6235"/>
    </row>
    <row r="6236" spans="1:8" x14ac:dyDescent="0.35">
      <c r="A6236" s="528" t="s">
        <v>17982</v>
      </c>
      <c r="B6236" s="528" t="s">
        <v>17983</v>
      </c>
      <c r="C6236" s="528" t="s">
        <v>17984</v>
      </c>
      <c r="D6236" s="528" t="s">
        <v>277</v>
      </c>
      <c r="E6236" s="528" t="s">
        <v>238</v>
      </c>
      <c r="F6236" s="528"/>
      <c r="G6236" s="528" t="s">
        <v>208</v>
      </c>
      <c r="H6236"/>
    </row>
    <row r="6237" spans="1:8" x14ac:dyDescent="0.35">
      <c r="A6237" s="528" t="s">
        <v>17985</v>
      </c>
      <c r="B6237" s="528" t="s">
        <v>17986</v>
      </c>
      <c r="C6237" s="528" t="s">
        <v>15742</v>
      </c>
      <c r="D6237" s="528" t="s">
        <v>277</v>
      </c>
      <c r="E6237" s="528" t="s">
        <v>264</v>
      </c>
      <c r="F6237" s="528"/>
      <c r="G6237" s="528" t="s">
        <v>208</v>
      </c>
      <c r="H6237"/>
    </row>
    <row r="6238" spans="1:8" x14ac:dyDescent="0.35">
      <c r="A6238" s="528" t="s">
        <v>17987</v>
      </c>
      <c r="B6238" s="528" t="s">
        <v>17988</v>
      </c>
      <c r="C6238" s="528" t="s">
        <v>15745</v>
      </c>
      <c r="D6238" s="528" t="s">
        <v>277</v>
      </c>
      <c r="E6238" s="528" t="s">
        <v>264</v>
      </c>
      <c r="F6238" s="528"/>
      <c r="G6238" s="528" t="s">
        <v>205</v>
      </c>
      <c r="H6238"/>
    </row>
    <row r="6239" spans="1:8" x14ac:dyDescent="0.35">
      <c r="A6239" s="528" t="s">
        <v>17989</v>
      </c>
      <c r="B6239" s="528" t="s">
        <v>17990</v>
      </c>
      <c r="C6239" s="528" t="s">
        <v>17991</v>
      </c>
      <c r="D6239" s="528" t="s">
        <v>277</v>
      </c>
      <c r="E6239" s="528" t="s">
        <v>264</v>
      </c>
      <c r="F6239" s="528"/>
      <c r="G6239" s="528" t="s">
        <v>205</v>
      </c>
      <c r="H6239"/>
    </row>
    <row r="6240" spans="1:8" x14ac:dyDescent="0.35">
      <c r="A6240" s="528" t="s">
        <v>17992</v>
      </c>
      <c r="B6240" s="528" t="s">
        <v>17993</v>
      </c>
      <c r="C6240" s="528" t="s">
        <v>17994</v>
      </c>
      <c r="D6240" s="528" t="s">
        <v>277</v>
      </c>
      <c r="E6240" s="528"/>
      <c r="F6240" s="528"/>
      <c r="G6240" s="528" t="s">
        <v>208</v>
      </c>
      <c r="H6240"/>
    </row>
    <row r="6241" spans="1:8" x14ac:dyDescent="0.35">
      <c r="A6241" s="528" t="s">
        <v>17995</v>
      </c>
      <c r="B6241" s="528" t="s">
        <v>17996</v>
      </c>
      <c r="C6241" s="528" t="s">
        <v>17997</v>
      </c>
      <c r="D6241" s="528" t="s">
        <v>277</v>
      </c>
      <c r="E6241" s="528" t="s">
        <v>251</v>
      </c>
      <c r="F6241" s="528"/>
      <c r="G6241" s="528" t="s">
        <v>205</v>
      </c>
      <c r="H6241"/>
    </row>
    <row r="6242" spans="1:8" x14ac:dyDescent="0.35">
      <c r="A6242" s="528" t="s">
        <v>17998</v>
      </c>
      <c r="B6242" s="528" t="s">
        <v>17999</v>
      </c>
      <c r="C6242" s="528" t="s">
        <v>18000</v>
      </c>
      <c r="D6242" s="528" t="s">
        <v>277</v>
      </c>
      <c r="E6242" s="528" t="s">
        <v>264</v>
      </c>
      <c r="F6242" s="528"/>
      <c r="G6242" s="528" t="s">
        <v>208</v>
      </c>
      <c r="H6242"/>
    </row>
    <row r="6243" spans="1:8" x14ac:dyDescent="0.35">
      <c r="A6243" s="528" t="s">
        <v>18001</v>
      </c>
      <c r="B6243" s="528" t="s">
        <v>18002</v>
      </c>
      <c r="C6243" s="528" t="s">
        <v>18003</v>
      </c>
      <c r="D6243" s="528" t="s">
        <v>277</v>
      </c>
      <c r="E6243" s="528" t="s">
        <v>264</v>
      </c>
      <c r="F6243" s="528"/>
      <c r="G6243" s="528" t="s">
        <v>208</v>
      </c>
      <c r="H6243"/>
    </row>
    <row r="6244" spans="1:8" x14ac:dyDescent="0.35">
      <c r="A6244" s="528" t="s">
        <v>18004</v>
      </c>
      <c r="B6244" s="528" t="s">
        <v>18005</v>
      </c>
      <c r="C6244" s="528" t="s">
        <v>18006</v>
      </c>
      <c r="D6244" s="528" t="s">
        <v>277</v>
      </c>
      <c r="E6244" s="528" t="s">
        <v>225</v>
      </c>
      <c r="F6244" s="528"/>
      <c r="G6244" s="528" t="s">
        <v>208</v>
      </c>
      <c r="H6244"/>
    </row>
    <row r="6245" spans="1:8" x14ac:dyDescent="0.35">
      <c r="A6245" s="528" t="s">
        <v>18007</v>
      </c>
      <c r="B6245" s="528" t="s">
        <v>18008</v>
      </c>
      <c r="C6245" s="528" t="s">
        <v>18009</v>
      </c>
      <c r="D6245" s="528" t="s">
        <v>225</v>
      </c>
      <c r="E6245" s="528" t="s">
        <v>238</v>
      </c>
      <c r="F6245" s="528"/>
      <c r="G6245" s="528" t="s">
        <v>208</v>
      </c>
      <c r="H6245"/>
    </row>
    <row r="6246" spans="1:8" x14ac:dyDescent="0.35">
      <c r="A6246" s="528" t="s">
        <v>18010</v>
      </c>
      <c r="B6246" s="528" t="s">
        <v>18011</v>
      </c>
      <c r="C6246" s="528" t="s">
        <v>18012</v>
      </c>
      <c r="D6246" s="528" t="s">
        <v>225</v>
      </c>
      <c r="E6246" s="528"/>
      <c r="F6246" s="528"/>
      <c r="G6246" s="528" t="s">
        <v>208</v>
      </c>
      <c r="H6246"/>
    </row>
    <row r="6247" spans="1:8" x14ac:dyDescent="0.35">
      <c r="A6247" s="528" t="s">
        <v>18013</v>
      </c>
      <c r="B6247" s="528" t="s">
        <v>18014</v>
      </c>
      <c r="C6247" s="528" t="s">
        <v>18015</v>
      </c>
      <c r="D6247" s="528" t="s">
        <v>225</v>
      </c>
      <c r="E6247" s="528"/>
      <c r="F6247" s="528"/>
      <c r="G6247" s="528" t="s">
        <v>208</v>
      </c>
      <c r="H6247"/>
    </row>
    <row r="6248" spans="1:8" x14ac:dyDescent="0.35">
      <c r="A6248" s="528" t="s">
        <v>18016</v>
      </c>
      <c r="B6248" s="528" t="s">
        <v>18017</v>
      </c>
      <c r="C6248" s="528" t="s">
        <v>18018</v>
      </c>
      <c r="D6248" s="528" t="s">
        <v>225</v>
      </c>
      <c r="E6248" s="528"/>
      <c r="F6248" s="528"/>
      <c r="G6248" s="528" t="s">
        <v>208</v>
      </c>
      <c r="H6248"/>
    </row>
    <row r="6249" spans="1:8" x14ac:dyDescent="0.35">
      <c r="A6249" s="528" t="s">
        <v>18019</v>
      </c>
      <c r="B6249" s="528" t="s">
        <v>18020</v>
      </c>
      <c r="C6249" s="528" t="s">
        <v>18021</v>
      </c>
      <c r="D6249" s="528" t="s">
        <v>264</v>
      </c>
      <c r="E6249" s="528"/>
      <c r="F6249" s="528"/>
      <c r="G6249" s="528" t="s">
        <v>205</v>
      </c>
      <c r="H6249"/>
    </row>
    <row r="6250" spans="1:8" x14ac:dyDescent="0.35">
      <c r="A6250" s="528" t="s">
        <v>18022</v>
      </c>
      <c r="B6250" s="528" t="s">
        <v>18023</v>
      </c>
      <c r="C6250" s="528" t="s">
        <v>18024</v>
      </c>
      <c r="D6250" s="528" t="s">
        <v>264</v>
      </c>
      <c r="E6250" s="528"/>
      <c r="F6250" s="528"/>
      <c r="G6250" s="528" t="s">
        <v>212</v>
      </c>
      <c r="H6250"/>
    </row>
    <row r="6251" spans="1:8" x14ac:dyDescent="0.35">
      <c r="A6251" s="528" t="s">
        <v>18025</v>
      </c>
      <c r="B6251" s="528" t="s">
        <v>18026</v>
      </c>
      <c r="C6251" s="528" t="s">
        <v>18027</v>
      </c>
      <c r="D6251" s="528" t="s">
        <v>264</v>
      </c>
      <c r="E6251" s="528"/>
      <c r="F6251" s="528"/>
      <c r="G6251" s="528" t="s">
        <v>205</v>
      </c>
      <c r="H6251"/>
    </row>
    <row r="6252" spans="1:8" x14ac:dyDescent="0.35">
      <c r="A6252" s="528" t="s">
        <v>18028</v>
      </c>
      <c r="B6252" s="528" t="s">
        <v>18029</v>
      </c>
      <c r="C6252" s="528" t="s">
        <v>18030</v>
      </c>
      <c r="D6252" s="528" t="s">
        <v>277</v>
      </c>
      <c r="E6252" s="528"/>
      <c r="F6252" s="528"/>
      <c r="G6252" s="528" t="s">
        <v>208</v>
      </c>
      <c r="H6252"/>
    </row>
    <row r="6253" spans="1:8" x14ac:dyDescent="0.35">
      <c r="A6253" s="528" t="s">
        <v>18031</v>
      </c>
      <c r="B6253" s="528" t="s">
        <v>18032</v>
      </c>
      <c r="C6253" s="528" t="s">
        <v>18033</v>
      </c>
      <c r="D6253" s="528" t="s">
        <v>264</v>
      </c>
      <c r="E6253" s="528"/>
      <c r="F6253" s="528"/>
      <c r="G6253" s="528" t="s">
        <v>205</v>
      </c>
      <c r="H6253"/>
    </row>
    <row r="6254" spans="1:8" x14ac:dyDescent="0.35">
      <c r="A6254" s="528" t="s">
        <v>18034</v>
      </c>
      <c r="B6254" s="528" t="s">
        <v>18035</v>
      </c>
      <c r="C6254" s="528" t="s">
        <v>18036</v>
      </c>
      <c r="D6254" s="528" t="s">
        <v>225</v>
      </c>
      <c r="E6254" s="528"/>
      <c r="F6254" s="528"/>
      <c r="G6254" s="528" t="s">
        <v>205</v>
      </c>
      <c r="H6254"/>
    </row>
    <row r="6255" spans="1:8" x14ac:dyDescent="0.35">
      <c r="A6255" s="528" t="s">
        <v>18037</v>
      </c>
      <c r="B6255" s="528" t="s">
        <v>18038</v>
      </c>
      <c r="C6255" s="528" t="s">
        <v>18039</v>
      </c>
      <c r="D6255" s="528" t="s">
        <v>264</v>
      </c>
      <c r="E6255" s="528"/>
      <c r="F6255" s="528"/>
      <c r="G6255" s="528" t="s">
        <v>205</v>
      </c>
      <c r="H6255"/>
    </row>
    <row r="6256" spans="1:8" x14ac:dyDescent="0.35">
      <c r="A6256" s="528" t="s">
        <v>18040</v>
      </c>
      <c r="B6256" s="528" t="s">
        <v>18041</v>
      </c>
      <c r="C6256" s="528" t="s">
        <v>18042</v>
      </c>
      <c r="D6256" s="528" t="s">
        <v>264</v>
      </c>
      <c r="E6256" s="528"/>
      <c r="F6256" s="528"/>
      <c r="G6256" s="528" t="s">
        <v>208</v>
      </c>
      <c r="H6256"/>
    </row>
    <row r="6257" spans="1:8" x14ac:dyDescent="0.35">
      <c r="A6257" s="528" t="s">
        <v>18043</v>
      </c>
      <c r="B6257" s="528" t="s">
        <v>18044</v>
      </c>
      <c r="C6257" s="528" t="s">
        <v>18045</v>
      </c>
      <c r="D6257" s="528" t="s">
        <v>225</v>
      </c>
      <c r="E6257" s="528"/>
      <c r="F6257" s="528"/>
      <c r="G6257" s="528" t="s">
        <v>208</v>
      </c>
      <c r="H6257"/>
    </row>
    <row r="6258" spans="1:8" x14ac:dyDescent="0.35">
      <c r="A6258" s="528" t="s">
        <v>18046</v>
      </c>
      <c r="B6258" s="528" t="s">
        <v>18047</v>
      </c>
      <c r="C6258" s="528" t="s">
        <v>18048</v>
      </c>
      <c r="D6258" s="528" t="s">
        <v>264</v>
      </c>
      <c r="E6258" s="528"/>
      <c r="F6258" s="528"/>
      <c r="G6258" s="528" t="s">
        <v>208</v>
      </c>
      <c r="H6258"/>
    </row>
    <row r="6259" spans="1:8" x14ac:dyDescent="0.35">
      <c r="A6259" s="528" t="s">
        <v>18049</v>
      </c>
      <c r="B6259" s="528" t="s">
        <v>18050</v>
      </c>
      <c r="C6259" s="528" t="s">
        <v>18051</v>
      </c>
      <c r="D6259" s="528" t="s">
        <v>225</v>
      </c>
      <c r="E6259" s="528"/>
      <c r="F6259" s="528"/>
      <c r="G6259" s="528" t="s">
        <v>205</v>
      </c>
      <c r="H6259"/>
    </row>
    <row r="6260" spans="1:8" x14ac:dyDescent="0.35">
      <c r="A6260" s="528" t="s">
        <v>18052</v>
      </c>
      <c r="B6260" s="528" t="s">
        <v>18053</v>
      </c>
      <c r="C6260" s="528" t="s">
        <v>18054</v>
      </c>
      <c r="D6260" s="528" t="s">
        <v>225</v>
      </c>
      <c r="E6260" s="528"/>
      <c r="F6260" s="528"/>
      <c r="G6260" s="528" t="s">
        <v>205</v>
      </c>
      <c r="H6260"/>
    </row>
    <row r="6261" spans="1:8" x14ac:dyDescent="0.35">
      <c r="A6261" s="528" t="s">
        <v>18055</v>
      </c>
      <c r="B6261" s="528" t="s">
        <v>18056</v>
      </c>
      <c r="C6261" s="528" t="s">
        <v>18057</v>
      </c>
      <c r="D6261" s="528" t="s">
        <v>225</v>
      </c>
      <c r="E6261" s="528"/>
      <c r="F6261" s="528"/>
      <c r="G6261" s="528" t="s">
        <v>205</v>
      </c>
      <c r="H6261"/>
    </row>
    <row r="6262" spans="1:8" x14ac:dyDescent="0.35">
      <c r="A6262" s="528" t="s">
        <v>18058</v>
      </c>
      <c r="B6262" s="528" t="s">
        <v>18059</v>
      </c>
      <c r="C6262" s="528" t="s">
        <v>18060</v>
      </c>
      <c r="D6262" s="528" t="s">
        <v>277</v>
      </c>
      <c r="E6262" s="528"/>
      <c r="F6262" s="528"/>
      <c r="G6262" s="528" t="s">
        <v>208</v>
      </c>
      <c r="H6262"/>
    </row>
    <row r="6263" spans="1:8" x14ac:dyDescent="0.35">
      <c r="A6263" s="528" t="s">
        <v>18061</v>
      </c>
      <c r="B6263" s="528" t="s">
        <v>18062</v>
      </c>
      <c r="C6263" s="528" t="s">
        <v>18063</v>
      </c>
      <c r="D6263" s="528" t="s">
        <v>225</v>
      </c>
      <c r="E6263" s="528"/>
      <c r="F6263" s="528"/>
      <c r="G6263" s="528" t="s">
        <v>208</v>
      </c>
      <c r="H6263"/>
    </row>
    <row r="6264" spans="1:8" x14ac:dyDescent="0.35">
      <c r="A6264" s="528" t="s">
        <v>18064</v>
      </c>
      <c r="B6264" s="528" t="s">
        <v>18065</v>
      </c>
      <c r="C6264" s="528" t="s">
        <v>18066</v>
      </c>
      <c r="D6264" s="528" t="s">
        <v>277</v>
      </c>
      <c r="E6264" s="528"/>
      <c r="F6264" s="528"/>
      <c r="G6264" s="528" t="s">
        <v>205</v>
      </c>
      <c r="H6264"/>
    </row>
    <row r="6265" spans="1:8" x14ac:dyDescent="0.35">
      <c r="A6265" s="528" t="s">
        <v>18067</v>
      </c>
      <c r="B6265" s="528" t="s">
        <v>18068</v>
      </c>
      <c r="C6265" s="528" t="s">
        <v>18069</v>
      </c>
      <c r="D6265" s="528" t="s">
        <v>264</v>
      </c>
      <c r="E6265" s="528"/>
      <c r="F6265" s="528"/>
      <c r="G6265" s="528" t="s">
        <v>208</v>
      </c>
      <c r="H6265"/>
    </row>
    <row r="6266" spans="1:8" x14ac:dyDescent="0.35">
      <c r="A6266" s="528" t="s">
        <v>18070</v>
      </c>
      <c r="B6266" s="528" t="s">
        <v>18071</v>
      </c>
      <c r="C6266" s="528" t="s">
        <v>18072</v>
      </c>
      <c r="D6266" s="528" t="s">
        <v>225</v>
      </c>
      <c r="E6266" s="528"/>
      <c r="F6266" s="528"/>
      <c r="G6266" s="528" t="s">
        <v>208</v>
      </c>
      <c r="H6266"/>
    </row>
    <row r="6267" spans="1:8" x14ac:dyDescent="0.35">
      <c r="A6267" s="528" t="s">
        <v>18073</v>
      </c>
      <c r="B6267" s="528" t="s">
        <v>18074</v>
      </c>
      <c r="C6267" s="528" t="s">
        <v>18075</v>
      </c>
      <c r="D6267" s="528" t="s">
        <v>225</v>
      </c>
      <c r="E6267" s="528"/>
      <c r="F6267" s="528"/>
      <c r="G6267" s="528" t="s">
        <v>208</v>
      </c>
      <c r="H6267"/>
    </row>
    <row r="6268" spans="1:8" x14ac:dyDescent="0.35">
      <c r="A6268" s="528" t="s">
        <v>18076</v>
      </c>
      <c r="B6268" s="528" t="s">
        <v>18077</v>
      </c>
      <c r="C6268" s="528" t="s">
        <v>18078</v>
      </c>
      <c r="D6268" s="528" t="s">
        <v>264</v>
      </c>
      <c r="E6268" s="528"/>
      <c r="F6268" s="528"/>
      <c r="G6268" s="528" t="s">
        <v>208</v>
      </c>
      <c r="H6268"/>
    </row>
    <row r="6269" spans="1:8" x14ac:dyDescent="0.35">
      <c r="A6269" s="528" t="s">
        <v>18079</v>
      </c>
      <c r="B6269" s="528" t="s">
        <v>18080</v>
      </c>
      <c r="C6269" s="528" t="s">
        <v>18081</v>
      </c>
      <c r="D6269" s="528" t="s">
        <v>264</v>
      </c>
      <c r="E6269" s="528"/>
      <c r="F6269" s="528"/>
      <c r="G6269" s="528" t="s">
        <v>208</v>
      </c>
      <c r="H6269"/>
    </row>
    <row r="6270" spans="1:8" x14ac:dyDescent="0.35">
      <c r="A6270" s="528" t="s">
        <v>18082</v>
      </c>
      <c r="B6270" s="528" t="s">
        <v>18083</v>
      </c>
      <c r="C6270" s="528" t="s">
        <v>18084</v>
      </c>
      <c r="D6270" s="528" t="s">
        <v>264</v>
      </c>
      <c r="E6270" s="528" t="s">
        <v>277</v>
      </c>
      <c r="F6270" s="528"/>
      <c r="G6270" s="528" t="s">
        <v>208</v>
      </c>
      <c r="H6270"/>
    </row>
    <row r="6271" spans="1:8" x14ac:dyDescent="0.35">
      <c r="A6271" s="528" t="s">
        <v>18085</v>
      </c>
      <c r="B6271" s="528" t="s">
        <v>18086</v>
      </c>
      <c r="C6271" s="528" t="s">
        <v>18087</v>
      </c>
      <c r="D6271" s="528" t="s">
        <v>225</v>
      </c>
      <c r="E6271" s="528"/>
      <c r="F6271" s="528"/>
      <c r="G6271" s="528" t="s">
        <v>208</v>
      </c>
      <c r="H6271"/>
    </row>
    <row r="6272" spans="1:8" x14ac:dyDescent="0.35">
      <c r="A6272" s="528" t="s">
        <v>18088</v>
      </c>
      <c r="B6272" s="528" t="s">
        <v>18089</v>
      </c>
      <c r="C6272" s="528" t="s">
        <v>18090</v>
      </c>
      <c r="D6272" s="528" t="s">
        <v>225</v>
      </c>
      <c r="E6272" s="528"/>
      <c r="F6272" s="528"/>
      <c r="G6272" s="528" t="s">
        <v>212</v>
      </c>
      <c r="H6272"/>
    </row>
    <row r="6273" spans="1:8" x14ac:dyDescent="0.35">
      <c r="A6273" s="528" t="s">
        <v>18091</v>
      </c>
      <c r="B6273" s="528" t="s">
        <v>18092</v>
      </c>
      <c r="C6273" s="528" t="s">
        <v>18093</v>
      </c>
      <c r="D6273" s="528" t="s">
        <v>238</v>
      </c>
      <c r="E6273" s="528"/>
      <c r="F6273" s="528"/>
      <c r="G6273" s="528" t="s">
        <v>208</v>
      </c>
      <c r="H6273"/>
    </row>
    <row r="6274" spans="1:8" x14ac:dyDescent="0.35">
      <c r="A6274" s="528" t="s">
        <v>18094</v>
      </c>
      <c r="B6274" s="528" t="s">
        <v>18095</v>
      </c>
      <c r="C6274" s="528" t="s">
        <v>18096</v>
      </c>
      <c r="D6274" s="528" t="s">
        <v>277</v>
      </c>
      <c r="E6274" s="528"/>
      <c r="F6274" s="528"/>
      <c r="G6274" s="528" t="s">
        <v>212</v>
      </c>
      <c r="H6274"/>
    </row>
    <row r="6275" spans="1:8" x14ac:dyDescent="0.35">
      <c r="A6275" s="528" t="s">
        <v>18097</v>
      </c>
      <c r="B6275" s="528" t="s">
        <v>18098</v>
      </c>
      <c r="C6275" s="528" t="s">
        <v>18099</v>
      </c>
      <c r="D6275" s="528" t="s">
        <v>277</v>
      </c>
      <c r="E6275" s="528"/>
      <c r="F6275" s="528"/>
      <c r="G6275" s="528" t="s">
        <v>208</v>
      </c>
      <c r="H6275"/>
    </row>
    <row r="6276" spans="1:8" x14ac:dyDescent="0.35">
      <c r="A6276" s="528" t="s">
        <v>18100</v>
      </c>
      <c r="B6276" s="528" t="s">
        <v>18101</v>
      </c>
      <c r="C6276" s="528" t="s">
        <v>18102</v>
      </c>
      <c r="D6276" s="528" t="s">
        <v>225</v>
      </c>
      <c r="E6276" s="528"/>
      <c r="F6276" s="528"/>
      <c r="G6276" s="528" t="s">
        <v>205</v>
      </c>
      <c r="H6276"/>
    </row>
    <row r="6277" spans="1:8" x14ac:dyDescent="0.35">
      <c r="A6277" s="528" t="s">
        <v>18103</v>
      </c>
      <c r="B6277" s="528" t="s">
        <v>18104</v>
      </c>
      <c r="C6277" s="528" t="s">
        <v>18105</v>
      </c>
      <c r="D6277" s="528" t="s">
        <v>225</v>
      </c>
      <c r="E6277" s="528"/>
      <c r="F6277" s="528"/>
      <c r="G6277" s="528" t="s">
        <v>208</v>
      </c>
      <c r="H6277"/>
    </row>
    <row r="6278" spans="1:8" x14ac:dyDescent="0.35">
      <c r="A6278" s="528" t="s">
        <v>18106</v>
      </c>
      <c r="B6278" s="528" t="s">
        <v>18107</v>
      </c>
      <c r="C6278" s="528" t="s">
        <v>18108</v>
      </c>
      <c r="D6278" s="528" t="s">
        <v>225</v>
      </c>
      <c r="E6278" s="528"/>
      <c r="F6278" s="528"/>
      <c r="G6278" s="528" t="s">
        <v>205</v>
      </c>
      <c r="H6278"/>
    </row>
    <row r="6279" spans="1:8" x14ac:dyDescent="0.35">
      <c r="A6279" s="528" t="s">
        <v>18109</v>
      </c>
      <c r="B6279" s="528" t="s">
        <v>18110</v>
      </c>
      <c r="C6279" s="528" t="s">
        <v>18111</v>
      </c>
      <c r="D6279" s="528" t="s">
        <v>225</v>
      </c>
      <c r="E6279" s="528"/>
      <c r="F6279" s="528"/>
      <c r="G6279" s="528" t="s">
        <v>208</v>
      </c>
      <c r="H6279"/>
    </row>
    <row r="6280" spans="1:8" x14ac:dyDescent="0.35">
      <c r="A6280" s="528" t="s">
        <v>18112</v>
      </c>
      <c r="B6280" s="528" t="s">
        <v>18113</v>
      </c>
      <c r="C6280" s="528" t="s">
        <v>18114</v>
      </c>
      <c r="D6280" s="528" t="s">
        <v>277</v>
      </c>
      <c r="E6280" s="528"/>
      <c r="F6280" s="528"/>
      <c r="G6280" s="528" t="s">
        <v>208</v>
      </c>
      <c r="H6280"/>
    </row>
    <row r="6281" spans="1:8" x14ac:dyDescent="0.35">
      <c r="A6281" s="528" t="s">
        <v>18115</v>
      </c>
      <c r="B6281" s="528" t="s">
        <v>18116</v>
      </c>
      <c r="C6281" s="528" t="s">
        <v>18117</v>
      </c>
      <c r="D6281" s="528" t="s">
        <v>277</v>
      </c>
      <c r="E6281" s="528"/>
      <c r="F6281" s="528"/>
      <c r="G6281" s="528" t="s">
        <v>205</v>
      </c>
      <c r="H6281"/>
    </row>
    <row r="6282" spans="1:8" x14ac:dyDescent="0.35">
      <c r="A6282" s="528" t="s">
        <v>18118</v>
      </c>
      <c r="B6282" s="528" t="s">
        <v>18119</v>
      </c>
      <c r="C6282" s="528" t="s">
        <v>18120</v>
      </c>
      <c r="D6282" s="528" t="s">
        <v>251</v>
      </c>
      <c r="E6282" s="528"/>
      <c r="F6282" s="528"/>
      <c r="G6282" s="528" t="s">
        <v>208</v>
      </c>
      <c r="H6282"/>
    </row>
    <row r="6283" spans="1:8" x14ac:dyDescent="0.35">
      <c r="A6283" s="528" t="s">
        <v>18121</v>
      </c>
      <c r="B6283" s="528" t="s">
        <v>18122</v>
      </c>
      <c r="C6283" s="528" t="s">
        <v>18123</v>
      </c>
      <c r="D6283" s="528" t="s">
        <v>277</v>
      </c>
      <c r="E6283" s="528"/>
      <c r="F6283" s="528"/>
      <c r="G6283" s="528" t="s">
        <v>208</v>
      </c>
      <c r="H6283"/>
    </row>
    <row r="6284" spans="1:8" x14ac:dyDescent="0.35">
      <c r="A6284" s="528" t="s">
        <v>18124</v>
      </c>
      <c r="B6284" s="528" t="s">
        <v>18125</v>
      </c>
      <c r="C6284" s="528" t="s">
        <v>18126</v>
      </c>
      <c r="D6284" s="528" t="s">
        <v>277</v>
      </c>
      <c r="E6284" s="528" t="s">
        <v>264</v>
      </c>
      <c r="F6284" s="528"/>
      <c r="G6284" s="528" t="s">
        <v>208</v>
      </c>
      <c r="H6284"/>
    </row>
    <row r="6285" spans="1:8" x14ac:dyDescent="0.35">
      <c r="A6285" s="528" t="s">
        <v>18127</v>
      </c>
      <c r="B6285" s="528" t="s">
        <v>18128</v>
      </c>
      <c r="C6285" s="528" t="s">
        <v>18129</v>
      </c>
      <c r="D6285" s="528" t="s">
        <v>277</v>
      </c>
      <c r="E6285" s="528"/>
      <c r="F6285" s="528"/>
      <c r="G6285" s="528" t="s">
        <v>208</v>
      </c>
      <c r="H6285"/>
    </row>
    <row r="6286" spans="1:8" x14ac:dyDescent="0.35">
      <c r="A6286" s="528" t="s">
        <v>18130</v>
      </c>
      <c r="B6286" s="528" t="s">
        <v>18131</v>
      </c>
      <c r="C6286" s="528" t="s">
        <v>18132</v>
      </c>
      <c r="D6286" s="528" t="s">
        <v>264</v>
      </c>
      <c r="E6286" s="528"/>
      <c r="F6286" s="528"/>
      <c r="G6286" s="528" t="s">
        <v>205</v>
      </c>
      <c r="H6286"/>
    </row>
    <row r="6287" spans="1:8" x14ac:dyDescent="0.35">
      <c r="A6287" s="528" t="s">
        <v>18133</v>
      </c>
      <c r="B6287" s="528" t="s">
        <v>18134</v>
      </c>
      <c r="C6287" s="528" t="s">
        <v>18135</v>
      </c>
      <c r="D6287" s="528" t="s">
        <v>264</v>
      </c>
      <c r="E6287" s="528"/>
      <c r="F6287" s="528"/>
      <c r="G6287" s="528" t="s">
        <v>208</v>
      </c>
      <c r="H6287"/>
    </row>
    <row r="6288" spans="1:8" x14ac:dyDescent="0.35">
      <c r="A6288" s="528" t="s">
        <v>18136</v>
      </c>
      <c r="B6288" s="528" t="s">
        <v>18137</v>
      </c>
      <c r="C6288" s="528" t="s">
        <v>18138</v>
      </c>
      <c r="D6288" s="528" t="s">
        <v>277</v>
      </c>
      <c r="E6288" s="528" t="s">
        <v>264</v>
      </c>
      <c r="F6288" s="528"/>
      <c r="G6288" s="528" t="s">
        <v>205</v>
      </c>
      <c r="H6288"/>
    </row>
    <row r="6289" spans="1:8" x14ac:dyDescent="0.35">
      <c r="A6289" s="528" t="s">
        <v>18139</v>
      </c>
      <c r="B6289" s="528" t="s">
        <v>18140</v>
      </c>
      <c r="C6289" s="528" t="s">
        <v>18141</v>
      </c>
      <c r="D6289" s="528" t="s">
        <v>225</v>
      </c>
      <c r="E6289" s="528"/>
      <c r="F6289" s="528"/>
      <c r="G6289" s="528" t="s">
        <v>214</v>
      </c>
      <c r="H6289"/>
    </row>
    <row r="6290" spans="1:8" x14ac:dyDescent="0.35">
      <c r="A6290" s="528" t="s">
        <v>18142</v>
      </c>
      <c r="B6290" s="528" t="s">
        <v>18143</v>
      </c>
      <c r="C6290" s="528" t="s">
        <v>18144</v>
      </c>
      <c r="D6290" s="528" t="s">
        <v>225</v>
      </c>
      <c r="E6290" s="528"/>
      <c r="F6290" s="528"/>
      <c r="G6290" s="528" t="s">
        <v>212</v>
      </c>
      <c r="H6290"/>
    </row>
    <row r="6291" spans="1:8" x14ac:dyDescent="0.35">
      <c r="A6291" s="528" t="s">
        <v>18145</v>
      </c>
      <c r="B6291" s="528" t="s">
        <v>18146</v>
      </c>
      <c r="C6291" s="528" t="s">
        <v>18147</v>
      </c>
      <c r="D6291" s="528" t="s">
        <v>225</v>
      </c>
      <c r="E6291" s="528"/>
      <c r="F6291" s="528"/>
      <c r="G6291" s="528" t="s">
        <v>208</v>
      </c>
      <c r="H6291"/>
    </row>
    <row r="6292" spans="1:8" x14ac:dyDescent="0.35">
      <c r="A6292" s="528" t="s">
        <v>18148</v>
      </c>
      <c r="B6292" s="528" t="s">
        <v>18149</v>
      </c>
      <c r="C6292" s="528" t="s">
        <v>18150</v>
      </c>
      <c r="D6292" s="528" t="s">
        <v>264</v>
      </c>
      <c r="E6292" s="528"/>
      <c r="F6292" s="528"/>
      <c r="G6292" s="528" t="s">
        <v>205</v>
      </c>
      <c r="H6292"/>
    </row>
    <row r="6293" spans="1:8" x14ac:dyDescent="0.35">
      <c r="A6293" s="528" t="s">
        <v>18151</v>
      </c>
      <c r="B6293" s="528" t="s">
        <v>18152</v>
      </c>
      <c r="C6293" s="528" t="s">
        <v>18153</v>
      </c>
      <c r="D6293" s="528" t="s">
        <v>277</v>
      </c>
      <c r="E6293" s="528"/>
      <c r="F6293" s="528"/>
      <c r="G6293" s="528" t="s">
        <v>205</v>
      </c>
      <c r="H6293"/>
    </row>
    <row r="6294" spans="1:8" x14ac:dyDescent="0.35">
      <c r="A6294" s="528" t="s">
        <v>18154</v>
      </c>
      <c r="B6294" s="528" t="s">
        <v>18155</v>
      </c>
      <c r="C6294" s="528" t="s">
        <v>18156</v>
      </c>
      <c r="D6294" s="528" t="s">
        <v>225</v>
      </c>
      <c r="E6294" s="528"/>
      <c r="F6294" s="528"/>
      <c r="G6294" s="528" t="s">
        <v>208</v>
      </c>
      <c r="H6294"/>
    </row>
    <row r="6295" spans="1:8" x14ac:dyDescent="0.35">
      <c r="A6295" s="528" t="s">
        <v>18157</v>
      </c>
      <c r="B6295" s="528" t="s">
        <v>18158</v>
      </c>
      <c r="C6295" s="528" t="s">
        <v>18159</v>
      </c>
      <c r="D6295" s="528" t="s">
        <v>225</v>
      </c>
      <c r="E6295" s="528"/>
      <c r="F6295" s="528"/>
      <c r="G6295" s="528" t="s">
        <v>208</v>
      </c>
      <c r="H6295"/>
    </row>
    <row r="6296" spans="1:8" x14ac:dyDescent="0.35">
      <c r="A6296" s="528" t="s">
        <v>18160</v>
      </c>
      <c r="B6296" s="528" t="s">
        <v>18161</v>
      </c>
      <c r="C6296" s="528" t="s">
        <v>18162</v>
      </c>
      <c r="D6296" s="528" t="s">
        <v>225</v>
      </c>
      <c r="E6296" s="528"/>
      <c r="F6296" s="528"/>
      <c r="G6296" s="528" t="s">
        <v>208</v>
      </c>
      <c r="H6296"/>
    </row>
    <row r="6297" spans="1:8" x14ac:dyDescent="0.35">
      <c r="A6297" s="528" t="s">
        <v>18163</v>
      </c>
      <c r="B6297" s="528" t="s">
        <v>18164</v>
      </c>
      <c r="C6297" s="528" t="s">
        <v>18165</v>
      </c>
      <c r="D6297" s="528" t="s">
        <v>225</v>
      </c>
      <c r="E6297" s="528"/>
      <c r="F6297" s="528"/>
      <c r="G6297" s="528" t="s">
        <v>205</v>
      </c>
      <c r="H6297"/>
    </row>
    <row r="6298" spans="1:8" x14ac:dyDescent="0.35">
      <c r="A6298" s="528" t="s">
        <v>18166</v>
      </c>
      <c r="B6298" s="528" t="s">
        <v>18167</v>
      </c>
      <c r="C6298" s="528" t="s">
        <v>18168</v>
      </c>
      <c r="D6298" s="528" t="s">
        <v>225</v>
      </c>
      <c r="E6298" s="528"/>
      <c r="F6298" s="528"/>
      <c r="G6298" s="528" t="s">
        <v>205</v>
      </c>
      <c r="H6298"/>
    </row>
    <row r="6299" spans="1:8" x14ac:dyDescent="0.35">
      <c r="A6299" s="528" t="s">
        <v>18169</v>
      </c>
      <c r="B6299" s="528" t="s">
        <v>18170</v>
      </c>
      <c r="C6299" s="528" t="s">
        <v>18171</v>
      </c>
      <c r="D6299" s="528" t="s">
        <v>225</v>
      </c>
      <c r="E6299" s="528"/>
      <c r="F6299" s="528"/>
      <c r="G6299" s="528" t="s">
        <v>205</v>
      </c>
      <c r="H6299"/>
    </row>
    <row r="6300" spans="1:8" x14ac:dyDescent="0.35">
      <c r="A6300" s="528" t="s">
        <v>18172</v>
      </c>
      <c r="B6300" s="528" t="s">
        <v>18173</v>
      </c>
      <c r="C6300" s="528" t="s">
        <v>18174</v>
      </c>
      <c r="D6300" s="528" t="s">
        <v>238</v>
      </c>
      <c r="E6300" s="528"/>
      <c r="F6300" s="528"/>
      <c r="G6300" s="528" t="s">
        <v>208</v>
      </c>
      <c r="H6300"/>
    </row>
    <row r="6301" spans="1:8" x14ac:dyDescent="0.35">
      <c r="A6301" s="528" t="s">
        <v>18175</v>
      </c>
      <c r="B6301" s="528" t="s">
        <v>18176</v>
      </c>
      <c r="C6301" s="528" t="s">
        <v>18177</v>
      </c>
      <c r="D6301" s="528" t="s">
        <v>225</v>
      </c>
      <c r="E6301" s="528"/>
      <c r="F6301" s="528"/>
      <c r="G6301" s="528" t="s">
        <v>208</v>
      </c>
      <c r="H6301"/>
    </row>
    <row r="6302" spans="1:8" x14ac:dyDescent="0.35">
      <c r="A6302" s="528" t="s">
        <v>18178</v>
      </c>
      <c r="B6302" s="528" t="s">
        <v>18179</v>
      </c>
      <c r="C6302" s="528" t="s">
        <v>18180</v>
      </c>
      <c r="D6302" s="528" t="s">
        <v>225</v>
      </c>
      <c r="E6302" s="528"/>
      <c r="F6302" s="528"/>
      <c r="G6302" s="528" t="s">
        <v>208</v>
      </c>
      <c r="H6302"/>
    </row>
    <row r="6303" spans="1:8" x14ac:dyDescent="0.35">
      <c r="A6303" s="528" t="s">
        <v>18181</v>
      </c>
      <c r="B6303" s="528" t="s">
        <v>18182</v>
      </c>
      <c r="C6303" s="528" t="s">
        <v>18183</v>
      </c>
      <c r="D6303" s="528" t="s">
        <v>225</v>
      </c>
      <c r="E6303" s="528"/>
      <c r="F6303" s="528"/>
      <c r="G6303" s="528" t="s">
        <v>208</v>
      </c>
      <c r="H6303"/>
    </row>
    <row r="6304" spans="1:8" x14ac:dyDescent="0.35">
      <c r="A6304" s="528" t="s">
        <v>18184</v>
      </c>
      <c r="B6304" s="528" t="s">
        <v>18185</v>
      </c>
      <c r="C6304" s="528" t="s">
        <v>18186</v>
      </c>
      <c r="D6304" s="528" t="s">
        <v>225</v>
      </c>
      <c r="E6304" s="528" t="s">
        <v>277</v>
      </c>
      <c r="F6304" s="528"/>
      <c r="G6304" s="528" t="s">
        <v>208</v>
      </c>
      <c r="H6304"/>
    </row>
    <row r="6305" spans="1:8" x14ac:dyDescent="0.35">
      <c r="A6305" s="528" t="s">
        <v>18187</v>
      </c>
      <c r="B6305" s="528" t="s">
        <v>18188</v>
      </c>
      <c r="C6305" s="528" t="s">
        <v>18189</v>
      </c>
      <c r="D6305" s="528" t="s">
        <v>225</v>
      </c>
      <c r="E6305" s="528"/>
      <c r="F6305" s="528"/>
      <c r="G6305" s="528" t="s">
        <v>208</v>
      </c>
      <c r="H6305"/>
    </row>
    <row r="6306" spans="1:8" x14ac:dyDescent="0.35">
      <c r="A6306" s="528" t="s">
        <v>18190</v>
      </c>
      <c r="B6306" s="528" t="s">
        <v>18191</v>
      </c>
      <c r="C6306" s="528" t="s">
        <v>18192</v>
      </c>
      <c r="D6306" s="528" t="s">
        <v>264</v>
      </c>
      <c r="E6306" s="528"/>
      <c r="F6306" s="528"/>
      <c r="G6306" s="528" t="s">
        <v>208</v>
      </c>
      <c r="H6306"/>
    </row>
    <row r="6307" spans="1:8" x14ac:dyDescent="0.35">
      <c r="A6307" s="528" t="s">
        <v>18193</v>
      </c>
      <c r="B6307" s="528" t="s">
        <v>18194</v>
      </c>
      <c r="C6307" s="528" t="s">
        <v>18195</v>
      </c>
      <c r="D6307" s="528" t="s">
        <v>251</v>
      </c>
      <c r="E6307" s="528"/>
      <c r="F6307" s="528"/>
      <c r="G6307" s="528" t="s">
        <v>208</v>
      </c>
      <c r="H6307"/>
    </row>
    <row r="6308" spans="1:8" x14ac:dyDescent="0.35">
      <c r="A6308" s="528" t="s">
        <v>18196</v>
      </c>
      <c r="B6308" s="528" t="s">
        <v>18197</v>
      </c>
      <c r="C6308" s="528" t="s">
        <v>18198</v>
      </c>
      <c r="D6308" s="528" t="s">
        <v>225</v>
      </c>
      <c r="E6308" s="528"/>
      <c r="F6308" s="528"/>
      <c r="G6308" s="528" t="s">
        <v>208</v>
      </c>
      <c r="H6308"/>
    </row>
    <row r="6309" spans="1:8" x14ac:dyDescent="0.35">
      <c r="A6309" s="528" t="s">
        <v>18199</v>
      </c>
      <c r="B6309" s="528" t="s">
        <v>18200</v>
      </c>
      <c r="C6309" s="528" t="s">
        <v>18201</v>
      </c>
      <c r="D6309" s="528" t="s">
        <v>264</v>
      </c>
      <c r="E6309" s="528"/>
      <c r="F6309" s="528"/>
      <c r="G6309" s="528" t="s">
        <v>208</v>
      </c>
      <c r="H6309"/>
    </row>
    <row r="6310" spans="1:8" x14ac:dyDescent="0.35">
      <c r="A6310" s="528" t="s">
        <v>18202</v>
      </c>
      <c r="B6310" s="528" t="s">
        <v>18203</v>
      </c>
      <c r="C6310" s="528" t="s">
        <v>18204</v>
      </c>
      <c r="D6310" s="528" t="s">
        <v>225</v>
      </c>
      <c r="E6310" s="528"/>
      <c r="F6310" s="528"/>
      <c r="G6310" s="528" t="s">
        <v>208</v>
      </c>
      <c r="H6310"/>
    </row>
    <row r="6311" spans="1:8" x14ac:dyDescent="0.35">
      <c r="A6311" s="528" t="s">
        <v>18205</v>
      </c>
      <c r="B6311" s="528" t="s">
        <v>18206</v>
      </c>
      <c r="C6311" s="528" t="s">
        <v>18207</v>
      </c>
      <c r="D6311" s="528" t="s">
        <v>264</v>
      </c>
      <c r="E6311" s="528"/>
      <c r="F6311" s="528"/>
      <c r="G6311" s="528" t="s">
        <v>205</v>
      </c>
      <c r="H6311"/>
    </row>
    <row r="6312" spans="1:8" x14ac:dyDescent="0.35">
      <c r="A6312" s="528" t="s">
        <v>18208</v>
      </c>
      <c r="B6312" s="528" t="s">
        <v>18209</v>
      </c>
      <c r="C6312" s="528" t="s">
        <v>18210</v>
      </c>
      <c r="D6312" s="528" t="s">
        <v>264</v>
      </c>
      <c r="E6312" s="528"/>
      <c r="F6312" s="528"/>
      <c r="G6312" s="528" t="s">
        <v>205</v>
      </c>
      <c r="H6312"/>
    </row>
    <row r="6313" spans="1:8" x14ac:dyDescent="0.35">
      <c r="A6313" s="528" t="s">
        <v>18211</v>
      </c>
      <c r="B6313" s="528" t="s">
        <v>18212</v>
      </c>
      <c r="C6313" s="528" t="s">
        <v>18213</v>
      </c>
      <c r="D6313" s="528" t="s">
        <v>264</v>
      </c>
      <c r="E6313" s="528"/>
      <c r="F6313" s="528"/>
      <c r="G6313" s="528" t="s">
        <v>205</v>
      </c>
      <c r="H6313"/>
    </row>
    <row r="6314" spans="1:8" x14ac:dyDescent="0.35">
      <c r="A6314" s="528" t="s">
        <v>18214</v>
      </c>
      <c r="B6314" s="528" t="s">
        <v>18215</v>
      </c>
      <c r="C6314" s="528" t="s">
        <v>18216</v>
      </c>
      <c r="D6314" s="528" t="s">
        <v>277</v>
      </c>
      <c r="E6314" s="528"/>
      <c r="F6314" s="528"/>
      <c r="G6314" s="528" t="s">
        <v>212</v>
      </c>
      <c r="H6314"/>
    </row>
    <row r="6315" spans="1:8" x14ac:dyDescent="0.35">
      <c r="A6315" s="528" t="s">
        <v>18217</v>
      </c>
      <c r="B6315" s="528" t="s">
        <v>18218</v>
      </c>
      <c r="C6315" s="528" t="s">
        <v>18219</v>
      </c>
      <c r="D6315" s="528" t="s">
        <v>264</v>
      </c>
      <c r="E6315" s="528"/>
      <c r="F6315" s="528"/>
      <c r="G6315" s="528" t="s">
        <v>205</v>
      </c>
      <c r="H6315"/>
    </row>
    <row r="6316" spans="1:8" x14ac:dyDescent="0.35">
      <c r="A6316" s="528" t="s">
        <v>18220</v>
      </c>
      <c r="B6316" s="528" t="s">
        <v>18221</v>
      </c>
      <c r="C6316" s="528" t="s">
        <v>18222</v>
      </c>
      <c r="D6316" s="528" t="s">
        <v>264</v>
      </c>
      <c r="E6316" s="528"/>
      <c r="F6316" s="528"/>
      <c r="G6316" s="528" t="s">
        <v>205</v>
      </c>
      <c r="H6316"/>
    </row>
    <row r="6317" spans="1:8" x14ac:dyDescent="0.35">
      <c r="A6317" s="528" t="s">
        <v>18223</v>
      </c>
      <c r="B6317" s="528" t="s">
        <v>18224</v>
      </c>
      <c r="C6317" s="528" t="s">
        <v>18225</v>
      </c>
      <c r="D6317" s="528" t="s">
        <v>264</v>
      </c>
      <c r="E6317" s="528"/>
      <c r="F6317" s="528"/>
      <c r="G6317" s="528" t="s">
        <v>214</v>
      </c>
      <c r="H6317"/>
    </row>
    <row r="6318" spans="1:8" x14ac:dyDescent="0.35">
      <c r="A6318" s="528" t="s">
        <v>18226</v>
      </c>
      <c r="B6318" s="528" t="s">
        <v>18227</v>
      </c>
      <c r="C6318" s="528" t="s">
        <v>18228</v>
      </c>
      <c r="D6318" s="528" t="s">
        <v>264</v>
      </c>
      <c r="E6318" s="528"/>
      <c r="F6318" s="528"/>
      <c r="G6318" s="528" t="s">
        <v>214</v>
      </c>
      <c r="H6318"/>
    </row>
    <row r="6319" spans="1:8" x14ac:dyDescent="0.35">
      <c r="A6319" s="528" t="s">
        <v>18229</v>
      </c>
      <c r="B6319" s="528" t="s">
        <v>18230</v>
      </c>
      <c r="C6319" s="528" t="s">
        <v>18231</v>
      </c>
      <c r="D6319" s="528" t="s">
        <v>264</v>
      </c>
      <c r="E6319" s="528"/>
      <c r="F6319" s="528"/>
      <c r="G6319" s="528" t="s">
        <v>205</v>
      </c>
      <c r="H6319"/>
    </row>
    <row r="6320" spans="1:8" x14ac:dyDescent="0.35">
      <c r="A6320" s="528" t="s">
        <v>18232</v>
      </c>
      <c r="B6320" s="528" t="s">
        <v>18233</v>
      </c>
      <c r="C6320" s="528" t="s">
        <v>18234</v>
      </c>
      <c r="D6320" s="528" t="s">
        <v>264</v>
      </c>
      <c r="E6320" s="528"/>
      <c r="F6320" s="528"/>
      <c r="G6320" s="528" t="s">
        <v>208</v>
      </c>
      <c r="H6320"/>
    </row>
    <row r="6321" spans="1:8" x14ac:dyDescent="0.35">
      <c r="A6321" s="528" t="s">
        <v>18235</v>
      </c>
      <c r="B6321" s="528" t="s">
        <v>18236</v>
      </c>
      <c r="C6321" s="528" t="s">
        <v>18237</v>
      </c>
      <c r="D6321" s="528" t="s">
        <v>264</v>
      </c>
      <c r="E6321" s="528"/>
      <c r="F6321" s="528"/>
      <c r="G6321" s="528" t="s">
        <v>208</v>
      </c>
      <c r="H6321"/>
    </row>
    <row r="6322" spans="1:8" x14ac:dyDescent="0.35">
      <c r="A6322" s="528" t="s">
        <v>18238</v>
      </c>
      <c r="B6322" s="528" t="s">
        <v>18239</v>
      </c>
      <c r="C6322" s="528" t="s">
        <v>18240</v>
      </c>
      <c r="D6322" s="528" t="s">
        <v>264</v>
      </c>
      <c r="E6322" s="528"/>
      <c r="F6322" s="528"/>
      <c r="G6322" s="528" t="s">
        <v>205</v>
      </c>
      <c r="H6322"/>
    </row>
    <row r="6323" spans="1:8" x14ac:dyDescent="0.35">
      <c r="A6323" s="528" t="s">
        <v>18241</v>
      </c>
      <c r="B6323" s="528" t="s">
        <v>18242</v>
      </c>
      <c r="C6323" s="528" t="s">
        <v>18243</v>
      </c>
      <c r="D6323" s="528" t="s">
        <v>277</v>
      </c>
      <c r="E6323" s="528"/>
      <c r="F6323" s="528"/>
      <c r="G6323" s="528" t="s">
        <v>212</v>
      </c>
      <c r="H6323"/>
    </row>
    <row r="6324" spans="1:8" x14ac:dyDescent="0.35">
      <c r="A6324" s="528" t="s">
        <v>18244</v>
      </c>
      <c r="B6324" s="528" t="s">
        <v>18245</v>
      </c>
      <c r="C6324" s="528" t="s">
        <v>18246</v>
      </c>
      <c r="D6324" s="528" t="s">
        <v>277</v>
      </c>
      <c r="E6324" s="528"/>
      <c r="F6324" s="528"/>
      <c r="G6324" s="528" t="s">
        <v>212</v>
      </c>
      <c r="H6324"/>
    </row>
    <row r="6325" spans="1:8" x14ac:dyDescent="0.35">
      <c r="A6325" s="528" t="s">
        <v>18247</v>
      </c>
      <c r="B6325" s="528" t="s">
        <v>18248</v>
      </c>
      <c r="C6325" s="528" t="s">
        <v>18249</v>
      </c>
      <c r="D6325" s="528" t="s">
        <v>277</v>
      </c>
      <c r="E6325" s="528"/>
      <c r="F6325" s="528"/>
      <c r="G6325" s="528" t="s">
        <v>208</v>
      </c>
      <c r="H6325"/>
    </row>
    <row r="6326" spans="1:8" x14ac:dyDescent="0.35">
      <c r="A6326" s="528" t="s">
        <v>18250</v>
      </c>
      <c r="B6326" s="528" t="s">
        <v>18251</v>
      </c>
      <c r="C6326" s="528" t="s">
        <v>18252</v>
      </c>
      <c r="D6326" s="528" t="s">
        <v>225</v>
      </c>
      <c r="E6326" s="528"/>
      <c r="F6326" s="528"/>
      <c r="G6326" s="528" t="s">
        <v>208</v>
      </c>
      <c r="H6326"/>
    </row>
    <row r="6327" spans="1:8" x14ac:dyDescent="0.35">
      <c r="A6327" s="528" t="s">
        <v>18253</v>
      </c>
      <c r="B6327" s="528" t="s">
        <v>18254</v>
      </c>
      <c r="C6327" s="528" t="s">
        <v>18255</v>
      </c>
      <c r="D6327" s="528" t="s">
        <v>225</v>
      </c>
      <c r="E6327" s="528"/>
      <c r="F6327" s="528"/>
      <c r="G6327" s="528" t="s">
        <v>208</v>
      </c>
      <c r="H6327"/>
    </row>
    <row r="6328" spans="1:8" x14ac:dyDescent="0.35">
      <c r="A6328" s="528" t="s">
        <v>18256</v>
      </c>
      <c r="B6328" s="528" t="s">
        <v>18257</v>
      </c>
      <c r="C6328" s="528" t="s">
        <v>18258</v>
      </c>
      <c r="D6328" s="528" t="s">
        <v>264</v>
      </c>
      <c r="E6328" s="528"/>
      <c r="F6328" s="528"/>
      <c r="G6328" s="528" t="s">
        <v>208</v>
      </c>
      <c r="H6328"/>
    </row>
    <row r="6329" spans="1:8" x14ac:dyDescent="0.35">
      <c r="A6329" s="528" t="s">
        <v>18259</v>
      </c>
      <c r="B6329" s="528" t="s">
        <v>18260</v>
      </c>
      <c r="C6329" s="528" t="s">
        <v>18261</v>
      </c>
      <c r="D6329" s="528" t="s">
        <v>264</v>
      </c>
      <c r="E6329" s="528"/>
      <c r="F6329" s="528"/>
      <c r="G6329" s="528" t="s">
        <v>205</v>
      </c>
      <c r="H6329"/>
    </row>
    <row r="6330" spans="1:8" x14ac:dyDescent="0.35">
      <c r="A6330" s="528" t="s">
        <v>18262</v>
      </c>
      <c r="B6330" s="528" t="s">
        <v>18263</v>
      </c>
      <c r="C6330" s="528" t="s">
        <v>18264</v>
      </c>
      <c r="D6330" s="528" t="s">
        <v>225</v>
      </c>
      <c r="E6330" s="528"/>
      <c r="F6330" s="528"/>
      <c r="G6330" s="528" t="s">
        <v>205</v>
      </c>
      <c r="H6330"/>
    </row>
    <row r="6331" spans="1:8" x14ac:dyDescent="0.35">
      <c r="A6331" s="528" t="s">
        <v>18265</v>
      </c>
      <c r="B6331" s="528" t="s">
        <v>18266</v>
      </c>
      <c r="C6331" s="528" t="s">
        <v>18267</v>
      </c>
      <c r="D6331" s="528" t="s">
        <v>277</v>
      </c>
      <c r="E6331" s="528"/>
      <c r="F6331" s="528"/>
      <c r="G6331" s="528" t="s">
        <v>208</v>
      </c>
      <c r="H6331"/>
    </row>
    <row r="6332" spans="1:8" x14ac:dyDescent="0.35">
      <c r="A6332" s="528" t="s">
        <v>18268</v>
      </c>
      <c r="B6332" s="528" t="s">
        <v>18269</v>
      </c>
      <c r="C6332" s="528" t="s">
        <v>18270</v>
      </c>
      <c r="D6332" s="528" t="s">
        <v>277</v>
      </c>
      <c r="E6332" s="528"/>
      <c r="F6332" s="528"/>
      <c r="G6332" s="528" t="s">
        <v>212</v>
      </c>
      <c r="H6332"/>
    </row>
    <row r="6333" spans="1:8" x14ac:dyDescent="0.35">
      <c r="A6333" s="528" t="s">
        <v>18271</v>
      </c>
      <c r="B6333" s="528" t="s">
        <v>18272</v>
      </c>
      <c r="C6333" s="528" t="s">
        <v>18273</v>
      </c>
      <c r="D6333" s="528" t="s">
        <v>277</v>
      </c>
      <c r="E6333" s="528"/>
      <c r="F6333" s="528"/>
      <c r="G6333" s="528" t="s">
        <v>208</v>
      </c>
      <c r="H6333"/>
    </row>
    <row r="6334" spans="1:8" x14ac:dyDescent="0.35">
      <c r="A6334" s="528" t="s">
        <v>18274</v>
      </c>
      <c r="B6334" s="528" t="s">
        <v>18275</v>
      </c>
      <c r="C6334" s="528" t="s">
        <v>18276</v>
      </c>
      <c r="D6334" s="528" t="s">
        <v>264</v>
      </c>
      <c r="E6334" s="528"/>
      <c r="F6334" s="528"/>
      <c r="G6334" s="528" t="s">
        <v>214</v>
      </c>
      <c r="H6334"/>
    </row>
    <row r="6335" spans="1:8" x14ac:dyDescent="0.35">
      <c r="A6335" s="528" t="s">
        <v>18277</v>
      </c>
      <c r="B6335" s="528" t="s">
        <v>18278</v>
      </c>
      <c r="C6335" s="528" t="s">
        <v>18279</v>
      </c>
      <c r="D6335" s="528" t="s">
        <v>225</v>
      </c>
      <c r="E6335" s="528"/>
      <c r="F6335" s="528"/>
      <c r="G6335" s="528" t="s">
        <v>208</v>
      </c>
      <c r="H6335"/>
    </row>
    <row r="6336" spans="1:8" x14ac:dyDescent="0.35">
      <c r="A6336" s="528" t="s">
        <v>18280</v>
      </c>
      <c r="B6336" s="528" t="s">
        <v>18281</v>
      </c>
      <c r="C6336" s="528" t="s">
        <v>18282</v>
      </c>
      <c r="D6336" s="528" t="s">
        <v>277</v>
      </c>
      <c r="E6336" s="528"/>
      <c r="F6336" s="528"/>
      <c r="G6336" s="528" t="s">
        <v>208</v>
      </c>
      <c r="H6336"/>
    </row>
    <row r="6337" spans="1:8" x14ac:dyDescent="0.35">
      <c r="A6337" s="528" t="s">
        <v>18283</v>
      </c>
      <c r="B6337" s="528" t="s">
        <v>18284</v>
      </c>
      <c r="C6337" s="528" t="s">
        <v>18285</v>
      </c>
      <c r="D6337" s="528" t="s">
        <v>238</v>
      </c>
      <c r="E6337" s="528"/>
      <c r="F6337" s="528"/>
      <c r="G6337" s="528" t="s">
        <v>208</v>
      </c>
      <c r="H6337"/>
    </row>
    <row r="6338" spans="1:8" x14ac:dyDescent="0.35">
      <c r="A6338" s="528" t="s">
        <v>18286</v>
      </c>
      <c r="B6338" s="528" t="s">
        <v>18287</v>
      </c>
      <c r="C6338" s="528" t="s">
        <v>18288</v>
      </c>
      <c r="D6338" s="528" t="s">
        <v>277</v>
      </c>
      <c r="E6338" s="528"/>
      <c r="F6338" s="528"/>
      <c r="G6338" s="528" t="s">
        <v>212</v>
      </c>
      <c r="H6338"/>
    </row>
    <row r="6339" spans="1:8" x14ac:dyDescent="0.35">
      <c r="A6339" s="528" t="s">
        <v>18289</v>
      </c>
      <c r="B6339" s="528" t="s">
        <v>18290</v>
      </c>
      <c r="C6339" s="528" t="s">
        <v>18291</v>
      </c>
      <c r="D6339" s="528" t="s">
        <v>277</v>
      </c>
      <c r="E6339" s="528"/>
      <c r="F6339" s="528"/>
      <c r="G6339" s="528" t="s">
        <v>212</v>
      </c>
      <c r="H6339"/>
    </row>
    <row r="6340" spans="1:8" x14ac:dyDescent="0.35">
      <c r="A6340" s="528" t="s">
        <v>18292</v>
      </c>
      <c r="B6340" s="528" t="s">
        <v>18293</v>
      </c>
      <c r="C6340" s="528" t="s">
        <v>18294</v>
      </c>
      <c r="D6340" s="528" t="s">
        <v>277</v>
      </c>
      <c r="E6340" s="528"/>
      <c r="F6340" s="528"/>
      <c r="G6340" s="528" t="s">
        <v>212</v>
      </c>
      <c r="H6340"/>
    </row>
    <row r="6341" spans="1:8" x14ac:dyDescent="0.35">
      <c r="A6341" s="528" t="s">
        <v>18295</v>
      </c>
      <c r="B6341" s="528" t="s">
        <v>18296</v>
      </c>
      <c r="C6341" s="528" t="s">
        <v>18297</v>
      </c>
      <c r="D6341" s="528" t="s">
        <v>277</v>
      </c>
      <c r="E6341" s="528"/>
      <c r="F6341" s="528"/>
      <c r="G6341" s="528" t="s">
        <v>205</v>
      </c>
      <c r="H6341"/>
    </row>
    <row r="6342" spans="1:8" x14ac:dyDescent="0.35">
      <c r="A6342" s="528" t="s">
        <v>18298</v>
      </c>
      <c r="B6342" s="528" t="s">
        <v>18299</v>
      </c>
      <c r="C6342" s="528" t="s">
        <v>18300</v>
      </c>
      <c r="D6342" s="528" t="s">
        <v>277</v>
      </c>
      <c r="E6342" s="528"/>
      <c r="F6342" s="528"/>
      <c r="G6342" s="528" t="s">
        <v>208</v>
      </c>
      <c r="H6342"/>
    </row>
    <row r="6343" spans="1:8" x14ac:dyDescent="0.35">
      <c r="A6343" s="528" t="s">
        <v>18301</v>
      </c>
      <c r="B6343" s="528" t="s">
        <v>18302</v>
      </c>
      <c r="C6343" s="528" t="s">
        <v>18303</v>
      </c>
      <c r="D6343" s="528" t="s">
        <v>277</v>
      </c>
      <c r="E6343" s="528"/>
      <c r="F6343" s="528"/>
      <c r="G6343" s="528" t="s">
        <v>205</v>
      </c>
      <c r="H6343"/>
    </row>
    <row r="6344" spans="1:8" x14ac:dyDescent="0.35">
      <c r="A6344" s="528" t="s">
        <v>18304</v>
      </c>
      <c r="B6344" s="528" t="s">
        <v>18305</v>
      </c>
      <c r="C6344" s="528" t="s">
        <v>18216</v>
      </c>
      <c r="D6344" s="528" t="s">
        <v>277</v>
      </c>
      <c r="E6344" s="528"/>
      <c r="F6344" s="528"/>
      <c r="G6344" s="528" t="s">
        <v>212</v>
      </c>
      <c r="H6344"/>
    </row>
    <row r="6345" spans="1:8" x14ac:dyDescent="0.35">
      <c r="A6345" s="528" t="s">
        <v>18306</v>
      </c>
      <c r="B6345" s="528" t="s">
        <v>18307</v>
      </c>
      <c r="C6345" s="528" t="s">
        <v>18308</v>
      </c>
      <c r="D6345" s="528" t="s">
        <v>264</v>
      </c>
      <c r="E6345" s="528" t="s">
        <v>277</v>
      </c>
      <c r="F6345" s="528"/>
      <c r="G6345" s="528" t="s">
        <v>205</v>
      </c>
      <c r="H6345"/>
    </row>
    <row r="6346" spans="1:8" x14ac:dyDescent="0.35">
      <c r="A6346" s="528" t="s">
        <v>18309</v>
      </c>
      <c r="B6346" s="528" t="s">
        <v>18310</v>
      </c>
      <c r="C6346" s="528" t="s">
        <v>18311</v>
      </c>
      <c r="D6346" s="528" t="s">
        <v>264</v>
      </c>
      <c r="E6346" s="528"/>
      <c r="F6346" s="528"/>
      <c r="G6346" s="528" t="s">
        <v>205</v>
      </c>
      <c r="H6346"/>
    </row>
    <row r="6347" spans="1:8" x14ac:dyDescent="0.35">
      <c r="A6347" s="528" t="s">
        <v>18312</v>
      </c>
      <c r="B6347" s="528" t="s">
        <v>18313</v>
      </c>
      <c r="C6347" s="528" t="s">
        <v>18314</v>
      </c>
      <c r="D6347" s="528" t="s">
        <v>264</v>
      </c>
      <c r="E6347" s="528"/>
      <c r="F6347" s="528"/>
      <c r="G6347" s="528" t="s">
        <v>205</v>
      </c>
      <c r="H6347"/>
    </row>
    <row r="6348" spans="1:8" x14ac:dyDescent="0.35">
      <c r="A6348" s="528" t="s">
        <v>18315</v>
      </c>
      <c r="B6348" s="528" t="s">
        <v>18316</v>
      </c>
      <c r="C6348" s="528" t="s">
        <v>18317</v>
      </c>
      <c r="D6348" s="528" t="s">
        <v>277</v>
      </c>
      <c r="E6348" s="528"/>
      <c r="F6348" s="528"/>
      <c r="G6348" s="528" t="s">
        <v>212</v>
      </c>
      <c r="H6348"/>
    </row>
    <row r="6349" spans="1:8" x14ac:dyDescent="0.35">
      <c r="A6349" s="528" t="s">
        <v>18318</v>
      </c>
      <c r="B6349" s="528" t="s">
        <v>18319</v>
      </c>
      <c r="C6349" s="528" t="s">
        <v>18320</v>
      </c>
      <c r="D6349" s="528" t="s">
        <v>277</v>
      </c>
      <c r="E6349" s="528"/>
      <c r="F6349" s="528"/>
      <c r="G6349" s="528" t="s">
        <v>212</v>
      </c>
      <c r="H6349"/>
    </row>
    <row r="6350" spans="1:8" x14ac:dyDescent="0.35">
      <c r="A6350" s="528" t="s">
        <v>18321</v>
      </c>
      <c r="B6350" s="528" t="s">
        <v>18322</v>
      </c>
      <c r="C6350" s="528" t="s">
        <v>18323</v>
      </c>
      <c r="D6350" s="528" t="s">
        <v>277</v>
      </c>
      <c r="E6350" s="528"/>
      <c r="F6350" s="528"/>
      <c r="G6350" s="528" t="s">
        <v>212</v>
      </c>
      <c r="H6350"/>
    </row>
    <row r="6351" spans="1:8" x14ac:dyDescent="0.35">
      <c r="A6351" s="528" t="s">
        <v>18324</v>
      </c>
      <c r="B6351" s="528" t="s">
        <v>18325</v>
      </c>
      <c r="C6351" s="528" t="s">
        <v>18326</v>
      </c>
      <c r="D6351" s="528" t="s">
        <v>277</v>
      </c>
      <c r="E6351" s="528"/>
      <c r="F6351" s="528"/>
      <c r="G6351" s="528" t="s">
        <v>212</v>
      </c>
      <c r="H6351"/>
    </row>
    <row r="6352" spans="1:8" x14ac:dyDescent="0.35">
      <c r="A6352" s="528" t="s">
        <v>18327</v>
      </c>
      <c r="B6352" s="528" t="s">
        <v>18328</v>
      </c>
      <c r="C6352" s="528" t="s">
        <v>18329</v>
      </c>
      <c r="D6352" s="528" t="s">
        <v>264</v>
      </c>
      <c r="E6352" s="528"/>
      <c r="F6352" s="528"/>
      <c r="G6352" s="528" t="s">
        <v>205</v>
      </c>
      <c r="H6352"/>
    </row>
    <row r="6353" spans="1:8" x14ac:dyDescent="0.35">
      <c r="A6353" s="528" t="s">
        <v>18330</v>
      </c>
      <c r="B6353" s="528" t="s">
        <v>18331</v>
      </c>
      <c r="C6353" s="528" t="s">
        <v>18332</v>
      </c>
      <c r="D6353" s="528" t="s">
        <v>277</v>
      </c>
      <c r="E6353" s="528"/>
      <c r="F6353" s="528"/>
      <c r="G6353" s="528" t="s">
        <v>212</v>
      </c>
      <c r="H6353"/>
    </row>
    <row r="6354" spans="1:8" x14ac:dyDescent="0.35">
      <c r="A6354" s="528" t="s">
        <v>18333</v>
      </c>
      <c r="B6354" s="528" t="s">
        <v>18334</v>
      </c>
      <c r="C6354" s="528" t="s">
        <v>18335</v>
      </c>
      <c r="D6354" s="528" t="s">
        <v>277</v>
      </c>
      <c r="E6354" s="528"/>
      <c r="F6354" s="528"/>
      <c r="G6354" s="528" t="s">
        <v>212</v>
      </c>
      <c r="H6354"/>
    </row>
    <row r="6355" spans="1:8" x14ac:dyDescent="0.35">
      <c r="A6355" s="528" t="s">
        <v>18336</v>
      </c>
      <c r="B6355" s="528" t="s">
        <v>18337</v>
      </c>
      <c r="C6355" s="528" t="s">
        <v>18338</v>
      </c>
      <c r="D6355" s="528" t="s">
        <v>225</v>
      </c>
      <c r="E6355" s="528"/>
      <c r="F6355" s="528"/>
      <c r="G6355" s="528" t="s">
        <v>214</v>
      </c>
      <c r="H6355"/>
    </row>
    <row r="6356" spans="1:8" x14ac:dyDescent="0.35">
      <c r="A6356" s="528" t="s">
        <v>18339</v>
      </c>
      <c r="B6356" s="528" t="s">
        <v>18340</v>
      </c>
      <c r="C6356" s="528" t="s">
        <v>18341</v>
      </c>
      <c r="D6356" s="528" t="s">
        <v>264</v>
      </c>
      <c r="E6356" s="528"/>
      <c r="F6356" s="528"/>
      <c r="G6356" s="528" t="s">
        <v>212</v>
      </c>
      <c r="H6356"/>
    </row>
    <row r="6357" spans="1:8" x14ac:dyDescent="0.35">
      <c r="A6357" s="528" t="s">
        <v>18342</v>
      </c>
      <c r="B6357" s="528" t="s">
        <v>18343</v>
      </c>
      <c r="C6357" s="528" t="s">
        <v>18344</v>
      </c>
      <c r="D6357" s="528" t="s">
        <v>264</v>
      </c>
      <c r="E6357" s="528"/>
      <c r="F6357" s="528"/>
      <c r="G6357" s="528" t="s">
        <v>214</v>
      </c>
      <c r="H6357"/>
    </row>
    <row r="6358" spans="1:8" x14ac:dyDescent="0.35">
      <c r="A6358" s="528" t="s">
        <v>18345</v>
      </c>
      <c r="B6358" s="528" t="s">
        <v>18346</v>
      </c>
      <c r="C6358" s="528" t="s">
        <v>18347</v>
      </c>
      <c r="D6358" s="528" t="s">
        <v>264</v>
      </c>
      <c r="E6358" s="528"/>
      <c r="F6358" s="528"/>
      <c r="G6358" s="528" t="s">
        <v>214</v>
      </c>
      <c r="H6358"/>
    </row>
    <row r="6359" spans="1:8" x14ac:dyDescent="0.35">
      <c r="A6359" s="528" t="s">
        <v>18348</v>
      </c>
      <c r="B6359" s="528" t="s">
        <v>18349</v>
      </c>
      <c r="C6359" s="528" t="s">
        <v>18350</v>
      </c>
      <c r="D6359" s="528" t="s">
        <v>264</v>
      </c>
      <c r="E6359" s="528"/>
      <c r="F6359" s="528"/>
      <c r="G6359" s="528" t="s">
        <v>212</v>
      </c>
      <c r="H6359"/>
    </row>
    <row r="6360" spans="1:8" x14ac:dyDescent="0.35">
      <c r="A6360" s="528" t="s">
        <v>18351</v>
      </c>
      <c r="B6360" s="528" t="s">
        <v>18352</v>
      </c>
      <c r="C6360" s="528" t="s">
        <v>18353</v>
      </c>
      <c r="D6360" s="528" t="s">
        <v>264</v>
      </c>
      <c r="E6360" s="528"/>
      <c r="F6360" s="528"/>
      <c r="G6360" s="528" t="s">
        <v>214</v>
      </c>
      <c r="H6360"/>
    </row>
    <row r="6361" spans="1:8" x14ac:dyDescent="0.35">
      <c r="A6361" s="528" t="s">
        <v>18354</v>
      </c>
      <c r="B6361" s="528" t="s">
        <v>18355</v>
      </c>
      <c r="C6361" s="528" t="s">
        <v>18356</v>
      </c>
      <c r="D6361" s="528" t="s">
        <v>264</v>
      </c>
      <c r="E6361" s="528"/>
      <c r="F6361" s="528"/>
      <c r="G6361" s="528" t="s">
        <v>214</v>
      </c>
      <c r="H6361"/>
    </row>
    <row r="6362" spans="1:8" x14ac:dyDescent="0.35">
      <c r="A6362" s="528" t="s">
        <v>18357</v>
      </c>
      <c r="B6362" s="528" t="s">
        <v>18358</v>
      </c>
      <c r="C6362" s="528" t="s">
        <v>18359</v>
      </c>
      <c r="D6362" s="528" t="s">
        <v>264</v>
      </c>
      <c r="E6362" s="528"/>
      <c r="F6362" s="528"/>
      <c r="G6362" s="528" t="s">
        <v>212</v>
      </c>
      <c r="H6362"/>
    </row>
    <row r="6363" spans="1:8" x14ac:dyDescent="0.35">
      <c r="A6363" s="528" t="s">
        <v>18360</v>
      </c>
      <c r="B6363" s="528" t="s">
        <v>18361</v>
      </c>
      <c r="C6363" s="528" t="s">
        <v>18362</v>
      </c>
      <c r="D6363" s="528" t="s">
        <v>264</v>
      </c>
      <c r="E6363" s="528"/>
      <c r="F6363" s="528"/>
      <c r="G6363" s="528" t="s">
        <v>214</v>
      </c>
      <c r="H6363"/>
    </row>
    <row r="6364" spans="1:8" x14ac:dyDescent="0.35">
      <c r="A6364" s="528" t="s">
        <v>18363</v>
      </c>
      <c r="B6364" s="528" t="s">
        <v>18364</v>
      </c>
      <c r="C6364" s="528" t="s">
        <v>18365</v>
      </c>
      <c r="D6364" s="528" t="s">
        <v>264</v>
      </c>
      <c r="E6364" s="528"/>
      <c r="F6364" s="528"/>
      <c r="G6364" s="528" t="s">
        <v>214</v>
      </c>
      <c r="H6364"/>
    </row>
    <row r="6365" spans="1:8" x14ac:dyDescent="0.35">
      <c r="A6365" s="528" t="s">
        <v>18366</v>
      </c>
      <c r="B6365" s="528" t="s">
        <v>18367</v>
      </c>
      <c r="C6365" s="528" t="s">
        <v>18368</v>
      </c>
      <c r="D6365" s="528" t="s">
        <v>225</v>
      </c>
      <c r="E6365" s="528"/>
      <c r="F6365" s="528"/>
      <c r="G6365" s="528" t="s">
        <v>208</v>
      </c>
      <c r="H6365"/>
    </row>
    <row r="6366" spans="1:8" x14ac:dyDescent="0.35">
      <c r="A6366" s="528" t="s">
        <v>18369</v>
      </c>
      <c r="B6366" s="528" t="s">
        <v>18370</v>
      </c>
      <c r="C6366" s="528" t="s">
        <v>18371</v>
      </c>
      <c r="D6366" s="528" t="s">
        <v>225</v>
      </c>
      <c r="E6366" s="528"/>
      <c r="F6366" s="528"/>
      <c r="G6366" s="528" t="s">
        <v>205</v>
      </c>
      <c r="H6366"/>
    </row>
    <row r="6367" spans="1:8" x14ac:dyDescent="0.35">
      <c r="A6367" s="528" t="s">
        <v>18372</v>
      </c>
      <c r="B6367" s="528" t="s">
        <v>18373</v>
      </c>
      <c r="C6367" s="528" t="s">
        <v>18374</v>
      </c>
      <c r="D6367" s="528" t="s">
        <v>225</v>
      </c>
      <c r="E6367" s="528"/>
      <c r="F6367" s="528"/>
      <c r="G6367" s="528" t="s">
        <v>205</v>
      </c>
      <c r="H6367"/>
    </row>
    <row r="6368" spans="1:8" x14ac:dyDescent="0.35">
      <c r="A6368" s="528" t="s">
        <v>18375</v>
      </c>
      <c r="B6368" s="528" t="s">
        <v>18376</v>
      </c>
      <c r="C6368" s="528" t="s">
        <v>18377</v>
      </c>
      <c r="D6368" s="528" t="s">
        <v>225</v>
      </c>
      <c r="E6368" s="528"/>
      <c r="F6368" s="528"/>
      <c r="G6368" s="528" t="s">
        <v>208</v>
      </c>
      <c r="H6368"/>
    </row>
    <row r="6369" spans="1:8" x14ac:dyDescent="0.35">
      <c r="A6369" s="528" t="s">
        <v>18378</v>
      </c>
      <c r="B6369" s="528" t="s">
        <v>18379</v>
      </c>
      <c r="C6369" s="528" t="s">
        <v>18380</v>
      </c>
      <c r="D6369" s="528" t="s">
        <v>225</v>
      </c>
      <c r="E6369" s="528"/>
      <c r="F6369" s="528"/>
      <c r="G6369" s="528" t="s">
        <v>205</v>
      </c>
      <c r="H6369"/>
    </row>
    <row r="6370" spans="1:8" x14ac:dyDescent="0.35">
      <c r="A6370" s="528" t="s">
        <v>18381</v>
      </c>
      <c r="B6370" s="528" t="s">
        <v>18382</v>
      </c>
      <c r="C6370" s="528" t="s">
        <v>18383</v>
      </c>
      <c r="D6370" s="528" t="s">
        <v>225</v>
      </c>
      <c r="E6370" s="528"/>
      <c r="F6370" s="528"/>
      <c r="G6370" s="528" t="s">
        <v>205</v>
      </c>
      <c r="H6370"/>
    </row>
    <row r="6371" spans="1:8" x14ac:dyDescent="0.35">
      <c r="A6371" s="528" t="s">
        <v>18384</v>
      </c>
      <c r="B6371" s="528" t="s">
        <v>18385</v>
      </c>
      <c r="C6371" s="528" t="s">
        <v>18386</v>
      </c>
      <c r="D6371" s="528" t="s">
        <v>238</v>
      </c>
      <c r="E6371" s="528"/>
      <c r="F6371" s="528"/>
      <c r="G6371" s="528" t="s">
        <v>208</v>
      </c>
      <c r="H6371"/>
    </row>
    <row r="6372" spans="1:8" x14ac:dyDescent="0.35">
      <c r="A6372" s="528" t="s">
        <v>18387</v>
      </c>
      <c r="B6372" s="528" t="s">
        <v>18388</v>
      </c>
      <c r="C6372" s="528" t="s">
        <v>18389</v>
      </c>
      <c r="D6372" s="528" t="s">
        <v>238</v>
      </c>
      <c r="E6372" s="528"/>
      <c r="F6372" s="528"/>
      <c r="G6372" s="528" t="s">
        <v>205</v>
      </c>
      <c r="H6372"/>
    </row>
    <row r="6373" spans="1:8" x14ac:dyDescent="0.35">
      <c r="A6373" s="528" t="s">
        <v>18390</v>
      </c>
      <c r="B6373" s="528" t="s">
        <v>18391</v>
      </c>
      <c r="C6373" s="528" t="s">
        <v>18392</v>
      </c>
      <c r="D6373" s="528" t="s">
        <v>238</v>
      </c>
      <c r="E6373" s="528"/>
      <c r="F6373" s="528"/>
      <c r="G6373" s="528" t="s">
        <v>205</v>
      </c>
      <c r="H6373"/>
    </row>
    <row r="6374" spans="1:8" x14ac:dyDescent="0.35">
      <c r="A6374" s="528" t="s">
        <v>18393</v>
      </c>
      <c r="B6374" s="528" t="s">
        <v>18394</v>
      </c>
      <c r="C6374" s="528" t="s">
        <v>18395</v>
      </c>
      <c r="D6374" s="528" t="s">
        <v>264</v>
      </c>
      <c r="E6374" s="528"/>
      <c r="F6374" s="528"/>
      <c r="G6374" s="528" t="s">
        <v>205</v>
      </c>
      <c r="H6374"/>
    </row>
    <row r="6375" spans="1:8" x14ac:dyDescent="0.35">
      <c r="A6375" s="528" t="s">
        <v>18396</v>
      </c>
      <c r="B6375" s="528" t="s">
        <v>18397</v>
      </c>
      <c r="C6375" s="528" t="s">
        <v>18398</v>
      </c>
      <c r="D6375" s="528" t="s">
        <v>251</v>
      </c>
      <c r="E6375" s="528"/>
      <c r="F6375" s="528"/>
      <c r="G6375" s="528" t="s">
        <v>208</v>
      </c>
      <c r="H6375"/>
    </row>
    <row r="6376" spans="1:8" x14ac:dyDescent="0.35">
      <c r="A6376" s="528" t="s">
        <v>18399</v>
      </c>
      <c r="B6376" s="528" t="s">
        <v>18400</v>
      </c>
      <c r="C6376" s="528" t="s">
        <v>18401</v>
      </c>
      <c r="D6376" s="528" t="s">
        <v>277</v>
      </c>
      <c r="E6376" s="528"/>
      <c r="F6376" s="528"/>
      <c r="G6376" s="528" t="s">
        <v>208</v>
      </c>
      <c r="H6376"/>
    </row>
    <row r="6377" spans="1:8" x14ac:dyDescent="0.35">
      <c r="A6377" s="528" t="s">
        <v>18402</v>
      </c>
      <c r="B6377" s="528" t="s">
        <v>18403</v>
      </c>
      <c r="C6377" s="528" t="s">
        <v>18404</v>
      </c>
      <c r="D6377" s="528" t="s">
        <v>225</v>
      </c>
      <c r="E6377" s="528"/>
      <c r="F6377" s="528"/>
      <c r="G6377" s="528" t="s">
        <v>205</v>
      </c>
      <c r="H6377"/>
    </row>
    <row r="6378" spans="1:8" x14ac:dyDescent="0.35">
      <c r="A6378" s="528" t="s">
        <v>18405</v>
      </c>
      <c r="B6378" s="528" t="s">
        <v>18406</v>
      </c>
      <c r="C6378" s="528" t="s">
        <v>18407</v>
      </c>
      <c r="D6378" s="528" t="s">
        <v>225</v>
      </c>
      <c r="E6378" s="528"/>
      <c r="F6378" s="528"/>
      <c r="G6378" s="528" t="s">
        <v>205</v>
      </c>
      <c r="H6378"/>
    </row>
    <row r="6379" spans="1:8" x14ac:dyDescent="0.35">
      <c r="A6379" s="528" t="s">
        <v>18408</v>
      </c>
      <c r="B6379" s="528" t="s">
        <v>18409</v>
      </c>
      <c r="C6379" s="528" t="s">
        <v>18410</v>
      </c>
      <c r="D6379" s="528" t="s">
        <v>225</v>
      </c>
      <c r="E6379" s="528"/>
      <c r="F6379" s="528"/>
      <c r="G6379" s="528" t="s">
        <v>205</v>
      </c>
      <c r="H6379"/>
    </row>
    <row r="6380" spans="1:8" x14ac:dyDescent="0.35">
      <c r="A6380" s="528" t="s">
        <v>18411</v>
      </c>
      <c r="B6380" s="528" t="s">
        <v>18412</v>
      </c>
      <c r="C6380" s="528" t="s">
        <v>18413</v>
      </c>
      <c r="D6380" s="528" t="s">
        <v>225</v>
      </c>
      <c r="E6380" s="528"/>
      <c r="F6380" s="528"/>
      <c r="G6380" s="528" t="s">
        <v>205</v>
      </c>
      <c r="H6380"/>
    </row>
    <row r="6381" spans="1:8" x14ac:dyDescent="0.35">
      <c r="A6381" s="528" t="s">
        <v>18414</v>
      </c>
      <c r="B6381" s="528" t="s">
        <v>18415</v>
      </c>
      <c r="C6381" s="528" t="s">
        <v>18416</v>
      </c>
      <c r="D6381" s="528" t="s">
        <v>264</v>
      </c>
      <c r="E6381" s="528"/>
      <c r="F6381" s="528"/>
      <c r="G6381" s="528" t="s">
        <v>208</v>
      </c>
      <c r="H6381"/>
    </row>
    <row r="6382" spans="1:8" x14ac:dyDescent="0.35">
      <c r="A6382" s="528" t="s">
        <v>18417</v>
      </c>
      <c r="B6382" s="528" t="s">
        <v>18418</v>
      </c>
      <c r="C6382" s="528" t="s">
        <v>18419</v>
      </c>
      <c r="D6382" s="528" t="s">
        <v>264</v>
      </c>
      <c r="E6382" s="528"/>
      <c r="F6382" s="528"/>
      <c r="G6382" s="528" t="s">
        <v>208</v>
      </c>
      <c r="H6382"/>
    </row>
    <row r="6383" spans="1:8" x14ac:dyDescent="0.35">
      <c r="A6383" s="528" t="s">
        <v>18420</v>
      </c>
      <c r="B6383" s="528" t="s">
        <v>18421</v>
      </c>
      <c r="C6383" s="528" t="s">
        <v>18422</v>
      </c>
      <c r="D6383" s="528" t="s">
        <v>277</v>
      </c>
      <c r="E6383" s="528"/>
      <c r="F6383" s="528"/>
      <c r="G6383" s="528" t="s">
        <v>208</v>
      </c>
      <c r="H6383"/>
    </row>
    <row r="6384" spans="1:8" x14ac:dyDescent="0.35">
      <c r="A6384" s="528" t="s">
        <v>18423</v>
      </c>
      <c r="B6384" s="528" t="s">
        <v>18424</v>
      </c>
      <c r="C6384" s="528" t="s">
        <v>18425</v>
      </c>
      <c r="D6384" s="528" t="s">
        <v>277</v>
      </c>
      <c r="E6384" s="528"/>
      <c r="F6384" s="528"/>
      <c r="G6384" s="528" t="s">
        <v>212</v>
      </c>
      <c r="H6384"/>
    </row>
    <row r="6385" spans="1:8" x14ac:dyDescent="0.35">
      <c r="A6385" s="528" t="s">
        <v>18426</v>
      </c>
      <c r="B6385" s="528" t="s">
        <v>18427</v>
      </c>
      <c r="C6385" s="528" t="s">
        <v>18428</v>
      </c>
      <c r="D6385" s="528" t="s">
        <v>277</v>
      </c>
      <c r="E6385" s="528"/>
      <c r="F6385" s="528"/>
      <c r="G6385" s="528" t="s">
        <v>205</v>
      </c>
      <c r="H6385"/>
    </row>
    <row r="6386" spans="1:8" x14ac:dyDescent="0.35">
      <c r="A6386" s="528" t="s">
        <v>18429</v>
      </c>
      <c r="B6386" s="528" t="s">
        <v>18430</v>
      </c>
      <c r="C6386" s="528" t="s">
        <v>18431</v>
      </c>
      <c r="D6386" s="528" t="s">
        <v>277</v>
      </c>
      <c r="E6386" s="528"/>
      <c r="F6386" s="528"/>
      <c r="G6386" s="528" t="s">
        <v>208</v>
      </c>
      <c r="H6386"/>
    </row>
    <row r="6387" spans="1:8" x14ac:dyDescent="0.35">
      <c r="A6387" s="528" t="s">
        <v>18432</v>
      </c>
      <c r="B6387" s="528" t="s">
        <v>18433</v>
      </c>
      <c r="C6387" s="528" t="s">
        <v>18434</v>
      </c>
      <c r="D6387" s="528" t="s">
        <v>225</v>
      </c>
      <c r="E6387" s="528"/>
      <c r="F6387" s="528"/>
      <c r="G6387" s="528" t="s">
        <v>208</v>
      </c>
      <c r="H6387"/>
    </row>
    <row r="6388" spans="1:8" x14ac:dyDescent="0.35">
      <c r="A6388" s="528" t="s">
        <v>18435</v>
      </c>
      <c r="B6388" s="528" t="s">
        <v>18436</v>
      </c>
      <c r="C6388" s="528" t="s">
        <v>18437</v>
      </c>
      <c r="D6388" s="528" t="s">
        <v>238</v>
      </c>
      <c r="E6388" s="528"/>
      <c r="F6388" s="528"/>
      <c r="G6388" s="528" t="s">
        <v>208</v>
      </c>
      <c r="H6388"/>
    </row>
    <row r="6389" spans="1:8" x14ac:dyDescent="0.35">
      <c r="A6389" s="528" t="s">
        <v>18438</v>
      </c>
      <c r="B6389" s="528" t="s">
        <v>18439</v>
      </c>
      <c r="C6389" s="528" t="s">
        <v>18440</v>
      </c>
      <c r="D6389" s="528" t="s">
        <v>277</v>
      </c>
      <c r="E6389" s="528"/>
      <c r="F6389" s="528"/>
      <c r="G6389" s="528" t="s">
        <v>212</v>
      </c>
      <c r="H6389"/>
    </row>
    <row r="6390" spans="1:8" x14ac:dyDescent="0.35">
      <c r="A6390" s="528" t="s">
        <v>18441</v>
      </c>
      <c r="B6390" s="528" t="s">
        <v>18442</v>
      </c>
      <c r="C6390" s="528" t="s">
        <v>18443</v>
      </c>
      <c r="D6390" s="528" t="s">
        <v>238</v>
      </c>
      <c r="E6390" s="528"/>
      <c r="F6390" s="528"/>
      <c r="G6390" s="528" t="s">
        <v>208</v>
      </c>
      <c r="H6390"/>
    </row>
    <row r="6391" spans="1:8" x14ac:dyDescent="0.35">
      <c r="A6391" s="528" t="s">
        <v>18444</v>
      </c>
      <c r="B6391" s="528" t="s">
        <v>18445</v>
      </c>
      <c r="C6391" s="528" t="s">
        <v>18446</v>
      </c>
      <c r="D6391" s="528" t="s">
        <v>264</v>
      </c>
      <c r="E6391" s="528"/>
      <c r="F6391" s="528"/>
      <c r="G6391" s="528" t="s">
        <v>205</v>
      </c>
      <c r="H6391"/>
    </row>
    <row r="6392" spans="1:8" x14ac:dyDescent="0.35">
      <c r="A6392" s="528" t="s">
        <v>18447</v>
      </c>
      <c r="B6392" s="528" t="s">
        <v>18448</v>
      </c>
      <c r="C6392" s="528" t="s">
        <v>18449</v>
      </c>
      <c r="D6392" s="528" t="s">
        <v>264</v>
      </c>
      <c r="E6392" s="528"/>
      <c r="F6392" s="528"/>
      <c r="G6392" s="528" t="s">
        <v>210</v>
      </c>
      <c r="H6392"/>
    </row>
    <row r="6393" spans="1:8" x14ac:dyDescent="0.35">
      <c r="A6393" s="528" t="s">
        <v>18450</v>
      </c>
      <c r="B6393" s="528" t="s">
        <v>18451</v>
      </c>
      <c r="C6393" s="528" t="s">
        <v>18452</v>
      </c>
      <c r="D6393" s="528" t="s">
        <v>264</v>
      </c>
      <c r="E6393" s="528"/>
      <c r="F6393" s="528"/>
      <c r="G6393" s="528" t="s">
        <v>205</v>
      </c>
      <c r="H6393"/>
    </row>
    <row r="6394" spans="1:8" x14ac:dyDescent="0.35">
      <c r="A6394" s="528" t="s">
        <v>18453</v>
      </c>
      <c r="B6394" s="528" t="s">
        <v>18454</v>
      </c>
      <c r="C6394" s="528" t="s">
        <v>18455</v>
      </c>
      <c r="D6394" s="528" t="s">
        <v>264</v>
      </c>
      <c r="E6394" s="528"/>
      <c r="F6394" s="528"/>
      <c r="G6394" s="528" t="s">
        <v>208</v>
      </c>
      <c r="H6394"/>
    </row>
    <row r="6395" spans="1:8" x14ac:dyDescent="0.35">
      <c r="A6395" s="528" t="s">
        <v>18456</v>
      </c>
      <c r="B6395" s="528" t="s">
        <v>18457</v>
      </c>
      <c r="C6395" s="528" t="s">
        <v>18458</v>
      </c>
      <c r="D6395" s="528" t="s">
        <v>277</v>
      </c>
      <c r="E6395" s="528"/>
      <c r="F6395" s="528"/>
      <c r="G6395" s="528" t="s">
        <v>205</v>
      </c>
      <c r="H6395"/>
    </row>
    <row r="6396" spans="1:8" x14ac:dyDescent="0.35">
      <c r="A6396" s="528" t="s">
        <v>18459</v>
      </c>
      <c r="B6396" s="528" t="s">
        <v>18460</v>
      </c>
      <c r="C6396" s="528" t="s">
        <v>18461</v>
      </c>
      <c r="D6396" s="528" t="s">
        <v>277</v>
      </c>
      <c r="E6396" s="528"/>
      <c r="F6396" s="528"/>
      <c r="G6396" s="528" t="s">
        <v>205</v>
      </c>
      <c r="H6396"/>
    </row>
    <row r="6397" spans="1:8" x14ac:dyDescent="0.35">
      <c r="A6397" s="528" t="s">
        <v>18462</v>
      </c>
      <c r="B6397" s="528" t="s">
        <v>18463</v>
      </c>
      <c r="C6397" s="528" t="s">
        <v>18464</v>
      </c>
      <c r="D6397" s="528" t="s">
        <v>238</v>
      </c>
      <c r="E6397" s="528"/>
      <c r="F6397" s="528"/>
      <c r="G6397" s="528" t="s">
        <v>205</v>
      </c>
      <c r="H6397"/>
    </row>
    <row r="6398" spans="1:8" x14ac:dyDescent="0.35">
      <c r="A6398" s="528" t="s">
        <v>18465</v>
      </c>
      <c r="B6398" s="528" t="s">
        <v>18466</v>
      </c>
      <c r="C6398" s="528" t="s">
        <v>18467</v>
      </c>
      <c r="D6398" s="528" t="s">
        <v>277</v>
      </c>
      <c r="E6398" s="528"/>
      <c r="F6398" s="528"/>
      <c r="G6398" s="528" t="s">
        <v>205</v>
      </c>
      <c r="H6398"/>
    </row>
    <row r="6399" spans="1:8" x14ac:dyDescent="0.35">
      <c r="A6399" s="528" t="s">
        <v>18468</v>
      </c>
      <c r="B6399" s="528" t="s">
        <v>18469</v>
      </c>
      <c r="C6399" s="528" t="s">
        <v>10535</v>
      </c>
      <c r="D6399" s="528" t="s">
        <v>277</v>
      </c>
      <c r="E6399" s="528"/>
      <c r="F6399" s="528"/>
      <c r="G6399" s="528" t="s">
        <v>208</v>
      </c>
      <c r="H6399"/>
    </row>
    <row r="6400" spans="1:8" x14ac:dyDescent="0.35">
      <c r="A6400" s="528" t="s">
        <v>18470</v>
      </c>
      <c r="B6400" s="528" t="s">
        <v>18471</v>
      </c>
      <c r="C6400" s="528" t="s">
        <v>9920</v>
      </c>
      <c r="D6400" s="528" t="s">
        <v>277</v>
      </c>
      <c r="E6400" s="528"/>
      <c r="F6400" s="528"/>
      <c r="G6400" s="528" t="s">
        <v>208</v>
      </c>
      <c r="H6400"/>
    </row>
    <row r="6401" spans="1:8" x14ac:dyDescent="0.35">
      <c r="A6401" s="528" t="s">
        <v>18472</v>
      </c>
      <c r="B6401" s="528" t="s">
        <v>18473</v>
      </c>
      <c r="C6401" s="528" t="s">
        <v>18474</v>
      </c>
      <c r="D6401" s="528" t="s">
        <v>238</v>
      </c>
      <c r="E6401" s="528"/>
      <c r="F6401" s="528"/>
      <c r="G6401" s="528" t="s">
        <v>208</v>
      </c>
      <c r="H6401"/>
    </row>
    <row r="6402" spans="1:8" x14ac:dyDescent="0.35">
      <c r="A6402" s="528" t="s">
        <v>18475</v>
      </c>
      <c r="B6402" s="528" t="s">
        <v>18476</v>
      </c>
      <c r="C6402" s="528" t="s">
        <v>18477</v>
      </c>
      <c r="D6402" s="528" t="s">
        <v>277</v>
      </c>
      <c r="E6402" s="528"/>
      <c r="F6402" s="528"/>
      <c r="G6402" s="528" t="s">
        <v>208</v>
      </c>
      <c r="H6402"/>
    </row>
    <row r="6403" spans="1:8" x14ac:dyDescent="0.35">
      <c r="A6403" s="528" t="s">
        <v>18478</v>
      </c>
      <c r="B6403" s="528" t="s">
        <v>18479</v>
      </c>
      <c r="C6403" s="528" t="s">
        <v>18480</v>
      </c>
      <c r="D6403" s="528" t="s">
        <v>225</v>
      </c>
      <c r="E6403" s="528"/>
      <c r="F6403" s="528"/>
      <c r="G6403" s="528" t="s">
        <v>208</v>
      </c>
      <c r="H6403"/>
    </row>
    <row r="6404" spans="1:8" x14ac:dyDescent="0.35">
      <c r="A6404" s="528" t="s">
        <v>18481</v>
      </c>
      <c r="B6404" s="528" t="s">
        <v>18482</v>
      </c>
      <c r="C6404" s="528" t="s">
        <v>18483</v>
      </c>
      <c r="D6404" s="528" t="s">
        <v>264</v>
      </c>
      <c r="E6404" s="528"/>
      <c r="F6404" s="528"/>
      <c r="G6404" s="528" t="s">
        <v>205</v>
      </c>
      <c r="H6404"/>
    </row>
    <row r="6405" spans="1:8" x14ac:dyDescent="0.35">
      <c r="A6405" s="528" t="s">
        <v>18484</v>
      </c>
      <c r="B6405" s="528" t="s">
        <v>18485</v>
      </c>
      <c r="C6405" s="528" t="s">
        <v>18486</v>
      </c>
      <c r="D6405" s="528" t="s">
        <v>277</v>
      </c>
      <c r="E6405" s="528"/>
      <c r="F6405" s="528"/>
      <c r="G6405" s="528" t="s">
        <v>212</v>
      </c>
      <c r="H6405"/>
    </row>
    <row r="6406" spans="1:8" x14ac:dyDescent="0.35">
      <c r="A6406" s="528" t="s">
        <v>18487</v>
      </c>
      <c r="B6406" s="528" t="s">
        <v>18488</v>
      </c>
      <c r="C6406" s="528" t="s">
        <v>18489</v>
      </c>
      <c r="D6406" s="528" t="s">
        <v>225</v>
      </c>
      <c r="E6406" s="528"/>
      <c r="F6406" s="528"/>
      <c r="G6406" s="528" t="s">
        <v>208</v>
      </c>
      <c r="H6406"/>
    </row>
    <row r="6407" spans="1:8" x14ac:dyDescent="0.35">
      <c r="A6407" s="528" t="s">
        <v>18490</v>
      </c>
      <c r="B6407" s="528" t="s">
        <v>18491</v>
      </c>
      <c r="C6407" s="528" t="s">
        <v>18492</v>
      </c>
      <c r="D6407" s="528" t="s">
        <v>277</v>
      </c>
      <c r="E6407" s="528"/>
      <c r="F6407" s="528"/>
      <c r="G6407" s="528" t="s">
        <v>212</v>
      </c>
      <c r="H6407"/>
    </row>
    <row r="6408" spans="1:8" x14ac:dyDescent="0.35">
      <c r="A6408" s="528" t="s">
        <v>18493</v>
      </c>
      <c r="B6408" s="528" t="s">
        <v>18494</v>
      </c>
      <c r="C6408" s="528" t="s">
        <v>18495</v>
      </c>
      <c r="D6408" s="528" t="s">
        <v>225</v>
      </c>
      <c r="E6408" s="528"/>
      <c r="F6408" s="528"/>
      <c r="G6408" s="528" t="s">
        <v>214</v>
      </c>
      <c r="H6408"/>
    </row>
    <row r="6409" spans="1:8" x14ac:dyDescent="0.35">
      <c r="A6409" s="528" t="s">
        <v>18496</v>
      </c>
      <c r="B6409" s="528" t="s">
        <v>18497</v>
      </c>
      <c r="C6409" s="528" t="s">
        <v>18498</v>
      </c>
      <c r="D6409" s="528" t="s">
        <v>225</v>
      </c>
      <c r="E6409" s="528"/>
      <c r="F6409" s="528"/>
      <c r="G6409" s="528" t="s">
        <v>208</v>
      </c>
      <c r="H6409"/>
    </row>
    <row r="6410" spans="1:8" x14ac:dyDescent="0.35">
      <c r="A6410" s="528" t="s">
        <v>18499</v>
      </c>
      <c r="B6410" s="528" t="s">
        <v>18500</v>
      </c>
      <c r="C6410" s="528" t="s">
        <v>18501</v>
      </c>
      <c r="D6410" s="528" t="s">
        <v>264</v>
      </c>
      <c r="E6410" s="528"/>
      <c r="F6410" s="528"/>
      <c r="G6410" s="528" t="s">
        <v>208</v>
      </c>
      <c r="H6410"/>
    </row>
    <row r="6411" spans="1:8" x14ac:dyDescent="0.35">
      <c r="A6411" s="528" t="s">
        <v>18502</v>
      </c>
      <c r="B6411" s="528" t="s">
        <v>18503</v>
      </c>
      <c r="C6411" s="528" t="s">
        <v>18504</v>
      </c>
      <c r="D6411" s="528" t="s">
        <v>277</v>
      </c>
      <c r="E6411" s="528"/>
      <c r="F6411" s="528"/>
      <c r="G6411" s="528" t="s">
        <v>208</v>
      </c>
      <c r="H6411"/>
    </row>
    <row r="6412" spans="1:8" x14ac:dyDescent="0.35">
      <c r="A6412" s="528" t="s">
        <v>18505</v>
      </c>
      <c r="B6412" s="528" t="s">
        <v>18506</v>
      </c>
      <c r="C6412" s="528" t="s">
        <v>18507</v>
      </c>
      <c r="D6412" s="528" t="s">
        <v>277</v>
      </c>
      <c r="E6412" s="528"/>
      <c r="F6412" s="528"/>
      <c r="G6412" s="528" t="s">
        <v>214</v>
      </c>
      <c r="H6412"/>
    </row>
    <row r="6413" spans="1:8" x14ac:dyDescent="0.35">
      <c r="A6413" s="528" t="s">
        <v>18508</v>
      </c>
      <c r="B6413" s="528" t="s">
        <v>18509</v>
      </c>
      <c r="C6413" s="528" t="s">
        <v>18510</v>
      </c>
      <c r="D6413" s="528" t="s">
        <v>251</v>
      </c>
      <c r="E6413" s="528"/>
      <c r="F6413" s="528"/>
      <c r="G6413" s="528" t="s">
        <v>208</v>
      </c>
      <c r="H6413"/>
    </row>
    <row r="6414" spans="1:8" x14ac:dyDescent="0.35">
      <c r="A6414" s="528" t="s">
        <v>18511</v>
      </c>
      <c r="B6414" s="528" t="s">
        <v>18512</v>
      </c>
      <c r="C6414" s="528" t="s">
        <v>18513</v>
      </c>
      <c r="D6414" s="528" t="s">
        <v>251</v>
      </c>
      <c r="E6414" s="528"/>
      <c r="F6414" s="528"/>
      <c r="G6414" s="528" t="s">
        <v>208</v>
      </c>
      <c r="H6414"/>
    </row>
    <row r="6415" spans="1:8" x14ac:dyDescent="0.35">
      <c r="A6415" s="528" t="s">
        <v>18514</v>
      </c>
      <c r="B6415" s="528" t="s">
        <v>18515</v>
      </c>
      <c r="C6415" s="528" t="s">
        <v>18516</v>
      </c>
      <c r="D6415" s="528" t="s">
        <v>277</v>
      </c>
      <c r="E6415" s="528"/>
      <c r="F6415" s="528"/>
      <c r="G6415" s="528" t="s">
        <v>212</v>
      </c>
      <c r="H6415"/>
    </row>
    <row r="6416" spans="1:8" x14ac:dyDescent="0.35">
      <c r="A6416" s="528" t="s">
        <v>18517</v>
      </c>
      <c r="B6416" s="528" t="s">
        <v>18518</v>
      </c>
      <c r="C6416" s="528" t="s">
        <v>18519</v>
      </c>
      <c r="D6416" s="528" t="s">
        <v>251</v>
      </c>
      <c r="E6416" s="528"/>
      <c r="F6416" s="528"/>
      <c r="G6416" s="528" t="s">
        <v>205</v>
      </c>
      <c r="H6416"/>
    </row>
    <row r="6417" spans="1:8" x14ac:dyDescent="0.35">
      <c r="A6417" s="528" t="s">
        <v>18520</v>
      </c>
      <c r="B6417" s="528" t="s">
        <v>18521</v>
      </c>
      <c r="C6417" s="528" t="s">
        <v>18522</v>
      </c>
      <c r="D6417" s="528" t="s">
        <v>251</v>
      </c>
      <c r="E6417" s="528"/>
      <c r="F6417" s="528"/>
      <c r="G6417" s="528" t="s">
        <v>205</v>
      </c>
      <c r="H6417"/>
    </row>
    <row r="6418" spans="1:8" x14ac:dyDescent="0.35">
      <c r="A6418" s="528" t="s">
        <v>18523</v>
      </c>
      <c r="B6418" s="528" t="s">
        <v>18524</v>
      </c>
      <c r="C6418" s="528" t="s">
        <v>18525</v>
      </c>
      <c r="D6418" s="528" t="s">
        <v>251</v>
      </c>
      <c r="E6418" s="528"/>
      <c r="F6418" s="528"/>
      <c r="G6418" s="528" t="s">
        <v>205</v>
      </c>
      <c r="H6418"/>
    </row>
    <row r="6419" spans="1:8" x14ac:dyDescent="0.35">
      <c r="A6419" s="528" t="s">
        <v>18526</v>
      </c>
      <c r="B6419" s="528" t="s">
        <v>18527</v>
      </c>
      <c r="C6419" s="528" t="s">
        <v>18528</v>
      </c>
      <c r="D6419" s="528" t="s">
        <v>251</v>
      </c>
      <c r="E6419" s="528"/>
      <c r="F6419" s="528"/>
      <c r="G6419" s="528" t="s">
        <v>208</v>
      </c>
      <c r="H6419"/>
    </row>
    <row r="6420" spans="1:8" x14ac:dyDescent="0.35">
      <c r="A6420" s="528" t="s">
        <v>18529</v>
      </c>
      <c r="B6420" s="528" t="s">
        <v>18530</v>
      </c>
      <c r="C6420" s="528" t="s">
        <v>18531</v>
      </c>
      <c r="D6420" s="528" t="s">
        <v>251</v>
      </c>
      <c r="E6420" s="528"/>
      <c r="F6420" s="528"/>
      <c r="G6420" s="528" t="s">
        <v>208</v>
      </c>
      <c r="H6420"/>
    </row>
    <row r="6421" spans="1:8" x14ac:dyDescent="0.35">
      <c r="A6421" s="528" t="s">
        <v>18532</v>
      </c>
      <c r="B6421" s="528" t="s">
        <v>18533</v>
      </c>
      <c r="C6421" s="528" t="s">
        <v>18534</v>
      </c>
      <c r="D6421" s="528" t="s">
        <v>251</v>
      </c>
      <c r="E6421" s="528"/>
      <c r="F6421" s="528"/>
      <c r="G6421" s="528" t="s">
        <v>208</v>
      </c>
      <c r="H6421"/>
    </row>
    <row r="6422" spans="1:8" x14ac:dyDescent="0.35">
      <c r="A6422" s="528" t="s">
        <v>18535</v>
      </c>
      <c r="B6422" s="528" t="s">
        <v>18536</v>
      </c>
      <c r="C6422" s="528" t="s">
        <v>18537</v>
      </c>
      <c r="D6422" s="528" t="s">
        <v>277</v>
      </c>
      <c r="E6422" s="528"/>
      <c r="F6422" s="528"/>
      <c r="G6422" s="528" t="s">
        <v>205</v>
      </c>
      <c r="H6422"/>
    </row>
    <row r="6423" spans="1:8" x14ac:dyDescent="0.35">
      <c r="A6423" s="528" t="s">
        <v>18538</v>
      </c>
      <c r="B6423" s="528" t="s">
        <v>18539</v>
      </c>
      <c r="C6423" s="528" t="s">
        <v>18540</v>
      </c>
      <c r="D6423" s="528" t="s">
        <v>277</v>
      </c>
      <c r="E6423" s="528"/>
      <c r="F6423" s="528"/>
      <c r="G6423" s="528" t="s">
        <v>208</v>
      </c>
      <c r="H6423"/>
    </row>
    <row r="6424" spans="1:8" x14ac:dyDescent="0.35">
      <c r="A6424" s="528" t="s">
        <v>18541</v>
      </c>
      <c r="B6424" s="528" t="s">
        <v>18542</v>
      </c>
      <c r="C6424" s="528" t="s">
        <v>18543</v>
      </c>
      <c r="D6424" s="528" t="s">
        <v>251</v>
      </c>
      <c r="E6424" s="528"/>
      <c r="F6424" s="528"/>
      <c r="G6424" s="528" t="s">
        <v>208</v>
      </c>
      <c r="H6424"/>
    </row>
    <row r="6425" spans="1:8" x14ac:dyDescent="0.35">
      <c r="A6425" s="528" t="s">
        <v>18544</v>
      </c>
      <c r="B6425" s="528" t="s">
        <v>18545</v>
      </c>
      <c r="C6425" s="528" t="s">
        <v>18546</v>
      </c>
      <c r="D6425" s="528" t="s">
        <v>251</v>
      </c>
      <c r="E6425" s="528"/>
      <c r="F6425" s="528"/>
      <c r="G6425" s="528" t="s">
        <v>208</v>
      </c>
      <c r="H6425"/>
    </row>
    <row r="6426" spans="1:8" x14ac:dyDescent="0.35">
      <c r="A6426" s="528" t="s">
        <v>18547</v>
      </c>
      <c r="B6426" s="528" t="s">
        <v>18548</v>
      </c>
      <c r="C6426" s="528" t="s">
        <v>18549</v>
      </c>
      <c r="D6426" s="528" t="s">
        <v>277</v>
      </c>
      <c r="E6426" s="528"/>
      <c r="F6426" s="528"/>
      <c r="G6426" s="528" t="s">
        <v>208</v>
      </c>
      <c r="H6426"/>
    </row>
    <row r="6427" spans="1:8" x14ac:dyDescent="0.35">
      <c r="A6427" s="528" t="s">
        <v>18550</v>
      </c>
      <c r="B6427" s="528" t="s">
        <v>18551</v>
      </c>
      <c r="C6427" s="528" t="s">
        <v>18552</v>
      </c>
      <c r="D6427" s="528" t="s">
        <v>277</v>
      </c>
      <c r="E6427" s="528"/>
      <c r="F6427" s="528"/>
      <c r="G6427" s="528" t="s">
        <v>212</v>
      </c>
      <c r="H6427"/>
    </row>
    <row r="6428" spans="1:8" x14ac:dyDescent="0.35">
      <c r="A6428" s="528" t="s">
        <v>18553</v>
      </c>
      <c r="B6428" s="528" t="s">
        <v>18554</v>
      </c>
      <c r="C6428" s="528" t="s">
        <v>18555</v>
      </c>
      <c r="D6428" s="528" t="s">
        <v>225</v>
      </c>
      <c r="E6428" s="528"/>
      <c r="F6428" s="528"/>
      <c r="G6428" s="528" t="s">
        <v>205</v>
      </c>
      <c r="H6428"/>
    </row>
    <row r="6429" spans="1:8" x14ac:dyDescent="0.35">
      <c r="A6429" s="528" t="s">
        <v>18556</v>
      </c>
      <c r="B6429" s="528" t="s">
        <v>18557</v>
      </c>
      <c r="C6429" s="528" t="s">
        <v>18558</v>
      </c>
      <c r="D6429" s="528" t="s">
        <v>225</v>
      </c>
      <c r="E6429" s="528"/>
      <c r="F6429" s="528"/>
      <c r="G6429" s="528" t="s">
        <v>205</v>
      </c>
      <c r="H6429"/>
    </row>
    <row r="6430" spans="1:8" x14ac:dyDescent="0.35">
      <c r="A6430" s="528" t="s">
        <v>18559</v>
      </c>
      <c r="B6430" s="528" t="s">
        <v>18560</v>
      </c>
      <c r="C6430" s="528" t="s">
        <v>18561</v>
      </c>
      <c r="D6430" s="528" t="s">
        <v>251</v>
      </c>
      <c r="E6430" s="528"/>
      <c r="F6430" s="528"/>
      <c r="G6430" s="528" t="s">
        <v>205</v>
      </c>
      <c r="H6430"/>
    </row>
    <row r="6431" spans="1:8" x14ac:dyDescent="0.35">
      <c r="A6431" s="528" t="s">
        <v>18562</v>
      </c>
      <c r="B6431" s="528" t="s">
        <v>18563</v>
      </c>
      <c r="C6431" s="528" t="s">
        <v>18564</v>
      </c>
      <c r="D6431" s="528" t="s">
        <v>238</v>
      </c>
      <c r="E6431" s="528"/>
      <c r="F6431" s="528"/>
      <c r="G6431" s="528" t="s">
        <v>205</v>
      </c>
      <c r="H6431"/>
    </row>
    <row r="6432" spans="1:8" x14ac:dyDescent="0.35">
      <c r="A6432" s="528" t="s">
        <v>18565</v>
      </c>
      <c r="B6432" s="528" t="s">
        <v>18566</v>
      </c>
      <c r="C6432" s="528" t="s">
        <v>18567</v>
      </c>
      <c r="D6432" s="528" t="s">
        <v>238</v>
      </c>
      <c r="E6432" s="528"/>
      <c r="F6432" s="528"/>
      <c r="G6432" s="528" t="s">
        <v>205</v>
      </c>
      <c r="H6432"/>
    </row>
    <row r="6433" spans="1:8" x14ac:dyDescent="0.35">
      <c r="A6433" s="528" t="s">
        <v>18568</v>
      </c>
      <c r="B6433" s="528" t="s">
        <v>18569</v>
      </c>
      <c r="C6433" s="528" t="s">
        <v>18570</v>
      </c>
      <c r="D6433" s="528" t="s">
        <v>264</v>
      </c>
      <c r="E6433" s="528"/>
      <c r="F6433" s="528"/>
      <c r="G6433" s="528" t="s">
        <v>205</v>
      </c>
      <c r="H6433"/>
    </row>
    <row r="6434" spans="1:8" x14ac:dyDescent="0.35">
      <c r="A6434" s="528" t="s">
        <v>18571</v>
      </c>
      <c r="B6434" s="528" t="s">
        <v>18572</v>
      </c>
      <c r="C6434" s="528" t="s">
        <v>18573</v>
      </c>
      <c r="D6434" s="528" t="s">
        <v>264</v>
      </c>
      <c r="E6434" s="528"/>
      <c r="F6434" s="528"/>
      <c r="G6434" s="528" t="s">
        <v>208</v>
      </c>
      <c r="H6434"/>
    </row>
    <row r="6435" spans="1:8" x14ac:dyDescent="0.35">
      <c r="A6435" s="528" t="s">
        <v>18574</v>
      </c>
      <c r="B6435" s="528" t="s">
        <v>18575</v>
      </c>
      <c r="C6435" s="528" t="s">
        <v>18576</v>
      </c>
      <c r="D6435" s="528" t="s">
        <v>277</v>
      </c>
      <c r="E6435" s="528"/>
      <c r="F6435" s="528"/>
      <c r="G6435" s="528" t="s">
        <v>212</v>
      </c>
      <c r="H6435"/>
    </row>
    <row r="6436" spans="1:8" x14ac:dyDescent="0.35">
      <c r="A6436" s="528" t="s">
        <v>18577</v>
      </c>
      <c r="B6436" s="528" t="s">
        <v>18578</v>
      </c>
      <c r="C6436" s="528" t="s">
        <v>18579</v>
      </c>
      <c r="D6436" s="528" t="s">
        <v>264</v>
      </c>
      <c r="E6436" s="528"/>
      <c r="F6436" s="528"/>
      <c r="G6436" s="528" t="s">
        <v>208</v>
      </c>
      <c r="H6436"/>
    </row>
    <row r="6437" spans="1:8" x14ac:dyDescent="0.35">
      <c r="A6437" s="528" t="s">
        <v>18580</v>
      </c>
      <c r="B6437" s="528" t="s">
        <v>18581</v>
      </c>
      <c r="C6437" s="528" t="s">
        <v>18582</v>
      </c>
      <c r="D6437" s="528" t="s">
        <v>277</v>
      </c>
      <c r="E6437" s="528"/>
      <c r="F6437" s="528"/>
      <c r="G6437" s="528" t="s">
        <v>212</v>
      </c>
      <c r="H6437"/>
    </row>
    <row r="6438" spans="1:8" x14ac:dyDescent="0.35">
      <c r="A6438" s="528" t="s">
        <v>18583</v>
      </c>
      <c r="B6438" s="528" t="s">
        <v>18584</v>
      </c>
      <c r="C6438" s="528" t="s">
        <v>18585</v>
      </c>
      <c r="D6438" s="528" t="s">
        <v>264</v>
      </c>
      <c r="E6438" s="528"/>
      <c r="F6438" s="528"/>
      <c r="G6438" s="528" t="s">
        <v>205</v>
      </c>
      <c r="H6438"/>
    </row>
    <row r="6439" spans="1:8" x14ac:dyDescent="0.35">
      <c r="A6439" s="528" t="s">
        <v>18586</v>
      </c>
      <c r="B6439" s="528" t="s">
        <v>18587</v>
      </c>
      <c r="C6439" s="528" t="s">
        <v>18588</v>
      </c>
      <c r="D6439" s="528" t="s">
        <v>277</v>
      </c>
      <c r="E6439" s="528"/>
      <c r="F6439" s="528"/>
      <c r="G6439" s="528" t="s">
        <v>208</v>
      </c>
      <c r="H6439"/>
    </row>
    <row r="6440" spans="1:8" x14ac:dyDescent="0.35">
      <c r="A6440" s="528" t="s">
        <v>18589</v>
      </c>
      <c r="B6440" s="528" t="s">
        <v>18590</v>
      </c>
      <c r="C6440" s="528" t="s">
        <v>18591</v>
      </c>
      <c r="D6440" s="528" t="s">
        <v>264</v>
      </c>
      <c r="E6440" s="528"/>
      <c r="F6440" s="528"/>
      <c r="G6440" s="528" t="s">
        <v>205</v>
      </c>
      <c r="H6440"/>
    </row>
    <row r="6441" spans="1:8" x14ac:dyDescent="0.35">
      <c r="A6441" s="528" t="s">
        <v>18592</v>
      </c>
      <c r="B6441" s="528" t="s">
        <v>18593</v>
      </c>
      <c r="C6441" s="528" t="s">
        <v>18594</v>
      </c>
      <c r="D6441" s="528" t="s">
        <v>264</v>
      </c>
      <c r="E6441" s="528"/>
      <c r="F6441" s="528"/>
      <c r="G6441" s="528" t="s">
        <v>208</v>
      </c>
      <c r="H6441"/>
    </row>
    <row r="6442" spans="1:8" x14ac:dyDescent="0.35">
      <c r="A6442" s="528" t="s">
        <v>18595</v>
      </c>
      <c r="B6442" s="528" t="s">
        <v>18596</v>
      </c>
      <c r="C6442" s="528" t="s">
        <v>18597</v>
      </c>
      <c r="D6442" s="528" t="s">
        <v>277</v>
      </c>
      <c r="E6442" s="528"/>
      <c r="F6442" s="528"/>
      <c r="G6442" s="528" t="s">
        <v>212</v>
      </c>
      <c r="H6442"/>
    </row>
    <row r="6443" spans="1:8" x14ac:dyDescent="0.35">
      <c r="A6443" s="528" t="s">
        <v>18598</v>
      </c>
      <c r="B6443" s="528" t="s">
        <v>18599</v>
      </c>
      <c r="C6443" s="528" t="s">
        <v>18600</v>
      </c>
      <c r="D6443" s="528" t="s">
        <v>277</v>
      </c>
      <c r="E6443" s="528"/>
      <c r="F6443" s="528"/>
      <c r="G6443" s="528" t="s">
        <v>212</v>
      </c>
      <c r="H6443"/>
    </row>
    <row r="6444" spans="1:8" x14ac:dyDescent="0.35">
      <c r="A6444" s="528" t="s">
        <v>18601</v>
      </c>
      <c r="B6444" s="528" t="s">
        <v>18602</v>
      </c>
      <c r="C6444" s="528" t="s">
        <v>18603</v>
      </c>
      <c r="D6444" s="528" t="s">
        <v>277</v>
      </c>
      <c r="E6444" s="528"/>
      <c r="F6444" s="528"/>
      <c r="G6444" s="528" t="s">
        <v>212</v>
      </c>
      <c r="H6444"/>
    </row>
    <row r="6445" spans="1:8" x14ac:dyDescent="0.35">
      <c r="A6445" s="528" t="s">
        <v>18604</v>
      </c>
      <c r="B6445" s="528" t="s">
        <v>18605</v>
      </c>
      <c r="C6445" s="528" t="s">
        <v>18606</v>
      </c>
      <c r="D6445" s="528" t="s">
        <v>277</v>
      </c>
      <c r="E6445" s="528"/>
      <c r="F6445" s="528"/>
      <c r="G6445" s="528" t="s">
        <v>212</v>
      </c>
      <c r="H6445"/>
    </row>
    <row r="6446" spans="1:8" x14ac:dyDescent="0.35">
      <c r="A6446" s="528" t="s">
        <v>18607</v>
      </c>
      <c r="B6446" s="528" t="s">
        <v>18608</v>
      </c>
      <c r="C6446" s="528" t="s">
        <v>18609</v>
      </c>
      <c r="D6446" s="528" t="s">
        <v>264</v>
      </c>
      <c r="E6446" s="528"/>
      <c r="F6446" s="528"/>
      <c r="G6446" s="528" t="s">
        <v>208</v>
      </c>
      <c r="H6446"/>
    </row>
    <row r="6447" spans="1:8" x14ac:dyDescent="0.35">
      <c r="A6447" s="528" t="s">
        <v>18610</v>
      </c>
      <c r="B6447" s="528" t="s">
        <v>18611</v>
      </c>
      <c r="C6447" s="528" t="s">
        <v>18612</v>
      </c>
      <c r="D6447" s="528" t="s">
        <v>277</v>
      </c>
      <c r="E6447" s="528"/>
      <c r="F6447" s="528"/>
      <c r="G6447" s="528" t="s">
        <v>212</v>
      </c>
      <c r="H6447"/>
    </row>
    <row r="6448" spans="1:8" x14ac:dyDescent="0.35">
      <c r="A6448" s="528" t="s">
        <v>18613</v>
      </c>
      <c r="B6448" s="528" t="s">
        <v>18614</v>
      </c>
      <c r="C6448" s="528" t="s">
        <v>18615</v>
      </c>
      <c r="D6448" s="528" t="s">
        <v>277</v>
      </c>
      <c r="E6448" s="528"/>
      <c r="F6448" s="528"/>
      <c r="G6448" s="528" t="s">
        <v>205</v>
      </c>
      <c r="H6448"/>
    </row>
    <row r="6449" spans="1:8" x14ac:dyDescent="0.35">
      <c r="A6449" s="528" t="s">
        <v>18616</v>
      </c>
      <c r="B6449" s="528" t="s">
        <v>18617</v>
      </c>
      <c r="C6449" s="528" t="s">
        <v>18618</v>
      </c>
      <c r="D6449" s="528" t="s">
        <v>225</v>
      </c>
      <c r="E6449" s="528"/>
      <c r="F6449" s="528"/>
      <c r="G6449" s="528" t="s">
        <v>208</v>
      </c>
      <c r="H6449"/>
    </row>
    <row r="6450" spans="1:8" x14ac:dyDescent="0.35">
      <c r="A6450" s="528" t="s">
        <v>18619</v>
      </c>
      <c r="B6450" s="528" t="s">
        <v>18620</v>
      </c>
      <c r="C6450" s="528" t="s">
        <v>18621</v>
      </c>
      <c r="D6450" s="528" t="s">
        <v>225</v>
      </c>
      <c r="E6450" s="528"/>
      <c r="F6450" s="528"/>
      <c r="G6450" s="528" t="s">
        <v>208</v>
      </c>
      <c r="H6450"/>
    </row>
    <row r="6451" spans="1:8" x14ac:dyDescent="0.35">
      <c r="A6451" s="528" t="s">
        <v>18622</v>
      </c>
      <c r="B6451" s="528" t="s">
        <v>18623</v>
      </c>
      <c r="C6451" s="528" t="s">
        <v>18624</v>
      </c>
      <c r="D6451" s="528" t="s">
        <v>277</v>
      </c>
      <c r="E6451" s="528"/>
      <c r="F6451" s="528"/>
      <c r="G6451" s="528" t="s">
        <v>208</v>
      </c>
      <c r="H6451"/>
    </row>
    <row r="6452" spans="1:8" x14ac:dyDescent="0.35">
      <c r="A6452" s="528" t="s">
        <v>18625</v>
      </c>
      <c r="B6452" s="528" t="s">
        <v>18626</v>
      </c>
      <c r="C6452" s="528" t="s">
        <v>18627</v>
      </c>
      <c r="D6452" s="528" t="s">
        <v>264</v>
      </c>
      <c r="E6452" s="528"/>
      <c r="F6452" s="528"/>
      <c r="G6452" s="528" t="s">
        <v>205</v>
      </c>
      <c r="H6452"/>
    </row>
    <row r="6453" spans="1:8" x14ac:dyDescent="0.35">
      <c r="A6453" s="528" t="s">
        <v>18628</v>
      </c>
      <c r="B6453" s="528" t="s">
        <v>18629</v>
      </c>
      <c r="C6453" s="528" t="s">
        <v>18630</v>
      </c>
      <c r="D6453" s="528" t="s">
        <v>225</v>
      </c>
      <c r="E6453" s="528"/>
      <c r="F6453" s="528"/>
      <c r="G6453" s="528" t="s">
        <v>205</v>
      </c>
      <c r="H6453"/>
    </row>
    <row r="6454" spans="1:8" x14ac:dyDescent="0.35">
      <c r="A6454" s="528" t="s">
        <v>18631</v>
      </c>
      <c r="B6454" s="528" t="s">
        <v>18632</v>
      </c>
      <c r="C6454" s="528" t="s">
        <v>18449</v>
      </c>
      <c r="D6454" s="528" t="s">
        <v>264</v>
      </c>
      <c r="E6454" s="528"/>
      <c r="F6454" s="528"/>
      <c r="G6454" s="528" t="s">
        <v>210</v>
      </c>
      <c r="H6454"/>
    </row>
    <row r="6455" spans="1:8" x14ac:dyDescent="0.35">
      <c r="A6455" s="528" t="s">
        <v>18633</v>
      </c>
      <c r="B6455" s="528" t="s">
        <v>18634</v>
      </c>
      <c r="C6455" s="528" t="s">
        <v>18635</v>
      </c>
      <c r="D6455" s="528" t="s">
        <v>251</v>
      </c>
      <c r="E6455" s="528"/>
      <c r="F6455" s="528"/>
      <c r="G6455" s="528" t="s">
        <v>208</v>
      </c>
      <c r="H6455"/>
    </row>
    <row r="6456" spans="1:8" x14ac:dyDescent="0.35">
      <c r="A6456" s="528" t="s">
        <v>18636</v>
      </c>
      <c r="B6456" s="528" t="s">
        <v>18637</v>
      </c>
      <c r="C6456" s="528" t="s">
        <v>18638</v>
      </c>
      <c r="D6456" s="528" t="s">
        <v>251</v>
      </c>
      <c r="E6456" s="528"/>
      <c r="F6456" s="528"/>
      <c r="G6456" s="528" t="s">
        <v>208</v>
      </c>
      <c r="H6456"/>
    </row>
    <row r="6457" spans="1:8" x14ac:dyDescent="0.35">
      <c r="A6457" s="528" t="s">
        <v>18639</v>
      </c>
      <c r="B6457" s="528" t="s">
        <v>18640</v>
      </c>
      <c r="C6457" s="528" t="s">
        <v>18641</v>
      </c>
      <c r="D6457" s="528" t="s">
        <v>251</v>
      </c>
      <c r="E6457" s="528"/>
      <c r="F6457" s="528"/>
      <c r="G6457" s="528" t="s">
        <v>208</v>
      </c>
      <c r="H6457"/>
    </row>
    <row r="6458" spans="1:8" x14ac:dyDescent="0.35">
      <c r="A6458" s="528" t="s">
        <v>18642</v>
      </c>
      <c r="B6458" s="528" t="s">
        <v>18643</v>
      </c>
      <c r="C6458" s="528" t="s">
        <v>18644</v>
      </c>
      <c r="D6458" s="528" t="s">
        <v>277</v>
      </c>
      <c r="E6458" s="528"/>
      <c r="F6458" s="528"/>
      <c r="G6458" s="528" t="s">
        <v>205</v>
      </c>
      <c r="H6458"/>
    </row>
    <row r="6459" spans="1:8" x14ac:dyDescent="0.35">
      <c r="A6459" s="528" t="s">
        <v>18645</v>
      </c>
      <c r="B6459" s="528" t="s">
        <v>18646</v>
      </c>
      <c r="C6459" s="528" t="s">
        <v>18647</v>
      </c>
      <c r="D6459" s="528" t="s">
        <v>277</v>
      </c>
      <c r="E6459" s="528"/>
      <c r="F6459" s="528"/>
      <c r="G6459" s="528" t="s">
        <v>205</v>
      </c>
      <c r="H6459"/>
    </row>
    <row r="6460" spans="1:8" x14ac:dyDescent="0.35">
      <c r="A6460" s="528" t="s">
        <v>18648</v>
      </c>
      <c r="B6460" s="528" t="s">
        <v>18649</v>
      </c>
      <c r="C6460" s="528" t="s">
        <v>18650</v>
      </c>
      <c r="D6460" s="528" t="s">
        <v>277</v>
      </c>
      <c r="E6460" s="528"/>
      <c r="F6460" s="528"/>
      <c r="G6460" s="528" t="s">
        <v>205</v>
      </c>
      <c r="H6460"/>
    </row>
    <row r="6461" spans="1:8" x14ac:dyDescent="0.35">
      <c r="A6461" s="528" t="s">
        <v>18651</v>
      </c>
      <c r="B6461" s="528" t="s">
        <v>18652</v>
      </c>
      <c r="C6461" s="528" t="s">
        <v>18653</v>
      </c>
      <c r="D6461" s="528" t="s">
        <v>251</v>
      </c>
      <c r="E6461" s="528"/>
      <c r="F6461" s="528"/>
      <c r="G6461" s="528" t="s">
        <v>205</v>
      </c>
      <c r="H6461"/>
    </row>
    <row r="6462" spans="1:8" x14ac:dyDescent="0.35">
      <c r="A6462" s="528" t="s">
        <v>18654</v>
      </c>
      <c r="B6462" s="528" t="s">
        <v>18655</v>
      </c>
      <c r="C6462" s="528" t="s">
        <v>18656</v>
      </c>
      <c r="D6462" s="528" t="s">
        <v>277</v>
      </c>
      <c r="E6462" s="528"/>
      <c r="F6462" s="528"/>
      <c r="G6462" s="528" t="s">
        <v>208</v>
      </c>
      <c r="H6462"/>
    </row>
    <row r="6463" spans="1:8" x14ac:dyDescent="0.35">
      <c r="A6463" s="528" t="s">
        <v>18657</v>
      </c>
      <c r="B6463" s="528" t="s">
        <v>18658</v>
      </c>
      <c r="C6463" s="528" t="s">
        <v>18659</v>
      </c>
      <c r="D6463" s="528" t="s">
        <v>264</v>
      </c>
      <c r="E6463" s="528"/>
      <c r="F6463" s="528"/>
      <c r="G6463" s="528" t="s">
        <v>208</v>
      </c>
      <c r="H6463"/>
    </row>
    <row r="6464" spans="1:8" x14ac:dyDescent="0.35">
      <c r="A6464" s="528" t="s">
        <v>18660</v>
      </c>
      <c r="B6464" s="528" t="s">
        <v>18661</v>
      </c>
      <c r="C6464" s="528" t="s">
        <v>18662</v>
      </c>
      <c r="D6464" s="528" t="s">
        <v>277</v>
      </c>
      <c r="E6464" s="528"/>
      <c r="F6464" s="528"/>
      <c r="G6464" s="528" t="s">
        <v>205</v>
      </c>
      <c r="H6464"/>
    </row>
    <row r="6465" spans="1:8" x14ac:dyDescent="0.35">
      <c r="A6465" s="528" t="s">
        <v>18663</v>
      </c>
      <c r="B6465" s="528" t="s">
        <v>18664</v>
      </c>
      <c r="C6465" s="528" t="s">
        <v>18665</v>
      </c>
      <c r="D6465" s="528" t="s">
        <v>277</v>
      </c>
      <c r="E6465" s="528"/>
      <c r="F6465" s="528"/>
      <c r="G6465" s="528" t="s">
        <v>208</v>
      </c>
      <c r="H6465"/>
    </row>
    <row r="6466" spans="1:8" x14ac:dyDescent="0.35">
      <c r="A6466" s="528" t="s">
        <v>18666</v>
      </c>
      <c r="B6466" s="528" t="s">
        <v>18667</v>
      </c>
      <c r="C6466" s="528" t="s">
        <v>18668</v>
      </c>
      <c r="D6466" s="528" t="s">
        <v>264</v>
      </c>
      <c r="E6466" s="528"/>
      <c r="F6466" s="528"/>
      <c r="G6466" s="528" t="s">
        <v>205</v>
      </c>
      <c r="H6466"/>
    </row>
    <row r="6467" spans="1:8" x14ac:dyDescent="0.35">
      <c r="A6467" s="528" t="s">
        <v>18669</v>
      </c>
      <c r="B6467" s="528" t="s">
        <v>18670</v>
      </c>
      <c r="C6467" s="528" t="s">
        <v>18671</v>
      </c>
      <c r="D6467" s="528" t="s">
        <v>264</v>
      </c>
      <c r="E6467" s="528"/>
      <c r="F6467" s="528"/>
      <c r="G6467" s="528" t="s">
        <v>208</v>
      </c>
      <c r="H6467"/>
    </row>
    <row r="6468" spans="1:8" x14ac:dyDescent="0.35">
      <c r="A6468" s="528" t="s">
        <v>18672</v>
      </c>
      <c r="B6468" s="528" t="s">
        <v>18673</v>
      </c>
      <c r="C6468" s="528" t="s">
        <v>18674</v>
      </c>
      <c r="D6468" s="528" t="s">
        <v>225</v>
      </c>
      <c r="E6468" s="528"/>
      <c r="F6468" s="528"/>
      <c r="G6468" s="528" t="s">
        <v>208</v>
      </c>
      <c r="H6468"/>
    </row>
    <row r="6469" spans="1:8" x14ac:dyDescent="0.35">
      <c r="A6469" s="528" t="s">
        <v>18675</v>
      </c>
      <c r="B6469" s="528" t="s">
        <v>18676</v>
      </c>
      <c r="C6469" s="528" t="s">
        <v>18677</v>
      </c>
      <c r="D6469" s="528" t="s">
        <v>225</v>
      </c>
      <c r="E6469" s="528"/>
      <c r="F6469" s="528"/>
      <c r="G6469" s="528" t="s">
        <v>208</v>
      </c>
      <c r="H6469"/>
    </row>
    <row r="6470" spans="1:8" x14ac:dyDescent="0.35">
      <c r="A6470" s="528" t="s">
        <v>18678</v>
      </c>
      <c r="B6470" s="528" t="s">
        <v>18679</v>
      </c>
      <c r="C6470" s="528" t="s">
        <v>18680</v>
      </c>
      <c r="D6470" s="528" t="s">
        <v>264</v>
      </c>
      <c r="E6470" s="528"/>
      <c r="F6470" s="528"/>
      <c r="G6470" s="528" t="s">
        <v>205</v>
      </c>
      <c r="H6470"/>
    </row>
    <row r="6471" spans="1:8" x14ac:dyDescent="0.35">
      <c r="A6471" s="528" t="s">
        <v>18681</v>
      </c>
      <c r="B6471" s="528" t="s">
        <v>18682</v>
      </c>
      <c r="C6471" s="528" t="s">
        <v>18683</v>
      </c>
      <c r="D6471" s="528" t="s">
        <v>277</v>
      </c>
      <c r="E6471" s="528"/>
      <c r="F6471" s="528"/>
      <c r="G6471" s="528" t="s">
        <v>205</v>
      </c>
      <c r="H6471"/>
    </row>
    <row r="6472" spans="1:8" x14ac:dyDescent="0.35">
      <c r="A6472" s="528" t="s">
        <v>18684</v>
      </c>
      <c r="B6472" s="528" t="s">
        <v>18685</v>
      </c>
      <c r="C6472" s="528" t="s">
        <v>18686</v>
      </c>
      <c r="D6472" s="528" t="s">
        <v>277</v>
      </c>
      <c r="E6472" s="528"/>
      <c r="F6472" s="528"/>
      <c r="G6472" s="528" t="s">
        <v>205</v>
      </c>
      <c r="H6472"/>
    </row>
    <row r="6473" spans="1:8" x14ac:dyDescent="0.35">
      <c r="A6473" s="528" t="s">
        <v>18687</v>
      </c>
      <c r="B6473" s="528" t="s">
        <v>18688</v>
      </c>
      <c r="C6473" s="528" t="s">
        <v>18689</v>
      </c>
      <c r="D6473" s="528" t="s">
        <v>251</v>
      </c>
      <c r="E6473" s="528"/>
      <c r="F6473" s="528"/>
      <c r="G6473" s="528" t="s">
        <v>205</v>
      </c>
      <c r="H6473"/>
    </row>
    <row r="6474" spans="1:8" x14ac:dyDescent="0.35">
      <c r="A6474" s="528" t="s">
        <v>18690</v>
      </c>
      <c r="B6474" s="528" t="s">
        <v>18691</v>
      </c>
      <c r="C6474" s="528" t="s">
        <v>15003</v>
      </c>
      <c r="D6474" s="528" t="s">
        <v>238</v>
      </c>
      <c r="E6474" s="528"/>
      <c r="F6474" s="528"/>
      <c r="G6474" s="528" t="s">
        <v>205</v>
      </c>
      <c r="H6474"/>
    </row>
    <row r="6475" spans="1:8" x14ac:dyDescent="0.35">
      <c r="A6475" s="528" t="s">
        <v>18692</v>
      </c>
      <c r="B6475" s="528" t="s">
        <v>18693</v>
      </c>
      <c r="C6475" s="528" t="s">
        <v>18694</v>
      </c>
      <c r="D6475" s="528" t="s">
        <v>264</v>
      </c>
      <c r="E6475" s="528"/>
      <c r="F6475" s="528"/>
      <c r="G6475" s="528" t="s">
        <v>210</v>
      </c>
      <c r="H6475"/>
    </row>
    <row r="6476" spans="1:8" x14ac:dyDescent="0.35">
      <c r="A6476" s="528" t="s">
        <v>18695</v>
      </c>
      <c r="B6476" s="528" t="s">
        <v>18696</v>
      </c>
      <c r="C6476" s="528" t="s">
        <v>18697</v>
      </c>
      <c r="D6476" s="528" t="s">
        <v>264</v>
      </c>
      <c r="E6476" s="528"/>
      <c r="F6476" s="528"/>
      <c r="G6476" s="528" t="s">
        <v>205</v>
      </c>
      <c r="H6476"/>
    </row>
    <row r="6477" spans="1:8" x14ac:dyDescent="0.35">
      <c r="A6477" s="528" t="s">
        <v>18698</v>
      </c>
      <c r="B6477" s="528" t="s">
        <v>18699</v>
      </c>
      <c r="C6477" s="528" t="s">
        <v>18700</v>
      </c>
      <c r="D6477" s="528" t="s">
        <v>225</v>
      </c>
      <c r="E6477" s="528"/>
      <c r="F6477" s="528"/>
      <c r="G6477" s="528" t="s">
        <v>205</v>
      </c>
      <c r="H6477"/>
    </row>
    <row r="6478" spans="1:8" x14ac:dyDescent="0.35">
      <c r="A6478" s="528" t="s">
        <v>18701</v>
      </c>
      <c r="B6478" s="528" t="s">
        <v>18702</v>
      </c>
      <c r="C6478" s="528" t="s">
        <v>18703</v>
      </c>
      <c r="D6478" s="528" t="s">
        <v>225</v>
      </c>
      <c r="E6478" s="528"/>
      <c r="F6478" s="528"/>
      <c r="G6478" s="528" t="s">
        <v>205</v>
      </c>
      <c r="H6478"/>
    </row>
    <row r="6479" spans="1:8" x14ac:dyDescent="0.35">
      <c r="A6479" s="528" t="s">
        <v>18704</v>
      </c>
      <c r="B6479" s="528" t="s">
        <v>18705</v>
      </c>
      <c r="C6479" s="528" t="s">
        <v>18706</v>
      </c>
      <c r="D6479" s="528" t="s">
        <v>225</v>
      </c>
      <c r="E6479" s="528"/>
      <c r="F6479" s="528"/>
      <c r="G6479" s="528" t="s">
        <v>208</v>
      </c>
      <c r="H6479"/>
    </row>
    <row r="6480" spans="1:8" x14ac:dyDescent="0.35">
      <c r="A6480" s="528" t="s">
        <v>18707</v>
      </c>
      <c r="B6480" s="528" t="s">
        <v>18708</v>
      </c>
      <c r="C6480" s="528" t="s">
        <v>18709</v>
      </c>
      <c r="D6480" s="528" t="s">
        <v>225</v>
      </c>
      <c r="E6480" s="528"/>
      <c r="F6480" s="528"/>
      <c r="G6480" s="528" t="s">
        <v>208</v>
      </c>
      <c r="H6480"/>
    </row>
    <row r="6481" spans="1:8" x14ac:dyDescent="0.35">
      <c r="A6481" s="528" t="s">
        <v>18710</v>
      </c>
      <c r="B6481" s="528" t="s">
        <v>18711</v>
      </c>
      <c r="C6481" s="528" t="s">
        <v>18712</v>
      </c>
      <c r="D6481" s="528" t="s">
        <v>225</v>
      </c>
      <c r="E6481" s="528"/>
      <c r="F6481" s="528"/>
      <c r="G6481" s="528" t="s">
        <v>208</v>
      </c>
      <c r="H6481"/>
    </row>
    <row r="6482" spans="1:8" x14ac:dyDescent="0.35">
      <c r="A6482" s="528" t="s">
        <v>18713</v>
      </c>
      <c r="B6482" s="528" t="s">
        <v>18714</v>
      </c>
      <c r="C6482" s="528" t="s">
        <v>18715</v>
      </c>
      <c r="D6482" s="528" t="s">
        <v>264</v>
      </c>
      <c r="E6482" s="528"/>
      <c r="F6482" s="528"/>
      <c r="G6482" s="528" t="s">
        <v>205</v>
      </c>
      <c r="H6482"/>
    </row>
    <row r="6483" spans="1:8" x14ac:dyDescent="0.35">
      <c r="A6483" s="528" t="s">
        <v>18716</v>
      </c>
      <c r="B6483" s="528" t="s">
        <v>18717</v>
      </c>
      <c r="C6483" s="528" t="s">
        <v>18718</v>
      </c>
      <c r="D6483" s="528" t="s">
        <v>238</v>
      </c>
      <c r="E6483" s="528"/>
      <c r="F6483" s="528"/>
      <c r="G6483" s="528" t="s">
        <v>208</v>
      </c>
      <c r="H6483"/>
    </row>
    <row r="6484" spans="1:8" x14ac:dyDescent="0.35">
      <c r="A6484" s="528" t="s">
        <v>18719</v>
      </c>
      <c r="B6484" s="528" t="s">
        <v>18720</v>
      </c>
      <c r="C6484" s="528" t="s">
        <v>18721</v>
      </c>
      <c r="D6484" s="528" t="s">
        <v>264</v>
      </c>
      <c r="E6484" s="528"/>
      <c r="F6484" s="528"/>
      <c r="G6484" s="528" t="s">
        <v>205</v>
      </c>
      <c r="H6484"/>
    </row>
    <row r="6485" spans="1:8" x14ac:dyDescent="0.35">
      <c r="A6485" s="528" t="s">
        <v>18722</v>
      </c>
      <c r="B6485" s="528" t="s">
        <v>18723</v>
      </c>
      <c r="C6485" s="528" t="s">
        <v>18724</v>
      </c>
      <c r="D6485" s="528" t="s">
        <v>251</v>
      </c>
      <c r="E6485" s="528"/>
      <c r="F6485" s="528"/>
      <c r="G6485" s="528" t="s">
        <v>205</v>
      </c>
      <c r="H6485"/>
    </row>
    <row r="6486" spans="1:8" x14ac:dyDescent="0.35">
      <c r="A6486" s="528" t="s">
        <v>18725</v>
      </c>
      <c r="B6486" s="528" t="s">
        <v>18726</v>
      </c>
      <c r="C6486" s="528" t="s">
        <v>18727</v>
      </c>
      <c r="D6486" s="528" t="s">
        <v>277</v>
      </c>
      <c r="E6486" s="528"/>
      <c r="F6486" s="528"/>
      <c r="G6486" s="528" t="s">
        <v>208</v>
      </c>
      <c r="H6486"/>
    </row>
    <row r="6487" spans="1:8" x14ac:dyDescent="0.35">
      <c r="A6487" s="528" t="s">
        <v>18728</v>
      </c>
      <c r="B6487" s="528" t="s">
        <v>18729</v>
      </c>
      <c r="C6487" s="528" t="s">
        <v>18730</v>
      </c>
      <c r="D6487" s="528" t="s">
        <v>277</v>
      </c>
      <c r="E6487" s="528"/>
      <c r="F6487" s="528"/>
      <c r="G6487" s="528" t="s">
        <v>208</v>
      </c>
      <c r="H6487"/>
    </row>
    <row r="6488" spans="1:8" x14ac:dyDescent="0.35">
      <c r="A6488" s="528" t="s">
        <v>18731</v>
      </c>
      <c r="B6488" s="528" t="s">
        <v>18732</v>
      </c>
      <c r="C6488" s="528" t="s">
        <v>18733</v>
      </c>
      <c r="D6488" s="528" t="s">
        <v>277</v>
      </c>
      <c r="E6488" s="528" t="s">
        <v>264</v>
      </c>
      <c r="F6488" s="528"/>
      <c r="G6488" s="528" t="s">
        <v>208</v>
      </c>
      <c r="H6488"/>
    </row>
    <row r="6489" spans="1:8" x14ac:dyDescent="0.35">
      <c r="A6489" s="528" t="s">
        <v>18734</v>
      </c>
      <c r="B6489" s="528" t="s">
        <v>18735</v>
      </c>
      <c r="C6489" s="528" t="s">
        <v>18736</v>
      </c>
      <c r="D6489" s="528" t="s">
        <v>277</v>
      </c>
      <c r="E6489" s="528"/>
      <c r="F6489" s="528"/>
      <c r="G6489" s="528" t="s">
        <v>212</v>
      </c>
      <c r="H6489"/>
    </row>
    <row r="6490" spans="1:8" x14ac:dyDescent="0.35">
      <c r="A6490" s="528" t="s">
        <v>18737</v>
      </c>
      <c r="B6490" s="528" t="s">
        <v>18738</v>
      </c>
      <c r="C6490" s="528" t="s">
        <v>18739</v>
      </c>
      <c r="D6490" s="528" t="s">
        <v>264</v>
      </c>
      <c r="E6490" s="528"/>
      <c r="F6490" s="528"/>
      <c r="G6490" s="528" t="s">
        <v>205</v>
      </c>
      <c r="H6490"/>
    </row>
    <row r="6491" spans="1:8" x14ac:dyDescent="0.35">
      <c r="A6491" s="528" t="s">
        <v>18740</v>
      </c>
      <c r="B6491" s="528" t="s">
        <v>18741</v>
      </c>
      <c r="C6491" s="528" t="s">
        <v>18742</v>
      </c>
      <c r="D6491" s="528" t="s">
        <v>277</v>
      </c>
      <c r="E6491" s="528"/>
      <c r="F6491" s="528"/>
      <c r="G6491" s="528" t="s">
        <v>208</v>
      </c>
      <c r="H6491"/>
    </row>
    <row r="6492" spans="1:8" x14ac:dyDescent="0.35">
      <c r="A6492" s="528" t="s">
        <v>18743</v>
      </c>
      <c r="B6492" s="528" t="s">
        <v>18744</v>
      </c>
      <c r="C6492" s="528" t="s">
        <v>18745</v>
      </c>
      <c r="D6492" s="528" t="s">
        <v>264</v>
      </c>
      <c r="E6492" s="528"/>
      <c r="F6492" s="528"/>
      <c r="G6492" s="528" t="s">
        <v>205</v>
      </c>
      <c r="H6492"/>
    </row>
    <row r="6493" spans="1:8" x14ac:dyDescent="0.35">
      <c r="A6493" s="528" t="s">
        <v>18746</v>
      </c>
      <c r="B6493" s="528" t="s">
        <v>18747</v>
      </c>
      <c r="C6493" s="528" t="s">
        <v>18748</v>
      </c>
      <c r="D6493" s="528" t="s">
        <v>225</v>
      </c>
      <c r="E6493" s="528" t="s">
        <v>264</v>
      </c>
      <c r="F6493" s="528"/>
      <c r="G6493" s="528" t="s">
        <v>208</v>
      </c>
      <c r="H6493"/>
    </row>
    <row r="6494" spans="1:8" x14ac:dyDescent="0.35">
      <c r="A6494" s="528" t="s">
        <v>18749</v>
      </c>
      <c r="B6494" s="528" t="s">
        <v>18750</v>
      </c>
      <c r="C6494" s="528" t="s">
        <v>18751</v>
      </c>
      <c r="D6494" s="528" t="s">
        <v>225</v>
      </c>
      <c r="E6494" s="528"/>
      <c r="F6494" s="528"/>
      <c r="G6494" s="528" t="s">
        <v>208</v>
      </c>
      <c r="H6494"/>
    </row>
    <row r="6495" spans="1:8" x14ac:dyDescent="0.35">
      <c r="A6495" s="528" t="s">
        <v>18752</v>
      </c>
      <c r="B6495" s="528" t="s">
        <v>18753</v>
      </c>
      <c r="C6495" s="528" t="s">
        <v>18754</v>
      </c>
      <c r="D6495" s="528" t="s">
        <v>225</v>
      </c>
      <c r="E6495" s="528"/>
      <c r="F6495" s="528"/>
      <c r="G6495" s="528" t="s">
        <v>208</v>
      </c>
      <c r="H6495"/>
    </row>
    <row r="6496" spans="1:8" x14ac:dyDescent="0.35">
      <c r="A6496" s="528" t="s">
        <v>18755</v>
      </c>
      <c r="B6496" s="528" t="s">
        <v>18756</v>
      </c>
      <c r="C6496" s="528" t="s">
        <v>18757</v>
      </c>
      <c r="D6496" s="528" t="s">
        <v>225</v>
      </c>
      <c r="E6496" s="528"/>
      <c r="F6496" s="528"/>
      <c r="G6496" s="528" t="s">
        <v>208</v>
      </c>
      <c r="H6496"/>
    </row>
    <row r="6497" spans="1:8" x14ac:dyDescent="0.35">
      <c r="A6497" s="528" t="s">
        <v>18758</v>
      </c>
      <c r="B6497" s="528" t="s">
        <v>18759</v>
      </c>
      <c r="C6497" s="528" t="s">
        <v>18760</v>
      </c>
      <c r="D6497" s="528" t="s">
        <v>277</v>
      </c>
      <c r="E6497" s="528"/>
      <c r="F6497" s="528"/>
      <c r="G6497" s="528" t="s">
        <v>212</v>
      </c>
      <c r="H6497"/>
    </row>
    <row r="6498" spans="1:8" x14ac:dyDescent="0.35">
      <c r="A6498" s="528" t="s">
        <v>18761</v>
      </c>
      <c r="B6498" s="528" t="s">
        <v>18762</v>
      </c>
      <c r="C6498" s="528" t="s">
        <v>18763</v>
      </c>
      <c r="D6498" s="528" t="s">
        <v>277</v>
      </c>
      <c r="E6498" s="528"/>
      <c r="F6498" s="528"/>
      <c r="G6498" s="528" t="s">
        <v>212</v>
      </c>
      <c r="H6498"/>
    </row>
    <row r="6499" spans="1:8" x14ac:dyDescent="0.35">
      <c r="A6499" s="528" t="s">
        <v>18764</v>
      </c>
      <c r="B6499" s="528" t="s">
        <v>18765</v>
      </c>
      <c r="C6499" s="528" t="s">
        <v>18766</v>
      </c>
      <c r="D6499" s="528" t="s">
        <v>264</v>
      </c>
      <c r="E6499" s="528"/>
      <c r="F6499" s="528"/>
      <c r="G6499" s="528" t="s">
        <v>205</v>
      </c>
      <c r="H6499"/>
    </row>
    <row r="6500" spans="1:8" x14ac:dyDescent="0.35">
      <c r="A6500" s="528" t="s">
        <v>18767</v>
      </c>
      <c r="B6500" s="528" t="s">
        <v>18768</v>
      </c>
      <c r="C6500" s="528" t="s">
        <v>18769</v>
      </c>
      <c r="D6500" s="528" t="s">
        <v>277</v>
      </c>
      <c r="E6500" s="528"/>
      <c r="F6500" s="528"/>
      <c r="G6500" s="528" t="s">
        <v>208</v>
      </c>
      <c r="H6500"/>
    </row>
    <row r="6501" spans="1:8" x14ac:dyDescent="0.35">
      <c r="A6501" s="528" t="s">
        <v>18770</v>
      </c>
      <c r="B6501" s="528" t="s">
        <v>18771</v>
      </c>
      <c r="C6501" s="528" t="s">
        <v>18772</v>
      </c>
      <c r="D6501" s="528" t="s">
        <v>264</v>
      </c>
      <c r="E6501" s="528"/>
      <c r="F6501" s="528"/>
      <c r="G6501" s="528" t="s">
        <v>208</v>
      </c>
      <c r="H6501"/>
    </row>
    <row r="6502" spans="1:8" x14ac:dyDescent="0.35">
      <c r="A6502" s="528" t="s">
        <v>18773</v>
      </c>
      <c r="B6502" s="528" t="s">
        <v>18774</v>
      </c>
      <c r="C6502" s="528" t="s">
        <v>18775</v>
      </c>
      <c r="D6502" s="528" t="s">
        <v>277</v>
      </c>
      <c r="E6502" s="528"/>
      <c r="F6502" s="528"/>
      <c r="G6502" s="528" t="s">
        <v>212</v>
      </c>
      <c r="H6502"/>
    </row>
    <row r="6503" spans="1:8" x14ac:dyDescent="0.35">
      <c r="A6503" s="528" t="s">
        <v>18776</v>
      </c>
      <c r="B6503" s="528" t="s">
        <v>18777</v>
      </c>
      <c r="C6503" s="528" t="s">
        <v>18778</v>
      </c>
      <c r="D6503" s="528" t="s">
        <v>264</v>
      </c>
      <c r="E6503" s="528"/>
      <c r="F6503" s="528"/>
      <c r="G6503" s="528" t="s">
        <v>205</v>
      </c>
      <c r="H6503"/>
    </row>
    <row r="6504" spans="1:8" x14ac:dyDescent="0.35">
      <c r="A6504" s="528" t="s">
        <v>18779</v>
      </c>
      <c r="B6504" s="528" t="s">
        <v>18780</v>
      </c>
      <c r="C6504" s="528" t="s">
        <v>18781</v>
      </c>
      <c r="D6504" s="528" t="s">
        <v>277</v>
      </c>
      <c r="E6504" s="528"/>
      <c r="F6504" s="528"/>
      <c r="G6504" s="528" t="s">
        <v>208</v>
      </c>
      <c r="H6504"/>
    </row>
    <row r="6505" spans="1:8" x14ac:dyDescent="0.35">
      <c r="A6505" s="528" t="s">
        <v>18782</v>
      </c>
      <c r="B6505" s="528" t="s">
        <v>18783</v>
      </c>
      <c r="C6505" s="528" t="s">
        <v>18784</v>
      </c>
      <c r="D6505" s="528" t="s">
        <v>277</v>
      </c>
      <c r="E6505" s="528"/>
      <c r="F6505" s="528"/>
      <c r="G6505" s="528" t="s">
        <v>208</v>
      </c>
      <c r="H6505"/>
    </row>
    <row r="6506" spans="1:8" x14ac:dyDescent="0.35">
      <c r="A6506" s="528" t="s">
        <v>18785</v>
      </c>
      <c r="B6506" s="528" t="s">
        <v>18786</v>
      </c>
      <c r="C6506" s="528" t="s">
        <v>18787</v>
      </c>
      <c r="D6506" s="528" t="s">
        <v>277</v>
      </c>
      <c r="E6506" s="528"/>
      <c r="F6506" s="528"/>
      <c r="G6506" s="528" t="s">
        <v>212</v>
      </c>
      <c r="H6506"/>
    </row>
    <row r="6507" spans="1:8" x14ac:dyDescent="0.35">
      <c r="A6507" s="528" t="s">
        <v>18788</v>
      </c>
      <c r="B6507" s="528" t="s">
        <v>18789</v>
      </c>
      <c r="C6507" s="528" t="s">
        <v>18790</v>
      </c>
      <c r="D6507" s="528" t="s">
        <v>277</v>
      </c>
      <c r="E6507" s="528" t="s">
        <v>264</v>
      </c>
      <c r="F6507" s="528"/>
      <c r="G6507" s="528" t="s">
        <v>208</v>
      </c>
      <c r="H6507"/>
    </row>
    <row r="6508" spans="1:8" x14ac:dyDescent="0.35">
      <c r="A6508" s="528" t="s">
        <v>18791</v>
      </c>
      <c r="B6508" s="528" t="s">
        <v>18792</v>
      </c>
      <c r="C6508" s="528" t="s">
        <v>18793</v>
      </c>
      <c r="D6508" s="528" t="s">
        <v>277</v>
      </c>
      <c r="E6508" s="528"/>
      <c r="F6508" s="528"/>
      <c r="G6508" s="528" t="s">
        <v>205</v>
      </c>
      <c r="H6508"/>
    </row>
    <row r="6509" spans="1:8" x14ac:dyDescent="0.35">
      <c r="A6509" s="528" t="s">
        <v>18794</v>
      </c>
      <c r="B6509" s="528" t="s">
        <v>18795</v>
      </c>
      <c r="C6509" s="528" t="s">
        <v>18796</v>
      </c>
      <c r="D6509" s="528" t="s">
        <v>277</v>
      </c>
      <c r="E6509" s="528"/>
      <c r="F6509" s="528"/>
      <c r="G6509" s="528" t="s">
        <v>205</v>
      </c>
      <c r="H6509"/>
    </row>
    <row r="6510" spans="1:8" x14ac:dyDescent="0.35">
      <c r="A6510" s="528" t="s">
        <v>18797</v>
      </c>
      <c r="B6510" s="528" t="s">
        <v>18798</v>
      </c>
      <c r="C6510" s="528" t="s">
        <v>18799</v>
      </c>
      <c r="D6510" s="528" t="s">
        <v>238</v>
      </c>
      <c r="E6510" s="528"/>
      <c r="F6510" s="528"/>
      <c r="G6510" s="528" t="s">
        <v>205</v>
      </c>
      <c r="H6510"/>
    </row>
    <row r="6511" spans="1:8" x14ac:dyDescent="0.35">
      <c r="A6511" s="528" t="s">
        <v>18800</v>
      </c>
      <c r="B6511" s="528" t="s">
        <v>18801</v>
      </c>
      <c r="C6511" s="528" t="s">
        <v>18802</v>
      </c>
      <c r="D6511" s="528" t="s">
        <v>251</v>
      </c>
      <c r="E6511" s="528"/>
      <c r="F6511" s="528"/>
      <c r="G6511" s="528" t="s">
        <v>208</v>
      </c>
      <c r="H6511"/>
    </row>
    <row r="6512" spans="1:8" x14ac:dyDescent="0.35">
      <c r="A6512" s="528" t="s">
        <v>18803</v>
      </c>
      <c r="B6512" s="528" t="s">
        <v>18804</v>
      </c>
      <c r="C6512" s="528" t="s">
        <v>18805</v>
      </c>
      <c r="D6512" s="528" t="s">
        <v>264</v>
      </c>
      <c r="E6512" s="528"/>
      <c r="F6512" s="528"/>
      <c r="G6512" s="528" t="s">
        <v>205</v>
      </c>
      <c r="H6512"/>
    </row>
    <row r="6513" spans="1:8" x14ac:dyDescent="0.35">
      <c r="A6513" s="528" t="s">
        <v>18806</v>
      </c>
      <c r="B6513" s="528" t="s">
        <v>18807</v>
      </c>
      <c r="C6513" s="528" t="s">
        <v>18808</v>
      </c>
      <c r="D6513" s="528" t="s">
        <v>277</v>
      </c>
      <c r="E6513" s="528" t="s">
        <v>264</v>
      </c>
      <c r="F6513" s="528"/>
      <c r="G6513" s="528" t="s">
        <v>205</v>
      </c>
      <c r="H6513"/>
    </row>
    <row r="6514" spans="1:8" x14ac:dyDescent="0.35">
      <c r="A6514" s="528" t="s">
        <v>18809</v>
      </c>
      <c r="B6514" s="528" t="s">
        <v>18810</v>
      </c>
      <c r="C6514" s="528" t="s">
        <v>18811</v>
      </c>
      <c r="D6514" s="528" t="s">
        <v>277</v>
      </c>
      <c r="E6514" s="528"/>
      <c r="F6514" s="528"/>
      <c r="G6514" s="528" t="s">
        <v>208</v>
      </c>
      <c r="H6514"/>
    </row>
    <row r="6515" spans="1:8" x14ac:dyDescent="0.35">
      <c r="A6515" s="528" t="s">
        <v>18812</v>
      </c>
      <c r="B6515" s="528" t="s">
        <v>18813</v>
      </c>
      <c r="C6515" s="528" t="s">
        <v>18814</v>
      </c>
      <c r="D6515" s="528" t="s">
        <v>238</v>
      </c>
      <c r="E6515" s="528"/>
      <c r="F6515" s="528"/>
      <c r="G6515" s="528" t="s">
        <v>205</v>
      </c>
      <c r="H6515"/>
    </row>
    <row r="6516" spans="1:8" x14ac:dyDescent="0.35">
      <c r="A6516" s="528" t="s">
        <v>18815</v>
      </c>
      <c r="B6516" s="528" t="s">
        <v>18816</v>
      </c>
      <c r="C6516" s="528" t="s">
        <v>18817</v>
      </c>
      <c r="D6516" s="528" t="s">
        <v>277</v>
      </c>
      <c r="E6516" s="528"/>
      <c r="F6516" s="528"/>
      <c r="G6516" s="528" t="s">
        <v>212</v>
      </c>
      <c r="H6516"/>
    </row>
    <row r="6517" spans="1:8" x14ac:dyDescent="0.35">
      <c r="A6517" s="528" t="s">
        <v>18818</v>
      </c>
      <c r="B6517" s="528" t="s">
        <v>18819</v>
      </c>
      <c r="C6517" s="528" t="s">
        <v>18820</v>
      </c>
      <c r="D6517" s="528" t="s">
        <v>277</v>
      </c>
      <c r="E6517" s="528"/>
      <c r="F6517" s="528"/>
      <c r="G6517" s="528" t="s">
        <v>212</v>
      </c>
      <c r="H6517"/>
    </row>
    <row r="6518" spans="1:8" x14ac:dyDescent="0.35">
      <c r="A6518" s="528" t="s">
        <v>18821</v>
      </c>
      <c r="B6518" s="528" t="s">
        <v>18822</v>
      </c>
      <c r="C6518" s="528" t="s">
        <v>18823</v>
      </c>
      <c r="D6518" s="528" t="s">
        <v>264</v>
      </c>
      <c r="E6518" s="528"/>
      <c r="F6518" s="528"/>
      <c r="G6518" s="528" t="s">
        <v>208</v>
      </c>
      <c r="H6518"/>
    </row>
    <row r="6519" spans="1:8" x14ac:dyDescent="0.35">
      <c r="A6519" s="528" t="s">
        <v>18824</v>
      </c>
      <c r="B6519" s="528" t="s">
        <v>18825</v>
      </c>
      <c r="C6519" s="528" t="s">
        <v>18826</v>
      </c>
      <c r="D6519" s="528" t="s">
        <v>251</v>
      </c>
      <c r="E6519" s="528"/>
      <c r="F6519" s="528"/>
      <c r="G6519" s="528" t="s">
        <v>208</v>
      </c>
      <c r="H6519"/>
    </row>
    <row r="6520" spans="1:8" x14ac:dyDescent="0.35">
      <c r="A6520" s="528" t="s">
        <v>18827</v>
      </c>
      <c r="B6520" s="528" t="s">
        <v>18828</v>
      </c>
      <c r="C6520" s="528" t="s">
        <v>18829</v>
      </c>
      <c r="D6520" s="528" t="s">
        <v>251</v>
      </c>
      <c r="E6520" s="528"/>
      <c r="F6520" s="528"/>
      <c r="G6520" s="528" t="s">
        <v>208</v>
      </c>
      <c r="H6520"/>
    </row>
    <row r="6521" spans="1:8" x14ac:dyDescent="0.35">
      <c r="A6521" s="528" t="s">
        <v>18830</v>
      </c>
      <c r="B6521" s="528" t="s">
        <v>18831</v>
      </c>
      <c r="C6521" s="528" t="s">
        <v>18832</v>
      </c>
      <c r="D6521" s="528" t="s">
        <v>251</v>
      </c>
      <c r="E6521" s="528"/>
      <c r="F6521" s="528"/>
      <c r="G6521" s="528" t="s">
        <v>208</v>
      </c>
      <c r="H6521"/>
    </row>
    <row r="6522" spans="1:8" x14ac:dyDescent="0.35">
      <c r="A6522" s="528" t="s">
        <v>18833</v>
      </c>
      <c r="B6522" s="528" t="s">
        <v>18834</v>
      </c>
      <c r="C6522" s="528" t="s">
        <v>18835</v>
      </c>
      <c r="D6522" s="528" t="s">
        <v>251</v>
      </c>
      <c r="E6522" s="528"/>
      <c r="F6522" s="528"/>
      <c r="G6522" s="528" t="s">
        <v>208</v>
      </c>
      <c r="H6522"/>
    </row>
    <row r="6523" spans="1:8" x14ac:dyDescent="0.35">
      <c r="A6523" s="528" t="s">
        <v>18836</v>
      </c>
      <c r="B6523" s="528" t="s">
        <v>18837</v>
      </c>
      <c r="C6523" s="528" t="s">
        <v>18838</v>
      </c>
      <c r="D6523" s="528" t="s">
        <v>277</v>
      </c>
      <c r="E6523" s="528" t="s">
        <v>264</v>
      </c>
      <c r="F6523" s="528"/>
      <c r="G6523" s="528" t="s">
        <v>208</v>
      </c>
      <c r="H6523"/>
    </row>
    <row r="6524" spans="1:8" x14ac:dyDescent="0.35">
      <c r="A6524" s="528" t="s">
        <v>18839</v>
      </c>
      <c r="B6524" s="528" t="s">
        <v>18840</v>
      </c>
      <c r="C6524" s="528" t="s">
        <v>18841</v>
      </c>
      <c r="D6524" s="528" t="s">
        <v>251</v>
      </c>
      <c r="E6524" s="528"/>
      <c r="F6524" s="528"/>
      <c r="G6524" s="528" t="s">
        <v>205</v>
      </c>
      <c r="H6524"/>
    </row>
    <row r="6525" spans="1:8" x14ac:dyDescent="0.35">
      <c r="A6525" s="528" t="s">
        <v>18842</v>
      </c>
      <c r="B6525" s="528" t="s">
        <v>18843</v>
      </c>
      <c r="C6525" s="528" t="s">
        <v>18844</v>
      </c>
      <c r="D6525" s="528" t="s">
        <v>264</v>
      </c>
      <c r="E6525" s="528"/>
      <c r="F6525" s="528"/>
      <c r="G6525" s="528" t="s">
        <v>205</v>
      </c>
      <c r="H6525"/>
    </row>
    <row r="6526" spans="1:8" x14ac:dyDescent="0.35">
      <c r="A6526" s="528" t="s">
        <v>18845</v>
      </c>
      <c r="B6526" s="528" t="s">
        <v>18846</v>
      </c>
      <c r="C6526" s="528" t="s">
        <v>18847</v>
      </c>
      <c r="D6526" s="528" t="s">
        <v>264</v>
      </c>
      <c r="E6526" s="528"/>
      <c r="F6526" s="528"/>
      <c r="G6526" s="528" t="s">
        <v>205</v>
      </c>
      <c r="H6526"/>
    </row>
    <row r="6527" spans="1:8" x14ac:dyDescent="0.35">
      <c r="A6527" s="528" t="s">
        <v>18848</v>
      </c>
      <c r="B6527" s="528" t="s">
        <v>18849</v>
      </c>
      <c r="C6527" s="528" t="s">
        <v>18850</v>
      </c>
      <c r="D6527" s="528" t="s">
        <v>251</v>
      </c>
      <c r="E6527" s="528"/>
      <c r="F6527" s="528"/>
      <c r="G6527" s="528" t="s">
        <v>205</v>
      </c>
      <c r="H6527"/>
    </row>
    <row r="6528" spans="1:8" x14ac:dyDescent="0.35">
      <c r="A6528" s="528" t="s">
        <v>18851</v>
      </c>
      <c r="B6528" s="528" t="s">
        <v>18852</v>
      </c>
      <c r="C6528" s="528" t="s">
        <v>18853</v>
      </c>
      <c r="D6528" s="528" t="s">
        <v>277</v>
      </c>
      <c r="E6528" s="528"/>
      <c r="F6528" s="528"/>
      <c r="G6528" s="528" t="s">
        <v>205</v>
      </c>
      <c r="H6528"/>
    </row>
    <row r="6529" spans="1:8" x14ac:dyDescent="0.35">
      <c r="A6529" s="528" t="s">
        <v>18854</v>
      </c>
      <c r="B6529" s="528" t="s">
        <v>18855</v>
      </c>
      <c r="C6529" s="528" t="s">
        <v>18856</v>
      </c>
      <c r="D6529" s="528" t="s">
        <v>238</v>
      </c>
      <c r="E6529" s="528"/>
      <c r="F6529" s="528"/>
      <c r="G6529" s="528" t="s">
        <v>205</v>
      </c>
      <c r="H6529"/>
    </row>
    <row r="6530" spans="1:8" x14ac:dyDescent="0.35">
      <c r="A6530" s="528" t="s">
        <v>18857</v>
      </c>
      <c r="B6530" s="528" t="s">
        <v>18858</v>
      </c>
      <c r="C6530" s="528" t="s">
        <v>18859</v>
      </c>
      <c r="D6530" s="528" t="s">
        <v>251</v>
      </c>
      <c r="E6530" s="528"/>
      <c r="F6530" s="528"/>
      <c r="G6530" s="528" t="s">
        <v>208</v>
      </c>
      <c r="H6530"/>
    </row>
    <row r="6531" spans="1:8" x14ac:dyDescent="0.35">
      <c r="A6531" s="528" t="s">
        <v>18860</v>
      </c>
      <c r="B6531" s="528" t="s">
        <v>18861</v>
      </c>
      <c r="C6531" s="528" t="s">
        <v>18862</v>
      </c>
      <c r="D6531" s="528" t="s">
        <v>277</v>
      </c>
      <c r="E6531" s="528" t="s">
        <v>264</v>
      </c>
      <c r="F6531" s="528"/>
      <c r="G6531" s="528" t="s">
        <v>208</v>
      </c>
      <c r="H6531"/>
    </row>
    <row r="6532" spans="1:8" x14ac:dyDescent="0.35">
      <c r="A6532" s="528" t="s">
        <v>18863</v>
      </c>
      <c r="B6532" s="528" t="s">
        <v>18864</v>
      </c>
      <c r="C6532" s="528" t="s">
        <v>18865</v>
      </c>
      <c r="D6532" s="528" t="s">
        <v>264</v>
      </c>
      <c r="E6532" s="528"/>
      <c r="F6532" s="528"/>
      <c r="G6532" s="528" t="s">
        <v>208</v>
      </c>
      <c r="H6532"/>
    </row>
    <row r="6533" spans="1:8" x14ac:dyDescent="0.35">
      <c r="A6533" s="528" t="s">
        <v>18866</v>
      </c>
      <c r="B6533" s="528" t="s">
        <v>18867</v>
      </c>
      <c r="C6533" s="528" t="s">
        <v>18868</v>
      </c>
      <c r="D6533" s="528" t="s">
        <v>277</v>
      </c>
      <c r="E6533" s="528"/>
      <c r="F6533" s="528"/>
      <c r="G6533" s="528" t="s">
        <v>208</v>
      </c>
      <c r="H6533"/>
    </row>
    <row r="6534" spans="1:8" x14ac:dyDescent="0.35">
      <c r="A6534" s="528" t="s">
        <v>18869</v>
      </c>
      <c r="B6534" s="528" t="s">
        <v>18870</v>
      </c>
      <c r="C6534" s="528" t="s">
        <v>18871</v>
      </c>
      <c r="D6534" s="528" t="s">
        <v>264</v>
      </c>
      <c r="E6534" s="528"/>
      <c r="F6534" s="528"/>
      <c r="G6534" s="528" t="s">
        <v>208</v>
      </c>
      <c r="H6534"/>
    </row>
    <row r="6535" spans="1:8" x14ac:dyDescent="0.35">
      <c r="A6535" s="528" t="s">
        <v>18872</v>
      </c>
      <c r="B6535" s="528" t="s">
        <v>18873</v>
      </c>
      <c r="C6535" s="528" t="s">
        <v>18874</v>
      </c>
      <c r="D6535" s="528" t="s">
        <v>264</v>
      </c>
      <c r="E6535" s="528"/>
      <c r="F6535" s="528"/>
      <c r="G6535" s="528" t="s">
        <v>208</v>
      </c>
      <c r="H6535"/>
    </row>
    <row r="6536" spans="1:8" x14ac:dyDescent="0.35">
      <c r="A6536" s="528" t="s">
        <v>18875</v>
      </c>
      <c r="B6536" s="528" t="s">
        <v>18876</v>
      </c>
      <c r="C6536" s="528" t="s">
        <v>18877</v>
      </c>
      <c r="D6536" s="528" t="s">
        <v>264</v>
      </c>
      <c r="E6536" s="528"/>
      <c r="F6536" s="528"/>
      <c r="G6536" s="528" t="s">
        <v>208</v>
      </c>
      <c r="H6536"/>
    </row>
    <row r="6537" spans="1:8" x14ac:dyDescent="0.35">
      <c r="A6537" s="528" t="s">
        <v>18878</v>
      </c>
      <c r="B6537" s="528" t="s">
        <v>18879</v>
      </c>
      <c r="C6537" s="528" t="s">
        <v>18880</v>
      </c>
      <c r="D6537" s="528" t="s">
        <v>264</v>
      </c>
      <c r="E6537" s="528" t="s">
        <v>225</v>
      </c>
      <c r="F6537" s="528"/>
      <c r="G6537" s="528" t="s">
        <v>208</v>
      </c>
      <c r="H6537"/>
    </row>
    <row r="6538" spans="1:8" x14ac:dyDescent="0.35">
      <c r="A6538" s="528" t="s">
        <v>18881</v>
      </c>
      <c r="B6538" s="528" t="s">
        <v>18882</v>
      </c>
      <c r="C6538" s="528" t="s">
        <v>18883</v>
      </c>
      <c r="D6538" s="528" t="s">
        <v>264</v>
      </c>
      <c r="E6538" s="528"/>
      <c r="F6538" s="528"/>
      <c r="G6538" s="528" t="s">
        <v>208</v>
      </c>
      <c r="H6538"/>
    </row>
    <row r="6539" spans="1:8" x14ac:dyDescent="0.35">
      <c r="A6539" s="528" t="s">
        <v>18884</v>
      </c>
      <c r="B6539" s="528" t="s">
        <v>18885</v>
      </c>
      <c r="C6539" s="528" t="s">
        <v>18886</v>
      </c>
      <c r="D6539" s="528" t="s">
        <v>264</v>
      </c>
      <c r="E6539" s="528"/>
      <c r="F6539" s="528"/>
      <c r="G6539" s="528" t="s">
        <v>208</v>
      </c>
      <c r="H6539"/>
    </row>
    <row r="6540" spans="1:8" x14ac:dyDescent="0.35">
      <c r="A6540" s="528" t="s">
        <v>18887</v>
      </c>
      <c r="B6540" s="528" t="s">
        <v>18888</v>
      </c>
      <c r="C6540" s="528" t="s">
        <v>18889</v>
      </c>
      <c r="D6540" s="528" t="s">
        <v>277</v>
      </c>
      <c r="E6540" s="528" t="s">
        <v>264</v>
      </c>
      <c r="F6540" s="528"/>
      <c r="G6540" s="528" t="s">
        <v>205</v>
      </c>
      <c r="H6540"/>
    </row>
    <row r="6541" spans="1:8" x14ac:dyDescent="0.35">
      <c r="A6541" s="528" t="s">
        <v>18890</v>
      </c>
      <c r="B6541" s="528" t="s">
        <v>18891</v>
      </c>
      <c r="C6541" s="528" t="s">
        <v>18892</v>
      </c>
      <c r="D6541" s="528" t="s">
        <v>264</v>
      </c>
      <c r="E6541" s="528"/>
      <c r="F6541" s="528"/>
      <c r="G6541" s="528" t="s">
        <v>205</v>
      </c>
      <c r="H6541"/>
    </row>
    <row r="6542" spans="1:8" x14ac:dyDescent="0.35">
      <c r="A6542" s="528" t="s">
        <v>18893</v>
      </c>
      <c r="B6542" s="528" t="s">
        <v>18894</v>
      </c>
      <c r="C6542" s="528" t="s">
        <v>18895</v>
      </c>
      <c r="D6542" s="528" t="s">
        <v>264</v>
      </c>
      <c r="E6542" s="528"/>
      <c r="F6542" s="528"/>
      <c r="G6542" s="528" t="s">
        <v>205</v>
      </c>
      <c r="H6542"/>
    </row>
    <row r="6543" spans="1:8" x14ac:dyDescent="0.35">
      <c r="A6543" s="528" t="s">
        <v>18896</v>
      </c>
      <c r="B6543" s="528" t="s">
        <v>18897</v>
      </c>
      <c r="C6543" s="528" t="s">
        <v>15468</v>
      </c>
      <c r="D6543" s="528" t="s">
        <v>277</v>
      </c>
      <c r="E6543" s="528" t="s">
        <v>264</v>
      </c>
      <c r="F6543" s="528"/>
      <c r="G6543" s="528" t="s">
        <v>212</v>
      </c>
      <c r="H6543"/>
    </row>
    <row r="6544" spans="1:8" x14ac:dyDescent="0.35">
      <c r="A6544" s="528" t="s">
        <v>18898</v>
      </c>
      <c r="B6544" s="528" t="s">
        <v>18899</v>
      </c>
      <c r="C6544" s="528" t="s">
        <v>18900</v>
      </c>
      <c r="D6544" s="528" t="s">
        <v>264</v>
      </c>
      <c r="E6544" s="528"/>
      <c r="F6544" s="528"/>
      <c r="G6544" s="528" t="s">
        <v>212</v>
      </c>
      <c r="H6544"/>
    </row>
    <row r="6545" spans="1:8" x14ac:dyDescent="0.35">
      <c r="A6545" s="528" t="s">
        <v>18901</v>
      </c>
      <c r="B6545" s="528" t="s">
        <v>18902</v>
      </c>
      <c r="C6545" s="528" t="s">
        <v>18903</v>
      </c>
      <c r="D6545" s="528" t="s">
        <v>264</v>
      </c>
      <c r="E6545" s="528"/>
      <c r="F6545" s="528"/>
      <c r="G6545" s="528" t="s">
        <v>212</v>
      </c>
      <c r="H6545"/>
    </row>
    <row r="6546" spans="1:8" x14ac:dyDescent="0.35">
      <c r="A6546" s="528" t="s">
        <v>18904</v>
      </c>
      <c r="B6546" s="528" t="s">
        <v>18905</v>
      </c>
      <c r="C6546" s="528" t="s">
        <v>18906</v>
      </c>
      <c r="D6546" s="528" t="s">
        <v>264</v>
      </c>
      <c r="E6546" s="528"/>
      <c r="F6546" s="528"/>
      <c r="G6546" s="528" t="s">
        <v>212</v>
      </c>
      <c r="H6546"/>
    </row>
    <row r="6547" spans="1:8" x14ac:dyDescent="0.35">
      <c r="A6547" s="528" t="s">
        <v>18907</v>
      </c>
      <c r="B6547" s="528" t="s">
        <v>18908</v>
      </c>
      <c r="C6547" s="528" t="s">
        <v>18909</v>
      </c>
      <c r="D6547" s="528" t="s">
        <v>264</v>
      </c>
      <c r="E6547" s="528"/>
      <c r="F6547" s="528"/>
      <c r="G6547" s="528" t="s">
        <v>212</v>
      </c>
      <c r="H6547"/>
    </row>
    <row r="6548" spans="1:8" x14ac:dyDescent="0.35">
      <c r="A6548" s="528" t="s">
        <v>18910</v>
      </c>
      <c r="B6548" s="528" t="s">
        <v>18911</v>
      </c>
      <c r="C6548" s="528" t="s">
        <v>18912</v>
      </c>
      <c r="D6548" s="528" t="s">
        <v>264</v>
      </c>
      <c r="E6548" s="528"/>
      <c r="F6548" s="528"/>
      <c r="G6548" s="528" t="s">
        <v>214</v>
      </c>
      <c r="H6548"/>
    </row>
    <row r="6549" spans="1:8" x14ac:dyDescent="0.35">
      <c r="A6549" s="528" t="s">
        <v>18913</v>
      </c>
      <c r="B6549" s="528" t="s">
        <v>18914</v>
      </c>
      <c r="C6549" s="528" t="s">
        <v>18915</v>
      </c>
      <c r="D6549" s="528" t="s">
        <v>264</v>
      </c>
      <c r="E6549" s="528"/>
      <c r="F6549" s="528"/>
      <c r="G6549" s="528" t="s">
        <v>214</v>
      </c>
      <c r="H6549"/>
    </row>
    <row r="6550" spans="1:8" x14ac:dyDescent="0.35">
      <c r="A6550" s="528" t="s">
        <v>18916</v>
      </c>
      <c r="B6550" s="528" t="s">
        <v>18917</v>
      </c>
      <c r="C6550" s="528" t="s">
        <v>18918</v>
      </c>
      <c r="D6550" s="528" t="s">
        <v>264</v>
      </c>
      <c r="E6550" s="528"/>
      <c r="F6550" s="528"/>
      <c r="G6550" s="528" t="s">
        <v>214</v>
      </c>
      <c r="H6550"/>
    </row>
    <row r="6551" spans="1:8" x14ac:dyDescent="0.35">
      <c r="A6551" s="528" t="s">
        <v>18919</v>
      </c>
      <c r="B6551" s="528" t="s">
        <v>18920</v>
      </c>
      <c r="C6551" s="528" t="s">
        <v>18921</v>
      </c>
      <c r="D6551" s="528" t="s">
        <v>264</v>
      </c>
      <c r="E6551" s="528"/>
      <c r="F6551" s="528"/>
      <c r="G6551" s="528" t="s">
        <v>214</v>
      </c>
      <c r="H6551"/>
    </row>
    <row r="6552" spans="1:8" x14ac:dyDescent="0.35">
      <c r="A6552" s="528" t="s">
        <v>18922</v>
      </c>
      <c r="B6552" s="528" t="s">
        <v>18923</v>
      </c>
      <c r="C6552" s="528" t="s">
        <v>18924</v>
      </c>
      <c r="D6552" s="528" t="s">
        <v>264</v>
      </c>
      <c r="E6552" s="528"/>
      <c r="F6552" s="528"/>
      <c r="G6552" s="528" t="s">
        <v>214</v>
      </c>
      <c r="H6552"/>
    </row>
    <row r="6553" spans="1:8" x14ac:dyDescent="0.35">
      <c r="A6553" s="528" t="s">
        <v>18925</v>
      </c>
      <c r="B6553" s="528" t="s">
        <v>18926</v>
      </c>
      <c r="C6553" s="528" t="s">
        <v>18927</v>
      </c>
      <c r="D6553" s="528" t="s">
        <v>225</v>
      </c>
      <c r="E6553" s="528"/>
      <c r="F6553" s="528"/>
      <c r="G6553" s="528" t="s">
        <v>208</v>
      </c>
      <c r="H6553"/>
    </row>
    <row r="6554" spans="1:8" x14ac:dyDescent="0.35">
      <c r="A6554" s="528" t="s">
        <v>18928</v>
      </c>
      <c r="B6554" s="528" t="s">
        <v>18929</v>
      </c>
      <c r="C6554" s="528" t="s">
        <v>18930</v>
      </c>
      <c r="D6554" s="528" t="s">
        <v>225</v>
      </c>
      <c r="E6554" s="528"/>
      <c r="F6554" s="528"/>
      <c r="G6554" s="528" t="s">
        <v>208</v>
      </c>
      <c r="H6554"/>
    </row>
    <row r="6555" spans="1:8" x14ac:dyDescent="0.35">
      <c r="A6555" s="528" t="s">
        <v>18931</v>
      </c>
      <c r="B6555" s="528" t="s">
        <v>18932</v>
      </c>
      <c r="C6555" s="528" t="s">
        <v>18933</v>
      </c>
      <c r="D6555" s="528" t="s">
        <v>225</v>
      </c>
      <c r="E6555" s="528"/>
      <c r="F6555" s="528"/>
      <c r="G6555" s="528" t="s">
        <v>205</v>
      </c>
      <c r="H6555"/>
    </row>
    <row r="6556" spans="1:8" x14ac:dyDescent="0.35">
      <c r="A6556" s="528" t="s">
        <v>18934</v>
      </c>
      <c r="B6556" s="528" t="s">
        <v>18935</v>
      </c>
      <c r="C6556" s="528" t="s">
        <v>18936</v>
      </c>
      <c r="D6556" s="528" t="s">
        <v>225</v>
      </c>
      <c r="E6556" s="528"/>
      <c r="F6556" s="528"/>
      <c r="G6556" s="528" t="s">
        <v>205</v>
      </c>
      <c r="H6556"/>
    </row>
    <row r="6557" spans="1:8" x14ac:dyDescent="0.35">
      <c r="A6557" s="528" t="s">
        <v>18937</v>
      </c>
      <c r="B6557" s="528" t="s">
        <v>18938</v>
      </c>
      <c r="C6557" s="528" t="s">
        <v>18939</v>
      </c>
      <c r="D6557" s="528" t="s">
        <v>225</v>
      </c>
      <c r="E6557" s="528"/>
      <c r="F6557" s="528"/>
      <c r="G6557" s="528" t="s">
        <v>205</v>
      </c>
      <c r="H6557"/>
    </row>
    <row r="6558" spans="1:8" x14ac:dyDescent="0.35">
      <c r="A6558" s="528" t="s">
        <v>18940</v>
      </c>
      <c r="B6558" s="528" t="s">
        <v>18941</v>
      </c>
      <c r="C6558" s="528" t="s">
        <v>18942</v>
      </c>
      <c r="D6558" s="528" t="s">
        <v>225</v>
      </c>
      <c r="E6558" s="528"/>
      <c r="F6558" s="528"/>
      <c r="G6558" s="528" t="s">
        <v>205</v>
      </c>
      <c r="H6558"/>
    </row>
    <row r="6559" spans="1:8" x14ac:dyDescent="0.35">
      <c r="A6559" s="528" t="s">
        <v>18943</v>
      </c>
      <c r="B6559" s="528" t="s">
        <v>18944</v>
      </c>
      <c r="C6559" s="528" t="s">
        <v>18945</v>
      </c>
      <c r="D6559" s="528" t="s">
        <v>225</v>
      </c>
      <c r="E6559" s="528"/>
      <c r="F6559" s="528"/>
      <c r="G6559" s="528" t="s">
        <v>208</v>
      </c>
      <c r="H6559"/>
    </row>
    <row r="6560" spans="1:8" x14ac:dyDescent="0.35">
      <c r="A6560" s="528" t="s">
        <v>18946</v>
      </c>
      <c r="B6560" s="528" t="s">
        <v>18947</v>
      </c>
      <c r="C6560" s="528" t="s">
        <v>18948</v>
      </c>
      <c r="D6560" s="528" t="s">
        <v>225</v>
      </c>
      <c r="E6560" s="528"/>
      <c r="F6560" s="528"/>
      <c r="G6560" s="528" t="s">
        <v>208</v>
      </c>
      <c r="H6560"/>
    </row>
    <row r="6561" spans="1:8" x14ac:dyDescent="0.35">
      <c r="A6561" s="528" t="s">
        <v>18949</v>
      </c>
      <c r="B6561" s="528" t="s">
        <v>18950</v>
      </c>
      <c r="C6561" s="528" t="s">
        <v>18951</v>
      </c>
      <c r="D6561" s="528" t="s">
        <v>225</v>
      </c>
      <c r="E6561" s="528"/>
      <c r="F6561" s="528"/>
      <c r="G6561" s="528" t="s">
        <v>208</v>
      </c>
      <c r="H6561"/>
    </row>
    <row r="6562" spans="1:8" x14ac:dyDescent="0.35">
      <c r="A6562" s="528" t="s">
        <v>18952</v>
      </c>
      <c r="B6562" s="528" t="s">
        <v>18953</v>
      </c>
      <c r="C6562" s="528" t="s">
        <v>18954</v>
      </c>
      <c r="D6562" s="528" t="s">
        <v>225</v>
      </c>
      <c r="E6562" s="528"/>
      <c r="F6562" s="528"/>
      <c r="G6562" s="528" t="s">
        <v>208</v>
      </c>
      <c r="H6562"/>
    </row>
    <row r="6563" spans="1:8" x14ac:dyDescent="0.35">
      <c r="A6563" s="528" t="s">
        <v>18955</v>
      </c>
      <c r="B6563" s="528" t="s">
        <v>18956</v>
      </c>
      <c r="C6563" s="528" t="s">
        <v>18957</v>
      </c>
      <c r="D6563" s="528" t="s">
        <v>225</v>
      </c>
      <c r="E6563" s="528"/>
      <c r="F6563" s="528"/>
      <c r="G6563" s="528" t="s">
        <v>208</v>
      </c>
      <c r="H6563"/>
    </row>
    <row r="6564" spans="1:8" x14ac:dyDescent="0.35">
      <c r="A6564" s="528" t="s">
        <v>18958</v>
      </c>
      <c r="B6564" s="528" t="s">
        <v>18959</v>
      </c>
      <c r="C6564" s="528" t="s">
        <v>18960</v>
      </c>
      <c r="D6564" s="528" t="s">
        <v>225</v>
      </c>
      <c r="E6564" s="528"/>
      <c r="F6564" s="528"/>
      <c r="G6564" s="528" t="s">
        <v>208</v>
      </c>
      <c r="H6564"/>
    </row>
    <row r="6565" spans="1:8" x14ac:dyDescent="0.35">
      <c r="A6565" s="528" t="s">
        <v>18961</v>
      </c>
      <c r="B6565" s="528" t="s">
        <v>18962</v>
      </c>
      <c r="C6565" s="528" t="s">
        <v>18963</v>
      </c>
      <c r="D6565" s="528" t="s">
        <v>225</v>
      </c>
      <c r="E6565" s="528"/>
      <c r="F6565" s="528"/>
      <c r="G6565" s="528" t="s">
        <v>208</v>
      </c>
      <c r="H6565"/>
    </row>
    <row r="6566" spans="1:8" x14ac:dyDescent="0.35">
      <c r="A6566" s="528" t="s">
        <v>18964</v>
      </c>
      <c r="B6566" s="528" t="s">
        <v>18965</v>
      </c>
      <c r="C6566" s="528" t="s">
        <v>18966</v>
      </c>
      <c r="D6566" s="528" t="s">
        <v>225</v>
      </c>
      <c r="E6566" s="528"/>
      <c r="F6566" s="528"/>
      <c r="G6566" s="528" t="s">
        <v>208</v>
      </c>
      <c r="H6566"/>
    </row>
    <row r="6567" spans="1:8" x14ac:dyDescent="0.35">
      <c r="A6567" s="528" t="s">
        <v>18967</v>
      </c>
      <c r="B6567" s="528" t="s">
        <v>18968</v>
      </c>
      <c r="C6567" s="528" t="s">
        <v>18969</v>
      </c>
      <c r="D6567" s="528" t="s">
        <v>225</v>
      </c>
      <c r="E6567" s="528"/>
      <c r="F6567" s="528"/>
      <c r="G6567" s="528" t="s">
        <v>208</v>
      </c>
      <c r="H6567"/>
    </row>
    <row r="6568" spans="1:8" x14ac:dyDescent="0.35">
      <c r="A6568" s="528" t="s">
        <v>18970</v>
      </c>
      <c r="B6568" s="528" t="s">
        <v>18971</v>
      </c>
      <c r="C6568" s="528" t="s">
        <v>18972</v>
      </c>
      <c r="D6568" s="528" t="s">
        <v>225</v>
      </c>
      <c r="E6568" s="528"/>
      <c r="F6568" s="528"/>
      <c r="G6568" s="528" t="s">
        <v>205</v>
      </c>
      <c r="H6568"/>
    </row>
    <row r="6569" spans="1:8" x14ac:dyDescent="0.35">
      <c r="A6569" s="528" t="s">
        <v>18973</v>
      </c>
      <c r="B6569" s="528" t="s">
        <v>18974</v>
      </c>
      <c r="C6569" s="528" t="s">
        <v>18975</v>
      </c>
      <c r="D6569" s="528" t="s">
        <v>225</v>
      </c>
      <c r="E6569" s="528"/>
      <c r="F6569" s="528"/>
      <c r="G6569" s="528" t="s">
        <v>205</v>
      </c>
      <c r="H6569"/>
    </row>
    <row r="6570" spans="1:8" x14ac:dyDescent="0.35">
      <c r="A6570" s="528" t="s">
        <v>18976</v>
      </c>
      <c r="B6570" s="528" t="s">
        <v>18977</v>
      </c>
      <c r="C6570" s="528" t="s">
        <v>18978</v>
      </c>
      <c r="D6570" s="528" t="s">
        <v>225</v>
      </c>
      <c r="E6570" s="528"/>
      <c r="F6570" s="528"/>
      <c r="G6570" s="528" t="s">
        <v>212</v>
      </c>
      <c r="H6570"/>
    </row>
    <row r="6571" spans="1:8" x14ac:dyDescent="0.35">
      <c r="A6571" s="528" t="s">
        <v>18979</v>
      </c>
      <c r="B6571" s="528" t="s">
        <v>18980</v>
      </c>
      <c r="C6571" s="528" t="s">
        <v>18981</v>
      </c>
      <c r="D6571" s="528" t="s">
        <v>225</v>
      </c>
      <c r="E6571" s="528"/>
      <c r="F6571" s="528"/>
      <c r="G6571" s="528" t="s">
        <v>212</v>
      </c>
      <c r="H6571"/>
    </row>
    <row r="6572" spans="1:8" x14ac:dyDescent="0.35">
      <c r="A6572" s="528" t="s">
        <v>18982</v>
      </c>
      <c r="B6572" s="528" t="s">
        <v>18983</v>
      </c>
      <c r="C6572" s="528" t="s">
        <v>18984</v>
      </c>
      <c r="D6572" s="528" t="s">
        <v>264</v>
      </c>
      <c r="E6572" s="528"/>
      <c r="F6572" s="528"/>
      <c r="G6572" s="528" t="s">
        <v>212</v>
      </c>
      <c r="H6572"/>
    </row>
    <row r="6573" spans="1:8" x14ac:dyDescent="0.35">
      <c r="A6573" s="528" t="s">
        <v>18985</v>
      </c>
      <c r="B6573" s="528" t="s">
        <v>18986</v>
      </c>
      <c r="C6573" s="528" t="s">
        <v>17927</v>
      </c>
      <c r="D6573" s="528" t="s">
        <v>225</v>
      </c>
      <c r="E6573" s="528"/>
      <c r="F6573" s="528"/>
      <c r="G6573" s="528" t="s">
        <v>212</v>
      </c>
      <c r="H6573"/>
    </row>
    <row r="6574" spans="1:8" x14ac:dyDescent="0.35">
      <c r="A6574" s="528" t="s">
        <v>18987</v>
      </c>
      <c r="B6574" s="528" t="s">
        <v>18988</v>
      </c>
      <c r="C6574" s="528" t="s">
        <v>18989</v>
      </c>
      <c r="D6574" s="528" t="s">
        <v>225</v>
      </c>
      <c r="E6574" s="528"/>
      <c r="F6574" s="528"/>
      <c r="G6574" s="528" t="s">
        <v>214</v>
      </c>
      <c r="H6574"/>
    </row>
    <row r="6575" spans="1:8" x14ac:dyDescent="0.35">
      <c r="A6575" s="528" t="s">
        <v>18990</v>
      </c>
      <c r="B6575" s="528" t="s">
        <v>18991</v>
      </c>
      <c r="C6575" s="528" t="s">
        <v>18992</v>
      </c>
      <c r="D6575" s="528" t="s">
        <v>225</v>
      </c>
      <c r="E6575" s="528"/>
      <c r="F6575" s="528"/>
      <c r="G6575" s="528" t="s">
        <v>214</v>
      </c>
      <c r="H6575"/>
    </row>
    <row r="6576" spans="1:8" x14ac:dyDescent="0.35">
      <c r="A6576" s="528" t="s">
        <v>18993</v>
      </c>
      <c r="B6576" s="528" t="s">
        <v>18994</v>
      </c>
      <c r="C6576" s="528" t="s">
        <v>18995</v>
      </c>
      <c r="D6576" s="528" t="s">
        <v>225</v>
      </c>
      <c r="E6576" s="528"/>
      <c r="F6576" s="528"/>
      <c r="G6576" s="528" t="s">
        <v>214</v>
      </c>
      <c r="H6576"/>
    </row>
    <row r="6577" spans="1:8" x14ac:dyDescent="0.35">
      <c r="A6577" s="528" t="s">
        <v>18996</v>
      </c>
      <c r="B6577" s="528" t="s">
        <v>18997</v>
      </c>
      <c r="C6577" s="528" t="s">
        <v>18998</v>
      </c>
      <c r="D6577" s="528" t="s">
        <v>225</v>
      </c>
      <c r="E6577" s="528"/>
      <c r="F6577" s="528"/>
      <c r="G6577" s="528" t="s">
        <v>214</v>
      </c>
      <c r="H6577"/>
    </row>
    <row r="6578" spans="1:8" x14ac:dyDescent="0.35">
      <c r="A6578" s="528" t="s">
        <v>18999</v>
      </c>
      <c r="B6578" s="528" t="s">
        <v>19000</v>
      </c>
      <c r="C6578" s="528" t="s">
        <v>19001</v>
      </c>
      <c r="D6578" s="528" t="s">
        <v>264</v>
      </c>
      <c r="E6578" s="528"/>
      <c r="F6578" s="528"/>
      <c r="G6578" s="528" t="s">
        <v>214</v>
      </c>
      <c r="H6578"/>
    </row>
    <row r="6579" spans="1:8" x14ac:dyDescent="0.35">
      <c r="A6579" s="528" t="s">
        <v>19002</v>
      </c>
      <c r="B6579" s="528" t="s">
        <v>19003</v>
      </c>
      <c r="C6579" s="528" t="s">
        <v>19004</v>
      </c>
      <c r="D6579" s="528" t="s">
        <v>225</v>
      </c>
      <c r="E6579" s="528"/>
      <c r="F6579" s="528"/>
      <c r="G6579" s="528" t="s">
        <v>214</v>
      </c>
      <c r="H6579"/>
    </row>
    <row r="6580" spans="1:8" x14ac:dyDescent="0.35">
      <c r="A6580" s="528" t="s">
        <v>19005</v>
      </c>
      <c r="B6580" s="528" t="s">
        <v>19006</v>
      </c>
      <c r="C6580" s="528" t="s">
        <v>19007</v>
      </c>
      <c r="D6580" s="528" t="s">
        <v>264</v>
      </c>
      <c r="E6580" s="528"/>
      <c r="F6580" s="528"/>
      <c r="G6580" s="528" t="s">
        <v>214</v>
      </c>
      <c r="H6580"/>
    </row>
    <row r="6581" spans="1:8" x14ac:dyDescent="0.35">
      <c r="A6581" s="528" t="s">
        <v>19008</v>
      </c>
      <c r="B6581" s="528" t="s">
        <v>19009</v>
      </c>
      <c r="C6581" s="528" t="s">
        <v>19010</v>
      </c>
      <c r="D6581" s="528" t="s">
        <v>225</v>
      </c>
      <c r="E6581" s="528"/>
      <c r="F6581" s="528"/>
      <c r="G6581" s="528" t="s">
        <v>208</v>
      </c>
      <c r="H6581"/>
    </row>
    <row r="6582" spans="1:8" x14ac:dyDescent="0.35">
      <c r="A6582" s="528" t="s">
        <v>19011</v>
      </c>
      <c r="B6582" s="528" t="s">
        <v>19012</v>
      </c>
      <c r="C6582" s="528" t="s">
        <v>17426</v>
      </c>
      <c r="D6582" s="528" t="s">
        <v>225</v>
      </c>
      <c r="E6582" s="528"/>
      <c r="F6582" s="528"/>
      <c r="G6582" s="528" t="s">
        <v>208</v>
      </c>
      <c r="H6582"/>
    </row>
    <row r="6583" spans="1:8" x14ac:dyDescent="0.35">
      <c r="A6583" s="528" t="s">
        <v>19013</v>
      </c>
      <c r="B6583" s="528" t="s">
        <v>19014</v>
      </c>
      <c r="C6583" s="528" t="s">
        <v>19015</v>
      </c>
      <c r="D6583" s="528" t="s">
        <v>264</v>
      </c>
      <c r="E6583" s="528"/>
      <c r="F6583" s="528"/>
      <c r="G6583" s="528" t="s">
        <v>208</v>
      </c>
      <c r="H6583"/>
    </row>
    <row r="6584" spans="1:8" x14ac:dyDescent="0.35">
      <c r="A6584" s="528" t="s">
        <v>19016</v>
      </c>
      <c r="B6584" s="528" t="s">
        <v>19017</v>
      </c>
      <c r="C6584" s="528" t="s">
        <v>19018</v>
      </c>
      <c r="D6584" s="528" t="s">
        <v>264</v>
      </c>
      <c r="E6584" s="528"/>
      <c r="F6584" s="528"/>
      <c r="G6584" s="528" t="s">
        <v>208</v>
      </c>
      <c r="H6584"/>
    </row>
    <row r="6585" spans="1:8" x14ac:dyDescent="0.35">
      <c r="A6585" s="528" t="s">
        <v>19019</v>
      </c>
      <c r="B6585" s="528" t="s">
        <v>19020</v>
      </c>
      <c r="C6585" s="528" t="s">
        <v>19021</v>
      </c>
      <c r="D6585" s="528" t="s">
        <v>225</v>
      </c>
      <c r="E6585" s="528"/>
      <c r="F6585" s="528"/>
      <c r="G6585" s="528" t="s">
        <v>208</v>
      </c>
      <c r="H6585"/>
    </row>
    <row r="6586" spans="1:8" x14ac:dyDescent="0.35">
      <c r="A6586" s="528" t="s">
        <v>19022</v>
      </c>
      <c r="B6586" s="528" t="s">
        <v>19023</v>
      </c>
      <c r="C6586" s="528" t="s">
        <v>19024</v>
      </c>
      <c r="D6586" s="528" t="s">
        <v>225</v>
      </c>
      <c r="E6586" s="528"/>
      <c r="F6586" s="528"/>
      <c r="G6586" s="528" t="s">
        <v>208</v>
      </c>
      <c r="H6586"/>
    </row>
    <row r="6587" spans="1:8" x14ac:dyDescent="0.35">
      <c r="A6587" s="528" t="s">
        <v>19025</v>
      </c>
      <c r="B6587" s="528" t="s">
        <v>19026</v>
      </c>
      <c r="C6587" s="528" t="s">
        <v>19027</v>
      </c>
      <c r="D6587" s="528" t="s">
        <v>225</v>
      </c>
      <c r="E6587" s="528"/>
      <c r="F6587" s="528"/>
      <c r="G6587" s="528" t="s">
        <v>208</v>
      </c>
      <c r="H6587"/>
    </row>
    <row r="6588" spans="1:8" x14ac:dyDescent="0.35">
      <c r="A6588" s="528" t="s">
        <v>19028</v>
      </c>
      <c r="B6588" s="528" t="s">
        <v>19029</v>
      </c>
      <c r="C6588" s="528" t="s">
        <v>17337</v>
      </c>
      <c r="D6588" s="528" t="s">
        <v>264</v>
      </c>
      <c r="E6588" s="528"/>
      <c r="F6588" s="528"/>
      <c r="G6588" s="528" t="s">
        <v>208</v>
      </c>
      <c r="H6588"/>
    </row>
    <row r="6589" spans="1:8" x14ac:dyDescent="0.35">
      <c r="A6589" s="528" t="s">
        <v>19030</v>
      </c>
      <c r="B6589" s="528" t="s">
        <v>19031</v>
      </c>
      <c r="C6589" s="528" t="s">
        <v>19032</v>
      </c>
      <c r="D6589" s="528" t="s">
        <v>225</v>
      </c>
      <c r="E6589" s="528"/>
      <c r="F6589" s="528"/>
      <c r="G6589" s="528" t="s">
        <v>205</v>
      </c>
      <c r="H6589"/>
    </row>
    <row r="6590" spans="1:8" x14ac:dyDescent="0.35">
      <c r="A6590" s="528" t="s">
        <v>19033</v>
      </c>
      <c r="B6590" s="528" t="s">
        <v>19034</v>
      </c>
      <c r="C6590" s="528" t="s">
        <v>19035</v>
      </c>
      <c r="D6590" s="528" t="s">
        <v>225</v>
      </c>
      <c r="E6590" s="528"/>
      <c r="F6590" s="528"/>
      <c r="G6590" s="528" t="s">
        <v>205</v>
      </c>
      <c r="H6590"/>
    </row>
    <row r="6591" spans="1:8" x14ac:dyDescent="0.35">
      <c r="A6591" s="528" t="s">
        <v>19036</v>
      </c>
      <c r="B6591" s="528" t="s">
        <v>19037</v>
      </c>
      <c r="C6591" s="528" t="s">
        <v>19038</v>
      </c>
      <c r="D6591" s="528" t="s">
        <v>225</v>
      </c>
      <c r="E6591" s="528"/>
      <c r="F6591" s="528"/>
      <c r="G6591" s="528" t="s">
        <v>212</v>
      </c>
      <c r="H6591"/>
    </row>
    <row r="6592" spans="1:8" x14ac:dyDescent="0.35">
      <c r="A6592" s="528" t="s">
        <v>19039</v>
      </c>
      <c r="B6592" s="528" t="s">
        <v>19040</v>
      </c>
      <c r="C6592" s="528" t="s">
        <v>19041</v>
      </c>
      <c r="D6592" s="528" t="s">
        <v>225</v>
      </c>
      <c r="E6592" s="528"/>
      <c r="F6592" s="528"/>
      <c r="G6592" s="528" t="s">
        <v>212</v>
      </c>
      <c r="H6592"/>
    </row>
    <row r="6593" spans="1:8" x14ac:dyDescent="0.35">
      <c r="A6593" s="528" t="s">
        <v>19042</v>
      </c>
      <c r="B6593" s="528" t="s">
        <v>19043</v>
      </c>
      <c r="C6593" s="528" t="s">
        <v>19044</v>
      </c>
      <c r="D6593" s="528" t="s">
        <v>225</v>
      </c>
      <c r="E6593" s="528"/>
      <c r="F6593" s="528"/>
      <c r="G6593" s="528" t="s">
        <v>212</v>
      </c>
      <c r="H6593"/>
    </row>
    <row r="6594" spans="1:8" x14ac:dyDescent="0.35">
      <c r="A6594" s="528" t="s">
        <v>19045</v>
      </c>
      <c r="B6594" s="528" t="s">
        <v>19046</v>
      </c>
      <c r="C6594" s="528" t="s">
        <v>19047</v>
      </c>
      <c r="D6594" s="528" t="s">
        <v>225</v>
      </c>
      <c r="E6594" s="528"/>
      <c r="F6594" s="528"/>
      <c r="G6594" s="528" t="s">
        <v>212</v>
      </c>
      <c r="H6594"/>
    </row>
    <row r="6595" spans="1:8" x14ac:dyDescent="0.35">
      <c r="A6595" s="528" t="s">
        <v>19048</v>
      </c>
      <c r="B6595" s="528" t="s">
        <v>19049</v>
      </c>
      <c r="C6595" s="528" t="s">
        <v>19050</v>
      </c>
      <c r="D6595" s="528" t="s">
        <v>225</v>
      </c>
      <c r="E6595" s="528"/>
      <c r="F6595" s="528"/>
      <c r="G6595" s="528" t="s">
        <v>214</v>
      </c>
      <c r="H6595"/>
    </row>
    <row r="6596" spans="1:8" x14ac:dyDescent="0.35">
      <c r="A6596" s="528" t="s">
        <v>19051</v>
      </c>
      <c r="B6596" s="528" t="s">
        <v>19052</v>
      </c>
      <c r="C6596" s="528" t="s">
        <v>19053</v>
      </c>
      <c r="D6596" s="528" t="s">
        <v>225</v>
      </c>
      <c r="E6596" s="528"/>
      <c r="F6596" s="528"/>
      <c r="G6596" s="528" t="s">
        <v>214</v>
      </c>
      <c r="H6596"/>
    </row>
    <row r="6597" spans="1:8" x14ac:dyDescent="0.35">
      <c r="A6597" s="528" t="s">
        <v>19054</v>
      </c>
      <c r="B6597" s="528" t="s">
        <v>19055</v>
      </c>
      <c r="C6597" s="528" t="s">
        <v>19056</v>
      </c>
      <c r="D6597" s="528" t="s">
        <v>225</v>
      </c>
      <c r="E6597" s="528"/>
      <c r="F6597" s="528"/>
      <c r="G6597" s="528" t="s">
        <v>214</v>
      </c>
      <c r="H6597"/>
    </row>
    <row r="6598" spans="1:8" x14ac:dyDescent="0.35">
      <c r="A6598" s="528" t="s">
        <v>19057</v>
      </c>
      <c r="B6598" s="528" t="s">
        <v>19058</v>
      </c>
      <c r="C6598" s="528" t="s">
        <v>19059</v>
      </c>
      <c r="D6598" s="528" t="s">
        <v>264</v>
      </c>
      <c r="E6598" s="528"/>
      <c r="F6598" s="528"/>
      <c r="G6598" s="528" t="s">
        <v>205</v>
      </c>
      <c r="H6598"/>
    </row>
    <row r="6599" spans="1:8" x14ac:dyDescent="0.35">
      <c r="A6599" s="528" t="s">
        <v>19060</v>
      </c>
      <c r="B6599" s="528" t="s">
        <v>19061</v>
      </c>
      <c r="C6599" s="528" t="s">
        <v>19062</v>
      </c>
      <c r="D6599" s="528" t="s">
        <v>264</v>
      </c>
      <c r="E6599" s="528"/>
      <c r="F6599" s="528"/>
      <c r="G6599" s="528" t="s">
        <v>205</v>
      </c>
      <c r="H6599"/>
    </row>
    <row r="6600" spans="1:8" x14ac:dyDescent="0.35">
      <c r="A6600" s="528" t="s">
        <v>19063</v>
      </c>
      <c r="B6600" s="528" t="s">
        <v>19064</v>
      </c>
      <c r="C6600" s="528" t="s">
        <v>19065</v>
      </c>
      <c r="D6600" s="528" t="s">
        <v>264</v>
      </c>
      <c r="E6600" s="528"/>
      <c r="F6600" s="528"/>
      <c r="G6600" s="528" t="s">
        <v>205</v>
      </c>
      <c r="H6600"/>
    </row>
    <row r="6601" spans="1:8" x14ac:dyDescent="0.35">
      <c r="A6601" s="528" t="s">
        <v>19066</v>
      </c>
      <c r="B6601" s="528" t="s">
        <v>19067</v>
      </c>
      <c r="C6601" s="528" t="s">
        <v>19068</v>
      </c>
      <c r="D6601" s="528" t="s">
        <v>264</v>
      </c>
      <c r="E6601" s="528"/>
      <c r="F6601" s="528"/>
      <c r="G6601" s="528" t="s">
        <v>205</v>
      </c>
      <c r="H6601"/>
    </row>
    <row r="6602" spans="1:8" x14ac:dyDescent="0.35">
      <c r="A6602" s="528" t="s">
        <v>19069</v>
      </c>
      <c r="B6602" s="528" t="s">
        <v>19070</v>
      </c>
      <c r="C6602" s="528" t="s">
        <v>19071</v>
      </c>
      <c r="D6602" s="528" t="s">
        <v>264</v>
      </c>
      <c r="E6602" s="528"/>
      <c r="F6602" s="528"/>
      <c r="G6602" s="528" t="s">
        <v>208</v>
      </c>
      <c r="H6602"/>
    </row>
    <row r="6603" spans="1:8" x14ac:dyDescent="0.35">
      <c r="A6603" s="528" t="s">
        <v>19072</v>
      </c>
      <c r="B6603" s="528" t="s">
        <v>19073</v>
      </c>
      <c r="C6603" s="528" t="s">
        <v>19074</v>
      </c>
      <c r="D6603" s="528" t="s">
        <v>264</v>
      </c>
      <c r="E6603" s="528"/>
      <c r="F6603" s="528"/>
      <c r="G6603" s="528" t="s">
        <v>205</v>
      </c>
      <c r="H6603"/>
    </row>
    <row r="6604" spans="1:8" x14ac:dyDescent="0.35">
      <c r="A6604" s="528" t="s">
        <v>19075</v>
      </c>
      <c r="B6604" s="528" t="s">
        <v>19076</v>
      </c>
      <c r="C6604" s="528" t="s">
        <v>19077</v>
      </c>
      <c r="D6604" s="528" t="s">
        <v>264</v>
      </c>
      <c r="E6604" s="528"/>
      <c r="F6604" s="528"/>
      <c r="G6604" s="528" t="s">
        <v>210</v>
      </c>
      <c r="H6604"/>
    </row>
    <row r="6605" spans="1:8" x14ac:dyDescent="0.35">
      <c r="A6605" s="528" t="s">
        <v>19078</v>
      </c>
      <c r="B6605" s="528" t="s">
        <v>19079</v>
      </c>
      <c r="C6605" s="528" t="s">
        <v>19080</v>
      </c>
      <c r="D6605" s="528" t="s">
        <v>264</v>
      </c>
      <c r="E6605" s="528"/>
      <c r="F6605" s="528"/>
      <c r="G6605" s="528" t="s">
        <v>208</v>
      </c>
      <c r="H6605"/>
    </row>
    <row r="6606" spans="1:8" x14ac:dyDescent="0.35">
      <c r="A6606" s="528" t="s">
        <v>19081</v>
      </c>
      <c r="B6606" s="528" t="s">
        <v>19082</v>
      </c>
      <c r="C6606" s="528" t="s">
        <v>19083</v>
      </c>
      <c r="D6606" s="528" t="s">
        <v>277</v>
      </c>
      <c r="E6606" s="528"/>
      <c r="F6606" s="528"/>
      <c r="G6606" s="528" t="s">
        <v>208</v>
      </c>
      <c r="H6606"/>
    </row>
    <row r="6607" spans="1:8" x14ac:dyDescent="0.35">
      <c r="A6607" s="528" t="s">
        <v>19084</v>
      </c>
      <c r="B6607" s="528" t="s">
        <v>19085</v>
      </c>
      <c r="C6607" s="528" t="s">
        <v>19086</v>
      </c>
      <c r="D6607" s="528" t="s">
        <v>277</v>
      </c>
      <c r="E6607" s="528"/>
      <c r="F6607" s="528"/>
      <c r="G6607" s="528" t="s">
        <v>212</v>
      </c>
      <c r="H6607"/>
    </row>
    <row r="6608" spans="1:8" x14ac:dyDescent="0.35">
      <c r="A6608" s="528" t="s">
        <v>19087</v>
      </c>
      <c r="B6608" s="528" t="s">
        <v>19088</v>
      </c>
      <c r="C6608" s="528" t="s">
        <v>19089</v>
      </c>
      <c r="D6608" s="528" t="s">
        <v>277</v>
      </c>
      <c r="E6608" s="528"/>
      <c r="F6608" s="528"/>
      <c r="G6608" s="528" t="s">
        <v>212</v>
      </c>
      <c r="H6608"/>
    </row>
    <row r="6609" spans="1:8" x14ac:dyDescent="0.35">
      <c r="A6609" s="528" t="s">
        <v>19090</v>
      </c>
      <c r="B6609" s="528" t="s">
        <v>19091</v>
      </c>
      <c r="C6609" s="528" t="s">
        <v>19092</v>
      </c>
      <c r="D6609" s="528" t="s">
        <v>277</v>
      </c>
      <c r="E6609" s="528"/>
      <c r="F6609" s="528"/>
      <c r="G6609" s="528" t="s">
        <v>208</v>
      </c>
      <c r="H6609"/>
    </row>
    <row r="6610" spans="1:8" x14ac:dyDescent="0.35">
      <c r="A6610" s="528" t="s">
        <v>19093</v>
      </c>
      <c r="B6610" s="528" t="s">
        <v>19094</v>
      </c>
      <c r="C6610" s="528" t="s">
        <v>19095</v>
      </c>
      <c r="D6610" s="528" t="s">
        <v>264</v>
      </c>
      <c r="E6610" s="528"/>
      <c r="F6610" s="528"/>
      <c r="G6610" s="528" t="s">
        <v>205</v>
      </c>
      <c r="H6610"/>
    </row>
    <row r="6611" spans="1:8" x14ac:dyDescent="0.35">
      <c r="A6611" s="528" t="s">
        <v>19096</v>
      </c>
      <c r="B6611" s="528" t="s">
        <v>19097</v>
      </c>
      <c r="C6611" s="528" t="s">
        <v>19098</v>
      </c>
      <c r="D6611" s="528" t="s">
        <v>251</v>
      </c>
      <c r="E6611" s="528"/>
      <c r="F6611" s="528"/>
      <c r="G6611" s="528" t="s">
        <v>208</v>
      </c>
      <c r="H6611"/>
    </row>
    <row r="6612" spans="1:8" x14ac:dyDescent="0.35">
      <c r="A6612" s="528" t="s">
        <v>19099</v>
      </c>
      <c r="B6612" s="528" t="s">
        <v>19100</v>
      </c>
      <c r="C6612" s="528" t="s">
        <v>19101</v>
      </c>
      <c r="D6612" s="528" t="s">
        <v>225</v>
      </c>
      <c r="E6612" s="528"/>
      <c r="F6612" s="528"/>
      <c r="G6612" s="528" t="s">
        <v>208</v>
      </c>
      <c r="H6612"/>
    </row>
    <row r="6613" spans="1:8" x14ac:dyDescent="0.35">
      <c r="A6613" s="528" t="s">
        <v>19102</v>
      </c>
      <c r="B6613" s="528" t="s">
        <v>19103</v>
      </c>
      <c r="C6613" s="528" t="s">
        <v>19104</v>
      </c>
      <c r="D6613" s="528" t="s">
        <v>225</v>
      </c>
      <c r="E6613" s="528"/>
      <c r="F6613" s="528"/>
      <c r="G6613" s="528" t="s">
        <v>208</v>
      </c>
      <c r="H6613"/>
    </row>
    <row r="6614" spans="1:8" x14ac:dyDescent="0.35">
      <c r="A6614" s="528" t="s">
        <v>19105</v>
      </c>
      <c r="B6614" s="528" t="s">
        <v>19106</v>
      </c>
      <c r="C6614" s="528" t="s">
        <v>19107</v>
      </c>
      <c r="D6614" s="528" t="s">
        <v>225</v>
      </c>
      <c r="E6614" s="528"/>
      <c r="F6614" s="528"/>
      <c r="G6614" s="528" t="s">
        <v>208</v>
      </c>
      <c r="H6614"/>
    </row>
    <row r="6615" spans="1:8" x14ac:dyDescent="0.35">
      <c r="A6615" s="528" t="s">
        <v>19108</v>
      </c>
      <c r="B6615" s="528" t="s">
        <v>19109</v>
      </c>
      <c r="C6615" s="528" t="s">
        <v>19110</v>
      </c>
      <c r="D6615" s="528" t="s">
        <v>277</v>
      </c>
      <c r="E6615" s="528"/>
      <c r="F6615" s="528"/>
      <c r="G6615" s="528" t="s">
        <v>208</v>
      </c>
      <c r="H6615"/>
    </row>
    <row r="6616" spans="1:8" x14ac:dyDescent="0.35">
      <c r="A6616" s="528" t="s">
        <v>19111</v>
      </c>
      <c r="B6616" s="528" t="s">
        <v>19112</v>
      </c>
      <c r="C6616" s="528" t="s">
        <v>19113</v>
      </c>
      <c r="D6616" s="528" t="s">
        <v>251</v>
      </c>
      <c r="E6616" s="528"/>
      <c r="F6616" s="528"/>
      <c r="G6616" s="528" t="s">
        <v>208</v>
      </c>
      <c r="H6616"/>
    </row>
    <row r="6617" spans="1:8" x14ac:dyDescent="0.35">
      <c r="A6617" s="528" t="s">
        <v>19114</v>
      </c>
      <c r="B6617" s="528" t="s">
        <v>19115</v>
      </c>
      <c r="C6617" s="528" t="s">
        <v>19116</v>
      </c>
      <c r="D6617" s="528" t="s">
        <v>225</v>
      </c>
      <c r="E6617" s="528"/>
      <c r="F6617" s="528"/>
      <c r="G6617" s="528" t="s">
        <v>205</v>
      </c>
      <c r="H6617"/>
    </row>
    <row r="6618" spans="1:8" x14ac:dyDescent="0.35">
      <c r="A6618" s="528" t="s">
        <v>19117</v>
      </c>
      <c r="B6618" s="528" t="s">
        <v>19118</v>
      </c>
      <c r="C6618" s="528" t="s">
        <v>19119</v>
      </c>
      <c r="D6618" s="528" t="s">
        <v>225</v>
      </c>
      <c r="E6618" s="528"/>
      <c r="F6618" s="528"/>
      <c r="G6618" s="528" t="s">
        <v>205</v>
      </c>
      <c r="H6618"/>
    </row>
    <row r="6619" spans="1:8" x14ac:dyDescent="0.35">
      <c r="A6619" s="528" t="s">
        <v>19120</v>
      </c>
      <c r="B6619" s="528" t="s">
        <v>19121</v>
      </c>
      <c r="C6619" s="528" t="s">
        <v>19122</v>
      </c>
      <c r="D6619" s="528" t="s">
        <v>225</v>
      </c>
      <c r="E6619" s="528"/>
      <c r="F6619" s="528"/>
      <c r="G6619" s="528" t="s">
        <v>205</v>
      </c>
      <c r="H6619"/>
    </row>
    <row r="6620" spans="1:8" x14ac:dyDescent="0.35">
      <c r="A6620" s="528" t="s">
        <v>19123</v>
      </c>
      <c r="B6620" s="528" t="s">
        <v>19124</v>
      </c>
      <c r="C6620" s="528" t="s">
        <v>19125</v>
      </c>
      <c r="D6620" s="528" t="s">
        <v>225</v>
      </c>
      <c r="E6620" s="528"/>
      <c r="F6620" s="528"/>
      <c r="G6620" s="528" t="s">
        <v>205</v>
      </c>
      <c r="H6620"/>
    </row>
    <row r="6621" spans="1:8" x14ac:dyDescent="0.35">
      <c r="A6621" s="528" t="s">
        <v>19126</v>
      </c>
      <c r="B6621" s="528" t="s">
        <v>19127</v>
      </c>
      <c r="C6621" s="528" t="s">
        <v>19128</v>
      </c>
      <c r="D6621" s="528" t="s">
        <v>225</v>
      </c>
      <c r="E6621" s="528"/>
      <c r="F6621" s="528"/>
      <c r="G6621" s="528" t="s">
        <v>208</v>
      </c>
      <c r="H6621"/>
    </row>
    <row r="6622" spans="1:8" x14ac:dyDescent="0.35">
      <c r="A6622" s="528" t="s">
        <v>19129</v>
      </c>
      <c r="B6622" s="528" t="s">
        <v>19130</v>
      </c>
      <c r="C6622" s="528" t="s">
        <v>19131</v>
      </c>
      <c r="D6622" s="528" t="s">
        <v>225</v>
      </c>
      <c r="E6622" s="528"/>
      <c r="F6622" s="528"/>
      <c r="G6622" s="528" t="s">
        <v>208</v>
      </c>
      <c r="H6622"/>
    </row>
    <row r="6623" spans="1:8" x14ac:dyDescent="0.35">
      <c r="A6623" s="528" t="s">
        <v>19132</v>
      </c>
      <c r="B6623" s="528" t="s">
        <v>19133</v>
      </c>
      <c r="C6623" s="528" t="s">
        <v>19134</v>
      </c>
      <c r="D6623" s="528" t="s">
        <v>277</v>
      </c>
      <c r="E6623" s="528"/>
      <c r="F6623" s="528"/>
      <c r="G6623" s="528" t="s">
        <v>208</v>
      </c>
      <c r="H6623"/>
    </row>
    <row r="6624" spans="1:8" x14ac:dyDescent="0.35">
      <c r="A6624" s="528" t="s">
        <v>19135</v>
      </c>
      <c r="B6624" s="528" t="s">
        <v>19136</v>
      </c>
      <c r="C6624" s="528" t="s">
        <v>19137</v>
      </c>
      <c r="D6624" s="528" t="s">
        <v>225</v>
      </c>
      <c r="E6624" s="528"/>
      <c r="F6624" s="528"/>
      <c r="G6624" s="528" t="s">
        <v>205</v>
      </c>
      <c r="H6624"/>
    </row>
    <row r="6625" spans="1:8" x14ac:dyDescent="0.35">
      <c r="A6625" s="528" t="s">
        <v>19138</v>
      </c>
      <c r="B6625" s="528" t="s">
        <v>19139</v>
      </c>
      <c r="C6625" s="528" t="s">
        <v>19140</v>
      </c>
      <c r="D6625" s="528" t="s">
        <v>225</v>
      </c>
      <c r="E6625" s="528"/>
      <c r="F6625" s="528"/>
      <c r="G6625" s="528" t="s">
        <v>205</v>
      </c>
      <c r="H6625"/>
    </row>
    <row r="6626" spans="1:8" x14ac:dyDescent="0.35">
      <c r="A6626" s="528" t="s">
        <v>19141</v>
      </c>
      <c r="B6626" s="528" t="s">
        <v>19142</v>
      </c>
      <c r="C6626" s="528" t="s">
        <v>19143</v>
      </c>
      <c r="D6626" s="528" t="s">
        <v>277</v>
      </c>
      <c r="E6626" s="528"/>
      <c r="F6626" s="528"/>
      <c r="G6626" s="528" t="s">
        <v>205</v>
      </c>
      <c r="H6626"/>
    </row>
    <row r="6627" spans="1:8" x14ac:dyDescent="0.35">
      <c r="A6627" s="528" t="s">
        <v>19144</v>
      </c>
      <c r="B6627" s="528" t="s">
        <v>19145</v>
      </c>
      <c r="C6627" s="528" t="s">
        <v>19146</v>
      </c>
      <c r="D6627" s="528" t="s">
        <v>277</v>
      </c>
      <c r="E6627" s="528"/>
      <c r="F6627" s="528"/>
      <c r="G6627" s="528" t="s">
        <v>205</v>
      </c>
      <c r="H6627"/>
    </row>
    <row r="6628" spans="1:8" x14ac:dyDescent="0.35">
      <c r="A6628" s="528" t="s">
        <v>19147</v>
      </c>
      <c r="B6628" s="528" t="s">
        <v>19148</v>
      </c>
      <c r="C6628" s="528" t="s">
        <v>19149</v>
      </c>
      <c r="D6628" s="528" t="s">
        <v>264</v>
      </c>
      <c r="E6628" s="528"/>
      <c r="F6628" s="528"/>
      <c r="G6628" s="528" t="s">
        <v>205</v>
      </c>
      <c r="H6628"/>
    </row>
    <row r="6629" spans="1:8" x14ac:dyDescent="0.35">
      <c r="A6629" s="528" t="s">
        <v>19150</v>
      </c>
      <c r="B6629" s="528" t="s">
        <v>19151</v>
      </c>
      <c r="C6629" s="528" t="s">
        <v>19152</v>
      </c>
      <c r="D6629" s="528" t="s">
        <v>264</v>
      </c>
      <c r="E6629" s="528"/>
      <c r="F6629" s="528"/>
      <c r="G6629" s="528" t="s">
        <v>205</v>
      </c>
      <c r="H6629"/>
    </row>
    <row r="6630" spans="1:8" x14ac:dyDescent="0.35">
      <c r="A6630" s="528" t="s">
        <v>19153</v>
      </c>
      <c r="B6630" s="528" t="s">
        <v>19154</v>
      </c>
      <c r="C6630" s="528" t="s">
        <v>19155</v>
      </c>
      <c r="D6630" s="528" t="s">
        <v>264</v>
      </c>
      <c r="E6630" s="528"/>
      <c r="F6630" s="528"/>
      <c r="G6630" s="528" t="s">
        <v>205</v>
      </c>
      <c r="H6630"/>
    </row>
    <row r="6631" spans="1:8" x14ac:dyDescent="0.35">
      <c r="A6631" s="528" t="s">
        <v>19156</v>
      </c>
      <c r="B6631" s="528" t="s">
        <v>19157</v>
      </c>
      <c r="C6631" s="528" t="s">
        <v>19158</v>
      </c>
      <c r="D6631" s="528" t="s">
        <v>264</v>
      </c>
      <c r="E6631" s="528"/>
      <c r="F6631" s="528"/>
      <c r="G6631" s="528" t="s">
        <v>205</v>
      </c>
      <c r="H6631"/>
    </row>
    <row r="6632" spans="1:8" x14ac:dyDescent="0.35">
      <c r="A6632" s="528" t="s">
        <v>19159</v>
      </c>
      <c r="B6632" s="528" t="s">
        <v>19160</v>
      </c>
      <c r="C6632" s="528" t="s">
        <v>19161</v>
      </c>
      <c r="D6632" s="528" t="s">
        <v>264</v>
      </c>
      <c r="E6632" s="528"/>
      <c r="F6632" s="528"/>
      <c r="G6632" s="528" t="s">
        <v>205</v>
      </c>
      <c r="H6632"/>
    </row>
    <row r="6633" spans="1:8" x14ac:dyDescent="0.35">
      <c r="A6633" s="528" t="s">
        <v>19162</v>
      </c>
      <c r="B6633" s="528" t="s">
        <v>19163</v>
      </c>
      <c r="C6633" s="528" t="s">
        <v>19164</v>
      </c>
      <c r="D6633" s="528" t="s">
        <v>225</v>
      </c>
      <c r="E6633" s="528"/>
      <c r="F6633" s="528"/>
      <c r="G6633" s="528" t="s">
        <v>208</v>
      </c>
      <c r="H6633"/>
    </row>
    <row r="6634" spans="1:8" x14ac:dyDescent="0.35">
      <c r="A6634" s="528" t="s">
        <v>19165</v>
      </c>
      <c r="B6634" s="528" t="s">
        <v>19166</v>
      </c>
      <c r="C6634" s="528" t="s">
        <v>19167</v>
      </c>
      <c r="D6634" s="528" t="s">
        <v>225</v>
      </c>
      <c r="E6634" s="528"/>
      <c r="F6634" s="528"/>
      <c r="G6634" s="528" t="s">
        <v>208</v>
      </c>
      <c r="H6634"/>
    </row>
    <row r="6635" spans="1:8" x14ac:dyDescent="0.35">
      <c r="A6635" s="528" t="s">
        <v>19168</v>
      </c>
      <c r="B6635" s="528" t="s">
        <v>19169</v>
      </c>
      <c r="C6635" s="528" t="s">
        <v>19170</v>
      </c>
      <c r="D6635" s="528" t="s">
        <v>277</v>
      </c>
      <c r="E6635" s="528"/>
      <c r="F6635" s="528"/>
      <c r="G6635" s="528" t="s">
        <v>205</v>
      </c>
      <c r="H6635"/>
    </row>
    <row r="6636" spans="1:8" x14ac:dyDescent="0.35">
      <c r="A6636" s="528" t="s">
        <v>19171</v>
      </c>
      <c r="B6636" s="528" t="s">
        <v>19172</v>
      </c>
      <c r="C6636" s="528" t="s">
        <v>19173</v>
      </c>
      <c r="D6636" s="528" t="s">
        <v>277</v>
      </c>
      <c r="E6636" s="528"/>
      <c r="F6636" s="528"/>
      <c r="G6636" s="528" t="s">
        <v>205</v>
      </c>
      <c r="H6636"/>
    </row>
    <row r="6637" spans="1:8" x14ac:dyDescent="0.35">
      <c r="A6637" s="528" t="s">
        <v>19174</v>
      </c>
      <c r="B6637" s="528" t="s">
        <v>19175</v>
      </c>
      <c r="C6637" s="528" t="s">
        <v>19176</v>
      </c>
      <c r="D6637" s="528" t="s">
        <v>277</v>
      </c>
      <c r="E6637" s="528"/>
      <c r="F6637" s="528"/>
      <c r="G6637" s="528" t="s">
        <v>205</v>
      </c>
      <c r="H6637"/>
    </row>
    <row r="6638" spans="1:8" x14ac:dyDescent="0.35">
      <c r="A6638" s="528" t="s">
        <v>19177</v>
      </c>
      <c r="B6638" s="528" t="s">
        <v>19178</v>
      </c>
      <c r="C6638" s="528" t="s">
        <v>19179</v>
      </c>
      <c r="D6638" s="528" t="s">
        <v>277</v>
      </c>
      <c r="E6638" s="528"/>
      <c r="F6638" s="528"/>
      <c r="G6638" s="528" t="s">
        <v>205</v>
      </c>
      <c r="H6638"/>
    </row>
    <row r="6639" spans="1:8" x14ac:dyDescent="0.35">
      <c r="A6639" s="528" t="s">
        <v>19180</v>
      </c>
      <c r="B6639" s="528" t="s">
        <v>19181</v>
      </c>
      <c r="C6639" s="528" t="s">
        <v>19182</v>
      </c>
      <c r="D6639" s="528" t="s">
        <v>264</v>
      </c>
      <c r="E6639" s="528"/>
      <c r="F6639" s="528"/>
      <c r="G6639" s="528" t="s">
        <v>212</v>
      </c>
      <c r="H6639"/>
    </row>
    <row r="6640" spans="1:8" x14ac:dyDescent="0.35">
      <c r="A6640" s="528" t="s">
        <v>19183</v>
      </c>
      <c r="B6640" s="528" t="s">
        <v>19184</v>
      </c>
      <c r="C6640" s="528" t="s">
        <v>19185</v>
      </c>
      <c r="D6640" s="528" t="s">
        <v>277</v>
      </c>
      <c r="E6640" s="528"/>
      <c r="F6640" s="528"/>
      <c r="G6640" s="528" t="s">
        <v>208</v>
      </c>
      <c r="H6640"/>
    </row>
    <row r="6641" spans="1:8" x14ac:dyDescent="0.35">
      <c r="A6641" s="528" t="s">
        <v>19186</v>
      </c>
      <c r="B6641" s="528" t="s">
        <v>19187</v>
      </c>
      <c r="C6641" s="528" t="s">
        <v>19188</v>
      </c>
      <c r="D6641" s="528" t="s">
        <v>264</v>
      </c>
      <c r="E6641" s="528"/>
      <c r="F6641" s="528"/>
      <c r="G6641" s="528" t="s">
        <v>205</v>
      </c>
      <c r="H6641"/>
    </row>
    <row r="6642" spans="1:8" x14ac:dyDescent="0.35">
      <c r="A6642" s="528" t="s">
        <v>19189</v>
      </c>
      <c r="B6642" s="528" t="s">
        <v>19190</v>
      </c>
      <c r="C6642" s="528" t="s">
        <v>19191</v>
      </c>
      <c r="D6642" s="528" t="s">
        <v>277</v>
      </c>
      <c r="E6642" s="528"/>
      <c r="F6642" s="528"/>
      <c r="G6642" s="528" t="s">
        <v>205</v>
      </c>
      <c r="H6642"/>
    </row>
    <row r="6643" spans="1:8" x14ac:dyDescent="0.35">
      <c r="A6643" s="528" t="s">
        <v>19192</v>
      </c>
      <c r="B6643" s="528" t="s">
        <v>19193</v>
      </c>
      <c r="C6643" s="528" t="s">
        <v>19194</v>
      </c>
      <c r="D6643" s="528" t="s">
        <v>277</v>
      </c>
      <c r="E6643" s="528"/>
      <c r="F6643" s="528"/>
      <c r="G6643" s="528" t="s">
        <v>208</v>
      </c>
      <c r="H6643"/>
    </row>
    <row r="6644" spans="1:8" x14ac:dyDescent="0.35">
      <c r="A6644" s="528" t="s">
        <v>19195</v>
      </c>
      <c r="B6644" s="528" t="s">
        <v>19196</v>
      </c>
      <c r="C6644" s="528" t="s">
        <v>19197</v>
      </c>
      <c r="D6644" s="528" t="s">
        <v>277</v>
      </c>
      <c r="E6644" s="528"/>
      <c r="F6644" s="528"/>
      <c r="G6644" s="528" t="s">
        <v>214</v>
      </c>
      <c r="H6644"/>
    </row>
    <row r="6645" spans="1:8" x14ac:dyDescent="0.35">
      <c r="A6645" s="528" t="s">
        <v>19198</v>
      </c>
      <c r="B6645" s="528" t="s">
        <v>19199</v>
      </c>
      <c r="C6645" s="528" t="s">
        <v>19200</v>
      </c>
      <c r="D6645" s="528" t="s">
        <v>251</v>
      </c>
      <c r="E6645" s="528"/>
      <c r="F6645" s="528"/>
      <c r="G6645" s="528" t="s">
        <v>208</v>
      </c>
      <c r="H6645"/>
    </row>
    <row r="6646" spans="1:8" x14ac:dyDescent="0.35">
      <c r="A6646" s="528" t="s">
        <v>19201</v>
      </c>
      <c r="B6646" s="528" t="s">
        <v>19202</v>
      </c>
      <c r="C6646" s="528" t="s">
        <v>19203</v>
      </c>
      <c r="D6646" s="528" t="s">
        <v>251</v>
      </c>
      <c r="E6646" s="528"/>
      <c r="F6646" s="528"/>
      <c r="G6646" s="528" t="s">
        <v>208</v>
      </c>
      <c r="H6646"/>
    </row>
    <row r="6647" spans="1:8" x14ac:dyDescent="0.35">
      <c r="A6647" s="528" t="s">
        <v>19204</v>
      </c>
      <c r="B6647" s="528" t="s">
        <v>19205</v>
      </c>
      <c r="C6647" s="528" t="s">
        <v>19206</v>
      </c>
      <c r="D6647" s="528" t="s">
        <v>251</v>
      </c>
      <c r="E6647" s="528"/>
      <c r="F6647" s="528"/>
      <c r="G6647" s="528" t="s">
        <v>208</v>
      </c>
      <c r="H6647"/>
    </row>
    <row r="6648" spans="1:8" x14ac:dyDescent="0.35">
      <c r="A6648" s="528" t="s">
        <v>19207</v>
      </c>
      <c r="B6648" s="528" t="s">
        <v>19208</v>
      </c>
      <c r="C6648" s="528" t="s">
        <v>19209</v>
      </c>
      <c r="D6648" s="528" t="s">
        <v>225</v>
      </c>
      <c r="E6648" s="528"/>
      <c r="F6648" s="528"/>
      <c r="G6648" s="528" t="s">
        <v>208</v>
      </c>
      <c r="H6648"/>
    </row>
    <row r="6649" spans="1:8" x14ac:dyDescent="0.35">
      <c r="A6649" s="528" t="s">
        <v>19210</v>
      </c>
      <c r="B6649" s="528" t="s">
        <v>19211</v>
      </c>
      <c r="C6649" s="528" t="s">
        <v>19212</v>
      </c>
      <c r="D6649" s="528" t="s">
        <v>238</v>
      </c>
      <c r="E6649" s="528"/>
      <c r="F6649" s="528"/>
      <c r="G6649" s="528" t="s">
        <v>208</v>
      </c>
      <c r="H6649"/>
    </row>
    <row r="6650" spans="1:8" x14ac:dyDescent="0.35">
      <c r="A6650" s="528" t="s">
        <v>19213</v>
      </c>
      <c r="B6650" s="528" t="s">
        <v>19214</v>
      </c>
      <c r="C6650" s="528" t="s">
        <v>19215</v>
      </c>
      <c r="D6650" s="528" t="s">
        <v>238</v>
      </c>
      <c r="E6650" s="528"/>
      <c r="F6650" s="528"/>
      <c r="G6650" s="528" t="s">
        <v>208</v>
      </c>
      <c r="H6650"/>
    </row>
    <row r="6651" spans="1:8" x14ac:dyDescent="0.35">
      <c r="A6651" s="528" t="s">
        <v>19216</v>
      </c>
      <c r="B6651" s="528" t="s">
        <v>19217</v>
      </c>
      <c r="C6651" s="528" t="s">
        <v>19218</v>
      </c>
      <c r="D6651" s="528" t="s">
        <v>238</v>
      </c>
      <c r="E6651" s="528"/>
      <c r="F6651" s="528"/>
      <c r="G6651" s="528" t="s">
        <v>208</v>
      </c>
      <c r="H6651"/>
    </row>
    <row r="6652" spans="1:8" x14ac:dyDescent="0.35">
      <c r="A6652" s="528" t="s">
        <v>19219</v>
      </c>
      <c r="B6652" s="528" t="s">
        <v>19220</v>
      </c>
      <c r="C6652" s="528" t="s">
        <v>19221</v>
      </c>
      <c r="D6652" s="528" t="s">
        <v>238</v>
      </c>
      <c r="E6652" s="528"/>
      <c r="F6652" s="528"/>
      <c r="G6652" s="528" t="s">
        <v>208</v>
      </c>
      <c r="H6652"/>
    </row>
    <row r="6653" spans="1:8" x14ac:dyDescent="0.35">
      <c r="A6653" s="528" t="s">
        <v>19222</v>
      </c>
      <c r="B6653" s="528" t="s">
        <v>19223</v>
      </c>
      <c r="C6653" s="528" t="s">
        <v>19224</v>
      </c>
      <c r="D6653" s="528" t="s">
        <v>277</v>
      </c>
      <c r="E6653" s="528"/>
      <c r="F6653" s="528"/>
      <c r="G6653" s="528" t="s">
        <v>208</v>
      </c>
      <c r="H6653"/>
    </row>
    <row r="6654" spans="1:8" x14ac:dyDescent="0.35">
      <c r="A6654" s="528" t="s">
        <v>19225</v>
      </c>
      <c r="B6654" s="528" t="s">
        <v>19226</v>
      </c>
      <c r="C6654" s="528" t="s">
        <v>19227</v>
      </c>
      <c r="D6654" s="528" t="s">
        <v>264</v>
      </c>
      <c r="E6654" s="528"/>
      <c r="F6654" s="528"/>
      <c r="G6654" s="528" t="s">
        <v>205</v>
      </c>
      <c r="H6654"/>
    </row>
    <row r="6655" spans="1:8" x14ac:dyDescent="0.35">
      <c r="A6655" s="528" t="s">
        <v>19228</v>
      </c>
      <c r="B6655" s="528" t="s">
        <v>19229</v>
      </c>
      <c r="C6655" s="528" t="s">
        <v>19230</v>
      </c>
      <c r="D6655" s="528" t="s">
        <v>277</v>
      </c>
      <c r="E6655" s="528"/>
      <c r="F6655" s="528"/>
      <c r="G6655" s="528" t="s">
        <v>208</v>
      </c>
      <c r="H6655"/>
    </row>
    <row r="6656" spans="1:8" x14ac:dyDescent="0.35">
      <c r="A6656" s="528" t="s">
        <v>19231</v>
      </c>
      <c r="B6656" s="528" t="s">
        <v>19232</v>
      </c>
      <c r="C6656" s="528" t="s">
        <v>19233</v>
      </c>
      <c r="D6656" s="528" t="s">
        <v>264</v>
      </c>
      <c r="E6656" s="528"/>
      <c r="F6656" s="528"/>
      <c r="G6656" s="528" t="s">
        <v>212</v>
      </c>
      <c r="H6656"/>
    </row>
    <row r="6657" spans="1:8" x14ac:dyDescent="0.35">
      <c r="A6657" s="528" t="s">
        <v>19234</v>
      </c>
      <c r="B6657" s="528" t="s">
        <v>19235</v>
      </c>
      <c r="C6657" s="528" t="s">
        <v>19236</v>
      </c>
      <c r="D6657" s="528" t="s">
        <v>264</v>
      </c>
      <c r="E6657" s="528"/>
      <c r="F6657" s="528"/>
      <c r="G6657" s="528" t="s">
        <v>208</v>
      </c>
      <c r="H6657"/>
    </row>
    <row r="6658" spans="1:8" x14ac:dyDescent="0.35">
      <c r="A6658" s="528" t="s">
        <v>19237</v>
      </c>
      <c r="B6658" s="528" t="s">
        <v>19238</v>
      </c>
      <c r="C6658" s="528" t="s">
        <v>19239</v>
      </c>
      <c r="D6658" s="528" t="s">
        <v>264</v>
      </c>
      <c r="E6658" s="528"/>
      <c r="F6658" s="528"/>
      <c r="G6658" s="528" t="s">
        <v>208</v>
      </c>
      <c r="H6658"/>
    </row>
    <row r="6659" spans="1:8" x14ac:dyDescent="0.35">
      <c r="A6659" s="528" t="s">
        <v>19240</v>
      </c>
      <c r="B6659" s="528" t="s">
        <v>19241</v>
      </c>
      <c r="C6659" s="528" t="s">
        <v>19242</v>
      </c>
      <c r="D6659" s="528" t="s">
        <v>277</v>
      </c>
      <c r="E6659" s="528"/>
      <c r="F6659" s="528"/>
      <c r="G6659" s="528" t="s">
        <v>214</v>
      </c>
      <c r="H6659"/>
    </row>
    <row r="6660" spans="1:8" x14ac:dyDescent="0.35">
      <c r="A6660" s="528" t="s">
        <v>19243</v>
      </c>
      <c r="B6660" s="528" t="s">
        <v>19244</v>
      </c>
      <c r="C6660" s="528" t="s">
        <v>19245</v>
      </c>
      <c r="D6660" s="528" t="s">
        <v>251</v>
      </c>
      <c r="E6660" s="528" t="s">
        <v>264</v>
      </c>
      <c r="F6660" s="528"/>
      <c r="G6660" s="528" t="s">
        <v>205</v>
      </c>
      <c r="H6660"/>
    </row>
    <row r="6661" spans="1:8" x14ac:dyDescent="0.35">
      <c r="A6661" s="528" t="s">
        <v>19246</v>
      </c>
      <c r="B6661" s="528" t="s">
        <v>19247</v>
      </c>
      <c r="C6661" s="528" t="s">
        <v>19248</v>
      </c>
      <c r="D6661" s="528" t="s">
        <v>225</v>
      </c>
      <c r="E6661" s="528"/>
      <c r="F6661" s="528"/>
      <c r="G6661" s="528" t="s">
        <v>208</v>
      </c>
      <c r="H6661"/>
    </row>
    <row r="6662" spans="1:8" x14ac:dyDescent="0.35">
      <c r="A6662" s="528" t="s">
        <v>19249</v>
      </c>
      <c r="B6662" s="528" t="s">
        <v>19250</v>
      </c>
      <c r="C6662" s="528" t="s">
        <v>19251</v>
      </c>
      <c r="D6662" s="528" t="s">
        <v>251</v>
      </c>
      <c r="E6662" s="528"/>
      <c r="F6662" s="528"/>
      <c r="G6662" s="528" t="s">
        <v>208</v>
      </c>
      <c r="H6662"/>
    </row>
    <row r="6663" spans="1:8" x14ac:dyDescent="0.35">
      <c r="A6663" s="528" t="s">
        <v>19252</v>
      </c>
      <c r="B6663" s="528" t="s">
        <v>19253</v>
      </c>
      <c r="C6663" s="528" t="s">
        <v>19254</v>
      </c>
      <c r="D6663" s="528" t="s">
        <v>225</v>
      </c>
      <c r="E6663" s="528"/>
      <c r="F6663" s="528"/>
      <c r="G6663" s="528" t="s">
        <v>208</v>
      </c>
      <c r="H6663"/>
    </row>
    <row r="6664" spans="1:8" x14ac:dyDescent="0.35">
      <c r="A6664" s="528" t="s">
        <v>19255</v>
      </c>
      <c r="B6664" s="528" t="s">
        <v>19256</v>
      </c>
      <c r="C6664" s="528" t="s">
        <v>19257</v>
      </c>
      <c r="D6664" s="528" t="s">
        <v>225</v>
      </c>
      <c r="E6664" s="528"/>
      <c r="F6664" s="528"/>
      <c r="G6664" s="528" t="s">
        <v>208</v>
      </c>
      <c r="H6664"/>
    </row>
    <row r="6665" spans="1:8" x14ac:dyDescent="0.35">
      <c r="A6665" s="528" t="s">
        <v>19258</v>
      </c>
      <c r="B6665" s="528" t="s">
        <v>19259</v>
      </c>
      <c r="C6665" s="528" t="s">
        <v>19260</v>
      </c>
      <c r="D6665" s="528" t="s">
        <v>225</v>
      </c>
      <c r="E6665" s="528"/>
      <c r="F6665" s="528"/>
      <c r="G6665" s="528" t="s">
        <v>208</v>
      </c>
      <c r="H6665"/>
    </row>
    <row r="6666" spans="1:8" x14ac:dyDescent="0.35">
      <c r="A6666" s="528" t="s">
        <v>19261</v>
      </c>
      <c r="B6666" s="528" t="s">
        <v>19262</v>
      </c>
      <c r="C6666" s="528" t="s">
        <v>19263</v>
      </c>
      <c r="D6666" s="528" t="s">
        <v>225</v>
      </c>
      <c r="E6666" s="528"/>
      <c r="F6666" s="528"/>
      <c r="G6666" s="528" t="s">
        <v>208</v>
      </c>
      <c r="H6666"/>
    </row>
    <row r="6667" spans="1:8" x14ac:dyDescent="0.35">
      <c r="A6667" s="528" t="s">
        <v>19264</v>
      </c>
      <c r="B6667" s="528" t="s">
        <v>19265</v>
      </c>
      <c r="C6667" s="528" t="s">
        <v>19266</v>
      </c>
      <c r="D6667" s="528" t="s">
        <v>264</v>
      </c>
      <c r="E6667" s="528"/>
      <c r="F6667" s="528"/>
      <c r="G6667" s="528" t="s">
        <v>208</v>
      </c>
      <c r="H6667"/>
    </row>
    <row r="6668" spans="1:8" x14ac:dyDescent="0.35">
      <c r="A6668" s="528" t="s">
        <v>19267</v>
      </c>
      <c r="B6668" s="528" t="s">
        <v>19268</v>
      </c>
      <c r="C6668" s="528" t="s">
        <v>19269</v>
      </c>
      <c r="D6668" s="528" t="s">
        <v>225</v>
      </c>
      <c r="E6668" s="528" t="s">
        <v>264</v>
      </c>
      <c r="F6668" s="528"/>
      <c r="G6668" s="528" t="s">
        <v>208</v>
      </c>
      <c r="H6668"/>
    </row>
    <row r="6669" spans="1:8" x14ac:dyDescent="0.35">
      <c r="A6669" s="528" t="s">
        <v>19270</v>
      </c>
      <c r="B6669" s="528" t="s">
        <v>19271</v>
      </c>
      <c r="C6669" s="528" t="s">
        <v>19272</v>
      </c>
      <c r="D6669" s="528" t="s">
        <v>264</v>
      </c>
      <c r="E6669" s="528"/>
      <c r="F6669" s="528"/>
      <c r="G6669" s="528" t="s">
        <v>205</v>
      </c>
      <c r="H6669"/>
    </row>
    <row r="6670" spans="1:8" x14ac:dyDescent="0.35">
      <c r="A6670" s="528" t="s">
        <v>19273</v>
      </c>
      <c r="B6670" s="528" t="s">
        <v>19274</v>
      </c>
      <c r="C6670" s="528" t="s">
        <v>19275</v>
      </c>
      <c r="D6670" s="528" t="s">
        <v>225</v>
      </c>
      <c r="E6670" s="528" t="s">
        <v>264</v>
      </c>
      <c r="F6670" s="528"/>
      <c r="G6670" s="528" t="s">
        <v>205</v>
      </c>
      <c r="H6670"/>
    </row>
    <row r="6671" spans="1:8" x14ac:dyDescent="0.35">
      <c r="A6671" s="528" t="s">
        <v>19276</v>
      </c>
      <c r="B6671" s="528" t="s">
        <v>19277</v>
      </c>
      <c r="C6671" s="528" t="s">
        <v>1353</v>
      </c>
      <c r="D6671" s="528" t="s">
        <v>264</v>
      </c>
      <c r="E6671" s="528"/>
      <c r="F6671" s="528"/>
      <c r="G6671" s="528" t="s">
        <v>210</v>
      </c>
      <c r="H6671"/>
    </row>
    <row r="6672" spans="1:8" x14ac:dyDescent="0.35">
      <c r="A6672" s="528" t="s">
        <v>19278</v>
      </c>
      <c r="B6672" s="528" t="s">
        <v>19279</v>
      </c>
      <c r="C6672" s="528" t="s">
        <v>19280</v>
      </c>
      <c r="D6672" s="528" t="s">
        <v>264</v>
      </c>
      <c r="E6672" s="528" t="s">
        <v>277</v>
      </c>
      <c r="F6672" s="528"/>
      <c r="G6672" s="528" t="s">
        <v>205</v>
      </c>
      <c r="H6672"/>
    </row>
    <row r="6673" spans="1:8" x14ac:dyDescent="0.35">
      <c r="A6673" s="528" t="s">
        <v>19281</v>
      </c>
      <c r="B6673" s="528" t="s">
        <v>19282</v>
      </c>
      <c r="C6673" s="528" t="s">
        <v>19283</v>
      </c>
      <c r="D6673" s="528" t="s">
        <v>264</v>
      </c>
      <c r="E6673" s="528"/>
      <c r="F6673" s="528"/>
      <c r="G6673" s="528" t="s">
        <v>205</v>
      </c>
      <c r="H6673"/>
    </row>
    <row r="6674" spans="1:8" x14ac:dyDescent="0.35">
      <c r="A6674" s="528" t="s">
        <v>19284</v>
      </c>
      <c r="B6674" s="528" t="s">
        <v>19285</v>
      </c>
      <c r="C6674" s="528" t="s">
        <v>19286</v>
      </c>
      <c r="D6674" s="528" t="s">
        <v>264</v>
      </c>
      <c r="E6674" s="528"/>
      <c r="F6674" s="528"/>
      <c r="G6674" s="528" t="s">
        <v>205</v>
      </c>
      <c r="H6674"/>
    </row>
    <row r="6675" spans="1:8" x14ac:dyDescent="0.35">
      <c r="A6675" s="528" t="s">
        <v>19287</v>
      </c>
      <c r="B6675" s="528" t="s">
        <v>19288</v>
      </c>
      <c r="C6675" s="528" t="s">
        <v>19289</v>
      </c>
      <c r="D6675" s="528" t="s">
        <v>264</v>
      </c>
      <c r="E6675" s="528"/>
      <c r="F6675" s="528"/>
      <c r="G6675" s="528" t="s">
        <v>210</v>
      </c>
      <c r="H6675"/>
    </row>
    <row r="6676" spans="1:8" x14ac:dyDescent="0.35">
      <c r="A6676" s="528" t="s">
        <v>19290</v>
      </c>
      <c r="B6676" s="528" t="s">
        <v>19291</v>
      </c>
      <c r="C6676" s="528" t="s">
        <v>19292</v>
      </c>
      <c r="D6676" s="528" t="s">
        <v>264</v>
      </c>
      <c r="E6676" s="528"/>
      <c r="F6676" s="528"/>
      <c r="G6676" s="528" t="s">
        <v>210</v>
      </c>
      <c r="H6676"/>
    </row>
    <row r="6677" spans="1:8" x14ac:dyDescent="0.35">
      <c r="A6677" s="528" t="s">
        <v>19293</v>
      </c>
      <c r="B6677" s="528" t="s">
        <v>19294</v>
      </c>
      <c r="C6677" s="528" t="s">
        <v>19295</v>
      </c>
      <c r="D6677" s="528" t="s">
        <v>277</v>
      </c>
      <c r="E6677" s="528"/>
      <c r="F6677" s="528"/>
      <c r="G6677" s="528" t="s">
        <v>208</v>
      </c>
      <c r="H6677"/>
    </row>
    <row r="6678" spans="1:8" x14ac:dyDescent="0.35">
      <c r="A6678" s="528" t="s">
        <v>19296</v>
      </c>
      <c r="B6678" s="528" t="s">
        <v>19297</v>
      </c>
      <c r="C6678" s="528" t="s">
        <v>19298</v>
      </c>
      <c r="D6678" s="528" t="s">
        <v>264</v>
      </c>
      <c r="E6678" s="528"/>
      <c r="F6678" s="528"/>
      <c r="G6678" s="528" t="s">
        <v>205</v>
      </c>
      <c r="H6678"/>
    </row>
    <row r="6679" spans="1:8" x14ac:dyDescent="0.35">
      <c r="A6679" s="528" t="s">
        <v>19299</v>
      </c>
      <c r="B6679" s="528" t="s">
        <v>19300</v>
      </c>
      <c r="C6679" s="528" t="s">
        <v>19301</v>
      </c>
      <c r="D6679" s="528" t="s">
        <v>277</v>
      </c>
      <c r="E6679" s="528"/>
      <c r="F6679" s="528"/>
      <c r="G6679" s="528" t="s">
        <v>205</v>
      </c>
      <c r="H6679"/>
    </row>
    <row r="6680" spans="1:8" x14ac:dyDescent="0.35">
      <c r="A6680" s="528" t="s">
        <v>19302</v>
      </c>
      <c r="B6680" s="528" t="s">
        <v>19303</v>
      </c>
      <c r="C6680" s="528" t="s">
        <v>19304</v>
      </c>
      <c r="D6680" s="528" t="s">
        <v>251</v>
      </c>
      <c r="E6680" s="528"/>
      <c r="F6680" s="528"/>
      <c r="G6680" s="528" t="s">
        <v>205</v>
      </c>
      <c r="H6680"/>
    </row>
    <row r="6681" spans="1:8" x14ac:dyDescent="0.35">
      <c r="A6681" s="528" t="s">
        <v>19305</v>
      </c>
      <c r="B6681" s="528" t="s">
        <v>19306</v>
      </c>
      <c r="C6681" s="528" t="s">
        <v>19307</v>
      </c>
      <c r="D6681" s="528" t="s">
        <v>251</v>
      </c>
      <c r="E6681" s="528"/>
      <c r="F6681" s="528"/>
      <c r="G6681" s="528" t="s">
        <v>205</v>
      </c>
      <c r="H6681"/>
    </row>
    <row r="6682" spans="1:8" x14ac:dyDescent="0.35">
      <c r="A6682" s="528" t="s">
        <v>19308</v>
      </c>
      <c r="B6682" s="528" t="s">
        <v>19309</v>
      </c>
      <c r="C6682" s="528" t="s">
        <v>19310</v>
      </c>
      <c r="D6682" s="528" t="s">
        <v>251</v>
      </c>
      <c r="E6682" s="528"/>
      <c r="F6682" s="528"/>
      <c r="G6682" s="528" t="s">
        <v>205</v>
      </c>
      <c r="H6682"/>
    </row>
    <row r="6683" spans="1:8" x14ac:dyDescent="0.35">
      <c r="A6683" s="528" t="s">
        <v>19311</v>
      </c>
      <c r="B6683" s="528" t="s">
        <v>19312</v>
      </c>
      <c r="C6683" s="528" t="s">
        <v>19313</v>
      </c>
      <c r="D6683" s="528" t="s">
        <v>251</v>
      </c>
      <c r="E6683" s="528"/>
      <c r="F6683" s="528"/>
      <c r="G6683" s="528" t="s">
        <v>205</v>
      </c>
      <c r="H6683"/>
    </row>
    <row r="6684" spans="1:8" x14ac:dyDescent="0.35">
      <c r="A6684" s="528" t="s">
        <v>19314</v>
      </c>
      <c r="B6684" s="528" t="s">
        <v>19315</v>
      </c>
      <c r="C6684" s="528" t="s">
        <v>19316</v>
      </c>
      <c r="D6684" s="528" t="s">
        <v>251</v>
      </c>
      <c r="E6684" s="528"/>
      <c r="F6684" s="528"/>
      <c r="G6684" s="528" t="s">
        <v>205</v>
      </c>
      <c r="H6684"/>
    </row>
    <row r="6685" spans="1:8" x14ac:dyDescent="0.35">
      <c r="A6685" s="528" t="s">
        <v>19317</v>
      </c>
      <c r="B6685" s="528" t="s">
        <v>19318</v>
      </c>
      <c r="C6685" s="528" t="s">
        <v>19319</v>
      </c>
      <c r="D6685" s="528" t="s">
        <v>251</v>
      </c>
      <c r="E6685" s="528"/>
      <c r="F6685" s="528"/>
      <c r="G6685" s="528" t="s">
        <v>205</v>
      </c>
      <c r="H6685"/>
    </row>
    <row r="6686" spans="1:8" x14ac:dyDescent="0.35">
      <c r="A6686" s="528" t="s">
        <v>19320</v>
      </c>
      <c r="B6686" s="528" t="s">
        <v>19321</v>
      </c>
      <c r="C6686" s="528" t="s">
        <v>19322</v>
      </c>
      <c r="D6686" s="528" t="s">
        <v>264</v>
      </c>
      <c r="E6686" s="528"/>
      <c r="F6686" s="528"/>
      <c r="G6686" s="528" t="s">
        <v>205</v>
      </c>
      <c r="H6686"/>
    </row>
    <row r="6687" spans="1:8" x14ac:dyDescent="0.35">
      <c r="A6687" s="528" t="s">
        <v>19323</v>
      </c>
      <c r="B6687" s="528" t="s">
        <v>19324</v>
      </c>
      <c r="C6687" s="528" t="s">
        <v>19325</v>
      </c>
      <c r="D6687" s="528" t="s">
        <v>264</v>
      </c>
      <c r="E6687" s="528"/>
      <c r="F6687" s="528"/>
      <c r="G6687" s="528" t="s">
        <v>205</v>
      </c>
      <c r="H6687"/>
    </row>
    <row r="6688" spans="1:8" x14ac:dyDescent="0.35">
      <c r="A6688" s="528" t="s">
        <v>19326</v>
      </c>
      <c r="B6688" s="528" t="s">
        <v>19327</v>
      </c>
      <c r="C6688" s="528" t="s">
        <v>19328</v>
      </c>
      <c r="D6688" s="528" t="s">
        <v>264</v>
      </c>
      <c r="E6688" s="528"/>
      <c r="F6688" s="528"/>
      <c r="G6688" s="528" t="s">
        <v>205</v>
      </c>
      <c r="H6688"/>
    </row>
    <row r="6689" spans="1:8" x14ac:dyDescent="0.35">
      <c r="A6689" s="528" t="s">
        <v>19329</v>
      </c>
      <c r="B6689" s="528" t="s">
        <v>19330</v>
      </c>
      <c r="C6689" s="528" t="s">
        <v>19331</v>
      </c>
      <c r="D6689" s="528" t="s">
        <v>264</v>
      </c>
      <c r="E6689" s="528"/>
      <c r="F6689" s="528"/>
      <c r="G6689" s="528" t="s">
        <v>210</v>
      </c>
      <c r="H6689"/>
    </row>
    <row r="6690" spans="1:8" x14ac:dyDescent="0.35">
      <c r="A6690" s="528" t="s">
        <v>19332</v>
      </c>
      <c r="B6690" s="528" t="s">
        <v>19333</v>
      </c>
      <c r="C6690" s="528" t="s">
        <v>19334</v>
      </c>
      <c r="D6690" s="528" t="s">
        <v>264</v>
      </c>
      <c r="E6690" s="528"/>
      <c r="F6690" s="528"/>
      <c r="G6690" s="528" t="s">
        <v>205</v>
      </c>
      <c r="H6690"/>
    </row>
    <row r="6691" spans="1:8" x14ac:dyDescent="0.35">
      <c r="A6691" s="528" t="s">
        <v>19335</v>
      </c>
      <c r="B6691" s="528" t="s">
        <v>19336</v>
      </c>
      <c r="C6691" s="528" t="s">
        <v>19337</v>
      </c>
      <c r="D6691" s="528" t="s">
        <v>225</v>
      </c>
      <c r="E6691" s="528"/>
      <c r="F6691" s="528"/>
      <c r="G6691" s="528" t="s">
        <v>208</v>
      </c>
      <c r="H6691"/>
    </row>
    <row r="6692" spans="1:8" x14ac:dyDescent="0.35">
      <c r="A6692" s="528" t="s">
        <v>19338</v>
      </c>
      <c r="B6692" s="528" t="s">
        <v>19339</v>
      </c>
      <c r="C6692" s="528" t="s">
        <v>19340</v>
      </c>
      <c r="D6692" s="528" t="s">
        <v>264</v>
      </c>
      <c r="E6692" s="528"/>
      <c r="F6692" s="528"/>
      <c r="G6692" s="528" t="s">
        <v>208</v>
      </c>
      <c r="H6692"/>
    </row>
    <row r="6693" spans="1:8" x14ac:dyDescent="0.35">
      <c r="A6693" s="528" t="s">
        <v>19341</v>
      </c>
      <c r="B6693" s="528" t="s">
        <v>19342</v>
      </c>
      <c r="C6693" s="528" t="s">
        <v>19343</v>
      </c>
      <c r="D6693" s="528" t="s">
        <v>264</v>
      </c>
      <c r="E6693" s="528"/>
      <c r="F6693" s="528"/>
      <c r="G6693" s="528" t="s">
        <v>212</v>
      </c>
      <c r="H6693"/>
    </row>
    <row r="6694" spans="1:8" x14ac:dyDescent="0.35">
      <c r="A6694" s="528" t="s">
        <v>19344</v>
      </c>
      <c r="B6694" s="528" t="s">
        <v>19345</v>
      </c>
      <c r="C6694" s="528" t="s">
        <v>19346</v>
      </c>
      <c r="D6694" s="528" t="s">
        <v>251</v>
      </c>
      <c r="E6694" s="528"/>
      <c r="F6694" s="528"/>
      <c r="G6694" s="528" t="s">
        <v>208</v>
      </c>
      <c r="H6694"/>
    </row>
    <row r="6695" spans="1:8" x14ac:dyDescent="0.35">
      <c r="A6695" s="528" t="s">
        <v>19347</v>
      </c>
      <c r="B6695" s="528" t="s">
        <v>19348</v>
      </c>
      <c r="C6695" s="528" t="s">
        <v>19349</v>
      </c>
      <c r="D6695" s="528" t="s">
        <v>251</v>
      </c>
      <c r="E6695" s="528"/>
      <c r="F6695" s="528"/>
      <c r="G6695" s="528" t="s">
        <v>208</v>
      </c>
      <c r="H6695"/>
    </row>
    <row r="6696" spans="1:8" x14ac:dyDescent="0.35">
      <c r="A6696" s="528" t="s">
        <v>19350</v>
      </c>
      <c r="B6696" s="528" t="s">
        <v>19351</v>
      </c>
      <c r="C6696" s="528" t="s">
        <v>19352</v>
      </c>
      <c r="D6696" s="528" t="s">
        <v>251</v>
      </c>
      <c r="E6696" s="528"/>
      <c r="F6696" s="528"/>
      <c r="G6696" s="528" t="s">
        <v>208</v>
      </c>
      <c r="H6696"/>
    </row>
    <row r="6697" spans="1:8" x14ac:dyDescent="0.35">
      <c r="A6697" s="528" t="s">
        <v>19353</v>
      </c>
      <c r="B6697" s="528" t="s">
        <v>19354</v>
      </c>
      <c r="C6697" s="528" t="s">
        <v>19355</v>
      </c>
      <c r="D6697" s="528" t="s">
        <v>225</v>
      </c>
      <c r="E6697" s="528"/>
      <c r="F6697" s="528"/>
      <c r="G6697" s="528" t="s">
        <v>205</v>
      </c>
      <c r="H6697"/>
    </row>
    <row r="6698" spans="1:8" x14ac:dyDescent="0.35">
      <c r="A6698" s="528" t="s">
        <v>19356</v>
      </c>
      <c r="B6698" s="528" t="s">
        <v>19357</v>
      </c>
      <c r="C6698" s="528" t="s">
        <v>19358</v>
      </c>
      <c r="D6698" s="528" t="s">
        <v>225</v>
      </c>
      <c r="E6698" s="528"/>
      <c r="F6698" s="528"/>
      <c r="G6698" s="528" t="s">
        <v>208</v>
      </c>
      <c r="H6698"/>
    </row>
    <row r="6699" spans="1:8" x14ac:dyDescent="0.35">
      <c r="A6699" s="528" t="s">
        <v>19359</v>
      </c>
      <c r="B6699" s="528" t="s">
        <v>19360</v>
      </c>
      <c r="C6699" s="528" t="s">
        <v>19361</v>
      </c>
      <c r="D6699" s="528" t="s">
        <v>277</v>
      </c>
      <c r="E6699" s="528"/>
      <c r="F6699" s="528"/>
      <c r="G6699" s="528" t="s">
        <v>212</v>
      </c>
      <c r="H6699"/>
    </row>
    <row r="6700" spans="1:8" x14ac:dyDescent="0.35">
      <c r="A6700" s="528" t="s">
        <v>19362</v>
      </c>
      <c r="B6700" s="528" t="s">
        <v>19363</v>
      </c>
      <c r="C6700" s="528" t="s">
        <v>19364</v>
      </c>
      <c r="D6700" s="528" t="s">
        <v>277</v>
      </c>
      <c r="E6700" s="528"/>
      <c r="F6700" s="528"/>
      <c r="G6700" s="528" t="s">
        <v>208</v>
      </c>
      <c r="H6700"/>
    </row>
    <row r="6701" spans="1:8" x14ac:dyDescent="0.35">
      <c r="A6701" s="528" t="s">
        <v>19365</v>
      </c>
      <c r="B6701" s="528" t="s">
        <v>19366</v>
      </c>
      <c r="C6701" s="528" t="s">
        <v>19367</v>
      </c>
      <c r="D6701" s="528" t="s">
        <v>264</v>
      </c>
      <c r="E6701" s="528"/>
      <c r="F6701" s="528"/>
      <c r="G6701" s="528" t="s">
        <v>208</v>
      </c>
      <c r="H6701"/>
    </row>
    <row r="6702" spans="1:8" x14ac:dyDescent="0.35">
      <c r="A6702" s="528" t="s">
        <v>19368</v>
      </c>
      <c r="B6702" s="528" t="s">
        <v>19369</v>
      </c>
      <c r="C6702" s="528" t="s">
        <v>19370</v>
      </c>
      <c r="D6702" s="528" t="s">
        <v>264</v>
      </c>
      <c r="E6702" s="528"/>
      <c r="F6702" s="528"/>
      <c r="G6702" s="528" t="s">
        <v>208</v>
      </c>
      <c r="H6702"/>
    </row>
    <row r="6703" spans="1:8" x14ac:dyDescent="0.35">
      <c r="A6703" s="528" t="s">
        <v>19371</v>
      </c>
      <c r="B6703" s="528" t="s">
        <v>19372</v>
      </c>
      <c r="C6703" s="528" t="s">
        <v>19373</v>
      </c>
      <c r="D6703" s="528" t="s">
        <v>225</v>
      </c>
      <c r="E6703" s="528"/>
      <c r="F6703" s="528"/>
      <c r="G6703" s="528" t="s">
        <v>208</v>
      </c>
      <c r="H6703"/>
    </row>
    <row r="6704" spans="1:8" x14ac:dyDescent="0.35">
      <c r="A6704" s="528" t="s">
        <v>19374</v>
      </c>
      <c r="B6704" s="528" t="s">
        <v>19375</v>
      </c>
      <c r="C6704" s="528" t="s">
        <v>19376</v>
      </c>
      <c r="D6704" s="528" t="s">
        <v>277</v>
      </c>
      <c r="E6704" s="528"/>
      <c r="F6704" s="528"/>
      <c r="G6704" s="528" t="s">
        <v>212</v>
      </c>
      <c r="H6704"/>
    </row>
    <row r="6705" spans="1:8" x14ac:dyDescent="0.35">
      <c r="A6705" s="528" t="s">
        <v>19377</v>
      </c>
      <c r="B6705" s="528" t="s">
        <v>19378</v>
      </c>
      <c r="C6705" s="528" t="s">
        <v>19379</v>
      </c>
      <c r="D6705" s="528" t="s">
        <v>277</v>
      </c>
      <c r="E6705" s="528"/>
      <c r="F6705" s="528"/>
      <c r="G6705" s="528" t="s">
        <v>212</v>
      </c>
      <c r="H6705"/>
    </row>
    <row r="6706" spans="1:8" x14ac:dyDescent="0.35">
      <c r="A6706" s="528" t="s">
        <v>19380</v>
      </c>
      <c r="B6706" s="528" t="s">
        <v>19381</v>
      </c>
      <c r="C6706" s="528" t="s">
        <v>19382</v>
      </c>
      <c r="D6706" s="528" t="s">
        <v>277</v>
      </c>
      <c r="E6706" s="528"/>
      <c r="F6706" s="528"/>
      <c r="G6706" s="528" t="s">
        <v>208</v>
      </c>
      <c r="H6706"/>
    </row>
    <row r="6707" spans="1:8" x14ac:dyDescent="0.35">
      <c r="A6707" s="528" t="s">
        <v>19383</v>
      </c>
      <c r="B6707" s="528" t="s">
        <v>19384</v>
      </c>
      <c r="C6707" s="528" t="s">
        <v>19385</v>
      </c>
      <c r="D6707" s="528" t="s">
        <v>264</v>
      </c>
      <c r="E6707" s="528"/>
      <c r="F6707" s="528"/>
      <c r="G6707" s="528" t="s">
        <v>205</v>
      </c>
      <c r="H6707"/>
    </row>
    <row r="6708" spans="1:8" x14ac:dyDescent="0.35">
      <c r="A6708" s="528" t="s">
        <v>19386</v>
      </c>
      <c r="B6708" s="528" t="s">
        <v>19387</v>
      </c>
      <c r="C6708" s="528" t="s">
        <v>19388</v>
      </c>
      <c r="D6708" s="528" t="s">
        <v>264</v>
      </c>
      <c r="E6708" s="528"/>
      <c r="F6708" s="528"/>
      <c r="G6708" s="528" t="s">
        <v>205</v>
      </c>
      <c r="H6708"/>
    </row>
    <row r="6709" spans="1:8" x14ac:dyDescent="0.35">
      <c r="A6709" s="528" t="s">
        <v>19389</v>
      </c>
      <c r="B6709" s="528" t="s">
        <v>19390</v>
      </c>
      <c r="C6709" s="528" t="s">
        <v>19391</v>
      </c>
      <c r="D6709" s="528" t="s">
        <v>277</v>
      </c>
      <c r="E6709" s="528"/>
      <c r="F6709" s="528"/>
      <c r="G6709" s="528" t="s">
        <v>205</v>
      </c>
      <c r="H6709"/>
    </row>
    <row r="6710" spans="1:8" x14ac:dyDescent="0.35">
      <c r="A6710" s="528" t="s">
        <v>19392</v>
      </c>
      <c r="B6710" s="528" t="s">
        <v>19393</v>
      </c>
      <c r="C6710" s="528" t="s">
        <v>19394</v>
      </c>
      <c r="D6710" s="528" t="s">
        <v>264</v>
      </c>
      <c r="E6710" s="528"/>
      <c r="F6710" s="528"/>
      <c r="G6710" s="528" t="s">
        <v>208</v>
      </c>
      <c r="H6710"/>
    </row>
    <row r="6711" spans="1:8" x14ac:dyDescent="0.35">
      <c r="A6711" s="528" t="s">
        <v>19395</v>
      </c>
      <c r="B6711" s="528" t="s">
        <v>19396</v>
      </c>
      <c r="C6711" s="528" t="s">
        <v>19397</v>
      </c>
      <c r="D6711" s="528" t="s">
        <v>264</v>
      </c>
      <c r="E6711" s="528"/>
      <c r="F6711" s="528"/>
      <c r="G6711" s="528" t="s">
        <v>212</v>
      </c>
      <c r="H6711"/>
    </row>
    <row r="6712" spans="1:8" x14ac:dyDescent="0.35">
      <c r="A6712" s="528" t="s">
        <v>19398</v>
      </c>
      <c r="B6712" s="528" t="s">
        <v>19399</v>
      </c>
      <c r="C6712" s="528" t="s">
        <v>19400</v>
      </c>
      <c r="D6712" s="528" t="s">
        <v>277</v>
      </c>
      <c r="E6712" s="528"/>
      <c r="F6712" s="528"/>
      <c r="G6712" s="528" t="s">
        <v>208</v>
      </c>
      <c r="H6712"/>
    </row>
    <row r="6713" spans="1:8" x14ac:dyDescent="0.35">
      <c r="A6713" s="528" t="s">
        <v>19401</v>
      </c>
      <c r="B6713" s="528" t="s">
        <v>19402</v>
      </c>
      <c r="C6713" s="528" t="s">
        <v>19403</v>
      </c>
      <c r="D6713" s="528" t="s">
        <v>277</v>
      </c>
      <c r="E6713" s="528"/>
      <c r="F6713" s="528"/>
      <c r="G6713" s="528" t="s">
        <v>208</v>
      </c>
      <c r="H6713"/>
    </row>
    <row r="6714" spans="1:8" x14ac:dyDescent="0.35">
      <c r="A6714" s="528" t="s">
        <v>19404</v>
      </c>
      <c r="B6714" s="528" t="s">
        <v>19405</v>
      </c>
      <c r="C6714" s="528" t="s">
        <v>19406</v>
      </c>
      <c r="D6714" s="528" t="s">
        <v>277</v>
      </c>
      <c r="E6714" s="528"/>
      <c r="F6714" s="528"/>
      <c r="G6714" s="528" t="s">
        <v>208</v>
      </c>
      <c r="H6714"/>
    </row>
    <row r="6715" spans="1:8" x14ac:dyDescent="0.35">
      <c r="A6715" s="528" t="s">
        <v>19407</v>
      </c>
      <c r="B6715" s="528" t="s">
        <v>19408</v>
      </c>
      <c r="C6715" s="528" t="s">
        <v>19409</v>
      </c>
      <c r="D6715" s="528" t="s">
        <v>277</v>
      </c>
      <c r="E6715" s="528"/>
      <c r="F6715" s="528"/>
      <c r="G6715" s="528" t="s">
        <v>214</v>
      </c>
      <c r="H6715"/>
    </row>
    <row r="6716" spans="1:8" x14ac:dyDescent="0.35">
      <c r="A6716" s="528" t="s">
        <v>19410</v>
      </c>
      <c r="B6716" s="528" t="s">
        <v>19411</v>
      </c>
      <c r="C6716" s="528" t="s">
        <v>19412</v>
      </c>
      <c r="D6716" s="528" t="s">
        <v>277</v>
      </c>
      <c r="E6716" s="528"/>
      <c r="F6716" s="528"/>
      <c r="G6716" s="528" t="s">
        <v>214</v>
      </c>
      <c r="H6716"/>
    </row>
    <row r="6717" spans="1:8" x14ac:dyDescent="0.35">
      <c r="A6717" s="528" t="s">
        <v>19413</v>
      </c>
      <c r="B6717" s="528" t="s">
        <v>19414</v>
      </c>
      <c r="C6717" s="528" t="s">
        <v>19415</v>
      </c>
      <c r="D6717" s="528" t="s">
        <v>277</v>
      </c>
      <c r="E6717" s="528"/>
      <c r="F6717" s="528"/>
      <c r="G6717" s="528" t="s">
        <v>212</v>
      </c>
      <c r="H6717"/>
    </row>
    <row r="6718" spans="1:8" x14ac:dyDescent="0.35">
      <c r="A6718" s="528" t="s">
        <v>19416</v>
      </c>
      <c r="B6718" s="528" t="s">
        <v>19417</v>
      </c>
      <c r="C6718" s="528" t="s">
        <v>19418</v>
      </c>
      <c r="D6718" s="528" t="s">
        <v>264</v>
      </c>
      <c r="E6718" s="528"/>
      <c r="F6718" s="528"/>
      <c r="G6718" s="528" t="s">
        <v>210</v>
      </c>
      <c r="H6718"/>
    </row>
    <row r="6719" spans="1:8" x14ac:dyDescent="0.35">
      <c r="A6719" s="528" t="s">
        <v>19419</v>
      </c>
      <c r="B6719" s="528" t="s">
        <v>19420</v>
      </c>
      <c r="C6719" s="528" t="s">
        <v>19421</v>
      </c>
      <c r="D6719" s="528" t="s">
        <v>264</v>
      </c>
      <c r="E6719" s="528"/>
      <c r="F6719" s="528"/>
      <c r="G6719" s="528" t="s">
        <v>205</v>
      </c>
      <c r="H6719"/>
    </row>
    <row r="6720" spans="1:8" x14ac:dyDescent="0.35">
      <c r="A6720" s="528" t="s">
        <v>19422</v>
      </c>
      <c r="B6720" s="528" t="s">
        <v>19423</v>
      </c>
      <c r="C6720" s="528" t="s">
        <v>19424</v>
      </c>
      <c r="D6720" s="528" t="s">
        <v>225</v>
      </c>
      <c r="E6720" s="528"/>
      <c r="F6720" s="528"/>
      <c r="G6720" s="528" t="s">
        <v>214</v>
      </c>
      <c r="H6720"/>
    </row>
    <row r="6721" spans="1:8" x14ac:dyDescent="0.35">
      <c r="A6721" s="528" t="s">
        <v>19425</v>
      </c>
      <c r="B6721" s="528" t="s">
        <v>19426</v>
      </c>
      <c r="C6721" s="528" t="s">
        <v>19400</v>
      </c>
      <c r="D6721" s="528" t="s">
        <v>277</v>
      </c>
      <c r="E6721" s="528"/>
      <c r="F6721" s="528"/>
      <c r="G6721" s="528" t="s">
        <v>208</v>
      </c>
      <c r="H6721"/>
    </row>
    <row r="6722" spans="1:8" x14ac:dyDescent="0.35">
      <c r="A6722" s="528" t="s">
        <v>19427</v>
      </c>
      <c r="B6722" s="528" t="s">
        <v>19428</v>
      </c>
      <c r="C6722" s="528" t="s">
        <v>19403</v>
      </c>
      <c r="D6722" s="528" t="s">
        <v>277</v>
      </c>
      <c r="E6722" s="528"/>
      <c r="F6722" s="528"/>
      <c r="G6722" s="528" t="s">
        <v>208</v>
      </c>
      <c r="H6722"/>
    </row>
    <row r="6723" spans="1:8" x14ac:dyDescent="0.35">
      <c r="A6723" s="528" t="s">
        <v>19429</v>
      </c>
      <c r="B6723" s="528" t="s">
        <v>19430</v>
      </c>
      <c r="C6723" s="528" t="s">
        <v>19431</v>
      </c>
      <c r="D6723" s="528" t="s">
        <v>277</v>
      </c>
      <c r="E6723" s="528"/>
      <c r="F6723" s="528"/>
      <c r="G6723" s="528" t="s">
        <v>208</v>
      </c>
      <c r="H6723"/>
    </row>
    <row r="6724" spans="1:8" x14ac:dyDescent="0.35">
      <c r="A6724" s="528" t="s">
        <v>19432</v>
      </c>
      <c r="B6724" s="528" t="s">
        <v>19433</v>
      </c>
      <c r="C6724" s="528" t="s">
        <v>19434</v>
      </c>
      <c r="D6724" s="528" t="s">
        <v>277</v>
      </c>
      <c r="E6724" s="528"/>
      <c r="F6724" s="528"/>
      <c r="G6724" s="528" t="s">
        <v>212</v>
      </c>
      <c r="H6724"/>
    </row>
    <row r="6725" spans="1:8" x14ac:dyDescent="0.35">
      <c r="A6725" s="528" t="s">
        <v>19435</v>
      </c>
      <c r="B6725" s="528" t="s">
        <v>19436</v>
      </c>
      <c r="C6725" s="528" t="s">
        <v>19437</v>
      </c>
      <c r="D6725" s="528" t="s">
        <v>238</v>
      </c>
      <c r="E6725" s="528"/>
      <c r="F6725" s="528"/>
      <c r="G6725" s="528" t="s">
        <v>208</v>
      </c>
      <c r="H6725"/>
    </row>
    <row r="6726" spans="1:8" x14ac:dyDescent="0.35">
      <c r="A6726" s="528" t="s">
        <v>19438</v>
      </c>
      <c r="B6726" s="528" t="s">
        <v>19439</v>
      </c>
      <c r="C6726" s="528" t="s">
        <v>19440</v>
      </c>
      <c r="D6726" s="528" t="s">
        <v>277</v>
      </c>
      <c r="E6726" s="528"/>
      <c r="F6726" s="528"/>
      <c r="G6726" s="528" t="s">
        <v>212</v>
      </c>
      <c r="H6726"/>
    </row>
    <row r="6727" spans="1:8" x14ac:dyDescent="0.35">
      <c r="A6727" s="528" t="s">
        <v>19441</v>
      </c>
      <c r="B6727" s="528" t="s">
        <v>19442</v>
      </c>
      <c r="C6727" s="528" t="s">
        <v>19443</v>
      </c>
      <c r="D6727" s="528" t="s">
        <v>264</v>
      </c>
      <c r="E6727" s="528"/>
      <c r="F6727" s="528"/>
      <c r="G6727" s="528" t="s">
        <v>205</v>
      </c>
      <c r="H6727"/>
    </row>
    <row r="6728" spans="1:8" x14ac:dyDescent="0.35">
      <c r="A6728" s="528" t="s">
        <v>19444</v>
      </c>
      <c r="B6728" s="528" t="s">
        <v>19445</v>
      </c>
      <c r="C6728" s="528" t="s">
        <v>2689</v>
      </c>
      <c r="D6728" s="528" t="s">
        <v>264</v>
      </c>
      <c r="E6728" s="528"/>
      <c r="F6728" s="528"/>
      <c r="G6728" s="528" t="s">
        <v>205</v>
      </c>
      <c r="H6728"/>
    </row>
    <row r="6729" spans="1:8" x14ac:dyDescent="0.35">
      <c r="A6729" s="528" t="s">
        <v>19446</v>
      </c>
      <c r="B6729" s="528" t="s">
        <v>19447</v>
      </c>
      <c r="C6729" s="528" t="s">
        <v>19448</v>
      </c>
      <c r="D6729" s="528" t="s">
        <v>225</v>
      </c>
      <c r="E6729" s="528"/>
      <c r="F6729" s="528"/>
      <c r="G6729" s="528" t="s">
        <v>205</v>
      </c>
      <c r="H6729"/>
    </row>
    <row r="6730" spans="1:8" x14ac:dyDescent="0.35">
      <c r="A6730" s="528" t="s">
        <v>19449</v>
      </c>
      <c r="B6730" s="528" t="s">
        <v>19450</v>
      </c>
      <c r="C6730" s="528" t="s">
        <v>19451</v>
      </c>
      <c r="D6730" s="528" t="s">
        <v>225</v>
      </c>
      <c r="E6730" s="528"/>
      <c r="F6730" s="528"/>
      <c r="G6730" s="528" t="s">
        <v>208</v>
      </c>
      <c r="H6730"/>
    </row>
    <row r="6731" spans="1:8" x14ac:dyDescent="0.35">
      <c r="A6731" s="528" t="s">
        <v>19452</v>
      </c>
      <c r="B6731" s="528" t="s">
        <v>19453</v>
      </c>
      <c r="C6731" s="528" t="s">
        <v>19454</v>
      </c>
      <c r="D6731" s="528" t="s">
        <v>251</v>
      </c>
      <c r="E6731" s="528"/>
      <c r="F6731" s="528"/>
      <c r="G6731" s="528" t="s">
        <v>205</v>
      </c>
      <c r="H6731"/>
    </row>
    <row r="6732" spans="1:8" x14ac:dyDescent="0.35">
      <c r="A6732" s="528" t="s">
        <v>19455</v>
      </c>
      <c r="B6732" s="528" t="s">
        <v>19456</v>
      </c>
      <c r="C6732" s="528" t="s">
        <v>19457</v>
      </c>
      <c r="D6732" s="528" t="s">
        <v>251</v>
      </c>
      <c r="E6732" s="528"/>
      <c r="F6732" s="528"/>
      <c r="G6732" s="528" t="s">
        <v>208</v>
      </c>
      <c r="H6732"/>
    </row>
    <row r="6733" spans="1:8" x14ac:dyDescent="0.35">
      <c r="A6733" s="528" t="s">
        <v>19458</v>
      </c>
      <c r="B6733" s="528" t="s">
        <v>19459</v>
      </c>
      <c r="C6733" s="528" t="s">
        <v>19460</v>
      </c>
      <c r="D6733" s="528" t="s">
        <v>277</v>
      </c>
      <c r="E6733" s="528"/>
      <c r="F6733" s="528"/>
      <c r="G6733" s="528" t="s">
        <v>212</v>
      </c>
      <c r="H6733"/>
    </row>
    <row r="6734" spans="1:8" x14ac:dyDescent="0.35">
      <c r="A6734" s="528" t="s">
        <v>19461</v>
      </c>
      <c r="B6734" s="528" t="s">
        <v>19462</v>
      </c>
      <c r="C6734" s="528" t="s">
        <v>19463</v>
      </c>
      <c r="D6734" s="528" t="s">
        <v>225</v>
      </c>
      <c r="E6734" s="528" t="s">
        <v>264</v>
      </c>
      <c r="F6734" s="528"/>
      <c r="G6734" s="528" t="s">
        <v>208</v>
      </c>
      <c r="H6734"/>
    </row>
    <row r="6735" spans="1:8" x14ac:dyDescent="0.35">
      <c r="A6735" s="528" t="s">
        <v>19464</v>
      </c>
      <c r="B6735" s="528" t="s">
        <v>19465</v>
      </c>
      <c r="C6735" s="528" t="s">
        <v>19466</v>
      </c>
      <c r="D6735" s="528" t="s">
        <v>225</v>
      </c>
      <c r="E6735" s="528" t="s">
        <v>264</v>
      </c>
      <c r="F6735" s="528"/>
      <c r="G6735" s="528" t="s">
        <v>208</v>
      </c>
      <c r="H6735"/>
    </row>
    <row r="6736" spans="1:8" x14ac:dyDescent="0.35">
      <c r="A6736" s="528" t="s">
        <v>19467</v>
      </c>
      <c r="B6736" s="528" t="s">
        <v>19468</v>
      </c>
      <c r="C6736" s="528" t="s">
        <v>19469</v>
      </c>
      <c r="D6736" s="528" t="s">
        <v>225</v>
      </c>
      <c r="E6736" s="528"/>
      <c r="F6736" s="528"/>
      <c r="G6736" s="528" t="s">
        <v>208</v>
      </c>
      <c r="H6736"/>
    </row>
    <row r="6737" spans="1:8" x14ac:dyDescent="0.35">
      <c r="A6737" s="528" t="s">
        <v>19470</v>
      </c>
      <c r="B6737" s="528" t="s">
        <v>19471</v>
      </c>
      <c r="C6737" s="528" t="s">
        <v>19472</v>
      </c>
      <c r="D6737" s="528" t="s">
        <v>225</v>
      </c>
      <c r="E6737" s="528"/>
      <c r="F6737" s="528"/>
      <c r="G6737" s="528" t="s">
        <v>208</v>
      </c>
      <c r="H6737"/>
    </row>
    <row r="6738" spans="1:8" x14ac:dyDescent="0.35">
      <c r="A6738" s="528" t="s">
        <v>19473</v>
      </c>
      <c r="B6738" s="528" t="s">
        <v>19474</v>
      </c>
      <c r="C6738" s="528" t="s">
        <v>19475</v>
      </c>
      <c r="D6738" s="528" t="s">
        <v>277</v>
      </c>
      <c r="E6738" s="528"/>
      <c r="F6738" s="528"/>
      <c r="G6738" s="528" t="s">
        <v>212</v>
      </c>
      <c r="H6738"/>
    </row>
    <row r="6739" spans="1:8" x14ac:dyDescent="0.35">
      <c r="A6739" s="528" t="s">
        <v>19476</v>
      </c>
      <c r="B6739" s="528" t="s">
        <v>19477</v>
      </c>
      <c r="C6739" s="528" t="s">
        <v>19478</v>
      </c>
      <c r="D6739" s="528" t="s">
        <v>277</v>
      </c>
      <c r="E6739" s="528"/>
      <c r="F6739" s="528"/>
      <c r="G6739" s="528" t="s">
        <v>212</v>
      </c>
      <c r="H6739"/>
    </row>
    <row r="6740" spans="1:8" x14ac:dyDescent="0.35">
      <c r="A6740" s="528" t="s">
        <v>19479</v>
      </c>
      <c r="B6740" s="528" t="s">
        <v>19480</v>
      </c>
      <c r="C6740" s="528" t="s">
        <v>19481</v>
      </c>
      <c r="D6740" s="528" t="s">
        <v>225</v>
      </c>
      <c r="E6740" s="528"/>
      <c r="F6740" s="528"/>
      <c r="G6740" s="528" t="s">
        <v>208</v>
      </c>
      <c r="H6740"/>
    </row>
    <row r="6741" spans="1:8" x14ac:dyDescent="0.35">
      <c r="A6741" s="528" t="s">
        <v>19482</v>
      </c>
      <c r="B6741" s="528" t="s">
        <v>19483</v>
      </c>
      <c r="C6741" s="528" t="s">
        <v>19484</v>
      </c>
      <c r="D6741" s="528" t="s">
        <v>225</v>
      </c>
      <c r="E6741" s="528"/>
      <c r="F6741" s="528"/>
      <c r="G6741" s="528" t="s">
        <v>205</v>
      </c>
      <c r="H6741"/>
    </row>
    <row r="6742" spans="1:8" x14ac:dyDescent="0.35">
      <c r="A6742" s="528" t="s">
        <v>19485</v>
      </c>
      <c r="B6742" s="528" t="s">
        <v>19486</v>
      </c>
      <c r="C6742" s="528" t="s">
        <v>19487</v>
      </c>
      <c r="D6742" s="528" t="s">
        <v>277</v>
      </c>
      <c r="E6742" s="528"/>
      <c r="F6742" s="528"/>
      <c r="G6742" s="528" t="s">
        <v>212</v>
      </c>
      <c r="H6742"/>
    </row>
    <row r="6743" spans="1:8" x14ac:dyDescent="0.35">
      <c r="A6743" s="528" t="s">
        <v>19488</v>
      </c>
      <c r="B6743" s="528" t="s">
        <v>19489</v>
      </c>
      <c r="C6743" s="528" t="s">
        <v>19490</v>
      </c>
      <c r="D6743" s="528" t="s">
        <v>264</v>
      </c>
      <c r="E6743" s="528"/>
      <c r="F6743" s="528"/>
      <c r="G6743" s="528" t="s">
        <v>205</v>
      </c>
      <c r="H6743"/>
    </row>
    <row r="6744" spans="1:8" x14ac:dyDescent="0.35">
      <c r="A6744" s="528" t="s">
        <v>19491</v>
      </c>
      <c r="B6744" s="528" t="s">
        <v>19492</v>
      </c>
      <c r="C6744" s="528" t="s">
        <v>19493</v>
      </c>
      <c r="D6744" s="528" t="s">
        <v>264</v>
      </c>
      <c r="E6744" s="528"/>
      <c r="F6744" s="528"/>
      <c r="G6744" s="528" t="s">
        <v>212</v>
      </c>
      <c r="H6744"/>
    </row>
    <row r="6745" spans="1:8" x14ac:dyDescent="0.35">
      <c r="A6745" s="528" t="s">
        <v>19494</v>
      </c>
      <c r="B6745" s="528" t="s">
        <v>19495</v>
      </c>
      <c r="C6745" s="528" t="s">
        <v>19496</v>
      </c>
      <c r="D6745" s="528" t="s">
        <v>277</v>
      </c>
      <c r="E6745" s="528"/>
      <c r="F6745" s="528"/>
      <c r="G6745" s="528" t="s">
        <v>212</v>
      </c>
      <c r="H6745"/>
    </row>
    <row r="6746" spans="1:8" x14ac:dyDescent="0.35">
      <c r="A6746" s="528" t="s">
        <v>19497</v>
      </c>
      <c r="B6746" s="528" t="s">
        <v>19498</v>
      </c>
      <c r="C6746" s="528" t="s">
        <v>19499</v>
      </c>
      <c r="D6746" s="528" t="s">
        <v>264</v>
      </c>
      <c r="E6746" s="528"/>
      <c r="F6746" s="528"/>
      <c r="G6746" s="528" t="s">
        <v>208</v>
      </c>
      <c r="H6746"/>
    </row>
    <row r="6747" spans="1:8" x14ac:dyDescent="0.35">
      <c r="A6747" s="528" t="s">
        <v>19500</v>
      </c>
      <c r="B6747" s="528" t="s">
        <v>19501</v>
      </c>
      <c r="C6747" s="528" t="s">
        <v>19502</v>
      </c>
      <c r="D6747" s="528" t="s">
        <v>264</v>
      </c>
      <c r="E6747" s="528"/>
      <c r="F6747" s="528"/>
      <c r="G6747" s="528" t="s">
        <v>208</v>
      </c>
      <c r="H6747"/>
    </row>
    <row r="6748" spans="1:8" x14ac:dyDescent="0.35">
      <c r="A6748" s="528" t="s">
        <v>19503</v>
      </c>
      <c r="B6748" s="528" t="s">
        <v>19504</v>
      </c>
      <c r="C6748" s="528" t="s">
        <v>19505</v>
      </c>
      <c r="D6748" s="528" t="s">
        <v>264</v>
      </c>
      <c r="E6748" s="528"/>
      <c r="F6748" s="528"/>
      <c r="G6748" s="528" t="s">
        <v>208</v>
      </c>
      <c r="H6748"/>
    </row>
    <row r="6749" spans="1:8" x14ac:dyDescent="0.35">
      <c r="A6749" s="528" t="s">
        <v>19506</v>
      </c>
      <c r="B6749" s="528" t="s">
        <v>19507</v>
      </c>
      <c r="C6749" s="528" t="s">
        <v>19508</v>
      </c>
      <c r="D6749" s="528" t="s">
        <v>264</v>
      </c>
      <c r="E6749" s="528"/>
      <c r="F6749" s="528"/>
      <c r="G6749" s="528" t="s">
        <v>208</v>
      </c>
      <c r="H6749"/>
    </row>
    <row r="6750" spans="1:8" x14ac:dyDescent="0.35">
      <c r="A6750" s="528" t="s">
        <v>19509</v>
      </c>
      <c r="B6750" s="528" t="s">
        <v>19510</v>
      </c>
      <c r="C6750" s="528" t="s">
        <v>19511</v>
      </c>
      <c r="D6750" s="528" t="s">
        <v>264</v>
      </c>
      <c r="E6750" s="528"/>
      <c r="F6750" s="528"/>
      <c r="G6750" s="528" t="s">
        <v>208</v>
      </c>
      <c r="H6750"/>
    </row>
    <row r="6751" spans="1:8" x14ac:dyDescent="0.35">
      <c r="A6751" s="528" t="s">
        <v>19512</v>
      </c>
      <c r="B6751" s="528" t="s">
        <v>19513</v>
      </c>
      <c r="C6751" s="528" t="s">
        <v>19514</v>
      </c>
      <c r="D6751" s="528" t="s">
        <v>264</v>
      </c>
      <c r="E6751" s="528"/>
      <c r="F6751" s="528"/>
      <c r="G6751" s="528" t="s">
        <v>205</v>
      </c>
      <c r="H6751"/>
    </row>
    <row r="6752" spans="1:8" x14ac:dyDescent="0.35">
      <c r="A6752" s="528" t="s">
        <v>19515</v>
      </c>
      <c r="B6752" s="528" t="s">
        <v>19516</v>
      </c>
      <c r="C6752" s="528" t="s">
        <v>19517</v>
      </c>
      <c r="D6752" s="528" t="s">
        <v>264</v>
      </c>
      <c r="E6752" s="528"/>
      <c r="F6752" s="528"/>
      <c r="G6752" s="528" t="s">
        <v>212</v>
      </c>
      <c r="H6752"/>
    </row>
    <row r="6753" spans="1:8" x14ac:dyDescent="0.35">
      <c r="A6753" s="528" t="s">
        <v>19518</v>
      </c>
      <c r="B6753" s="528" t="s">
        <v>19519</v>
      </c>
      <c r="C6753" s="528" t="s">
        <v>19520</v>
      </c>
      <c r="D6753" s="528" t="s">
        <v>264</v>
      </c>
      <c r="E6753" s="528" t="s">
        <v>225</v>
      </c>
      <c r="F6753" s="528"/>
      <c r="G6753" s="528" t="s">
        <v>212</v>
      </c>
      <c r="H6753"/>
    </row>
    <row r="6754" spans="1:8" x14ac:dyDescent="0.35">
      <c r="A6754" s="528" t="s">
        <v>19521</v>
      </c>
      <c r="B6754" s="528" t="s">
        <v>19522</v>
      </c>
      <c r="C6754" s="528" t="s">
        <v>19523</v>
      </c>
      <c r="D6754" s="528" t="s">
        <v>264</v>
      </c>
      <c r="E6754" s="528" t="s">
        <v>277</v>
      </c>
      <c r="F6754" s="528"/>
      <c r="G6754" s="528" t="s">
        <v>212</v>
      </c>
      <c r="H6754"/>
    </row>
    <row r="6755" spans="1:8" x14ac:dyDescent="0.35">
      <c r="A6755" s="528" t="s">
        <v>19524</v>
      </c>
      <c r="B6755" s="528" t="s">
        <v>19525</v>
      </c>
      <c r="C6755" s="528" t="s">
        <v>19526</v>
      </c>
      <c r="D6755" s="528" t="s">
        <v>277</v>
      </c>
      <c r="E6755" s="528"/>
      <c r="F6755" s="528"/>
      <c r="G6755" s="528" t="s">
        <v>205</v>
      </c>
      <c r="H6755"/>
    </row>
    <row r="6756" spans="1:8" x14ac:dyDescent="0.35">
      <c r="A6756" s="528" t="s">
        <v>19527</v>
      </c>
      <c r="B6756" s="528" t="s">
        <v>19528</v>
      </c>
      <c r="C6756" s="528" t="s">
        <v>19529</v>
      </c>
      <c r="D6756" s="528" t="s">
        <v>264</v>
      </c>
      <c r="E6756" s="528"/>
      <c r="F6756" s="528"/>
      <c r="G6756" s="528" t="s">
        <v>212</v>
      </c>
      <c r="H6756"/>
    </row>
    <row r="6757" spans="1:8" x14ac:dyDescent="0.35">
      <c r="A6757" s="528" t="s">
        <v>19530</v>
      </c>
      <c r="B6757" s="528" t="s">
        <v>19531</v>
      </c>
      <c r="C6757" s="528" t="s">
        <v>19532</v>
      </c>
      <c r="D6757" s="528" t="s">
        <v>277</v>
      </c>
      <c r="E6757" s="528"/>
      <c r="F6757" s="528"/>
      <c r="G6757" s="528" t="s">
        <v>214</v>
      </c>
      <c r="H6757"/>
    </row>
    <row r="6758" spans="1:8" x14ac:dyDescent="0.35">
      <c r="A6758" s="528" t="s">
        <v>19533</v>
      </c>
      <c r="B6758" s="528" t="s">
        <v>19534</v>
      </c>
      <c r="C6758" s="528" t="s">
        <v>19535</v>
      </c>
      <c r="D6758" s="528" t="s">
        <v>277</v>
      </c>
      <c r="E6758" s="528"/>
      <c r="F6758" s="528"/>
      <c r="G6758" s="528" t="s">
        <v>208</v>
      </c>
      <c r="H6758"/>
    </row>
    <row r="6759" spans="1:8" x14ac:dyDescent="0.35">
      <c r="A6759" s="528" t="s">
        <v>19536</v>
      </c>
      <c r="B6759" s="528" t="s">
        <v>19537</v>
      </c>
      <c r="C6759" s="528" t="s">
        <v>19538</v>
      </c>
      <c r="D6759" s="528" t="s">
        <v>277</v>
      </c>
      <c r="E6759" s="528"/>
      <c r="F6759" s="528"/>
      <c r="G6759" s="528" t="s">
        <v>205</v>
      </c>
      <c r="H6759"/>
    </row>
    <row r="6760" spans="1:8" x14ac:dyDescent="0.35">
      <c r="A6760" s="528" t="s">
        <v>19539</v>
      </c>
      <c r="B6760" s="528" t="s">
        <v>19540</v>
      </c>
      <c r="C6760" s="528" t="s">
        <v>19541</v>
      </c>
      <c r="D6760" s="528" t="s">
        <v>238</v>
      </c>
      <c r="E6760" s="528"/>
      <c r="F6760" s="528"/>
      <c r="G6760" s="528" t="s">
        <v>208</v>
      </c>
      <c r="H6760"/>
    </row>
    <row r="6761" spans="1:8" x14ac:dyDescent="0.35">
      <c r="A6761" s="528" t="s">
        <v>19542</v>
      </c>
      <c r="B6761" s="528" t="s">
        <v>19543</v>
      </c>
      <c r="C6761" s="528" t="s">
        <v>19544</v>
      </c>
      <c r="D6761" s="528" t="s">
        <v>225</v>
      </c>
      <c r="E6761" s="528"/>
      <c r="F6761" s="528"/>
      <c r="G6761" s="528" t="s">
        <v>208</v>
      </c>
      <c r="H6761"/>
    </row>
    <row r="6762" spans="1:8" x14ac:dyDescent="0.35">
      <c r="A6762" s="528" t="s">
        <v>19545</v>
      </c>
      <c r="B6762" s="528" t="s">
        <v>19546</v>
      </c>
      <c r="C6762" s="528" t="s">
        <v>19547</v>
      </c>
      <c r="D6762" s="528" t="s">
        <v>277</v>
      </c>
      <c r="E6762" s="528"/>
      <c r="F6762" s="528"/>
      <c r="G6762" s="528" t="s">
        <v>212</v>
      </c>
      <c r="H6762"/>
    </row>
    <row r="6763" spans="1:8" x14ac:dyDescent="0.35">
      <c r="A6763" s="528" t="s">
        <v>19548</v>
      </c>
      <c r="B6763" s="528" t="s">
        <v>19549</v>
      </c>
      <c r="C6763" s="528" t="s">
        <v>19550</v>
      </c>
      <c r="D6763" s="528" t="s">
        <v>225</v>
      </c>
      <c r="E6763" s="528"/>
      <c r="F6763" s="528"/>
      <c r="G6763" s="528" t="s">
        <v>208</v>
      </c>
      <c r="H6763"/>
    </row>
    <row r="6764" spans="1:8" x14ac:dyDescent="0.35">
      <c r="A6764" s="528" t="s">
        <v>19551</v>
      </c>
      <c r="B6764" s="528" t="s">
        <v>19552</v>
      </c>
      <c r="C6764" s="528" t="s">
        <v>19553</v>
      </c>
      <c r="D6764" s="528" t="s">
        <v>264</v>
      </c>
      <c r="E6764" s="528"/>
      <c r="F6764" s="528"/>
      <c r="G6764" s="528" t="s">
        <v>208</v>
      </c>
      <c r="H6764"/>
    </row>
    <row r="6765" spans="1:8" x14ac:dyDescent="0.35">
      <c r="A6765" s="528" t="s">
        <v>19554</v>
      </c>
      <c r="B6765" s="528" t="s">
        <v>19555</v>
      </c>
      <c r="C6765" s="528" t="s">
        <v>19556</v>
      </c>
      <c r="D6765" s="528" t="s">
        <v>225</v>
      </c>
      <c r="E6765" s="528"/>
      <c r="F6765" s="528"/>
      <c r="G6765" s="528" t="s">
        <v>208</v>
      </c>
      <c r="H6765"/>
    </row>
    <row r="6766" spans="1:8" x14ac:dyDescent="0.35">
      <c r="A6766" s="528" t="s">
        <v>19557</v>
      </c>
      <c r="B6766" s="528" t="s">
        <v>19558</v>
      </c>
      <c r="C6766" s="528" t="s">
        <v>19559</v>
      </c>
      <c r="D6766" s="528" t="s">
        <v>264</v>
      </c>
      <c r="E6766" s="528"/>
      <c r="F6766" s="528"/>
      <c r="G6766" s="528" t="s">
        <v>208</v>
      </c>
      <c r="H6766"/>
    </row>
    <row r="6767" spans="1:8" x14ac:dyDescent="0.35">
      <c r="A6767" s="528" t="s">
        <v>19560</v>
      </c>
      <c r="B6767" s="528" t="s">
        <v>19561</v>
      </c>
      <c r="C6767" s="528" t="s">
        <v>19562</v>
      </c>
      <c r="D6767" s="528" t="s">
        <v>225</v>
      </c>
      <c r="E6767" s="528" t="s">
        <v>264</v>
      </c>
      <c r="F6767" s="528"/>
      <c r="G6767" s="528" t="s">
        <v>208</v>
      </c>
      <c r="H6767"/>
    </row>
    <row r="6768" spans="1:8" x14ac:dyDescent="0.35">
      <c r="A6768" s="528" t="s">
        <v>19563</v>
      </c>
      <c r="B6768" s="528" t="s">
        <v>19564</v>
      </c>
      <c r="C6768" s="528" t="s">
        <v>19565</v>
      </c>
      <c r="D6768" s="528" t="s">
        <v>264</v>
      </c>
      <c r="E6768" s="528"/>
      <c r="F6768" s="528"/>
      <c r="G6768" s="528" t="s">
        <v>205</v>
      </c>
      <c r="H6768"/>
    </row>
    <row r="6769" spans="1:8" x14ac:dyDescent="0.35">
      <c r="A6769" s="528" t="s">
        <v>19566</v>
      </c>
      <c r="B6769" s="528" t="s">
        <v>19567</v>
      </c>
      <c r="C6769" s="528" t="s">
        <v>19568</v>
      </c>
      <c r="D6769" s="528" t="s">
        <v>225</v>
      </c>
      <c r="E6769" s="528" t="s">
        <v>264</v>
      </c>
      <c r="F6769" s="528"/>
      <c r="G6769" s="528" t="s">
        <v>205</v>
      </c>
      <c r="H6769"/>
    </row>
    <row r="6770" spans="1:8" x14ac:dyDescent="0.35">
      <c r="A6770" s="528" t="s">
        <v>19569</v>
      </c>
      <c r="B6770" s="528" t="s">
        <v>19570</v>
      </c>
      <c r="C6770" s="528" t="s">
        <v>19571</v>
      </c>
      <c r="D6770" s="528" t="s">
        <v>225</v>
      </c>
      <c r="E6770" s="528"/>
      <c r="F6770" s="528"/>
      <c r="G6770" s="528" t="s">
        <v>208</v>
      </c>
      <c r="H6770"/>
    </row>
    <row r="6771" spans="1:8" x14ac:dyDescent="0.35">
      <c r="A6771" s="528" t="s">
        <v>19572</v>
      </c>
      <c r="B6771" s="528" t="s">
        <v>19573</v>
      </c>
      <c r="C6771" s="528" t="s">
        <v>19574</v>
      </c>
      <c r="D6771" s="528" t="s">
        <v>264</v>
      </c>
      <c r="E6771" s="528"/>
      <c r="F6771" s="528"/>
      <c r="G6771" s="528" t="s">
        <v>214</v>
      </c>
      <c r="H6771"/>
    </row>
    <row r="6772" spans="1:8" x14ac:dyDescent="0.35">
      <c r="A6772" s="528" t="s">
        <v>19575</v>
      </c>
      <c r="B6772" s="528" t="s">
        <v>19576</v>
      </c>
      <c r="C6772" s="528" t="s">
        <v>19577</v>
      </c>
      <c r="D6772" s="528" t="s">
        <v>277</v>
      </c>
      <c r="E6772" s="528"/>
      <c r="F6772" s="528"/>
      <c r="G6772" s="528" t="s">
        <v>208</v>
      </c>
      <c r="H6772"/>
    </row>
    <row r="6773" spans="1:8" x14ac:dyDescent="0.35">
      <c r="A6773" s="528" t="s">
        <v>19578</v>
      </c>
      <c r="B6773" s="528" t="s">
        <v>19579</v>
      </c>
      <c r="C6773" s="528" t="s">
        <v>19580</v>
      </c>
      <c r="D6773" s="528" t="s">
        <v>264</v>
      </c>
      <c r="E6773" s="528"/>
      <c r="F6773" s="528"/>
      <c r="G6773" s="528" t="s">
        <v>205</v>
      </c>
      <c r="H6773"/>
    </row>
    <row r="6774" spans="1:8" x14ac:dyDescent="0.35">
      <c r="A6774" s="528" t="s">
        <v>19581</v>
      </c>
      <c r="B6774" s="528" t="s">
        <v>19582</v>
      </c>
      <c r="C6774" s="528" t="s">
        <v>19583</v>
      </c>
      <c r="D6774" s="528" t="s">
        <v>251</v>
      </c>
      <c r="E6774" s="528"/>
      <c r="F6774" s="528"/>
      <c r="G6774" s="528" t="s">
        <v>208</v>
      </c>
      <c r="H6774"/>
    </row>
    <row r="6775" spans="1:8" x14ac:dyDescent="0.35">
      <c r="A6775" s="528" t="s">
        <v>19584</v>
      </c>
      <c r="B6775" s="528" t="s">
        <v>19585</v>
      </c>
      <c r="C6775" s="528" t="s">
        <v>19586</v>
      </c>
      <c r="D6775" s="528" t="s">
        <v>238</v>
      </c>
      <c r="E6775" s="528"/>
      <c r="F6775" s="528"/>
      <c r="G6775" s="528" t="s">
        <v>208</v>
      </c>
      <c r="H6775"/>
    </row>
    <row r="6776" spans="1:8" x14ac:dyDescent="0.35">
      <c r="A6776" s="528" t="s">
        <v>19587</v>
      </c>
      <c r="B6776" s="528" t="s">
        <v>19588</v>
      </c>
      <c r="C6776" s="528" t="s">
        <v>19589</v>
      </c>
      <c r="D6776" s="528" t="s">
        <v>277</v>
      </c>
      <c r="E6776" s="528"/>
      <c r="F6776" s="528"/>
      <c r="G6776" s="528" t="s">
        <v>205</v>
      </c>
      <c r="H6776"/>
    </row>
    <row r="6777" spans="1:8" x14ac:dyDescent="0.35">
      <c r="A6777" s="528" t="s">
        <v>19590</v>
      </c>
      <c r="B6777" s="528" t="s">
        <v>19591</v>
      </c>
      <c r="C6777" s="528" t="s">
        <v>19592</v>
      </c>
      <c r="D6777" s="528" t="s">
        <v>264</v>
      </c>
      <c r="E6777" s="528"/>
      <c r="F6777" s="528"/>
      <c r="G6777" s="528" t="s">
        <v>210</v>
      </c>
      <c r="H6777"/>
    </row>
    <row r="6778" spans="1:8" x14ac:dyDescent="0.35">
      <c r="A6778" s="528" t="s">
        <v>19593</v>
      </c>
      <c r="B6778" s="528" t="s">
        <v>19594</v>
      </c>
      <c r="C6778" s="528" t="s">
        <v>19595</v>
      </c>
      <c r="D6778" s="528" t="s">
        <v>251</v>
      </c>
      <c r="E6778" s="528"/>
      <c r="F6778" s="528"/>
      <c r="G6778" s="528" t="s">
        <v>208</v>
      </c>
      <c r="H6778"/>
    </row>
    <row r="6779" spans="1:8" x14ac:dyDescent="0.35">
      <c r="A6779" s="528" t="s">
        <v>19596</v>
      </c>
      <c r="B6779" s="528" t="s">
        <v>19597</v>
      </c>
      <c r="C6779" s="528" t="s">
        <v>19598</v>
      </c>
      <c r="D6779" s="528" t="s">
        <v>251</v>
      </c>
      <c r="E6779" s="528"/>
      <c r="F6779" s="528"/>
      <c r="G6779" s="528" t="s">
        <v>208</v>
      </c>
      <c r="H6779"/>
    </row>
    <row r="6780" spans="1:8" x14ac:dyDescent="0.35">
      <c r="A6780" s="528" t="s">
        <v>19599</v>
      </c>
      <c r="B6780" s="528" t="s">
        <v>19600</v>
      </c>
      <c r="C6780" s="528" t="s">
        <v>19601</v>
      </c>
      <c r="D6780" s="528" t="s">
        <v>277</v>
      </c>
      <c r="E6780" s="528"/>
      <c r="F6780" s="528"/>
      <c r="G6780" s="528" t="s">
        <v>208</v>
      </c>
      <c r="H6780"/>
    </row>
    <row r="6781" spans="1:8" x14ac:dyDescent="0.35">
      <c r="A6781" s="528" t="s">
        <v>19602</v>
      </c>
      <c r="B6781" s="528" t="s">
        <v>19603</v>
      </c>
      <c r="C6781" s="528" t="s">
        <v>19604</v>
      </c>
      <c r="D6781" s="528" t="s">
        <v>264</v>
      </c>
      <c r="E6781" s="528"/>
      <c r="F6781" s="528"/>
      <c r="G6781" s="528" t="s">
        <v>208</v>
      </c>
      <c r="H6781"/>
    </row>
    <row r="6782" spans="1:8" x14ac:dyDescent="0.35">
      <c r="A6782" s="528" t="s">
        <v>19605</v>
      </c>
      <c r="B6782" s="528" t="s">
        <v>19606</v>
      </c>
      <c r="C6782" s="528" t="s">
        <v>19607</v>
      </c>
      <c r="D6782" s="528" t="s">
        <v>225</v>
      </c>
      <c r="E6782" s="528"/>
      <c r="F6782" s="528"/>
      <c r="G6782" s="528" t="s">
        <v>208</v>
      </c>
      <c r="H6782"/>
    </row>
    <row r="6783" spans="1:8" x14ac:dyDescent="0.35">
      <c r="A6783" s="528" t="s">
        <v>19608</v>
      </c>
      <c r="B6783" s="528" t="s">
        <v>19609</v>
      </c>
      <c r="C6783" s="528" t="s">
        <v>19610</v>
      </c>
      <c r="D6783" s="528" t="s">
        <v>225</v>
      </c>
      <c r="E6783" s="528"/>
      <c r="F6783" s="528"/>
      <c r="G6783" s="528" t="s">
        <v>208</v>
      </c>
      <c r="H6783"/>
    </row>
    <row r="6784" spans="1:8" x14ac:dyDescent="0.35">
      <c r="A6784" s="528" t="s">
        <v>19611</v>
      </c>
      <c r="B6784" s="528" t="s">
        <v>19612</v>
      </c>
      <c r="C6784" s="528" t="s">
        <v>19613</v>
      </c>
      <c r="D6784" s="528" t="s">
        <v>225</v>
      </c>
      <c r="E6784" s="528"/>
      <c r="F6784" s="528"/>
      <c r="G6784" s="528" t="s">
        <v>208</v>
      </c>
      <c r="H6784"/>
    </row>
    <row r="6785" spans="1:8" x14ac:dyDescent="0.35">
      <c r="A6785" s="528" t="s">
        <v>19614</v>
      </c>
      <c r="B6785" s="528" t="s">
        <v>19615</v>
      </c>
      <c r="C6785" s="528" t="s">
        <v>19616</v>
      </c>
      <c r="D6785" s="528" t="s">
        <v>264</v>
      </c>
      <c r="E6785" s="528"/>
      <c r="F6785" s="528"/>
      <c r="G6785" s="528" t="s">
        <v>205</v>
      </c>
      <c r="H6785"/>
    </row>
    <row r="6786" spans="1:8" x14ac:dyDescent="0.35">
      <c r="A6786" s="528" t="s">
        <v>19617</v>
      </c>
      <c r="B6786" s="528" t="s">
        <v>19618</v>
      </c>
      <c r="C6786" s="528" t="s">
        <v>19619</v>
      </c>
      <c r="D6786" s="528" t="s">
        <v>277</v>
      </c>
      <c r="E6786" s="528"/>
      <c r="F6786" s="528"/>
      <c r="G6786" s="528" t="s">
        <v>212</v>
      </c>
      <c r="H6786"/>
    </row>
    <row r="6787" spans="1:8" x14ac:dyDescent="0.35">
      <c r="A6787" s="528" t="s">
        <v>19620</v>
      </c>
      <c r="B6787" s="528" t="s">
        <v>19621</v>
      </c>
      <c r="C6787" s="528" t="s">
        <v>19622</v>
      </c>
      <c r="D6787" s="528" t="s">
        <v>264</v>
      </c>
      <c r="E6787" s="528"/>
      <c r="F6787" s="528"/>
      <c r="G6787" s="528" t="s">
        <v>214</v>
      </c>
      <c r="H6787"/>
    </row>
    <row r="6788" spans="1:8" x14ac:dyDescent="0.35">
      <c r="A6788" s="528" t="s">
        <v>19623</v>
      </c>
      <c r="B6788" s="528" t="s">
        <v>19624</v>
      </c>
      <c r="C6788" s="528" t="s">
        <v>19625</v>
      </c>
      <c r="D6788" s="528" t="s">
        <v>264</v>
      </c>
      <c r="E6788" s="528"/>
      <c r="F6788" s="528"/>
      <c r="G6788" s="528" t="s">
        <v>214</v>
      </c>
      <c r="H6788"/>
    </row>
    <row r="6789" spans="1:8" x14ac:dyDescent="0.35">
      <c r="A6789" s="528" t="s">
        <v>19626</v>
      </c>
      <c r="B6789" s="528" t="s">
        <v>19627</v>
      </c>
      <c r="C6789" s="528" t="s">
        <v>19628</v>
      </c>
      <c r="D6789" s="528" t="s">
        <v>225</v>
      </c>
      <c r="E6789" s="528"/>
      <c r="F6789" s="528"/>
      <c r="G6789" s="528" t="s">
        <v>208</v>
      </c>
      <c r="H6789"/>
    </row>
    <row r="6790" spans="1:8" x14ac:dyDescent="0.35">
      <c r="A6790" s="528" t="s">
        <v>19629</v>
      </c>
      <c r="B6790" s="528" t="s">
        <v>19630</v>
      </c>
      <c r="C6790" s="528" t="s">
        <v>19631</v>
      </c>
      <c r="D6790" s="528" t="s">
        <v>225</v>
      </c>
      <c r="E6790" s="528"/>
      <c r="F6790" s="528"/>
      <c r="G6790" s="528" t="s">
        <v>208</v>
      </c>
      <c r="H6790"/>
    </row>
    <row r="6791" spans="1:8" x14ac:dyDescent="0.35">
      <c r="A6791" s="528" t="s">
        <v>19632</v>
      </c>
      <c r="B6791" s="528" t="s">
        <v>19633</v>
      </c>
      <c r="C6791" s="528" t="s">
        <v>19634</v>
      </c>
      <c r="D6791" s="528" t="s">
        <v>225</v>
      </c>
      <c r="E6791" s="528"/>
      <c r="F6791" s="528"/>
      <c r="G6791" s="528" t="s">
        <v>208</v>
      </c>
      <c r="H6791"/>
    </row>
    <row r="6792" spans="1:8" x14ac:dyDescent="0.35">
      <c r="A6792" s="528" t="s">
        <v>19635</v>
      </c>
      <c r="B6792" s="528" t="s">
        <v>19636</v>
      </c>
      <c r="C6792" s="528" t="s">
        <v>19637</v>
      </c>
      <c r="D6792" s="528" t="s">
        <v>225</v>
      </c>
      <c r="E6792" s="528"/>
      <c r="F6792" s="528"/>
      <c r="G6792" s="528" t="s">
        <v>205</v>
      </c>
      <c r="H6792"/>
    </row>
    <row r="6793" spans="1:8" x14ac:dyDescent="0.35">
      <c r="A6793" s="528" t="s">
        <v>19638</v>
      </c>
      <c r="B6793" s="528" t="s">
        <v>19639</v>
      </c>
      <c r="C6793" s="528" t="s">
        <v>19640</v>
      </c>
      <c r="D6793" s="528" t="s">
        <v>238</v>
      </c>
      <c r="E6793" s="528"/>
      <c r="F6793" s="528"/>
      <c r="G6793" s="528" t="s">
        <v>205</v>
      </c>
      <c r="H6793"/>
    </row>
    <row r="6794" spans="1:8" x14ac:dyDescent="0.35">
      <c r="A6794" s="528" t="s">
        <v>19641</v>
      </c>
      <c r="B6794" s="528" t="s">
        <v>19642</v>
      </c>
      <c r="C6794" s="528" t="s">
        <v>19643</v>
      </c>
      <c r="D6794" s="528" t="s">
        <v>238</v>
      </c>
      <c r="E6794" s="528"/>
      <c r="F6794" s="528"/>
      <c r="G6794" s="528" t="s">
        <v>208</v>
      </c>
      <c r="H6794"/>
    </row>
    <row r="6795" spans="1:8" x14ac:dyDescent="0.35">
      <c r="A6795" s="528" t="s">
        <v>19644</v>
      </c>
      <c r="B6795" s="528" t="s">
        <v>19645</v>
      </c>
      <c r="C6795" s="528" t="s">
        <v>19646</v>
      </c>
      <c r="D6795" s="528" t="s">
        <v>277</v>
      </c>
      <c r="E6795" s="528"/>
      <c r="F6795" s="528"/>
      <c r="G6795" s="528" t="s">
        <v>208</v>
      </c>
      <c r="H6795"/>
    </row>
    <row r="6796" spans="1:8" x14ac:dyDescent="0.35">
      <c r="A6796" s="528" t="s">
        <v>19647</v>
      </c>
      <c r="B6796" s="528" t="s">
        <v>19648</v>
      </c>
      <c r="C6796" s="528" t="s">
        <v>19649</v>
      </c>
      <c r="D6796" s="528" t="s">
        <v>277</v>
      </c>
      <c r="E6796" s="528"/>
      <c r="F6796" s="528"/>
      <c r="G6796" s="528" t="s">
        <v>212</v>
      </c>
      <c r="H6796"/>
    </row>
    <row r="6797" spans="1:8" x14ac:dyDescent="0.35">
      <c r="A6797" s="528" t="s">
        <v>19650</v>
      </c>
      <c r="B6797" s="528" t="s">
        <v>19651</v>
      </c>
      <c r="C6797" s="528" t="s">
        <v>19652</v>
      </c>
      <c r="D6797" s="528" t="s">
        <v>264</v>
      </c>
      <c r="E6797" s="528"/>
      <c r="F6797" s="528"/>
      <c r="G6797" s="528" t="s">
        <v>208</v>
      </c>
      <c r="H6797"/>
    </row>
    <row r="6798" spans="1:8" x14ac:dyDescent="0.35">
      <c r="A6798" s="528" t="s">
        <v>19653</v>
      </c>
      <c r="B6798" s="528" t="s">
        <v>19654</v>
      </c>
      <c r="C6798" s="528" t="s">
        <v>19655</v>
      </c>
      <c r="D6798" s="528" t="s">
        <v>264</v>
      </c>
      <c r="E6798" s="528"/>
      <c r="F6798" s="528"/>
      <c r="G6798" s="528" t="s">
        <v>208</v>
      </c>
      <c r="H6798"/>
    </row>
    <row r="6799" spans="1:8" x14ac:dyDescent="0.35">
      <c r="A6799" s="528" t="s">
        <v>19656</v>
      </c>
      <c r="B6799" s="528" t="s">
        <v>19657</v>
      </c>
      <c r="C6799" s="528" t="s">
        <v>19658</v>
      </c>
      <c r="D6799" s="528" t="s">
        <v>264</v>
      </c>
      <c r="E6799" s="528"/>
      <c r="F6799" s="528"/>
      <c r="G6799" s="528" t="s">
        <v>212</v>
      </c>
      <c r="H6799"/>
    </row>
    <row r="6800" spans="1:8" x14ac:dyDescent="0.35">
      <c r="A6800" s="528" t="s">
        <v>19659</v>
      </c>
      <c r="B6800" s="528" t="s">
        <v>19660</v>
      </c>
      <c r="C6800" s="528" t="s">
        <v>19661</v>
      </c>
      <c r="D6800" s="528" t="s">
        <v>277</v>
      </c>
      <c r="E6800" s="528"/>
      <c r="F6800" s="528"/>
      <c r="G6800" s="528" t="s">
        <v>212</v>
      </c>
      <c r="H6800"/>
    </row>
    <row r="6801" spans="1:8" x14ac:dyDescent="0.35">
      <c r="A6801" s="528" t="s">
        <v>19662</v>
      </c>
      <c r="B6801" s="528" t="s">
        <v>19663</v>
      </c>
      <c r="C6801" s="528" t="s">
        <v>19664</v>
      </c>
      <c r="D6801" s="528" t="s">
        <v>225</v>
      </c>
      <c r="E6801" s="528"/>
      <c r="F6801" s="528"/>
      <c r="G6801" s="528" t="s">
        <v>208</v>
      </c>
      <c r="H6801"/>
    </row>
    <row r="6802" spans="1:8" x14ac:dyDescent="0.35">
      <c r="A6802" s="528" t="s">
        <v>19665</v>
      </c>
      <c r="B6802" s="528" t="s">
        <v>19666</v>
      </c>
      <c r="C6802" s="528" t="s">
        <v>19667</v>
      </c>
      <c r="D6802" s="528" t="s">
        <v>277</v>
      </c>
      <c r="E6802" s="528" t="s">
        <v>264</v>
      </c>
      <c r="F6802" s="528"/>
      <c r="G6802" s="528" t="s">
        <v>212</v>
      </c>
      <c r="H6802"/>
    </row>
    <row r="6803" spans="1:8" x14ac:dyDescent="0.35">
      <c r="A6803" s="528" t="s">
        <v>19668</v>
      </c>
      <c r="B6803" s="528" t="s">
        <v>19669</v>
      </c>
      <c r="C6803" s="528" t="s">
        <v>19670</v>
      </c>
      <c r="D6803" s="528" t="s">
        <v>277</v>
      </c>
      <c r="E6803" s="528"/>
      <c r="F6803" s="528"/>
      <c r="G6803" s="528" t="s">
        <v>212</v>
      </c>
      <c r="H6803"/>
    </row>
    <row r="6804" spans="1:8" x14ac:dyDescent="0.35">
      <c r="A6804" s="528" t="s">
        <v>19671</v>
      </c>
      <c r="B6804" s="528" t="s">
        <v>19672</v>
      </c>
      <c r="C6804" s="528" t="s">
        <v>19673</v>
      </c>
      <c r="D6804" s="528" t="s">
        <v>264</v>
      </c>
      <c r="E6804" s="528"/>
      <c r="F6804" s="528"/>
      <c r="G6804" s="528" t="s">
        <v>208</v>
      </c>
      <c r="H6804"/>
    </row>
    <row r="6805" spans="1:8" x14ac:dyDescent="0.35">
      <c r="A6805" s="528" t="s">
        <v>19674</v>
      </c>
      <c r="B6805" s="528" t="s">
        <v>19675</v>
      </c>
      <c r="C6805" s="528" t="s">
        <v>19676</v>
      </c>
      <c r="D6805" s="528" t="s">
        <v>264</v>
      </c>
      <c r="E6805" s="528"/>
      <c r="F6805" s="528"/>
      <c r="G6805" s="528" t="s">
        <v>208</v>
      </c>
      <c r="H6805"/>
    </row>
    <row r="6806" spans="1:8" x14ac:dyDescent="0.35">
      <c r="A6806" s="528" t="s">
        <v>19677</v>
      </c>
      <c r="B6806" s="528" t="s">
        <v>19678</v>
      </c>
      <c r="C6806" s="528" t="s">
        <v>19679</v>
      </c>
      <c r="D6806" s="528" t="s">
        <v>251</v>
      </c>
      <c r="E6806" s="528"/>
      <c r="F6806" s="528"/>
      <c r="G6806" s="528" t="s">
        <v>208</v>
      </c>
      <c r="H6806"/>
    </row>
    <row r="6807" spans="1:8" x14ac:dyDescent="0.35">
      <c r="A6807" s="528" t="s">
        <v>19680</v>
      </c>
      <c r="B6807" s="528" t="s">
        <v>19681</v>
      </c>
      <c r="C6807" s="528" t="s">
        <v>19682</v>
      </c>
      <c r="D6807" s="528" t="s">
        <v>251</v>
      </c>
      <c r="E6807" s="528"/>
      <c r="F6807" s="528"/>
      <c r="G6807" s="528" t="s">
        <v>208</v>
      </c>
      <c r="H6807"/>
    </row>
    <row r="6808" spans="1:8" x14ac:dyDescent="0.35">
      <c r="A6808" s="528" t="s">
        <v>19683</v>
      </c>
      <c r="B6808" s="528" t="s">
        <v>19684</v>
      </c>
      <c r="C6808" s="528" t="s">
        <v>19685</v>
      </c>
      <c r="D6808" s="528" t="s">
        <v>225</v>
      </c>
      <c r="E6808" s="528" t="s">
        <v>264</v>
      </c>
      <c r="F6808" s="528"/>
      <c r="G6808" s="528" t="s">
        <v>205</v>
      </c>
      <c r="H6808"/>
    </row>
    <row r="6809" spans="1:8" x14ac:dyDescent="0.35">
      <c r="A6809" s="528" t="s">
        <v>19686</v>
      </c>
      <c r="B6809" s="528" t="s">
        <v>19687</v>
      </c>
      <c r="C6809" s="528" t="s">
        <v>19688</v>
      </c>
      <c r="D6809" s="528" t="s">
        <v>238</v>
      </c>
      <c r="E6809" s="528"/>
      <c r="F6809" s="528"/>
      <c r="G6809" s="528" t="s">
        <v>205</v>
      </c>
      <c r="H6809"/>
    </row>
    <row r="6810" spans="1:8" x14ac:dyDescent="0.35">
      <c r="A6810" s="528" t="s">
        <v>19689</v>
      </c>
      <c r="B6810" s="528" t="s">
        <v>19690</v>
      </c>
      <c r="C6810" s="528" t="s">
        <v>19691</v>
      </c>
      <c r="D6810" s="528" t="s">
        <v>277</v>
      </c>
      <c r="E6810" s="528"/>
      <c r="F6810" s="528"/>
      <c r="G6810" s="528" t="s">
        <v>205</v>
      </c>
      <c r="H6810"/>
    </row>
    <row r="6811" spans="1:8" x14ac:dyDescent="0.35">
      <c r="A6811" s="528" t="s">
        <v>19692</v>
      </c>
      <c r="B6811" s="528" t="s">
        <v>19693</v>
      </c>
      <c r="C6811" s="528" t="s">
        <v>19694</v>
      </c>
      <c r="D6811" s="528" t="s">
        <v>264</v>
      </c>
      <c r="E6811" s="528"/>
      <c r="F6811" s="528"/>
      <c r="G6811" s="528" t="s">
        <v>208</v>
      </c>
      <c r="H6811"/>
    </row>
    <row r="6812" spans="1:8" x14ac:dyDescent="0.35">
      <c r="A6812" s="528" t="s">
        <v>19695</v>
      </c>
      <c r="B6812" s="528" t="s">
        <v>19696</v>
      </c>
      <c r="C6812" s="528" t="s">
        <v>19697</v>
      </c>
      <c r="D6812" s="528" t="s">
        <v>264</v>
      </c>
      <c r="E6812" s="528" t="s">
        <v>277</v>
      </c>
      <c r="F6812" s="528"/>
      <c r="G6812" s="528" t="s">
        <v>208</v>
      </c>
      <c r="H6812"/>
    </row>
    <row r="6813" spans="1:8" x14ac:dyDescent="0.35">
      <c r="A6813" s="528" t="s">
        <v>19698</v>
      </c>
      <c r="B6813" s="528" t="s">
        <v>19699</v>
      </c>
      <c r="C6813" s="528" t="s">
        <v>19700</v>
      </c>
      <c r="D6813" s="528" t="s">
        <v>277</v>
      </c>
      <c r="E6813" s="528"/>
      <c r="F6813" s="528"/>
      <c r="G6813" s="528" t="s">
        <v>205</v>
      </c>
      <c r="H6813"/>
    </row>
    <row r="6814" spans="1:8" x14ac:dyDescent="0.35">
      <c r="A6814" s="528" t="s">
        <v>19701</v>
      </c>
      <c r="B6814" s="528" t="s">
        <v>19702</v>
      </c>
      <c r="C6814" s="528" t="s">
        <v>19703</v>
      </c>
      <c r="D6814" s="528" t="s">
        <v>277</v>
      </c>
      <c r="E6814" s="528"/>
      <c r="F6814" s="528"/>
      <c r="G6814" s="528" t="s">
        <v>205</v>
      </c>
      <c r="H6814"/>
    </row>
    <row r="6815" spans="1:8" x14ac:dyDescent="0.35">
      <c r="A6815" s="528" t="s">
        <v>19704</v>
      </c>
      <c r="B6815" s="528" t="s">
        <v>19705</v>
      </c>
      <c r="C6815" s="528" t="s">
        <v>19706</v>
      </c>
      <c r="D6815" s="528" t="s">
        <v>277</v>
      </c>
      <c r="E6815" s="528"/>
      <c r="F6815" s="528"/>
      <c r="G6815" s="528" t="s">
        <v>205</v>
      </c>
      <c r="H6815"/>
    </row>
    <row r="6816" spans="1:8" x14ac:dyDescent="0.35">
      <c r="A6816" s="528" t="s">
        <v>19707</v>
      </c>
      <c r="B6816" s="528" t="s">
        <v>19708</v>
      </c>
      <c r="C6816" s="528" t="s">
        <v>19709</v>
      </c>
      <c r="D6816" s="528" t="s">
        <v>264</v>
      </c>
      <c r="E6816" s="528"/>
      <c r="F6816" s="528"/>
      <c r="G6816" s="528" t="s">
        <v>205</v>
      </c>
      <c r="H6816"/>
    </row>
    <row r="6817" spans="1:8" x14ac:dyDescent="0.35">
      <c r="A6817" s="528" t="s">
        <v>19710</v>
      </c>
      <c r="B6817" s="528" t="s">
        <v>19711</v>
      </c>
      <c r="C6817" s="528" t="s">
        <v>19712</v>
      </c>
      <c r="D6817" s="528" t="s">
        <v>264</v>
      </c>
      <c r="E6817" s="528" t="s">
        <v>277</v>
      </c>
      <c r="F6817" s="528"/>
      <c r="G6817" s="528" t="s">
        <v>205</v>
      </c>
      <c r="H6817"/>
    </row>
    <row r="6818" spans="1:8" x14ac:dyDescent="0.35">
      <c r="A6818" s="528" t="s">
        <v>19713</v>
      </c>
      <c r="B6818" s="528" t="s">
        <v>19714</v>
      </c>
      <c r="C6818" s="528" t="s">
        <v>19715</v>
      </c>
      <c r="D6818" s="528" t="s">
        <v>264</v>
      </c>
      <c r="E6818" s="528"/>
      <c r="F6818" s="528"/>
      <c r="G6818" s="528" t="s">
        <v>208</v>
      </c>
      <c r="H6818"/>
    </row>
    <row r="6819" spans="1:8" x14ac:dyDescent="0.35">
      <c r="A6819" s="528" t="s">
        <v>19716</v>
      </c>
      <c r="B6819" s="528" t="s">
        <v>19717</v>
      </c>
      <c r="C6819" s="528" t="s">
        <v>19718</v>
      </c>
      <c r="D6819" s="528" t="s">
        <v>277</v>
      </c>
      <c r="E6819" s="528"/>
      <c r="F6819" s="528"/>
      <c r="G6819" s="528" t="s">
        <v>208</v>
      </c>
      <c r="H6819"/>
    </row>
    <row r="6820" spans="1:8" x14ac:dyDescent="0.35">
      <c r="A6820" s="528" t="s">
        <v>19719</v>
      </c>
      <c r="B6820" s="528" t="s">
        <v>19720</v>
      </c>
      <c r="C6820" s="528" t="s">
        <v>19721</v>
      </c>
      <c r="D6820" s="528" t="s">
        <v>264</v>
      </c>
      <c r="E6820" s="528" t="s">
        <v>277</v>
      </c>
      <c r="F6820" s="528"/>
      <c r="G6820" s="528" t="s">
        <v>208</v>
      </c>
      <c r="H6820"/>
    </row>
    <row r="6821" spans="1:8" x14ac:dyDescent="0.35">
      <c r="A6821" s="528" t="s">
        <v>19722</v>
      </c>
      <c r="B6821" s="528" t="s">
        <v>19723</v>
      </c>
      <c r="C6821" s="528" t="s">
        <v>19724</v>
      </c>
      <c r="D6821" s="528" t="s">
        <v>264</v>
      </c>
      <c r="E6821" s="528" t="s">
        <v>277</v>
      </c>
      <c r="F6821" s="528"/>
      <c r="G6821" s="528" t="s">
        <v>205</v>
      </c>
      <c r="H6821"/>
    </row>
    <row r="6822" spans="1:8" x14ac:dyDescent="0.35">
      <c r="A6822" s="528" t="s">
        <v>19725</v>
      </c>
      <c r="B6822" s="528" t="s">
        <v>19726</v>
      </c>
      <c r="C6822" s="528" t="s">
        <v>19727</v>
      </c>
      <c r="D6822" s="528" t="s">
        <v>264</v>
      </c>
      <c r="E6822" s="528"/>
      <c r="F6822" s="528"/>
      <c r="G6822" s="528" t="s">
        <v>205</v>
      </c>
      <c r="H6822"/>
    </row>
    <row r="6823" spans="1:8" x14ac:dyDescent="0.35">
      <c r="A6823" s="528" t="s">
        <v>19728</v>
      </c>
      <c r="B6823" s="528" t="s">
        <v>19729</v>
      </c>
      <c r="C6823" s="528" t="s">
        <v>19730</v>
      </c>
      <c r="D6823" s="528" t="s">
        <v>277</v>
      </c>
      <c r="E6823" s="528"/>
      <c r="F6823" s="528"/>
      <c r="G6823" s="528" t="s">
        <v>205</v>
      </c>
      <c r="H6823"/>
    </row>
    <row r="6824" spans="1:8" x14ac:dyDescent="0.35">
      <c r="A6824" s="528" t="s">
        <v>19731</v>
      </c>
      <c r="B6824" s="528" t="s">
        <v>19732</v>
      </c>
      <c r="C6824" s="528" t="s">
        <v>19733</v>
      </c>
      <c r="D6824" s="528" t="s">
        <v>238</v>
      </c>
      <c r="E6824" s="528"/>
      <c r="F6824" s="528"/>
      <c r="G6824" s="528" t="s">
        <v>205</v>
      </c>
      <c r="H6824"/>
    </row>
    <row r="6825" spans="1:8" x14ac:dyDescent="0.35">
      <c r="A6825" s="528" t="s">
        <v>19734</v>
      </c>
      <c r="B6825" s="528" t="s">
        <v>19735</v>
      </c>
      <c r="C6825" s="528" t="s">
        <v>19736</v>
      </c>
      <c r="D6825" s="528" t="s">
        <v>238</v>
      </c>
      <c r="E6825" s="528"/>
      <c r="F6825" s="528"/>
      <c r="G6825" s="528" t="s">
        <v>205</v>
      </c>
      <c r="H6825"/>
    </row>
    <row r="6826" spans="1:8" x14ac:dyDescent="0.35">
      <c r="A6826" s="528" t="s">
        <v>19737</v>
      </c>
      <c r="B6826" s="528" t="s">
        <v>19738</v>
      </c>
      <c r="C6826" s="528" t="s">
        <v>19739</v>
      </c>
      <c r="D6826" s="528" t="s">
        <v>277</v>
      </c>
      <c r="E6826" s="528"/>
      <c r="F6826" s="528"/>
      <c r="G6826" s="528" t="s">
        <v>205</v>
      </c>
      <c r="H6826"/>
    </row>
    <row r="6827" spans="1:8" x14ac:dyDescent="0.35">
      <c r="A6827" s="528" t="s">
        <v>19740</v>
      </c>
      <c r="B6827" s="528" t="s">
        <v>19741</v>
      </c>
      <c r="C6827" s="528" t="s">
        <v>19742</v>
      </c>
      <c r="D6827" s="528" t="s">
        <v>277</v>
      </c>
      <c r="E6827" s="528"/>
      <c r="F6827" s="528"/>
      <c r="G6827" s="528" t="s">
        <v>205</v>
      </c>
      <c r="H6827"/>
    </row>
    <row r="6828" spans="1:8" x14ac:dyDescent="0.35">
      <c r="A6828" s="528" t="s">
        <v>19743</v>
      </c>
      <c r="B6828" s="528" t="s">
        <v>19744</v>
      </c>
      <c r="C6828" s="528" t="s">
        <v>19745</v>
      </c>
      <c r="D6828" s="528" t="s">
        <v>277</v>
      </c>
      <c r="E6828" s="528"/>
      <c r="F6828" s="528"/>
      <c r="G6828" s="528" t="s">
        <v>205</v>
      </c>
      <c r="H6828"/>
    </row>
    <row r="6829" spans="1:8" x14ac:dyDescent="0.35">
      <c r="A6829" s="528" t="s">
        <v>19746</v>
      </c>
      <c r="B6829" s="528" t="s">
        <v>19747</v>
      </c>
      <c r="C6829" s="528" t="s">
        <v>19748</v>
      </c>
      <c r="D6829" s="528" t="s">
        <v>264</v>
      </c>
      <c r="E6829" s="528"/>
      <c r="F6829" s="528"/>
      <c r="G6829" s="528" t="s">
        <v>205</v>
      </c>
      <c r="H6829"/>
    </row>
    <row r="6830" spans="1:8" x14ac:dyDescent="0.35">
      <c r="A6830" s="528" t="s">
        <v>19749</v>
      </c>
      <c r="B6830" s="528" t="s">
        <v>19750</v>
      </c>
      <c r="C6830" s="528" t="s">
        <v>19751</v>
      </c>
      <c r="D6830" s="528" t="s">
        <v>264</v>
      </c>
      <c r="E6830" s="528"/>
      <c r="F6830" s="528"/>
      <c r="G6830" s="528" t="s">
        <v>205</v>
      </c>
    </row>
    <row r="6831" spans="1:8" x14ac:dyDescent="0.35">
      <c r="A6831" s="528" t="s">
        <v>19752</v>
      </c>
      <c r="B6831" s="528" t="s">
        <v>19753</v>
      </c>
      <c r="C6831" s="528" t="s">
        <v>19754</v>
      </c>
      <c r="D6831" s="528" t="s">
        <v>277</v>
      </c>
      <c r="E6831" s="528" t="s">
        <v>264</v>
      </c>
      <c r="F6831" s="528"/>
      <c r="G6831" s="528" t="s">
        <v>205</v>
      </c>
    </row>
    <row r="6832" spans="1:8" x14ac:dyDescent="0.35">
      <c r="A6832" s="528" t="s">
        <v>19755</v>
      </c>
      <c r="B6832" s="528" t="s">
        <v>19756</v>
      </c>
      <c r="C6832" s="528" t="s">
        <v>19757</v>
      </c>
      <c r="D6832" s="528" t="s">
        <v>264</v>
      </c>
      <c r="E6832" s="528" t="s">
        <v>277</v>
      </c>
      <c r="F6832" s="528"/>
      <c r="G6832" s="528" t="s">
        <v>205</v>
      </c>
    </row>
    <row r="6833" spans="1:7" x14ac:dyDescent="0.35">
      <c r="A6833" s="528" t="s">
        <v>19758</v>
      </c>
      <c r="B6833" s="528" t="s">
        <v>19759</v>
      </c>
      <c r="C6833" s="528" t="s">
        <v>19760</v>
      </c>
      <c r="D6833" s="528" t="s">
        <v>264</v>
      </c>
      <c r="E6833" s="528"/>
      <c r="F6833" s="528"/>
      <c r="G6833" s="528" t="s">
        <v>205</v>
      </c>
    </row>
    <row r="6834" spans="1:7" x14ac:dyDescent="0.35">
      <c r="A6834" s="528" t="s">
        <v>19761</v>
      </c>
      <c r="B6834" s="528" t="s">
        <v>19762</v>
      </c>
      <c r="C6834" s="528" t="s">
        <v>19763</v>
      </c>
      <c r="D6834" s="528" t="s">
        <v>264</v>
      </c>
      <c r="E6834" s="528"/>
      <c r="F6834" s="528"/>
      <c r="G6834" s="528" t="s">
        <v>210</v>
      </c>
    </row>
    <row r="6835" spans="1:7" x14ac:dyDescent="0.35">
      <c r="A6835" s="528" t="s">
        <v>19764</v>
      </c>
      <c r="B6835" s="528" t="s">
        <v>19765</v>
      </c>
      <c r="C6835" s="528" t="s">
        <v>19766</v>
      </c>
      <c r="D6835" s="528" t="s">
        <v>277</v>
      </c>
      <c r="E6835" s="528" t="s">
        <v>264</v>
      </c>
      <c r="F6835" s="528"/>
      <c r="G6835" s="528" t="s">
        <v>208</v>
      </c>
    </row>
    <row r="6836" spans="1:7" x14ac:dyDescent="0.35">
      <c r="A6836" s="528" t="s">
        <v>19767</v>
      </c>
      <c r="B6836" s="528" t="s">
        <v>19768</v>
      </c>
      <c r="C6836" s="528" t="s">
        <v>19769</v>
      </c>
      <c r="D6836" s="528" t="s">
        <v>264</v>
      </c>
      <c r="E6836" s="528"/>
      <c r="F6836" s="528"/>
      <c r="G6836" s="528" t="s">
        <v>208</v>
      </c>
    </row>
    <row r="6837" spans="1:7" x14ac:dyDescent="0.35">
      <c r="A6837" s="528" t="s">
        <v>19770</v>
      </c>
      <c r="B6837" s="528" t="s">
        <v>19771</v>
      </c>
      <c r="C6837" s="528" t="s">
        <v>19772</v>
      </c>
      <c r="D6837" s="528" t="s">
        <v>264</v>
      </c>
      <c r="E6837" s="528"/>
      <c r="F6837" s="528"/>
      <c r="G6837" s="528" t="s">
        <v>208</v>
      </c>
    </row>
    <row r="6838" spans="1:7" x14ac:dyDescent="0.35">
      <c r="A6838" s="528" t="s">
        <v>19773</v>
      </c>
      <c r="B6838" s="528" t="s">
        <v>19774</v>
      </c>
      <c r="C6838" s="528" t="s">
        <v>19775</v>
      </c>
      <c r="D6838" s="528" t="s">
        <v>277</v>
      </c>
      <c r="E6838" s="528"/>
      <c r="F6838" s="528"/>
      <c r="G6838" s="528" t="s">
        <v>208</v>
      </c>
    </row>
    <row r="6839" spans="1:7" x14ac:dyDescent="0.35">
      <c r="A6839" s="528" t="s">
        <v>19776</v>
      </c>
      <c r="B6839" s="528" t="s">
        <v>19777</v>
      </c>
      <c r="C6839" s="528" t="s">
        <v>19778</v>
      </c>
      <c r="D6839" s="528" t="s">
        <v>225</v>
      </c>
      <c r="E6839" s="528"/>
      <c r="F6839" s="528"/>
      <c r="G6839" s="528" t="s">
        <v>208</v>
      </c>
    </row>
    <row r="6840" spans="1:7" x14ac:dyDescent="0.35">
      <c r="A6840" s="528" t="s">
        <v>19779</v>
      </c>
      <c r="B6840" s="528" t="s">
        <v>19780</v>
      </c>
      <c r="C6840" s="528" t="s">
        <v>19781</v>
      </c>
      <c r="D6840" s="528" t="s">
        <v>225</v>
      </c>
      <c r="E6840" s="528"/>
      <c r="F6840" s="528"/>
      <c r="G6840" s="528" t="s">
        <v>208</v>
      </c>
    </row>
    <row r="6841" spans="1:7" x14ac:dyDescent="0.35">
      <c r="A6841" s="528" t="s">
        <v>19782</v>
      </c>
      <c r="B6841" s="528" t="s">
        <v>19783</v>
      </c>
      <c r="C6841" s="528" t="s">
        <v>19784</v>
      </c>
      <c r="D6841" s="528" t="s">
        <v>225</v>
      </c>
      <c r="E6841" s="528"/>
      <c r="F6841" s="528"/>
      <c r="G6841" s="528" t="s">
        <v>208</v>
      </c>
    </row>
    <row r="6842" spans="1:7" x14ac:dyDescent="0.35">
      <c r="A6842" s="528" t="s">
        <v>19785</v>
      </c>
      <c r="B6842" s="528" t="s">
        <v>19786</v>
      </c>
      <c r="C6842" s="528" t="s">
        <v>19787</v>
      </c>
      <c r="D6842" s="528" t="s">
        <v>264</v>
      </c>
      <c r="E6842" s="528"/>
      <c r="F6842" s="528"/>
      <c r="G6842" s="528" t="s">
        <v>208</v>
      </c>
    </row>
    <row r="6843" spans="1:7" x14ac:dyDescent="0.35">
      <c r="A6843" s="528" t="s">
        <v>19788</v>
      </c>
      <c r="B6843" s="528" t="s">
        <v>19789</v>
      </c>
      <c r="C6843" s="528" t="s">
        <v>19790</v>
      </c>
      <c r="D6843" s="528" t="s">
        <v>251</v>
      </c>
      <c r="E6843" s="528"/>
      <c r="F6843" s="528"/>
      <c r="G6843" s="528" t="s">
        <v>208</v>
      </c>
    </row>
    <row r="6844" spans="1:7" x14ac:dyDescent="0.35">
      <c r="A6844" s="528" t="s">
        <v>19791</v>
      </c>
      <c r="B6844" s="528" t="s">
        <v>19792</v>
      </c>
      <c r="C6844" s="528" t="s">
        <v>19793</v>
      </c>
      <c r="D6844" s="528" t="s">
        <v>251</v>
      </c>
      <c r="E6844" s="528"/>
      <c r="F6844" s="528"/>
      <c r="G6844" s="528" t="s">
        <v>208</v>
      </c>
    </row>
    <row r="6845" spans="1:7" x14ac:dyDescent="0.35">
      <c r="A6845" s="528" t="s">
        <v>19794</v>
      </c>
      <c r="B6845" s="528" t="s">
        <v>19795</v>
      </c>
      <c r="C6845" s="528" t="s">
        <v>19796</v>
      </c>
      <c r="D6845" s="528" t="s">
        <v>277</v>
      </c>
      <c r="E6845" s="528"/>
      <c r="F6845" s="528"/>
      <c r="G6845" s="528" t="s">
        <v>208</v>
      </c>
    </row>
    <row r="6846" spans="1:7" x14ac:dyDescent="0.35">
      <c r="A6846" s="528" t="s">
        <v>19797</v>
      </c>
      <c r="B6846" s="528" t="s">
        <v>19798</v>
      </c>
      <c r="C6846" s="528" t="s">
        <v>19799</v>
      </c>
      <c r="D6846" s="528" t="s">
        <v>277</v>
      </c>
      <c r="E6846" s="528"/>
      <c r="F6846" s="528"/>
      <c r="G6846" s="528" t="s">
        <v>208</v>
      </c>
    </row>
    <row r="6847" spans="1:7" x14ac:dyDescent="0.35">
      <c r="A6847" s="528" t="s">
        <v>19800</v>
      </c>
      <c r="B6847" s="528" t="s">
        <v>19801</v>
      </c>
      <c r="C6847" s="528" t="s">
        <v>19802</v>
      </c>
      <c r="D6847" s="528" t="s">
        <v>238</v>
      </c>
      <c r="E6847" s="528"/>
      <c r="F6847" s="528"/>
      <c r="G6847" s="528" t="s">
        <v>208</v>
      </c>
    </row>
    <row r="6848" spans="1:7" x14ac:dyDescent="0.35">
      <c r="A6848" s="528" t="s">
        <v>19803</v>
      </c>
      <c r="B6848" s="528" t="s">
        <v>19804</v>
      </c>
      <c r="C6848" s="528" t="s">
        <v>19805</v>
      </c>
      <c r="D6848" s="528" t="s">
        <v>277</v>
      </c>
      <c r="E6848" s="528"/>
      <c r="F6848" s="528"/>
      <c r="G6848" s="528" t="s">
        <v>208</v>
      </c>
    </row>
    <row r="6849" spans="1:7" x14ac:dyDescent="0.35">
      <c r="A6849" s="528" t="s">
        <v>19806</v>
      </c>
      <c r="B6849" s="528" t="s">
        <v>19807</v>
      </c>
      <c r="C6849" s="528" t="s">
        <v>19808</v>
      </c>
      <c r="D6849" s="528" t="s">
        <v>277</v>
      </c>
      <c r="E6849" s="528"/>
      <c r="F6849" s="528"/>
      <c r="G6849" s="528" t="s">
        <v>208</v>
      </c>
    </row>
    <row r="6850" spans="1:7" x14ac:dyDescent="0.35">
      <c r="A6850" s="528" t="s">
        <v>19809</v>
      </c>
      <c r="B6850" s="528" t="s">
        <v>19810</v>
      </c>
      <c r="C6850" s="528" t="s">
        <v>19811</v>
      </c>
      <c r="D6850" s="528" t="s">
        <v>277</v>
      </c>
      <c r="E6850" s="528"/>
      <c r="F6850" s="528"/>
      <c r="G6850" s="528" t="s">
        <v>205</v>
      </c>
    </row>
    <row r="6851" spans="1:7" x14ac:dyDescent="0.35">
      <c r="A6851" s="528" t="s">
        <v>19812</v>
      </c>
      <c r="B6851" s="528" t="s">
        <v>19813</v>
      </c>
      <c r="C6851" s="528" t="s">
        <v>19814</v>
      </c>
      <c r="D6851" s="528" t="s">
        <v>264</v>
      </c>
      <c r="E6851" s="528"/>
      <c r="F6851" s="528"/>
      <c r="G6851" s="528" t="s">
        <v>208</v>
      </c>
    </row>
    <row r="6852" spans="1:7" x14ac:dyDescent="0.35">
      <c r="A6852" s="528" t="s">
        <v>19815</v>
      </c>
      <c r="B6852" s="528" t="s">
        <v>19816</v>
      </c>
      <c r="C6852" s="528" t="s">
        <v>19817</v>
      </c>
      <c r="D6852" s="528" t="s">
        <v>264</v>
      </c>
      <c r="E6852" s="528"/>
      <c r="F6852" s="528"/>
      <c r="G6852" s="528" t="s">
        <v>205</v>
      </c>
    </row>
    <row r="6853" spans="1:7" x14ac:dyDescent="0.35">
      <c r="A6853" s="528" t="s">
        <v>19818</v>
      </c>
      <c r="B6853" s="528" t="s">
        <v>19819</v>
      </c>
      <c r="C6853" s="528" t="s">
        <v>19820</v>
      </c>
      <c r="D6853" s="528" t="s">
        <v>264</v>
      </c>
      <c r="E6853" s="528"/>
      <c r="F6853" s="528"/>
      <c r="G6853" s="528" t="s">
        <v>205</v>
      </c>
    </row>
    <row r="6854" spans="1:7" x14ac:dyDescent="0.35">
      <c r="A6854" s="528" t="s">
        <v>19821</v>
      </c>
      <c r="B6854" s="528" t="s">
        <v>19822</v>
      </c>
      <c r="C6854" s="528" t="s">
        <v>19823</v>
      </c>
      <c r="D6854" s="528" t="s">
        <v>277</v>
      </c>
      <c r="E6854" s="528"/>
      <c r="F6854" s="528"/>
      <c r="G6854" s="528" t="s">
        <v>208</v>
      </c>
    </row>
    <row r="6855" spans="1:7" x14ac:dyDescent="0.35">
      <c r="A6855" s="528" t="s">
        <v>19824</v>
      </c>
      <c r="B6855" s="528" t="s">
        <v>19825</v>
      </c>
      <c r="C6855" s="528" t="s">
        <v>19826</v>
      </c>
      <c r="D6855" s="528" t="s">
        <v>277</v>
      </c>
      <c r="E6855" s="528"/>
      <c r="F6855" s="528"/>
      <c r="G6855" s="528" t="s">
        <v>212</v>
      </c>
    </row>
    <row r="6856" spans="1:7" x14ac:dyDescent="0.35">
      <c r="A6856" s="528" t="s">
        <v>19827</v>
      </c>
      <c r="B6856" s="528" t="s">
        <v>19828</v>
      </c>
      <c r="C6856" s="528" t="s">
        <v>19829</v>
      </c>
      <c r="D6856" s="528" t="s">
        <v>277</v>
      </c>
      <c r="E6856" s="528"/>
      <c r="F6856" s="528"/>
      <c r="G6856" s="528" t="s">
        <v>212</v>
      </c>
    </row>
    <row r="6857" spans="1:7" x14ac:dyDescent="0.35">
      <c r="A6857" s="528" t="s">
        <v>19830</v>
      </c>
      <c r="B6857" s="528" t="s">
        <v>19831</v>
      </c>
      <c r="C6857" s="528" t="s">
        <v>19832</v>
      </c>
      <c r="D6857" s="528" t="s">
        <v>264</v>
      </c>
      <c r="E6857" s="528"/>
      <c r="F6857" s="528"/>
      <c r="G6857" s="528" t="s">
        <v>208</v>
      </c>
    </row>
    <row r="6858" spans="1:7" x14ac:dyDescent="0.35">
      <c r="A6858" s="528" t="s">
        <v>19833</v>
      </c>
      <c r="B6858" s="528" t="s">
        <v>19834</v>
      </c>
      <c r="C6858" s="528" t="s">
        <v>19835</v>
      </c>
      <c r="D6858" s="528" t="s">
        <v>251</v>
      </c>
      <c r="E6858" s="528"/>
      <c r="F6858" s="528"/>
      <c r="G6858" s="528" t="s">
        <v>205</v>
      </c>
    </row>
    <row r="6859" spans="1:7" x14ac:dyDescent="0.35">
      <c r="A6859" s="528" t="s">
        <v>19836</v>
      </c>
      <c r="B6859" s="528" t="s">
        <v>19837</v>
      </c>
      <c r="C6859" s="528" t="s">
        <v>19838</v>
      </c>
      <c r="D6859" s="528" t="s">
        <v>251</v>
      </c>
      <c r="E6859" s="528"/>
      <c r="F6859" s="528"/>
      <c r="G6859" s="528" t="s">
        <v>205</v>
      </c>
    </row>
    <row r="6860" spans="1:7" x14ac:dyDescent="0.35">
      <c r="A6860" s="528" t="s">
        <v>19839</v>
      </c>
      <c r="B6860" s="528" t="s">
        <v>19840</v>
      </c>
      <c r="C6860" s="528" t="s">
        <v>19841</v>
      </c>
      <c r="D6860" s="528" t="s">
        <v>251</v>
      </c>
      <c r="E6860" s="528"/>
      <c r="F6860" s="528"/>
      <c r="G6860" s="528" t="s">
        <v>208</v>
      </c>
    </row>
    <row r="6861" spans="1:7" x14ac:dyDescent="0.35">
      <c r="A6861" s="528" t="s">
        <v>19842</v>
      </c>
      <c r="B6861" s="528" t="s">
        <v>19843</v>
      </c>
      <c r="C6861" s="528" t="s">
        <v>19844</v>
      </c>
      <c r="D6861" s="528" t="s">
        <v>264</v>
      </c>
      <c r="E6861" s="528"/>
      <c r="F6861" s="528"/>
      <c r="G6861" s="528" t="s">
        <v>208</v>
      </c>
    </row>
    <row r="6862" spans="1:7" x14ac:dyDescent="0.35">
      <c r="A6862" s="528" t="s">
        <v>19845</v>
      </c>
      <c r="B6862" s="528" t="s">
        <v>19846</v>
      </c>
      <c r="C6862" s="528" t="s">
        <v>19847</v>
      </c>
      <c r="D6862" s="528" t="s">
        <v>251</v>
      </c>
      <c r="E6862" s="528"/>
      <c r="F6862" s="528"/>
      <c r="G6862" s="528" t="s">
        <v>208</v>
      </c>
    </row>
    <row r="6863" spans="1:7" x14ac:dyDescent="0.35">
      <c r="A6863" s="528" t="s">
        <v>19848</v>
      </c>
      <c r="B6863" s="528" t="s">
        <v>19849</v>
      </c>
      <c r="C6863" s="528" t="s">
        <v>19850</v>
      </c>
      <c r="D6863" s="528" t="s">
        <v>225</v>
      </c>
      <c r="E6863" s="528"/>
      <c r="F6863" s="528"/>
      <c r="G6863" s="528" t="s">
        <v>208</v>
      </c>
    </row>
    <row r="6864" spans="1:7" x14ac:dyDescent="0.35">
      <c r="A6864" s="528" t="s">
        <v>19851</v>
      </c>
      <c r="B6864" s="528" t="s">
        <v>19852</v>
      </c>
      <c r="C6864" s="528" t="s">
        <v>19853</v>
      </c>
      <c r="D6864" s="528" t="s">
        <v>277</v>
      </c>
      <c r="E6864" s="528"/>
      <c r="F6864" s="528"/>
      <c r="G6864" s="528" t="s">
        <v>212</v>
      </c>
    </row>
    <row r="6865" spans="1:7" x14ac:dyDescent="0.35">
      <c r="A6865" s="528" t="s">
        <v>19854</v>
      </c>
      <c r="B6865" s="528" t="s">
        <v>19855</v>
      </c>
      <c r="C6865" s="528" t="s">
        <v>19856</v>
      </c>
      <c r="D6865" s="528" t="s">
        <v>225</v>
      </c>
      <c r="E6865" s="528" t="s">
        <v>264</v>
      </c>
      <c r="F6865" s="528"/>
      <c r="G6865" s="528" t="s">
        <v>205</v>
      </c>
    </row>
    <row r="6866" spans="1:7" x14ac:dyDescent="0.35">
      <c r="A6866" s="528" t="s">
        <v>19857</v>
      </c>
      <c r="B6866" s="528" t="s">
        <v>19858</v>
      </c>
      <c r="C6866" s="528" t="s">
        <v>19859</v>
      </c>
      <c r="D6866" s="528" t="s">
        <v>225</v>
      </c>
      <c r="E6866" s="528"/>
      <c r="F6866" s="528"/>
      <c r="G6866" s="528" t="s">
        <v>205</v>
      </c>
    </row>
    <row r="6867" spans="1:7" x14ac:dyDescent="0.35">
      <c r="A6867" s="528" t="s">
        <v>19860</v>
      </c>
      <c r="B6867" s="528" t="s">
        <v>19861</v>
      </c>
      <c r="C6867" s="528" t="s">
        <v>19862</v>
      </c>
      <c r="D6867" s="528" t="s">
        <v>225</v>
      </c>
      <c r="E6867" s="528" t="s">
        <v>264</v>
      </c>
      <c r="F6867" s="528"/>
      <c r="G6867" s="528" t="s">
        <v>208</v>
      </c>
    </row>
    <row r="6868" spans="1:7" x14ac:dyDescent="0.35">
      <c r="A6868" s="528" t="s">
        <v>19863</v>
      </c>
      <c r="B6868" s="528" t="s">
        <v>19864</v>
      </c>
      <c r="C6868" s="528" t="s">
        <v>19865</v>
      </c>
      <c r="D6868" s="528" t="s">
        <v>225</v>
      </c>
      <c r="E6868" s="528"/>
      <c r="F6868" s="528"/>
      <c r="G6868" s="528" t="s">
        <v>208</v>
      </c>
    </row>
    <row r="6869" spans="1:7" x14ac:dyDescent="0.35">
      <c r="A6869" s="528" t="s">
        <v>19866</v>
      </c>
      <c r="B6869" s="528" t="s">
        <v>19867</v>
      </c>
      <c r="C6869" s="528" t="s">
        <v>19868</v>
      </c>
      <c r="D6869" s="528" t="s">
        <v>264</v>
      </c>
      <c r="E6869" s="528" t="s">
        <v>225</v>
      </c>
      <c r="F6869" s="528"/>
      <c r="G6869" s="528" t="s">
        <v>208</v>
      </c>
    </row>
    <row r="6870" spans="1:7" x14ac:dyDescent="0.35">
      <c r="A6870" s="528" t="s">
        <v>19869</v>
      </c>
      <c r="B6870" s="528" t="s">
        <v>19870</v>
      </c>
      <c r="C6870" s="528" t="s">
        <v>19871</v>
      </c>
      <c r="D6870" s="528" t="s">
        <v>264</v>
      </c>
      <c r="E6870" s="528" t="s">
        <v>225</v>
      </c>
      <c r="F6870" s="528"/>
      <c r="G6870" s="528" t="s">
        <v>208</v>
      </c>
    </row>
    <row r="6871" spans="1:7" x14ac:dyDescent="0.35">
      <c r="A6871" s="528" t="s">
        <v>19872</v>
      </c>
      <c r="B6871" s="528" t="s">
        <v>19873</v>
      </c>
      <c r="C6871" s="528" t="s">
        <v>19874</v>
      </c>
      <c r="D6871" s="528" t="s">
        <v>277</v>
      </c>
      <c r="E6871" s="528"/>
      <c r="F6871" s="528"/>
      <c r="G6871" s="528" t="s">
        <v>208</v>
      </c>
    </row>
    <row r="6872" spans="1:7" x14ac:dyDescent="0.35">
      <c r="A6872" s="528" t="s">
        <v>19875</v>
      </c>
      <c r="B6872" s="528" t="s">
        <v>19876</v>
      </c>
      <c r="C6872" s="528" t="s">
        <v>19877</v>
      </c>
      <c r="D6872" s="528" t="s">
        <v>225</v>
      </c>
      <c r="E6872" s="528" t="s">
        <v>264</v>
      </c>
      <c r="F6872" s="528"/>
      <c r="G6872" s="528" t="s">
        <v>208</v>
      </c>
    </row>
    <row r="6873" spans="1:7" x14ac:dyDescent="0.35">
      <c r="A6873" s="528" t="s">
        <v>19878</v>
      </c>
      <c r="B6873" s="528" t="s">
        <v>19879</v>
      </c>
      <c r="C6873" s="528" t="s">
        <v>19880</v>
      </c>
      <c r="D6873" s="528" t="s">
        <v>264</v>
      </c>
      <c r="E6873" s="528"/>
      <c r="F6873" s="528"/>
      <c r="G6873" s="528" t="s">
        <v>205</v>
      </c>
    </row>
    <row r="6874" spans="1:7" x14ac:dyDescent="0.35">
      <c r="A6874" s="528" t="s">
        <v>19881</v>
      </c>
      <c r="B6874" s="528" t="s">
        <v>19882</v>
      </c>
      <c r="C6874" s="528" t="s">
        <v>19883</v>
      </c>
      <c r="D6874" s="528" t="s">
        <v>264</v>
      </c>
      <c r="E6874" s="528" t="s">
        <v>277</v>
      </c>
      <c r="F6874" s="528"/>
      <c r="G6874" s="528" t="s">
        <v>205</v>
      </c>
    </row>
    <row r="6875" spans="1:7" x14ac:dyDescent="0.35">
      <c r="A6875" s="528" t="s">
        <v>19884</v>
      </c>
      <c r="B6875" s="528" t="s">
        <v>19885</v>
      </c>
      <c r="C6875" s="528" t="s">
        <v>19886</v>
      </c>
      <c r="D6875" s="528" t="s">
        <v>264</v>
      </c>
      <c r="E6875" s="528"/>
      <c r="F6875" s="528"/>
      <c r="G6875" s="528" t="s">
        <v>208</v>
      </c>
    </row>
    <row r="6876" spans="1:7" x14ac:dyDescent="0.35">
      <c r="A6876" s="528" t="s">
        <v>19887</v>
      </c>
      <c r="B6876" s="528" t="s">
        <v>19888</v>
      </c>
      <c r="C6876" s="528" t="s">
        <v>19889</v>
      </c>
      <c r="D6876" s="528" t="s">
        <v>264</v>
      </c>
      <c r="E6876" s="528"/>
      <c r="F6876" s="528"/>
      <c r="G6876" s="528" t="s">
        <v>205</v>
      </c>
    </row>
    <row r="6877" spans="1:7" x14ac:dyDescent="0.35">
      <c r="A6877" s="528" t="s">
        <v>19890</v>
      </c>
      <c r="B6877" s="528" t="s">
        <v>19891</v>
      </c>
      <c r="C6877" s="528" t="s">
        <v>19892</v>
      </c>
      <c r="D6877" s="528" t="s">
        <v>225</v>
      </c>
      <c r="E6877" s="528"/>
      <c r="F6877" s="528"/>
      <c r="G6877" s="528" t="s">
        <v>208</v>
      </c>
    </row>
    <row r="6878" spans="1:7" x14ac:dyDescent="0.35">
      <c r="A6878" s="528" t="s">
        <v>19893</v>
      </c>
      <c r="B6878" s="528" t="s">
        <v>19894</v>
      </c>
      <c r="C6878" s="528" t="s">
        <v>19895</v>
      </c>
      <c r="D6878" s="528" t="s">
        <v>225</v>
      </c>
      <c r="E6878" s="528"/>
      <c r="F6878" s="528"/>
      <c r="G6878" s="528" t="s">
        <v>208</v>
      </c>
    </row>
    <row r="6879" spans="1:7" x14ac:dyDescent="0.35">
      <c r="A6879" s="528" t="s">
        <v>19896</v>
      </c>
      <c r="B6879" s="528" t="s">
        <v>19897</v>
      </c>
      <c r="C6879" s="528" t="s">
        <v>19898</v>
      </c>
      <c r="D6879" s="528" t="s">
        <v>264</v>
      </c>
      <c r="E6879" s="528"/>
      <c r="F6879" s="528"/>
      <c r="G6879" s="528" t="s">
        <v>210</v>
      </c>
    </row>
    <row r="6880" spans="1:7" x14ac:dyDescent="0.35">
      <c r="A6880" s="528" t="s">
        <v>19899</v>
      </c>
      <c r="B6880" s="528" t="s">
        <v>19900</v>
      </c>
      <c r="C6880" s="528" t="s">
        <v>19901</v>
      </c>
      <c r="D6880" s="528" t="s">
        <v>277</v>
      </c>
      <c r="E6880" s="528"/>
      <c r="F6880" s="528"/>
      <c r="G6880" s="528" t="s">
        <v>212</v>
      </c>
    </row>
    <row r="6881" spans="1:7" x14ac:dyDescent="0.35">
      <c r="A6881" s="528" t="s">
        <v>19902</v>
      </c>
      <c r="B6881" s="528" t="s">
        <v>19903</v>
      </c>
      <c r="C6881" s="528" t="s">
        <v>19904</v>
      </c>
      <c r="D6881" s="528" t="s">
        <v>277</v>
      </c>
      <c r="E6881" s="528"/>
      <c r="F6881" s="528"/>
      <c r="G6881" s="528" t="s">
        <v>212</v>
      </c>
    </row>
    <row r="6882" spans="1:7" x14ac:dyDescent="0.35">
      <c r="A6882" s="528" t="s">
        <v>19905</v>
      </c>
      <c r="B6882" s="528" t="s">
        <v>19906</v>
      </c>
      <c r="C6882" s="528" t="s">
        <v>19907</v>
      </c>
      <c r="D6882" s="528" t="s">
        <v>264</v>
      </c>
      <c r="E6882" s="528"/>
      <c r="F6882" s="528"/>
      <c r="G6882" s="528" t="s">
        <v>208</v>
      </c>
    </row>
    <row r="6883" spans="1:7" x14ac:dyDescent="0.35">
      <c r="A6883" s="528" t="s">
        <v>19908</v>
      </c>
      <c r="B6883" s="528" t="s">
        <v>19909</v>
      </c>
      <c r="C6883" s="528" t="s">
        <v>19910</v>
      </c>
      <c r="D6883" s="528" t="s">
        <v>277</v>
      </c>
      <c r="E6883" s="528"/>
      <c r="F6883" s="528"/>
      <c r="G6883" s="528" t="s">
        <v>205</v>
      </c>
    </row>
    <row r="6884" spans="1:7" x14ac:dyDescent="0.35">
      <c r="A6884" s="528" t="s">
        <v>19911</v>
      </c>
      <c r="B6884" s="528" t="s">
        <v>19912</v>
      </c>
      <c r="C6884" s="528" t="s">
        <v>19913</v>
      </c>
      <c r="D6884" s="528" t="s">
        <v>277</v>
      </c>
      <c r="E6884" s="528"/>
      <c r="F6884" s="528"/>
      <c r="G6884" s="528" t="s">
        <v>208</v>
      </c>
    </row>
    <row r="6885" spans="1:7" x14ac:dyDescent="0.35">
      <c r="A6885" s="528" t="s">
        <v>19914</v>
      </c>
      <c r="B6885" s="528" t="s">
        <v>19915</v>
      </c>
      <c r="C6885" s="528" t="s">
        <v>19916</v>
      </c>
      <c r="D6885" s="528" t="s">
        <v>264</v>
      </c>
      <c r="E6885" s="528"/>
      <c r="F6885" s="528"/>
      <c r="G6885" s="528" t="s">
        <v>214</v>
      </c>
    </row>
    <row r="6886" spans="1:7" x14ac:dyDescent="0.35">
      <c r="A6886" s="528" t="s">
        <v>19917</v>
      </c>
      <c r="B6886" s="528" t="s">
        <v>19918</v>
      </c>
      <c r="C6886" s="528" t="s">
        <v>19919</v>
      </c>
      <c r="D6886" s="528" t="s">
        <v>264</v>
      </c>
      <c r="E6886" s="528"/>
      <c r="F6886" s="528"/>
      <c r="G6886" s="528" t="s">
        <v>208</v>
      </c>
    </row>
    <row r="6887" spans="1:7" x14ac:dyDescent="0.35">
      <c r="A6887" s="528" t="s">
        <v>19920</v>
      </c>
      <c r="B6887" s="528" t="s">
        <v>19921</v>
      </c>
      <c r="C6887" s="528" t="s">
        <v>19922</v>
      </c>
      <c r="D6887" s="528" t="s">
        <v>264</v>
      </c>
      <c r="E6887" s="528"/>
      <c r="F6887" s="528"/>
      <c r="G6887" s="528" t="s">
        <v>212</v>
      </c>
    </row>
    <row r="6888" spans="1:7" x14ac:dyDescent="0.35">
      <c r="A6888" s="528" t="s">
        <v>19923</v>
      </c>
      <c r="B6888" s="528" t="s">
        <v>19924</v>
      </c>
      <c r="C6888" s="528" t="s">
        <v>19925</v>
      </c>
      <c r="D6888" s="528" t="s">
        <v>264</v>
      </c>
      <c r="E6888" s="528"/>
      <c r="F6888" s="528"/>
      <c r="G6888" s="528" t="s">
        <v>214</v>
      </c>
    </row>
    <row r="6889" spans="1:7" x14ac:dyDescent="0.35">
      <c r="A6889" s="528" t="s">
        <v>19926</v>
      </c>
      <c r="B6889" s="528" t="s">
        <v>19927</v>
      </c>
      <c r="C6889" s="528" t="s">
        <v>19928</v>
      </c>
      <c r="D6889" s="528" t="s">
        <v>264</v>
      </c>
      <c r="E6889" s="528"/>
      <c r="F6889" s="528"/>
      <c r="G6889" s="528" t="s">
        <v>214</v>
      </c>
    </row>
    <row r="6890" spans="1:7" x14ac:dyDescent="0.35">
      <c r="A6890" s="528" t="s">
        <v>19929</v>
      </c>
      <c r="B6890" s="528" t="s">
        <v>19930</v>
      </c>
      <c r="C6890" s="528" t="s">
        <v>19931</v>
      </c>
      <c r="D6890" s="528" t="s">
        <v>277</v>
      </c>
      <c r="E6890" s="528"/>
      <c r="F6890" s="528"/>
      <c r="G6890" s="528" t="s">
        <v>212</v>
      </c>
    </row>
    <row r="6891" spans="1:7" x14ac:dyDescent="0.35">
      <c r="A6891" s="528" t="s">
        <v>19932</v>
      </c>
      <c r="B6891" s="528" t="s">
        <v>19933</v>
      </c>
      <c r="C6891" s="528" t="s">
        <v>19934</v>
      </c>
      <c r="D6891" s="528" t="s">
        <v>277</v>
      </c>
      <c r="E6891" s="528"/>
      <c r="F6891" s="528"/>
      <c r="G6891" s="528" t="s">
        <v>214</v>
      </c>
    </row>
    <row r="6892" spans="1:7" x14ac:dyDescent="0.35">
      <c r="A6892" s="528" t="s">
        <v>19935</v>
      </c>
      <c r="B6892" s="528" t="s">
        <v>19936</v>
      </c>
      <c r="C6892" s="528" t="s">
        <v>19937</v>
      </c>
      <c r="D6892" s="528" t="s">
        <v>277</v>
      </c>
      <c r="E6892" s="528"/>
      <c r="F6892" s="528"/>
      <c r="G6892" s="528" t="s">
        <v>212</v>
      </c>
    </row>
    <row r="6893" spans="1:7" x14ac:dyDescent="0.35">
      <c r="A6893" s="528" t="s">
        <v>19938</v>
      </c>
      <c r="B6893" s="528" t="s">
        <v>19939</v>
      </c>
      <c r="C6893" s="528" t="s">
        <v>19940</v>
      </c>
      <c r="D6893" s="528" t="s">
        <v>277</v>
      </c>
      <c r="E6893" s="528"/>
      <c r="F6893" s="528"/>
      <c r="G6893" s="528" t="s">
        <v>212</v>
      </c>
    </row>
    <row r="6894" spans="1:7" x14ac:dyDescent="0.35">
      <c r="A6894" s="528" t="s">
        <v>19941</v>
      </c>
      <c r="B6894" s="528" t="s">
        <v>19942</v>
      </c>
      <c r="C6894" s="528" t="s">
        <v>19943</v>
      </c>
      <c r="D6894" s="528" t="s">
        <v>225</v>
      </c>
      <c r="E6894" s="528"/>
      <c r="F6894" s="528"/>
      <c r="G6894" s="528" t="s">
        <v>208</v>
      </c>
    </row>
    <row r="6895" spans="1:7" x14ac:dyDescent="0.35">
      <c r="A6895" s="528" t="s">
        <v>19944</v>
      </c>
      <c r="B6895" s="528" t="s">
        <v>19945</v>
      </c>
      <c r="C6895" s="528" t="s">
        <v>19946</v>
      </c>
      <c r="D6895" s="528" t="s">
        <v>277</v>
      </c>
      <c r="E6895" s="528"/>
      <c r="F6895" s="528"/>
      <c r="G6895" s="528" t="s">
        <v>208</v>
      </c>
    </row>
    <row r="6896" spans="1:7" x14ac:dyDescent="0.35">
      <c r="A6896" s="528" t="s">
        <v>19947</v>
      </c>
      <c r="B6896" s="528" t="s">
        <v>19948</v>
      </c>
      <c r="C6896" s="528" t="s">
        <v>19949</v>
      </c>
      <c r="D6896" s="528" t="s">
        <v>238</v>
      </c>
      <c r="E6896" s="528"/>
      <c r="F6896" s="528"/>
      <c r="G6896" s="528" t="s">
        <v>208</v>
      </c>
    </row>
    <row r="6897" spans="1:7" x14ac:dyDescent="0.35">
      <c r="A6897" s="528" t="s">
        <v>19950</v>
      </c>
      <c r="B6897" s="528" t="s">
        <v>19951</v>
      </c>
      <c r="C6897" s="528" t="s">
        <v>19952</v>
      </c>
      <c r="D6897" s="528" t="s">
        <v>225</v>
      </c>
      <c r="E6897" s="528"/>
      <c r="F6897" s="528"/>
      <c r="G6897" s="528" t="s">
        <v>208</v>
      </c>
    </row>
    <row r="6898" spans="1:7" x14ac:dyDescent="0.35">
      <c r="A6898" s="528" t="s">
        <v>19953</v>
      </c>
      <c r="B6898" s="528" t="s">
        <v>19954</v>
      </c>
      <c r="C6898" s="528" t="s">
        <v>19955</v>
      </c>
      <c r="D6898" s="528" t="s">
        <v>225</v>
      </c>
      <c r="E6898" s="528"/>
      <c r="F6898" s="528"/>
      <c r="G6898" s="528" t="s">
        <v>208</v>
      </c>
    </row>
    <row r="6899" spans="1:7" x14ac:dyDescent="0.35">
      <c r="A6899" s="528" t="s">
        <v>19956</v>
      </c>
      <c r="B6899" s="528" t="s">
        <v>19957</v>
      </c>
      <c r="C6899" s="528" t="s">
        <v>19958</v>
      </c>
      <c r="D6899" s="528" t="s">
        <v>225</v>
      </c>
      <c r="E6899" s="528"/>
      <c r="F6899" s="528"/>
      <c r="G6899" s="528" t="s">
        <v>208</v>
      </c>
    </row>
    <row r="6900" spans="1:7" x14ac:dyDescent="0.35">
      <c r="A6900" s="528" t="s">
        <v>19959</v>
      </c>
      <c r="B6900" s="528" t="s">
        <v>19960</v>
      </c>
      <c r="C6900" s="528" t="s">
        <v>19961</v>
      </c>
      <c r="D6900" s="528" t="s">
        <v>225</v>
      </c>
      <c r="E6900" s="528"/>
      <c r="F6900" s="528"/>
      <c r="G6900" s="528" t="s">
        <v>208</v>
      </c>
    </row>
    <row r="6901" spans="1:7" x14ac:dyDescent="0.35">
      <c r="A6901" s="528" t="s">
        <v>19962</v>
      </c>
      <c r="B6901" s="528" t="s">
        <v>19963</v>
      </c>
      <c r="C6901" s="528" t="s">
        <v>19964</v>
      </c>
      <c r="D6901" s="528" t="s">
        <v>225</v>
      </c>
      <c r="E6901" s="528"/>
      <c r="F6901" s="528"/>
      <c r="G6901" s="528" t="s">
        <v>208</v>
      </c>
    </row>
    <row r="6902" spans="1:7" x14ac:dyDescent="0.35">
      <c r="A6902" s="528" t="s">
        <v>19965</v>
      </c>
      <c r="B6902" s="528" t="s">
        <v>19966</v>
      </c>
      <c r="C6902" s="528" t="s">
        <v>19967</v>
      </c>
      <c r="D6902" s="528" t="s">
        <v>225</v>
      </c>
      <c r="E6902" s="528"/>
      <c r="F6902" s="528"/>
      <c r="G6902" s="528" t="s">
        <v>208</v>
      </c>
    </row>
    <row r="6903" spans="1:7" x14ac:dyDescent="0.35">
      <c r="A6903" s="528" t="s">
        <v>19968</v>
      </c>
      <c r="B6903" s="528" t="s">
        <v>19969</v>
      </c>
      <c r="C6903" s="528" t="s">
        <v>19970</v>
      </c>
      <c r="D6903" s="528" t="s">
        <v>264</v>
      </c>
      <c r="E6903" s="528"/>
      <c r="F6903" s="528"/>
      <c r="G6903" s="528" t="s">
        <v>205</v>
      </c>
    </row>
    <row r="6904" spans="1:7" x14ac:dyDescent="0.35">
      <c r="A6904" s="528" t="s">
        <v>19971</v>
      </c>
      <c r="B6904" s="528" t="s">
        <v>19972</v>
      </c>
      <c r="C6904" s="528" t="s">
        <v>19973</v>
      </c>
      <c r="D6904" s="528" t="s">
        <v>251</v>
      </c>
      <c r="E6904" s="528"/>
      <c r="F6904" s="528"/>
      <c r="G6904" s="528" t="s">
        <v>208</v>
      </c>
    </row>
    <row r="6905" spans="1:7" x14ac:dyDescent="0.35">
      <c r="A6905" s="528" t="s">
        <v>19974</v>
      </c>
      <c r="B6905" s="528" t="s">
        <v>19975</v>
      </c>
      <c r="C6905" s="528" t="s">
        <v>19976</v>
      </c>
      <c r="D6905" s="528" t="s">
        <v>264</v>
      </c>
      <c r="E6905" s="528"/>
      <c r="F6905" s="528"/>
      <c r="G6905" s="528" t="s">
        <v>208</v>
      </c>
    </row>
    <row r="6906" spans="1:7" x14ac:dyDescent="0.35">
      <c r="A6906" s="528" t="s">
        <v>19977</v>
      </c>
      <c r="B6906" s="528" t="s">
        <v>19978</v>
      </c>
      <c r="C6906" s="528" t="s">
        <v>19979</v>
      </c>
      <c r="D6906" s="528" t="s">
        <v>264</v>
      </c>
      <c r="E6906" s="528"/>
      <c r="F6906" s="528"/>
      <c r="G6906" s="528" t="s">
        <v>205</v>
      </c>
    </row>
    <row r="6907" spans="1:7" x14ac:dyDescent="0.35">
      <c r="A6907" s="528" t="s">
        <v>19980</v>
      </c>
      <c r="B6907" s="528" t="s">
        <v>19981</v>
      </c>
      <c r="C6907" s="528" t="s">
        <v>19982</v>
      </c>
      <c r="D6907" s="528" t="s">
        <v>277</v>
      </c>
      <c r="E6907" s="528"/>
      <c r="F6907" s="528"/>
      <c r="G6907" s="528" t="s">
        <v>212</v>
      </c>
    </row>
    <row r="6908" spans="1:7" x14ac:dyDescent="0.35">
      <c r="A6908" s="528" t="s">
        <v>19983</v>
      </c>
      <c r="B6908" s="528" t="s">
        <v>19984</v>
      </c>
      <c r="C6908" s="528" t="s">
        <v>19985</v>
      </c>
      <c r="D6908" s="528" t="s">
        <v>264</v>
      </c>
      <c r="E6908" s="528"/>
      <c r="F6908" s="528"/>
      <c r="G6908" s="528" t="s">
        <v>212</v>
      </c>
    </row>
    <row r="6909" spans="1:7" x14ac:dyDescent="0.35">
      <c r="A6909" s="528" t="s">
        <v>19986</v>
      </c>
      <c r="B6909" s="528" t="s">
        <v>19987</v>
      </c>
      <c r="C6909" s="528" t="s">
        <v>19988</v>
      </c>
      <c r="D6909" s="528" t="s">
        <v>277</v>
      </c>
      <c r="E6909" s="528"/>
      <c r="F6909" s="528"/>
      <c r="G6909" s="528" t="s">
        <v>208</v>
      </c>
    </row>
    <row r="6910" spans="1:7" x14ac:dyDescent="0.35">
      <c r="A6910" s="528" t="s">
        <v>19989</v>
      </c>
      <c r="B6910" s="528" t="s">
        <v>19990</v>
      </c>
      <c r="C6910" s="528" t="s">
        <v>19991</v>
      </c>
      <c r="D6910" s="528" t="s">
        <v>277</v>
      </c>
      <c r="E6910" s="528"/>
      <c r="F6910" s="528"/>
      <c r="G6910" s="528" t="s">
        <v>212</v>
      </c>
    </row>
    <row r="6911" spans="1:7" x14ac:dyDescent="0.35">
      <c r="A6911" s="528" t="s">
        <v>19992</v>
      </c>
      <c r="B6911" s="528" t="s">
        <v>19993</v>
      </c>
      <c r="C6911" s="528" t="s">
        <v>19994</v>
      </c>
      <c r="D6911" s="528" t="s">
        <v>264</v>
      </c>
      <c r="E6911" s="528"/>
      <c r="F6911" s="528"/>
      <c r="G6911" s="528" t="s">
        <v>208</v>
      </c>
    </row>
    <row r="6912" spans="1:7" x14ac:dyDescent="0.35">
      <c r="A6912" s="528" t="s">
        <v>19995</v>
      </c>
      <c r="B6912" s="528" t="s">
        <v>19996</v>
      </c>
      <c r="C6912" s="528" t="s">
        <v>19997</v>
      </c>
      <c r="D6912" s="528" t="s">
        <v>264</v>
      </c>
      <c r="E6912" s="528"/>
      <c r="F6912" s="528"/>
      <c r="G6912" s="528" t="s">
        <v>208</v>
      </c>
    </row>
    <row r="6913" spans="1:7" x14ac:dyDescent="0.35">
      <c r="A6913" s="528" t="s">
        <v>19998</v>
      </c>
      <c r="B6913" s="528" t="s">
        <v>19999</v>
      </c>
      <c r="C6913" s="528" t="s">
        <v>20000</v>
      </c>
      <c r="D6913" s="528" t="s">
        <v>264</v>
      </c>
      <c r="E6913" s="528"/>
      <c r="F6913" s="528"/>
      <c r="G6913" s="528" t="s">
        <v>208</v>
      </c>
    </row>
    <row r="6914" spans="1:7" x14ac:dyDescent="0.35">
      <c r="A6914" s="528" t="s">
        <v>20001</v>
      </c>
      <c r="B6914" s="528" t="s">
        <v>20002</v>
      </c>
      <c r="C6914" s="528" t="s">
        <v>20003</v>
      </c>
      <c r="D6914" s="528" t="s">
        <v>264</v>
      </c>
      <c r="E6914" s="528"/>
      <c r="F6914" s="528"/>
      <c r="G6914" s="528" t="s">
        <v>208</v>
      </c>
    </row>
    <row r="6915" spans="1:7" x14ac:dyDescent="0.35">
      <c r="A6915" s="528" t="s">
        <v>20004</v>
      </c>
      <c r="B6915" s="528" t="s">
        <v>20005</v>
      </c>
      <c r="C6915" s="528" t="s">
        <v>20006</v>
      </c>
      <c r="D6915" s="528" t="s">
        <v>225</v>
      </c>
      <c r="E6915" s="528"/>
      <c r="F6915" s="528"/>
      <c r="G6915" s="528" t="s">
        <v>208</v>
      </c>
    </row>
    <row r="6916" spans="1:7" x14ac:dyDescent="0.35">
      <c r="A6916" s="528" t="s">
        <v>20007</v>
      </c>
      <c r="B6916" s="528" t="s">
        <v>20008</v>
      </c>
      <c r="C6916" s="528" t="s">
        <v>20009</v>
      </c>
      <c r="D6916" s="528" t="s">
        <v>225</v>
      </c>
      <c r="E6916" s="528"/>
      <c r="F6916" s="528"/>
      <c r="G6916" s="528" t="s">
        <v>208</v>
      </c>
    </row>
    <row r="6917" spans="1:7" x14ac:dyDescent="0.35">
      <c r="A6917" s="528" t="s">
        <v>20010</v>
      </c>
      <c r="B6917" s="528" t="s">
        <v>20011</v>
      </c>
      <c r="C6917" s="528" t="s">
        <v>20012</v>
      </c>
      <c r="D6917" s="528" t="s">
        <v>277</v>
      </c>
      <c r="E6917" s="528"/>
      <c r="F6917" s="528"/>
      <c r="G6917" s="528" t="s">
        <v>205</v>
      </c>
    </row>
    <row r="6918" spans="1:7" x14ac:dyDescent="0.35">
      <c r="A6918" s="528" t="s">
        <v>20013</v>
      </c>
      <c r="B6918" s="528" t="s">
        <v>20014</v>
      </c>
      <c r="C6918" s="528" t="s">
        <v>20015</v>
      </c>
      <c r="D6918" s="528" t="s">
        <v>277</v>
      </c>
      <c r="E6918" s="528"/>
      <c r="F6918" s="528"/>
      <c r="G6918" s="528" t="s">
        <v>205</v>
      </c>
    </row>
    <row r="6919" spans="1:7" x14ac:dyDescent="0.35">
      <c r="A6919" s="528" t="s">
        <v>20016</v>
      </c>
      <c r="B6919" s="528" t="s">
        <v>20017</v>
      </c>
      <c r="C6919" s="528" t="s">
        <v>20018</v>
      </c>
      <c r="D6919" s="528" t="s">
        <v>225</v>
      </c>
      <c r="E6919" s="528"/>
      <c r="F6919" s="528"/>
      <c r="G6919" s="528" t="s">
        <v>208</v>
      </c>
    </row>
    <row r="6920" spans="1:7" x14ac:dyDescent="0.35">
      <c r="A6920" s="528" t="s">
        <v>20019</v>
      </c>
      <c r="B6920" s="528" t="s">
        <v>20020</v>
      </c>
      <c r="C6920" s="528" t="s">
        <v>20021</v>
      </c>
      <c r="D6920" s="528" t="s">
        <v>251</v>
      </c>
      <c r="E6920" s="528"/>
      <c r="F6920" s="528"/>
      <c r="G6920" s="528" t="s">
        <v>208</v>
      </c>
    </row>
    <row r="6921" spans="1:7" x14ac:dyDescent="0.35">
      <c r="A6921" s="528" t="s">
        <v>20022</v>
      </c>
      <c r="B6921" s="528" t="s">
        <v>20023</v>
      </c>
      <c r="C6921" s="528" t="s">
        <v>20024</v>
      </c>
      <c r="D6921" s="528" t="s">
        <v>264</v>
      </c>
      <c r="E6921" s="528"/>
      <c r="F6921" s="528"/>
      <c r="G6921" s="528" t="s">
        <v>205</v>
      </c>
    </row>
    <row r="6922" spans="1:7" x14ac:dyDescent="0.35">
      <c r="A6922" s="528" t="s">
        <v>20025</v>
      </c>
      <c r="B6922" s="528" t="s">
        <v>20026</v>
      </c>
      <c r="C6922" s="528" t="s">
        <v>20027</v>
      </c>
      <c r="D6922" s="528" t="s">
        <v>277</v>
      </c>
      <c r="E6922" s="528"/>
      <c r="F6922" s="528"/>
      <c r="G6922" s="528" t="s">
        <v>205</v>
      </c>
    </row>
    <row r="6923" spans="1:7" x14ac:dyDescent="0.35">
      <c r="A6923" s="528" t="s">
        <v>20028</v>
      </c>
      <c r="B6923" s="528" t="s">
        <v>20029</v>
      </c>
      <c r="C6923" s="528" t="s">
        <v>20030</v>
      </c>
      <c r="D6923" s="528" t="s">
        <v>277</v>
      </c>
      <c r="E6923" s="528"/>
      <c r="F6923" s="528"/>
      <c r="G6923" s="528" t="s">
        <v>205</v>
      </c>
    </row>
    <row r="6924" spans="1:7" x14ac:dyDescent="0.35">
      <c r="A6924" s="528" t="s">
        <v>20031</v>
      </c>
      <c r="B6924" s="528" t="s">
        <v>20032</v>
      </c>
      <c r="C6924" s="528" t="s">
        <v>20033</v>
      </c>
      <c r="D6924" s="528" t="s">
        <v>277</v>
      </c>
      <c r="E6924" s="528"/>
      <c r="F6924" s="528"/>
      <c r="G6924" s="528" t="s">
        <v>205</v>
      </c>
    </row>
    <row r="6925" spans="1:7" x14ac:dyDescent="0.35">
      <c r="A6925" s="528" t="s">
        <v>20034</v>
      </c>
      <c r="B6925" s="528" t="s">
        <v>20035</v>
      </c>
      <c r="C6925" s="528" t="s">
        <v>20036</v>
      </c>
      <c r="D6925" s="528" t="s">
        <v>225</v>
      </c>
      <c r="E6925" s="528" t="s">
        <v>277</v>
      </c>
      <c r="F6925" s="528"/>
      <c r="G6925" s="528" t="s">
        <v>208</v>
      </c>
    </row>
    <row r="6926" spans="1:7" x14ac:dyDescent="0.35">
      <c r="A6926" s="528" t="s">
        <v>20037</v>
      </c>
      <c r="B6926" s="528" t="s">
        <v>20038</v>
      </c>
      <c r="C6926" s="528" t="s">
        <v>20039</v>
      </c>
      <c r="D6926" s="528" t="s">
        <v>225</v>
      </c>
      <c r="E6926" s="528" t="s">
        <v>277</v>
      </c>
      <c r="F6926" s="528"/>
      <c r="G6926" s="528" t="s">
        <v>205</v>
      </c>
    </row>
    <row r="6927" spans="1:7" x14ac:dyDescent="0.35">
      <c r="A6927" s="528" t="s">
        <v>20040</v>
      </c>
      <c r="B6927" s="528" t="s">
        <v>20041</v>
      </c>
      <c r="C6927" s="528" t="s">
        <v>20042</v>
      </c>
      <c r="D6927" s="528" t="s">
        <v>225</v>
      </c>
      <c r="E6927" s="528"/>
      <c r="F6927" s="528"/>
      <c r="G6927" s="528" t="s">
        <v>205</v>
      </c>
    </row>
    <row r="6928" spans="1:7" x14ac:dyDescent="0.35">
      <c r="A6928" s="528" t="s">
        <v>20043</v>
      </c>
      <c r="B6928" s="528" t="s">
        <v>20044</v>
      </c>
      <c r="C6928" s="528" t="s">
        <v>20045</v>
      </c>
      <c r="D6928" s="528" t="s">
        <v>277</v>
      </c>
      <c r="E6928" s="528"/>
      <c r="F6928" s="528"/>
      <c r="G6928" s="528" t="s">
        <v>208</v>
      </c>
    </row>
    <row r="6929" spans="1:7" x14ac:dyDescent="0.35">
      <c r="A6929" s="528" t="s">
        <v>20046</v>
      </c>
      <c r="B6929" s="528" t="s">
        <v>20047</v>
      </c>
      <c r="C6929" s="528" t="s">
        <v>20048</v>
      </c>
      <c r="D6929" s="528" t="s">
        <v>264</v>
      </c>
      <c r="E6929" s="528" t="s">
        <v>277</v>
      </c>
      <c r="F6929" s="528"/>
      <c r="G6929" s="528" t="s">
        <v>208</v>
      </c>
    </row>
    <row r="6930" spans="1:7" x14ac:dyDescent="0.35">
      <c r="A6930" s="528" t="s">
        <v>20049</v>
      </c>
      <c r="B6930" s="528" t="s">
        <v>20050</v>
      </c>
      <c r="C6930" s="528" t="s">
        <v>20051</v>
      </c>
      <c r="D6930" s="528" t="s">
        <v>277</v>
      </c>
      <c r="E6930" s="528"/>
      <c r="F6930" s="528"/>
      <c r="G6930" s="528" t="s">
        <v>205</v>
      </c>
    </row>
    <row r="6931" spans="1:7" x14ac:dyDescent="0.35">
      <c r="A6931" s="528" t="s">
        <v>20052</v>
      </c>
      <c r="B6931" s="528" t="s">
        <v>20053</v>
      </c>
      <c r="C6931" s="528" t="s">
        <v>20054</v>
      </c>
      <c r="D6931" s="528" t="s">
        <v>264</v>
      </c>
      <c r="E6931" s="528"/>
      <c r="F6931" s="528"/>
      <c r="G6931" s="528" t="s">
        <v>205</v>
      </c>
    </row>
    <row r="6932" spans="1:7" x14ac:dyDescent="0.35">
      <c r="A6932" s="528" t="s">
        <v>20055</v>
      </c>
      <c r="B6932" s="528" t="s">
        <v>20056</v>
      </c>
      <c r="C6932" s="528" t="s">
        <v>20057</v>
      </c>
      <c r="D6932" s="528" t="s">
        <v>264</v>
      </c>
      <c r="E6932" s="528" t="s">
        <v>277</v>
      </c>
      <c r="F6932" s="528"/>
      <c r="G6932" s="528" t="s">
        <v>212</v>
      </c>
    </row>
    <row r="6933" spans="1:7" x14ac:dyDescent="0.35">
      <c r="A6933" s="528" t="s">
        <v>20058</v>
      </c>
      <c r="B6933" s="528" t="s">
        <v>20059</v>
      </c>
      <c r="C6933" s="528" t="s">
        <v>20060</v>
      </c>
      <c r="D6933" s="528" t="s">
        <v>277</v>
      </c>
      <c r="E6933" s="528"/>
      <c r="F6933" s="528"/>
      <c r="G6933" s="528" t="s">
        <v>208</v>
      </c>
    </row>
    <row r="6934" spans="1:7" x14ac:dyDescent="0.35">
      <c r="A6934" s="528" t="s">
        <v>20061</v>
      </c>
      <c r="B6934" s="528" t="s">
        <v>20062</v>
      </c>
      <c r="C6934" s="528" t="s">
        <v>20063</v>
      </c>
      <c r="D6934" s="528" t="s">
        <v>264</v>
      </c>
      <c r="E6934" s="528"/>
      <c r="F6934" s="528"/>
      <c r="G6934" s="528" t="s">
        <v>208</v>
      </c>
    </row>
    <row r="6935" spans="1:7" x14ac:dyDescent="0.35">
      <c r="A6935" s="528" t="s">
        <v>20064</v>
      </c>
      <c r="B6935" s="528" t="s">
        <v>20065</v>
      </c>
      <c r="C6935" s="528" t="s">
        <v>20066</v>
      </c>
      <c r="D6935" s="528" t="s">
        <v>264</v>
      </c>
      <c r="E6935" s="528"/>
      <c r="F6935" s="528"/>
      <c r="G6935" s="528" t="s">
        <v>212</v>
      </c>
    </row>
    <row r="6936" spans="1:7" x14ac:dyDescent="0.35">
      <c r="A6936" s="528" t="s">
        <v>20067</v>
      </c>
      <c r="B6936" s="528" t="s">
        <v>20068</v>
      </c>
      <c r="C6936" s="528" t="s">
        <v>20069</v>
      </c>
      <c r="D6936" s="528" t="s">
        <v>225</v>
      </c>
      <c r="E6936" s="528"/>
      <c r="F6936" s="528"/>
      <c r="G6936" s="528" t="s">
        <v>208</v>
      </c>
    </row>
    <row r="6937" spans="1:7" x14ac:dyDescent="0.35">
      <c r="A6937" s="528" t="s">
        <v>20070</v>
      </c>
      <c r="B6937" s="528" t="s">
        <v>20071</v>
      </c>
      <c r="C6937" s="528" t="s">
        <v>20072</v>
      </c>
      <c r="D6937" s="528" t="s">
        <v>225</v>
      </c>
      <c r="E6937" s="528"/>
      <c r="F6937" s="528"/>
      <c r="G6937" s="528" t="s">
        <v>208</v>
      </c>
    </row>
    <row r="6938" spans="1:7" x14ac:dyDescent="0.35">
      <c r="A6938" s="528" t="s">
        <v>20073</v>
      </c>
      <c r="B6938" s="528" t="s">
        <v>20074</v>
      </c>
      <c r="C6938" s="528" t="s">
        <v>20075</v>
      </c>
      <c r="D6938" s="528" t="s">
        <v>225</v>
      </c>
      <c r="E6938" s="528"/>
      <c r="F6938" s="528"/>
      <c r="G6938" s="528" t="s">
        <v>208</v>
      </c>
    </row>
    <row r="6939" spans="1:7" x14ac:dyDescent="0.35">
      <c r="A6939" s="528" t="s">
        <v>20076</v>
      </c>
      <c r="B6939" s="528" t="s">
        <v>20077</v>
      </c>
      <c r="C6939" s="528" t="s">
        <v>20078</v>
      </c>
      <c r="D6939" s="528" t="s">
        <v>264</v>
      </c>
      <c r="E6939" s="528"/>
      <c r="F6939" s="528"/>
      <c r="G6939" s="528" t="s">
        <v>210</v>
      </c>
    </row>
    <row r="6940" spans="1:7" x14ac:dyDescent="0.35">
      <c r="A6940" s="528" t="s">
        <v>20079</v>
      </c>
      <c r="B6940" s="528" t="s">
        <v>20080</v>
      </c>
      <c r="C6940" s="528" t="s">
        <v>20081</v>
      </c>
      <c r="D6940" s="528" t="s">
        <v>251</v>
      </c>
      <c r="E6940" s="528"/>
      <c r="F6940" s="528"/>
      <c r="G6940" s="528" t="s">
        <v>205</v>
      </c>
    </row>
    <row r="6941" spans="1:7" x14ac:dyDescent="0.35">
      <c r="A6941" s="528" t="s">
        <v>20082</v>
      </c>
      <c r="B6941" s="528" t="s">
        <v>20083</v>
      </c>
      <c r="C6941" s="528" t="s">
        <v>20084</v>
      </c>
      <c r="D6941" s="528" t="s">
        <v>225</v>
      </c>
      <c r="E6941" s="528"/>
      <c r="F6941" s="528"/>
      <c r="G6941" s="528" t="s">
        <v>208</v>
      </c>
    </row>
    <row r="6942" spans="1:7" x14ac:dyDescent="0.35">
      <c r="A6942" s="528" t="s">
        <v>20085</v>
      </c>
      <c r="B6942" s="528" t="s">
        <v>20086</v>
      </c>
      <c r="C6942" s="528" t="s">
        <v>20087</v>
      </c>
      <c r="D6942" s="528" t="s">
        <v>264</v>
      </c>
      <c r="E6942" s="528"/>
      <c r="F6942" s="528"/>
      <c r="G6942" s="528" t="s">
        <v>208</v>
      </c>
    </row>
    <row r="6943" spans="1:7" x14ac:dyDescent="0.35">
      <c r="A6943" s="528" t="s">
        <v>20088</v>
      </c>
      <c r="B6943" s="528" t="s">
        <v>20089</v>
      </c>
      <c r="C6943" s="528" t="s">
        <v>20090</v>
      </c>
      <c r="D6943" s="528" t="s">
        <v>225</v>
      </c>
      <c r="E6943" s="528"/>
      <c r="F6943" s="528"/>
      <c r="G6943" s="528" t="s">
        <v>214</v>
      </c>
    </row>
    <row r="6944" spans="1:7" x14ac:dyDescent="0.35">
      <c r="A6944" s="528" t="s">
        <v>20091</v>
      </c>
      <c r="B6944" s="528" t="s">
        <v>20092</v>
      </c>
      <c r="C6944" s="528" t="s">
        <v>20093</v>
      </c>
      <c r="D6944" s="528" t="s">
        <v>277</v>
      </c>
      <c r="E6944" s="528"/>
      <c r="F6944" s="528"/>
      <c r="G6944" s="528" t="s">
        <v>208</v>
      </c>
    </row>
    <row r="6945" spans="1:7" x14ac:dyDescent="0.35">
      <c r="A6945" s="528" t="s">
        <v>20094</v>
      </c>
      <c r="B6945" s="528" t="s">
        <v>20095</v>
      </c>
      <c r="C6945" s="528" t="s">
        <v>20096</v>
      </c>
      <c r="D6945" s="528" t="s">
        <v>225</v>
      </c>
      <c r="E6945" s="528"/>
      <c r="F6945" s="528"/>
      <c r="G6945" s="528" t="s">
        <v>208</v>
      </c>
    </row>
    <row r="6946" spans="1:7" x14ac:dyDescent="0.35">
      <c r="A6946" s="528" t="s">
        <v>20097</v>
      </c>
      <c r="B6946" s="528" t="s">
        <v>20098</v>
      </c>
      <c r="C6946" s="528" t="s">
        <v>20099</v>
      </c>
      <c r="D6946" s="528" t="s">
        <v>264</v>
      </c>
      <c r="E6946" s="528"/>
      <c r="F6946" s="528"/>
      <c r="G6946" s="528" t="s">
        <v>208</v>
      </c>
    </row>
    <row r="6947" spans="1:7" x14ac:dyDescent="0.35">
      <c r="A6947" s="528" t="s">
        <v>20100</v>
      </c>
      <c r="B6947" s="528" t="s">
        <v>20101</v>
      </c>
      <c r="C6947" s="528" t="s">
        <v>20102</v>
      </c>
      <c r="D6947" s="528" t="s">
        <v>264</v>
      </c>
      <c r="E6947" s="528"/>
      <c r="F6947" s="528"/>
      <c r="G6947" s="528" t="s">
        <v>208</v>
      </c>
    </row>
    <row r="6948" spans="1:7" x14ac:dyDescent="0.35">
      <c r="A6948" s="528" t="s">
        <v>20103</v>
      </c>
      <c r="B6948" s="528" t="s">
        <v>20104</v>
      </c>
      <c r="C6948" s="528" t="s">
        <v>20105</v>
      </c>
      <c r="D6948" s="528" t="s">
        <v>264</v>
      </c>
      <c r="E6948" s="528"/>
      <c r="F6948" s="528"/>
      <c r="G6948" s="528" t="s">
        <v>205</v>
      </c>
    </row>
    <row r="6949" spans="1:7" x14ac:dyDescent="0.35">
      <c r="A6949" s="528" t="s">
        <v>20106</v>
      </c>
      <c r="B6949" s="528" t="s">
        <v>20107</v>
      </c>
      <c r="C6949" s="528" t="s">
        <v>20108</v>
      </c>
      <c r="D6949" s="528" t="s">
        <v>277</v>
      </c>
      <c r="E6949" s="528"/>
      <c r="F6949" s="528"/>
      <c r="G6949" s="528" t="s">
        <v>208</v>
      </c>
    </row>
    <row r="6950" spans="1:7" x14ac:dyDescent="0.35">
      <c r="A6950" s="528" t="s">
        <v>20109</v>
      </c>
      <c r="B6950" s="528" t="s">
        <v>20110</v>
      </c>
      <c r="C6950" s="528" t="s">
        <v>20111</v>
      </c>
      <c r="D6950" s="528" t="s">
        <v>225</v>
      </c>
      <c r="E6950" s="528"/>
      <c r="F6950" s="528"/>
      <c r="G6950" s="528" t="s">
        <v>208</v>
      </c>
    </row>
    <row r="6951" spans="1:7" x14ac:dyDescent="0.35">
      <c r="A6951" s="528" t="s">
        <v>20112</v>
      </c>
      <c r="B6951" s="528" t="s">
        <v>20113</v>
      </c>
      <c r="C6951" s="528" t="s">
        <v>20114</v>
      </c>
      <c r="D6951" s="528" t="s">
        <v>225</v>
      </c>
      <c r="E6951" s="528" t="s">
        <v>264</v>
      </c>
      <c r="F6951" s="528"/>
      <c r="G6951" s="528" t="s">
        <v>208</v>
      </c>
    </row>
    <row r="6952" spans="1:7" x14ac:dyDescent="0.35">
      <c r="A6952" s="528" t="s">
        <v>20115</v>
      </c>
      <c r="B6952" s="528" t="s">
        <v>20116</v>
      </c>
      <c r="C6952" s="528" t="s">
        <v>20117</v>
      </c>
      <c r="D6952" s="528" t="s">
        <v>225</v>
      </c>
      <c r="E6952" s="528"/>
      <c r="F6952" s="528"/>
      <c r="G6952" s="528" t="s">
        <v>208</v>
      </c>
    </row>
    <row r="6953" spans="1:7" x14ac:dyDescent="0.35">
      <c r="A6953" s="528" t="s">
        <v>20118</v>
      </c>
      <c r="B6953" s="528" t="s">
        <v>20119</v>
      </c>
      <c r="C6953" s="528" t="s">
        <v>20120</v>
      </c>
      <c r="D6953" s="528" t="s">
        <v>225</v>
      </c>
      <c r="E6953" s="528" t="s">
        <v>264</v>
      </c>
      <c r="F6953" s="528"/>
      <c r="G6953" s="528" t="s">
        <v>208</v>
      </c>
    </row>
    <row r="6954" spans="1:7" x14ac:dyDescent="0.35">
      <c r="A6954" s="528" t="s">
        <v>20121</v>
      </c>
      <c r="B6954" s="528" t="s">
        <v>20122</v>
      </c>
      <c r="C6954" s="528" t="s">
        <v>20123</v>
      </c>
      <c r="D6954" s="528" t="s">
        <v>225</v>
      </c>
      <c r="E6954" s="528"/>
      <c r="F6954" s="528"/>
      <c r="G6954" s="528" t="s">
        <v>208</v>
      </c>
    </row>
    <row r="6955" spans="1:7" x14ac:dyDescent="0.35">
      <c r="A6955" s="528" t="s">
        <v>20124</v>
      </c>
      <c r="B6955" s="528" t="s">
        <v>20125</v>
      </c>
      <c r="C6955" s="528" t="s">
        <v>20126</v>
      </c>
      <c r="D6955" s="528" t="s">
        <v>238</v>
      </c>
      <c r="E6955" s="528"/>
      <c r="F6955" s="528"/>
      <c r="G6955" s="528" t="s">
        <v>212</v>
      </c>
    </row>
    <row r="6956" spans="1:7" x14ac:dyDescent="0.35">
      <c r="A6956" s="528" t="s">
        <v>20127</v>
      </c>
      <c r="B6956" s="528" t="s">
        <v>20128</v>
      </c>
      <c r="C6956" s="528" t="s">
        <v>20129</v>
      </c>
      <c r="D6956" s="528" t="s">
        <v>238</v>
      </c>
      <c r="E6956" s="528"/>
      <c r="F6956" s="528"/>
      <c r="G6956" s="528" t="s">
        <v>208</v>
      </c>
    </row>
    <row r="6957" spans="1:7" x14ac:dyDescent="0.35">
      <c r="A6957" s="528" t="s">
        <v>20130</v>
      </c>
      <c r="B6957" s="528" t="s">
        <v>20131</v>
      </c>
      <c r="C6957" s="528" t="s">
        <v>20132</v>
      </c>
      <c r="D6957" s="528" t="s">
        <v>277</v>
      </c>
      <c r="E6957" s="528"/>
      <c r="F6957" s="528"/>
      <c r="G6957" s="528" t="s">
        <v>212</v>
      </c>
    </row>
    <row r="6958" spans="1:7" x14ac:dyDescent="0.35">
      <c r="A6958" s="528" t="s">
        <v>20133</v>
      </c>
      <c r="B6958" s="528" t="s">
        <v>20134</v>
      </c>
      <c r="C6958" s="528" t="s">
        <v>20135</v>
      </c>
      <c r="D6958" s="528" t="s">
        <v>277</v>
      </c>
      <c r="E6958" s="528"/>
      <c r="F6958" s="528"/>
      <c r="G6958" s="528" t="s">
        <v>212</v>
      </c>
    </row>
    <row r="6959" spans="1:7" x14ac:dyDescent="0.35">
      <c r="A6959" s="528" t="s">
        <v>20136</v>
      </c>
      <c r="B6959" s="528" t="s">
        <v>20137</v>
      </c>
      <c r="C6959" s="528" t="s">
        <v>20138</v>
      </c>
      <c r="D6959" s="528" t="s">
        <v>264</v>
      </c>
      <c r="E6959" s="528"/>
      <c r="F6959" s="528"/>
      <c r="G6959" s="528" t="s">
        <v>208</v>
      </c>
    </row>
    <row r="6960" spans="1:7" x14ac:dyDescent="0.35">
      <c r="A6960" s="528" t="s">
        <v>20139</v>
      </c>
      <c r="B6960" s="528" t="s">
        <v>20140</v>
      </c>
      <c r="C6960" s="528" t="s">
        <v>20141</v>
      </c>
      <c r="D6960" s="528" t="s">
        <v>238</v>
      </c>
      <c r="E6960" s="528"/>
      <c r="F6960" s="528"/>
      <c r="G6960" s="528" t="s">
        <v>212</v>
      </c>
    </row>
    <row r="6961" spans="1:7" x14ac:dyDescent="0.35">
      <c r="A6961" s="528" t="s">
        <v>20142</v>
      </c>
      <c r="B6961" s="528" t="s">
        <v>20143</v>
      </c>
      <c r="C6961" s="528" t="s">
        <v>20144</v>
      </c>
      <c r="D6961" s="528" t="s">
        <v>277</v>
      </c>
      <c r="E6961" s="528"/>
      <c r="F6961" s="528"/>
      <c r="G6961" s="528" t="s">
        <v>208</v>
      </c>
    </row>
    <row r="6962" spans="1:7" x14ac:dyDescent="0.35">
      <c r="A6962" s="528" t="s">
        <v>20145</v>
      </c>
      <c r="B6962" s="528" t="s">
        <v>20146</v>
      </c>
      <c r="C6962" s="528" t="s">
        <v>20147</v>
      </c>
      <c r="D6962" s="528" t="s">
        <v>277</v>
      </c>
      <c r="E6962" s="528"/>
      <c r="F6962" s="528"/>
      <c r="G6962" s="528" t="s">
        <v>208</v>
      </c>
    </row>
    <row r="6963" spans="1:7" x14ac:dyDescent="0.35">
      <c r="A6963" s="528" t="s">
        <v>20148</v>
      </c>
      <c r="B6963" s="528" t="s">
        <v>20149</v>
      </c>
      <c r="C6963" s="528" t="s">
        <v>20150</v>
      </c>
      <c r="D6963" s="528" t="s">
        <v>238</v>
      </c>
      <c r="E6963" s="528"/>
      <c r="F6963" s="528"/>
      <c r="G6963" s="528" t="s">
        <v>205</v>
      </c>
    </row>
    <row r="6964" spans="1:7" x14ac:dyDescent="0.35">
      <c r="A6964" s="528" t="s">
        <v>20151</v>
      </c>
      <c r="B6964" s="528" t="s">
        <v>20152</v>
      </c>
      <c r="C6964" s="528" t="s">
        <v>20153</v>
      </c>
      <c r="D6964" s="528" t="s">
        <v>264</v>
      </c>
      <c r="E6964" s="528"/>
      <c r="F6964" s="528"/>
      <c r="G6964" s="528" t="s">
        <v>208</v>
      </c>
    </row>
    <row r="6965" spans="1:7" x14ac:dyDescent="0.35">
      <c r="A6965" s="528" t="s">
        <v>20154</v>
      </c>
      <c r="B6965" s="528" t="s">
        <v>20155</v>
      </c>
      <c r="C6965" s="528" t="s">
        <v>20156</v>
      </c>
      <c r="D6965" s="528" t="s">
        <v>238</v>
      </c>
      <c r="E6965" s="528"/>
      <c r="F6965" s="528"/>
      <c r="G6965" s="528" t="s">
        <v>208</v>
      </c>
    </row>
    <row r="6966" spans="1:7" x14ac:dyDescent="0.35">
      <c r="A6966" s="528" t="s">
        <v>20157</v>
      </c>
      <c r="B6966" s="528" t="s">
        <v>20158</v>
      </c>
      <c r="C6966" s="528" t="s">
        <v>20159</v>
      </c>
      <c r="D6966" s="528" t="s">
        <v>264</v>
      </c>
      <c r="E6966" s="528"/>
      <c r="F6966" s="528"/>
      <c r="G6966" s="528" t="s">
        <v>205</v>
      </c>
    </row>
    <row r="6967" spans="1:7" x14ac:dyDescent="0.35">
      <c r="A6967" s="528" t="s">
        <v>20160</v>
      </c>
      <c r="B6967" s="528" t="s">
        <v>20161</v>
      </c>
      <c r="C6967" s="528" t="s">
        <v>20162</v>
      </c>
      <c r="D6967" s="528" t="s">
        <v>277</v>
      </c>
      <c r="E6967" s="528"/>
      <c r="F6967" s="528"/>
      <c r="G6967" s="528" t="s">
        <v>208</v>
      </c>
    </row>
    <row r="6968" spans="1:7" x14ac:dyDescent="0.35">
      <c r="A6968" s="528" t="s">
        <v>20163</v>
      </c>
      <c r="B6968" s="528" t="s">
        <v>20164</v>
      </c>
      <c r="C6968" s="528" t="s">
        <v>20165</v>
      </c>
      <c r="D6968" s="528" t="s">
        <v>277</v>
      </c>
      <c r="E6968" s="528"/>
      <c r="F6968" s="528"/>
      <c r="G6968" s="528" t="s">
        <v>212</v>
      </c>
    </row>
    <row r="6969" spans="1:7" x14ac:dyDescent="0.35">
      <c r="A6969" s="528" t="s">
        <v>20166</v>
      </c>
      <c r="B6969" s="528" t="s">
        <v>20167</v>
      </c>
      <c r="C6969" s="528" t="s">
        <v>20168</v>
      </c>
      <c r="D6969" s="528" t="s">
        <v>277</v>
      </c>
      <c r="E6969" s="528"/>
      <c r="F6969" s="528"/>
      <c r="G6969" s="528" t="s">
        <v>214</v>
      </c>
    </row>
    <row r="6970" spans="1:7" x14ac:dyDescent="0.35">
      <c r="A6970" s="528" t="s">
        <v>20169</v>
      </c>
      <c r="B6970" s="528" t="s">
        <v>20170</v>
      </c>
      <c r="C6970" s="528" t="s">
        <v>20153</v>
      </c>
      <c r="D6970" s="528" t="s">
        <v>277</v>
      </c>
      <c r="E6970" s="528"/>
      <c r="F6970" s="528"/>
      <c r="G6970" s="528" t="s">
        <v>208</v>
      </c>
    </row>
    <row r="6971" spans="1:7" x14ac:dyDescent="0.35">
      <c r="A6971" s="528" t="s">
        <v>20171</v>
      </c>
      <c r="B6971" s="528" t="s">
        <v>20172</v>
      </c>
      <c r="C6971" s="528" t="s">
        <v>20173</v>
      </c>
      <c r="D6971" s="528" t="s">
        <v>264</v>
      </c>
      <c r="E6971" s="528"/>
      <c r="F6971" s="528"/>
      <c r="G6971" s="528" t="s">
        <v>208</v>
      </c>
    </row>
    <row r="6972" spans="1:7" x14ac:dyDescent="0.35">
      <c r="A6972" s="528" t="s">
        <v>20174</v>
      </c>
      <c r="B6972" s="528" t="s">
        <v>20175</v>
      </c>
      <c r="C6972" s="528" t="s">
        <v>20176</v>
      </c>
      <c r="D6972" s="528" t="s">
        <v>277</v>
      </c>
      <c r="E6972" s="528" t="s">
        <v>225</v>
      </c>
      <c r="F6972" s="528"/>
      <c r="G6972" s="528" t="s">
        <v>208</v>
      </c>
    </row>
    <row r="6973" spans="1:7" x14ac:dyDescent="0.35">
      <c r="A6973" s="528" t="s">
        <v>20177</v>
      </c>
      <c r="B6973" s="528" t="s">
        <v>20178</v>
      </c>
      <c r="C6973" s="528" t="s">
        <v>20179</v>
      </c>
      <c r="D6973" s="528" t="s">
        <v>277</v>
      </c>
      <c r="E6973" s="528"/>
      <c r="F6973" s="528"/>
      <c r="G6973" s="528" t="s">
        <v>208</v>
      </c>
    </row>
    <row r="6974" spans="1:7" x14ac:dyDescent="0.35">
      <c r="A6974" s="528" t="s">
        <v>20180</v>
      </c>
      <c r="B6974" s="528" t="s">
        <v>20181</v>
      </c>
      <c r="C6974" s="528" t="s">
        <v>20182</v>
      </c>
      <c r="D6974" s="528" t="s">
        <v>264</v>
      </c>
      <c r="E6974" s="528" t="s">
        <v>277</v>
      </c>
      <c r="F6974" s="528"/>
      <c r="G6974" s="528" t="s">
        <v>208</v>
      </c>
    </row>
    <row r="6975" spans="1:7" x14ac:dyDescent="0.35">
      <c r="A6975" s="528" t="s">
        <v>20183</v>
      </c>
      <c r="B6975" s="528" t="s">
        <v>20184</v>
      </c>
      <c r="C6975" s="528" t="s">
        <v>20185</v>
      </c>
      <c r="D6975" s="528" t="s">
        <v>277</v>
      </c>
      <c r="E6975" s="528"/>
      <c r="F6975" s="528"/>
      <c r="G6975" s="528" t="s">
        <v>208</v>
      </c>
    </row>
    <row r="6976" spans="1:7" x14ac:dyDescent="0.35">
      <c r="A6976" s="528" t="s">
        <v>20186</v>
      </c>
      <c r="B6976" s="528" t="s">
        <v>20187</v>
      </c>
      <c r="C6976" s="528" t="s">
        <v>20188</v>
      </c>
      <c r="D6976" s="528" t="s">
        <v>277</v>
      </c>
      <c r="E6976" s="528"/>
      <c r="F6976" s="528"/>
      <c r="G6976" s="528" t="s">
        <v>208</v>
      </c>
    </row>
    <row r="6977" spans="1:7" x14ac:dyDescent="0.35">
      <c r="A6977" s="528" t="s">
        <v>20189</v>
      </c>
      <c r="B6977" s="528" t="s">
        <v>20190</v>
      </c>
      <c r="C6977" s="528" t="s">
        <v>20191</v>
      </c>
      <c r="D6977" s="528" t="s">
        <v>251</v>
      </c>
      <c r="E6977" s="528"/>
      <c r="F6977" s="528"/>
      <c r="G6977" s="528" t="s">
        <v>208</v>
      </c>
    </row>
    <row r="6978" spans="1:7" x14ac:dyDescent="0.35">
      <c r="A6978" s="528" t="s">
        <v>20192</v>
      </c>
      <c r="B6978" s="528" t="s">
        <v>20193</v>
      </c>
      <c r="C6978" s="528" t="s">
        <v>20194</v>
      </c>
      <c r="D6978" s="528" t="s">
        <v>225</v>
      </c>
      <c r="E6978" s="528"/>
      <c r="F6978" s="528"/>
      <c r="G6978" s="528" t="s">
        <v>208</v>
      </c>
    </row>
    <row r="6979" spans="1:7" x14ac:dyDescent="0.35">
      <c r="A6979" s="528" t="s">
        <v>20195</v>
      </c>
      <c r="B6979" s="528" t="s">
        <v>20196</v>
      </c>
      <c r="C6979" s="528" t="s">
        <v>20197</v>
      </c>
      <c r="D6979" s="528" t="s">
        <v>264</v>
      </c>
      <c r="E6979" s="528"/>
      <c r="F6979" s="528"/>
      <c r="G6979" s="528" t="s">
        <v>205</v>
      </c>
    </row>
    <row r="6980" spans="1:7" x14ac:dyDescent="0.35">
      <c r="A6980" s="528" t="s">
        <v>20198</v>
      </c>
      <c r="B6980" s="528" t="s">
        <v>20199</v>
      </c>
      <c r="C6980" s="528" t="s">
        <v>20200</v>
      </c>
      <c r="D6980" s="528" t="s">
        <v>277</v>
      </c>
      <c r="E6980" s="528" t="s">
        <v>264</v>
      </c>
      <c r="F6980" s="528"/>
      <c r="G6980" s="528" t="s">
        <v>205</v>
      </c>
    </row>
    <row r="6981" spans="1:7" x14ac:dyDescent="0.35">
      <c r="A6981" s="528" t="s">
        <v>20201</v>
      </c>
      <c r="B6981" s="528" t="s">
        <v>20202</v>
      </c>
      <c r="C6981" s="528" t="s">
        <v>20203</v>
      </c>
      <c r="D6981" s="528" t="s">
        <v>277</v>
      </c>
      <c r="E6981" s="528" t="s">
        <v>264</v>
      </c>
      <c r="F6981" s="528"/>
      <c r="G6981" s="528" t="s">
        <v>208</v>
      </c>
    </row>
    <row r="6982" spans="1:7" x14ac:dyDescent="0.35">
      <c r="A6982" s="528" t="s">
        <v>20204</v>
      </c>
      <c r="B6982" s="528" t="s">
        <v>20205</v>
      </c>
      <c r="C6982" s="528" t="s">
        <v>20206</v>
      </c>
      <c r="D6982" s="528" t="s">
        <v>277</v>
      </c>
      <c r="E6982" s="528"/>
      <c r="F6982" s="528"/>
      <c r="G6982" s="528" t="s">
        <v>205</v>
      </c>
    </row>
    <row r="6983" spans="1:7" x14ac:dyDescent="0.35">
      <c r="A6983" s="528" t="s">
        <v>20207</v>
      </c>
      <c r="B6983" s="528" t="s">
        <v>20208</v>
      </c>
      <c r="C6983" s="528" t="s">
        <v>20209</v>
      </c>
      <c r="D6983" s="528" t="s">
        <v>277</v>
      </c>
      <c r="E6983" s="528" t="s">
        <v>264</v>
      </c>
      <c r="F6983" s="528"/>
      <c r="G6983" s="528" t="s">
        <v>208</v>
      </c>
    </row>
    <row r="6984" spans="1:7" x14ac:dyDescent="0.35">
      <c r="A6984" s="528" t="s">
        <v>20210</v>
      </c>
      <c r="B6984" s="528" t="s">
        <v>20211</v>
      </c>
      <c r="C6984" s="528" t="s">
        <v>20212</v>
      </c>
      <c r="D6984" s="528" t="s">
        <v>277</v>
      </c>
      <c r="E6984" s="528"/>
      <c r="F6984" s="528"/>
      <c r="G6984" s="528" t="s">
        <v>208</v>
      </c>
    </row>
    <row r="6985" spans="1:7" x14ac:dyDescent="0.35">
      <c r="A6985" s="528" t="s">
        <v>20213</v>
      </c>
      <c r="B6985" s="528" t="s">
        <v>20214</v>
      </c>
      <c r="C6985" s="528" t="s">
        <v>20215</v>
      </c>
      <c r="D6985" s="528" t="s">
        <v>264</v>
      </c>
      <c r="E6985" s="528"/>
      <c r="F6985" s="528"/>
      <c r="G6985" s="528" t="s">
        <v>208</v>
      </c>
    </row>
    <row r="6986" spans="1:7" x14ac:dyDescent="0.35">
      <c r="A6986" s="528" t="s">
        <v>20216</v>
      </c>
      <c r="B6986" s="528" t="s">
        <v>20217</v>
      </c>
      <c r="C6986" s="528" t="s">
        <v>20218</v>
      </c>
      <c r="D6986" s="528" t="s">
        <v>238</v>
      </c>
      <c r="E6986" s="528"/>
      <c r="F6986" s="528"/>
      <c r="G6986" s="528" t="s">
        <v>205</v>
      </c>
    </row>
    <row r="6987" spans="1:7" x14ac:dyDescent="0.35">
      <c r="A6987" s="528" t="s">
        <v>20219</v>
      </c>
      <c r="B6987" s="528" t="s">
        <v>20220</v>
      </c>
      <c r="C6987" s="528" t="s">
        <v>20221</v>
      </c>
      <c r="D6987" s="528" t="s">
        <v>238</v>
      </c>
      <c r="E6987" s="528"/>
      <c r="F6987" s="528"/>
      <c r="G6987" s="528" t="s">
        <v>205</v>
      </c>
    </row>
    <row r="6988" spans="1:7" x14ac:dyDescent="0.35">
      <c r="A6988" s="528" t="s">
        <v>20222</v>
      </c>
      <c r="B6988" s="528" t="s">
        <v>20223</v>
      </c>
      <c r="C6988" s="528" t="s">
        <v>20224</v>
      </c>
      <c r="D6988" s="528" t="s">
        <v>277</v>
      </c>
      <c r="E6988" s="528"/>
      <c r="F6988" s="528"/>
      <c r="G6988" s="528" t="s">
        <v>205</v>
      </c>
    </row>
    <row r="6989" spans="1:7" x14ac:dyDescent="0.35">
      <c r="A6989" s="528" t="s">
        <v>20225</v>
      </c>
      <c r="B6989" s="528" t="s">
        <v>20226</v>
      </c>
      <c r="C6989" s="528" t="s">
        <v>20227</v>
      </c>
      <c r="D6989" s="528" t="s">
        <v>264</v>
      </c>
      <c r="E6989" s="528"/>
      <c r="F6989" s="528"/>
      <c r="G6989" s="528" t="s">
        <v>205</v>
      </c>
    </row>
    <row r="6990" spans="1:7" x14ac:dyDescent="0.35">
      <c r="A6990" s="528" t="s">
        <v>20228</v>
      </c>
      <c r="B6990" s="528" t="s">
        <v>20229</v>
      </c>
      <c r="C6990" s="528" t="s">
        <v>20230</v>
      </c>
      <c r="D6990" s="528" t="s">
        <v>238</v>
      </c>
      <c r="E6990" s="528"/>
      <c r="F6990" s="528"/>
      <c r="G6990" s="528" t="s">
        <v>205</v>
      </c>
    </row>
    <row r="6991" spans="1:7" x14ac:dyDescent="0.35">
      <c r="A6991" s="528" t="s">
        <v>20231</v>
      </c>
      <c r="B6991" s="528" t="s">
        <v>20232</v>
      </c>
      <c r="C6991" s="528" t="s">
        <v>20233</v>
      </c>
      <c r="D6991" s="528" t="s">
        <v>238</v>
      </c>
      <c r="E6991" s="528"/>
      <c r="F6991" s="528"/>
      <c r="G6991" s="528" t="s">
        <v>205</v>
      </c>
    </row>
    <row r="6992" spans="1:7" x14ac:dyDescent="0.35">
      <c r="A6992" s="528" t="s">
        <v>20234</v>
      </c>
      <c r="B6992" s="528" t="s">
        <v>20235</v>
      </c>
      <c r="C6992" s="528" t="s">
        <v>20236</v>
      </c>
      <c r="D6992" s="528" t="s">
        <v>264</v>
      </c>
      <c r="E6992" s="528"/>
      <c r="F6992" s="528"/>
      <c r="G6992" s="528" t="s">
        <v>205</v>
      </c>
    </row>
    <row r="6993" spans="1:7" x14ac:dyDescent="0.35">
      <c r="A6993" s="528" t="s">
        <v>20237</v>
      </c>
      <c r="B6993" s="528" t="s">
        <v>20238</v>
      </c>
      <c r="C6993" s="528" t="s">
        <v>20239</v>
      </c>
      <c r="D6993" s="528" t="s">
        <v>264</v>
      </c>
      <c r="E6993" s="528"/>
      <c r="F6993" s="528"/>
      <c r="G6993" s="528" t="s">
        <v>210</v>
      </c>
    </row>
    <row r="6994" spans="1:7" x14ac:dyDescent="0.35">
      <c r="A6994" s="528" t="s">
        <v>20240</v>
      </c>
      <c r="B6994" s="528" t="s">
        <v>20241</v>
      </c>
      <c r="C6994" s="528" t="s">
        <v>20242</v>
      </c>
      <c r="D6994" s="528" t="s">
        <v>264</v>
      </c>
      <c r="E6994" s="528"/>
      <c r="F6994" s="528"/>
      <c r="G6994" s="528" t="s">
        <v>210</v>
      </c>
    </row>
    <row r="6995" spans="1:7" x14ac:dyDescent="0.35">
      <c r="A6995" s="528" t="s">
        <v>20243</v>
      </c>
      <c r="B6995" s="528" t="s">
        <v>20244</v>
      </c>
      <c r="C6995" s="528" t="s">
        <v>20245</v>
      </c>
      <c r="D6995" s="528" t="s">
        <v>277</v>
      </c>
      <c r="E6995" s="528"/>
      <c r="F6995" s="528"/>
      <c r="G6995" s="528" t="s">
        <v>208</v>
      </c>
    </row>
    <row r="6996" spans="1:7" x14ac:dyDescent="0.35">
      <c r="A6996" s="528" t="s">
        <v>20246</v>
      </c>
      <c r="B6996" s="528" t="s">
        <v>20247</v>
      </c>
      <c r="C6996" s="528" t="s">
        <v>20248</v>
      </c>
      <c r="D6996" s="528" t="s">
        <v>264</v>
      </c>
      <c r="E6996" s="528"/>
      <c r="F6996" s="528"/>
      <c r="G6996" s="528" t="s">
        <v>208</v>
      </c>
    </row>
    <row r="6997" spans="1:7" x14ac:dyDescent="0.35">
      <c r="A6997" s="528" t="s">
        <v>20249</v>
      </c>
      <c r="B6997" s="528" t="s">
        <v>20250</v>
      </c>
      <c r="C6997" s="528" t="s">
        <v>20251</v>
      </c>
      <c r="D6997" s="528" t="s">
        <v>251</v>
      </c>
      <c r="E6997" s="528"/>
      <c r="F6997" s="528"/>
      <c r="G6997" s="528" t="s">
        <v>208</v>
      </c>
    </row>
    <row r="6998" spans="1:7" x14ac:dyDescent="0.35">
      <c r="A6998" s="528" t="s">
        <v>20252</v>
      </c>
      <c r="B6998" s="528" t="s">
        <v>20253</v>
      </c>
      <c r="C6998" s="528" t="s">
        <v>20254</v>
      </c>
      <c r="D6998" s="528" t="s">
        <v>264</v>
      </c>
      <c r="E6998" s="528" t="s">
        <v>225</v>
      </c>
      <c r="F6998" s="528"/>
      <c r="G6998" s="528" t="s">
        <v>205</v>
      </c>
    </row>
    <row r="6999" spans="1:7" x14ac:dyDescent="0.35">
      <c r="A6999" s="528" t="s">
        <v>20255</v>
      </c>
      <c r="B6999" s="528" t="s">
        <v>20256</v>
      </c>
      <c r="C6999" s="528" t="s">
        <v>20257</v>
      </c>
      <c r="D6999" s="528" t="s">
        <v>238</v>
      </c>
      <c r="E6999" s="528"/>
      <c r="F6999" s="528"/>
      <c r="G6999" s="528" t="s">
        <v>205</v>
      </c>
    </row>
    <row r="7000" spans="1:7" x14ac:dyDescent="0.35">
      <c r="A7000" s="528" t="s">
        <v>20258</v>
      </c>
      <c r="B7000" s="528" t="s">
        <v>20259</v>
      </c>
      <c r="C7000" s="528" t="s">
        <v>20260</v>
      </c>
      <c r="D7000" s="528" t="s">
        <v>264</v>
      </c>
      <c r="E7000" s="528"/>
      <c r="F7000" s="528"/>
      <c r="G7000" s="528" t="s">
        <v>205</v>
      </c>
    </row>
    <row r="7001" spans="1:7" x14ac:dyDescent="0.35">
      <c r="A7001" s="528" t="s">
        <v>20261</v>
      </c>
      <c r="B7001" s="528" t="s">
        <v>20262</v>
      </c>
      <c r="C7001" s="528" t="s">
        <v>20263</v>
      </c>
      <c r="D7001" s="528" t="s">
        <v>277</v>
      </c>
      <c r="E7001" s="528"/>
      <c r="F7001" s="528"/>
      <c r="G7001" s="528" t="s">
        <v>205</v>
      </c>
    </row>
    <row r="7002" spans="1:7" x14ac:dyDescent="0.35">
      <c r="A7002" s="528" t="s">
        <v>20264</v>
      </c>
      <c r="B7002" s="528" t="s">
        <v>20265</v>
      </c>
      <c r="C7002" s="528" t="s">
        <v>20266</v>
      </c>
      <c r="D7002" s="528" t="s">
        <v>225</v>
      </c>
      <c r="E7002" s="528"/>
      <c r="F7002" s="528"/>
      <c r="G7002" s="528" t="s">
        <v>205</v>
      </c>
    </row>
    <row r="7003" spans="1:7" x14ac:dyDescent="0.35">
      <c r="A7003" s="528" t="s">
        <v>20267</v>
      </c>
      <c r="B7003" s="528" t="s">
        <v>20268</v>
      </c>
      <c r="C7003" s="528" t="s">
        <v>20269</v>
      </c>
      <c r="D7003" s="528" t="s">
        <v>251</v>
      </c>
      <c r="E7003" s="528"/>
      <c r="F7003" s="528"/>
      <c r="G7003" s="528" t="s">
        <v>208</v>
      </c>
    </row>
    <row r="7004" spans="1:7" x14ac:dyDescent="0.35">
      <c r="A7004" s="528" t="s">
        <v>20270</v>
      </c>
      <c r="B7004" s="528" t="s">
        <v>20271</v>
      </c>
      <c r="C7004" s="528" t="s">
        <v>20272</v>
      </c>
      <c r="D7004" s="528" t="s">
        <v>238</v>
      </c>
      <c r="E7004" s="528"/>
      <c r="F7004" s="528"/>
      <c r="G7004" s="528" t="s">
        <v>205</v>
      </c>
    </row>
    <row r="7005" spans="1:7" x14ac:dyDescent="0.35">
      <c r="A7005" s="528" t="s">
        <v>20273</v>
      </c>
      <c r="B7005" s="528" t="s">
        <v>20274</v>
      </c>
      <c r="C7005" s="528" t="s">
        <v>20275</v>
      </c>
      <c r="D7005" s="528" t="s">
        <v>238</v>
      </c>
      <c r="E7005" s="528"/>
      <c r="F7005" s="528"/>
      <c r="G7005" s="528" t="s">
        <v>205</v>
      </c>
    </row>
    <row r="7006" spans="1:7" x14ac:dyDescent="0.35">
      <c r="A7006" s="528" t="s">
        <v>20276</v>
      </c>
      <c r="B7006" s="528" t="s">
        <v>20277</v>
      </c>
      <c r="C7006" s="528" t="s">
        <v>20278</v>
      </c>
      <c r="D7006" s="528" t="s">
        <v>238</v>
      </c>
      <c r="E7006" s="528"/>
      <c r="F7006" s="528"/>
      <c r="G7006" s="528" t="s">
        <v>208</v>
      </c>
    </row>
    <row r="7007" spans="1:7" x14ac:dyDescent="0.35">
      <c r="A7007" s="528" t="s">
        <v>20279</v>
      </c>
      <c r="B7007" s="528" t="s">
        <v>20280</v>
      </c>
      <c r="C7007" s="528" t="s">
        <v>20281</v>
      </c>
      <c r="D7007" s="528" t="s">
        <v>264</v>
      </c>
      <c r="E7007" s="528"/>
      <c r="F7007" s="528"/>
      <c r="G7007" s="528" t="s">
        <v>208</v>
      </c>
    </row>
    <row r="7008" spans="1:7" x14ac:dyDescent="0.35">
      <c r="A7008" s="528" t="s">
        <v>20282</v>
      </c>
      <c r="B7008" s="528" t="s">
        <v>20283</v>
      </c>
      <c r="C7008" s="528" t="s">
        <v>20284</v>
      </c>
      <c r="D7008" s="528" t="s">
        <v>251</v>
      </c>
      <c r="E7008" s="528"/>
      <c r="F7008" s="528"/>
      <c r="G7008" s="528" t="s">
        <v>208</v>
      </c>
    </row>
    <row r="7009" spans="1:7" x14ac:dyDescent="0.35">
      <c r="A7009" s="528" t="s">
        <v>20285</v>
      </c>
      <c r="B7009" s="528" t="s">
        <v>20286</v>
      </c>
      <c r="C7009" s="528" t="s">
        <v>20287</v>
      </c>
      <c r="D7009" s="528" t="s">
        <v>251</v>
      </c>
      <c r="E7009" s="528"/>
      <c r="F7009" s="528"/>
      <c r="G7009" s="528" t="s">
        <v>208</v>
      </c>
    </row>
    <row r="7010" spans="1:7" x14ac:dyDescent="0.35">
      <c r="A7010" s="528" t="s">
        <v>20288</v>
      </c>
      <c r="B7010" s="528" t="s">
        <v>20289</v>
      </c>
      <c r="C7010" s="528" t="s">
        <v>20290</v>
      </c>
      <c r="D7010" s="528" t="s">
        <v>238</v>
      </c>
      <c r="E7010" s="528"/>
      <c r="F7010" s="528"/>
      <c r="G7010" s="528" t="s">
        <v>208</v>
      </c>
    </row>
    <row r="7011" spans="1:7" x14ac:dyDescent="0.35">
      <c r="A7011" s="528" t="s">
        <v>20291</v>
      </c>
      <c r="B7011" s="528" t="s">
        <v>20292</v>
      </c>
      <c r="C7011" s="528" t="s">
        <v>20293</v>
      </c>
      <c r="D7011" s="528" t="s">
        <v>277</v>
      </c>
      <c r="E7011" s="528"/>
      <c r="F7011" s="528"/>
      <c r="G7011" s="528" t="s">
        <v>212</v>
      </c>
    </row>
    <row r="7012" spans="1:7" x14ac:dyDescent="0.35">
      <c r="A7012" s="528" t="s">
        <v>20294</v>
      </c>
      <c r="B7012" s="528" t="s">
        <v>20295</v>
      </c>
      <c r="C7012" s="528" t="s">
        <v>20296</v>
      </c>
      <c r="D7012" s="528" t="s">
        <v>264</v>
      </c>
      <c r="E7012" s="528"/>
      <c r="F7012" s="528"/>
      <c r="G7012" s="528" t="s">
        <v>205</v>
      </c>
    </row>
    <row r="7013" spans="1:7" x14ac:dyDescent="0.35">
      <c r="A7013" s="528" t="s">
        <v>20297</v>
      </c>
      <c r="B7013" s="528" t="s">
        <v>20298</v>
      </c>
      <c r="C7013" s="528" t="s">
        <v>20299</v>
      </c>
      <c r="D7013" s="528" t="s">
        <v>264</v>
      </c>
      <c r="E7013" s="528"/>
      <c r="F7013" s="528"/>
      <c r="G7013" s="528" t="s">
        <v>205</v>
      </c>
    </row>
    <row r="7014" spans="1:7" x14ac:dyDescent="0.35">
      <c r="A7014" s="528" t="s">
        <v>20300</v>
      </c>
      <c r="B7014" s="528" t="s">
        <v>20301</v>
      </c>
      <c r="C7014" s="528" t="s">
        <v>20302</v>
      </c>
      <c r="D7014" s="528" t="s">
        <v>277</v>
      </c>
      <c r="E7014" s="528"/>
      <c r="F7014" s="528"/>
      <c r="G7014" s="528" t="s">
        <v>208</v>
      </c>
    </row>
    <row r="7015" spans="1:7" x14ac:dyDescent="0.35">
      <c r="A7015" s="528" t="s">
        <v>20303</v>
      </c>
      <c r="B7015" s="528" t="s">
        <v>20304</v>
      </c>
      <c r="C7015" s="528" t="s">
        <v>20305</v>
      </c>
      <c r="D7015" s="528" t="s">
        <v>264</v>
      </c>
      <c r="E7015" s="528"/>
      <c r="F7015" s="528"/>
      <c r="G7015" s="528" t="s">
        <v>208</v>
      </c>
    </row>
    <row r="7016" spans="1:7" x14ac:dyDescent="0.35">
      <c r="A7016" s="528" t="s">
        <v>20306</v>
      </c>
      <c r="B7016" s="528" t="s">
        <v>20307</v>
      </c>
      <c r="C7016" s="528" t="s">
        <v>20308</v>
      </c>
      <c r="D7016" s="528" t="s">
        <v>264</v>
      </c>
      <c r="E7016" s="528"/>
      <c r="F7016" s="528"/>
      <c r="G7016" s="528" t="s">
        <v>208</v>
      </c>
    </row>
    <row r="7017" spans="1:7" x14ac:dyDescent="0.35">
      <c r="A7017" s="528" t="s">
        <v>20309</v>
      </c>
      <c r="B7017" s="528" t="s">
        <v>20310</v>
      </c>
      <c r="C7017" s="528" t="s">
        <v>20311</v>
      </c>
      <c r="D7017" s="528" t="s">
        <v>264</v>
      </c>
      <c r="E7017" s="528"/>
      <c r="F7017" s="528"/>
      <c r="G7017" s="528" t="s">
        <v>208</v>
      </c>
    </row>
    <row r="7018" spans="1:7" x14ac:dyDescent="0.35">
      <c r="A7018" s="528" t="s">
        <v>20312</v>
      </c>
      <c r="B7018" s="528" t="s">
        <v>20313</v>
      </c>
      <c r="C7018" s="528" t="s">
        <v>20314</v>
      </c>
      <c r="D7018" s="528" t="s">
        <v>251</v>
      </c>
      <c r="E7018" s="528"/>
      <c r="F7018" s="528"/>
      <c r="G7018" s="528" t="s">
        <v>205</v>
      </c>
    </row>
    <row r="7019" spans="1:7" x14ac:dyDescent="0.35">
      <c r="A7019" s="528" t="s">
        <v>20315</v>
      </c>
      <c r="B7019" s="528" t="s">
        <v>20316</v>
      </c>
      <c r="C7019" s="528" t="s">
        <v>20317</v>
      </c>
      <c r="D7019" s="528" t="s">
        <v>264</v>
      </c>
      <c r="E7019" s="528"/>
      <c r="F7019" s="528"/>
      <c r="G7019" s="528" t="s">
        <v>205</v>
      </c>
    </row>
    <row r="7020" spans="1:7" x14ac:dyDescent="0.35">
      <c r="A7020" s="528" t="s">
        <v>20318</v>
      </c>
      <c r="B7020" s="528" t="s">
        <v>20319</v>
      </c>
      <c r="C7020" s="528" t="s">
        <v>20320</v>
      </c>
      <c r="D7020" s="528" t="s">
        <v>264</v>
      </c>
      <c r="E7020" s="528"/>
      <c r="F7020" s="528"/>
      <c r="G7020" s="528" t="s">
        <v>205</v>
      </c>
    </row>
    <row r="7021" spans="1:7" x14ac:dyDescent="0.35">
      <c r="A7021" s="528" t="s">
        <v>20321</v>
      </c>
      <c r="B7021" s="528" t="s">
        <v>20322</v>
      </c>
      <c r="C7021" s="528" t="s">
        <v>20323</v>
      </c>
      <c r="D7021" s="528" t="s">
        <v>251</v>
      </c>
      <c r="E7021" s="528"/>
      <c r="F7021" s="528"/>
      <c r="G7021" s="528" t="s">
        <v>208</v>
      </c>
    </row>
    <row r="7022" spans="1:7" x14ac:dyDescent="0.35">
      <c r="A7022" s="528" t="s">
        <v>20324</v>
      </c>
      <c r="B7022" s="528" t="s">
        <v>20325</v>
      </c>
      <c r="C7022" s="528" t="s">
        <v>20326</v>
      </c>
      <c r="D7022" s="528" t="s">
        <v>251</v>
      </c>
      <c r="E7022" s="528"/>
      <c r="F7022" s="528"/>
      <c r="G7022" s="528" t="s">
        <v>208</v>
      </c>
    </row>
    <row r="7023" spans="1:7" x14ac:dyDescent="0.35">
      <c r="A7023" s="528" t="s">
        <v>20327</v>
      </c>
      <c r="B7023" s="528" t="s">
        <v>20328</v>
      </c>
      <c r="C7023" s="528" t="s">
        <v>20329</v>
      </c>
      <c r="D7023" s="528" t="s">
        <v>251</v>
      </c>
      <c r="E7023" s="528"/>
      <c r="F7023" s="528"/>
      <c r="G7023" s="528" t="s">
        <v>208</v>
      </c>
    </row>
    <row r="7024" spans="1:7" x14ac:dyDescent="0.35">
      <c r="A7024" s="528" t="s">
        <v>20330</v>
      </c>
      <c r="B7024" s="528" t="s">
        <v>20331</v>
      </c>
      <c r="C7024" s="528" t="s">
        <v>20332</v>
      </c>
      <c r="D7024" s="528" t="s">
        <v>251</v>
      </c>
      <c r="E7024" s="528" t="s">
        <v>277</v>
      </c>
      <c r="F7024" s="528"/>
      <c r="G7024" s="528" t="s">
        <v>208</v>
      </c>
    </row>
    <row r="7025" spans="1:7" x14ac:dyDescent="0.35">
      <c r="A7025" s="528" t="s">
        <v>20333</v>
      </c>
      <c r="B7025" s="528" t="s">
        <v>20334</v>
      </c>
      <c r="C7025" s="528" t="s">
        <v>20335</v>
      </c>
      <c r="D7025" s="528" t="s">
        <v>277</v>
      </c>
      <c r="E7025" s="528"/>
      <c r="F7025" s="528"/>
      <c r="G7025" s="528" t="s">
        <v>212</v>
      </c>
    </row>
    <row r="7026" spans="1:7" x14ac:dyDescent="0.35">
      <c r="A7026" s="528" t="s">
        <v>20336</v>
      </c>
      <c r="B7026" s="528" t="s">
        <v>20337</v>
      </c>
      <c r="C7026" s="528" t="s">
        <v>20338</v>
      </c>
      <c r="D7026" s="528" t="s">
        <v>277</v>
      </c>
      <c r="E7026" s="528"/>
      <c r="F7026" s="528"/>
      <c r="G7026" s="528" t="s">
        <v>205</v>
      </c>
    </row>
    <row r="7027" spans="1:7" x14ac:dyDescent="0.35">
      <c r="A7027" s="528" t="s">
        <v>20339</v>
      </c>
      <c r="B7027" s="528" t="s">
        <v>20340</v>
      </c>
      <c r="C7027" s="528" t="s">
        <v>20341</v>
      </c>
      <c r="D7027" s="528" t="s">
        <v>277</v>
      </c>
      <c r="E7027" s="528"/>
      <c r="F7027" s="528"/>
      <c r="G7027" s="528" t="s">
        <v>205</v>
      </c>
    </row>
    <row r="7028" spans="1:7" x14ac:dyDescent="0.35">
      <c r="A7028" s="528" t="s">
        <v>20342</v>
      </c>
      <c r="B7028" s="528" t="s">
        <v>20343</v>
      </c>
      <c r="C7028" s="528" t="s">
        <v>20344</v>
      </c>
      <c r="D7028" s="528" t="s">
        <v>264</v>
      </c>
      <c r="E7028" s="528"/>
      <c r="F7028" s="528"/>
      <c r="G7028" s="528" t="s">
        <v>212</v>
      </c>
    </row>
    <row r="7029" spans="1:7" x14ac:dyDescent="0.35">
      <c r="A7029" s="528" t="s">
        <v>20345</v>
      </c>
      <c r="B7029" s="528" t="s">
        <v>20346</v>
      </c>
      <c r="C7029" s="528" t="s">
        <v>20347</v>
      </c>
      <c r="D7029" s="528" t="s">
        <v>264</v>
      </c>
      <c r="E7029" s="528"/>
      <c r="F7029" s="528"/>
      <c r="G7029" s="528" t="s">
        <v>205</v>
      </c>
    </row>
    <row r="7030" spans="1:7" x14ac:dyDescent="0.35">
      <c r="A7030" s="528" t="s">
        <v>20348</v>
      </c>
      <c r="B7030" s="528" t="s">
        <v>20349</v>
      </c>
      <c r="C7030" s="528" t="s">
        <v>20350</v>
      </c>
      <c r="D7030" s="528" t="s">
        <v>277</v>
      </c>
      <c r="E7030" s="528"/>
      <c r="F7030" s="528"/>
      <c r="G7030" s="528" t="s">
        <v>205</v>
      </c>
    </row>
    <row r="7031" spans="1:7" x14ac:dyDescent="0.35">
      <c r="A7031" s="528" t="s">
        <v>20351</v>
      </c>
      <c r="B7031" s="528" t="s">
        <v>20352</v>
      </c>
      <c r="C7031" s="528" t="s">
        <v>20353</v>
      </c>
      <c r="D7031" s="528" t="s">
        <v>225</v>
      </c>
      <c r="E7031" s="528"/>
      <c r="F7031" s="528"/>
      <c r="G7031" s="528" t="s">
        <v>205</v>
      </c>
    </row>
    <row r="7032" spans="1:7" x14ac:dyDescent="0.35">
      <c r="A7032" s="528" t="s">
        <v>20354</v>
      </c>
      <c r="B7032" s="528" t="s">
        <v>20355</v>
      </c>
      <c r="C7032" s="528" t="s">
        <v>20356</v>
      </c>
      <c r="D7032" s="528" t="s">
        <v>264</v>
      </c>
      <c r="E7032" s="528"/>
      <c r="F7032" s="528"/>
      <c r="G7032" s="528" t="s">
        <v>205</v>
      </c>
    </row>
    <row r="7033" spans="1:7" x14ac:dyDescent="0.35">
      <c r="A7033" s="528" t="s">
        <v>20357</v>
      </c>
      <c r="B7033" s="528" t="s">
        <v>20358</v>
      </c>
      <c r="C7033" s="528" t="s">
        <v>20359</v>
      </c>
      <c r="D7033" s="528" t="s">
        <v>225</v>
      </c>
      <c r="E7033" s="528"/>
      <c r="F7033" s="528"/>
      <c r="G7033" s="528" t="s">
        <v>208</v>
      </c>
    </row>
    <row r="7034" spans="1:7" x14ac:dyDescent="0.35">
      <c r="A7034" s="528" t="s">
        <v>20360</v>
      </c>
      <c r="B7034" s="528" t="s">
        <v>20361</v>
      </c>
      <c r="C7034" s="528" t="s">
        <v>20362</v>
      </c>
      <c r="D7034" s="528" t="s">
        <v>225</v>
      </c>
      <c r="E7034" s="528"/>
      <c r="F7034" s="528"/>
      <c r="G7034" s="528" t="s">
        <v>205</v>
      </c>
    </row>
    <row r="7035" spans="1:7" x14ac:dyDescent="0.35">
      <c r="A7035" s="528" t="s">
        <v>20363</v>
      </c>
      <c r="B7035" s="528" t="s">
        <v>20364</v>
      </c>
      <c r="C7035" s="528" t="s">
        <v>20365</v>
      </c>
      <c r="D7035" s="528" t="s">
        <v>225</v>
      </c>
      <c r="E7035" s="528"/>
      <c r="F7035" s="528"/>
      <c r="G7035" s="528" t="s">
        <v>205</v>
      </c>
    </row>
    <row r="7036" spans="1:7" x14ac:dyDescent="0.35">
      <c r="A7036" s="528" t="s">
        <v>20366</v>
      </c>
      <c r="B7036" s="528" t="s">
        <v>20367</v>
      </c>
      <c r="C7036" s="528" t="s">
        <v>20368</v>
      </c>
      <c r="D7036" s="528" t="s">
        <v>225</v>
      </c>
      <c r="E7036" s="528"/>
      <c r="F7036" s="528"/>
      <c r="G7036" s="528" t="s">
        <v>205</v>
      </c>
    </row>
    <row r="7037" spans="1:7" x14ac:dyDescent="0.35">
      <c r="A7037" s="528" t="s">
        <v>20369</v>
      </c>
      <c r="B7037" s="528" t="s">
        <v>20370</v>
      </c>
      <c r="C7037" s="528" t="s">
        <v>20371</v>
      </c>
      <c r="D7037" s="528" t="s">
        <v>277</v>
      </c>
      <c r="E7037" s="528"/>
      <c r="F7037" s="528"/>
      <c r="G7037" s="528" t="s">
        <v>208</v>
      </c>
    </row>
    <row r="7038" spans="1:7" x14ac:dyDescent="0.35">
      <c r="A7038" s="528" t="s">
        <v>20372</v>
      </c>
      <c r="B7038" s="528" t="s">
        <v>20373</v>
      </c>
      <c r="C7038" s="528" t="s">
        <v>20374</v>
      </c>
      <c r="D7038" s="528" t="s">
        <v>277</v>
      </c>
      <c r="E7038" s="528"/>
      <c r="F7038" s="528"/>
      <c r="G7038" s="528" t="s">
        <v>205</v>
      </c>
    </row>
    <row r="7039" spans="1:7" x14ac:dyDescent="0.35">
      <c r="A7039" s="528" t="s">
        <v>20375</v>
      </c>
      <c r="B7039" s="528" t="s">
        <v>20376</v>
      </c>
      <c r="C7039" s="528" t="s">
        <v>20377</v>
      </c>
      <c r="D7039" s="528" t="s">
        <v>264</v>
      </c>
      <c r="E7039" s="528"/>
      <c r="F7039" s="528"/>
      <c r="G7039" s="528" t="s">
        <v>212</v>
      </c>
    </row>
    <row r="7040" spans="1:7" x14ac:dyDescent="0.35">
      <c r="A7040" s="528" t="s">
        <v>20378</v>
      </c>
      <c r="B7040" s="528" t="s">
        <v>20379</v>
      </c>
      <c r="C7040" s="528" t="s">
        <v>20380</v>
      </c>
      <c r="D7040" s="528" t="s">
        <v>264</v>
      </c>
      <c r="E7040" s="528"/>
      <c r="F7040" s="528"/>
      <c r="G7040" s="528" t="s">
        <v>205</v>
      </c>
    </row>
    <row r="7041" spans="1:7" x14ac:dyDescent="0.35">
      <c r="A7041" s="528" t="s">
        <v>20381</v>
      </c>
      <c r="B7041" s="528" t="s">
        <v>20382</v>
      </c>
      <c r="C7041" s="528" t="s">
        <v>15948</v>
      </c>
      <c r="D7041" s="528" t="s">
        <v>277</v>
      </c>
      <c r="E7041" s="528"/>
      <c r="F7041" s="528"/>
      <c r="G7041" s="528" t="s">
        <v>205</v>
      </c>
    </row>
    <row r="7042" spans="1:7" x14ac:dyDescent="0.35">
      <c r="A7042" s="528" t="s">
        <v>20383</v>
      </c>
      <c r="B7042" s="528" t="s">
        <v>20384</v>
      </c>
      <c r="C7042" s="528" t="s">
        <v>20385</v>
      </c>
      <c r="D7042" s="528" t="s">
        <v>277</v>
      </c>
      <c r="E7042" s="528"/>
      <c r="F7042" s="528"/>
      <c r="G7042" s="528" t="s">
        <v>212</v>
      </c>
    </row>
    <row r="7043" spans="1:7" x14ac:dyDescent="0.35">
      <c r="A7043" s="528" t="s">
        <v>20386</v>
      </c>
      <c r="B7043" s="528" t="s">
        <v>20387</v>
      </c>
      <c r="C7043" s="528" t="s">
        <v>20388</v>
      </c>
      <c r="D7043" s="528" t="s">
        <v>277</v>
      </c>
      <c r="E7043" s="528"/>
      <c r="F7043" s="528"/>
      <c r="G7043" s="528" t="s">
        <v>208</v>
      </c>
    </row>
    <row r="7044" spans="1:7" x14ac:dyDescent="0.35">
      <c r="A7044" s="528" t="s">
        <v>20389</v>
      </c>
      <c r="B7044" s="528" t="s">
        <v>20390</v>
      </c>
      <c r="C7044" s="528" t="s">
        <v>20391</v>
      </c>
      <c r="D7044" s="528" t="s">
        <v>264</v>
      </c>
      <c r="E7044" s="528" t="s">
        <v>277</v>
      </c>
      <c r="F7044" s="528"/>
      <c r="G7044" s="528" t="s">
        <v>208</v>
      </c>
    </row>
    <row r="7045" spans="1:7" x14ac:dyDescent="0.35">
      <c r="A7045" s="528" t="s">
        <v>20392</v>
      </c>
      <c r="B7045" s="528" t="s">
        <v>20393</v>
      </c>
      <c r="C7045" s="528" t="s">
        <v>20394</v>
      </c>
      <c r="D7045" s="528" t="s">
        <v>277</v>
      </c>
      <c r="E7045" s="528"/>
      <c r="F7045" s="528"/>
      <c r="G7045" s="528" t="s">
        <v>208</v>
      </c>
    </row>
    <row r="7046" spans="1:7" x14ac:dyDescent="0.35">
      <c r="A7046" s="528" t="s">
        <v>20395</v>
      </c>
      <c r="B7046" s="528" t="s">
        <v>20396</v>
      </c>
      <c r="C7046" s="528" t="s">
        <v>20397</v>
      </c>
      <c r="D7046" s="528" t="s">
        <v>264</v>
      </c>
      <c r="E7046" s="528" t="s">
        <v>277</v>
      </c>
      <c r="F7046" s="528"/>
      <c r="G7046" s="528" t="s">
        <v>208</v>
      </c>
    </row>
    <row r="7047" spans="1:7" x14ac:dyDescent="0.35">
      <c r="A7047" s="528" t="s">
        <v>20398</v>
      </c>
      <c r="B7047" s="528" t="s">
        <v>20399</v>
      </c>
      <c r="C7047" s="528" t="s">
        <v>20400</v>
      </c>
      <c r="D7047" s="528" t="s">
        <v>264</v>
      </c>
      <c r="E7047" s="528"/>
      <c r="F7047" s="528"/>
      <c r="G7047" s="528" t="s">
        <v>205</v>
      </c>
    </row>
    <row r="7048" spans="1:7" x14ac:dyDescent="0.35">
      <c r="A7048" s="528" t="s">
        <v>20401</v>
      </c>
      <c r="B7048" s="528" t="s">
        <v>20402</v>
      </c>
      <c r="C7048" s="528" t="s">
        <v>20403</v>
      </c>
      <c r="D7048" s="528" t="s">
        <v>277</v>
      </c>
      <c r="E7048" s="528"/>
      <c r="F7048" s="528"/>
      <c r="G7048" s="528" t="s">
        <v>205</v>
      </c>
    </row>
    <row r="7049" spans="1:7" x14ac:dyDescent="0.35">
      <c r="A7049" s="528" t="s">
        <v>20404</v>
      </c>
      <c r="B7049" s="528" t="s">
        <v>20405</v>
      </c>
      <c r="C7049" s="528" t="s">
        <v>20406</v>
      </c>
      <c r="D7049" s="528" t="s">
        <v>277</v>
      </c>
      <c r="E7049" s="528"/>
      <c r="F7049" s="528"/>
      <c r="G7049" s="528" t="s">
        <v>205</v>
      </c>
    </row>
    <row r="7050" spans="1:7" x14ac:dyDescent="0.35">
      <c r="A7050" s="528" t="s">
        <v>20407</v>
      </c>
      <c r="B7050" s="528" t="s">
        <v>20408</v>
      </c>
      <c r="C7050" s="528" t="s">
        <v>20409</v>
      </c>
      <c r="D7050" s="528" t="s">
        <v>264</v>
      </c>
      <c r="E7050" s="528"/>
      <c r="F7050" s="528"/>
      <c r="G7050" s="528" t="s">
        <v>205</v>
      </c>
    </row>
    <row r="7051" spans="1:7" x14ac:dyDescent="0.35">
      <c r="A7051" s="528" t="s">
        <v>20410</v>
      </c>
      <c r="B7051" s="528" t="s">
        <v>20411</v>
      </c>
      <c r="C7051" s="528" t="s">
        <v>20412</v>
      </c>
      <c r="D7051" s="528" t="s">
        <v>264</v>
      </c>
      <c r="E7051" s="528"/>
      <c r="F7051" s="528"/>
      <c r="G7051" s="528" t="s">
        <v>205</v>
      </c>
    </row>
    <row r="7052" spans="1:7" x14ac:dyDescent="0.35">
      <c r="A7052" s="528" t="s">
        <v>20413</v>
      </c>
      <c r="B7052" s="528" t="s">
        <v>20414</v>
      </c>
      <c r="C7052" s="528" t="s">
        <v>20415</v>
      </c>
      <c r="D7052" s="528" t="s">
        <v>264</v>
      </c>
      <c r="E7052" s="528"/>
      <c r="F7052" s="528"/>
      <c r="G7052" s="528" t="s">
        <v>205</v>
      </c>
    </row>
    <row r="7053" spans="1:7" x14ac:dyDescent="0.35">
      <c r="A7053" s="528" t="s">
        <v>20416</v>
      </c>
      <c r="B7053" s="528" t="s">
        <v>20417</v>
      </c>
      <c r="C7053" s="528" t="s">
        <v>20418</v>
      </c>
      <c r="D7053" s="528" t="s">
        <v>264</v>
      </c>
      <c r="E7053" s="528"/>
      <c r="F7053" s="528"/>
      <c r="G7053" s="528" t="s">
        <v>205</v>
      </c>
    </row>
    <row r="7054" spans="1:7" x14ac:dyDescent="0.35">
      <c r="A7054" s="528" t="s">
        <v>20419</v>
      </c>
      <c r="B7054" s="528" t="s">
        <v>20420</v>
      </c>
      <c r="C7054" s="528" t="s">
        <v>20421</v>
      </c>
      <c r="D7054" s="528" t="s">
        <v>264</v>
      </c>
      <c r="E7054" s="528"/>
      <c r="F7054" s="528"/>
      <c r="G7054" s="528" t="s">
        <v>210</v>
      </c>
    </row>
    <row r="7055" spans="1:7" x14ac:dyDescent="0.35">
      <c r="A7055" s="528" t="s">
        <v>20422</v>
      </c>
      <c r="B7055" s="528" t="s">
        <v>20423</v>
      </c>
      <c r="C7055" s="528" t="s">
        <v>20424</v>
      </c>
      <c r="D7055" s="528" t="s">
        <v>264</v>
      </c>
      <c r="E7055" s="528"/>
      <c r="F7055" s="528"/>
      <c r="G7055" s="528" t="s">
        <v>210</v>
      </c>
    </row>
    <row r="7056" spans="1:7" x14ac:dyDescent="0.35">
      <c r="A7056" s="528" t="s">
        <v>20425</v>
      </c>
      <c r="B7056" s="528" t="s">
        <v>20426</v>
      </c>
      <c r="C7056" s="528" t="s">
        <v>20427</v>
      </c>
      <c r="D7056" s="528" t="s">
        <v>264</v>
      </c>
      <c r="E7056" s="528"/>
      <c r="F7056" s="528"/>
      <c r="G7056" s="528" t="s">
        <v>210</v>
      </c>
    </row>
    <row r="7057" spans="1:7" x14ac:dyDescent="0.35">
      <c r="A7057" s="528" t="s">
        <v>20428</v>
      </c>
      <c r="B7057" s="528" t="s">
        <v>20429</v>
      </c>
      <c r="C7057" s="528" t="s">
        <v>20430</v>
      </c>
      <c r="D7057" s="528" t="s">
        <v>277</v>
      </c>
      <c r="E7057" s="528"/>
      <c r="F7057" s="528"/>
      <c r="G7057" s="528" t="s">
        <v>212</v>
      </c>
    </row>
    <row r="7058" spans="1:7" x14ac:dyDescent="0.35">
      <c r="A7058" s="528" t="s">
        <v>20431</v>
      </c>
      <c r="B7058" s="528" t="s">
        <v>20432</v>
      </c>
      <c r="C7058" s="528" t="s">
        <v>20433</v>
      </c>
      <c r="D7058" s="528" t="s">
        <v>277</v>
      </c>
      <c r="E7058" s="528"/>
      <c r="F7058" s="528"/>
      <c r="G7058" s="528" t="s">
        <v>212</v>
      </c>
    </row>
    <row r="7059" spans="1:7" x14ac:dyDescent="0.35">
      <c r="A7059" s="528" t="s">
        <v>20434</v>
      </c>
      <c r="B7059" s="528" t="s">
        <v>20435</v>
      </c>
      <c r="C7059" s="528" t="s">
        <v>20436</v>
      </c>
      <c r="D7059" s="528" t="s">
        <v>277</v>
      </c>
      <c r="E7059" s="528"/>
      <c r="F7059" s="528"/>
      <c r="G7059" s="528" t="s">
        <v>205</v>
      </c>
    </row>
    <row r="7060" spans="1:7" x14ac:dyDescent="0.35">
      <c r="A7060" s="528" t="s">
        <v>20437</v>
      </c>
      <c r="B7060" s="528" t="s">
        <v>20438</v>
      </c>
      <c r="C7060" s="528" t="s">
        <v>20439</v>
      </c>
      <c r="D7060" s="528" t="s">
        <v>277</v>
      </c>
      <c r="E7060" s="528"/>
      <c r="F7060" s="528"/>
      <c r="G7060" s="528" t="s">
        <v>208</v>
      </c>
    </row>
    <row r="7061" spans="1:7" x14ac:dyDescent="0.35">
      <c r="A7061" s="528" t="s">
        <v>20440</v>
      </c>
      <c r="B7061" s="528" t="s">
        <v>20441</v>
      </c>
      <c r="C7061" s="528" t="s">
        <v>20442</v>
      </c>
      <c r="D7061" s="528" t="s">
        <v>264</v>
      </c>
      <c r="E7061" s="528"/>
      <c r="F7061" s="528"/>
      <c r="G7061" s="528" t="s">
        <v>205</v>
      </c>
    </row>
    <row r="7062" spans="1:7" x14ac:dyDescent="0.35">
      <c r="A7062" s="528" t="s">
        <v>20443</v>
      </c>
      <c r="B7062" s="528" t="s">
        <v>20444</v>
      </c>
      <c r="C7062" s="528" t="s">
        <v>20445</v>
      </c>
      <c r="D7062" s="528" t="s">
        <v>225</v>
      </c>
      <c r="E7062" s="528"/>
      <c r="F7062" s="528"/>
      <c r="G7062" s="528" t="s">
        <v>208</v>
      </c>
    </row>
    <row r="7063" spans="1:7" x14ac:dyDescent="0.35">
      <c r="A7063" s="528" t="s">
        <v>20446</v>
      </c>
      <c r="B7063" s="528" t="s">
        <v>20447</v>
      </c>
      <c r="C7063" s="528" t="s">
        <v>20448</v>
      </c>
      <c r="D7063" s="528" t="s">
        <v>225</v>
      </c>
      <c r="E7063" s="528"/>
      <c r="F7063" s="528"/>
      <c r="G7063" s="528" t="s">
        <v>205</v>
      </c>
    </row>
    <row r="7064" spans="1:7" x14ac:dyDescent="0.35">
      <c r="A7064" s="528" t="s">
        <v>20449</v>
      </c>
      <c r="B7064" s="528" t="s">
        <v>20450</v>
      </c>
      <c r="C7064" s="528" t="s">
        <v>20451</v>
      </c>
      <c r="D7064" s="528" t="s">
        <v>264</v>
      </c>
      <c r="E7064" s="528"/>
      <c r="F7064" s="528"/>
      <c r="G7064" s="528" t="s">
        <v>205</v>
      </c>
    </row>
    <row r="7065" spans="1:7" x14ac:dyDescent="0.35">
      <c r="A7065" s="528" t="s">
        <v>20452</v>
      </c>
      <c r="B7065" s="528" t="s">
        <v>20453</v>
      </c>
      <c r="C7065" s="528" t="s">
        <v>20454</v>
      </c>
      <c r="D7065" s="528" t="s">
        <v>264</v>
      </c>
      <c r="E7065" s="528"/>
      <c r="F7065" s="528"/>
      <c r="G7065" s="528" t="s">
        <v>210</v>
      </c>
    </row>
    <row r="7066" spans="1:7" x14ac:dyDescent="0.35">
      <c r="A7066" s="528" t="s">
        <v>20455</v>
      </c>
      <c r="B7066" s="528" t="s">
        <v>20456</v>
      </c>
      <c r="C7066" s="528" t="s">
        <v>20457</v>
      </c>
      <c r="D7066" s="528" t="s">
        <v>251</v>
      </c>
      <c r="E7066" s="528"/>
      <c r="F7066" s="528"/>
      <c r="G7066" s="528" t="s">
        <v>208</v>
      </c>
    </row>
    <row r="7067" spans="1:7" x14ac:dyDescent="0.35">
      <c r="A7067" s="528" t="s">
        <v>20458</v>
      </c>
      <c r="B7067" s="528" t="s">
        <v>20459</v>
      </c>
      <c r="C7067" s="528" t="s">
        <v>20460</v>
      </c>
      <c r="D7067" s="528" t="s">
        <v>225</v>
      </c>
      <c r="E7067" s="528" t="s">
        <v>277</v>
      </c>
      <c r="F7067" s="528"/>
      <c r="G7067" s="528" t="s">
        <v>208</v>
      </c>
    </row>
    <row r="7068" spans="1:7" x14ac:dyDescent="0.35">
      <c r="A7068" s="528" t="s">
        <v>20461</v>
      </c>
      <c r="B7068" s="528" t="s">
        <v>20462</v>
      </c>
      <c r="C7068" s="528" t="s">
        <v>20463</v>
      </c>
      <c r="D7068" s="528" t="s">
        <v>277</v>
      </c>
      <c r="E7068" s="528"/>
      <c r="F7068" s="528"/>
      <c r="G7068" s="528" t="s">
        <v>208</v>
      </c>
    </row>
    <row r="7069" spans="1:7" x14ac:dyDescent="0.35">
      <c r="A7069" s="528" t="s">
        <v>20464</v>
      </c>
      <c r="B7069" s="528" t="s">
        <v>20465</v>
      </c>
      <c r="C7069" s="528" t="s">
        <v>20466</v>
      </c>
      <c r="D7069" s="528" t="s">
        <v>277</v>
      </c>
      <c r="E7069" s="528"/>
      <c r="F7069" s="528"/>
      <c r="G7069" s="528" t="s">
        <v>205</v>
      </c>
    </row>
    <row r="7070" spans="1:7" x14ac:dyDescent="0.35">
      <c r="A7070" s="528" t="s">
        <v>20467</v>
      </c>
      <c r="B7070" s="528" t="s">
        <v>20468</v>
      </c>
      <c r="C7070" s="528" t="s">
        <v>20469</v>
      </c>
      <c r="D7070" s="528" t="s">
        <v>277</v>
      </c>
      <c r="E7070" s="528"/>
      <c r="F7070" s="528"/>
      <c r="G7070" s="528" t="s">
        <v>208</v>
      </c>
    </row>
    <row r="7071" spans="1:7" x14ac:dyDescent="0.35">
      <c r="A7071" s="528" t="s">
        <v>20470</v>
      </c>
      <c r="B7071" s="528" t="s">
        <v>20471</v>
      </c>
      <c r="C7071" s="528" t="s">
        <v>20472</v>
      </c>
      <c r="D7071" s="528" t="s">
        <v>277</v>
      </c>
      <c r="E7071" s="528"/>
      <c r="F7071" s="528"/>
      <c r="G7071" s="528" t="s">
        <v>212</v>
      </c>
    </row>
    <row r="7072" spans="1:7" x14ac:dyDescent="0.35">
      <c r="A7072" s="528" t="s">
        <v>20473</v>
      </c>
      <c r="B7072" s="528" t="s">
        <v>20474</v>
      </c>
      <c r="C7072" s="528" t="s">
        <v>20475</v>
      </c>
      <c r="D7072" s="528" t="s">
        <v>225</v>
      </c>
      <c r="E7072" s="528"/>
      <c r="F7072" s="528"/>
      <c r="G7072" s="528" t="s">
        <v>208</v>
      </c>
    </row>
    <row r="7073" spans="1:7" x14ac:dyDescent="0.35">
      <c r="A7073" s="528" t="s">
        <v>20476</v>
      </c>
      <c r="B7073" s="528" t="s">
        <v>20477</v>
      </c>
      <c r="C7073" s="528" t="s">
        <v>20478</v>
      </c>
      <c r="D7073" s="528" t="s">
        <v>225</v>
      </c>
      <c r="E7073" s="528"/>
      <c r="F7073" s="528"/>
      <c r="G7073" s="528" t="s">
        <v>205</v>
      </c>
    </row>
    <row r="7074" spans="1:7" x14ac:dyDescent="0.35">
      <c r="A7074" s="528" t="s">
        <v>20479</v>
      </c>
      <c r="B7074" s="528" t="s">
        <v>20480</v>
      </c>
      <c r="C7074" s="528" t="s">
        <v>20481</v>
      </c>
      <c r="D7074" s="528" t="s">
        <v>238</v>
      </c>
      <c r="E7074" s="528"/>
      <c r="F7074" s="528"/>
      <c r="G7074" s="528" t="s">
        <v>208</v>
      </c>
    </row>
    <row r="7075" spans="1:7" x14ac:dyDescent="0.35">
      <c r="A7075" s="528" t="s">
        <v>20482</v>
      </c>
      <c r="B7075" s="528" t="s">
        <v>20483</v>
      </c>
      <c r="C7075" s="528" t="s">
        <v>20484</v>
      </c>
      <c r="D7075" s="528" t="s">
        <v>225</v>
      </c>
      <c r="E7075" s="528"/>
      <c r="F7075" s="528"/>
      <c r="G7075" s="528" t="s">
        <v>208</v>
      </c>
    </row>
    <row r="7076" spans="1:7" x14ac:dyDescent="0.35">
      <c r="A7076" s="528" t="s">
        <v>20485</v>
      </c>
      <c r="B7076" s="528" t="s">
        <v>20486</v>
      </c>
      <c r="C7076" s="528" t="s">
        <v>20487</v>
      </c>
      <c r="D7076" s="528" t="s">
        <v>225</v>
      </c>
      <c r="E7076" s="528"/>
      <c r="F7076" s="528"/>
      <c r="G7076" s="528" t="s">
        <v>208</v>
      </c>
    </row>
    <row r="7077" spans="1:7" x14ac:dyDescent="0.35">
      <c r="A7077" s="528" t="s">
        <v>20488</v>
      </c>
      <c r="B7077" s="528" t="s">
        <v>20489</v>
      </c>
      <c r="C7077" s="528" t="s">
        <v>20490</v>
      </c>
      <c r="D7077" s="528" t="s">
        <v>225</v>
      </c>
      <c r="E7077" s="528"/>
      <c r="F7077" s="528"/>
      <c r="G7077" s="528" t="s">
        <v>208</v>
      </c>
    </row>
    <row r="7078" spans="1:7" x14ac:dyDescent="0.35">
      <c r="A7078" s="528" t="s">
        <v>20491</v>
      </c>
      <c r="B7078" s="528" t="s">
        <v>20492</v>
      </c>
      <c r="C7078" s="528" t="s">
        <v>20493</v>
      </c>
      <c r="D7078" s="528" t="s">
        <v>225</v>
      </c>
      <c r="E7078" s="528"/>
      <c r="F7078" s="528"/>
      <c r="G7078" s="528" t="s">
        <v>208</v>
      </c>
    </row>
    <row r="7079" spans="1:7" x14ac:dyDescent="0.35">
      <c r="A7079" s="528" t="s">
        <v>20494</v>
      </c>
      <c r="B7079" s="528" t="s">
        <v>20495</v>
      </c>
      <c r="C7079" s="528" t="s">
        <v>20496</v>
      </c>
      <c r="D7079" s="528" t="s">
        <v>225</v>
      </c>
      <c r="E7079" s="528"/>
      <c r="F7079" s="528"/>
      <c r="G7079" s="528" t="s">
        <v>208</v>
      </c>
    </row>
    <row r="7080" spans="1:7" x14ac:dyDescent="0.35">
      <c r="A7080" s="528" t="s">
        <v>20497</v>
      </c>
      <c r="B7080" s="528" t="s">
        <v>20498</v>
      </c>
      <c r="C7080" s="528" t="s">
        <v>20499</v>
      </c>
      <c r="D7080" s="528" t="s">
        <v>264</v>
      </c>
      <c r="E7080" s="528"/>
      <c r="F7080" s="528"/>
      <c r="G7080" s="528" t="s">
        <v>205</v>
      </c>
    </row>
    <row r="7081" spans="1:7" x14ac:dyDescent="0.35">
      <c r="A7081" s="528" t="s">
        <v>20500</v>
      </c>
      <c r="B7081" s="528" t="s">
        <v>20501</v>
      </c>
      <c r="C7081" s="528" t="s">
        <v>20502</v>
      </c>
      <c r="D7081" s="528" t="s">
        <v>225</v>
      </c>
      <c r="E7081" s="528"/>
      <c r="F7081" s="528"/>
      <c r="G7081" s="528" t="s">
        <v>208</v>
      </c>
    </row>
    <row r="7082" spans="1:7" x14ac:dyDescent="0.35">
      <c r="A7082" s="528" t="s">
        <v>20503</v>
      </c>
      <c r="B7082" s="528" t="s">
        <v>20504</v>
      </c>
      <c r="C7082" s="528" t="s">
        <v>20505</v>
      </c>
      <c r="D7082" s="528" t="s">
        <v>277</v>
      </c>
      <c r="E7082" s="528"/>
      <c r="F7082" s="528"/>
      <c r="G7082" s="528" t="s">
        <v>208</v>
      </c>
    </row>
    <row r="7083" spans="1:7" x14ac:dyDescent="0.35">
      <c r="A7083" s="528" t="s">
        <v>20506</v>
      </c>
      <c r="B7083" s="528" t="s">
        <v>20507</v>
      </c>
      <c r="C7083" s="528" t="s">
        <v>20508</v>
      </c>
      <c r="D7083" s="528" t="s">
        <v>264</v>
      </c>
      <c r="E7083" s="528"/>
      <c r="F7083" s="528"/>
      <c r="G7083" s="528" t="s">
        <v>205</v>
      </c>
    </row>
    <row r="7084" spans="1:7" x14ac:dyDescent="0.35">
      <c r="A7084" s="528" t="s">
        <v>20509</v>
      </c>
      <c r="B7084" s="528" t="s">
        <v>20510</v>
      </c>
      <c r="C7084" s="528" t="s">
        <v>20511</v>
      </c>
      <c r="D7084" s="528" t="s">
        <v>264</v>
      </c>
      <c r="E7084" s="528"/>
      <c r="F7084" s="528"/>
      <c r="G7084" s="528" t="s">
        <v>210</v>
      </c>
    </row>
    <row r="7085" spans="1:7" x14ac:dyDescent="0.35">
      <c r="A7085" s="528" t="s">
        <v>20512</v>
      </c>
      <c r="B7085" s="528" t="s">
        <v>20513</v>
      </c>
      <c r="C7085" s="528" t="s">
        <v>20514</v>
      </c>
      <c r="D7085" s="528" t="s">
        <v>264</v>
      </c>
      <c r="E7085" s="528"/>
      <c r="F7085" s="528"/>
      <c r="G7085" s="528" t="s">
        <v>210</v>
      </c>
    </row>
    <row r="7086" spans="1:7" x14ac:dyDescent="0.35">
      <c r="A7086" s="528" t="s">
        <v>20515</v>
      </c>
      <c r="B7086" s="528" t="s">
        <v>20516</v>
      </c>
      <c r="C7086" s="528" t="s">
        <v>20517</v>
      </c>
      <c r="D7086" s="528" t="s">
        <v>264</v>
      </c>
      <c r="E7086" s="528"/>
      <c r="F7086" s="528"/>
      <c r="G7086" s="528" t="s">
        <v>208</v>
      </c>
    </row>
    <row r="7087" spans="1:7" x14ac:dyDescent="0.35">
      <c r="A7087" s="528" t="s">
        <v>20518</v>
      </c>
      <c r="B7087" s="528" t="s">
        <v>20519</v>
      </c>
      <c r="C7087" s="528" t="s">
        <v>20520</v>
      </c>
      <c r="D7087" s="528" t="s">
        <v>277</v>
      </c>
      <c r="E7087" s="528"/>
      <c r="F7087" s="528"/>
      <c r="G7087" s="528" t="s">
        <v>212</v>
      </c>
    </row>
    <row r="7088" spans="1:7" x14ac:dyDescent="0.35">
      <c r="A7088" s="528" t="s">
        <v>20521</v>
      </c>
      <c r="B7088" s="528" t="s">
        <v>20522</v>
      </c>
      <c r="C7088" s="528" t="s">
        <v>20523</v>
      </c>
      <c r="D7088" s="528" t="s">
        <v>277</v>
      </c>
      <c r="E7088" s="528"/>
      <c r="F7088" s="528"/>
      <c r="G7088" s="528" t="s">
        <v>212</v>
      </c>
    </row>
    <row r="7089" spans="1:7" x14ac:dyDescent="0.35">
      <c r="A7089" s="528" t="s">
        <v>20524</v>
      </c>
      <c r="B7089" s="528" t="s">
        <v>20525</v>
      </c>
      <c r="C7089" s="528" t="s">
        <v>20526</v>
      </c>
      <c r="D7089" s="528" t="s">
        <v>277</v>
      </c>
      <c r="E7089" s="528"/>
      <c r="F7089" s="528"/>
      <c r="G7089" s="528" t="s">
        <v>212</v>
      </c>
    </row>
    <row r="7090" spans="1:7" x14ac:dyDescent="0.35">
      <c r="A7090" s="528" t="s">
        <v>20527</v>
      </c>
      <c r="B7090" s="528" t="s">
        <v>20528</v>
      </c>
      <c r="C7090" s="528" t="s">
        <v>20529</v>
      </c>
      <c r="D7090" s="528" t="s">
        <v>225</v>
      </c>
      <c r="E7090" s="528" t="s">
        <v>277</v>
      </c>
      <c r="F7090" s="528" t="s">
        <v>264</v>
      </c>
      <c r="G7090" s="528" t="s">
        <v>212</v>
      </c>
    </row>
    <row r="7091" spans="1:7" x14ac:dyDescent="0.35">
      <c r="A7091" s="528" t="s">
        <v>20530</v>
      </c>
      <c r="B7091" s="528" t="s">
        <v>20531</v>
      </c>
      <c r="C7091" s="528" t="s">
        <v>20532</v>
      </c>
      <c r="D7091" s="528" t="s">
        <v>277</v>
      </c>
      <c r="E7091" s="528"/>
      <c r="F7091" s="528"/>
      <c r="G7091" s="528" t="s">
        <v>212</v>
      </c>
    </row>
    <row r="7092" spans="1:7" x14ac:dyDescent="0.35">
      <c r="A7092" s="528" t="s">
        <v>20533</v>
      </c>
      <c r="B7092" s="528" t="s">
        <v>20534</v>
      </c>
      <c r="C7092" s="528" t="s">
        <v>20535</v>
      </c>
      <c r="D7092" s="528" t="s">
        <v>264</v>
      </c>
      <c r="E7092" s="528"/>
      <c r="F7092" s="528"/>
      <c r="G7092" s="528" t="s">
        <v>208</v>
      </c>
    </row>
    <row r="7093" spans="1:7" x14ac:dyDescent="0.35">
      <c r="A7093" s="528" t="s">
        <v>20536</v>
      </c>
      <c r="B7093" s="528" t="s">
        <v>20537</v>
      </c>
      <c r="C7093" s="528" t="s">
        <v>20538</v>
      </c>
      <c r="D7093" s="528" t="s">
        <v>225</v>
      </c>
      <c r="E7093" s="528"/>
      <c r="F7093" s="528"/>
      <c r="G7093" s="528" t="s">
        <v>205</v>
      </c>
    </row>
    <row r="7094" spans="1:7" x14ac:dyDescent="0.35">
      <c r="A7094" s="528" t="s">
        <v>20539</v>
      </c>
      <c r="B7094" s="528" t="s">
        <v>20540</v>
      </c>
      <c r="C7094" s="528" t="s">
        <v>20541</v>
      </c>
      <c r="D7094" s="528" t="s">
        <v>225</v>
      </c>
      <c r="E7094" s="528"/>
      <c r="F7094" s="528"/>
      <c r="G7094" s="528" t="s">
        <v>208</v>
      </c>
    </row>
    <row r="7095" spans="1:7" x14ac:dyDescent="0.35">
      <c r="A7095" s="528" t="s">
        <v>20542</v>
      </c>
      <c r="B7095" s="528" t="s">
        <v>20543</v>
      </c>
      <c r="C7095" s="528" t="s">
        <v>20544</v>
      </c>
      <c r="D7095" s="528" t="s">
        <v>264</v>
      </c>
      <c r="E7095" s="528"/>
      <c r="F7095" s="528"/>
      <c r="G7095" s="528" t="s">
        <v>208</v>
      </c>
    </row>
    <row r="7096" spans="1:7" x14ac:dyDescent="0.35">
      <c r="A7096" s="528" t="s">
        <v>20545</v>
      </c>
      <c r="B7096" s="528" t="s">
        <v>20546</v>
      </c>
      <c r="C7096" s="528" t="s">
        <v>20547</v>
      </c>
      <c r="D7096" s="528" t="s">
        <v>277</v>
      </c>
      <c r="E7096" s="528"/>
      <c r="F7096" s="528"/>
      <c r="G7096" s="528" t="s">
        <v>205</v>
      </c>
    </row>
    <row r="7097" spans="1:7" x14ac:dyDescent="0.35">
      <c r="A7097" s="528" t="s">
        <v>20548</v>
      </c>
      <c r="B7097" s="528" t="s">
        <v>20549</v>
      </c>
      <c r="C7097" s="528" t="s">
        <v>20550</v>
      </c>
      <c r="D7097" s="528" t="s">
        <v>277</v>
      </c>
      <c r="E7097" s="528"/>
      <c r="F7097" s="528"/>
      <c r="G7097" s="528" t="s">
        <v>208</v>
      </c>
    </row>
    <row r="7098" spans="1:7" x14ac:dyDescent="0.35">
      <c r="A7098" s="528" t="s">
        <v>20551</v>
      </c>
      <c r="B7098" s="528" t="s">
        <v>20552</v>
      </c>
      <c r="C7098" s="528" t="s">
        <v>20553</v>
      </c>
      <c r="D7098" s="528" t="s">
        <v>277</v>
      </c>
      <c r="E7098" s="528"/>
      <c r="F7098" s="528"/>
      <c r="G7098" s="528" t="s">
        <v>212</v>
      </c>
    </row>
    <row r="7099" spans="1:7" x14ac:dyDescent="0.35">
      <c r="A7099" s="528" t="s">
        <v>20554</v>
      </c>
      <c r="B7099" s="528" t="s">
        <v>20555</v>
      </c>
      <c r="C7099" s="528" t="s">
        <v>20556</v>
      </c>
      <c r="D7099" s="528" t="s">
        <v>277</v>
      </c>
      <c r="E7099" s="528"/>
      <c r="F7099" s="528"/>
      <c r="G7099" s="528" t="s">
        <v>212</v>
      </c>
    </row>
    <row r="7100" spans="1:7" x14ac:dyDescent="0.35">
      <c r="A7100" s="528" t="s">
        <v>20557</v>
      </c>
      <c r="B7100" s="528" t="s">
        <v>20558</v>
      </c>
      <c r="C7100" s="528" t="s">
        <v>20559</v>
      </c>
      <c r="D7100" s="528" t="s">
        <v>277</v>
      </c>
      <c r="E7100" s="528"/>
      <c r="F7100" s="528"/>
      <c r="G7100" s="528" t="s">
        <v>205</v>
      </c>
    </row>
    <row r="7101" spans="1:7" x14ac:dyDescent="0.35">
      <c r="A7101" s="528" t="s">
        <v>20560</v>
      </c>
      <c r="B7101" s="528" t="s">
        <v>20561</v>
      </c>
      <c r="C7101" s="528" t="s">
        <v>20562</v>
      </c>
      <c r="D7101" s="528" t="s">
        <v>264</v>
      </c>
      <c r="E7101" s="528" t="s">
        <v>277</v>
      </c>
      <c r="F7101" s="528"/>
      <c r="G7101" s="528" t="s">
        <v>208</v>
      </c>
    </row>
    <row r="7102" spans="1:7" x14ac:dyDescent="0.35">
      <c r="A7102" s="528" t="s">
        <v>20563</v>
      </c>
      <c r="B7102" s="528" t="s">
        <v>20564</v>
      </c>
      <c r="C7102" s="528" t="s">
        <v>20565</v>
      </c>
      <c r="D7102" s="528" t="s">
        <v>264</v>
      </c>
      <c r="E7102" s="528"/>
      <c r="F7102" s="528"/>
      <c r="G7102" s="528" t="s">
        <v>208</v>
      </c>
    </row>
    <row r="7103" spans="1:7" x14ac:dyDescent="0.35">
      <c r="A7103" s="528" t="s">
        <v>20566</v>
      </c>
      <c r="B7103" s="528" t="s">
        <v>20567</v>
      </c>
      <c r="C7103" s="528" t="s">
        <v>20568</v>
      </c>
      <c r="D7103" s="528" t="s">
        <v>238</v>
      </c>
      <c r="E7103" s="528"/>
      <c r="F7103" s="528"/>
      <c r="G7103" s="528" t="s">
        <v>208</v>
      </c>
    </row>
    <row r="7104" spans="1:7" x14ac:dyDescent="0.35">
      <c r="A7104" s="528" t="s">
        <v>20569</v>
      </c>
      <c r="B7104" s="528" t="s">
        <v>20570</v>
      </c>
      <c r="C7104" s="528" t="s">
        <v>20571</v>
      </c>
      <c r="D7104" s="528" t="s">
        <v>277</v>
      </c>
      <c r="E7104" s="528"/>
      <c r="F7104" s="528"/>
      <c r="G7104" s="528" t="s">
        <v>212</v>
      </c>
    </row>
    <row r="7105" spans="1:7" x14ac:dyDescent="0.35">
      <c r="A7105" s="528" t="s">
        <v>20572</v>
      </c>
      <c r="B7105" s="528" t="s">
        <v>20573</v>
      </c>
      <c r="C7105" s="528" t="s">
        <v>20574</v>
      </c>
      <c r="D7105" s="528" t="s">
        <v>277</v>
      </c>
      <c r="E7105" s="528" t="s">
        <v>264</v>
      </c>
      <c r="F7105" s="528"/>
      <c r="G7105" s="528" t="s">
        <v>212</v>
      </c>
    </row>
    <row r="7106" spans="1:7" x14ac:dyDescent="0.35">
      <c r="A7106" s="528" t="s">
        <v>20575</v>
      </c>
      <c r="B7106" s="528" t="s">
        <v>20576</v>
      </c>
      <c r="C7106" s="528" t="s">
        <v>20577</v>
      </c>
      <c r="D7106" s="528" t="s">
        <v>264</v>
      </c>
      <c r="E7106" s="528"/>
      <c r="F7106" s="528"/>
      <c r="G7106" s="528" t="s">
        <v>212</v>
      </c>
    </row>
    <row r="7107" spans="1:7" x14ac:dyDescent="0.35">
      <c r="A7107" s="528" t="s">
        <v>20578</v>
      </c>
      <c r="B7107" s="528" t="s">
        <v>20579</v>
      </c>
      <c r="C7107" s="528" t="s">
        <v>20580</v>
      </c>
      <c r="D7107" s="528" t="s">
        <v>225</v>
      </c>
      <c r="E7107" s="528"/>
      <c r="F7107" s="528"/>
      <c r="G7107" s="528" t="s">
        <v>208</v>
      </c>
    </row>
    <row r="7108" spans="1:7" x14ac:dyDescent="0.35">
      <c r="A7108" s="528" t="s">
        <v>20581</v>
      </c>
      <c r="B7108" s="528" t="s">
        <v>20582</v>
      </c>
      <c r="C7108" s="528" t="s">
        <v>20583</v>
      </c>
      <c r="D7108" s="528" t="s">
        <v>277</v>
      </c>
      <c r="E7108" s="528"/>
      <c r="F7108" s="528"/>
      <c r="G7108" s="528" t="s">
        <v>205</v>
      </c>
    </row>
    <row r="7109" spans="1:7" x14ac:dyDescent="0.35">
      <c r="A7109" s="528" t="s">
        <v>20584</v>
      </c>
      <c r="B7109" s="528" t="s">
        <v>20585</v>
      </c>
      <c r="C7109" s="528" t="s">
        <v>20586</v>
      </c>
      <c r="D7109" s="528" t="s">
        <v>277</v>
      </c>
      <c r="E7109" s="528"/>
      <c r="F7109" s="528"/>
      <c r="G7109" s="528" t="s">
        <v>208</v>
      </c>
    </row>
    <row r="7110" spans="1:7" x14ac:dyDescent="0.35">
      <c r="A7110" s="528" t="s">
        <v>20587</v>
      </c>
      <c r="B7110" s="528" t="s">
        <v>20588</v>
      </c>
      <c r="C7110" s="528" t="s">
        <v>20589</v>
      </c>
      <c r="D7110" s="528" t="s">
        <v>277</v>
      </c>
      <c r="E7110" s="528"/>
      <c r="F7110" s="528"/>
      <c r="G7110" s="528" t="s">
        <v>208</v>
      </c>
    </row>
    <row r="7111" spans="1:7" x14ac:dyDescent="0.35">
      <c r="A7111" s="528" t="s">
        <v>20590</v>
      </c>
      <c r="B7111" s="528" t="s">
        <v>20591</v>
      </c>
      <c r="C7111" s="528" t="s">
        <v>20592</v>
      </c>
      <c r="D7111" s="528" t="s">
        <v>277</v>
      </c>
      <c r="E7111" s="528"/>
      <c r="F7111" s="528"/>
      <c r="G7111" s="528" t="s">
        <v>212</v>
      </c>
    </row>
    <row r="7112" spans="1:7" x14ac:dyDescent="0.35">
      <c r="A7112" s="528" t="s">
        <v>20593</v>
      </c>
      <c r="B7112" s="528" t="s">
        <v>20594</v>
      </c>
      <c r="C7112" s="528" t="s">
        <v>20595</v>
      </c>
      <c r="D7112" s="528" t="s">
        <v>277</v>
      </c>
      <c r="E7112" s="528"/>
      <c r="F7112" s="528"/>
      <c r="G7112" s="528" t="s">
        <v>214</v>
      </c>
    </row>
    <row r="7113" spans="1:7" x14ac:dyDescent="0.35">
      <c r="A7113" s="528" t="s">
        <v>20596</v>
      </c>
      <c r="B7113" s="528" t="s">
        <v>20597</v>
      </c>
      <c r="C7113" s="528" t="s">
        <v>20598</v>
      </c>
      <c r="D7113" s="528" t="s">
        <v>264</v>
      </c>
      <c r="E7113" s="528" t="s">
        <v>251</v>
      </c>
      <c r="F7113" s="528"/>
      <c r="G7113" s="528" t="s">
        <v>205</v>
      </c>
    </row>
    <row r="7114" spans="1:7" x14ac:dyDescent="0.35">
      <c r="A7114" s="528" t="s">
        <v>20599</v>
      </c>
      <c r="B7114" s="528" t="s">
        <v>20600</v>
      </c>
      <c r="C7114" s="528" t="s">
        <v>20601</v>
      </c>
      <c r="D7114" s="528" t="s">
        <v>277</v>
      </c>
      <c r="E7114" s="528"/>
      <c r="F7114" s="528"/>
      <c r="G7114" s="528" t="s">
        <v>208</v>
      </c>
    </row>
    <row r="7115" spans="1:7" x14ac:dyDescent="0.35">
      <c r="A7115" s="528" t="s">
        <v>20602</v>
      </c>
      <c r="B7115" s="528" t="s">
        <v>20603</v>
      </c>
      <c r="C7115" s="528" t="s">
        <v>20604</v>
      </c>
      <c r="D7115" s="528" t="s">
        <v>225</v>
      </c>
      <c r="E7115" s="528"/>
      <c r="F7115" s="528"/>
      <c r="G7115" s="528" t="s">
        <v>205</v>
      </c>
    </row>
    <row r="7116" spans="1:7" x14ac:dyDescent="0.35">
      <c r="A7116" s="528" t="s">
        <v>20605</v>
      </c>
      <c r="B7116" s="528" t="s">
        <v>20606</v>
      </c>
      <c r="C7116" s="528" t="s">
        <v>20607</v>
      </c>
      <c r="D7116" s="528" t="s">
        <v>277</v>
      </c>
      <c r="E7116" s="528"/>
      <c r="F7116" s="528"/>
      <c r="G7116" s="528" t="s">
        <v>208</v>
      </c>
    </row>
    <row r="7117" spans="1:7" x14ac:dyDescent="0.35">
      <c r="A7117" s="528" t="s">
        <v>20608</v>
      </c>
      <c r="B7117" s="528" t="s">
        <v>20609</v>
      </c>
      <c r="C7117" s="528" t="s">
        <v>20610</v>
      </c>
      <c r="D7117" s="528" t="s">
        <v>264</v>
      </c>
      <c r="E7117" s="528"/>
      <c r="F7117" s="528"/>
      <c r="G7117" s="528" t="s">
        <v>208</v>
      </c>
    </row>
    <row r="7118" spans="1:7" x14ac:dyDescent="0.35">
      <c r="A7118" s="528" t="s">
        <v>20611</v>
      </c>
      <c r="B7118" s="528" t="s">
        <v>20612</v>
      </c>
      <c r="C7118" s="528" t="s">
        <v>20613</v>
      </c>
      <c r="D7118" s="528" t="s">
        <v>277</v>
      </c>
      <c r="E7118" s="528"/>
      <c r="F7118" s="528"/>
      <c r="G7118" s="528" t="s">
        <v>212</v>
      </c>
    </row>
    <row r="7119" spans="1:7" x14ac:dyDescent="0.35">
      <c r="A7119" s="528" t="s">
        <v>20614</v>
      </c>
      <c r="B7119" s="528" t="s">
        <v>20615</v>
      </c>
      <c r="C7119" s="528" t="s">
        <v>20616</v>
      </c>
      <c r="D7119" s="528" t="s">
        <v>264</v>
      </c>
      <c r="E7119" s="528"/>
      <c r="F7119" s="528"/>
      <c r="G7119" s="528" t="s">
        <v>208</v>
      </c>
    </row>
    <row r="7120" spans="1:7" x14ac:dyDescent="0.35">
      <c r="A7120" s="528" t="s">
        <v>20617</v>
      </c>
      <c r="B7120" s="528" t="s">
        <v>20618</v>
      </c>
      <c r="C7120" s="528" t="s">
        <v>20619</v>
      </c>
      <c r="D7120" s="528" t="s">
        <v>264</v>
      </c>
      <c r="E7120" s="528"/>
      <c r="F7120" s="528"/>
      <c r="G7120" s="528" t="s">
        <v>208</v>
      </c>
    </row>
    <row r="7121" spans="1:7" x14ac:dyDescent="0.35">
      <c r="A7121" s="528" t="s">
        <v>20620</v>
      </c>
      <c r="B7121" s="528" t="s">
        <v>20621</v>
      </c>
      <c r="C7121" s="528" t="s">
        <v>20622</v>
      </c>
      <c r="D7121" s="528" t="s">
        <v>225</v>
      </c>
      <c r="E7121" s="528"/>
      <c r="F7121" s="528"/>
      <c r="G7121" s="528" t="s">
        <v>208</v>
      </c>
    </row>
    <row r="7122" spans="1:7" x14ac:dyDescent="0.35">
      <c r="A7122" s="528" t="s">
        <v>20623</v>
      </c>
      <c r="B7122" s="528" t="s">
        <v>20624</v>
      </c>
      <c r="C7122" s="528" t="s">
        <v>20625</v>
      </c>
      <c r="D7122" s="528" t="s">
        <v>225</v>
      </c>
      <c r="E7122" s="528"/>
      <c r="F7122" s="528"/>
      <c r="G7122" s="528" t="s">
        <v>208</v>
      </c>
    </row>
    <row r="7123" spans="1:7" x14ac:dyDescent="0.35">
      <c r="A7123" s="528" t="s">
        <v>20626</v>
      </c>
      <c r="B7123" s="528" t="s">
        <v>20627</v>
      </c>
      <c r="C7123" s="528" t="s">
        <v>20628</v>
      </c>
      <c r="D7123" s="528" t="s">
        <v>264</v>
      </c>
      <c r="E7123" s="528"/>
      <c r="F7123" s="528"/>
      <c r="G7123" s="528" t="s">
        <v>208</v>
      </c>
    </row>
    <row r="7124" spans="1:7" x14ac:dyDescent="0.35">
      <c r="A7124" s="528" t="s">
        <v>20629</v>
      </c>
      <c r="B7124" s="528" t="s">
        <v>20630</v>
      </c>
      <c r="C7124" s="528" t="s">
        <v>20631</v>
      </c>
      <c r="D7124" s="528" t="s">
        <v>277</v>
      </c>
      <c r="E7124" s="528"/>
      <c r="F7124" s="528"/>
      <c r="G7124" s="528" t="s">
        <v>214</v>
      </c>
    </row>
    <row r="7125" spans="1:7" x14ac:dyDescent="0.35">
      <c r="A7125" s="528" t="s">
        <v>20632</v>
      </c>
      <c r="B7125" s="528" t="s">
        <v>20633</v>
      </c>
      <c r="C7125" s="528" t="s">
        <v>20634</v>
      </c>
      <c r="D7125" s="528" t="s">
        <v>264</v>
      </c>
      <c r="E7125" s="528"/>
      <c r="F7125" s="528"/>
      <c r="G7125" s="528" t="s">
        <v>208</v>
      </c>
    </row>
    <row r="7126" spans="1:7" x14ac:dyDescent="0.35">
      <c r="A7126" s="528" t="s">
        <v>20635</v>
      </c>
      <c r="B7126" s="528" t="s">
        <v>20636</v>
      </c>
      <c r="C7126" s="528" t="s">
        <v>20637</v>
      </c>
      <c r="D7126" s="528" t="s">
        <v>264</v>
      </c>
      <c r="E7126" s="528"/>
      <c r="F7126" s="528"/>
      <c r="G7126" s="528" t="s">
        <v>208</v>
      </c>
    </row>
    <row r="7127" spans="1:7" x14ac:dyDescent="0.35">
      <c r="A7127" s="528" t="s">
        <v>20638</v>
      </c>
      <c r="B7127" s="528" t="s">
        <v>20639</v>
      </c>
      <c r="C7127" s="528" t="s">
        <v>28352</v>
      </c>
      <c r="D7127" s="528" t="s">
        <v>264</v>
      </c>
      <c r="E7127" s="528"/>
      <c r="F7127" s="528"/>
      <c r="G7127" s="528" t="s">
        <v>208</v>
      </c>
    </row>
    <row r="7128" spans="1:7" x14ac:dyDescent="0.35">
      <c r="A7128" s="528" t="s">
        <v>20640</v>
      </c>
      <c r="B7128" s="528" t="s">
        <v>20641</v>
      </c>
      <c r="C7128" s="528" t="s">
        <v>28353</v>
      </c>
      <c r="D7128" s="528" t="s">
        <v>264</v>
      </c>
      <c r="E7128" s="528"/>
      <c r="F7128" s="528"/>
      <c r="G7128" s="528" t="s">
        <v>208</v>
      </c>
    </row>
    <row r="7129" spans="1:7" x14ac:dyDescent="0.35">
      <c r="A7129" s="528" t="s">
        <v>20642</v>
      </c>
      <c r="B7129" s="528" t="s">
        <v>20643</v>
      </c>
      <c r="C7129" s="528" t="s">
        <v>20644</v>
      </c>
      <c r="D7129" s="528" t="s">
        <v>264</v>
      </c>
      <c r="E7129" s="528"/>
      <c r="F7129" s="528"/>
      <c r="G7129" s="528" t="s">
        <v>212</v>
      </c>
    </row>
    <row r="7130" spans="1:7" x14ac:dyDescent="0.35">
      <c r="A7130" s="528" t="s">
        <v>20645</v>
      </c>
      <c r="B7130" s="528" t="s">
        <v>20646</v>
      </c>
      <c r="C7130" s="528" t="s">
        <v>20647</v>
      </c>
      <c r="D7130" s="528" t="s">
        <v>277</v>
      </c>
      <c r="E7130" s="528"/>
      <c r="F7130" s="528"/>
      <c r="G7130" s="528" t="s">
        <v>214</v>
      </c>
    </row>
    <row r="7131" spans="1:7" x14ac:dyDescent="0.35">
      <c r="A7131" s="528" t="s">
        <v>20648</v>
      </c>
      <c r="B7131" s="528" t="s">
        <v>20649</v>
      </c>
      <c r="C7131" s="528" t="s">
        <v>20650</v>
      </c>
      <c r="D7131" s="528" t="s">
        <v>264</v>
      </c>
      <c r="E7131" s="528"/>
      <c r="F7131" s="528"/>
      <c r="G7131" s="528" t="s">
        <v>212</v>
      </c>
    </row>
    <row r="7132" spans="1:7" x14ac:dyDescent="0.35">
      <c r="A7132" s="528" t="s">
        <v>20651</v>
      </c>
      <c r="B7132" s="528" t="s">
        <v>20652</v>
      </c>
      <c r="C7132" s="528" t="s">
        <v>20653</v>
      </c>
      <c r="D7132" s="528" t="s">
        <v>264</v>
      </c>
      <c r="E7132" s="528"/>
      <c r="F7132" s="528"/>
      <c r="G7132" s="528" t="s">
        <v>208</v>
      </c>
    </row>
    <row r="7133" spans="1:7" x14ac:dyDescent="0.35">
      <c r="A7133" s="528" t="s">
        <v>20654</v>
      </c>
      <c r="B7133" s="528" t="s">
        <v>20655</v>
      </c>
      <c r="C7133" s="528" t="s">
        <v>20656</v>
      </c>
      <c r="D7133" s="528" t="s">
        <v>277</v>
      </c>
      <c r="E7133" s="528"/>
      <c r="F7133" s="528"/>
      <c r="G7133" s="528" t="s">
        <v>205</v>
      </c>
    </row>
    <row r="7134" spans="1:7" x14ac:dyDescent="0.35">
      <c r="A7134" s="528" t="s">
        <v>20657</v>
      </c>
      <c r="B7134" s="528" t="s">
        <v>20658</v>
      </c>
      <c r="C7134" s="528" t="s">
        <v>20659</v>
      </c>
      <c r="D7134" s="528" t="s">
        <v>277</v>
      </c>
      <c r="E7134" s="528"/>
      <c r="F7134" s="528"/>
      <c r="G7134" s="528" t="s">
        <v>208</v>
      </c>
    </row>
    <row r="7135" spans="1:7" x14ac:dyDescent="0.35">
      <c r="A7135" s="528" t="s">
        <v>20660</v>
      </c>
      <c r="B7135" s="528" t="s">
        <v>20661</v>
      </c>
      <c r="C7135" s="528" t="s">
        <v>20662</v>
      </c>
      <c r="D7135" s="528" t="s">
        <v>225</v>
      </c>
      <c r="E7135" s="528"/>
      <c r="F7135" s="528"/>
      <c r="G7135" s="528" t="s">
        <v>205</v>
      </c>
    </row>
    <row r="7136" spans="1:7" x14ac:dyDescent="0.35">
      <c r="A7136" s="528" t="s">
        <v>20663</v>
      </c>
      <c r="B7136" s="528" t="s">
        <v>20664</v>
      </c>
      <c r="C7136" s="528" t="s">
        <v>20665</v>
      </c>
      <c r="D7136" s="528" t="s">
        <v>277</v>
      </c>
      <c r="E7136" s="528"/>
      <c r="F7136" s="528"/>
      <c r="G7136" s="528" t="s">
        <v>208</v>
      </c>
    </row>
    <row r="7137" spans="1:7" x14ac:dyDescent="0.35">
      <c r="A7137" s="528" t="s">
        <v>20666</v>
      </c>
      <c r="B7137" s="528" t="s">
        <v>20667</v>
      </c>
      <c r="C7137" s="528" t="s">
        <v>20668</v>
      </c>
      <c r="D7137" s="528" t="s">
        <v>277</v>
      </c>
      <c r="E7137" s="528"/>
      <c r="F7137" s="528"/>
      <c r="G7137" s="528" t="s">
        <v>208</v>
      </c>
    </row>
    <row r="7138" spans="1:7" x14ac:dyDescent="0.35">
      <c r="A7138" s="528" t="s">
        <v>20669</v>
      </c>
      <c r="B7138" s="528" t="s">
        <v>20670</v>
      </c>
      <c r="C7138" s="528" t="s">
        <v>20671</v>
      </c>
      <c r="D7138" s="528" t="s">
        <v>277</v>
      </c>
      <c r="E7138" s="528"/>
      <c r="F7138" s="528"/>
      <c r="G7138" s="528" t="s">
        <v>208</v>
      </c>
    </row>
    <row r="7139" spans="1:7" x14ac:dyDescent="0.35">
      <c r="A7139" s="528" t="s">
        <v>20672</v>
      </c>
      <c r="B7139" s="528" t="s">
        <v>20673</v>
      </c>
      <c r="C7139" s="528" t="s">
        <v>20674</v>
      </c>
      <c r="D7139" s="528" t="s">
        <v>264</v>
      </c>
      <c r="E7139" s="528"/>
      <c r="F7139" s="528"/>
      <c r="G7139" s="528" t="s">
        <v>208</v>
      </c>
    </row>
    <row r="7140" spans="1:7" x14ac:dyDescent="0.35">
      <c r="A7140" s="528" t="s">
        <v>20675</v>
      </c>
      <c r="B7140" s="528" t="s">
        <v>20676</v>
      </c>
      <c r="C7140" s="528" t="s">
        <v>20677</v>
      </c>
      <c r="D7140" s="528" t="s">
        <v>264</v>
      </c>
      <c r="E7140" s="528"/>
      <c r="F7140" s="528"/>
      <c r="G7140" s="528" t="s">
        <v>208</v>
      </c>
    </row>
    <row r="7141" spans="1:7" x14ac:dyDescent="0.35">
      <c r="A7141" s="528" t="s">
        <v>20678</v>
      </c>
      <c r="B7141" s="528" t="s">
        <v>20679</v>
      </c>
      <c r="C7141" s="528" t="s">
        <v>20680</v>
      </c>
      <c r="D7141" s="528" t="s">
        <v>264</v>
      </c>
      <c r="E7141" s="528"/>
      <c r="F7141" s="528"/>
      <c r="G7141" s="528" t="s">
        <v>212</v>
      </c>
    </row>
    <row r="7142" spans="1:7" x14ac:dyDescent="0.35">
      <c r="A7142" s="528" t="s">
        <v>20681</v>
      </c>
      <c r="B7142" s="528" t="s">
        <v>20682</v>
      </c>
      <c r="C7142" s="528" t="s">
        <v>20683</v>
      </c>
      <c r="D7142" s="528" t="s">
        <v>264</v>
      </c>
      <c r="E7142" s="528"/>
      <c r="F7142" s="528"/>
      <c r="G7142" s="528" t="s">
        <v>205</v>
      </c>
    </row>
    <row r="7143" spans="1:7" x14ac:dyDescent="0.35">
      <c r="A7143" s="528" t="s">
        <v>20684</v>
      </c>
      <c r="B7143" s="528" t="s">
        <v>20685</v>
      </c>
      <c r="C7143" s="528" t="s">
        <v>20686</v>
      </c>
      <c r="D7143" s="528" t="s">
        <v>277</v>
      </c>
      <c r="E7143" s="528"/>
      <c r="F7143" s="528"/>
      <c r="G7143" s="528" t="s">
        <v>212</v>
      </c>
    </row>
    <row r="7144" spans="1:7" x14ac:dyDescent="0.35">
      <c r="A7144" s="528" t="s">
        <v>20687</v>
      </c>
      <c r="B7144" s="528" t="s">
        <v>20688</v>
      </c>
      <c r="C7144" s="528" t="s">
        <v>20689</v>
      </c>
      <c r="D7144" s="528" t="s">
        <v>277</v>
      </c>
      <c r="E7144" s="528"/>
      <c r="F7144" s="528"/>
      <c r="G7144" s="528" t="s">
        <v>208</v>
      </c>
    </row>
    <row r="7145" spans="1:7" x14ac:dyDescent="0.35">
      <c r="A7145" s="528" t="s">
        <v>20690</v>
      </c>
      <c r="B7145" s="528" t="s">
        <v>20691</v>
      </c>
      <c r="C7145" s="528" t="s">
        <v>20692</v>
      </c>
      <c r="D7145" s="528" t="s">
        <v>277</v>
      </c>
      <c r="E7145" s="528"/>
      <c r="F7145" s="528"/>
      <c r="G7145" s="528" t="s">
        <v>214</v>
      </c>
    </row>
    <row r="7146" spans="1:7" x14ac:dyDescent="0.35">
      <c r="A7146" s="528" t="s">
        <v>20693</v>
      </c>
      <c r="B7146" s="528" t="s">
        <v>20694</v>
      </c>
      <c r="C7146" s="528" t="s">
        <v>20695</v>
      </c>
      <c r="D7146" s="528" t="s">
        <v>277</v>
      </c>
      <c r="E7146" s="528"/>
      <c r="F7146" s="528"/>
      <c r="G7146" s="528" t="s">
        <v>212</v>
      </c>
    </row>
    <row r="7147" spans="1:7" x14ac:dyDescent="0.35">
      <c r="A7147" s="528" t="s">
        <v>20696</v>
      </c>
      <c r="B7147" s="528" t="s">
        <v>20697</v>
      </c>
      <c r="C7147" s="528" t="s">
        <v>20698</v>
      </c>
      <c r="D7147" s="528" t="s">
        <v>238</v>
      </c>
      <c r="E7147" s="528"/>
      <c r="F7147" s="528"/>
      <c r="G7147" s="528" t="s">
        <v>208</v>
      </c>
    </row>
    <row r="7148" spans="1:7" x14ac:dyDescent="0.35">
      <c r="A7148" s="528" t="s">
        <v>20699</v>
      </c>
      <c r="B7148" s="528" t="s">
        <v>20700</v>
      </c>
      <c r="C7148" s="528" t="s">
        <v>20701</v>
      </c>
      <c r="D7148" s="528" t="s">
        <v>238</v>
      </c>
      <c r="E7148" s="528"/>
      <c r="F7148" s="528"/>
      <c r="G7148" s="528" t="s">
        <v>208</v>
      </c>
    </row>
    <row r="7149" spans="1:7" x14ac:dyDescent="0.35">
      <c r="A7149" s="528" t="s">
        <v>20702</v>
      </c>
      <c r="B7149" s="528" t="s">
        <v>20703</v>
      </c>
      <c r="C7149" s="528" t="s">
        <v>20704</v>
      </c>
      <c r="D7149" s="528" t="s">
        <v>238</v>
      </c>
      <c r="E7149" s="528"/>
      <c r="F7149" s="528"/>
      <c r="G7149" s="528" t="s">
        <v>208</v>
      </c>
    </row>
    <row r="7150" spans="1:7" x14ac:dyDescent="0.35">
      <c r="A7150" s="528" t="s">
        <v>20705</v>
      </c>
      <c r="B7150" s="528" t="s">
        <v>20706</v>
      </c>
      <c r="C7150" s="528" t="s">
        <v>20707</v>
      </c>
      <c r="D7150" s="528" t="s">
        <v>277</v>
      </c>
      <c r="E7150" s="528"/>
      <c r="F7150" s="528"/>
      <c r="G7150" s="528" t="s">
        <v>208</v>
      </c>
    </row>
    <row r="7151" spans="1:7" x14ac:dyDescent="0.35">
      <c r="A7151" s="528" t="s">
        <v>20708</v>
      </c>
      <c r="B7151" s="528" t="s">
        <v>20709</v>
      </c>
      <c r="C7151" s="528" t="s">
        <v>20710</v>
      </c>
      <c r="D7151" s="528" t="s">
        <v>277</v>
      </c>
      <c r="E7151" s="528"/>
      <c r="F7151" s="528"/>
      <c r="G7151" s="528" t="s">
        <v>208</v>
      </c>
    </row>
    <row r="7152" spans="1:7" x14ac:dyDescent="0.35">
      <c r="A7152" s="528" t="s">
        <v>20711</v>
      </c>
      <c r="B7152" s="528" t="s">
        <v>20712</v>
      </c>
      <c r="C7152" s="528" t="s">
        <v>20713</v>
      </c>
      <c r="D7152" s="528" t="s">
        <v>277</v>
      </c>
      <c r="E7152" s="528"/>
      <c r="F7152" s="528"/>
      <c r="G7152" s="528" t="s">
        <v>208</v>
      </c>
    </row>
    <row r="7153" spans="1:7" x14ac:dyDescent="0.35">
      <c r="A7153" s="528" t="s">
        <v>20714</v>
      </c>
      <c r="B7153" s="528" t="s">
        <v>20715</v>
      </c>
      <c r="C7153" s="528" t="s">
        <v>20716</v>
      </c>
      <c r="D7153" s="528" t="s">
        <v>264</v>
      </c>
      <c r="E7153" s="528"/>
      <c r="F7153" s="528"/>
      <c r="G7153" s="528" t="s">
        <v>205</v>
      </c>
    </row>
    <row r="7154" spans="1:7" x14ac:dyDescent="0.35">
      <c r="A7154" s="528" t="s">
        <v>20717</v>
      </c>
      <c r="B7154" s="528" t="s">
        <v>20718</v>
      </c>
      <c r="C7154" s="528" t="s">
        <v>20719</v>
      </c>
      <c r="D7154" s="528" t="s">
        <v>264</v>
      </c>
      <c r="E7154" s="528"/>
      <c r="F7154" s="528"/>
      <c r="G7154" s="528" t="s">
        <v>208</v>
      </c>
    </row>
    <row r="7155" spans="1:7" x14ac:dyDescent="0.35">
      <c r="A7155" s="528" t="s">
        <v>20720</v>
      </c>
      <c r="B7155" s="528" t="s">
        <v>20721</v>
      </c>
      <c r="C7155" s="528" t="s">
        <v>20722</v>
      </c>
      <c r="D7155" s="528" t="s">
        <v>264</v>
      </c>
      <c r="E7155" s="528"/>
      <c r="F7155" s="528"/>
      <c r="G7155" s="528" t="s">
        <v>208</v>
      </c>
    </row>
    <row r="7156" spans="1:7" x14ac:dyDescent="0.35">
      <c r="A7156" s="528" t="s">
        <v>20723</v>
      </c>
      <c r="B7156" s="528" t="s">
        <v>20724</v>
      </c>
      <c r="C7156" s="528" t="s">
        <v>20725</v>
      </c>
      <c r="D7156" s="528" t="s">
        <v>277</v>
      </c>
      <c r="E7156" s="528"/>
      <c r="F7156" s="528"/>
      <c r="G7156" s="528" t="s">
        <v>205</v>
      </c>
    </row>
    <row r="7157" spans="1:7" x14ac:dyDescent="0.35">
      <c r="A7157" s="528" t="s">
        <v>20726</v>
      </c>
      <c r="B7157" s="528" t="s">
        <v>20727</v>
      </c>
      <c r="C7157" s="528" t="s">
        <v>20728</v>
      </c>
      <c r="D7157" s="528" t="s">
        <v>264</v>
      </c>
      <c r="E7157" s="528"/>
      <c r="F7157" s="528"/>
      <c r="G7157" s="528" t="s">
        <v>210</v>
      </c>
    </row>
    <row r="7158" spans="1:7" x14ac:dyDescent="0.35">
      <c r="A7158" s="528" t="s">
        <v>20729</v>
      </c>
      <c r="B7158" s="528" t="s">
        <v>20730</v>
      </c>
      <c r="C7158" s="528" t="s">
        <v>20731</v>
      </c>
      <c r="D7158" s="528" t="s">
        <v>277</v>
      </c>
      <c r="E7158" s="528"/>
      <c r="F7158" s="528"/>
      <c r="G7158" s="528" t="s">
        <v>208</v>
      </c>
    </row>
    <row r="7159" spans="1:7" x14ac:dyDescent="0.35">
      <c r="A7159" s="528" t="s">
        <v>20732</v>
      </c>
      <c r="B7159" s="528" t="s">
        <v>20733</v>
      </c>
      <c r="C7159" s="528" t="s">
        <v>20734</v>
      </c>
      <c r="D7159" s="528" t="s">
        <v>277</v>
      </c>
      <c r="E7159" s="528"/>
      <c r="F7159" s="528"/>
      <c r="G7159" s="528" t="s">
        <v>205</v>
      </c>
    </row>
    <row r="7160" spans="1:7" x14ac:dyDescent="0.35">
      <c r="A7160" s="528" t="s">
        <v>20735</v>
      </c>
      <c r="B7160" s="528" t="s">
        <v>20736</v>
      </c>
      <c r="C7160" s="528" t="s">
        <v>20737</v>
      </c>
      <c r="D7160" s="528" t="s">
        <v>277</v>
      </c>
      <c r="E7160" s="528"/>
      <c r="F7160" s="528"/>
      <c r="G7160" s="528" t="s">
        <v>205</v>
      </c>
    </row>
    <row r="7161" spans="1:7" x14ac:dyDescent="0.35">
      <c r="A7161" s="528" t="s">
        <v>20738</v>
      </c>
      <c r="B7161" s="528" t="s">
        <v>20739</v>
      </c>
      <c r="C7161" s="528" t="s">
        <v>20740</v>
      </c>
      <c r="D7161" s="528" t="s">
        <v>264</v>
      </c>
      <c r="E7161" s="528"/>
      <c r="F7161" s="528"/>
      <c r="G7161" s="528" t="s">
        <v>205</v>
      </c>
    </row>
    <row r="7162" spans="1:7" x14ac:dyDescent="0.35">
      <c r="A7162" s="528" t="s">
        <v>20741</v>
      </c>
      <c r="B7162" s="528" t="s">
        <v>20742</v>
      </c>
      <c r="C7162" s="528" t="s">
        <v>20743</v>
      </c>
      <c r="D7162" s="528" t="s">
        <v>264</v>
      </c>
      <c r="E7162" s="528"/>
      <c r="F7162" s="528"/>
      <c r="G7162" s="528" t="s">
        <v>208</v>
      </c>
    </row>
    <row r="7163" spans="1:7" x14ac:dyDescent="0.35">
      <c r="A7163" s="528" t="s">
        <v>20744</v>
      </c>
      <c r="B7163" s="528" t="s">
        <v>20745</v>
      </c>
      <c r="C7163" s="528" t="s">
        <v>20746</v>
      </c>
      <c r="D7163" s="528" t="s">
        <v>277</v>
      </c>
      <c r="E7163" s="528"/>
      <c r="F7163" s="528"/>
      <c r="G7163" s="528" t="s">
        <v>205</v>
      </c>
    </row>
    <row r="7164" spans="1:7" x14ac:dyDescent="0.35">
      <c r="A7164" s="528" t="s">
        <v>20747</v>
      </c>
      <c r="B7164" s="528" t="s">
        <v>20748</v>
      </c>
      <c r="C7164" s="528" t="s">
        <v>20749</v>
      </c>
      <c r="D7164" s="528" t="s">
        <v>277</v>
      </c>
      <c r="E7164" s="528"/>
      <c r="F7164" s="528"/>
      <c r="G7164" s="528" t="s">
        <v>208</v>
      </c>
    </row>
    <row r="7165" spans="1:7" x14ac:dyDescent="0.35">
      <c r="A7165" s="528" t="s">
        <v>20750</v>
      </c>
      <c r="B7165" s="528" t="s">
        <v>20751</v>
      </c>
      <c r="C7165" s="528" t="s">
        <v>20752</v>
      </c>
      <c r="D7165" s="528" t="s">
        <v>225</v>
      </c>
      <c r="E7165" s="528"/>
      <c r="F7165" s="528"/>
      <c r="G7165" s="528" t="s">
        <v>205</v>
      </c>
    </row>
    <row r="7166" spans="1:7" x14ac:dyDescent="0.35">
      <c r="A7166" s="528" t="s">
        <v>20753</v>
      </c>
      <c r="B7166" s="528" t="s">
        <v>20754</v>
      </c>
      <c r="C7166" s="528" t="s">
        <v>20755</v>
      </c>
      <c r="D7166" s="528" t="s">
        <v>277</v>
      </c>
      <c r="E7166" s="528"/>
      <c r="F7166" s="528"/>
      <c r="G7166" s="528" t="s">
        <v>212</v>
      </c>
    </row>
    <row r="7167" spans="1:7" x14ac:dyDescent="0.35">
      <c r="A7167" s="528" t="s">
        <v>20756</v>
      </c>
      <c r="B7167" s="528" t="s">
        <v>20757</v>
      </c>
      <c r="C7167" s="528" t="s">
        <v>20758</v>
      </c>
      <c r="D7167" s="528" t="s">
        <v>277</v>
      </c>
      <c r="E7167" s="528"/>
      <c r="F7167" s="528"/>
      <c r="G7167" s="528" t="s">
        <v>212</v>
      </c>
    </row>
    <row r="7168" spans="1:7" x14ac:dyDescent="0.35">
      <c r="A7168" s="528" t="s">
        <v>20759</v>
      </c>
      <c r="B7168" s="528" t="s">
        <v>20760</v>
      </c>
      <c r="C7168" s="528" t="s">
        <v>20761</v>
      </c>
      <c r="D7168" s="528" t="s">
        <v>225</v>
      </c>
      <c r="E7168" s="528"/>
      <c r="F7168" s="528"/>
      <c r="G7168" s="528" t="s">
        <v>214</v>
      </c>
    </row>
    <row r="7169" spans="1:7" x14ac:dyDescent="0.35">
      <c r="A7169" s="528" t="s">
        <v>20762</v>
      </c>
      <c r="B7169" s="528" t="s">
        <v>20763</v>
      </c>
      <c r="C7169" s="528" t="s">
        <v>20764</v>
      </c>
      <c r="D7169" s="528" t="s">
        <v>225</v>
      </c>
      <c r="E7169" s="528"/>
      <c r="F7169" s="528"/>
      <c r="G7169" s="528" t="s">
        <v>214</v>
      </c>
    </row>
    <row r="7170" spans="1:7" x14ac:dyDescent="0.35">
      <c r="A7170" s="528" t="s">
        <v>20765</v>
      </c>
      <c r="B7170" s="528" t="s">
        <v>20766</v>
      </c>
      <c r="C7170" s="528" t="s">
        <v>20767</v>
      </c>
      <c r="D7170" s="528" t="s">
        <v>225</v>
      </c>
      <c r="E7170" s="528"/>
      <c r="F7170" s="528"/>
      <c r="G7170" s="528" t="s">
        <v>208</v>
      </c>
    </row>
    <row r="7171" spans="1:7" x14ac:dyDescent="0.35">
      <c r="A7171" s="528" t="s">
        <v>20768</v>
      </c>
      <c r="B7171" s="528" t="s">
        <v>20769</v>
      </c>
      <c r="C7171" s="528" t="s">
        <v>20770</v>
      </c>
      <c r="D7171" s="528" t="s">
        <v>225</v>
      </c>
      <c r="E7171" s="528"/>
      <c r="F7171" s="528"/>
      <c r="G7171" s="528" t="s">
        <v>208</v>
      </c>
    </row>
    <row r="7172" spans="1:7" x14ac:dyDescent="0.35">
      <c r="A7172" s="528" t="s">
        <v>20771</v>
      </c>
      <c r="B7172" s="528" t="s">
        <v>20772</v>
      </c>
      <c r="C7172" s="528" t="s">
        <v>20773</v>
      </c>
      <c r="D7172" s="528" t="s">
        <v>277</v>
      </c>
      <c r="E7172" s="528"/>
      <c r="F7172" s="528"/>
      <c r="G7172" s="528" t="s">
        <v>214</v>
      </c>
    </row>
    <row r="7173" spans="1:7" x14ac:dyDescent="0.35">
      <c r="A7173" s="528" t="s">
        <v>20774</v>
      </c>
      <c r="B7173" s="528" t="s">
        <v>20775</v>
      </c>
      <c r="C7173" s="528" t="s">
        <v>20776</v>
      </c>
      <c r="D7173" s="528" t="s">
        <v>277</v>
      </c>
      <c r="E7173" s="528"/>
      <c r="F7173" s="528"/>
      <c r="G7173" s="528" t="s">
        <v>208</v>
      </c>
    </row>
    <row r="7174" spans="1:7" x14ac:dyDescent="0.35">
      <c r="A7174" s="528" t="s">
        <v>20777</v>
      </c>
      <c r="B7174" s="528" t="s">
        <v>20778</v>
      </c>
      <c r="C7174" s="528" t="s">
        <v>20779</v>
      </c>
      <c r="D7174" s="528" t="s">
        <v>264</v>
      </c>
      <c r="E7174" s="528" t="s">
        <v>277</v>
      </c>
      <c r="F7174" s="528"/>
      <c r="G7174" s="528" t="s">
        <v>208</v>
      </c>
    </row>
    <row r="7175" spans="1:7" x14ac:dyDescent="0.35">
      <c r="A7175" s="528" t="s">
        <v>20780</v>
      </c>
      <c r="B7175" s="528" t="s">
        <v>20781</v>
      </c>
      <c r="C7175" s="528" t="s">
        <v>20782</v>
      </c>
      <c r="D7175" s="528" t="s">
        <v>264</v>
      </c>
      <c r="E7175" s="528"/>
      <c r="F7175" s="528"/>
      <c r="G7175" s="528" t="s">
        <v>212</v>
      </c>
    </row>
    <row r="7176" spans="1:7" x14ac:dyDescent="0.35">
      <c r="A7176" s="528" t="s">
        <v>20783</v>
      </c>
      <c r="B7176" s="528" t="s">
        <v>20784</v>
      </c>
      <c r="C7176" s="528" t="s">
        <v>20785</v>
      </c>
      <c r="D7176" s="528" t="s">
        <v>251</v>
      </c>
      <c r="E7176" s="528"/>
      <c r="F7176" s="528"/>
      <c r="G7176" s="528" t="s">
        <v>208</v>
      </c>
    </row>
    <row r="7177" spans="1:7" x14ac:dyDescent="0.35">
      <c r="A7177" s="528" t="s">
        <v>20786</v>
      </c>
      <c r="B7177" s="528" t="s">
        <v>20787</v>
      </c>
      <c r="C7177" s="528" t="s">
        <v>20788</v>
      </c>
      <c r="D7177" s="528" t="s">
        <v>251</v>
      </c>
      <c r="E7177" s="528"/>
      <c r="F7177" s="528"/>
      <c r="G7177" s="528" t="s">
        <v>208</v>
      </c>
    </row>
    <row r="7178" spans="1:7" x14ac:dyDescent="0.35">
      <c r="A7178" s="528" t="s">
        <v>20789</v>
      </c>
      <c r="B7178" s="528" t="s">
        <v>20790</v>
      </c>
      <c r="C7178" s="528" t="s">
        <v>20791</v>
      </c>
      <c r="D7178" s="528" t="s">
        <v>251</v>
      </c>
      <c r="E7178" s="528"/>
      <c r="F7178" s="528"/>
      <c r="G7178" s="528" t="s">
        <v>208</v>
      </c>
    </row>
    <row r="7179" spans="1:7" x14ac:dyDescent="0.35">
      <c r="A7179" s="528" t="s">
        <v>20792</v>
      </c>
      <c r="B7179" s="528" t="s">
        <v>20793</v>
      </c>
      <c r="C7179" s="528" t="s">
        <v>20794</v>
      </c>
      <c r="D7179" s="528" t="s">
        <v>277</v>
      </c>
      <c r="E7179" s="528"/>
      <c r="F7179" s="528"/>
      <c r="G7179" s="528" t="s">
        <v>212</v>
      </c>
    </row>
    <row r="7180" spans="1:7" x14ac:dyDescent="0.35">
      <c r="A7180" s="528" t="s">
        <v>20795</v>
      </c>
      <c r="B7180" s="528" t="s">
        <v>20796</v>
      </c>
      <c r="C7180" s="528" t="s">
        <v>20797</v>
      </c>
      <c r="D7180" s="528" t="s">
        <v>264</v>
      </c>
      <c r="E7180" s="528"/>
      <c r="F7180" s="528"/>
      <c r="G7180" s="528" t="s">
        <v>212</v>
      </c>
    </row>
    <row r="7181" spans="1:7" x14ac:dyDescent="0.35">
      <c r="A7181" s="528" t="s">
        <v>20798</v>
      </c>
      <c r="B7181" s="528" t="s">
        <v>20799</v>
      </c>
      <c r="C7181" s="528" t="s">
        <v>20800</v>
      </c>
      <c r="D7181" s="528" t="s">
        <v>225</v>
      </c>
      <c r="E7181" s="528"/>
      <c r="F7181" s="528"/>
      <c r="G7181" s="528" t="s">
        <v>208</v>
      </c>
    </row>
    <row r="7182" spans="1:7" x14ac:dyDescent="0.35">
      <c r="A7182" s="528" t="s">
        <v>20801</v>
      </c>
      <c r="B7182" s="528" t="s">
        <v>20802</v>
      </c>
      <c r="C7182" s="528" t="s">
        <v>20803</v>
      </c>
      <c r="D7182" s="528" t="s">
        <v>225</v>
      </c>
      <c r="E7182" s="528"/>
      <c r="F7182" s="528"/>
      <c r="G7182" s="528" t="s">
        <v>208</v>
      </c>
    </row>
    <row r="7183" spans="1:7" x14ac:dyDescent="0.35">
      <c r="A7183" s="528" t="s">
        <v>20804</v>
      </c>
      <c r="B7183" s="528" t="s">
        <v>20805</v>
      </c>
      <c r="C7183" s="528" t="s">
        <v>20806</v>
      </c>
      <c r="D7183" s="528" t="s">
        <v>225</v>
      </c>
      <c r="E7183" s="528"/>
      <c r="F7183" s="528"/>
      <c r="G7183" s="528" t="s">
        <v>214</v>
      </c>
    </row>
    <row r="7184" spans="1:7" x14ac:dyDescent="0.35">
      <c r="A7184" s="528" t="s">
        <v>20807</v>
      </c>
      <c r="B7184" s="528" t="s">
        <v>20808</v>
      </c>
      <c r="C7184" s="528" t="s">
        <v>20809</v>
      </c>
      <c r="D7184" s="528" t="s">
        <v>277</v>
      </c>
      <c r="E7184" s="528"/>
      <c r="F7184" s="528"/>
      <c r="G7184" s="528" t="s">
        <v>214</v>
      </c>
    </row>
    <row r="7185" spans="1:7" x14ac:dyDescent="0.35">
      <c r="A7185" s="528" t="s">
        <v>20810</v>
      </c>
      <c r="B7185" s="528" t="s">
        <v>20811</v>
      </c>
      <c r="C7185" s="528" t="s">
        <v>20812</v>
      </c>
      <c r="D7185" s="528" t="s">
        <v>264</v>
      </c>
      <c r="E7185" s="528"/>
      <c r="F7185" s="528"/>
      <c r="G7185" s="528" t="s">
        <v>205</v>
      </c>
    </row>
    <row r="7186" spans="1:7" x14ac:dyDescent="0.35">
      <c r="A7186" s="528" t="s">
        <v>20813</v>
      </c>
      <c r="B7186" s="528" t="s">
        <v>20814</v>
      </c>
      <c r="C7186" s="528" t="s">
        <v>20815</v>
      </c>
      <c r="D7186" s="528" t="s">
        <v>264</v>
      </c>
      <c r="E7186" s="528"/>
      <c r="F7186" s="528"/>
      <c r="G7186" s="528" t="s">
        <v>210</v>
      </c>
    </row>
    <row r="7187" spans="1:7" x14ac:dyDescent="0.35">
      <c r="A7187" s="528" t="s">
        <v>20816</v>
      </c>
      <c r="B7187" s="528" t="s">
        <v>20817</v>
      </c>
      <c r="C7187" s="528" t="s">
        <v>20818</v>
      </c>
      <c r="D7187" s="528" t="s">
        <v>264</v>
      </c>
      <c r="E7187" s="528"/>
      <c r="F7187" s="528"/>
      <c r="G7187" s="528" t="s">
        <v>210</v>
      </c>
    </row>
    <row r="7188" spans="1:7" x14ac:dyDescent="0.35">
      <c r="A7188" s="528" t="s">
        <v>20819</v>
      </c>
      <c r="B7188" s="528" t="s">
        <v>20820</v>
      </c>
      <c r="C7188" s="528" t="s">
        <v>20821</v>
      </c>
      <c r="D7188" s="528" t="s">
        <v>264</v>
      </c>
      <c r="E7188" s="528"/>
      <c r="F7188" s="528"/>
      <c r="G7188" s="528" t="s">
        <v>210</v>
      </c>
    </row>
    <row r="7189" spans="1:7" x14ac:dyDescent="0.35">
      <c r="A7189" s="528" t="s">
        <v>20822</v>
      </c>
      <c r="B7189" s="528" t="s">
        <v>20823</v>
      </c>
      <c r="C7189" s="528" t="s">
        <v>20824</v>
      </c>
      <c r="D7189" s="528" t="s">
        <v>264</v>
      </c>
      <c r="E7189" s="528"/>
      <c r="F7189" s="528"/>
      <c r="G7189" s="528" t="s">
        <v>210</v>
      </c>
    </row>
    <row r="7190" spans="1:7" x14ac:dyDescent="0.35">
      <c r="A7190" s="528" t="s">
        <v>20825</v>
      </c>
      <c r="B7190" s="528" t="s">
        <v>20826</v>
      </c>
      <c r="C7190" s="528" t="s">
        <v>20827</v>
      </c>
      <c r="D7190" s="528" t="s">
        <v>277</v>
      </c>
      <c r="E7190" s="528"/>
      <c r="F7190" s="528"/>
      <c r="G7190" s="528" t="s">
        <v>212</v>
      </c>
    </row>
    <row r="7191" spans="1:7" x14ac:dyDescent="0.35">
      <c r="A7191" s="528" t="s">
        <v>20828</v>
      </c>
      <c r="B7191" s="528" t="s">
        <v>20829</v>
      </c>
      <c r="C7191" s="528" t="s">
        <v>20830</v>
      </c>
      <c r="D7191" s="528" t="s">
        <v>264</v>
      </c>
      <c r="E7191" s="528"/>
      <c r="F7191" s="528"/>
      <c r="G7191" s="528" t="s">
        <v>208</v>
      </c>
    </row>
    <row r="7192" spans="1:7" x14ac:dyDescent="0.35">
      <c r="A7192" s="528" t="s">
        <v>20831</v>
      </c>
      <c r="B7192" s="528" t="s">
        <v>20832</v>
      </c>
      <c r="C7192" s="528" t="s">
        <v>20833</v>
      </c>
      <c r="D7192" s="528" t="s">
        <v>277</v>
      </c>
      <c r="E7192" s="528"/>
      <c r="F7192" s="528"/>
      <c r="G7192" s="528" t="s">
        <v>208</v>
      </c>
    </row>
    <row r="7193" spans="1:7" x14ac:dyDescent="0.35">
      <c r="A7193" s="528" t="s">
        <v>20834</v>
      </c>
      <c r="B7193" s="528" t="s">
        <v>20835</v>
      </c>
      <c r="C7193" s="528" t="s">
        <v>20836</v>
      </c>
      <c r="D7193" s="528" t="s">
        <v>277</v>
      </c>
      <c r="E7193" s="528"/>
      <c r="F7193" s="528"/>
      <c r="G7193" s="528" t="s">
        <v>208</v>
      </c>
    </row>
    <row r="7194" spans="1:7" x14ac:dyDescent="0.35">
      <c r="A7194" s="528" t="s">
        <v>20837</v>
      </c>
      <c r="B7194" s="528" t="s">
        <v>20838</v>
      </c>
      <c r="C7194" s="528" t="s">
        <v>20839</v>
      </c>
      <c r="D7194" s="528" t="s">
        <v>277</v>
      </c>
      <c r="E7194" s="528"/>
      <c r="F7194" s="528"/>
      <c r="G7194" s="528" t="s">
        <v>214</v>
      </c>
    </row>
    <row r="7195" spans="1:7" x14ac:dyDescent="0.35">
      <c r="A7195" s="528" t="s">
        <v>20840</v>
      </c>
      <c r="B7195" s="528" t="s">
        <v>20841</v>
      </c>
      <c r="C7195" s="528" t="s">
        <v>20842</v>
      </c>
      <c r="D7195" s="528" t="s">
        <v>277</v>
      </c>
      <c r="E7195" s="528"/>
      <c r="F7195" s="528"/>
      <c r="G7195" s="528" t="s">
        <v>214</v>
      </c>
    </row>
    <row r="7196" spans="1:7" x14ac:dyDescent="0.35">
      <c r="A7196" s="528" t="s">
        <v>20843</v>
      </c>
      <c r="B7196" s="528" t="s">
        <v>20844</v>
      </c>
      <c r="C7196" s="528" t="s">
        <v>20845</v>
      </c>
      <c r="D7196" s="528" t="s">
        <v>238</v>
      </c>
      <c r="E7196" s="528"/>
      <c r="F7196" s="528"/>
      <c r="G7196" s="528" t="s">
        <v>208</v>
      </c>
    </row>
    <row r="7197" spans="1:7" x14ac:dyDescent="0.35">
      <c r="A7197" s="528" t="s">
        <v>20846</v>
      </c>
      <c r="B7197" s="528" t="s">
        <v>20847</v>
      </c>
      <c r="C7197" s="528" t="s">
        <v>20848</v>
      </c>
      <c r="D7197" s="528" t="s">
        <v>264</v>
      </c>
      <c r="E7197" s="528"/>
      <c r="F7197" s="528"/>
      <c r="G7197" s="528" t="s">
        <v>205</v>
      </c>
    </row>
    <row r="7198" spans="1:7" x14ac:dyDescent="0.35">
      <c r="A7198" s="528" t="s">
        <v>20849</v>
      </c>
      <c r="B7198" s="528" t="s">
        <v>20850</v>
      </c>
      <c r="C7198" s="528" t="s">
        <v>20851</v>
      </c>
      <c r="D7198" s="528" t="s">
        <v>277</v>
      </c>
      <c r="E7198" s="528"/>
      <c r="F7198" s="528"/>
      <c r="G7198" s="528" t="s">
        <v>208</v>
      </c>
    </row>
    <row r="7199" spans="1:7" x14ac:dyDescent="0.35">
      <c r="A7199" s="528" t="s">
        <v>20852</v>
      </c>
      <c r="B7199" s="528" t="s">
        <v>20853</v>
      </c>
      <c r="C7199" s="528" t="s">
        <v>20854</v>
      </c>
      <c r="D7199" s="528" t="s">
        <v>277</v>
      </c>
      <c r="E7199" s="528"/>
      <c r="F7199" s="528"/>
      <c r="G7199" s="528" t="s">
        <v>208</v>
      </c>
    </row>
    <row r="7200" spans="1:7" x14ac:dyDescent="0.35">
      <c r="A7200" s="528" t="s">
        <v>20855</v>
      </c>
      <c r="B7200" s="528" t="s">
        <v>20856</v>
      </c>
      <c r="C7200" s="528" t="s">
        <v>20857</v>
      </c>
      <c r="D7200" s="528" t="s">
        <v>277</v>
      </c>
      <c r="E7200" s="528"/>
      <c r="F7200" s="528"/>
      <c r="G7200" s="528" t="s">
        <v>205</v>
      </c>
    </row>
    <row r="7201" spans="1:7" x14ac:dyDescent="0.35">
      <c r="A7201" s="528" t="s">
        <v>20858</v>
      </c>
      <c r="B7201" s="528" t="s">
        <v>20859</v>
      </c>
      <c r="C7201" s="528" t="s">
        <v>20860</v>
      </c>
      <c r="D7201" s="528" t="s">
        <v>225</v>
      </c>
      <c r="E7201" s="528"/>
      <c r="F7201" s="528"/>
      <c r="G7201" s="528" t="s">
        <v>208</v>
      </c>
    </row>
    <row r="7202" spans="1:7" x14ac:dyDescent="0.35">
      <c r="A7202" s="528" t="s">
        <v>20861</v>
      </c>
      <c r="B7202" s="528" t="s">
        <v>20862</v>
      </c>
      <c r="C7202" s="528" t="s">
        <v>20863</v>
      </c>
      <c r="D7202" s="528" t="s">
        <v>225</v>
      </c>
      <c r="E7202" s="528"/>
      <c r="F7202" s="528"/>
      <c r="G7202" s="528" t="s">
        <v>208</v>
      </c>
    </row>
    <row r="7203" spans="1:7" x14ac:dyDescent="0.35">
      <c r="A7203" s="528" t="s">
        <v>20864</v>
      </c>
      <c r="B7203" s="528" t="s">
        <v>20865</v>
      </c>
      <c r="C7203" s="528" t="s">
        <v>20866</v>
      </c>
      <c r="D7203" s="528" t="s">
        <v>225</v>
      </c>
      <c r="E7203" s="528"/>
      <c r="F7203" s="528"/>
      <c r="G7203" s="528" t="s">
        <v>208</v>
      </c>
    </row>
    <row r="7204" spans="1:7" x14ac:dyDescent="0.35">
      <c r="A7204" s="528" t="s">
        <v>20867</v>
      </c>
      <c r="B7204" s="528" t="s">
        <v>20868</v>
      </c>
      <c r="C7204" s="528" t="s">
        <v>20869</v>
      </c>
      <c r="D7204" s="528" t="s">
        <v>225</v>
      </c>
      <c r="E7204" s="528"/>
      <c r="F7204" s="528"/>
      <c r="G7204" s="528" t="s">
        <v>208</v>
      </c>
    </row>
    <row r="7205" spans="1:7" x14ac:dyDescent="0.35">
      <c r="A7205" s="528" t="s">
        <v>20870</v>
      </c>
      <c r="B7205" s="528" t="s">
        <v>20871</v>
      </c>
      <c r="C7205" s="528" t="s">
        <v>20872</v>
      </c>
      <c r="D7205" s="528" t="s">
        <v>225</v>
      </c>
      <c r="E7205" s="528"/>
      <c r="F7205" s="528"/>
      <c r="G7205" s="528" t="s">
        <v>208</v>
      </c>
    </row>
    <row r="7206" spans="1:7" x14ac:dyDescent="0.35">
      <c r="A7206" s="528" t="s">
        <v>20873</v>
      </c>
      <c r="B7206" s="528" t="s">
        <v>20874</v>
      </c>
      <c r="C7206" s="528" t="s">
        <v>20875</v>
      </c>
      <c r="D7206" s="528" t="s">
        <v>225</v>
      </c>
      <c r="E7206" s="528"/>
      <c r="F7206" s="528"/>
      <c r="G7206" s="528" t="s">
        <v>205</v>
      </c>
    </row>
    <row r="7207" spans="1:7" x14ac:dyDescent="0.35">
      <c r="A7207" s="528" t="s">
        <v>20876</v>
      </c>
      <c r="B7207" s="528" t="s">
        <v>20877</v>
      </c>
      <c r="C7207" s="528" t="s">
        <v>20878</v>
      </c>
      <c r="D7207" s="528" t="s">
        <v>264</v>
      </c>
      <c r="E7207" s="528"/>
      <c r="F7207" s="528"/>
      <c r="G7207" s="528" t="s">
        <v>205</v>
      </c>
    </row>
    <row r="7208" spans="1:7" x14ac:dyDescent="0.35">
      <c r="A7208" s="528" t="s">
        <v>20879</v>
      </c>
      <c r="B7208" s="528" t="s">
        <v>20880</v>
      </c>
      <c r="C7208" s="528" t="s">
        <v>20881</v>
      </c>
      <c r="D7208" s="528" t="s">
        <v>264</v>
      </c>
      <c r="E7208" s="528"/>
      <c r="F7208" s="528"/>
      <c r="G7208" s="528" t="s">
        <v>205</v>
      </c>
    </row>
    <row r="7209" spans="1:7" x14ac:dyDescent="0.35">
      <c r="A7209" s="528" t="s">
        <v>20882</v>
      </c>
      <c r="B7209" s="528" t="s">
        <v>20883</v>
      </c>
      <c r="C7209" s="528" t="s">
        <v>20884</v>
      </c>
      <c r="D7209" s="528" t="s">
        <v>264</v>
      </c>
      <c r="E7209" s="528"/>
      <c r="F7209" s="528"/>
      <c r="G7209" s="528" t="s">
        <v>208</v>
      </c>
    </row>
    <row r="7210" spans="1:7" x14ac:dyDescent="0.35">
      <c r="A7210" s="528" t="s">
        <v>20885</v>
      </c>
      <c r="B7210" s="528" t="s">
        <v>20886</v>
      </c>
      <c r="C7210" s="528" t="s">
        <v>20887</v>
      </c>
      <c r="D7210" s="528" t="s">
        <v>277</v>
      </c>
      <c r="E7210" s="528"/>
      <c r="F7210" s="528"/>
      <c r="G7210" s="528" t="s">
        <v>208</v>
      </c>
    </row>
    <row r="7211" spans="1:7" x14ac:dyDescent="0.35">
      <c r="A7211" s="528" t="s">
        <v>20888</v>
      </c>
      <c r="B7211" s="528" t="s">
        <v>20889</v>
      </c>
      <c r="C7211" s="528" t="s">
        <v>20890</v>
      </c>
      <c r="D7211" s="528" t="s">
        <v>277</v>
      </c>
      <c r="E7211" s="528"/>
      <c r="F7211" s="528"/>
      <c r="G7211" s="528" t="s">
        <v>208</v>
      </c>
    </row>
    <row r="7212" spans="1:7" x14ac:dyDescent="0.35">
      <c r="A7212" s="528" t="s">
        <v>20891</v>
      </c>
      <c r="B7212" s="528" t="s">
        <v>20892</v>
      </c>
      <c r="C7212" s="528" t="s">
        <v>20893</v>
      </c>
      <c r="D7212" s="528" t="s">
        <v>277</v>
      </c>
      <c r="E7212" s="528"/>
      <c r="F7212" s="528"/>
      <c r="G7212" s="528" t="s">
        <v>208</v>
      </c>
    </row>
    <row r="7213" spans="1:7" x14ac:dyDescent="0.35">
      <c r="A7213" s="528" t="s">
        <v>20894</v>
      </c>
      <c r="B7213" s="528" t="s">
        <v>20895</v>
      </c>
      <c r="C7213" s="528" t="s">
        <v>20896</v>
      </c>
      <c r="D7213" s="528" t="s">
        <v>277</v>
      </c>
      <c r="E7213" s="528"/>
      <c r="F7213" s="528"/>
      <c r="G7213" s="528" t="s">
        <v>208</v>
      </c>
    </row>
    <row r="7214" spans="1:7" x14ac:dyDescent="0.35">
      <c r="A7214" s="528" t="s">
        <v>20897</v>
      </c>
      <c r="B7214" s="528" t="s">
        <v>20898</v>
      </c>
      <c r="C7214" s="528" t="s">
        <v>20899</v>
      </c>
      <c r="D7214" s="528" t="s">
        <v>225</v>
      </c>
      <c r="E7214" s="528"/>
      <c r="F7214" s="528"/>
      <c r="G7214" s="528" t="s">
        <v>208</v>
      </c>
    </row>
    <row r="7215" spans="1:7" x14ac:dyDescent="0.35">
      <c r="A7215" s="528" t="s">
        <v>20900</v>
      </c>
      <c r="B7215" s="528" t="s">
        <v>20901</v>
      </c>
      <c r="C7215" s="528" t="s">
        <v>20902</v>
      </c>
      <c r="D7215" s="528" t="s">
        <v>277</v>
      </c>
      <c r="E7215" s="528"/>
      <c r="F7215" s="528"/>
      <c r="G7215" s="528" t="s">
        <v>208</v>
      </c>
    </row>
    <row r="7216" spans="1:7" x14ac:dyDescent="0.35">
      <c r="A7216" s="528" t="s">
        <v>20903</v>
      </c>
      <c r="B7216" s="528" t="s">
        <v>20904</v>
      </c>
      <c r="C7216" s="528" t="s">
        <v>20905</v>
      </c>
      <c r="D7216" s="528" t="s">
        <v>277</v>
      </c>
      <c r="E7216" s="528"/>
      <c r="F7216" s="528"/>
      <c r="G7216" s="528" t="s">
        <v>208</v>
      </c>
    </row>
    <row r="7217" spans="1:7" x14ac:dyDescent="0.35">
      <c r="A7217" s="528" t="s">
        <v>20906</v>
      </c>
      <c r="B7217" s="528" t="s">
        <v>20907</v>
      </c>
      <c r="C7217" s="528" t="s">
        <v>20908</v>
      </c>
      <c r="D7217" s="528" t="s">
        <v>264</v>
      </c>
      <c r="E7217" s="528" t="s">
        <v>225</v>
      </c>
      <c r="F7217" s="528"/>
      <c r="G7217" s="528" t="s">
        <v>208</v>
      </c>
    </row>
    <row r="7218" spans="1:7" x14ac:dyDescent="0.35">
      <c r="A7218" s="528" t="s">
        <v>20909</v>
      </c>
      <c r="B7218" s="528" t="s">
        <v>20910</v>
      </c>
      <c r="C7218" s="528" t="s">
        <v>20911</v>
      </c>
      <c r="D7218" s="528" t="s">
        <v>264</v>
      </c>
      <c r="E7218" s="528"/>
      <c r="F7218" s="528"/>
      <c r="G7218" s="528" t="s">
        <v>208</v>
      </c>
    </row>
    <row r="7219" spans="1:7" x14ac:dyDescent="0.35">
      <c r="A7219" s="528" t="s">
        <v>20912</v>
      </c>
      <c r="B7219" s="528" t="s">
        <v>20913</v>
      </c>
      <c r="C7219" s="528" t="s">
        <v>20914</v>
      </c>
      <c r="D7219" s="528" t="s">
        <v>225</v>
      </c>
      <c r="E7219" s="528" t="s">
        <v>277</v>
      </c>
      <c r="F7219" s="528"/>
      <c r="G7219" s="528" t="s">
        <v>205</v>
      </c>
    </row>
    <row r="7220" spans="1:7" x14ac:dyDescent="0.35">
      <c r="A7220" s="528" t="s">
        <v>20915</v>
      </c>
      <c r="B7220" s="528" t="s">
        <v>20916</v>
      </c>
      <c r="C7220" s="528" t="s">
        <v>20917</v>
      </c>
      <c r="D7220" s="528" t="s">
        <v>277</v>
      </c>
      <c r="E7220" s="528"/>
      <c r="F7220" s="528"/>
      <c r="G7220" s="528" t="s">
        <v>205</v>
      </c>
    </row>
    <row r="7221" spans="1:7" x14ac:dyDescent="0.35">
      <c r="A7221" s="528" t="s">
        <v>20918</v>
      </c>
      <c r="B7221" s="528" t="s">
        <v>20919</v>
      </c>
      <c r="C7221" s="528" t="s">
        <v>20920</v>
      </c>
      <c r="D7221" s="528" t="s">
        <v>264</v>
      </c>
      <c r="E7221" s="528"/>
      <c r="F7221" s="528"/>
      <c r="G7221" s="528" t="s">
        <v>205</v>
      </c>
    </row>
    <row r="7222" spans="1:7" x14ac:dyDescent="0.35">
      <c r="A7222" s="528" t="s">
        <v>20921</v>
      </c>
      <c r="B7222" s="528" t="s">
        <v>20922</v>
      </c>
      <c r="C7222" s="528" t="s">
        <v>20923</v>
      </c>
      <c r="D7222" s="528" t="s">
        <v>225</v>
      </c>
      <c r="E7222" s="528"/>
      <c r="F7222" s="528"/>
      <c r="G7222" s="528" t="s">
        <v>205</v>
      </c>
    </row>
    <row r="7223" spans="1:7" x14ac:dyDescent="0.35">
      <c r="A7223" s="528" t="s">
        <v>20924</v>
      </c>
      <c r="B7223" s="528" t="s">
        <v>20925</v>
      </c>
      <c r="C7223" s="528" t="s">
        <v>20926</v>
      </c>
      <c r="D7223" s="528" t="s">
        <v>264</v>
      </c>
      <c r="E7223" s="528"/>
      <c r="F7223" s="528"/>
      <c r="G7223" s="528" t="s">
        <v>205</v>
      </c>
    </row>
    <row r="7224" spans="1:7" x14ac:dyDescent="0.35">
      <c r="A7224" s="528" t="s">
        <v>20927</v>
      </c>
      <c r="B7224" s="528" t="s">
        <v>20928</v>
      </c>
      <c r="C7224" s="528" t="s">
        <v>20929</v>
      </c>
      <c r="D7224" s="528" t="s">
        <v>277</v>
      </c>
      <c r="E7224" s="528"/>
      <c r="F7224" s="528"/>
      <c r="G7224" s="528" t="s">
        <v>205</v>
      </c>
    </row>
    <row r="7225" spans="1:7" x14ac:dyDescent="0.35">
      <c r="A7225" s="528" t="s">
        <v>20930</v>
      </c>
      <c r="B7225" s="528" t="s">
        <v>20931</v>
      </c>
      <c r="C7225" s="528" t="s">
        <v>20932</v>
      </c>
      <c r="D7225" s="528" t="s">
        <v>264</v>
      </c>
      <c r="E7225" s="528"/>
      <c r="F7225" s="528"/>
      <c r="G7225" s="528" t="s">
        <v>205</v>
      </c>
    </row>
    <row r="7226" spans="1:7" x14ac:dyDescent="0.35">
      <c r="A7226" s="528" t="s">
        <v>20933</v>
      </c>
      <c r="B7226" s="528" t="s">
        <v>20934</v>
      </c>
      <c r="C7226" s="528" t="s">
        <v>20935</v>
      </c>
      <c r="D7226" s="528" t="s">
        <v>277</v>
      </c>
      <c r="E7226" s="528"/>
      <c r="F7226" s="528"/>
      <c r="G7226" s="528" t="s">
        <v>208</v>
      </c>
    </row>
    <row r="7227" spans="1:7" x14ac:dyDescent="0.35">
      <c r="A7227" s="528" t="s">
        <v>20936</v>
      </c>
      <c r="B7227" s="528" t="s">
        <v>20937</v>
      </c>
      <c r="C7227" s="528" t="s">
        <v>20938</v>
      </c>
      <c r="D7227" s="528" t="s">
        <v>264</v>
      </c>
      <c r="E7227" s="528"/>
      <c r="F7227" s="528"/>
      <c r="G7227" s="528" t="s">
        <v>208</v>
      </c>
    </row>
    <row r="7228" spans="1:7" x14ac:dyDescent="0.35">
      <c r="A7228" s="528" t="s">
        <v>20939</v>
      </c>
      <c r="B7228" s="528" t="s">
        <v>20940</v>
      </c>
      <c r="C7228" s="528" t="s">
        <v>20941</v>
      </c>
      <c r="D7228" s="528" t="s">
        <v>264</v>
      </c>
      <c r="E7228" s="528"/>
      <c r="F7228" s="528"/>
      <c r="G7228" s="528" t="s">
        <v>208</v>
      </c>
    </row>
    <row r="7229" spans="1:7" x14ac:dyDescent="0.35">
      <c r="A7229" s="528" t="s">
        <v>20942</v>
      </c>
      <c r="B7229" s="528" t="s">
        <v>20943</v>
      </c>
      <c r="C7229" s="528" t="s">
        <v>20944</v>
      </c>
      <c r="D7229" s="528" t="s">
        <v>264</v>
      </c>
      <c r="E7229" s="528"/>
      <c r="F7229" s="528"/>
      <c r="G7229" s="528" t="s">
        <v>208</v>
      </c>
    </row>
    <row r="7230" spans="1:7" x14ac:dyDescent="0.35">
      <c r="A7230" s="528" t="s">
        <v>20945</v>
      </c>
      <c r="B7230" s="528" t="s">
        <v>20946</v>
      </c>
      <c r="C7230" s="528" t="s">
        <v>20947</v>
      </c>
      <c r="D7230" s="528" t="s">
        <v>264</v>
      </c>
      <c r="E7230" s="528"/>
      <c r="F7230" s="528"/>
      <c r="G7230" s="528" t="s">
        <v>208</v>
      </c>
    </row>
    <row r="7231" spans="1:7" x14ac:dyDescent="0.35">
      <c r="A7231" s="528" t="s">
        <v>20948</v>
      </c>
      <c r="B7231" s="528" t="s">
        <v>20949</v>
      </c>
      <c r="C7231" s="528" t="s">
        <v>20950</v>
      </c>
      <c r="D7231" s="528" t="s">
        <v>251</v>
      </c>
      <c r="E7231" s="528"/>
      <c r="F7231" s="528"/>
      <c r="G7231" s="528" t="s">
        <v>205</v>
      </c>
    </row>
    <row r="7232" spans="1:7" x14ac:dyDescent="0.35">
      <c r="A7232" s="528" t="s">
        <v>20951</v>
      </c>
      <c r="B7232" s="528" t="s">
        <v>20952</v>
      </c>
      <c r="C7232" s="528" t="s">
        <v>20953</v>
      </c>
      <c r="D7232" s="528" t="s">
        <v>251</v>
      </c>
      <c r="E7232" s="528"/>
      <c r="F7232" s="528"/>
      <c r="G7232" s="528" t="s">
        <v>205</v>
      </c>
    </row>
    <row r="7233" spans="1:7" x14ac:dyDescent="0.35">
      <c r="A7233" s="528" t="s">
        <v>20954</v>
      </c>
      <c r="B7233" s="528" t="s">
        <v>20955</v>
      </c>
      <c r="C7233" s="528" t="s">
        <v>20956</v>
      </c>
      <c r="D7233" s="528" t="s">
        <v>277</v>
      </c>
      <c r="E7233" s="528"/>
      <c r="F7233" s="528"/>
      <c r="G7233" s="528" t="s">
        <v>205</v>
      </c>
    </row>
    <row r="7234" spans="1:7" x14ac:dyDescent="0.35">
      <c r="A7234" s="528" t="s">
        <v>20957</v>
      </c>
      <c r="B7234" s="528" t="s">
        <v>20958</v>
      </c>
      <c r="C7234" s="528" t="s">
        <v>20959</v>
      </c>
      <c r="D7234" s="528" t="s">
        <v>277</v>
      </c>
      <c r="E7234" s="528"/>
      <c r="F7234" s="528"/>
      <c r="G7234" s="528" t="s">
        <v>205</v>
      </c>
    </row>
    <row r="7235" spans="1:7" x14ac:dyDescent="0.35">
      <c r="A7235" s="528" t="s">
        <v>20960</v>
      </c>
      <c r="B7235" s="528" t="s">
        <v>20961</v>
      </c>
      <c r="C7235" s="528" t="s">
        <v>20962</v>
      </c>
      <c r="D7235" s="528" t="s">
        <v>277</v>
      </c>
      <c r="E7235" s="528"/>
      <c r="F7235" s="528"/>
      <c r="G7235" s="528" t="s">
        <v>212</v>
      </c>
    </row>
    <row r="7236" spans="1:7" x14ac:dyDescent="0.35">
      <c r="A7236" s="528" t="s">
        <v>20963</v>
      </c>
      <c r="B7236" s="528" t="s">
        <v>20964</v>
      </c>
      <c r="C7236" s="528" t="s">
        <v>20965</v>
      </c>
      <c r="D7236" s="528" t="s">
        <v>251</v>
      </c>
      <c r="E7236" s="528"/>
      <c r="F7236" s="528"/>
      <c r="G7236" s="528" t="s">
        <v>205</v>
      </c>
    </row>
    <row r="7237" spans="1:7" x14ac:dyDescent="0.35">
      <c r="A7237" s="528" t="s">
        <v>20966</v>
      </c>
      <c r="B7237" s="528" t="s">
        <v>20967</v>
      </c>
      <c r="C7237" s="528" t="s">
        <v>20968</v>
      </c>
      <c r="D7237" s="528" t="s">
        <v>251</v>
      </c>
      <c r="E7237" s="528"/>
      <c r="F7237" s="528"/>
      <c r="G7237" s="528" t="s">
        <v>205</v>
      </c>
    </row>
    <row r="7238" spans="1:7" x14ac:dyDescent="0.35">
      <c r="A7238" s="528" t="s">
        <v>20969</v>
      </c>
      <c r="B7238" s="528" t="s">
        <v>20970</v>
      </c>
      <c r="C7238" s="528" t="s">
        <v>20971</v>
      </c>
      <c r="D7238" s="528" t="s">
        <v>251</v>
      </c>
      <c r="E7238" s="528"/>
      <c r="F7238" s="528"/>
      <c r="G7238" s="528" t="s">
        <v>205</v>
      </c>
    </row>
    <row r="7239" spans="1:7" x14ac:dyDescent="0.35">
      <c r="A7239" s="528" t="s">
        <v>20972</v>
      </c>
      <c r="B7239" s="528" t="s">
        <v>20973</v>
      </c>
      <c r="C7239" s="528" t="s">
        <v>20974</v>
      </c>
      <c r="D7239" s="528" t="s">
        <v>251</v>
      </c>
      <c r="E7239" s="528"/>
      <c r="F7239" s="528"/>
      <c r="G7239" s="528" t="s">
        <v>208</v>
      </c>
    </row>
    <row r="7240" spans="1:7" x14ac:dyDescent="0.35">
      <c r="A7240" s="528" t="s">
        <v>20975</v>
      </c>
      <c r="B7240" s="528" t="s">
        <v>20976</v>
      </c>
      <c r="C7240" s="528" t="s">
        <v>20977</v>
      </c>
      <c r="D7240" s="528" t="s">
        <v>251</v>
      </c>
      <c r="E7240" s="528"/>
      <c r="F7240" s="528"/>
      <c r="G7240" s="528" t="s">
        <v>208</v>
      </c>
    </row>
    <row r="7241" spans="1:7" x14ac:dyDescent="0.35">
      <c r="A7241" s="528" t="s">
        <v>20978</v>
      </c>
      <c r="B7241" s="528" t="s">
        <v>20979</v>
      </c>
      <c r="C7241" s="528" t="s">
        <v>20980</v>
      </c>
      <c r="D7241" s="528" t="s">
        <v>251</v>
      </c>
      <c r="E7241" s="528"/>
      <c r="F7241" s="528"/>
      <c r="G7241" s="528" t="s">
        <v>208</v>
      </c>
    </row>
    <row r="7242" spans="1:7" x14ac:dyDescent="0.35">
      <c r="A7242" s="528" t="s">
        <v>20981</v>
      </c>
      <c r="B7242" s="528" t="s">
        <v>20982</v>
      </c>
      <c r="C7242" s="528" t="s">
        <v>20983</v>
      </c>
      <c r="D7242" s="528" t="s">
        <v>277</v>
      </c>
      <c r="E7242" s="528"/>
      <c r="F7242" s="528"/>
      <c r="G7242" s="528" t="s">
        <v>208</v>
      </c>
    </row>
    <row r="7243" spans="1:7" x14ac:dyDescent="0.35">
      <c r="A7243" s="528" t="s">
        <v>20984</v>
      </c>
      <c r="B7243" s="528" t="s">
        <v>20985</v>
      </c>
      <c r="C7243" s="528" t="s">
        <v>20986</v>
      </c>
      <c r="D7243" s="528" t="s">
        <v>264</v>
      </c>
      <c r="E7243" s="528"/>
      <c r="F7243" s="528"/>
      <c r="G7243" s="528" t="s">
        <v>208</v>
      </c>
    </row>
    <row r="7244" spans="1:7" x14ac:dyDescent="0.35">
      <c r="A7244" s="528" t="s">
        <v>20987</v>
      </c>
      <c r="B7244" s="528" t="s">
        <v>20988</v>
      </c>
      <c r="C7244" s="528" t="s">
        <v>20989</v>
      </c>
      <c r="D7244" s="528" t="s">
        <v>264</v>
      </c>
      <c r="E7244" s="528"/>
      <c r="F7244" s="528"/>
      <c r="G7244" s="528" t="s">
        <v>208</v>
      </c>
    </row>
    <row r="7245" spans="1:7" x14ac:dyDescent="0.35">
      <c r="A7245" s="528" t="s">
        <v>20990</v>
      </c>
      <c r="B7245" s="528" t="s">
        <v>20991</v>
      </c>
      <c r="C7245" s="528" t="s">
        <v>20992</v>
      </c>
      <c r="D7245" s="528" t="s">
        <v>264</v>
      </c>
      <c r="E7245" s="528"/>
      <c r="F7245" s="528"/>
      <c r="G7245" s="528" t="s">
        <v>208</v>
      </c>
    </row>
    <row r="7246" spans="1:7" x14ac:dyDescent="0.35">
      <c r="A7246" s="528" t="s">
        <v>20993</v>
      </c>
      <c r="B7246" s="528" t="s">
        <v>20994</v>
      </c>
      <c r="C7246" s="528" t="s">
        <v>20995</v>
      </c>
      <c r="D7246" s="528" t="s">
        <v>264</v>
      </c>
      <c r="E7246" s="528"/>
      <c r="F7246" s="528"/>
      <c r="G7246" s="528" t="s">
        <v>205</v>
      </c>
    </row>
    <row r="7247" spans="1:7" x14ac:dyDescent="0.35">
      <c r="A7247" s="528" t="s">
        <v>20996</v>
      </c>
      <c r="B7247" s="528" t="s">
        <v>20997</v>
      </c>
      <c r="C7247" s="528" t="s">
        <v>20998</v>
      </c>
      <c r="D7247" s="528" t="s">
        <v>264</v>
      </c>
      <c r="E7247" s="528"/>
      <c r="F7247" s="528"/>
      <c r="G7247" s="528" t="s">
        <v>208</v>
      </c>
    </row>
    <row r="7248" spans="1:7" x14ac:dyDescent="0.35">
      <c r="A7248" s="528" t="s">
        <v>20999</v>
      </c>
      <c r="B7248" s="528" t="s">
        <v>21000</v>
      </c>
      <c r="C7248" s="528" t="s">
        <v>21001</v>
      </c>
      <c r="D7248" s="528" t="s">
        <v>264</v>
      </c>
      <c r="E7248" s="528"/>
      <c r="F7248" s="528"/>
      <c r="G7248" s="528" t="s">
        <v>205</v>
      </c>
    </row>
    <row r="7249" spans="1:7" x14ac:dyDescent="0.35">
      <c r="A7249" s="528" t="s">
        <v>21002</v>
      </c>
      <c r="B7249" s="528" t="s">
        <v>21003</v>
      </c>
      <c r="C7249" s="528" t="s">
        <v>21004</v>
      </c>
      <c r="D7249" s="528" t="s">
        <v>251</v>
      </c>
      <c r="E7249" s="528"/>
      <c r="F7249" s="528"/>
      <c r="G7249" s="528" t="s">
        <v>208</v>
      </c>
    </row>
    <row r="7250" spans="1:7" x14ac:dyDescent="0.35">
      <c r="A7250" s="528" t="s">
        <v>21005</v>
      </c>
      <c r="B7250" s="528" t="s">
        <v>21006</v>
      </c>
      <c r="C7250" s="528" t="s">
        <v>21007</v>
      </c>
      <c r="D7250" s="528" t="s">
        <v>264</v>
      </c>
      <c r="E7250" s="528"/>
      <c r="F7250" s="528"/>
      <c r="G7250" s="528" t="s">
        <v>205</v>
      </c>
    </row>
    <row r="7251" spans="1:7" x14ac:dyDescent="0.35">
      <c r="A7251" s="528" t="s">
        <v>21008</v>
      </c>
      <c r="B7251" s="528" t="s">
        <v>21009</v>
      </c>
      <c r="C7251" s="528" t="s">
        <v>21010</v>
      </c>
      <c r="D7251" s="528" t="s">
        <v>277</v>
      </c>
      <c r="E7251" s="528"/>
      <c r="F7251" s="528"/>
      <c r="G7251" s="528" t="s">
        <v>212</v>
      </c>
    </row>
    <row r="7252" spans="1:7" x14ac:dyDescent="0.35">
      <c r="A7252" s="528" t="s">
        <v>21011</v>
      </c>
      <c r="B7252" s="528" t="s">
        <v>21012</v>
      </c>
      <c r="C7252" s="528" t="s">
        <v>21013</v>
      </c>
      <c r="D7252" s="528" t="s">
        <v>225</v>
      </c>
      <c r="E7252" s="528"/>
      <c r="F7252" s="528"/>
      <c r="G7252" s="528" t="s">
        <v>208</v>
      </c>
    </row>
    <row r="7253" spans="1:7" x14ac:dyDescent="0.35">
      <c r="A7253" s="528" t="s">
        <v>21014</v>
      </c>
      <c r="B7253" s="528" t="s">
        <v>21015</v>
      </c>
      <c r="C7253" s="528" t="s">
        <v>21016</v>
      </c>
      <c r="D7253" s="528" t="s">
        <v>264</v>
      </c>
      <c r="E7253" s="528"/>
      <c r="F7253" s="528"/>
      <c r="G7253" s="528" t="s">
        <v>208</v>
      </c>
    </row>
    <row r="7254" spans="1:7" x14ac:dyDescent="0.35">
      <c r="A7254" s="528" t="s">
        <v>21017</v>
      </c>
      <c r="B7254" s="528" t="s">
        <v>21018</v>
      </c>
      <c r="C7254" s="528" t="s">
        <v>21019</v>
      </c>
      <c r="D7254" s="528" t="s">
        <v>264</v>
      </c>
      <c r="E7254" s="528"/>
      <c r="F7254" s="528"/>
      <c r="G7254" s="528" t="s">
        <v>208</v>
      </c>
    </row>
    <row r="7255" spans="1:7" x14ac:dyDescent="0.35">
      <c r="A7255" s="528" t="s">
        <v>21020</v>
      </c>
      <c r="B7255" s="528" t="s">
        <v>21021</v>
      </c>
      <c r="C7255" s="528" t="s">
        <v>21022</v>
      </c>
      <c r="D7255" s="528" t="s">
        <v>277</v>
      </c>
      <c r="E7255" s="528"/>
      <c r="F7255" s="528"/>
      <c r="G7255" s="528" t="s">
        <v>208</v>
      </c>
    </row>
    <row r="7256" spans="1:7" x14ac:dyDescent="0.35">
      <c r="A7256" s="528" t="s">
        <v>21023</v>
      </c>
      <c r="B7256" s="528" t="s">
        <v>21024</v>
      </c>
      <c r="C7256" s="528" t="s">
        <v>21025</v>
      </c>
      <c r="D7256" s="528" t="s">
        <v>264</v>
      </c>
      <c r="E7256" s="528"/>
      <c r="F7256" s="528"/>
      <c r="G7256" s="528" t="s">
        <v>208</v>
      </c>
    </row>
    <row r="7257" spans="1:7" x14ac:dyDescent="0.35">
      <c r="A7257" s="528" t="s">
        <v>21026</v>
      </c>
      <c r="B7257" s="528" t="s">
        <v>21027</v>
      </c>
      <c r="C7257" s="528" t="s">
        <v>21028</v>
      </c>
      <c r="D7257" s="528" t="s">
        <v>264</v>
      </c>
      <c r="E7257" s="528"/>
      <c r="F7257" s="528"/>
      <c r="G7257" s="528" t="s">
        <v>208</v>
      </c>
    </row>
    <row r="7258" spans="1:7" x14ac:dyDescent="0.35">
      <c r="A7258" s="528" t="s">
        <v>21029</v>
      </c>
      <c r="B7258" s="528" t="s">
        <v>21030</v>
      </c>
      <c r="C7258" s="528" t="s">
        <v>21031</v>
      </c>
      <c r="D7258" s="528" t="s">
        <v>264</v>
      </c>
      <c r="E7258" s="528"/>
      <c r="F7258" s="528"/>
      <c r="G7258" s="528" t="s">
        <v>205</v>
      </c>
    </row>
    <row r="7259" spans="1:7" x14ac:dyDescent="0.35">
      <c r="A7259" s="528" t="s">
        <v>21032</v>
      </c>
      <c r="B7259" s="528" t="s">
        <v>21033</v>
      </c>
      <c r="C7259" s="528" t="s">
        <v>21034</v>
      </c>
      <c r="D7259" s="528" t="s">
        <v>238</v>
      </c>
      <c r="E7259" s="528"/>
      <c r="F7259" s="528"/>
      <c r="G7259" s="528" t="s">
        <v>212</v>
      </c>
    </row>
    <row r="7260" spans="1:7" x14ac:dyDescent="0.35">
      <c r="A7260" s="528" t="s">
        <v>21035</v>
      </c>
      <c r="B7260" s="528" t="s">
        <v>21036</v>
      </c>
      <c r="C7260" s="528" t="s">
        <v>21037</v>
      </c>
      <c r="D7260" s="528" t="s">
        <v>277</v>
      </c>
      <c r="E7260" s="528"/>
      <c r="F7260" s="528"/>
      <c r="G7260" s="528" t="s">
        <v>212</v>
      </c>
    </row>
    <row r="7261" spans="1:7" x14ac:dyDescent="0.35">
      <c r="A7261" s="528" t="s">
        <v>21038</v>
      </c>
      <c r="B7261" s="528" t="s">
        <v>21039</v>
      </c>
      <c r="C7261" s="528" t="s">
        <v>21040</v>
      </c>
      <c r="D7261" s="528" t="s">
        <v>238</v>
      </c>
      <c r="E7261" s="528"/>
      <c r="F7261" s="528"/>
      <c r="G7261" s="528" t="s">
        <v>208</v>
      </c>
    </row>
    <row r="7262" spans="1:7" x14ac:dyDescent="0.35">
      <c r="A7262" s="528" t="s">
        <v>21041</v>
      </c>
      <c r="B7262" s="528" t="s">
        <v>21042</v>
      </c>
      <c r="C7262" s="528" t="s">
        <v>21043</v>
      </c>
      <c r="D7262" s="528" t="s">
        <v>264</v>
      </c>
      <c r="E7262" s="528"/>
      <c r="F7262" s="528"/>
      <c r="G7262" s="528" t="s">
        <v>208</v>
      </c>
    </row>
    <row r="7263" spans="1:7" x14ac:dyDescent="0.35">
      <c r="A7263" s="528" t="s">
        <v>21044</v>
      </c>
      <c r="B7263" s="528" t="s">
        <v>21045</v>
      </c>
      <c r="C7263" s="528" t="s">
        <v>21046</v>
      </c>
      <c r="D7263" s="528" t="s">
        <v>277</v>
      </c>
      <c r="E7263" s="528"/>
      <c r="F7263" s="528"/>
      <c r="G7263" s="528" t="s">
        <v>212</v>
      </c>
    </row>
    <row r="7264" spans="1:7" x14ac:dyDescent="0.35">
      <c r="A7264" s="528" t="s">
        <v>21047</v>
      </c>
      <c r="B7264" s="528" t="s">
        <v>21048</v>
      </c>
      <c r="C7264" s="528" t="s">
        <v>21049</v>
      </c>
      <c r="D7264" s="528" t="s">
        <v>251</v>
      </c>
      <c r="E7264" s="528"/>
      <c r="F7264" s="528"/>
      <c r="G7264" s="528" t="s">
        <v>208</v>
      </c>
    </row>
    <row r="7265" spans="1:7" x14ac:dyDescent="0.35">
      <c r="A7265" s="528" t="s">
        <v>21050</v>
      </c>
      <c r="B7265" s="528" t="s">
        <v>21051</v>
      </c>
      <c r="C7265" s="528" t="s">
        <v>21052</v>
      </c>
      <c r="D7265" s="528" t="s">
        <v>238</v>
      </c>
      <c r="E7265" s="528"/>
      <c r="F7265" s="528"/>
      <c r="G7265" s="528" t="s">
        <v>214</v>
      </c>
    </row>
    <row r="7266" spans="1:7" x14ac:dyDescent="0.35">
      <c r="A7266" s="528" t="s">
        <v>21053</v>
      </c>
      <c r="B7266" s="528" t="s">
        <v>21054</v>
      </c>
      <c r="C7266" s="528" t="s">
        <v>21055</v>
      </c>
      <c r="D7266" s="528" t="s">
        <v>277</v>
      </c>
      <c r="E7266" s="528"/>
      <c r="F7266" s="528"/>
      <c r="G7266" s="528" t="s">
        <v>208</v>
      </c>
    </row>
    <row r="7267" spans="1:7" x14ac:dyDescent="0.35">
      <c r="A7267" s="528" t="s">
        <v>21056</v>
      </c>
      <c r="B7267" s="528" t="s">
        <v>21057</v>
      </c>
      <c r="C7267" s="528" t="s">
        <v>21058</v>
      </c>
      <c r="D7267" s="528" t="s">
        <v>277</v>
      </c>
      <c r="E7267" s="528"/>
      <c r="F7267" s="528"/>
      <c r="G7267" s="528" t="s">
        <v>208</v>
      </c>
    </row>
    <row r="7268" spans="1:7" x14ac:dyDescent="0.35">
      <c r="A7268" s="528" t="s">
        <v>21059</v>
      </c>
      <c r="B7268" s="528" t="s">
        <v>21060</v>
      </c>
      <c r="C7268" s="528" t="s">
        <v>21061</v>
      </c>
      <c r="D7268" s="528" t="s">
        <v>225</v>
      </c>
      <c r="E7268" s="528"/>
      <c r="F7268" s="528"/>
      <c r="G7268" s="528" t="s">
        <v>212</v>
      </c>
    </row>
    <row r="7269" spans="1:7" x14ac:dyDescent="0.35">
      <c r="A7269" s="528" t="s">
        <v>21062</v>
      </c>
      <c r="B7269" s="528" t="s">
        <v>21063</v>
      </c>
      <c r="C7269" s="528" t="s">
        <v>21064</v>
      </c>
      <c r="D7269" s="528" t="s">
        <v>277</v>
      </c>
      <c r="E7269" s="528"/>
      <c r="F7269" s="528"/>
      <c r="G7269" s="528" t="s">
        <v>208</v>
      </c>
    </row>
    <row r="7270" spans="1:7" x14ac:dyDescent="0.35">
      <c r="A7270" s="528" t="s">
        <v>21065</v>
      </c>
      <c r="B7270" s="528" t="s">
        <v>21066</v>
      </c>
      <c r="C7270" s="528" t="s">
        <v>21067</v>
      </c>
      <c r="D7270" s="528" t="s">
        <v>264</v>
      </c>
      <c r="E7270" s="528"/>
      <c r="F7270" s="528"/>
      <c r="G7270" s="528" t="s">
        <v>212</v>
      </c>
    </row>
    <row r="7271" spans="1:7" x14ac:dyDescent="0.35">
      <c r="A7271" s="528" t="s">
        <v>21068</v>
      </c>
      <c r="B7271" s="528" t="s">
        <v>21069</v>
      </c>
      <c r="C7271" s="528" t="s">
        <v>21070</v>
      </c>
      <c r="D7271" s="528" t="s">
        <v>277</v>
      </c>
      <c r="E7271" s="528"/>
      <c r="F7271" s="528"/>
      <c r="G7271" s="528" t="s">
        <v>205</v>
      </c>
    </row>
    <row r="7272" spans="1:7" x14ac:dyDescent="0.35">
      <c r="A7272" s="528" t="s">
        <v>21071</v>
      </c>
      <c r="B7272" s="528" t="s">
        <v>21072</v>
      </c>
      <c r="C7272" s="528" t="s">
        <v>21073</v>
      </c>
      <c r="D7272" s="528" t="s">
        <v>238</v>
      </c>
      <c r="E7272" s="528"/>
      <c r="F7272" s="528"/>
      <c r="G7272" s="528" t="s">
        <v>205</v>
      </c>
    </row>
    <row r="7273" spans="1:7" x14ac:dyDescent="0.35">
      <c r="A7273" s="528" t="s">
        <v>21074</v>
      </c>
      <c r="B7273" s="528" t="s">
        <v>21075</v>
      </c>
      <c r="C7273" s="528" t="s">
        <v>21076</v>
      </c>
      <c r="D7273" s="528" t="s">
        <v>238</v>
      </c>
      <c r="E7273" s="528"/>
      <c r="F7273" s="528"/>
      <c r="G7273" s="528" t="s">
        <v>205</v>
      </c>
    </row>
    <row r="7274" spans="1:7" x14ac:dyDescent="0.35">
      <c r="A7274" s="528" t="s">
        <v>21077</v>
      </c>
      <c r="B7274" s="528" t="s">
        <v>21078</v>
      </c>
      <c r="C7274" s="528" t="s">
        <v>21079</v>
      </c>
      <c r="D7274" s="528" t="s">
        <v>264</v>
      </c>
      <c r="E7274" s="528"/>
      <c r="F7274" s="528"/>
      <c r="G7274" s="528" t="s">
        <v>208</v>
      </c>
    </row>
    <row r="7275" spans="1:7" x14ac:dyDescent="0.35">
      <c r="A7275" s="528" t="s">
        <v>21080</v>
      </c>
      <c r="B7275" s="528" t="s">
        <v>21081</v>
      </c>
      <c r="C7275" s="528" t="s">
        <v>21082</v>
      </c>
      <c r="D7275" s="528" t="s">
        <v>264</v>
      </c>
      <c r="E7275" s="528"/>
      <c r="F7275" s="528"/>
      <c r="G7275" s="528" t="s">
        <v>208</v>
      </c>
    </row>
    <row r="7276" spans="1:7" x14ac:dyDescent="0.35">
      <c r="A7276" s="528" t="s">
        <v>21083</v>
      </c>
      <c r="B7276" s="528" t="s">
        <v>21084</v>
      </c>
      <c r="C7276" s="528" t="s">
        <v>21085</v>
      </c>
      <c r="D7276" s="528" t="s">
        <v>238</v>
      </c>
      <c r="E7276" s="528"/>
      <c r="F7276" s="528"/>
      <c r="G7276" s="528" t="s">
        <v>208</v>
      </c>
    </row>
    <row r="7277" spans="1:7" x14ac:dyDescent="0.35">
      <c r="A7277" s="528" t="s">
        <v>21086</v>
      </c>
      <c r="B7277" s="528" t="s">
        <v>21087</v>
      </c>
      <c r="C7277" s="528" t="s">
        <v>21088</v>
      </c>
      <c r="D7277" s="528" t="s">
        <v>264</v>
      </c>
      <c r="E7277" s="528"/>
      <c r="F7277" s="528"/>
      <c r="G7277" s="528" t="s">
        <v>205</v>
      </c>
    </row>
    <row r="7278" spans="1:7" x14ac:dyDescent="0.35">
      <c r="A7278" s="528" t="s">
        <v>21089</v>
      </c>
      <c r="B7278" s="528" t="s">
        <v>21090</v>
      </c>
      <c r="C7278" s="528" t="s">
        <v>21091</v>
      </c>
      <c r="D7278" s="528" t="s">
        <v>277</v>
      </c>
      <c r="E7278" s="528"/>
      <c r="F7278" s="528"/>
      <c r="G7278" s="528" t="s">
        <v>205</v>
      </c>
    </row>
    <row r="7279" spans="1:7" x14ac:dyDescent="0.35">
      <c r="A7279" s="528" t="s">
        <v>21092</v>
      </c>
      <c r="B7279" s="528" t="s">
        <v>21093</v>
      </c>
      <c r="C7279" s="528" t="s">
        <v>21094</v>
      </c>
      <c r="D7279" s="528" t="s">
        <v>264</v>
      </c>
      <c r="E7279" s="528"/>
      <c r="F7279" s="528"/>
      <c r="G7279" s="528" t="s">
        <v>208</v>
      </c>
    </row>
    <row r="7280" spans="1:7" x14ac:dyDescent="0.35">
      <c r="A7280" s="528" t="s">
        <v>21095</v>
      </c>
      <c r="B7280" s="528" t="s">
        <v>21096</v>
      </c>
      <c r="C7280" s="528" t="s">
        <v>21097</v>
      </c>
      <c r="D7280" s="528" t="s">
        <v>264</v>
      </c>
      <c r="E7280" s="528"/>
      <c r="F7280" s="528"/>
      <c r="G7280" s="528" t="s">
        <v>208</v>
      </c>
    </row>
    <row r="7281" spans="1:7" x14ac:dyDescent="0.35">
      <c r="A7281" s="528" t="s">
        <v>21098</v>
      </c>
      <c r="B7281" s="528" t="s">
        <v>21099</v>
      </c>
      <c r="C7281" s="528" t="s">
        <v>21100</v>
      </c>
      <c r="D7281" s="528" t="s">
        <v>264</v>
      </c>
      <c r="E7281" s="528"/>
      <c r="F7281" s="528"/>
      <c r="G7281" s="528" t="s">
        <v>208</v>
      </c>
    </row>
    <row r="7282" spans="1:7" x14ac:dyDescent="0.35">
      <c r="A7282" s="528" t="s">
        <v>21101</v>
      </c>
      <c r="B7282" s="528" t="s">
        <v>21102</v>
      </c>
      <c r="C7282" s="528" t="s">
        <v>21103</v>
      </c>
      <c r="D7282" s="528" t="s">
        <v>264</v>
      </c>
      <c r="E7282" s="528"/>
      <c r="F7282" s="528"/>
      <c r="G7282" s="528" t="s">
        <v>205</v>
      </c>
    </row>
    <row r="7283" spans="1:7" x14ac:dyDescent="0.35">
      <c r="A7283" s="528" t="s">
        <v>21104</v>
      </c>
      <c r="B7283" s="528" t="s">
        <v>21105</v>
      </c>
      <c r="C7283" s="528" t="s">
        <v>21106</v>
      </c>
      <c r="D7283" s="528" t="s">
        <v>264</v>
      </c>
      <c r="E7283" s="528"/>
      <c r="F7283" s="528"/>
      <c r="G7283" s="528" t="s">
        <v>205</v>
      </c>
    </row>
    <row r="7284" spans="1:7" x14ac:dyDescent="0.35">
      <c r="A7284" s="528" t="s">
        <v>21107</v>
      </c>
      <c r="B7284" s="528" t="s">
        <v>21108</v>
      </c>
      <c r="C7284" s="528" t="s">
        <v>21109</v>
      </c>
      <c r="D7284" s="528" t="s">
        <v>264</v>
      </c>
      <c r="E7284" s="528"/>
      <c r="F7284" s="528"/>
      <c r="G7284" s="528" t="s">
        <v>212</v>
      </c>
    </row>
    <row r="7285" spans="1:7" x14ac:dyDescent="0.35">
      <c r="A7285" s="528" t="s">
        <v>21110</v>
      </c>
      <c r="B7285" s="528" t="s">
        <v>21111</v>
      </c>
      <c r="C7285" s="528" t="s">
        <v>21112</v>
      </c>
      <c r="D7285" s="528" t="s">
        <v>277</v>
      </c>
      <c r="E7285" s="528"/>
      <c r="F7285" s="528"/>
      <c r="G7285" s="528" t="s">
        <v>214</v>
      </c>
    </row>
    <row r="7286" spans="1:7" x14ac:dyDescent="0.35">
      <c r="A7286" s="528" t="s">
        <v>21113</v>
      </c>
      <c r="B7286" s="528" t="s">
        <v>21114</v>
      </c>
      <c r="C7286" s="528" t="s">
        <v>21115</v>
      </c>
      <c r="D7286" s="528" t="s">
        <v>277</v>
      </c>
      <c r="E7286" s="528"/>
      <c r="F7286" s="528"/>
      <c r="G7286" s="528" t="s">
        <v>208</v>
      </c>
    </row>
    <row r="7287" spans="1:7" x14ac:dyDescent="0.35">
      <c r="A7287" s="528" t="s">
        <v>21116</v>
      </c>
      <c r="B7287" s="528" t="s">
        <v>21117</v>
      </c>
      <c r="C7287" s="528" t="s">
        <v>21118</v>
      </c>
      <c r="D7287" s="528" t="s">
        <v>264</v>
      </c>
      <c r="E7287" s="528"/>
      <c r="F7287" s="528"/>
      <c r="G7287" s="528" t="s">
        <v>212</v>
      </c>
    </row>
    <row r="7288" spans="1:7" x14ac:dyDescent="0.35">
      <c r="A7288" s="528" t="s">
        <v>21119</v>
      </c>
      <c r="B7288" s="528" t="s">
        <v>21120</v>
      </c>
      <c r="C7288" s="528" t="s">
        <v>21121</v>
      </c>
      <c r="D7288" s="528" t="s">
        <v>225</v>
      </c>
      <c r="E7288" s="528"/>
      <c r="F7288" s="528"/>
      <c r="G7288" s="528" t="s">
        <v>208</v>
      </c>
    </row>
    <row r="7289" spans="1:7" x14ac:dyDescent="0.35">
      <c r="A7289" s="528" t="s">
        <v>21122</v>
      </c>
      <c r="B7289" s="528" t="s">
        <v>21123</v>
      </c>
      <c r="C7289" s="528" t="s">
        <v>21124</v>
      </c>
      <c r="D7289" s="528" t="s">
        <v>264</v>
      </c>
      <c r="E7289" s="528"/>
      <c r="F7289" s="528"/>
      <c r="G7289" s="528" t="s">
        <v>212</v>
      </c>
    </row>
    <row r="7290" spans="1:7" x14ac:dyDescent="0.35">
      <c r="A7290" s="528" t="s">
        <v>21125</v>
      </c>
      <c r="B7290" s="528" t="s">
        <v>21126</v>
      </c>
      <c r="C7290" s="528" t="s">
        <v>21127</v>
      </c>
      <c r="D7290" s="528" t="s">
        <v>264</v>
      </c>
      <c r="E7290" s="528"/>
      <c r="F7290" s="528"/>
      <c r="G7290" s="528" t="s">
        <v>205</v>
      </c>
    </row>
    <row r="7291" spans="1:7" x14ac:dyDescent="0.35">
      <c r="A7291" s="528" t="s">
        <v>21128</v>
      </c>
      <c r="B7291" s="528" t="s">
        <v>21129</v>
      </c>
      <c r="C7291" s="528" t="s">
        <v>21130</v>
      </c>
      <c r="D7291" s="528" t="s">
        <v>277</v>
      </c>
      <c r="E7291" s="528"/>
      <c r="F7291" s="528"/>
      <c r="G7291" s="528" t="s">
        <v>205</v>
      </c>
    </row>
    <row r="7292" spans="1:7" x14ac:dyDescent="0.35">
      <c r="A7292" s="528" t="s">
        <v>21131</v>
      </c>
      <c r="B7292" s="528" t="s">
        <v>21132</v>
      </c>
      <c r="C7292" s="528" t="s">
        <v>21133</v>
      </c>
      <c r="D7292" s="528" t="s">
        <v>277</v>
      </c>
      <c r="E7292" s="528"/>
      <c r="F7292" s="528"/>
      <c r="G7292" s="528" t="s">
        <v>205</v>
      </c>
    </row>
    <row r="7293" spans="1:7" x14ac:dyDescent="0.35">
      <c r="A7293" s="528" t="s">
        <v>21134</v>
      </c>
      <c r="B7293" s="528" t="s">
        <v>21135</v>
      </c>
      <c r="C7293" s="528" t="s">
        <v>21136</v>
      </c>
      <c r="D7293" s="528" t="s">
        <v>238</v>
      </c>
      <c r="E7293" s="528"/>
      <c r="F7293" s="528"/>
      <c r="G7293" s="528" t="s">
        <v>205</v>
      </c>
    </row>
    <row r="7294" spans="1:7" x14ac:dyDescent="0.35">
      <c r="A7294" s="528" t="s">
        <v>21137</v>
      </c>
      <c r="B7294" s="528" t="s">
        <v>21138</v>
      </c>
      <c r="C7294" s="528" t="s">
        <v>21139</v>
      </c>
      <c r="D7294" s="528" t="s">
        <v>238</v>
      </c>
      <c r="E7294" s="528"/>
      <c r="F7294" s="528"/>
      <c r="G7294" s="528" t="s">
        <v>205</v>
      </c>
    </row>
    <row r="7295" spans="1:7" x14ac:dyDescent="0.35">
      <c r="A7295" s="528" t="s">
        <v>21140</v>
      </c>
      <c r="B7295" s="528" t="s">
        <v>21141</v>
      </c>
      <c r="C7295" s="528" t="s">
        <v>21142</v>
      </c>
      <c r="D7295" s="528" t="s">
        <v>277</v>
      </c>
      <c r="E7295" s="528"/>
      <c r="F7295" s="528"/>
      <c r="G7295" s="528" t="s">
        <v>208</v>
      </c>
    </row>
    <row r="7296" spans="1:7" x14ac:dyDescent="0.35">
      <c r="A7296" s="528" t="s">
        <v>21143</v>
      </c>
      <c r="B7296" s="528" t="s">
        <v>21144</v>
      </c>
      <c r="C7296" s="528" t="s">
        <v>21145</v>
      </c>
      <c r="D7296" s="528" t="s">
        <v>277</v>
      </c>
      <c r="E7296" s="528"/>
      <c r="F7296" s="528"/>
      <c r="G7296" s="528" t="s">
        <v>208</v>
      </c>
    </row>
    <row r="7297" spans="1:7" x14ac:dyDescent="0.35">
      <c r="A7297" s="528" t="s">
        <v>21146</v>
      </c>
      <c r="B7297" s="528" t="s">
        <v>21147</v>
      </c>
      <c r="C7297" s="528" t="s">
        <v>21148</v>
      </c>
      <c r="D7297" s="528" t="s">
        <v>238</v>
      </c>
      <c r="E7297" s="528"/>
      <c r="F7297" s="528"/>
      <c r="G7297" s="528" t="s">
        <v>208</v>
      </c>
    </row>
    <row r="7298" spans="1:7" x14ac:dyDescent="0.35">
      <c r="A7298" s="528" t="s">
        <v>21149</v>
      </c>
      <c r="B7298" s="528" t="s">
        <v>21150</v>
      </c>
      <c r="C7298" s="528" t="s">
        <v>21151</v>
      </c>
      <c r="D7298" s="528" t="s">
        <v>277</v>
      </c>
      <c r="E7298" s="528"/>
      <c r="F7298" s="528"/>
      <c r="G7298" s="528" t="s">
        <v>208</v>
      </c>
    </row>
    <row r="7299" spans="1:7" x14ac:dyDescent="0.35">
      <c r="A7299" s="528" t="s">
        <v>21152</v>
      </c>
      <c r="B7299" s="528" t="s">
        <v>21153</v>
      </c>
      <c r="C7299" s="528" t="s">
        <v>21154</v>
      </c>
      <c r="D7299" s="528" t="s">
        <v>277</v>
      </c>
      <c r="E7299" s="528"/>
      <c r="F7299" s="528"/>
      <c r="G7299" s="528" t="s">
        <v>205</v>
      </c>
    </row>
    <row r="7300" spans="1:7" x14ac:dyDescent="0.35">
      <c r="A7300" s="528" t="s">
        <v>21155</v>
      </c>
      <c r="B7300" s="528" t="s">
        <v>21156</v>
      </c>
      <c r="C7300" s="528" t="s">
        <v>21157</v>
      </c>
      <c r="D7300" s="528" t="s">
        <v>251</v>
      </c>
      <c r="E7300" s="528"/>
      <c r="F7300" s="528"/>
      <c r="G7300" s="528" t="s">
        <v>205</v>
      </c>
    </row>
    <row r="7301" spans="1:7" x14ac:dyDescent="0.35">
      <c r="A7301" s="528" t="s">
        <v>21158</v>
      </c>
      <c r="B7301" s="528" t="s">
        <v>21159</v>
      </c>
      <c r="C7301" s="528" t="s">
        <v>21160</v>
      </c>
      <c r="D7301" s="528" t="s">
        <v>251</v>
      </c>
      <c r="E7301" s="528"/>
      <c r="F7301" s="528"/>
      <c r="G7301" s="528" t="s">
        <v>205</v>
      </c>
    </row>
    <row r="7302" spans="1:7" x14ac:dyDescent="0.35">
      <c r="A7302" s="528" t="s">
        <v>21161</v>
      </c>
      <c r="B7302" s="528" t="s">
        <v>21162</v>
      </c>
      <c r="C7302" s="528" t="s">
        <v>21163</v>
      </c>
      <c r="D7302" s="528" t="s">
        <v>277</v>
      </c>
      <c r="E7302" s="528"/>
      <c r="F7302" s="528"/>
      <c r="G7302" s="528" t="s">
        <v>205</v>
      </c>
    </row>
    <row r="7303" spans="1:7" x14ac:dyDescent="0.35">
      <c r="A7303" s="528" t="s">
        <v>21164</v>
      </c>
      <c r="B7303" s="528" t="s">
        <v>21165</v>
      </c>
      <c r="C7303" s="528" t="s">
        <v>21166</v>
      </c>
      <c r="D7303" s="528" t="s">
        <v>277</v>
      </c>
      <c r="E7303" s="528" t="s">
        <v>264</v>
      </c>
      <c r="F7303" s="528"/>
      <c r="G7303" s="528" t="s">
        <v>212</v>
      </c>
    </row>
    <row r="7304" spans="1:7" x14ac:dyDescent="0.35">
      <c r="A7304" s="528" t="s">
        <v>21167</v>
      </c>
      <c r="B7304" s="528" t="s">
        <v>21168</v>
      </c>
      <c r="C7304" s="528" t="s">
        <v>21169</v>
      </c>
      <c r="D7304" s="528" t="s">
        <v>277</v>
      </c>
      <c r="E7304" s="528"/>
      <c r="F7304" s="528"/>
      <c r="G7304" s="528" t="s">
        <v>208</v>
      </c>
    </row>
    <row r="7305" spans="1:7" x14ac:dyDescent="0.35">
      <c r="A7305" s="528" t="s">
        <v>21170</v>
      </c>
      <c r="B7305" s="528" t="s">
        <v>21171</v>
      </c>
      <c r="C7305" s="528" t="s">
        <v>21172</v>
      </c>
      <c r="D7305" s="528" t="s">
        <v>277</v>
      </c>
      <c r="E7305" s="528"/>
      <c r="F7305" s="528"/>
      <c r="G7305" s="528" t="s">
        <v>208</v>
      </c>
    </row>
    <row r="7306" spans="1:7" x14ac:dyDescent="0.35">
      <c r="A7306" s="528" t="s">
        <v>21173</v>
      </c>
      <c r="B7306" s="528" t="s">
        <v>21174</v>
      </c>
      <c r="C7306" s="528" t="s">
        <v>21175</v>
      </c>
      <c r="D7306" s="528" t="s">
        <v>277</v>
      </c>
      <c r="E7306" s="528"/>
      <c r="F7306" s="528"/>
      <c r="G7306" s="528" t="s">
        <v>205</v>
      </c>
    </row>
    <row r="7307" spans="1:7" x14ac:dyDescent="0.35">
      <c r="A7307" s="528" t="s">
        <v>21176</v>
      </c>
      <c r="B7307" s="528" t="s">
        <v>21177</v>
      </c>
      <c r="C7307" s="528" t="s">
        <v>21178</v>
      </c>
      <c r="D7307" s="528" t="s">
        <v>225</v>
      </c>
      <c r="E7307" s="528"/>
      <c r="F7307" s="528"/>
      <c r="G7307" s="528" t="s">
        <v>205</v>
      </c>
    </row>
    <row r="7308" spans="1:7" x14ac:dyDescent="0.35">
      <c r="A7308" s="528" t="s">
        <v>21179</v>
      </c>
      <c r="B7308" s="528" t="s">
        <v>21180</v>
      </c>
      <c r="C7308" s="528" t="s">
        <v>21181</v>
      </c>
      <c r="D7308" s="528" t="s">
        <v>264</v>
      </c>
      <c r="E7308" s="528"/>
      <c r="F7308" s="528"/>
      <c r="G7308" s="528" t="s">
        <v>212</v>
      </c>
    </row>
    <row r="7309" spans="1:7" x14ac:dyDescent="0.35">
      <c r="A7309" s="528" t="s">
        <v>21182</v>
      </c>
      <c r="B7309" s="528" t="s">
        <v>21183</v>
      </c>
      <c r="C7309" s="528" t="s">
        <v>21184</v>
      </c>
      <c r="D7309" s="528" t="s">
        <v>225</v>
      </c>
      <c r="E7309" s="528"/>
      <c r="F7309" s="528"/>
      <c r="G7309" s="528" t="s">
        <v>208</v>
      </c>
    </row>
    <row r="7310" spans="1:7" x14ac:dyDescent="0.35">
      <c r="A7310" s="528" t="s">
        <v>21185</v>
      </c>
      <c r="B7310" s="528" t="s">
        <v>21186</v>
      </c>
      <c r="C7310" s="528" t="s">
        <v>21187</v>
      </c>
      <c r="D7310" s="528" t="s">
        <v>225</v>
      </c>
      <c r="E7310" s="528"/>
      <c r="F7310" s="528"/>
      <c r="G7310" s="528" t="s">
        <v>208</v>
      </c>
    </row>
    <row r="7311" spans="1:7" x14ac:dyDescent="0.35">
      <c r="A7311" s="528" t="s">
        <v>21188</v>
      </c>
      <c r="B7311" s="528" t="s">
        <v>21189</v>
      </c>
      <c r="C7311" s="528" t="s">
        <v>21190</v>
      </c>
      <c r="D7311" s="528" t="s">
        <v>264</v>
      </c>
      <c r="E7311" s="528"/>
      <c r="F7311" s="528"/>
      <c r="G7311" s="528" t="s">
        <v>208</v>
      </c>
    </row>
    <row r="7312" spans="1:7" x14ac:dyDescent="0.35">
      <c r="A7312" s="528" t="s">
        <v>21191</v>
      </c>
      <c r="B7312" s="528" t="s">
        <v>21192</v>
      </c>
      <c r="C7312" s="528" t="s">
        <v>21193</v>
      </c>
      <c r="D7312" s="528" t="s">
        <v>225</v>
      </c>
      <c r="E7312" s="528"/>
      <c r="F7312" s="528"/>
      <c r="G7312" s="528" t="s">
        <v>208</v>
      </c>
    </row>
    <row r="7313" spans="1:7" x14ac:dyDescent="0.35">
      <c r="A7313" s="528" t="s">
        <v>21194</v>
      </c>
      <c r="B7313" s="528" t="s">
        <v>21195</v>
      </c>
      <c r="C7313" s="528" t="s">
        <v>21196</v>
      </c>
      <c r="D7313" s="528" t="s">
        <v>225</v>
      </c>
      <c r="E7313" s="528"/>
      <c r="F7313" s="528"/>
      <c r="G7313" s="528" t="s">
        <v>208</v>
      </c>
    </row>
    <row r="7314" spans="1:7" x14ac:dyDescent="0.35">
      <c r="A7314" s="528" t="s">
        <v>21197</v>
      </c>
      <c r="B7314" s="528" t="s">
        <v>21198</v>
      </c>
      <c r="C7314" s="528" t="s">
        <v>21199</v>
      </c>
      <c r="D7314" s="528" t="s">
        <v>264</v>
      </c>
      <c r="E7314" s="528" t="s">
        <v>225</v>
      </c>
      <c r="F7314" s="528"/>
      <c r="G7314" s="528" t="s">
        <v>205</v>
      </c>
    </row>
    <row r="7315" spans="1:7" x14ac:dyDescent="0.35">
      <c r="A7315" s="528" t="s">
        <v>21200</v>
      </c>
      <c r="B7315" s="528" t="s">
        <v>21201</v>
      </c>
      <c r="C7315" s="528" t="s">
        <v>21202</v>
      </c>
      <c r="D7315" s="528" t="s">
        <v>238</v>
      </c>
      <c r="E7315" s="528"/>
      <c r="F7315" s="528"/>
      <c r="G7315" s="528" t="s">
        <v>205</v>
      </c>
    </row>
    <row r="7316" spans="1:7" x14ac:dyDescent="0.35">
      <c r="A7316" s="528" t="s">
        <v>21203</v>
      </c>
      <c r="B7316" s="528" t="s">
        <v>21204</v>
      </c>
      <c r="C7316" s="528" t="s">
        <v>21205</v>
      </c>
      <c r="D7316" s="528" t="s">
        <v>264</v>
      </c>
      <c r="E7316" s="528"/>
      <c r="F7316" s="528"/>
      <c r="G7316" s="528" t="s">
        <v>208</v>
      </c>
    </row>
    <row r="7317" spans="1:7" x14ac:dyDescent="0.35">
      <c r="A7317" s="528" t="s">
        <v>21206</v>
      </c>
      <c r="B7317" s="528" t="s">
        <v>21207</v>
      </c>
      <c r="C7317" s="528" t="s">
        <v>21208</v>
      </c>
      <c r="D7317" s="528" t="s">
        <v>264</v>
      </c>
      <c r="E7317" s="528"/>
      <c r="F7317" s="528"/>
      <c r="G7317" s="528" t="s">
        <v>208</v>
      </c>
    </row>
    <row r="7318" spans="1:7" x14ac:dyDescent="0.35">
      <c r="A7318" s="528" t="s">
        <v>21209</v>
      </c>
      <c r="B7318" s="528" t="s">
        <v>21210</v>
      </c>
      <c r="C7318" s="528" t="s">
        <v>21211</v>
      </c>
      <c r="D7318" s="528" t="s">
        <v>264</v>
      </c>
      <c r="E7318" s="528"/>
      <c r="F7318" s="528"/>
      <c r="G7318" s="528" t="s">
        <v>205</v>
      </c>
    </row>
    <row r="7319" spans="1:7" x14ac:dyDescent="0.35">
      <c r="A7319" s="528" t="s">
        <v>21212</v>
      </c>
      <c r="B7319" s="528" t="s">
        <v>21213</v>
      </c>
      <c r="C7319" s="528" t="s">
        <v>21214</v>
      </c>
      <c r="D7319" s="528" t="s">
        <v>264</v>
      </c>
      <c r="E7319" s="528"/>
      <c r="F7319" s="528"/>
      <c r="G7319" s="528" t="s">
        <v>210</v>
      </c>
    </row>
    <row r="7320" spans="1:7" x14ac:dyDescent="0.35">
      <c r="A7320" s="528" t="s">
        <v>21215</v>
      </c>
      <c r="B7320" s="528" t="s">
        <v>21216</v>
      </c>
      <c r="C7320" s="528" t="s">
        <v>21217</v>
      </c>
      <c r="D7320" s="528" t="s">
        <v>264</v>
      </c>
      <c r="E7320" s="528"/>
      <c r="F7320" s="528"/>
      <c r="G7320" s="528" t="s">
        <v>210</v>
      </c>
    </row>
    <row r="7321" spans="1:7" x14ac:dyDescent="0.35">
      <c r="A7321" s="528" t="s">
        <v>21218</v>
      </c>
      <c r="B7321" s="528" t="s">
        <v>21219</v>
      </c>
      <c r="C7321" s="528" t="s">
        <v>21220</v>
      </c>
      <c r="D7321" s="528" t="s">
        <v>264</v>
      </c>
      <c r="E7321" s="528"/>
      <c r="F7321" s="528"/>
      <c r="G7321" s="528" t="s">
        <v>210</v>
      </c>
    </row>
    <row r="7322" spans="1:7" x14ac:dyDescent="0.35">
      <c r="A7322" s="528" t="s">
        <v>21221</v>
      </c>
      <c r="B7322" s="528" t="s">
        <v>21222</v>
      </c>
      <c r="C7322" s="528" t="s">
        <v>21223</v>
      </c>
      <c r="D7322" s="528" t="s">
        <v>277</v>
      </c>
      <c r="E7322" s="528"/>
      <c r="F7322" s="528"/>
      <c r="G7322" s="528" t="s">
        <v>208</v>
      </c>
    </row>
    <row r="7323" spans="1:7" x14ac:dyDescent="0.35">
      <c r="A7323" s="528" t="s">
        <v>21224</v>
      </c>
      <c r="B7323" s="528" t="s">
        <v>21225</v>
      </c>
      <c r="C7323" s="528" t="s">
        <v>21226</v>
      </c>
      <c r="D7323" s="528" t="s">
        <v>277</v>
      </c>
      <c r="E7323" s="528"/>
      <c r="F7323" s="528"/>
      <c r="G7323" s="528" t="s">
        <v>208</v>
      </c>
    </row>
    <row r="7324" spans="1:7" x14ac:dyDescent="0.35">
      <c r="A7324" s="528" t="s">
        <v>21227</v>
      </c>
      <c r="B7324" s="528" t="s">
        <v>21228</v>
      </c>
      <c r="C7324" s="528" t="s">
        <v>21229</v>
      </c>
      <c r="D7324" s="528" t="s">
        <v>277</v>
      </c>
      <c r="E7324" s="528"/>
      <c r="F7324" s="528"/>
      <c r="G7324" s="528" t="s">
        <v>205</v>
      </c>
    </row>
    <row r="7325" spans="1:7" x14ac:dyDescent="0.35">
      <c r="A7325" s="528" t="s">
        <v>21230</v>
      </c>
      <c r="B7325" s="528" t="s">
        <v>21231</v>
      </c>
      <c r="C7325" s="528" t="s">
        <v>21232</v>
      </c>
      <c r="D7325" s="528" t="s">
        <v>277</v>
      </c>
      <c r="E7325" s="528"/>
      <c r="F7325" s="528"/>
      <c r="G7325" s="528" t="s">
        <v>208</v>
      </c>
    </row>
    <row r="7326" spans="1:7" x14ac:dyDescent="0.35">
      <c r="A7326" s="528" t="s">
        <v>21233</v>
      </c>
      <c r="B7326" s="528" t="s">
        <v>21234</v>
      </c>
      <c r="C7326" s="528" t="s">
        <v>21235</v>
      </c>
      <c r="D7326" s="528" t="s">
        <v>264</v>
      </c>
      <c r="E7326" s="528"/>
      <c r="F7326" s="528"/>
      <c r="G7326" s="528" t="s">
        <v>212</v>
      </c>
    </row>
    <row r="7327" spans="1:7" x14ac:dyDescent="0.35">
      <c r="A7327" s="528" t="s">
        <v>21236</v>
      </c>
      <c r="B7327" s="528" t="s">
        <v>21237</v>
      </c>
      <c r="C7327" s="528" t="s">
        <v>21238</v>
      </c>
      <c r="D7327" s="528" t="s">
        <v>277</v>
      </c>
      <c r="E7327" s="528"/>
      <c r="F7327" s="528"/>
      <c r="G7327" s="528" t="s">
        <v>208</v>
      </c>
    </row>
    <row r="7328" spans="1:7" x14ac:dyDescent="0.35">
      <c r="A7328" s="528" t="s">
        <v>21239</v>
      </c>
      <c r="B7328" s="528" t="s">
        <v>21240</v>
      </c>
      <c r="C7328" s="528" t="s">
        <v>21241</v>
      </c>
      <c r="D7328" s="528" t="s">
        <v>264</v>
      </c>
      <c r="E7328" s="528"/>
      <c r="F7328" s="528"/>
      <c r="G7328" s="528" t="s">
        <v>214</v>
      </c>
    </row>
    <row r="7329" spans="1:7" x14ac:dyDescent="0.35">
      <c r="A7329" s="528" t="s">
        <v>21242</v>
      </c>
      <c r="B7329" s="528" t="s">
        <v>21243</v>
      </c>
      <c r="C7329" s="528" t="s">
        <v>21244</v>
      </c>
      <c r="D7329" s="528" t="s">
        <v>264</v>
      </c>
      <c r="E7329" s="528"/>
      <c r="F7329" s="528"/>
      <c r="G7329" s="528" t="s">
        <v>212</v>
      </c>
    </row>
    <row r="7330" spans="1:7" x14ac:dyDescent="0.35">
      <c r="A7330" s="528" t="s">
        <v>21245</v>
      </c>
      <c r="B7330" s="528" t="s">
        <v>21246</v>
      </c>
      <c r="C7330" s="528" t="s">
        <v>21247</v>
      </c>
      <c r="D7330" s="528" t="s">
        <v>264</v>
      </c>
      <c r="E7330" s="528"/>
      <c r="F7330" s="528"/>
      <c r="G7330" s="528" t="s">
        <v>212</v>
      </c>
    </row>
    <row r="7331" spans="1:7" x14ac:dyDescent="0.35">
      <c r="A7331" s="528" t="s">
        <v>21248</v>
      </c>
      <c r="B7331" s="528" t="s">
        <v>21249</v>
      </c>
      <c r="C7331" s="528" t="s">
        <v>21250</v>
      </c>
      <c r="D7331" s="528" t="s">
        <v>264</v>
      </c>
      <c r="E7331" s="528"/>
      <c r="F7331" s="528"/>
      <c r="G7331" s="528" t="s">
        <v>205</v>
      </c>
    </row>
    <row r="7332" spans="1:7" x14ac:dyDescent="0.35">
      <c r="A7332" s="528" t="s">
        <v>21251</v>
      </c>
      <c r="B7332" s="528" t="s">
        <v>21252</v>
      </c>
      <c r="C7332" s="528" t="s">
        <v>21253</v>
      </c>
      <c r="D7332" s="528" t="s">
        <v>225</v>
      </c>
      <c r="E7332" s="528"/>
      <c r="F7332" s="528"/>
      <c r="G7332" s="528" t="s">
        <v>205</v>
      </c>
    </row>
    <row r="7333" spans="1:7" x14ac:dyDescent="0.35">
      <c r="A7333" s="528" t="s">
        <v>21254</v>
      </c>
      <c r="B7333" s="528" t="s">
        <v>21255</v>
      </c>
      <c r="C7333" s="528" t="s">
        <v>21256</v>
      </c>
      <c r="D7333" s="528" t="s">
        <v>277</v>
      </c>
      <c r="E7333" s="528"/>
      <c r="F7333" s="528"/>
      <c r="G7333" s="528" t="s">
        <v>205</v>
      </c>
    </row>
    <row r="7334" spans="1:7" x14ac:dyDescent="0.35">
      <c r="A7334" s="528" t="s">
        <v>21257</v>
      </c>
      <c r="B7334" s="528" t="s">
        <v>21258</v>
      </c>
      <c r="C7334" s="528" t="s">
        <v>21259</v>
      </c>
      <c r="D7334" s="528" t="s">
        <v>277</v>
      </c>
      <c r="E7334" s="528" t="s">
        <v>264</v>
      </c>
      <c r="F7334" s="528"/>
      <c r="G7334" s="528" t="s">
        <v>212</v>
      </c>
    </row>
    <row r="7335" spans="1:7" x14ac:dyDescent="0.35">
      <c r="A7335" s="528" t="s">
        <v>21260</v>
      </c>
      <c r="B7335" s="528" t="s">
        <v>21261</v>
      </c>
      <c r="C7335" s="528" t="s">
        <v>21262</v>
      </c>
      <c r="D7335" s="528" t="s">
        <v>277</v>
      </c>
      <c r="E7335" s="528"/>
      <c r="F7335" s="528"/>
      <c r="G7335" s="528" t="s">
        <v>208</v>
      </c>
    </row>
    <row r="7336" spans="1:7" x14ac:dyDescent="0.35">
      <c r="A7336" s="528" t="s">
        <v>21263</v>
      </c>
      <c r="B7336" s="528" t="s">
        <v>21264</v>
      </c>
      <c r="C7336" s="528" t="s">
        <v>21265</v>
      </c>
      <c r="D7336" s="528" t="s">
        <v>238</v>
      </c>
      <c r="E7336" s="528"/>
      <c r="F7336" s="528"/>
      <c r="G7336" s="528" t="s">
        <v>212</v>
      </c>
    </row>
    <row r="7337" spans="1:7" x14ac:dyDescent="0.35">
      <c r="A7337" s="528" t="s">
        <v>21266</v>
      </c>
      <c r="B7337" s="528" t="s">
        <v>21267</v>
      </c>
      <c r="C7337" s="528" t="s">
        <v>21268</v>
      </c>
      <c r="D7337" s="528" t="s">
        <v>251</v>
      </c>
      <c r="E7337" s="528"/>
      <c r="F7337" s="528"/>
      <c r="G7337" s="528" t="s">
        <v>208</v>
      </c>
    </row>
    <row r="7338" spans="1:7" x14ac:dyDescent="0.35">
      <c r="A7338" s="528" t="s">
        <v>21269</v>
      </c>
      <c r="B7338" s="528" t="s">
        <v>21270</v>
      </c>
      <c r="C7338" s="528" t="s">
        <v>21271</v>
      </c>
      <c r="D7338" s="528" t="s">
        <v>251</v>
      </c>
      <c r="E7338" s="528"/>
      <c r="F7338" s="528"/>
      <c r="G7338" s="528" t="s">
        <v>208</v>
      </c>
    </row>
    <row r="7339" spans="1:7" x14ac:dyDescent="0.35">
      <c r="A7339" s="528" t="s">
        <v>21272</v>
      </c>
      <c r="B7339" s="528" t="s">
        <v>21273</v>
      </c>
      <c r="C7339" s="528" t="s">
        <v>21274</v>
      </c>
      <c r="D7339" s="528" t="s">
        <v>225</v>
      </c>
      <c r="E7339" s="528"/>
      <c r="F7339" s="528"/>
      <c r="G7339" s="528" t="s">
        <v>205</v>
      </c>
    </row>
    <row r="7340" spans="1:7" x14ac:dyDescent="0.35">
      <c r="A7340" s="528" t="s">
        <v>21275</v>
      </c>
      <c r="B7340" s="528" t="s">
        <v>21276</v>
      </c>
      <c r="C7340" s="528" t="s">
        <v>21277</v>
      </c>
      <c r="D7340" s="528" t="s">
        <v>251</v>
      </c>
      <c r="E7340" s="528"/>
      <c r="F7340" s="528"/>
      <c r="G7340" s="528" t="s">
        <v>208</v>
      </c>
    </row>
    <row r="7341" spans="1:7" x14ac:dyDescent="0.35">
      <c r="A7341" s="528" t="s">
        <v>21278</v>
      </c>
      <c r="B7341" s="528" t="s">
        <v>21279</v>
      </c>
      <c r="C7341" s="528" t="s">
        <v>21280</v>
      </c>
      <c r="D7341" s="528" t="s">
        <v>225</v>
      </c>
      <c r="E7341" s="528"/>
      <c r="F7341" s="528"/>
      <c r="G7341" s="528" t="s">
        <v>208</v>
      </c>
    </row>
    <row r="7342" spans="1:7" x14ac:dyDescent="0.35">
      <c r="A7342" s="528" t="s">
        <v>21281</v>
      </c>
      <c r="B7342" s="528" t="s">
        <v>21282</v>
      </c>
      <c r="C7342" s="528" t="s">
        <v>21283</v>
      </c>
      <c r="D7342" s="528" t="s">
        <v>277</v>
      </c>
      <c r="E7342" s="528"/>
      <c r="F7342" s="528"/>
      <c r="G7342" s="528" t="s">
        <v>212</v>
      </c>
    </row>
    <row r="7343" spans="1:7" x14ac:dyDescent="0.35">
      <c r="A7343" s="528" t="s">
        <v>21284</v>
      </c>
      <c r="B7343" s="528" t="s">
        <v>21285</v>
      </c>
      <c r="C7343" s="528" t="s">
        <v>21286</v>
      </c>
      <c r="D7343" s="528" t="s">
        <v>251</v>
      </c>
      <c r="E7343" s="528"/>
      <c r="F7343" s="528"/>
      <c r="G7343" s="528" t="s">
        <v>208</v>
      </c>
    </row>
    <row r="7344" spans="1:7" x14ac:dyDescent="0.35">
      <c r="A7344" s="528" t="s">
        <v>21287</v>
      </c>
      <c r="B7344" s="528" t="s">
        <v>21288</v>
      </c>
      <c r="C7344" s="528" t="s">
        <v>21289</v>
      </c>
      <c r="D7344" s="528" t="s">
        <v>277</v>
      </c>
      <c r="E7344" s="528"/>
      <c r="F7344" s="528"/>
      <c r="G7344" s="528" t="s">
        <v>205</v>
      </c>
    </row>
    <row r="7345" spans="1:7" x14ac:dyDescent="0.35">
      <c r="A7345" s="528" t="s">
        <v>21290</v>
      </c>
      <c r="B7345" s="528" t="s">
        <v>21291</v>
      </c>
      <c r="C7345" s="528" t="s">
        <v>21292</v>
      </c>
      <c r="D7345" s="528" t="s">
        <v>225</v>
      </c>
      <c r="E7345" s="528"/>
      <c r="F7345" s="528"/>
      <c r="G7345" s="528" t="s">
        <v>208</v>
      </c>
    </row>
    <row r="7346" spans="1:7" x14ac:dyDescent="0.35">
      <c r="A7346" s="528" t="s">
        <v>21293</v>
      </c>
      <c r="B7346" s="528" t="s">
        <v>21294</v>
      </c>
      <c r="C7346" s="528" t="s">
        <v>21295</v>
      </c>
      <c r="D7346" s="528" t="s">
        <v>277</v>
      </c>
      <c r="E7346" s="528"/>
      <c r="F7346" s="528"/>
      <c r="G7346" s="528" t="s">
        <v>212</v>
      </c>
    </row>
    <row r="7347" spans="1:7" x14ac:dyDescent="0.35">
      <c r="A7347" s="528" t="s">
        <v>21296</v>
      </c>
      <c r="B7347" s="528" t="s">
        <v>21297</v>
      </c>
      <c r="C7347" s="528" t="s">
        <v>21298</v>
      </c>
      <c r="D7347" s="528" t="s">
        <v>264</v>
      </c>
      <c r="E7347" s="528"/>
      <c r="F7347" s="528"/>
      <c r="G7347" s="528" t="s">
        <v>205</v>
      </c>
    </row>
    <row r="7348" spans="1:7" x14ac:dyDescent="0.35">
      <c r="A7348" s="528" t="s">
        <v>21299</v>
      </c>
      <c r="B7348" s="528" t="s">
        <v>21300</v>
      </c>
      <c r="C7348" s="528" t="s">
        <v>21301</v>
      </c>
      <c r="D7348" s="528" t="s">
        <v>225</v>
      </c>
      <c r="E7348" s="528"/>
      <c r="F7348" s="528"/>
      <c r="G7348" s="528" t="s">
        <v>205</v>
      </c>
    </row>
    <row r="7349" spans="1:7" x14ac:dyDescent="0.35">
      <c r="A7349" s="528" t="s">
        <v>21302</v>
      </c>
      <c r="B7349" s="528" t="s">
        <v>21303</v>
      </c>
      <c r="C7349" s="528" t="s">
        <v>21304</v>
      </c>
      <c r="D7349" s="528" t="s">
        <v>264</v>
      </c>
      <c r="E7349" s="528"/>
      <c r="F7349" s="528"/>
      <c r="G7349" s="528" t="s">
        <v>208</v>
      </c>
    </row>
    <row r="7350" spans="1:7" x14ac:dyDescent="0.35">
      <c r="A7350" s="528" t="s">
        <v>21305</v>
      </c>
      <c r="B7350" s="528" t="s">
        <v>21306</v>
      </c>
      <c r="C7350" s="528" t="s">
        <v>21307</v>
      </c>
      <c r="D7350" s="528" t="s">
        <v>264</v>
      </c>
      <c r="E7350" s="528"/>
      <c r="F7350" s="528"/>
      <c r="G7350" s="528" t="s">
        <v>208</v>
      </c>
    </row>
    <row r="7351" spans="1:7" x14ac:dyDescent="0.35">
      <c r="A7351" s="528" t="s">
        <v>21308</v>
      </c>
      <c r="B7351" s="528" t="s">
        <v>21309</v>
      </c>
      <c r="C7351" s="528" t="s">
        <v>21310</v>
      </c>
      <c r="D7351" s="528" t="s">
        <v>264</v>
      </c>
      <c r="E7351" s="528"/>
      <c r="F7351" s="528"/>
      <c r="G7351" s="528" t="s">
        <v>212</v>
      </c>
    </row>
    <row r="7352" spans="1:7" x14ac:dyDescent="0.35">
      <c r="A7352" s="528" t="s">
        <v>21311</v>
      </c>
      <c r="B7352" s="528" t="s">
        <v>21312</v>
      </c>
      <c r="C7352" s="528" t="s">
        <v>21313</v>
      </c>
      <c r="D7352" s="528" t="s">
        <v>264</v>
      </c>
      <c r="E7352" s="528"/>
      <c r="F7352" s="528"/>
      <c r="G7352" s="528" t="s">
        <v>208</v>
      </c>
    </row>
    <row r="7353" spans="1:7" x14ac:dyDescent="0.35">
      <c r="A7353" s="528" t="s">
        <v>21314</v>
      </c>
      <c r="B7353" s="528" t="s">
        <v>21315</v>
      </c>
      <c r="C7353" s="528" t="s">
        <v>21316</v>
      </c>
      <c r="D7353" s="528" t="s">
        <v>277</v>
      </c>
      <c r="E7353" s="528"/>
      <c r="F7353" s="528"/>
      <c r="G7353" s="528" t="s">
        <v>205</v>
      </c>
    </row>
    <row r="7354" spans="1:7" x14ac:dyDescent="0.35">
      <c r="A7354" s="528" t="s">
        <v>21317</v>
      </c>
      <c r="B7354" s="528" t="s">
        <v>21318</v>
      </c>
      <c r="C7354" s="528" t="s">
        <v>21319</v>
      </c>
      <c r="D7354" s="528" t="s">
        <v>277</v>
      </c>
      <c r="E7354" s="528"/>
      <c r="F7354" s="528"/>
      <c r="G7354" s="528" t="s">
        <v>208</v>
      </c>
    </row>
    <row r="7355" spans="1:7" x14ac:dyDescent="0.35">
      <c r="A7355" s="528" t="s">
        <v>21320</v>
      </c>
      <c r="B7355" s="528" t="s">
        <v>21321</v>
      </c>
      <c r="C7355" s="528" t="s">
        <v>21322</v>
      </c>
      <c r="D7355" s="528" t="s">
        <v>277</v>
      </c>
      <c r="E7355" s="528"/>
      <c r="F7355" s="528"/>
      <c r="G7355" s="528" t="s">
        <v>205</v>
      </c>
    </row>
    <row r="7356" spans="1:7" x14ac:dyDescent="0.35">
      <c r="A7356" s="528" t="s">
        <v>21323</v>
      </c>
      <c r="B7356" s="528" t="s">
        <v>21324</v>
      </c>
      <c r="C7356" s="528" t="s">
        <v>21325</v>
      </c>
      <c r="D7356" s="528" t="s">
        <v>277</v>
      </c>
      <c r="E7356" s="528"/>
      <c r="F7356" s="528"/>
      <c r="G7356" s="528" t="s">
        <v>208</v>
      </c>
    </row>
    <row r="7357" spans="1:7" x14ac:dyDescent="0.35">
      <c r="A7357" s="528" t="s">
        <v>21326</v>
      </c>
      <c r="B7357" s="528" t="s">
        <v>21327</v>
      </c>
      <c r="C7357" s="528" t="s">
        <v>21328</v>
      </c>
      <c r="D7357" s="528" t="s">
        <v>264</v>
      </c>
      <c r="E7357" s="528" t="s">
        <v>277</v>
      </c>
      <c r="F7357" s="528"/>
      <c r="G7357" s="528" t="s">
        <v>208</v>
      </c>
    </row>
    <row r="7358" spans="1:7" x14ac:dyDescent="0.35">
      <c r="A7358" s="528" t="s">
        <v>21329</v>
      </c>
      <c r="B7358" s="528" t="s">
        <v>21330</v>
      </c>
      <c r="C7358" s="528" t="s">
        <v>21331</v>
      </c>
      <c r="D7358" s="528" t="s">
        <v>264</v>
      </c>
      <c r="E7358" s="528"/>
      <c r="F7358" s="528"/>
      <c r="G7358" s="528" t="s">
        <v>212</v>
      </c>
    </row>
    <row r="7359" spans="1:7" x14ac:dyDescent="0.35">
      <c r="A7359" s="528" t="s">
        <v>21332</v>
      </c>
      <c r="B7359" s="528" t="s">
        <v>21333</v>
      </c>
      <c r="C7359" s="528" t="s">
        <v>21334</v>
      </c>
      <c r="D7359" s="528" t="s">
        <v>225</v>
      </c>
      <c r="E7359" s="528"/>
      <c r="F7359" s="528"/>
      <c r="G7359" s="528" t="s">
        <v>205</v>
      </c>
    </row>
    <row r="7360" spans="1:7" x14ac:dyDescent="0.35">
      <c r="A7360" s="528" t="s">
        <v>21335</v>
      </c>
      <c r="B7360" s="528" t="s">
        <v>21336</v>
      </c>
      <c r="C7360" s="528" t="s">
        <v>21337</v>
      </c>
      <c r="D7360" s="528" t="s">
        <v>225</v>
      </c>
      <c r="E7360" s="528"/>
      <c r="F7360" s="528"/>
      <c r="G7360" s="528" t="s">
        <v>208</v>
      </c>
    </row>
    <row r="7361" spans="1:7" x14ac:dyDescent="0.35">
      <c r="A7361" s="528" t="s">
        <v>21338</v>
      </c>
      <c r="B7361" s="528" t="s">
        <v>21339</v>
      </c>
      <c r="C7361" s="528" t="s">
        <v>21340</v>
      </c>
      <c r="D7361" s="528" t="s">
        <v>225</v>
      </c>
      <c r="E7361" s="528"/>
      <c r="F7361" s="528"/>
      <c r="G7361" s="528" t="s">
        <v>205</v>
      </c>
    </row>
    <row r="7362" spans="1:7" x14ac:dyDescent="0.35">
      <c r="A7362" s="528" t="s">
        <v>21341</v>
      </c>
      <c r="B7362" s="528" t="s">
        <v>21342</v>
      </c>
      <c r="C7362" s="528" t="s">
        <v>21343</v>
      </c>
      <c r="D7362" s="528" t="s">
        <v>277</v>
      </c>
      <c r="E7362" s="528"/>
      <c r="F7362" s="528"/>
      <c r="G7362" s="528" t="s">
        <v>205</v>
      </c>
    </row>
    <row r="7363" spans="1:7" x14ac:dyDescent="0.35">
      <c r="A7363" s="528" t="s">
        <v>21344</v>
      </c>
      <c r="B7363" s="528" t="s">
        <v>21345</v>
      </c>
      <c r="C7363" s="528" t="s">
        <v>21346</v>
      </c>
      <c r="D7363" s="528" t="s">
        <v>264</v>
      </c>
      <c r="E7363" s="528"/>
      <c r="F7363" s="528"/>
      <c r="G7363" s="528" t="s">
        <v>210</v>
      </c>
    </row>
    <row r="7364" spans="1:7" x14ac:dyDescent="0.35">
      <c r="A7364" s="528" t="s">
        <v>21347</v>
      </c>
      <c r="B7364" s="528" t="s">
        <v>21348</v>
      </c>
      <c r="C7364" s="528" t="s">
        <v>21349</v>
      </c>
      <c r="D7364" s="528" t="s">
        <v>264</v>
      </c>
      <c r="E7364" s="528"/>
      <c r="F7364" s="528"/>
      <c r="G7364" s="528" t="s">
        <v>208</v>
      </c>
    </row>
    <row r="7365" spans="1:7" x14ac:dyDescent="0.35">
      <c r="A7365" s="528" t="s">
        <v>21350</v>
      </c>
      <c r="B7365" s="528" t="s">
        <v>21351</v>
      </c>
      <c r="C7365" s="528" t="s">
        <v>21352</v>
      </c>
      <c r="D7365" s="528" t="s">
        <v>264</v>
      </c>
      <c r="E7365" s="528"/>
      <c r="F7365" s="528"/>
      <c r="G7365" s="528" t="s">
        <v>208</v>
      </c>
    </row>
    <row r="7366" spans="1:7" x14ac:dyDescent="0.35">
      <c r="A7366" s="528" t="s">
        <v>21353</v>
      </c>
      <c r="B7366" s="528" t="s">
        <v>21354</v>
      </c>
      <c r="C7366" s="528" t="s">
        <v>21355</v>
      </c>
      <c r="D7366" s="528" t="s">
        <v>225</v>
      </c>
      <c r="E7366" s="528"/>
      <c r="F7366" s="528"/>
      <c r="G7366" s="528" t="s">
        <v>208</v>
      </c>
    </row>
    <row r="7367" spans="1:7" x14ac:dyDescent="0.35">
      <c r="A7367" s="528" t="s">
        <v>21356</v>
      </c>
      <c r="B7367" s="528" t="s">
        <v>21357</v>
      </c>
      <c r="C7367" s="528" t="s">
        <v>21358</v>
      </c>
      <c r="D7367" s="528" t="s">
        <v>225</v>
      </c>
      <c r="E7367" s="528"/>
      <c r="F7367" s="528"/>
      <c r="G7367" s="528" t="s">
        <v>208</v>
      </c>
    </row>
    <row r="7368" spans="1:7" x14ac:dyDescent="0.35">
      <c r="A7368" s="528" t="s">
        <v>21359</v>
      </c>
      <c r="B7368" s="528" t="s">
        <v>21360</v>
      </c>
      <c r="C7368" s="528" t="s">
        <v>21361</v>
      </c>
      <c r="D7368" s="528" t="s">
        <v>277</v>
      </c>
      <c r="E7368" s="528"/>
      <c r="F7368" s="528"/>
      <c r="G7368" s="528" t="s">
        <v>208</v>
      </c>
    </row>
    <row r="7369" spans="1:7" x14ac:dyDescent="0.35">
      <c r="A7369" s="528" t="s">
        <v>21362</v>
      </c>
      <c r="B7369" s="528" t="s">
        <v>21363</v>
      </c>
      <c r="C7369" s="528" t="s">
        <v>21364</v>
      </c>
      <c r="D7369" s="528" t="s">
        <v>277</v>
      </c>
      <c r="E7369" s="528"/>
      <c r="F7369" s="528"/>
      <c r="G7369" s="528" t="s">
        <v>208</v>
      </c>
    </row>
    <row r="7370" spans="1:7" x14ac:dyDescent="0.35">
      <c r="A7370" s="528" t="s">
        <v>21365</v>
      </c>
      <c r="B7370" s="528" t="s">
        <v>21366</v>
      </c>
      <c r="C7370" s="528" t="s">
        <v>21367</v>
      </c>
      <c r="D7370" s="528" t="s">
        <v>277</v>
      </c>
      <c r="E7370" s="528"/>
      <c r="F7370" s="528"/>
      <c r="G7370" s="528" t="s">
        <v>208</v>
      </c>
    </row>
    <row r="7371" spans="1:7" x14ac:dyDescent="0.35">
      <c r="A7371" s="528" t="s">
        <v>21368</v>
      </c>
      <c r="B7371" s="528" t="s">
        <v>21369</v>
      </c>
      <c r="C7371" s="528" t="s">
        <v>21370</v>
      </c>
      <c r="D7371" s="528" t="s">
        <v>277</v>
      </c>
      <c r="E7371" s="528"/>
      <c r="F7371" s="528"/>
      <c r="G7371" s="528" t="s">
        <v>208</v>
      </c>
    </row>
    <row r="7372" spans="1:7" x14ac:dyDescent="0.35">
      <c r="A7372" s="528" t="s">
        <v>21371</v>
      </c>
      <c r="B7372" s="528" t="s">
        <v>21372</v>
      </c>
      <c r="C7372" s="528" t="s">
        <v>21373</v>
      </c>
      <c r="D7372" s="528" t="s">
        <v>277</v>
      </c>
      <c r="E7372" s="528"/>
      <c r="F7372" s="528"/>
      <c r="G7372" s="528" t="s">
        <v>208</v>
      </c>
    </row>
    <row r="7373" spans="1:7" x14ac:dyDescent="0.35">
      <c r="A7373" s="528" t="s">
        <v>21374</v>
      </c>
      <c r="B7373" s="528" t="s">
        <v>21375</v>
      </c>
      <c r="C7373" s="528" t="s">
        <v>21376</v>
      </c>
      <c r="D7373" s="528" t="s">
        <v>277</v>
      </c>
      <c r="E7373" s="528"/>
      <c r="F7373" s="528"/>
      <c r="G7373" s="528" t="s">
        <v>208</v>
      </c>
    </row>
    <row r="7374" spans="1:7" x14ac:dyDescent="0.35">
      <c r="A7374" s="528" t="s">
        <v>21377</v>
      </c>
      <c r="B7374" s="528" t="s">
        <v>21378</v>
      </c>
      <c r="C7374" s="528" t="s">
        <v>21379</v>
      </c>
      <c r="D7374" s="528" t="s">
        <v>277</v>
      </c>
      <c r="E7374" s="528"/>
      <c r="F7374" s="528"/>
      <c r="G7374" s="528" t="s">
        <v>208</v>
      </c>
    </row>
    <row r="7375" spans="1:7" x14ac:dyDescent="0.35">
      <c r="A7375" s="528" t="s">
        <v>21380</v>
      </c>
      <c r="B7375" s="528" t="s">
        <v>21381</v>
      </c>
      <c r="C7375" s="528" t="s">
        <v>21382</v>
      </c>
      <c r="D7375" s="528" t="s">
        <v>277</v>
      </c>
      <c r="E7375" s="528"/>
      <c r="F7375" s="528"/>
      <c r="G7375" s="528" t="s">
        <v>208</v>
      </c>
    </row>
    <row r="7376" spans="1:7" x14ac:dyDescent="0.35">
      <c r="A7376" s="528" t="s">
        <v>21383</v>
      </c>
      <c r="B7376" s="528" t="s">
        <v>21384</v>
      </c>
      <c r="C7376" s="528" t="s">
        <v>21385</v>
      </c>
      <c r="D7376" s="528" t="s">
        <v>277</v>
      </c>
      <c r="E7376" s="528"/>
      <c r="F7376" s="528"/>
      <c r="G7376" s="528" t="s">
        <v>208</v>
      </c>
    </row>
    <row r="7377" spans="1:7" x14ac:dyDescent="0.35">
      <c r="A7377" s="528" t="s">
        <v>21386</v>
      </c>
      <c r="B7377" s="528" t="s">
        <v>21387</v>
      </c>
      <c r="C7377" s="528" t="s">
        <v>21388</v>
      </c>
      <c r="D7377" s="528" t="s">
        <v>277</v>
      </c>
      <c r="E7377" s="528"/>
      <c r="F7377" s="528"/>
      <c r="G7377" s="528" t="s">
        <v>208</v>
      </c>
    </row>
    <row r="7378" spans="1:7" x14ac:dyDescent="0.35">
      <c r="A7378" s="528" t="s">
        <v>21389</v>
      </c>
      <c r="B7378" s="528" t="s">
        <v>21390</v>
      </c>
      <c r="C7378" s="528" t="s">
        <v>21391</v>
      </c>
      <c r="D7378" s="528" t="s">
        <v>264</v>
      </c>
      <c r="E7378" s="528" t="s">
        <v>277</v>
      </c>
      <c r="F7378" s="528"/>
      <c r="G7378" s="528" t="s">
        <v>212</v>
      </c>
    </row>
    <row r="7379" spans="1:7" x14ac:dyDescent="0.35">
      <c r="A7379" s="528" t="s">
        <v>21392</v>
      </c>
      <c r="B7379" s="528" t="s">
        <v>21393</v>
      </c>
      <c r="C7379" s="528" t="s">
        <v>21394</v>
      </c>
      <c r="D7379" s="528" t="s">
        <v>264</v>
      </c>
      <c r="E7379" s="528" t="s">
        <v>277</v>
      </c>
      <c r="F7379" s="528"/>
      <c r="G7379" s="528" t="s">
        <v>212</v>
      </c>
    </row>
    <row r="7380" spans="1:7" x14ac:dyDescent="0.35">
      <c r="A7380" s="528" t="s">
        <v>21395</v>
      </c>
      <c r="B7380" s="528" t="s">
        <v>21396</v>
      </c>
      <c r="C7380" s="528" t="s">
        <v>21397</v>
      </c>
      <c r="D7380" s="528" t="s">
        <v>264</v>
      </c>
      <c r="E7380" s="528" t="s">
        <v>277</v>
      </c>
      <c r="F7380" s="528"/>
      <c r="G7380" s="528" t="s">
        <v>212</v>
      </c>
    </row>
    <row r="7381" spans="1:7" x14ac:dyDescent="0.35">
      <c r="A7381" s="528" t="s">
        <v>21398</v>
      </c>
      <c r="B7381" s="528" t="s">
        <v>21399</v>
      </c>
      <c r="C7381" s="528" t="s">
        <v>21400</v>
      </c>
      <c r="D7381" s="528" t="s">
        <v>264</v>
      </c>
      <c r="E7381" s="528" t="s">
        <v>277</v>
      </c>
      <c r="F7381" s="528"/>
      <c r="G7381" s="528" t="s">
        <v>212</v>
      </c>
    </row>
    <row r="7382" spans="1:7" x14ac:dyDescent="0.35">
      <c r="A7382" s="528" t="s">
        <v>21401</v>
      </c>
      <c r="B7382" s="528" t="s">
        <v>21402</v>
      </c>
      <c r="C7382" s="528" t="s">
        <v>21403</v>
      </c>
      <c r="D7382" s="528" t="s">
        <v>264</v>
      </c>
      <c r="E7382" s="528" t="s">
        <v>277</v>
      </c>
      <c r="F7382" s="528"/>
      <c r="G7382" s="528" t="s">
        <v>212</v>
      </c>
    </row>
    <row r="7383" spans="1:7" x14ac:dyDescent="0.35">
      <c r="A7383" s="528" t="s">
        <v>21404</v>
      </c>
      <c r="B7383" s="528" t="s">
        <v>21405</v>
      </c>
      <c r="C7383" s="528" t="s">
        <v>21406</v>
      </c>
      <c r="D7383" s="528" t="s">
        <v>264</v>
      </c>
      <c r="E7383" s="528" t="s">
        <v>277</v>
      </c>
      <c r="F7383" s="528"/>
      <c r="G7383" s="528" t="s">
        <v>212</v>
      </c>
    </row>
    <row r="7384" spans="1:7" x14ac:dyDescent="0.35">
      <c r="A7384" s="528" t="s">
        <v>21407</v>
      </c>
      <c r="B7384" s="528" t="s">
        <v>21408</v>
      </c>
      <c r="C7384" s="528" t="s">
        <v>21409</v>
      </c>
      <c r="D7384" s="528" t="s">
        <v>264</v>
      </c>
      <c r="E7384" s="528" t="s">
        <v>277</v>
      </c>
      <c r="F7384" s="528"/>
      <c r="G7384" s="528" t="s">
        <v>212</v>
      </c>
    </row>
    <row r="7385" spans="1:7" x14ac:dyDescent="0.35">
      <c r="A7385" s="528" t="s">
        <v>21410</v>
      </c>
      <c r="B7385" s="528" t="s">
        <v>21411</v>
      </c>
      <c r="C7385" s="528" t="s">
        <v>21412</v>
      </c>
      <c r="D7385" s="528" t="s">
        <v>264</v>
      </c>
      <c r="E7385" s="528" t="s">
        <v>277</v>
      </c>
      <c r="F7385" s="528"/>
      <c r="G7385" s="528" t="s">
        <v>212</v>
      </c>
    </row>
    <row r="7386" spans="1:7" x14ac:dyDescent="0.35">
      <c r="A7386" s="528" t="s">
        <v>21413</v>
      </c>
      <c r="B7386" s="528" t="s">
        <v>21414</v>
      </c>
      <c r="C7386" s="528" t="s">
        <v>21415</v>
      </c>
      <c r="D7386" s="528" t="s">
        <v>264</v>
      </c>
      <c r="E7386" s="528"/>
      <c r="F7386" s="528"/>
      <c r="G7386" s="528" t="s">
        <v>210</v>
      </c>
    </row>
    <row r="7387" spans="1:7" x14ac:dyDescent="0.35">
      <c r="A7387" s="528" t="s">
        <v>21416</v>
      </c>
      <c r="B7387" s="528" t="s">
        <v>21417</v>
      </c>
      <c r="C7387" s="528" t="s">
        <v>21418</v>
      </c>
      <c r="D7387" s="528" t="s">
        <v>264</v>
      </c>
      <c r="E7387" s="528"/>
      <c r="F7387" s="528"/>
      <c r="G7387" s="528" t="s">
        <v>210</v>
      </c>
    </row>
    <row r="7388" spans="1:7" x14ac:dyDescent="0.35">
      <c r="A7388" s="528" t="s">
        <v>21419</v>
      </c>
      <c r="B7388" s="528" t="s">
        <v>21420</v>
      </c>
      <c r="C7388" s="528" t="s">
        <v>21421</v>
      </c>
      <c r="D7388" s="528" t="s">
        <v>238</v>
      </c>
      <c r="E7388" s="528"/>
      <c r="F7388" s="528"/>
      <c r="G7388" s="528" t="s">
        <v>205</v>
      </c>
    </row>
    <row r="7389" spans="1:7" x14ac:dyDescent="0.35">
      <c r="A7389" s="528" t="s">
        <v>21422</v>
      </c>
      <c r="B7389" s="528" t="s">
        <v>21423</v>
      </c>
      <c r="C7389" s="528" t="s">
        <v>21424</v>
      </c>
      <c r="D7389" s="528" t="s">
        <v>277</v>
      </c>
      <c r="E7389" s="528"/>
      <c r="F7389" s="528"/>
      <c r="G7389" s="528" t="s">
        <v>208</v>
      </c>
    </row>
    <row r="7390" spans="1:7" x14ac:dyDescent="0.35">
      <c r="A7390" s="528" t="s">
        <v>21425</v>
      </c>
      <c r="B7390" s="528" t="s">
        <v>21426</v>
      </c>
      <c r="C7390" s="528" t="s">
        <v>21427</v>
      </c>
      <c r="D7390" s="528" t="s">
        <v>238</v>
      </c>
      <c r="E7390" s="528"/>
      <c r="F7390" s="528"/>
      <c r="G7390" s="528" t="s">
        <v>205</v>
      </c>
    </row>
    <row r="7391" spans="1:7" x14ac:dyDescent="0.35">
      <c r="A7391" s="528" t="s">
        <v>21428</v>
      </c>
      <c r="B7391" s="528" t="s">
        <v>21429</v>
      </c>
      <c r="C7391" s="528" t="s">
        <v>21430</v>
      </c>
      <c r="D7391" s="528" t="s">
        <v>225</v>
      </c>
      <c r="E7391" s="528" t="s">
        <v>277</v>
      </c>
      <c r="F7391" s="528"/>
      <c r="G7391" s="528" t="s">
        <v>205</v>
      </c>
    </row>
    <row r="7392" spans="1:7" x14ac:dyDescent="0.35">
      <c r="A7392" s="528" t="s">
        <v>21431</v>
      </c>
      <c r="B7392" s="528" t="s">
        <v>21432</v>
      </c>
      <c r="C7392" s="528" t="s">
        <v>21433</v>
      </c>
      <c r="D7392" s="528" t="s">
        <v>238</v>
      </c>
      <c r="E7392" s="528"/>
      <c r="F7392" s="528"/>
      <c r="G7392" s="528" t="s">
        <v>208</v>
      </c>
    </row>
    <row r="7393" spans="1:7" x14ac:dyDescent="0.35">
      <c r="A7393" s="528" t="s">
        <v>21434</v>
      </c>
      <c r="B7393" s="528" t="s">
        <v>21435</v>
      </c>
      <c r="C7393" s="528" t="s">
        <v>21436</v>
      </c>
      <c r="D7393" s="528" t="s">
        <v>251</v>
      </c>
      <c r="E7393" s="528"/>
      <c r="F7393" s="528"/>
      <c r="G7393" s="528" t="s">
        <v>205</v>
      </c>
    </row>
    <row r="7394" spans="1:7" x14ac:dyDescent="0.35">
      <c r="A7394" s="528" t="s">
        <v>21437</v>
      </c>
      <c r="B7394" s="528" t="s">
        <v>21438</v>
      </c>
      <c r="C7394" s="528" t="s">
        <v>21439</v>
      </c>
      <c r="D7394" s="528" t="s">
        <v>238</v>
      </c>
      <c r="E7394" s="528"/>
      <c r="F7394" s="528"/>
      <c r="G7394" s="528" t="s">
        <v>208</v>
      </c>
    </row>
    <row r="7395" spans="1:7" x14ac:dyDescent="0.35">
      <c r="A7395" s="528" t="s">
        <v>21440</v>
      </c>
      <c r="B7395" s="528" t="s">
        <v>21441</v>
      </c>
      <c r="C7395" s="528" t="s">
        <v>21442</v>
      </c>
      <c r="D7395" s="528" t="s">
        <v>264</v>
      </c>
      <c r="E7395" s="528"/>
      <c r="F7395" s="528"/>
      <c r="G7395" s="528" t="s">
        <v>208</v>
      </c>
    </row>
    <row r="7396" spans="1:7" x14ac:dyDescent="0.35">
      <c r="A7396" s="528" t="s">
        <v>21443</v>
      </c>
      <c r="B7396" s="528" t="s">
        <v>21444</v>
      </c>
      <c r="C7396" s="528" t="s">
        <v>21445</v>
      </c>
      <c r="D7396" s="528" t="s">
        <v>264</v>
      </c>
      <c r="E7396" s="528"/>
      <c r="F7396" s="528"/>
      <c r="G7396" s="528" t="s">
        <v>208</v>
      </c>
    </row>
    <row r="7397" spans="1:7" x14ac:dyDescent="0.35">
      <c r="A7397" s="528" t="s">
        <v>21446</v>
      </c>
      <c r="B7397" s="528" t="s">
        <v>21447</v>
      </c>
      <c r="C7397" s="528" t="s">
        <v>21448</v>
      </c>
      <c r="D7397" s="528" t="s">
        <v>264</v>
      </c>
      <c r="E7397" s="528"/>
      <c r="F7397" s="528"/>
      <c r="G7397" s="528" t="s">
        <v>208</v>
      </c>
    </row>
    <row r="7398" spans="1:7" x14ac:dyDescent="0.35">
      <c r="A7398" s="528" t="s">
        <v>21449</v>
      </c>
      <c r="B7398" s="528" t="s">
        <v>21450</v>
      </c>
      <c r="C7398" s="528" t="s">
        <v>21451</v>
      </c>
      <c r="D7398" s="528" t="s">
        <v>238</v>
      </c>
      <c r="E7398" s="528"/>
      <c r="F7398" s="528"/>
      <c r="G7398" s="528" t="s">
        <v>208</v>
      </c>
    </row>
    <row r="7399" spans="1:7" x14ac:dyDescent="0.35">
      <c r="A7399" s="528" t="s">
        <v>21452</v>
      </c>
      <c r="B7399" s="528" t="s">
        <v>21453</v>
      </c>
      <c r="C7399" s="528" t="s">
        <v>21454</v>
      </c>
      <c r="D7399" s="528" t="s">
        <v>238</v>
      </c>
      <c r="E7399" s="528"/>
      <c r="F7399" s="528"/>
      <c r="G7399" s="528" t="s">
        <v>208</v>
      </c>
    </row>
    <row r="7400" spans="1:7" x14ac:dyDescent="0.35">
      <c r="A7400" s="528" t="s">
        <v>21455</v>
      </c>
      <c r="B7400" s="528" t="s">
        <v>21456</v>
      </c>
      <c r="C7400" s="528" t="s">
        <v>21457</v>
      </c>
      <c r="D7400" s="528" t="s">
        <v>264</v>
      </c>
      <c r="E7400" s="528"/>
      <c r="F7400" s="528"/>
      <c r="G7400" s="528" t="s">
        <v>208</v>
      </c>
    </row>
    <row r="7401" spans="1:7" x14ac:dyDescent="0.35">
      <c r="A7401" s="528" t="s">
        <v>21458</v>
      </c>
      <c r="B7401" s="528" t="s">
        <v>21459</v>
      </c>
      <c r="C7401" s="528" t="s">
        <v>21460</v>
      </c>
      <c r="D7401" s="528" t="s">
        <v>264</v>
      </c>
      <c r="E7401" s="528"/>
      <c r="F7401" s="528"/>
      <c r="G7401" s="528" t="s">
        <v>208</v>
      </c>
    </row>
    <row r="7402" spans="1:7" x14ac:dyDescent="0.35">
      <c r="A7402" s="528" t="s">
        <v>21461</v>
      </c>
      <c r="B7402" s="528" t="s">
        <v>21462</v>
      </c>
      <c r="C7402" s="528" t="s">
        <v>21463</v>
      </c>
      <c r="D7402" s="528" t="s">
        <v>264</v>
      </c>
      <c r="E7402" s="528"/>
      <c r="F7402" s="528"/>
      <c r="G7402" s="528" t="s">
        <v>208</v>
      </c>
    </row>
    <row r="7403" spans="1:7" x14ac:dyDescent="0.35">
      <c r="A7403" s="528" t="s">
        <v>21464</v>
      </c>
      <c r="B7403" s="528" t="s">
        <v>21465</v>
      </c>
      <c r="C7403" s="528" t="s">
        <v>21466</v>
      </c>
      <c r="D7403" s="528" t="s">
        <v>277</v>
      </c>
      <c r="E7403" s="528"/>
      <c r="F7403" s="528"/>
      <c r="G7403" s="528" t="s">
        <v>208</v>
      </c>
    </row>
    <row r="7404" spans="1:7" x14ac:dyDescent="0.35">
      <c r="A7404" s="528" t="s">
        <v>21467</v>
      </c>
      <c r="B7404" s="528" t="s">
        <v>21468</v>
      </c>
      <c r="C7404" s="528" t="s">
        <v>21469</v>
      </c>
      <c r="D7404" s="528" t="s">
        <v>277</v>
      </c>
      <c r="E7404" s="528"/>
      <c r="F7404" s="528"/>
      <c r="G7404" s="528" t="s">
        <v>205</v>
      </c>
    </row>
    <row r="7405" spans="1:7" x14ac:dyDescent="0.35">
      <c r="A7405" s="528" t="s">
        <v>21470</v>
      </c>
      <c r="B7405" s="528" t="s">
        <v>21471</v>
      </c>
      <c r="C7405" s="528" t="s">
        <v>21472</v>
      </c>
      <c r="D7405" s="528" t="s">
        <v>238</v>
      </c>
      <c r="E7405" s="528"/>
      <c r="F7405" s="528"/>
      <c r="G7405" s="528" t="s">
        <v>208</v>
      </c>
    </row>
    <row r="7406" spans="1:7" x14ac:dyDescent="0.35">
      <c r="A7406" s="528" t="s">
        <v>21473</v>
      </c>
      <c r="B7406" s="528" t="s">
        <v>21474</v>
      </c>
      <c r="C7406" s="528" t="s">
        <v>21475</v>
      </c>
      <c r="D7406" s="528" t="s">
        <v>277</v>
      </c>
      <c r="E7406" s="528"/>
      <c r="F7406" s="528"/>
      <c r="G7406" s="528" t="s">
        <v>208</v>
      </c>
    </row>
    <row r="7407" spans="1:7" x14ac:dyDescent="0.35">
      <c r="A7407" s="528" t="s">
        <v>21476</v>
      </c>
      <c r="B7407" s="528" t="s">
        <v>21477</v>
      </c>
      <c r="C7407" s="528" t="s">
        <v>21478</v>
      </c>
      <c r="D7407" s="528" t="s">
        <v>251</v>
      </c>
      <c r="E7407" s="528"/>
      <c r="F7407" s="528"/>
      <c r="G7407" s="528" t="s">
        <v>208</v>
      </c>
    </row>
    <row r="7408" spans="1:7" x14ac:dyDescent="0.35">
      <c r="A7408" s="528" t="s">
        <v>21479</v>
      </c>
      <c r="B7408" s="528" t="s">
        <v>21480</v>
      </c>
      <c r="C7408" s="528" t="s">
        <v>21481</v>
      </c>
      <c r="D7408" s="528" t="s">
        <v>277</v>
      </c>
      <c r="E7408" s="528"/>
      <c r="F7408" s="528"/>
      <c r="G7408" s="528" t="s">
        <v>208</v>
      </c>
    </row>
    <row r="7409" spans="1:7" x14ac:dyDescent="0.35">
      <c r="A7409" s="528" t="s">
        <v>21482</v>
      </c>
      <c r="B7409" s="528" t="s">
        <v>21483</v>
      </c>
      <c r="C7409" s="528" t="s">
        <v>21484</v>
      </c>
      <c r="D7409" s="528" t="s">
        <v>277</v>
      </c>
      <c r="E7409" s="528" t="s">
        <v>264</v>
      </c>
      <c r="F7409" s="528"/>
      <c r="G7409" s="528" t="s">
        <v>208</v>
      </c>
    </row>
    <row r="7410" spans="1:7" x14ac:dyDescent="0.35">
      <c r="A7410" s="528" t="s">
        <v>21485</v>
      </c>
      <c r="B7410" s="528" t="s">
        <v>21486</v>
      </c>
      <c r="C7410" s="528" t="s">
        <v>21487</v>
      </c>
      <c r="D7410" s="528" t="s">
        <v>277</v>
      </c>
      <c r="E7410" s="528"/>
      <c r="F7410" s="528"/>
      <c r="G7410" s="528" t="s">
        <v>208</v>
      </c>
    </row>
    <row r="7411" spans="1:7" x14ac:dyDescent="0.35">
      <c r="A7411" s="528" t="s">
        <v>21488</v>
      </c>
      <c r="B7411" s="528" t="s">
        <v>21489</v>
      </c>
      <c r="C7411" s="528" t="s">
        <v>21490</v>
      </c>
      <c r="D7411" s="528" t="s">
        <v>277</v>
      </c>
      <c r="E7411" s="528"/>
      <c r="F7411" s="528"/>
      <c r="G7411" s="528" t="s">
        <v>208</v>
      </c>
    </row>
    <row r="7412" spans="1:7" x14ac:dyDescent="0.35">
      <c r="A7412" s="528" t="s">
        <v>21491</v>
      </c>
      <c r="B7412" s="528" t="s">
        <v>21492</v>
      </c>
      <c r="C7412" s="528" t="s">
        <v>21493</v>
      </c>
      <c r="D7412" s="528" t="s">
        <v>264</v>
      </c>
      <c r="E7412" s="528" t="s">
        <v>277</v>
      </c>
      <c r="F7412" s="528"/>
      <c r="G7412" s="528" t="s">
        <v>208</v>
      </c>
    </row>
    <row r="7413" spans="1:7" x14ac:dyDescent="0.35">
      <c r="A7413" s="528" t="s">
        <v>21494</v>
      </c>
      <c r="B7413" s="528" t="s">
        <v>21495</v>
      </c>
      <c r="C7413" s="528" t="s">
        <v>21496</v>
      </c>
      <c r="D7413" s="528" t="s">
        <v>277</v>
      </c>
      <c r="E7413" s="528" t="s">
        <v>264</v>
      </c>
      <c r="F7413" s="528"/>
      <c r="G7413" s="528" t="s">
        <v>208</v>
      </c>
    </row>
    <row r="7414" spans="1:7" x14ac:dyDescent="0.35">
      <c r="A7414" s="528" t="s">
        <v>21497</v>
      </c>
      <c r="B7414" s="528" t="s">
        <v>21498</v>
      </c>
      <c r="C7414" s="528" t="s">
        <v>21499</v>
      </c>
      <c r="D7414" s="528" t="s">
        <v>277</v>
      </c>
      <c r="E7414" s="528"/>
      <c r="F7414" s="528"/>
      <c r="G7414" s="528" t="s">
        <v>208</v>
      </c>
    </row>
    <row r="7415" spans="1:7" x14ac:dyDescent="0.35">
      <c r="A7415" s="528" t="s">
        <v>21500</v>
      </c>
      <c r="B7415" s="528" t="s">
        <v>21501</v>
      </c>
      <c r="C7415" s="528" t="s">
        <v>21502</v>
      </c>
      <c r="D7415" s="528" t="s">
        <v>277</v>
      </c>
      <c r="E7415" s="528"/>
      <c r="F7415" s="528"/>
      <c r="G7415" s="528" t="s">
        <v>208</v>
      </c>
    </row>
    <row r="7416" spans="1:7" x14ac:dyDescent="0.35">
      <c r="A7416" s="528" t="s">
        <v>21503</v>
      </c>
      <c r="B7416" s="528" t="s">
        <v>21504</v>
      </c>
      <c r="C7416" s="528" t="s">
        <v>21505</v>
      </c>
      <c r="D7416" s="528" t="s">
        <v>277</v>
      </c>
      <c r="E7416" s="528"/>
      <c r="F7416" s="528"/>
      <c r="G7416" s="528" t="s">
        <v>208</v>
      </c>
    </row>
    <row r="7417" spans="1:7" x14ac:dyDescent="0.35">
      <c r="A7417" s="528" t="s">
        <v>21506</v>
      </c>
      <c r="B7417" s="528" t="s">
        <v>21507</v>
      </c>
      <c r="C7417" s="528" t="s">
        <v>21508</v>
      </c>
      <c r="D7417" s="528" t="s">
        <v>277</v>
      </c>
      <c r="E7417" s="528"/>
      <c r="F7417" s="528"/>
      <c r="G7417" s="528" t="s">
        <v>208</v>
      </c>
    </row>
    <row r="7418" spans="1:7" x14ac:dyDescent="0.35">
      <c r="A7418" s="528" t="s">
        <v>21509</v>
      </c>
      <c r="B7418" s="528" t="s">
        <v>21510</v>
      </c>
      <c r="C7418" s="528" t="s">
        <v>21511</v>
      </c>
      <c r="D7418" s="528" t="s">
        <v>277</v>
      </c>
      <c r="E7418" s="528"/>
      <c r="F7418" s="528"/>
      <c r="G7418" s="528" t="s">
        <v>208</v>
      </c>
    </row>
    <row r="7419" spans="1:7" x14ac:dyDescent="0.35">
      <c r="A7419" s="528" t="s">
        <v>21512</v>
      </c>
      <c r="B7419" s="528" t="s">
        <v>21513</v>
      </c>
      <c r="C7419" s="528" t="s">
        <v>21514</v>
      </c>
      <c r="D7419" s="528" t="s">
        <v>277</v>
      </c>
      <c r="E7419" s="528" t="s">
        <v>264</v>
      </c>
      <c r="F7419" s="528"/>
      <c r="G7419" s="528" t="s">
        <v>208</v>
      </c>
    </row>
    <row r="7420" spans="1:7" x14ac:dyDescent="0.35">
      <c r="A7420" s="528" t="s">
        <v>21515</v>
      </c>
      <c r="B7420" s="528" t="s">
        <v>21516</v>
      </c>
      <c r="C7420" s="528" t="s">
        <v>21517</v>
      </c>
      <c r="D7420" s="528" t="s">
        <v>277</v>
      </c>
      <c r="E7420" s="528"/>
      <c r="F7420" s="528"/>
      <c r="G7420" s="528" t="s">
        <v>208</v>
      </c>
    </row>
    <row r="7421" spans="1:7" x14ac:dyDescent="0.35">
      <c r="A7421" s="528" t="s">
        <v>21518</v>
      </c>
      <c r="B7421" s="528" t="s">
        <v>21519</v>
      </c>
      <c r="C7421" s="528" t="s">
        <v>21520</v>
      </c>
      <c r="D7421" s="528" t="s">
        <v>277</v>
      </c>
      <c r="E7421" s="528"/>
      <c r="F7421" s="528"/>
      <c r="G7421" s="528" t="s">
        <v>208</v>
      </c>
    </row>
    <row r="7422" spans="1:7" x14ac:dyDescent="0.35">
      <c r="A7422" s="528" t="s">
        <v>21521</v>
      </c>
      <c r="B7422" s="528" t="s">
        <v>21522</v>
      </c>
      <c r="C7422" s="528" t="s">
        <v>21523</v>
      </c>
      <c r="D7422" s="528" t="s">
        <v>264</v>
      </c>
      <c r="E7422" s="528"/>
      <c r="F7422" s="528"/>
      <c r="G7422" s="528" t="s">
        <v>208</v>
      </c>
    </row>
    <row r="7423" spans="1:7" x14ac:dyDescent="0.35">
      <c r="A7423" s="528" t="s">
        <v>21524</v>
      </c>
      <c r="B7423" s="528" t="s">
        <v>21525</v>
      </c>
      <c r="C7423" s="528" t="s">
        <v>21526</v>
      </c>
      <c r="D7423" s="528" t="s">
        <v>225</v>
      </c>
      <c r="E7423" s="528"/>
      <c r="F7423" s="528"/>
      <c r="G7423" s="528" t="s">
        <v>208</v>
      </c>
    </row>
    <row r="7424" spans="1:7" x14ac:dyDescent="0.35">
      <c r="A7424" s="528" t="s">
        <v>21527</v>
      </c>
      <c r="B7424" s="528" t="s">
        <v>21528</v>
      </c>
      <c r="C7424" s="528" t="s">
        <v>21529</v>
      </c>
      <c r="D7424" s="528" t="s">
        <v>238</v>
      </c>
      <c r="E7424" s="528"/>
      <c r="F7424" s="528"/>
      <c r="G7424" s="528" t="s">
        <v>208</v>
      </c>
    </row>
    <row r="7425" spans="1:7" x14ac:dyDescent="0.35">
      <c r="A7425" s="528" t="s">
        <v>21530</v>
      </c>
      <c r="B7425" s="528" t="s">
        <v>21531</v>
      </c>
      <c r="C7425" s="528" t="s">
        <v>21532</v>
      </c>
      <c r="D7425" s="528" t="s">
        <v>238</v>
      </c>
      <c r="E7425" s="528"/>
      <c r="F7425" s="528"/>
      <c r="G7425" s="528" t="s">
        <v>205</v>
      </c>
    </row>
    <row r="7426" spans="1:7" x14ac:dyDescent="0.35">
      <c r="A7426" s="528" t="s">
        <v>21533</v>
      </c>
      <c r="B7426" s="528" t="s">
        <v>21534</v>
      </c>
      <c r="C7426" s="528" t="s">
        <v>21535</v>
      </c>
      <c r="D7426" s="528" t="s">
        <v>264</v>
      </c>
      <c r="E7426" s="528"/>
      <c r="F7426" s="528"/>
      <c r="G7426" s="528" t="s">
        <v>212</v>
      </c>
    </row>
    <row r="7427" spans="1:7" x14ac:dyDescent="0.35">
      <c r="A7427" s="528" t="s">
        <v>21536</v>
      </c>
      <c r="B7427" s="528" t="s">
        <v>21537</v>
      </c>
      <c r="C7427" s="528" t="s">
        <v>21538</v>
      </c>
      <c r="D7427" s="528" t="s">
        <v>225</v>
      </c>
      <c r="E7427" s="528"/>
      <c r="F7427" s="528"/>
      <c r="G7427" s="528" t="s">
        <v>208</v>
      </c>
    </row>
    <row r="7428" spans="1:7" x14ac:dyDescent="0.35">
      <c r="A7428" s="528" t="s">
        <v>21539</v>
      </c>
      <c r="B7428" s="528" t="s">
        <v>21540</v>
      </c>
      <c r="C7428" s="528" t="s">
        <v>21541</v>
      </c>
      <c r="D7428" s="528" t="s">
        <v>238</v>
      </c>
      <c r="E7428" s="528" t="s">
        <v>277</v>
      </c>
      <c r="F7428" s="528"/>
      <c r="G7428" s="528" t="s">
        <v>208</v>
      </c>
    </row>
    <row r="7429" spans="1:7" x14ac:dyDescent="0.35">
      <c r="A7429" s="528" t="s">
        <v>21542</v>
      </c>
      <c r="B7429" s="528" t="s">
        <v>21543</v>
      </c>
      <c r="C7429" s="528" t="s">
        <v>21544</v>
      </c>
      <c r="D7429" s="528" t="s">
        <v>277</v>
      </c>
      <c r="E7429" s="528"/>
      <c r="F7429" s="528"/>
      <c r="G7429" s="528" t="s">
        <v>205</v>
      </c>
    </row>
    <row r="7430" spans="1:7" x14ac:dyDescent="0.35">
      <c r="A7430" s="528" t="s">
        <v>21545</v>
      </c>
      <c r="B7430" s="528" t="s">
        <v>21546</v>
      </c>
      <c r="C7430" s="528" t="s">
        <v>21547</v>
      </c>
      <c r="D7430" s="528" t="s">
        <v>225</v>
      </c>
      <c r="E7430" s="528"/>
      <c r="F7430" s="528"/>
      <c r="G7430" s="528" t="s">
        <v>205</v>
      </c>
    </row>
    <row r="7431" spans="1:7" x14ac:dyDescent="0.35">
      <c r="A7431" s="528" t="s">
        <v>21548</v>
      </c>
      <c r="B7431" s="528" t="s">
        <v>21549</v>
      </c>
      <c r="C7431" s="528" t="s">
        <v>21550</v>
      </c>
      <c r="D7431" s="528" t="s">
        <v>225</v>
      </c>
      <c r="E7431" s="528"/>
      <c r="F7431" s="528"/>
      <c r="G7431" s="528" t="s">
        <v>208</v>
      </c>
    </row>
    <row r="7432" spans="1:7" x14ac:dyDescent="0.35">
      <c r="A7432" s="528" t="s">
        <v>21551</v>
      </c>
      <c r="B7432" s="528" t="s">
        <v>21552</v>
      </c>
      <c r="C7432" s="528" t="s">
        <v>21553</v>
      </c>
      <c r="D7432" s="528" t="s">
        <v>277</v>
      </c>
      <c r="E7432" s="528" t="s">
        <v>264</v>
      </c>
      <c r="F7432" s="528"/>
      <c r="G7432" s="528" t="s">
        <v>205</v>
      </c>
    </row>
    <row r="7433" spans="1:7" x14ac:dyDescent="0.35">
      <c r="A7433" s="528" t="s">
        <v>21554</v>
      </c>
      <c r="B7433" s="528" t="s">
        <v>21555</v>
      </c>
      <c r="C7433" s="528" t="s">
        <v>21556</v>
      </c>
      <c r="D7433" s="528" t="s">
        <v>238</v>
      </c>
      <c r="E7433" s="528"/>
      <c r="F7433" s="528"/>
      <c r="G7433" s="528" t="s">
        <v>205</v>
      </c>
    </row>
    <row r="7434" spans="1:7" x14ac:dyDescent="0.35">
      <c r="A7434" s="528" t="s">
        <v>21557</v>
      </c>
      <c r="B7434" s="528" t="s">
        <v>21558</v>
      </c>
      <c r="C7434" s="528" t="s">
        <v>21559</v>
      </c>
      <c r="D7434" s="528" t="s">
        <v>251</v>
      </c>
      <c r="E7434" s="528"/>
      <c r="F7434" s="528"/>
      <c r="G7434" s="528" t="s">
        <v>205</v>
      </c>
    </row>
    <row r="7435" spans="1:7" x14ac:dyDescent="0.35">
      <c r="A7435" s="528" t="s">
        <v>21560</v>
      </c>
      <c r="B7435" s="528" t="s">
        <v>21561</v>
      </c>
      <c r="C7435" s="528" t="s">
        <v>21562</v>
      </c>
      <c r="D7435" s="528" t="s">
        <v>251</v>
      </c>
      <c r="E7435" s="528"/>
      <c r="F7435" s="528"/>
      <c r="G7435" s="528" t="s">
        <v>205</v>
      </c>
    </row>
    <row r="7436" spans="1:7" x14ac:dyDescent="0.35">
      <c r="A7436" s="528" t="s">
        <v>21563</v>
      </c>
      <c r="B7436" s="528" t="s">
        <v>21564</v>
      </c>
      <c r="C7436" s="528" t="s">
        <v>21565</v>
      </c>
      <c r="D7436" s="528" t="s">
        <v>264</v>
      </c>
      <c r="E7436" s="528"/>
      <c r="F7436" s="528"/>
      <c r="G7436" s="528" t="s">
        <v>212</v>
      </c>
    </row>
    <row r="7437" spans="1:7" x14ac:dyDescent="0.35">
      <c r="A7437" s="528" t="s">
        <v>21566</v>
      </c>
      <c r="B7437" s="528" t="s">
        <v>21567</v>
      </c>
      <c r="C7437" s="528" t="s">
        <v>21568</v>
      </c>
      <c r="D7437" s="528" t="s">
        <v>264</v>
      </c>
      <c r="E7437" s="528"/>
      <c r="F7437" s="528"/>
      <c r="G7437" s="528" t="s">
        <v>212</v>
      </c>
    </row>
    <row r="7438" spans="1:7" x14ac:dyDescent="0.35">
      <c r="A7438" s="528" t="s">
        <v>21569</v>
      </c>
      <c r="B7438" s="528" t="s">
        <v>21570</v>
      </c>
      <c r="C7438" s="528" t="s">
        <v>21571</v>
      </c>
      <c r="D7438" s="528" t="s">
        <v>238</v>
      </c>
      <c r="E7438" s="528"/>
      <c r="F7438" s="528"/>
      <c r="G7438" s="528" t="s">
        <v>212</v>
      </c>
    </row>
    <row r="7439" spans="1:7" x14ac:dyDescent="0.35">
      <c r="A7439" s="528" t="s">
        <v>21572</v>
      </c>
      <c r="B7439" s="528" t="s">
        <v>21573</v>
      </c>
      <c r="C7439" s="528" t="s">
        <v>21574</v>
      </c>
      <c r="D7439" s="528" t="s">
        <v>238</v>
      </c>
      <c r="E7439" s="528"/>
      <c r="F7439" s="528"/>
      <c r="G7439" s="528" t="s">
        <v>208</v>
      </c>
    </row>
    <row r="7440" spans="1:7" x14ac:dyDescent="0.35">
      <c r="A7440" s="528" t="s">
        <v>21575</v>
      </c>
      <c r="B7440" s="528" t="s">
        <v>21576</v>
      </c>
      <c r="C7440" s="528" t="s">
        <v>21577</v>
      </c>
      <c r="D7440" s="528" t="s">
        <v>238</v>
      </c>
      <c r="E7440" s="528"/>
      <c r="F7440" s="528"/>
      <c r="G7440" s="528" t="s">
        <v>208</v>
      </c>
    </row>
    <row r="7441" spans="1:7" x14ac:dyDescent="0.35">
      <c r="A7441" s="528" t="s">
        <v>21578</v>
      </c>
      <c r="B7441" s="528" t="s">
        <v>21579</v>
      </c>
      <c r="C7441" s="528" t="s">
        <v>21580</v>
      </c>
      <c r="D7441" s="528" t="s">
        <v>238</v>
      </c>
      <c r="E7441" s="528"/>
      <c r="F7441" s="528"/>
      <c r="G7441" s="528" t="s">
        <v>208</v>
      </c>
    </row>
    <row r="7442" spans="1:7" x14ac:dyDescent="0.35">
      <c r="A7442" s="528" t="s">
        <v>21581</v>
      </c>
      <c r="B7442" s="528" t="s">
        <v>21582</v>
      </c>
      <c r="C7442" s="528" t="s">
        <v>21583</v>
      </c>
      <c r="D7442" s="528" t="s">
        <v>277</v>
      </c>
      <c r="E7442" s="528"/>
      <c r="F7442" s="528"/>
      <c r="G7442" s="528" t="s">
        <v>212</v>
      </c>
    </row>
    <row r="7443" spans="1:7" x14ac:dyDescent="0.35">
      <c r="A7443" s="528" t="s">
        <v>21584</v>
      </c>
      <c r="B7443" s="528" t="s">
        <v>21585</v>
      </c>
      <c r="C7443" s="528" t="s">
        <v>21586</v>
      </c>
      <c r="D7443" s="528" t="s">
        <v>264</v>
      </c>
      <c r="E7443" s="528"/>
      <c r="F7443" s="528"/>
      <c r="G7443" s="528" t="s">
        <v>212</v>
      </c>
    </row>
    <row r="7444" spans="1:7" x14ac:dyDescent="0.35">
      <c r="A7444" s="528" t="s">
        <v>21587</v>
      </c>
      <c r="B7444" s="528" t="s">
        <v>21588</v>
      </c>
      <c r="C7444" s="528" t="s">
        <v>21589</v>
      </c>
      <c r="D7444" s="528" t="s">
        <v>264</v>
      </c>
      <c r="E7444" s="528"/>
      <c r="F7444" s="528"/>
      <c r="G7444" s="528" t="s">
        <v>208</v>
      </c>
    </row>
    <row r="7445" spans="1:7" x14ac:dyDescent="0.35">
      <c r="A7445" s="528" t="s">
        <v>21590</v>
      </c>
      <c r="B7445" s="528" t="s">
        <v>21591</v>
      </c>
      <c r="C7445" s="528" t="s">
        <v>21592</v>
      </c>
      <c r="D7445" s="528" t="s">
        <v>264</v>
      </c>
      <c r="E7445" s="528"/>
      <c r="F7445" s="528"/>
      <c r="G7445" s="528" t="s">
        <v>212</v>
      </c>
    </row>
    <row r="7446" spans="1:7" x14ac:dyDescent="0.35">
      <c r="A7446" s="528" t="s">
        <v>21593</v>
      </c>
      <c r="B7446" s="528" t="s">
        <v>21594</v>
      </c>
      <c r="C7446" s="528" t="s">
        <v>21595</v>
      </c>
      <c r="D7446" s="528" t="s">
        <v>264</v>
      </c>
      <c r="E7446" s="528"/>
      <c r="F7446" s="528"/>
      <c r="G7446" s="528" t="s">
        <v>212</v>
      </c>
    </row>
    <row r="7447" spans="1:7" x14ac:dyDescent="0.35">
      <c r="A7447" s="528" t="s">
        <v>21596</v>
      </c>
      <c r="B7447" s="528" t="s">
        <v>21597</v>
      </c>
      <c r="C7447" s="528" t="s">
        <v>21598</v>
      </c>
      <c r="D7447" s="528" t="s">
        <v>277</v>
      </c>
      <c r="E7447" s="528" t="s">
        <v>264</v>
      </c>
      <c r="F7447" s="528"/>
      <c r="G7447" s="528" t="s">
        <v>208</v>
      </c>
    </row>
    <row r="7448" spans="1:7" x14ac:dyDescent="0.35">
      <c r="A7448" s="528" t="s">
        <v>21599</v>
      </c>
      <c r="B7448" s="528" t="s">
        <v>21600</v>
      </c>
      <c r="C7448" s="528" t="s">
        <v>21601</v>
      </c>
      <c r="D7448" s="528" t="s">
        <v>277</v>
      </c>
      <c r="E7448" s="528"/>
      <c r="F7448" s="528"/>
      <c r="G7448" s="528" t="s">
        <v>208</v>
      </c>
    </row>
    <row r="7449" spans="1:7" x14ac:dyDescent="0.35">
      <c r="A7449" s="528" t="s">
        <v>21602</v>
      </c>
      <c r="B7449" s="528" t="s">
        <v>21603</v>
      </c>
      <c r="C7449" s="528" t="s">
        <v>21604</v>
      </c>
      <c r="D7449" s="528" t="s">
        <v>264</v>
      </c>
      <c r="E7449" s="528"/>
      <c r="F7449" s="528"/>
      <c r="G7449" s="528" t="s">
        <v>208</v>
      </c>
    </row>
    <row r="7450" spans="1:7" x14ac:dyDescent="0.35">
      <c r="A7450" s="528" t="s">
        <v>21605</v>
      </c>
      <c r="B7450" s="528" t="s">
        <v>21606</v>
      </c>
      <c r="C7450" s="528" t="s">
        <v>21607</v>
      </c>
      <c r="D7450" s="528" t="s">
        <v>277</v>
      </c>
      <c r="E7450" s="528"/>
      <c r="F7450" s="528"/>
      <c r="G7450" s="528" t="s">
        <v>208</v>
      </c>
    </row>
    <row r="7451" spans="1:7" x14ac:dyDescent="0.35">
      <c r="A7451" s="528" t="s">
        <v>21608</v>
      </c>
      <c r="B7451" s="528" t="s">
        <v>21609</v>
      </c>
      <c r="C7451" s="528" t="s">
        <v>21610</v>
      </c>
      <c r="D7451" s="528" t="s">
        <v>277</v>
      </c>
      <c r="E7451" s="528"/>
      <c r="F7451" s="528"/>
      <c r="G7451" s="528" t="s">
        <v>208</v>
      </c>
    </row>
    <row r="7452" spans="1:7" x14ac:dyDescent="0.35">
      <c r="A7452" s="528" t="s">
        <v>21611</v>
      </c>
      <c r="B7452" s="528" t="s">
        <v>21612</v>
      </c>
      <c r="C7452" s="528" t="s">
        <v>21613</v>
      </c>
      <c r="D7452" s="528" t="s">
        <v>277</v>
      </c>
      <c r="E7452" s="528"/>
      <c r="F7452" s="528"/>
      <c r="G7452" s="528" t="s">
        <v>208</v>
      </c>
    </row>
    <row r="7453" spans="1:7" x14ac:dyDescent="0.35">
      <c r="A7453" s="528" t="s">
        <v>21614</v>
      </c>
      <c r="B7453" s="528" t="s">
        <v>21615</v>
      </c>
      <c r="C7453" s="528" t="s">
        <v>21616</v>
      </c>
      <c r="D7453" s="528" t="s">
        <v>264</v>
      </c>
      <c r="E7453" s="528"/>
      <c r="F7453" s="528"/>
      <c r="G7453" s="528" t="s">
        <v>208</v>
      </c>
    </row>
    <row r="7454" spans="1:7" x14ac:dyDescent="0.35">
      <c r="A7454" s="528" t="s">
        <v>21617</v>
      </c>
      <c r="B7454" s="528" t="s">
        <v>21618</v>
      </c>
      <c r="C7454" s="528" t="s">
        <v>21619</v>
      </c>
      <c r="D7454" s="528" t="s">
        <v>264</v>
      </c>
      <c r="E7454" s="528"/>
      <c r="F7454" s="528"/>
      <c r="G7454" s="528" t="s">
        <v>208</v>
      </c>
    </row>
    <row r="7455" spans="1:7" x14ac:dyDescent="0.35">
      <c r="A7455" s="528" t="s">
        <v>21620</v>
      </c>
      <c r="B7455" s="528" t="s">
        <v>21621</v>
      </c>
      <c r="C7455" s="528" t="s">
        <v>21622</v>
      </c>
      <c r="D7455" s="528" t="s">
        <v>277</v>
      </c>
      <c r="E7455" s="528"/>
      <c r="F7455" s="528"/>
      <c r="G7455" s="528" t="s">
        <v>212</v>
      </c>
    </row>
    <row r="7456" spans="1:7" x14ac:dyDescent="0.35">
      <c r="A7456" s="528" t="s">
        <v>21623</v>
      </c>
      <c r="B7456" s="528" t="s">
        <v>21624</v>
      </c>
      <c r="C7456" s="528" t="s">
        <v>21625</v>
      </c>
      <c r="D7456" s="528" t="s">
        <v>225</v>
      </c>
      <c r="E7456" s="528"/>
      <c r="F7456" s="528"/>
      <c r="G7456" s="528" t="s">
        <v>208</v>
      </c>
    </row>
    <row r="7457" spans="1:7" x14ac:dyDescent="0.35">
      <c r="A7457" s="528" t="s">
        <v>21626</v>
      </c>
      <c r="B7457" s="528" t="s">
        <v>21627</v>
      </c>
      <c r="C7457" s="528" t="s">
        <v>21628</v>
      </c>
      <c r="D7457" s="528" t="s">
        <v>264</v>
      </c>
      <c r="E7457" s="528"/>
      <c r="F7457" s="528"/>
      <c r="G7457" s="528" t="s">
        <v>212</v>
      </c>
    </row>
    <row r="7458" spans="1:7" x14ac:dyDescent="0.35">
      <c r="A7458" s="528" t="s">
        <v>21629</v>
      </c>
      <c r="B7458" s="528" t="s">
        <v>21630</v>
      </c>
      <c r="C7458" s="528" t="s">
        <v>21631</v>
      </c>
      <c r="D7458" s="528" t="s">
        <v>264</v>
      </c>
      <c r="E7458" s="528"/>
      <c r="F7458" s="528"/>
      <c r="G7458" s="528" t="s">
        <v>208</v>
      </c>
    </row>
    <row r="7459" spans="1:7" x14ac:dyDescent="0.35">
      <c r="A7459" s="528" t="s">
        <v>21632</v>
      </c>
      <c r="B7459" s="528" t="s">
        <v>21633</v>
      </c>
      <c r="C7459" s="528" t="s">
        <v>21634</v>
      </c>
      <c r="D7459" s="528" t="s">
        <v>264</v>
      </c>
      <c r="E7459" s="528"/>
      <c r="F7459" s="528"/>
      <c r="G7459" s="528" t="s">
        <v>208</v>
      </c>
    </row>
    <row r="7460" spans="1:7" x14ac:dyDescent="0.35">
      <c r="A7460" s="528" t="s">
        <v>21635</v>
      </c>
      <c r="B7460" s="528" t="s">
        <v>21636</v>
      </c>
      <c r="C7460" s="528" t="s">
        <v>21637</v>
      </c>
      <c r="D7460" s="528" t="s">
        <v>277</v>
      </c>
      <c r="E7460" s="528"/>
      <c r="F7460" s="528"/>
      <c r="G7460" s="528" t="s">
        <v>208</v>
      </c>
    </row>
    <row r="7461" spans="1:7" x14ac:dyDescent="0.35">
      <c r="A7461" s="528" t="s">
        <v>21638</v>
      </c>
      <c r="B7461" s="528" t="s">
        <v>21639</v>
      </c>
      <c r="C7461" s="528" t="s">
        <v>21640</v>
      </c>
      <c r="D7461" s="528" t="s">
        <v>225</v>
      </c>
      <c r="E7461" s="528"/>
      <c r="F7461" s="528"/>
      <c r="G7461" s="528" t="s">
        <v>208</v>
      </c>
    </row>
    <row r="7462" spans="1:7" x14ac:dyDescent="0.35">
      <c r="A7462" s="528" t="s">
        <v>21641</v>
      </c>
      <c r="B7462" s="528" t="s">
        <v>21642</v>
      </c>
      <c r="C7462" s="528" t="s">
        <v>21643</v>
      </c>
      <c r="D7462" s="528" t="s">
        <v>264</v>
      </c>
      <c r="E7462" s="528"/>
      <c r="F7462" s="528"/>
      <c r="G7462" s="528" t="s">
        <v>205</v>
      </c>
    </row>
    <row r="7463" spans="1:7" x14ac:dyDescent="0.35">
      <c r="A7463" s="528" t="s">
        <v>21644</v>
      </c>
      <c r="B7463" s="528" t="s">
        <v>21645</v>
      </c>
      <c r="C7463" s="528" t="s">
        <v>21646</v>
      </c>
      <c r="D7463" s="528" t="s">
        <v>264</v>
      </c>
      <c r="E7463" s="528"/>
      <c r="F7463" s="528"/>
      <c r="G7463" s="528" t="s">
        <v>205</v>
      </c>
    </row>
    <row r="7464" spans="1:7" x14ac:dyDescent="0.35">
      <c r="A7464" s="528" t="s">
        <v>21647</v>
      </c>
      <c r="B7464" s="528" t="s">
        <v>21648</v>
      </c>
      <c r="C7464" s="528" t="s">
        <v>21649</v>
      </c>
      <c r="D7464" s="528" t="s">
        <v>277</v>
      </c>
      <c r="E7464" s="528"/>
      <c r="F7464" s="528"/>
      <c r="G7464" s="528" t="s">
        <v>208</v>
      </c>
    </row>
    <row r="7465" spans="1:7" x14ac:dyDescent="0.35">
      <c r="A7465" s="528" t="s">
        <v>21650</v>
      </c>
      <c r="B7465" s="528" t="s">
        <v>21651</v>
      </c>
      <c r="C7465" s="528" t="s">
        <v>21652</v>
      </c>
      <c r="D7465" s="528" t="s">
        <v>225</v>
      </c>
      <c r="E7465" s="528"/>
      <c r="F7465" s="528"/>
      <c r="G7465" s="528" t="s">
        <v>214</v>
      </c>
    </row>
    <row r="7466" spans="1:7" x14ac:dyDescent="0.35">
      <c r="A7466" s="528" t="s">
        <v>21653</v>
      </c>
      <c r="B7466" s="528" t="s">
        <v>21654</v>
      </c>
      <c r="C7466" s="528" t="s">
        <v>21655</v>
      </c>
      <c r="D7466" s="528" t="s">
        <v>238</v>
      </c>
      <c r="E7466" s="528"/>
      <c r="F7466" s="528"/>
      <c r="G7466" s="528" t="s">
        <v>208</v>
      </c>
    </row>
    <row r="7467" spans="1:7" x14ac:dyDescent="0.35">
      <c r="A7467" s="528" t="s">
        <v>21656</v>
      </c>
      <c r="B7467" s="528" t="s">
        <v>21657</v>
      </c>
      <c r="C7467" s="528" t="s">
        <v>21658</v>
      </c>
      <c r="D7467" s="528" t="s">
        <v>277</v>
      </c>
      <c r="E7467" s="528"/>
      <c r="F7467" s="528"/>
      <c r="G7467" s="528" t="s">
        <v>208</v>
      </c>
    </row>
    <row r="7468" spans="1:7" x14ac:dyDescent="0.35">
      <c r="A7468" s="528" t="s">
        <v>21659</v>
      </c>
      <c r="B7468" s="528" t="s">
        <v>21660</v>
      </c>
      <c r="C7468" s="528" t="s">
        <v>21661</v>
      </c>
      <c r="D7468" s="528" t="s">
        <v>277</v>
      </c>
      <c r="E7468" s="528"/>
      <c r="F7468" s="528"/>
      <c r="G7468" s="528" t="s">
        <v>208</v>
      </c>
    </row>
    <row r="7469" spans="1:7" x14ac:dyDescent="0.35">
      <c r="A7469" s="528" t="s">
        <v>21662</v>
      </c>
      <c r="B7469" s="528" t="s">
        <v>21663</v>
      </c>
      <c r="C7469" s="528" t="s">
        <v>21664</v>
      </c>
      <c r="D7469" s="528" t="s">
        <v>264</v>
      </c>
      <c r="E7469" s="528"/>
      <c r="F7469" s="528"/>
      <c r="G7469" s="528" t="s">
        <v>205</v>
      </c>
    </row>
    <row r="7470" spans="1:7" x14ac:dyDescent="0.35">
      <c r="A7470" s="528" t="s">
        <v>21665</v>
      </c>
      <c r="B7470" s="528" t="s">
        <v>21666</v>
      </c>
      <c r="C7470" s="528" t="s">
        <v>21667</v>
      </c>
      <c r="D7470" s="528" t="s">
        <v>264</v>
      </c>
      <c r="E7470" s="528"/>
      <c r="F7470" s="528"/>
      <c r="G7470" s="528" t="s">
        <v>212</v>
      </c>
    </row>
    <row r="7471" spans="1:7" x14ac:dyDescent="0.35">
      <c r="A7471" s="528" t="s">
        <v>21668</v>
      </c>
      <c r="B7471" s="528" t="s">
        <v>21669</v>
      </c>
      <c r="C7471" s="528" t="s">
        <v>21670</v>
      </c>
      <c r="D7471" s="528" t="s">
        <v>277</v>
      </c>
      <c r="E7471" s="528"/>
      <c r="F7471" s="528"/>
      <c r="G7471" s="528" t="s">
        <v>212</v>
      </c>
    </row>
    <row r="7472" spans="1:7" x14ac:dyDescent="0.35">
      <c r="A7472" s="528" t="s">
        <v>21671</v>
      </c>
      <c r="B7472" s="528" t="s">
        <v>21672</v>
      </c>
      <c r="C7472" s="528" t="s">
        <v>21673</v>
      </c>
      <c r="D7472" s="528" t="s">
        <v>264</v>
      </c>
      <c r="E7472" s="528"/>
      <c r="F7472" s="528"/>
      <c r="G7472" s="528" t="s">
        <v>205</v>
      </c>
    </row>
    <row r="7473" spans="1:7" x14ac:dyDescent="0.35">
      <c r="A7473" s="528" t="s">
        <v>21674</v>
      </c>
      <c r="B7473" s="528" t="s">
        <v>21675</v>
      </c>
      <c r="C7473" s="528" t="s">
        <v>21676</v>
      </c>
      <c r="D7473" s="528" t="s">
        <v>264</v>
      </c>
      <c r="E7473" s="528"/>
      <c r="F7473" s="528"/>
      <c r="G7473" s="528" t="s">
        <v>210</v>
      </c>
    </row>
    <row r="7474" spans="1:7" x14ac:dyDescent="0.35">
      <c r="A7474" s="528" t="s">
        <v>21677</v>
      </c>
      <c r="B7474" s="528" t="s">
        <v>21678</v>
      </c>
      <c r="C7474" s="528" t="s">
        <v>21679</v>
      </c>
      <c r="D7474" s="528" t="s">
        <v>238</v>
      </c>
      <c r="E7474" s="528"/>
      <c r="F7474" s="528"/>
      <c r="G7474" s="528" t="s">
        <v>208</v>
      </c>
    </row>
    <row r="7475" spans="1:7" x14ac:dyDescent="0.35">
      <c r="A7475" s="528" t="s">
        <v>21680</v>
      </c>
      <c r="B7475" s="528" t="s">
        <v>21681</v>
      </c>
      <c r="C7475" s="528" t="s">
        <v>21682</v>
      </c>
      <c r="D7475" s="528" t="s">
        <v>277</v>
      </c>
      <c r="E7475" s="528"/>
      <c r="F7475" s="528"/>
      <c r="G7475" s="528" t="s">
        <v>208</v>
      </c>
    </row>
    <row r="7476" spans="1:7" x14ac:dyDescent="0.35">
      <c r="A7476" s="528" t="s">
        <v>21683</v>
      </c>
      <c r="B7476" s="528" t="s">
        <v>21684</v>
      </c>
      <c r="C7476" s="528" t="s">
        <v>21685</v>
      </c>
      <c r="D7476" s="528" t="s">
        <v>264</v>
      </c>
      <c r="E7476" s="528"/>
      <c r="F7476" s="528"/>
      <c r="G7476" s="528" t="s">
        <v>208</v>
      </c>
    </row>
    <row r="7477" spans="1:7" x14ac:dyDescent="0.35">
      <c r="A7477" s="528" t="s">
        <v>21686</v>
      </c>
      <c r="B7477" s="528" t="s">
        <v>21687</v>
      </c>
      <c r="C7477" s="528" t="s">
        <v>21688</v>
      </c>
      <c r="D7477" s="528" t="s">
        <v>277</v>
      </c>
      <c r="E7477" s="528"/>
      <c r="F7477" s="528"/>
      <c r="G7477" s="528" t="s">
        <v>205</v>
      </c>
    </row>
    <row r="7478" spans="1:7" x14ac:dyDescent="0.35">
      <c r="A7478" s="528" t="s">
        <v>21689</v>
      </c>
      <c r="B7478" s="528" t="s">
        <v>21690</v>
      </c>
      <c r="C7478" s="528" t="s">
        <v>21691</v>
      </c>
      <c r="D7478" s="528" t="s">
        <v>277</v>
      </c>
      <c r="E7478" s="528"/>
      <c r="F7478" s="528"/>
      <c r="G7478" s="528" t="s">
        <v>208</v>
      </c>
    </row>
    <row r="7479" spans="1:7" x14ac:dyDescent="0.35">
      <c r="A7479" s="528" t="s">
        <v>21692</v>
      </c>
      <c r="B7479" s="528" t="s">
        <v>21693</v>
      </c>
      <c r="C7479" s="528" t="s">
        <v>21694</v>
      </c>
      <c r="D7479" s="528" t="s">
        <v>264</v>
      </c>
      <c r="E7479" s="528"/>
      <c r="F7479" s="528"/>
      <c r="G7479" s="528" t="s">
        <v>205</v>
      </c>
    </row>
    <row r="7480" spans="1:7" x14ac:dyDescent="0.35">
      <c r="A7480" s="528" t="s">
        <v>21695</v>
      </c>
      <c r="B7480" s="528" t="s">
        <v>21696</v>
      </c>
      <c r="C7480" s="528" t="s">
        <v>21697</v>
      </c>
      <c r="D7480" s="528" t="s">
        <v>277</v>
      </c>
      <c r="E7480" s="528"/>
      <c r="F7480" s="528"/>
      <c r="G7480" s="528" t="s">
        <v>208</v>
      </c>
    </row>
    <row r="7481" spans="1:7" x14ac:dyDescent="0.35">
      <c r="A7481" s="528" t="s">
        <v>21698</v>
      </c>
      <c r="B7481" s="528" t="s">
        <v>21699</v>
      </c>
      <c r="C7481" s="528" t="s">
        <v>21700</v>
      </c>
      <c r="D7481" s="528" t="s">
        <v>277</v>
      </c>
      <c r="E7481" s="528" t="s">
        <v>264</v>
      </c>
      <c r="F7481" s="528"/>
      <c r="G7481" s="528" t="s">
        <v>212</v>
      </c>
    </row>
    <row r="7482" spans="1:7" x14ac:dyDescent="0.35">
      <c r="A7482" s="528" t="s">
        <v>21701</v>
      </c>
      <c r="B7482" s="528" t="s">
        <v>21702</v>
      </c>
      <c r="C7482" s="528" t="s">
        <v>21703</v>
      </c>
      <c r="D7482" s="528" t="s">
        <v>264</v>
      </c>
      <c r="E7482" s="528"/>
      <c r="F7482" s="528"/>
      <c r="G7482" s="528" t="s">
        <v>205</v>
      </c>
    </row>
    <row r="7483" spans="1:7" x14ac:dyDescent="0.35">
      <c r="A7483" s="528" t="s">
        <v>21704</v>
      </c>
      <c r="B7483" s="528" t="s">
        <v>21705</v>
      </c>
      <c r="C7483" s="528" t="s">
        <v>21706</v>
      </c>
      <c r="D7483" s="528" t="s">
        <v>277</v>
      </c>
      <c r="E7483" s="528"/>
      <c r="F7483" s="528"/>
      <c r="G7483" s="528" t="s">
        <v>212</v>
      </c>
    </row>
    <row r="7484" spans="1:7" x14ac:dyDescent="0.35">
      <c r="A7484" s="528" t="s">
        <v>21707</v>
      </c>
      <c r="B7484" s="528" t="s">
        <v>21708</v>
      </c>
      <c r="C7484" s="528" t="s">
        <v>21709</v>
      </c>
      <c r="D7484" s="528" t="s">
        <v>264</v>
      </c>
      <c r="E7484" s="528" t="s">
        <v>277</v>
      </c>
      <c r="F7484" s="528"/>
      <c r="G7484" s="528" t="s">
        <v>212</v>
      </c>
    </row>
    <row r="7485" spans="1:7" x14ac:dyDescent="0.35">
      <c r="A7485" s="528" t="s">
        <v>21710</v>
      </c>
      <c r="B7485" s="528" t="s">
        <v>21711</v>
      </c>
      <c r="C7485" s="528" t="s">
        <v>21712</v>
      </c>
      <c r="D7485" s="528" t="s">
        <v>277</v>
      </c>
      <c r="E7485" s="528" t="s">
        <v>264</v>
      </c>
      <c r="F7485" s="528"/>
      <c r="G7485" s="528" t="s">
        <v>212</v>
      </c>
    </row>
    <row r="7486" spans="1:7" x14ac:dyDescent="0.35">
      <c r="A7486" s="528" t="s">
        <v>21713</v>
      </c>
      <c r="B7486" s="528" t="s">
        <v>21714</v>
      </c>
      <c r="C7486" s="528" t="s">
        <v>21715</v>
      </c>
      <c r="D7486" s="528" t="s">
        <v>225</v>
      </c>
      <c r="E7486" s="528"/>
      <c r="F7486" s="528"/>
      <c r="G7486" s="528" t="s">
        <v>205</v>
      </c>
    </row>
    <row r="7487" spans="1:7" x14ac:dyDescent="0.35">
      <c r="A7487" s="528" t="s">
        <v>21716</v>
      </c>
      <c r="B7487" s="528" t="s">
        <v>21717</v>
      </c>
      <c r="C7487" s="528" t="s">
        <v>21718</v>
      </c>
      <c r="D7487" s="528" t="s">
        <v>238</v>
      </c>
      <c r="E7487" s="528"/>
      <c r="F7487" s="528"/>
      <c r="G7487" s="528" t="s">
        <v>208</v>
      </c>
    </row>
    <row r="7488" spans="1:7" x14ac:dyDescent="0.35">
      <c r="A7488" s="528" t="s">
        <v>21719</v>
      </c>
      <c r="B7488" s="528" t="s">
        <v>21720</v>
      </c>
      <c r="C7488" s="528" t="s">
        <v>21721</v>
      </c>
      <c r="D7488" s="528" t="s">
        <v>225</v>
      </c>
      <c r="E7488" s="528"/>
      <c r="F7488" s="528"/>
      <c r="G7488" s="528" t="s">
        <v>208</v>
      </c>
    </row>
    <row r="7489" spans="1:7" x14ac:dyDescent="0.35">
      <c r="A7489" s="528" t="s">
        <v>21722</v>
      </c>
      <c r="B7489" s="528" t="s">
        <v>21723</v>
      </c>
      <c r="C7489" s="528" t="s">
        <v>21724</v>
      </c>
      <c r="D7489" s="528" t="s">
        <v>251</v>
      </c>
      <c r="E7489" s="528"/>
      <c r="F7489" s="528"/>
      <c r="G7489" s="528" t="s">
        <v>208</v>
      </c>
    </row>
    <row r="7490" spans="1:7" x14ac:dyDescent="0.35">
      <c r="A7490" s="528" t="s">
        <v>21725</v>
      </c>
      <c r="B7490" s="528" t="s">
        <v>21726</v>
      </c>
      <c r="C7490" s="528" t="s">
        <v>21727</v>
      </c>
      <c r="D7490" s="528" t="s">
        <v>277</v>
      </c>
      <c r="E7490" s="528"/>
      <c r="F7490" s="528"/>
      <c r="G7490" s="528" t="s">
        <v>212</v>
      </c>
    </row>
    <row r="7491" spans="1:7" x14ac:dyDescent="0.35">
      <c r="A7491" s="528" t="s">
        <v>21728</v>
      </c>
      <c r="B7491" s="528" t="s">
        <v>21729</v>
      </c>
      <c r="C7491" s="528" t="s">
        <v>21730</v>
      </c>
      <c r="D7491" s="528" t="s">
        <v>264</v>
      </c>
      <c r="E7491" s="528"/>
      <c r="F7491" s="528"/>
      <c r="G7491" s="528" t="s">
        <v>208</v>
      </c>
    </row>
    <row r="7492" spans="1:7" x14ac:dyDescent="0.35">
      <c r="A7492" s="528" t="s">
        <v>21731</v>
      </c>
      <c r="B7492" s="528" t="s">
        <v>21732</v>
      </c>
      <c r="C7492" s="528" t="s">
        <v>21733</v>
      </c>
      <c r="D7492" s="528" t="s">
        <v>225</v>
      </c>
      <c r="E7492" s="528"/>
      <c r="F7492" s="528"/>
      <c r="G7492" s="528" t="s">
        <v>208</v>
      </c>
    </row>
    <row r="7493" spans="1:7" x14ac:dyDescent="0.35">
      <c r="A7493" s="528" t="s">
        <v>21734</v>
      </c>
      <c r="B7493" s="528" t="s">
        <v>21735</v>
      </c>
      <c r="C7493" s="528" t="s">
        <v>21736</v>
      </c>
      <c r="D7493" s="528" t="s">
        <v>264</v>
      </c>
      <c r="E7493" s="528"/>
      <c r="F7493" s="528"/>
      <c r="G7493" s="528" t="s">
        <v>212</v>
      </c>
    </row>
    <row r="7494" spans="1:7" x14ac:dyDescent="0.35">
      <c r="A7494" s="528" t="s">
        <v>21737</v>
      </c>
      <c r="B7494" s="528" t="s">
        <v>21738</v>
      </c>
      <c r="C7494" s="528" t="s">
        <v>21739</v>
      </c>
      <c r="D7494" s="528" t="s">
        <v>264</v>
      </c>
      <c r="E7494" s="528"/>
      <c r="F7494" s="528"/>
      <c r="G7494" s="528" t="s">
        <v>212</v>
      </c>
    </row>
    <row r="7495" spans="1:7" x14ac:dyDescent="0.35">
      <c r="A7495" s="528" t="s">
        <v>21740</v>
      </c>
      <c r="B7495" s="528" t="s">
        <v>21741</v>
      </c>
      <c r="C7495" s="528" t="s">
        <v>21742</v>
      </c>
      <c r="D7495" s="528" t="s">
        <v>264</v>
      </c>
      <c r="E7495" s="528"/>
      <c r="F7495" s="528"/>
      <c r="G7495" s="528" t="s">
        <v>212</v>
      </c>
    </row>
    <row r="7496" spans="1:7" x14ac:dyDescent="0.35">
      <c r="A7496" s="528" t="s">
        <v>21743</v>
      </c>
      <c r="B7496" s="528" t="s">
        <v>21744</v>
      </c>
      <c r="C7496" s="528" t="s">
        <v>21745</v>
      </c>
      <c r="D7496" s="528" t="s">
        <v>264</v>
      </c>
      <c r="E7496" s="528"/>
      <c r="F7496" s="528"/>
      <c r="G7496" s="528" t="s">
        <v>208</v>
      </c>
    </row>
    <row r="7497" spans="1:7" x14ac:dyDescent="0.35">
      <c r="A7497" s="528" t="s">
        <v>21746</v>
      </c>
      <c r="B7497" s="528" t="s">
        <v>21747</v>
      </c>
      <c r="C7497" s="528" t="s">
        <v>21748</v>
      </c>
      <c r="D7497" s="528" t="s">
        <v>264</v>
      </c>
      <c r="E7497" s="528"/>
      <c r="F7497" s="528"/>
      <c r="G7497" s="528" t="s">
        <v>208</v>
      </c>
    </row>
    <row r="7498" spans="1:7" x14ac:dyDescent="0.35">
      <c r="A7498" s="528" t="s">
        <v>21749</v>
      </c>
      <c r="B7498" s="528" t="s">
        <v>21750</v>
      </c>
      <c r="C7498" s="528" t="s">
        <v>21751</v>
      </c>
      <c r="D7498" s="528" t="s">
        <v>264</v>
      </c>
      <c r="E7498" s="528"/>
      <c r="F7498" s="528"/>
      <c r="G7498" s="528" t="s">
        <v>205</v>
      </c>
    </row>
    <row r="7499" spans="1:7" x14ac:dyDescent="0.35">
      <c r="A7499" s="528" t="s">
        <v>21752</v>
      </c>
      <c r="B7499" s="528" t="s">
        <v>21753</v>
      </c>
      <c r="C7499" s="528" t="s">
        <v>21754</v>
      </c>
      <c r="D7499" s="528" t="s">
        <v>264</v>
      </c>
      <c r="E7499" s="528"/>
      <c r="F7499" s="528"/>
      <c r="G7499" s="528" t="s">
        <v>208</v>
      </c>
    </row>
    <row r="7500" spans="1:7" x14ac:dyDescent="0.35">
      <c r="A7500" s="528" t="s">
        <v>21755</v>
      </c>
      <c r="B7500" s="528" t="s">
        <v>21756</v>
      </c>
      <c r="C7500" s="528" t="s">
        <v>21757</v>
      </c>
      <c r="D7500" s="528" t="s">
        <v>277</v>
      </c>
      <c r="E7500" s="528"/>
      <c r="F7500" s="528"/>
      <c r="G7500" s="528" t="s">
        <v>208</v>
      </c>
    </row>
    <row r="7501" spans="1:7" x14ac:dyDescent="0.35">
      <c r="A7501" s="528" t="s">
        <v>21758</v>
      </c>
      <c r="B7501" s="528" t="s">
        <v>21759</v>
      </c>
      <c r="C7501" s="528" t="s">
        <v>21760</v>
      </c>
      <c r="D7501" s="528" t="s">
        <v>251</v>
      </c>
      <c r="E7501" s="528"/>
      <c r="F7501" s="528"/>
      <c r="G7501" s="528" t="s">
        <v>205</v>
      </c>
    </row>
    <row r="7502" spans="1:7" x14ac:dyDescent="0.35">
      <c r="A7502" s="528" t="s">
        <v>21761</v>
      </c>
      <c r="B7502" s="528" t="s">
        <v>21762</v>
      </c>
      <c r="C7502" s="528" t="s">
        <v>21763</v>
      </c>
      <c r="D7502" s="528" t="s">
        <v>277</v>
      </c>
      <c r="E7502" s="528"/>
      <c r="F7502" s="528"/>
      <c r="G7502" s="528" t="s">
        <v>205</v>
      </c>
    </row>
    <row r="7503" spans="1:7" x14ac:dyDescent="0.35">
      <c r="A7503" s="528" t="s">
        <v>21764</v>
      </c>
      <c r="B7503" s="528" t="s">
        <v>21765</v>
      </c>
      <c r="C7503" s="528" t="s">
        <v>21766</v>
      </c>
      <c r="D7503" s="528" t="s">
        <v>277</v>
      </c>
      <c r="E7503" s="528"/>
      <c r="F7503" s="528"/>
      <c r="G7503" s="528" t="s">
        <v>205</v>
      </c>
    </row>
    <row r="7504" spans="1:7" x14ac:dyDescent="0.35">
      <c r="A7504" s="528" t="s">
        <v>21767</v>
      </c>
      <c r="B7504" s="528" t="s">
        <v>21768</v>
      </c>
      <c r="C7504" s="528" t="s">
        <v>21769</v>
      </c>
      <c r="D7504" s="528" t="s">
        <v>277</v>
      </c>
      <c r="E7504" s="528"/>
      <c r="F7504" s="528"/>
      <c r="G7504" s="528" t="s">
        <v>205</v>
      </c>
    </row>
    <row r="7505" spans="1:7" x14ac:dyDescent="0.35">
      <c r="A7505" s="528" t="s">
        <v>21770</v>
      </c>
      <c r="B7505" s="528" t="s">
        <v>21771</v>
      </c>
      <c r="C7505" s="528" t="s">
        <v>21772</v>
      </c>
      <c r="D7505" s="528" t="s">
        <v>277</v>
      </c>
      <c r="E7505" s="528"/>
      <c r="F7505" s="528"/>
      <c r="G7505" s="528" t="s">
        <v>208</v>
      </c>
    </row>
    <row r="7506" spans="1:7" x14ac:dyDescent="0.35">
      <c r="A7506" s="528" t="s">
        <v>21773</v>
      </c>
      <c r="B7506" s="528" t="s">
        <v>21774</v>
      </c>
      <c r="C7506" s="528" t="s">
        <v>21775</v>
      </c>
      <c r="D7506" s="528" t="s">
        <v>277</v>
      </c>
      <c r="E7506" s="528"/>
      <c r="F7506" s="528"/>
      <c r="G7506" s="528" t="s">
        <v>212</v>
      </c>
    </row>
    <row r="7507" spans="1:7" x14ac:dyDescent="0.35">
      <c r="A7507" s="528" t="s">
        <v>21776</v>
      </c>
      <c r="B7507" s="528" t="s">
        <v>21777</v>
      </c>
      <c r="C7507" s="528" t="s">
        <v>21778</v>
      </c>
      <c r="D7507" s="528" t="s">
        <v>277</v>
      </c>
      <c r="E7507" s="528"/>
      <c r="F7507" s="528"/>
      <c r="G7507" s="528" t="s">
        <v>212</v>
      </c>
    </row>
    <row r="7508" spans="1:7" x14ac:dyDescent="0.35">
      <c r="A7508" s="528" t="s">
        <v>21779</v>
      </c>
      <c r="B7508" s="528" t="s">
        <v>21780</v>
      </c>
      <c r="C7508" s="528" t="s">
        <v>21781</v>
      </c>
      <c r="D7508" s="528" t="s">
        <v>264</v>
      </c>
      <c r="E7508" s="528"/>
      <c r="F7508" s="528"/>
      <c r="G7508" s="528" t="s">
        <v>212</v>
      </c>
    </row>
    <row r="7509" spans="1:7" x14ac:dyDescent="0.35">
      <c r="A7509" s="528" t="s">
        <v>21782</v>
      </c>
      <c r="B7509" s="528" t="s">
        <v>21783</v>
      </c>
      <c r="C7509" s="528" t="s">
        <v>21784</v>
      </c>
      <c r="D7509" s="528" t="s">
        <v>277</v>
      </c>
      <c r="E7509" s="528"/>
      <c r="F7509" s="528"/>
      <c r="G7509" s="528" t="s">
        <v>212</v>
      </c>
    </row>
    <row r="7510" spans="1:7" x14ac:dyDescent="0.35">
      <c r="A7510" s="528" t="s">
        <v>21785</v>
      </c>
      <c r="B7510" s="528" t="s">
        <v>21786</v>
      </c>
      <c r="C7510" s="528" t="s">
        <v>21787</v>
      </c>
      <c r="D7510" s="528" t="s">
        <v>264</v>
      </c>
      <c r="E7510" s="528"/>
      <c r="F7510" s="528"/>
      <c r="G7510" s="528" t="s">
        <v>208</v>
      </c>
    </row>
    <row r="7511" spans="1:7" x14ac:dyDescent="0.35">
      <c r="A7511" s="528" t="s">
        <v>21788</v>
      </c>
      <c r="B7511" s="528" t="s">
        <v>21789</v>
      </c>
      <c r="C7511" s="528" t="s">
        <v>21790</v>
      </c>
      <c r="D7511" s="528" t="s">
        <v>264</v>
      </c>
      <c r="E7511" s="528"/>
      <c r="F7511" s="528"/>
      <c r="G7511" s="528" t="s">
        <v>212</v>
      </c>
    </row>
    <row r="7512" spans="1:7" x14ac:dyDescent="0.35">
      <c r="A7512" s="528" t="s">
        <v>21791</v>
      </c>
      <c r="B7512" s="528" t="s">
        <v>21792</v>
      </c>
      <c r="C7512" s="528" t="s">
        <v>21793</v>
      </c>
      <c r="D7512" s="528" t="s">
        <v>264</v>
      </c>
      <c r="E7512" s="528"/>
      <c r="F7512" s="528"/>
      <c r="G7512" s="528" t="s">
        <v>208</v>
      </c>
    </row>
    <row r="7513" spans="1:7" x14ac:dyDescent="0.35">
      <c r="A7513" s="528" t="s">
        <v>21794</v>
      </c>
      <c r="B7513" s="528" t="s">
        <v>21795</v>
      </c>
      <c r="C7513" s="528" t="s">
        <v>21796</v>
      </c>
      <c r="D7513" s="528" t="s">
        <v>251</v>
      </c>
      <c r="E7513" s="528"/>
      <c r="F7513" s="528"/>
      <c r="G7513" s="528" t="s">
        <v>208</v>
      </c>
    </row>
    <row r="7514" spans="1:7" x14ac:dyDescent="0.35">
      <c r="A7514" s="528" t="s">
        <v>21797</v>
      </c>
      <c r="B7514" s="528" t="s">
        <v>21798</v>
      </c>
      <c r="C7514" s="528" t="s">
        <v>21799</v>
      </c>
      <c r="D7514" s="528" t="s">
        <v>277</v>
      </c>
      <c r="E7514" s="528" t="s">
        <v>264</v>
      </c>
      <c r="F7514" s="528"/>
      <c r="G7514" s="528" t="s">
        <v>212</v>
      </c>
    </row>
    <row r="7515" spans="1:7" x14ac:dyDescent="0.35">
      <c r="A7515" s="528" t="s">
        <v>21800</v>
      </c>
      <c r="B7515" s="528" t="s">
        <v>21801</v>
      </c>
      <c r="C7515" s="528" t="s">
        <v>21802</v>
      </c>
      <c r="D7515" s="528" t="s">
        <v>225</v>
      </c>
      <c r="E7515" s="528"/>
      <c r="F7515" s="528"/>
      <c r="G7515" s="528" t="s">
        <v>214</v>
      </c>
    </row>
    <row r="7516" spans="1:7" x14ac:dyDescent="0.35">
      <c r="A7516" s="528" t="s">
        <v>21803</v>
      </c>
      <c r="B7516" s="528" t="s">
        <v>21804</v>
      </c>
      <c r="C7516" s="528" t="s">
        <v>21805</v>
      </c>
      <c r="D7516" s="528" t="s">
        <v>225</v>
      </c>
      <c r="E7516" s="528"/>
      <c r="F7516" s="528"/>
      <c r="G7516" s="528" t="s">
        <v>214</v>
      </c>
    </row>
    <row r="7517" spans="1:7" x14ac:dyDescent="0.35">
      <c r="A7517" s="528" t="s">
        <v>21806</v>
      </c>
      <c r="B7517" s="528" t="s">
        <v>21807</v>
      </c>
      <c r="C7517" s="528" t="s">
        <v>21808</v>
      </c>
      <c r="D7517" s="528" t="s">
        <v>225</v>
      </c>
      <c r="E7517" s="528"/>
      <c r="F7517" s="528"/>
      <c r="G7517" s="528" t="s">
        <v>208</v>
      </c>
    </row>
    <row r="7518" spans="1:7" x14ac:dyDescent="0.35">
      <c r="A7518" s="528" t="s">
        <v>21809</v>
      </c>
      <c r="B7518" s="528" t="s">
        <v>21810</v>
      </c>
      <c r="C7518" s="528" t="s">
        <v>21811</v>
      </c>
      <c r="D7518" s="528" t="s">
        <v>225</v>
      </c>
      <c r="E7518" s="528"/>
      <c r="F7518" s="528"/>
      <c r="G7518" s="528" t="s">
        <v>208</v>
      </c>
    </row>
    <row r="7519" spans="1:7" x14ac:dyDescent="0.35">
      <c r="A7519" s="528" t="s">
        <v>21812</v>
      </c>
      <c r="B7519" s="528" t="s">
        <v>21813</v>
      </c>
      <c r="C7519" s="528" t="s">
        <v>21814</v>
      </c>
      <c r="D7519" s="528" t="s">
        <v>225</v>
      </c>
      <c r="E7519" s="528"/>
      <c r="F7519" s="528"/>
      <c r="G7519" s="528" t="s">
        <v>208</v>
      </c>
    </row>
    <row r="7520" spans="1:7" x14ac:dyDescent="0.35">
      <c r="A7520" s="528" t="s">
        <v>21815</v>
      </c>
      <c r="B7520" s="528" t="s">
        <v>21816</v>
      </c>
      <c r="C7520" s="528" t="s">
        <v>21817</v>
      </c>
      <c r="D7520" s="528" t="s">
        <v>225</v>
      </c>
      <c r="E7520" s="528"/>
      <c r="F7520" s="528"/>
      <c r="G7520" s="528" t="s">
        <v>205</v>
      </c>
    </row>
    <row r="7521" spans="1:7" x14ac:dyDescent="0.35">
      <c r="A7521" s="528" t="s">
        <v>21818</v>
      </c>
      <c r="B7521" s="528" t="s">
        <v>21819</v>
      </c>
      <c r="C7521" s="528" t="s">
        <v>21820</v>
      </c>
      <c r="D7521" s="528" t="s">
        <v>264</v>
      </c>
      <c r="E7521" s="528"/>
      <c r="F7521" s="528"/>
      <c r="G7521" s="528" t="s">
        <v>205</v>
      </c>
    </row>
    <row r="7522" spans="1:7" x14ac:dyDescent="0.35">
      <c r="A7522" s="528" t="s">
        <v>21821</v>
      </c>
      <c r="B7522" s="528" t="s">
        <v>21822</v>
      </c>
      <c r="C7522" s="528" t="s">
        <v>21823</v>
      </c>
      <c r="D7522" s="528" t="s">
        <v>264</v>
      </c>
      <c r="E7522" s="528"/>
      <c r="F7522" s="528"/>
      <c r="G7522" s="528" t="s">
        <v>212</v>
      </c>
    </row>
    <row r="7523" spans="1:7" x14ac:dyDescent="0.35">
      <c r="A7523" s="528" t="s">
        <v>21824</v>
      </c>
      <c r="B7523" s="528" t="s">
        <v>21825</v>
      </c>
      <c r="C7523" s="528" t="s">
        <v>21826</v>
      </c>
      <c r="D7523" s="528" t="s">
        <v>264</v>
      </c>
      <c r="E7523" s="528"/>
      <c r="F7523" s="528"/>
      <c r="G7523" s="528" t="s">
        <v>205</v>
      </c>
    </row>
    <row r="7524" spans="1:7" x14ac:dyDescent="0.35">
      <c r="A7524" s="528" t="s">
        <v>21827</v>
      </c>
      <c r="B7524" s="528" t="s">
        <v>21828</v>
      </c>
      <c r="C7524" s="528" t="s">
        <v>28354</v>
      </c>
      <c r="D7524" s="528" t="s">
        <v>238</v>
      </c>
      <c r="E7524" s="528"/>
      <c r="F7524" s="528"/>
      <c r="G7524" s="528" t="s">
        <v>205</v>
      </c>
    </row>
    <row r="7525" spans="1:7" x14ac:dyDescent="0.35">
      <c r="A7525" s="528" t="s">
        <v>21829</v>
      </c>
      <c r="B7525" s="528" t="s">
        <v>21830</v>
      </c>
      <c r="C7525" s="528" t="s">
        <v>21831</v>
      </c>
      <c r="D7525" s="528" t="s">
        <v>238</v>
      </c>
      <c r="E7525" s="528"/>
      <c r="F7525" s="528"/>
      <c r="G7525" s="528" t="s">
        <v>208</v>
      </c>
    </row>
    <row r="7526" spans="1:7" x14ac:dyDescent="0.35">
      <c r="A7526" s="528" t="s">
        <v>21832</v>
      </c>
      <c r="B7526" s="528" t="s">
        <v>21833</v>
      </c>
      <c r="C7526" s="528" t="s">
        <v>21834</v>
      </c>
      <c r="D7526" s="528" t="s">
        <v>264</v>
      </c>
      <c r="E7526" s="528"/>
      <c r="F7526" s="528"/>
      <c r="G7526" s="528" t="s">
        <v>205</v>
      </c>
    </row>
    <row r="7527" spans="1:7" x14ac:dyDescent="0.35">
      <c r="A7527" s="528" t="s">
        <v>21835</v>
      </c>
      <c r="B7527" s="528" t="s">
        <v>21836</v>
      </c>
      <c r="C7527" s="528" t="s">
        <v>21837</v>
      </c>
      <c r="D7527" s="528" t="s">
        <v>264</v>
      </c>
      <c r="E7527" s="528"/>
      <c r="F7527" s="528"/>
      <c r="G7527" s="528" t="s">
        <v>208</v>
      </c>
    </row>
    <row r="7528" spans="1:7" x14ac:dyDescent="0.35">
      <c r="A7528" s="528" t="s">
        <v>21838</v>
      </c>
      <c r="B7528" s="528" t="s">
        <v>21839</v>
      </c>
      <c r="C7528" s="528" t="s">
        <v>21840</v>
      </c>
      <c r="D7528" s="528" t="s">
        <v>264</v>
      </c>
      <c r="E7528" s="528"/>
      <c r="F7528" s="528"/>
      <c r="G7528" s="528" t="s">
        <v>205</v>
      </c>
    </row>
    <row r="7529" spans="1:7" x14ac:dyDescent="0.35">
      <c r="A7529" s="528" t="s">
        <v>21841</v>
      </c>
      <c r="B7529" s="528" t="s">
        <v>21842</v>
      </c>
      <c r="C7529" s="528" t="s">
        <v>21843</v>
      </c>
      <c r="D7529" s="528" t="s">
        <v>277</v>
      </c>
      <c r="E7529" s="528"/>
      <c r="F7529" s="528"/>
      <c r="G7529" s="528" t="s">
        <v>208</v>
      </c>
    </row>
    <row r="7530" spans="1:7" x14ac:dyDescent="0.35">
      <c r="A7530" s="528" t="s">
        <v>21844</v>
      </c>
      <c r="B7530" s="528" t="s">
        <v>21845</v>
      </c>
      <c r="C7530" s="528" t="s">
        <v>21846</v>
      </c>
      <c r="D7530" s="528" t="s">
        <v>264</v>
      </c>
      <c r="E7530" s="528"/>
      <c r="F7530" s="528"/>
      <c r="G7530" s="528" t="s">
        <v>208</v>
      </c>
    </row>
    <row r="7531" spans="1:7" x14ac:dyDescent="0.35">
      <c r="A7531" s="528" t="s">
        <v>21847</v>
      </c>
      <c r="B7531" s="528" t="s">
        <v>21848</v>
      </c>
      <c r="C7531" s="528" t="s">
        <v>21849</v>
      </c>
      <c r="D7531" s="528" t="s">
        <v>264</v>
      </c>
      <c r="E7531" s="528"/>
      <c r="F7531" s="528"/>
      <c r="G7531" s="528" t="s">
        <v>210</v>
      </c>
    </row>
    <row r="7532" spans="1:7" x14ac:dyDescent="0.35">
      <c r="A7532" s="528" t="s">
        <v>21850</v>
      </c>
      <c r="B7532" s="528" t="s">
        <v>21851</v>
      </c>
      <c r="C7532" s="528" t="s">
        <v>21852</v>
      </c>
      <c r="D7532" s="528" t="s">
        <v>264</v>
      </c>
      <c r="E7532" s="528"/>
      <c r="F7532" s="528"/>
      <c r="G7532" s="528" t="s">
        <v>210</v>
      </c>
    </row>
    <row r="7533" spans="1:7" x14ac:dyDescent="0.35">
      <c r="A7533" s="528" t="s">
        <v>21853</v>
      </c>
      <c r="B7533" s="528" t="s">
        <v>21854</v>
      </c>
      <c r="C7533" s="528" t="s">
        <v>21855</v>
      </c>
      <c r="D7533" s="528" t="s">
        <v>264</v>
      </c>
      <c r="E7533" s="528"/>
      <c r="F7533" s="528"/>
      <c r="G7533" s="528" t="s">
        <v>205</v>
      </c>
    </row>
    <row r="7534" spans="1:7" x14ac:dyDescent="0.35">
      <c r="A7534" s="528" t="s">
        <v>21856</v>
      </c>
      <c r="B7534" s="528" t="s">
        <v>21857</v>
      </c>
      <c r="C7534" s="528" t="s">
        <v>21858</v>
      </c>
      <c r="D7534" s="528" t="s">
        <v>277</v>
      </c>
      <c r="E7534" s="528"/>
      <c r="F7534" s="528"/>
      <c r="G7534" s="528" t="s">
        <v>208</v>
      </c>
    </row>
    <row r="7535" spans="1:7" x14ac:dyDescent="0.35">
      <c r="A7535" s="528" t="s">
        <v>21859</v>
      </c>
      <c r="B7535" s="528" t="s">
        <v>21860</v>
      </c>
      <c r="C7535" s="528" t="s">
        <v>21861</v>
      </c>
      <c r="D7535" s="528" t="s">
        <v>277</v>
      </c>
      <c r="E7535" s="528"/>
      <c r="F7535" s="528"/>
      <c r="G7535" s="528" t="s">
        <v>208</v>
      </c>
    </row>
    <row r="7536" spans="1:7" x14ac:dyDescent="0.35">
      <c r="A7536" s="528" t="s">
        <v>21862</v>
      </c>
      <c r="B7536" s="528" t="s">
        <v>21863</v>
      </c>
      <c r="C7536" s="528" t="s">
        <v>21864</v>
      </c>
      <c r="D7536" s="528" t="s">
        <v>264</v>
      </c>
      <c r="E7536" s="528"/>
      <c r="F7536" s="528"/>
      <c r="G7536" s="528" t="s">
        <v>208</v>
      </c>
    </row>
    <row r="7537" spans="1:7" x14ac:dyDescent="0.35">
      <c r="A7537" s="528" t="s">
        <v>21865</v>
      </c>
      <c r="B7537" s="528" t="s">
        <v>21866</v>
      </c>
      <c r="C7537" s="528" t="s">
        <v>21867</v>
      </c>
      <c r="D7537" s="528" t="s">
        <v>264</v>
      </c>
      <c r="E7537" s="528"/>
      <c r="F7537" s="528"/>
      <c r="G7537" s="528" t="s">
        <v>205</v>
      </c>
    </row>
    <row r="7538" spans="1:7" x14ac:dyDescent="0.35">
      <c r="A7538" s="528" t="s">
        <v>21868</v>
      </c>
      <c r="B7538" s="528" t="s">
        <v>21869</v>
      </c>
      <c r="C7538" s="528" t="s">
        <v>21870</v>
      </c>
      <c r="D7538" s="528" t="s">
        <v>277</v>
      </c>
      <c r="E7538" s="528"/>
      <c r="F7538" s="528"/>
      <c r="G7538" s="528" t="s">
        <v>208</v>
      </c>
    </row>
    <row r="7539" spans="1:7" x14ac:dyDescent="0.35">
      <c r="A7539" s="528" t="s">
        <v>21871</v>
      </c>
      <c r="B7539" s="528" t="s">
        <v>21872</v>
      </c>
      <c r="C7539" s="528" t="s">
        <v>21873</v>
      </c>
      <c r="D7539" s="528" t="s">
        <v>264</v>
      </c>
      <c r="E7539" s="528"/>
      <c r="F7539" s="528"/>
      <c r="G7539" s="528" t="s">
        <v>212</v>
      </c>
    </row>
    <row r="7540" spans="1:7" x14ac:dyDescent="0.35">
      <c r="A7540" s="528" t="s">
        <v>21874</v>
      </c>
      <c r="B7540" s="528" t="s">
        <v>21875</v>
      </c>
      <c r="C7540" s="528" t="s">
        <v>21876</v>
      </c>
      <c r="D7540" s="528" t="s">
        <v>277</v>
      </c>
      <c r="E7540" s="528"/>
      <c r="F7540" s="528"/>
      <c r="G7540" s="528" t="s">
        <v>205</v>
      </c>
    </row>
    <row r="7541" spans="1:7" x14ac:dyDescent="0.35">
      <c r="A7541" s="528" t="s">
        <v>21877</v>
      </c>
      <c r="B7541" s="528" t="s">
        <v>21878</v>
      </c>
      <c r="C7541" s="528" t="s">
        <v>21879</v>
      </c>
      <c r="D7541" s="528" t="s">
        <v>264</v>
      </c>
      <c r="E7541" s="528"/>
      <c r="F7541" s="528"/>
      <c r="G7541" s="528" t="s">
        <v>212</v>
      </c>
    </row>
    <row r="7542" spans="1:7" x14ac:dyDescent="0.35">
      <c r="A7542" s="528" t="s">
        <v>21880</v>
      </c>
      <c r="B7542" s="528" t="s">
        <v>21881</v>
      </c>
      <c r="C7542" s="528" t="s">
        <v>21882</v>
      </c>
      <c r="D7542" s="528" t="s">
        <v>264</v>
      </c>
      <c r="E7542" s="528"/>
      <c r="F7542" s="528"/>
      <c r="G7542" s="528" t="s">
        <v>212</v>
      </c>
    </row>
    <row r="7543" spans="1:7" x14ac:dyDescent="0.35">
      <c r="A7543" s="528" t="s">
        <v>21883</v>
      </c>
      <c r="B7543" s="528" t="s">
        <v>21884</v>
      </c>
      <c r="C7543" s="528" t="s">
        <v>21885</v>
      </c>
      <c r="D7543" s="528" t="s">
        <v>264</v>
      </c>
      <c r="E7543" s="528"/>
      <c r="F7543" s="528"/>
      <c r="G7543" s="528" t="s">
        <v>212</v>
      </c>
    </row>
    <row r="7544" spans="1:7" x14ac:dyDescent="0.35">
      <c r="A7544" s="528" t="s">
        <v>21886</v>
      </c>
      <c r="B7544" s="528" t="s">
        <v>21887</v>
      </c>
      <c r="C7544" s="528" t="s">
        <v>21888</v>
      </c>
      <c r="D7544" s="528" t="s">
        <v>277</v>
      </c>
      <c r="E7544" s="528"/>
      <c r="F7544" s="528"/>
      <c r="G7544" s="528" t="s">
        <v>205</v>
      </c>
    </row>
    <row r="7545" spans="1:7" x14ac:dyDescent="0.35">
      <c r="A7545" s="528" t="s">
        <v>21889</v>
      </c>
      <c r="B7545" s="528" t="s">
        <v>21890</v>
      </c>
      <c r="C7545" s="528" t="s">
        <v>21891</v>
      </c>
      <c r="D7545" s="528" t="s">
        <v>277</v>
      </c>
      <c r="E7545" s="528"/>
      <c r="F7545" s="528"/>
      <c r="G7545" s="528" t="s">
        <v>208</v>
      </c>
    </row>
    <row r="7546" spans="1:7" x14ac:dyDescent="0.35">
      <c r="A7546" s="528" t="s">
        <v>21892</v>
      </c>
      <c r="B7546" s="528" t="s">
        <v>21893</v>
      </c>
      <c r="C7546" s="528" t="s">
        <v>21894</v>
      </c>
      <c r="D7546" s="528" t="s">
        <v>277</v>
      </c>
      <c r="E7546" s="528"/>
      <c r="F7546" s="528"/>
      <c r="G7546" s="528" t="s">
        <v>208</v>
      </c>
    </row>
    <row r="7547" spans="1:7" x14ac:dyDescent="0.35">
      <c r="A7547" s="528" t="s">
        <v>21895</v>
      </c>
      <c r="B7547" s="528" t="s">
        <v>21896</v>
      </c>
      <c r="C7547" s="528" t="s">
        <v>21897</v>
      </c>
      <c r="D7547" s="528" t="s">
        <v>264</v>
      </c>
      <c r="E7547" s="528" t="s">
        <v>225</v>
      </c>
      <c r="F7547" s="528"/>
      <c r="G7547" s="528" t="s">
        <v>205</v>
      </c>
    </row>
    <row r="7548" spans="1:7" x14ac:dyDescent="0.35">
      <c r="A7548" s="528" t="s">
        <v>21898</v>
      </c>
      <c r="B7548" s="528" t="s">
        <v>21899</v>
      </c>
      <c r="C7548" s="528" t="s">
        <v>21900</v>
      </c>
      <c r="D7548" s="528" t="s">
        <v>264</v>
      </c>
      <c r="E7548" s="528"/>
      <c r="F7548" s="528"/>
      <c r="G7548" s="528" t="s">
        <v>205</v>
      </c>
    </row>
    <row r="7549" spans="1:7" x14ac:dyDescent="0.35">
      <c r="A7549" s="528" t="s">
        <v>21901</v>
      </c>
      <c r="B7549" s="528" t="s">
        <v>21902</v>
      </c>
      <c r="C7549" s="528" t="s">
        <v>21903</v>
      </c>
      <c r="D7549" s="528" t="s">
        <v>264</v>
      </c>
      <c r="E7549" s="528"/>
      <c r="F7549" s="528"/>
      <c r="G7549" s="528" t="s">
        <v>205</v>
      </c>
    </row>
    <row r="7550" spans="1:7" x14ac:dyDescent="0.35">
      <c r="A7550" s="528" t="s">
        <v>21904</v>
      </c>
      <c r="B7550" s="528" t="s">
        <v>21905</v>
      </c>
      <c r="C7550" s="528" t="s">
        <v>21906</v>
      </c>
      <c r="D7550" s="528" t="s">
        <v>264</v>
      </c>
      <c r="E7550" s="528" t="s">
        <v>277</v>
      </c>
      <c r="F7550" s="528"/>
      <c r="G7550" s="528" t="s">
        <v>205</v>
      </c>
    </row>
    <row r="7551" spans="1:7" x14ac:dyDescent="0.35">
      <c r="A7551" s="528" t="s">
        <v>21907</v>
      </c>
      <c r="B7551" s="528" t="s">
        <v>21908</v>
      </c>
      <c r="C7551" s="528" t="s">
        <v>21909</v>
      </c>
      <c r="D7551" s="528" t="s">
        <v>238</v>
      </c>
      <c r="E7551" s="528"/>
      <c r="F7551" s="528"/>
      <c r="G7551" s="528" t="s">
        <v>205</v>
      </c>
    </row>
    <row r="7552" spans="1:7" x14ac:dyDescent="0.35">
      <c r="A7552" s="528" t="s">
        <v>21910</v>
      </c>
      <c r="B7552" s="528" t="s">
        <v>21911</v>
      </c>
      <c r="C7552" s="528" t="s">
        <v>21912</v>
      </c>
      <c r="D7552" s="528" t="s">
        <v>264</v>
      </c>
      <c r="E7552" s="528"/>
      <c r="F7552" s="528"/>
      <c r="G7552" s="528" t="s">
        <v>205</v>
      </c>
    </row>
    <row r="7553" spans="1:7" x14ac:dyDescent="0.35">
      <c r="A7553" s="528" t="s">
        <v>21913</v>
      </c>
      <c r="B7553" s="528" t="s">
        <v>21914</v>
      </c>
      <c r="C7553" s="528" t="s">
        <v>21915</v>
      </c>
      <c r="D7553" s="528" t="s">
        <v>251</v>
      </c>
      <c r="E7553" s="528"/>
      <c r="F7553" s="528"/>
      <c r="G7553" s="528" t="s">
        <v>208</v>
      </c>
    </row>
    <row r="7554" spans="1:7" x14ac:dyDescent="0.35">
      <c r="A7554" s="528" t="s">
        <v>21916</v>
      </c>
      <c r="B7554" s="528" t="s">
        <v>21917</v>
      </c>
      <c r="C7554" s="528" t="s">
        <v>21918</v>
      </c>
      <c r="D7554" s="528" t="s">
        <v>225</v>
      </c>
      <c r="E7554" s="528"/>
      <c r="F7554" s="528"/>
      <c r="G7554" s="528" t="s">
        <v>205</v>
      </c>
    </row>
    <row r="7555" spans="1:7" x14ac:dyDescent="0.35">
      <c r="A7555" s="528" t="s">
        <v>21919</v>
      </c>
      <c r="B7555" s="528" t="s">
        <v>21920</v>
      </c>
      <c r="C7555" s="528" t="s">
        <v>21921</v>
      </c>
      <c r="D7555" s="528" t="s">
        <v>264</v>
      </c>
      <c r="E7555" s="528"/>
      <c r="F7555" s="528"/>
      <c r="G7555" s="528" t="s">
        <v>205</v>
      </c>
    </row>
    <row r="7556" spans="1:7" x14ac:dyDescent="0.35">
      <c r="A7556" s="528" t="s">
        <v>21922</v>
      </c>
      <c r="B7556" s="528" t="s">
        <v>21923</v>
      </c>
      <c r="C7556" s="528" t="s">
        <v>21924</v>
      </c>
      <c r="D7556" s="528" t="s">
        <v>264</v>
      </c>
      <c r="E7556" s="528"/>
      <c r="F7556" s="528"/>
      <c r="G7556" s="528" t="s">
        <v>205</v>
      </c>
    </row>
    <row r="7557" spans="1:7" x14ac:dyDescent="0.35">
      <c r="A7557" s="528" t="s">
        <v>21925</v>
      </c>
      <c r="B7557" s="528" t="s">
        <v>21926</v>
      </c>
      <c r="C7557" s="528" t="s">
        <v>21927</v>
      </c>
      <c r="D7557" s="528" t="s">
        <v>277</v>
      </c>
      <c r="E7557" s="528"/>
      <c r="F7557" s="528"/>
      <c r="G7557" s="528" t="s">
        <v>212</v>
      </c>
    </row>
    <row r="7558" spans="1:7" x14ac:dyDescent="0.35">
      <c r="A7558" s="528" t="s">
        <v>21928</v>
      </c>
      <c r="B7558" s="528" t="s">
        <v>21929</v>
      </c>
      <c r="C7558" s="528" t="s">
        <v>21930</v>
      </c>
      <c r="D7558" s="528" t="s">
        <v>277</v>
      </c>
      <c r="E7558" s="528"/>
      <c r="F7558" s="528"/>
      <c r="G7558" s="528" t="s">
        <v>208</v>
      </c>
    </row>
    <row r="7559" spans="1:7" x14ac:dyDescent="0.35">
      <c r="A7559" s="528" t="s">
        <v>21931</v>
      </c>
      <c r="B7559" s="528" t="s">
        <v>21932</v>
      </c>
      <c r="C7559" s="528" t="s">
        <v>21933</v>
      </c>
      <c r="D7559" s="528" t="s">
        <v>238</v>
      </c>
      <c r="E7559" s="528"/>
      <c r="F7559" s="528"/>
      <c r="G7559" s="528" t="s">
        <v>208</v>
      </c>
    </row>
    <row r="7560" spans="1:7" x14ac:dyDescent="0.35">
      <c r="A7560" s="528" t="s">
        <v>21934</v>
      </c>
      <c r="B7560" s="528" t="s">
        <v>21935</v>
      </c>
      <c r="C7560" s="528" t="s">
        <v>21936</v>
      </c>
      <c r="D7560" s="528" t="s">
        <v>277</v>
      </c>
      <c r="E7560" s="528"/>
      <c r="F7560" s="528"/>
      <c r="G7560" s="528" t="s">
        <v>212</v>
      </c>
    </row>
    <row r="7561" spans="1:7" x14ac:dyDescent="0.35">
      <c r="A7561" s="528" t="s">
        <v>21937</v>
      </c>
      <c r="B7561" s="528" t="s">
        <v>21938</v>
      </c>
      <c r="C7561" s="528" t="s">
        <v>21939</v>
      </c>
      <c r="D7561" s="528" t="s">
        <v>277</v>
      </c>
      <c r="E7561" s="528"/>
      <c r="F7561" s="528"/>
      <c r="G7561" s="528" t="s">
        <v>212</v>
      </c>
    </row>
    <row r="7562" spans="1:7" x14ac:dyDescent="0.35">
      <c r="A7562" s="528" t="s">
        <v>21940</v>
      </c>
      <c r="B7562" s="528" t="s">
        <v>21941</v>
      </c>
      <c r="C7562" s="528" t="s">
        <v>21942</v>
      </c>
      <c r="D7562" s="528" t="s">
        <v>277</v>
      </c>
      <c r="E7562" s="528"/>
      <c r="F7562" s="528"/>
      <c r="G7562" s="528" t="s">
        <v>208</v>
      </c>
    </row>
    <row r="7563" spans="1:7" x14ac:dyDescent="0.35">
      <c r="A7563" s="528" t="s">
        <v>21943</v>
      </c>
      <c r="B7563" s="528" t="s">
        <v>21944</v>
      </c>
      <c r="C7563" s="528" t="s">
        <v>21945</v>
      </c>
      <c r="D7563" s="528" t="s">
        <v>277</v>
      </c>
      <c r="E7563" s="528"/>
      <c r="F7563" s="528"/>
      <c r="G7563" s="528" t="s">
        <v>208</v>
      </c>
    </row>
    <row r="7564" spans="1:7" x14ac:dyDescent="0.35">
      <c r="A7564" s="528" t="s">
        <v>21946</v>
      </c>
      <c r="B7564" s="528" t="s">
        <v>21947</v>
      </c>
      <c r="C7564" s="528" t="s">
        <v>21948</v>
      </c>
      <c r="D7564" s="528" t="s">
        <v>277</v>
      </c>
      <c r="E7564" s="528"/>
      <c r="F7564" s="528"/>
      <c r="G7564" s="528" t="s">
        <v>205</v>
      </c>
    </row>
    <row r="7565" spans="1:7" x14ac:dyDescent="0.35">
      <c r="A7565" s="528" t="s">
        <v>21949</v>
      </c>
      <c r="B7565" s="528" t="s">
        <v>21950</v>
      </c>
      <c r="C7565" s="528" t="s">
        <v>21951</v>
      </c>
      <c r="D7565" s="528" t="s">
        <v>277</v>
      </c>
      <c r="E7565" s="528"/>
      <c r="F7565" s="528"/>
      <c r="G7565" s="528" t="s">
        <v>205</v>
      </c>
    </row>
    <row r="7566" spans="1:7" x14ac:dyDescent="0.35">
      <c r="A7566" s="528" t="s">
        <v>21952</v>
      </c>
      <c r="B7566" s="528" t="s">
        <v>21953</v>
      </c>
      <c r="C7566" s="528" t="s">
        <v>21954</v>
      </c>
      <c r="D7566" s="528" t="s">
        <v>277</v>
      </c>
      <c r="E7566" s="528"/>
      <c r="F7566" s="528"/>
      <c r="G7566" s="528" t="s">
        <v>205</v>
      </c>
    </row>
    <row r="7567" spans="1:7" x14ac:dyDescent="0.35">
      <c r="A7567" s="528" t="s">
        <v>21955</v>
      </c>
      <c r="B7567" s="528" t="s">
        <v>21956</v>
      </c>
      <c r="C7567" s="528" t="s">
        <v>21957</v>
      </c>
      <c r="D7567" s="528" t="s">
        <v>277</v>
      </c>
      <c r="E7567" s="528"/>
      <c r="F7567" s="528"/>
      <c r="G7567" s="528" t="s">
        <v>208</v>
      </c>
    </row>
    <row r="7568" spans="1:7" x14ac:dyDescent="0.35">
      <c r="A7568" s="528" t="s">
        <v>21958</v>
      </c>
      <c r="B7568" s="528" t="s">
        <v>21959</v>
      </c>
      <c r="C7568" s="528" t="s">
        <v>21960</v>
      </c>
      <c r="D7568" s="528" t="s">
        <v>225</v>
      </c>
      <c r="E7568" s="528"/>
      <c r="F7568" s="528"/>
      <c r="G7568" s="528" t="s">
        <v>208</v>
      </c>
    </row>
    <row r="7569" spans="1:7" x14ac:dyDescent="0.35">
      <c r="A7569" s="528" t="s">
        <v>21961</v>
      </c>
      <c r="B7569" s="528" t="s">
        <v>21962</v>
      </c>
      <c r="C7569" s="528" t="s">
        <v>21963</v>
      </c>
      <c r="D7569" s="528" t="s">
        <v>277</v>
      </c>
      <c r="E7569" s="528"/>
      <c r="F7569" s="528"/>
      <c r="G7569" s="528" t="s">
        <v>208</v>
      </c>
    </row>
    <row r="7570" spans="1:7" x14ac:dyDescent="0.35">
      <c r="A7570" s="528" t="s">
        <v>21964</v>
      </c>
      <c r="B7570" s="528" t="s">
        <v>21965</v>
      </c>
      <c r="C7570" s="528" t="s">
        <v>21966</v>
      </c>
      <c r="D7570" s="528" t="s">
        <v>238</v>
      </c>
      <c r="E7570" s="528"/>
      <c r="F7570" s="528"/>
      <c r="G7570" s="528" t="s">
        <v>208</v>
      </c>
    </row>
    <row r="7571" spans="1:7" x14ac:dyDescent="0.35">
      <c r="A7571" s="528" t="s">
        <v>21967</v>
      </c>
      <c r="B7571" s="528" t="s">
        <v>21968</v>
      </c>
      <c r="C7571" s="528" t="s">
        <v>21969</v>
      </c>
      <c r="D7571" s="528" t="s">
        <v>251</v>
      </c>
      <c r="E7571" s="528" t="s">
        <v>225</v>
      </c>
      <c r="F7571" s="528"/>
      <c r="G7571" s="528" t="s">
        <v>208</v>
      </c>
    </row>
    <row r="7572" spans="1:7" x14ac:dyDescent="0.35">
      <c r="A7572" s="528" t="s">
        <v>21970</v>
      </c>
      <c r="B7572" s="528" t="s">
        <v>21971</v>
      </c>
      <c r="C7572" s="528" t="s">
        <v>21972</v>
      </c>
      <c r="D7572" s="528" t="s">
        <v>277</v>
      </c>
      <c r="E7572" s="528"/>
      <c r="F7572" s="528"/>
      <c r="G7572" s="528" t="s">
        <v>212</v>
      </c>
    </row>
    <row r="7573" spans="1:7" x14ac:dyDescent="0.35">
      <c r="A7573" s="528" t="s">
        <v>21973</v>
      </c>
      <c r="B7573" s="528" t="s">
        <v>21974</v>
      </c>
      <c r="C7573" s="528" t="s">
        <v>21975</v>
      </c>
      <c r="D7573" s="528" t="s">
        <v>264</v>
      </c>
      <c r="E7573" s="528"/>
      <c r="F7573" s="528"/>
      <c r="G7573" s="528" t="s">
        <v>208</v>
      </c>
    </row>
    <row r="7574" spans="1:7" x14ac:dyDescent="0.35">
      <c r="A7574" s="528" t="s">
        <v>21976</v>
      </c>
      <c r="B7574" s="528" t="s">
        <v>21977</v>
      </c>
      <c r="C7574" s="528" t="s">
        <v>21978</v>
      </c>
      <c r="D7574" s="528" t="s">
        <v>264</v>
      </c>
      <c r="E7574" s="528"/>
      <c r="F7574" s="528"/>
      <c r="G7574" s="528" t="s">
        <v>205</v>
      </c>
    </row>
    <row r="7575" spans="1:7" x14ac:dyDescent="0.35">
      <c r="A7575" s="528" t="s">
        <v>21979</v>
      </c>
      <c r="B7575" s="528" t="s">
        <v>21980</v>
      </c>
      <c r="C7575" s="528" t="s">
        <v>21981</v>
      </c>
      <c r="D7575" s="528" t="s">
        <v>277</v>
      </c>
      <c r="E7575" s="528"/>
      <c r="F7575" s="528"/>
      <c r="G7575" s="528" t="s">
        <v>212</v>
      </c>
    </row>
    <row r="7576" spans="1:7" x14ac:dyDescent="0.35">
      <c r="A7576" s="528" t="s">
        <v>21982</v>
      </c>
      <c r="B7576" s="528" t="s">
        <v>21983</v>
      </c>
      <c r="C7576" s="528" t="s">
        <v>21984</v>
      </c>
      <c r="D7576" s="528" t="s">
        <v>264</v>
      </c>
      <c r="E7576" s="528"/>
      <c r="F7576" s="528"/>
      <c r="G7576" s="528" t="s">
        <v>212</v>
      </c>
    </row>
    <row r="7577" spans="1:7" x14ac:dyDescent="0.35">
      <c r="A7577" s="528" t="s">
        <v>21985</v>
      </c>
      <c r="B7577" s="528" t="s">
        <v>21986</v>
      </c>
      <c r="C7577" s="528" t="s">
        <v>21987</v>
      </c>
      <c r="D7577" s="528" t="s">
        <v>251</v>
      </c>
      <c r="E7577" s="528"/>
      <c r="F7577" s="528"/>
      <c r="G7577" s="528" t="s">
        <v>205</v>
      </c>
    </row>
    <row r="7578" spans="1:7" x14ac:dyDescent="0.35">
      <c r="A7578" s="528" t="s">
        <v>21988</v>
      </c>
      <c r="B7578" s="528" t="s">
        <v>21989</v>
      </c>
      <c r="C7578" s="528" t="s">
        <v>21990</v>
      </c>
      <c r="D7578" s="528" t="s">
        <v>277</v>
      </c>
      <c r="E7578" s="528"/>
      <c r="F7578" s="528"/>
      <c r="G7578" s="528" t="s">
        <v>205</v>
      </c>
    </row>
    <row r="7579" spans="1:7" x14ac:dyDescent="0.35">
      <c r="A7579" s="528" t="s">
        <v>21991</v>
      </c>
      <c r="B7579" s="528" t="s">
        <v>21992</v>
      </c>
      <c r="C7579" s="528" t="s">
        <v>21993</v>
      </c>
      <c r="D7579" s="528" t="s">
        <v>238</v>
      </c>
      <c r="E7579" s="528"/>
      <c r="F7579" s="528"/>
      <c r="G7579" s="528" t="s">
        <v>205</v>
      </c>
    </row>
    <row r="7580" spans="1:7" x14ac:dyDescent="0.35">
      <c r="A7580" s="528" t="s">
        <v>21994</v>
      </c>
      <c r="B7580" s="528" t="s">
        <v>21995</v>
      </c>
      <c r="C7580" s="528" t="s">
        <v>21996</v>
      </c>
      <c r="D7580" s="528" t="s">
        <v>238</v>
      </c>
      <c r="E7580" s="528"/>
      <c r="F7580" s="528"/>
      <c r="G7580" s="528" t="s">
        <v>205</v>
      </c>
    </row>
    <row r="7581" spans="1:7" x14ac:dyDescent="0.35">
      <c r="A7581" s="528" t="s">
        <v>21997</v>
      </c>
      <c r="B7581" s="528" t="s">
        <v>21998</v>
      </c>
      <c r="C7581" s="528" t="s">
        <v>21999</v>
      </c>
      <c r="D7581" s="528" t="s">
        <v>238</v>
      </c>
      <c r="E7581" s="528"/>
      <c r="F7581" s="528"/>
      <c r="G7581" s="528" t="s">
        <v>208</v>
      </c>
    </row>
    <row r="7582" spans="1:7" x14ac:dyDescent="0.35">
      <c r="A7582" s="528" t="s">
        <v>22000</v>
      </c>
      <c r="B7582" s="528" t="s">
        <v>22001</v>
      </c>
      <c r="C7582" s="528" t="s">
        <v>22002</v>
      </c>
      <c r="D7582" s="528" t="s">
        <v>225</v>
      </c>
      <c r="E7582" s="528"/>
      <c r="F7582" s="528"/>
      <c r="G7582" s="528" t="s">
        <v>205</v>
      </c>
    </row>
    <row r="7583" spans="1:7" x14ac:dyDescent="0.35">
      <c r="A7583" s="528" t="s">
        <v>22003</v>
      </c>
      <c r="B7583" s="528" t="s">
        <v>22004</v>
      </c>
      <c r="C7583" s="528" t="s">
        <v>22005</v>
      </c>
      <c r="D7583" s="528" t="s">
        <v>238</v>
      </c>
      <c r="E7583" s="528"/>
      <c r="F7583" s="528"/>
      <c r="G7583" s="528" t="s">
        <v>208</v>
      </c>
    </row>
    <row r="7584" spans="1:7" x14ac:dyDescent="0.35">
      <c r="A7584" s="528" t="s">
        <v>22006</v>
      </c>
      <c r="B7584" s="528" t="s">
        <v>22007</v>
      </c>
      <c r="C7584" s="528" t="s">
        <v>22008</v>
      </c>
      <c r="D7584" s="528" t="s">
        <v>277</v>
      </c>
      <c r="E7584" s="528"/>
      <c r="F7584" s="528"/>
      <c r="G7584" s="528" t="s">
        <v>205</v>
      </c>
    </row>
    <row r="7585" spans="1:7" x14ac:dyDescent="0.35">
      <c r="A7585" s="528" t="s">
        <v>22009</v>
      </c>
      <c r="B7585" s="528" t="s">
        <v>22010</v>
      </c>
      <c r="C7585" s="528" t="s">
        <v>22011</v>
      </c>
      <c r="D7585" s="528" t="s">
        <v>277</v>
      </c>
      <c r="E7585" s="528"/>
      <c r="F7585" s="528"/>
      <c r="G7585" s="528" t="s">
        <v>205</v>
      </c>
    </row>
    <row r="7586" spans="1:7" x14ac:dyDescent="0.35">
      <c r="A7586" s="528" t="s">
        <v>22012</v>
      </c>
      <c r="B7586" s="528" t="s">
        <v>22013</v>
      </c>
      <c r="C7586" s="528" t="s">
        <v>22014</v>
      </c>
      <c r="D7586" s="528" t="s">
        <v>238</v>
      </c>
      <c r="E7586" s="528"/>
      <c r="F7586" s="528"/>
      <c r="G7586" s="528" t="s">
        <v>212</v>
      </c>
    </row>
    <row r="7587" spans="1:7" x14ac:dyDescent="0.35">
      <c r="A7587" s="528" t="s">
        <v>22015</v>
      </c>
      <c r="B7587" s="528" t="s">
        <v>22016</v>
      </c>
      <c r="C7587" s="528" t="s">
        <v>22017</v>
      </c>
      <c r="D7587" s="528" t="s">
        <v>238</v>
      </c>
      <c r="E7587" s="528"/>
      <c r="F7587" s="528"/>
      <c r="G7587" s="528" t="s">
        <v>208</v>
      </c>
    </row>
    <row r="7588" spans="1:7" x14ac:dyDescent="0.35">
      <c r="A7588" s="528" t="s">
        <v>22018</v>
      </c>
      <c r="B7588" s="528" t="s">
        <v>22019</v>
      </c>
      <c r="C7588" s="528" t="s">
        <v>22020</v>
      </c>
      <c r="D7588" s="528" t="s">
        <v>238</v>
      </c>
      <c r="E7588" s="528"/>
      <c r="F7588" s="528"/>
      <c r="G7588" s="528" t="s">
        <v>208</v>
      </c>
    </row>
    <row r="7589" spans="1:7" x14ac:dyDescent="0.35">
      <c r="A7589" s="528" t="s">
        <v>22021</v>
      </c>
      <c r="B7589" s="528" t="s">
        <v>22022</v>
      </c>
      <c r="C7589" s="528" t="s">
        <v>22023</v>
      </c>
      <c r="D7589" s="528" t="s">
        <v>225</v>
      </c>
      <c r="E7589" s="528"/>
      <c r="F7589" s="528"/>
      <c r="G7589" s="528" t="s">
        <v>208</v>
      </c>
    </row>
    <row r="7590" spans="1:7" x14ac:dyDescent="0.35">
      <c r="A7590" s="528" t="s">
        <v>22024</v>
      </c>
      <c r="B7590" s="528" t="s">
        <v>22025</v>
      </c>
      <c r="C7590" s="528" t="s">
        <v>22026</v>
      </c>
      <c r="D7590" s="528" t="s">
        <v>225</v>
      </c>
      <c r="E7590" s="528"/>
      <c r="F7590" s="528"/>
      <c r="G7590" s="528" t="s">
        <v>208</v>
      </c>
    </row>
    <row r="7591" spans="1:7" x14ac:dyDescent="0.35">
      <c r="A7591" s="528" t="s">
        <v>22027</v>
      </c>
      <c r="B7591" s="528" t="s">
        <v>22028</v>
      </c>
      <c r="C7591" s="528" t="s">
        <v>22029</v>
      </c>
      <c r="D7591" s="528" t="s">
        <v>225</v>
      </c>
      <c r="E7591" s="528"/>
      <c r="F7591" s="528"/>
      <c r="G7591" s="528" t="s">
        <v>208</v>
      </c>
    </row>
    <row r="7592" spans="1:7" x14ac:dyDescent="0.35">
      <c r="A7592" s="528" t="s">
        <v>22030</v>
      </c>
      <c r="B7592" s="528" t="s">
        <v>22031</v>
      </c>
      <c r="C7592" s="528" t="s">
        <v>22032</v>
      </c>
      <c r="D7592" s="528" t="s">
        <v>277</v>
      </c>
      <c r="E7592" s="528"/>
      <c r="F7592" s="528"/>
      <c r="G7592" s="528" t="s">
        <v>208</v>
      </c>
    </row>
    <row r="7593" spans="1:7" x14ac:dyDescent="0.35">
      <c r="A7593" s="528" t="s">
        <v>22033</v>
      </c>
      <c r="B7593" s="528" t="s">
        <v>22034</v>
      </c>
      <c r="C7593" s="528" t="s">
        <v>22035</v>
      </c>
      <c r="D7593" s="528" t="s">
        <v>277</v>
      </c>
      <c r="E7593" s="528"/>
      <c r="F7593" s="528"/>
      <c r="G7593" s="528" t="s">
        <v>212</v>
      </c>
    </row>
    <row r="7594" spans="1:7" x14ac:dyDescent="0.35">
      <c r="A7594" s="528" t="s">
        <v>22036</v>
      </c>
      <c r="B7594" s="528" t="s">
        <v>22037</v>
      </c>
      <c r="C7594" s="528" t="s">
        <v>22038</v>
      </c>
      <c r="D7594" s="528" t="s">
        <v>277</v>
      </c>
      <c r="E7594" s="528"/>
      <c r="F7594" s="528"/>
      <c r="G7594" s="528" t="s">
        <v>208</v>
      </c>
    </row>
    <row r="7595" spans="1:7" x14ac:dyDescent="0.35">
      <c r="A7595" s="528" t="s">
        <v>22039</v>
      </c>
      <c r="B7595" s="528" t="s">
        <v>22040</v>
      </c>
      <c r="C7595" s="528" t="s">
        <v>22041</v>
      </c>
      <c r="D7595" s="528" t="s">
        <v>225</v>
      </c>
      <c r="E7595" s="528"/>
      <c r="F7595" s="528"/>
      <c r="G7595" s="528" t="s">
        <v>205</v>
      </c>
    </row>
    <row r="7596" spans="1:7" x14ac:dyDescent="0.35">
      <c r="A7596" s="528" t="s">
        <v>22042</v>
      </c>
      <c r="B7596" s="528" t="s">
        <v>22043</v>
      </c>
      <c r="C7596" s="528" t="s">
        <v>22044</v>
      </c>
      <c r="D7596" s="528" t="s">
        <v>225</v>
      </c>
      <c r="E7596" s="528"/>
      <c r="F7596" s="528"/>
      <c r="G7596" s="528" t="s">
        <v>205</v>
      </c>
    </row>
    <row r="7597" spans="1:7" x14ac:dyDescent="0.35">
      <c r="A7597" s="528" t="s">
        <v>22045</v>
      </c>
      <c r="B7597" s="528" t="s">
        <v>22046</v>
      </c>
      <c r="C7597" s="528" t="s">
        <v>22047</v>
      </c>
      <c r="D7597" s="528" t="s">
        <v>225</v>
      </c>
      <c r="E7597" s="528"/>
      <c r="F7597" s="528"/>
      <c r="G7597" s="528" t="s">
        <v>205</v>
      </c>
    </row>
    <row r="7598" spans="1:7" x14ac:dyDescent="0.35">
      <c r="A7598" s="528" t="s">
        <v>22048</v>
      </c>
      <c r="B7598" s="528" t="s">
        <v>22049</v>
      </c>
      <c r="C7598" s="528" t="s">
        <v>22050</v>
      </c>
      <c r="D7598" s="528" t="s">
        <v>277</v>
      </c>
      <c r="E7598" s="528"/>
      <c r="F7598" s="528"/>
      <c r="G7598" s="528" t="s">
        <v>205</v>
      </c>
    </row>
    <row r="7599" spans="1:7" x14ac:dyDescent="0.35">
      <c r="A7599" s="528" t="s">
        <v>22051</v>
      </c>
      <c r="B7599" s="528" t="s">
        <v>22052</v>
      </c>
      <c r="C7599" s="528" t="s">
        <v>22053</v>
      </c>
      <c r="D7599" s="528" t="s">
        <v>225</v>
      </c>
      <c r="E7599" s="528"/>
      <c r="F7599" s="528"/>
      <c r="G7599" s="528" t="s">
        <v>205</v>
      </c>
    </row>
    <row r="7600" spans="1:7" x14ac:dyDescent="0.35">
      <c r="A7600" s="528" t="s">
        <v>22054</v>
      </c>
      <c r="B7600" s="528" t="s">
        <v>22055</v>
      </c>
      <c r="C7600" s="528" t="s">
        <v>22056</v>
      </c>
      <c r="D7600" s="528" t="s">
        <v>225</v>
      </c>
      <c r="E7600" s="528"/>
      <c r="F7600" s="528"/>
      <c r="G7600" s="528" t="s">
        <v>208</v>
      </c>
    </row>
    <row r="7601" spans="1:7" x14ac:dyDescent="0.35">
      <c r="A7601" s="528" t="s">
        <v>22057</v>
      </c>
      <c r="B7601" s="528" t="s">
        <v>22058</v>
      </c>
      <c r="C7601" s="528" t="s">
        <v>22059</v>
      </c>
      <c r="D7601" s="528" t="s">
        <v>225</v>
      </c>
      <c r="E7601" s="528"/>
      <c r="F7601" s="528"/>
      <c r="G7601" s="528" t="s">
        <v>208</v>
      </c>
    </row>
    <row r="7602" spans="1:7" x14ac:dyDescent="0.35">
      <c r="A7602" s="528" t="s">
        <v>22060</v>
      </c>
      <c r="B7602" s="528" t="s">
        <v>22061</v>
      </c>
      <c r="C7602" s="528" t="s">
        <v>22062</v>
      </c>
      <c r="D7602" s="528" t="s">
        <v>225</v>
      </c>
      <c r="E7602" s="528"/>
      <c r="F7602" s="528"/>
      <c r="G7602" s="528" t="s">
        <v>205</v>
      </c>
    </row>
    <row r="7603" spans="1:7" x14ac:dyDescent="0.35">
      <c r="A7603" s="528" t="s">
        <v>22063</v>
      </c>
      <c r="B7603" s="528" t="s">
        <v>22064</v>
      </c>
      <c r="C7603" s="528" t="s">
        <v>22065</v>
      </c>
      <c r="D7603" s="528" t="s">
        <v>225</v>
      </c>
      <c r="E7603" s="528"/>
      <c r="F7603" s="528"/>
      <c r="G7603" s="528" t="s">
        <v>208</v>
      </c>
    </row>
    <row r="7604" spans="1:7" x14ac:dyDescent="0.35">
      <c r="A7604" s="528" t="s">
        <v>22066</v>
      </c>
      <c r="B7604" s="528" t="s">
        <v>22067</v>
      </c>
      <c r="C7604" s="528" t="s">
        <v>22068</v>
      </c>
      <c r="D7604" s="528" t="s">
        <v>225</v>
      </c>
      <c r="E7604" s="528"/>
      <c r="F7604" s="528"/>
      <c r="G7604" s="528" t="s">
        <v>205</v>
      </c>
    </row>
    <row r="7605" spans="1:7" x14ac:dyDescent="0.35">
      <c r="A7605" s="528" t="s">
        <v>22069</v>
      </c>
      <c r="B7605" s="528" t="s">
        <v>22070</v>
      </c>
      <c r="C7605" s="528" t="s">
        <v>22071</v>
      </c>
      <c r="D7605" s="528" t="s">
        <v>225</v>
      </c>
      <c r="E7605" s="528"/>
      <c r="F7605" s="528"/>
      <c r="G7605" s="528" t="s">
        <v>208</v>
      </c>
    </row>
    <row r="7606" spans="1:7" x14ac:dyDescent="0.35">
      <c r="A7606" s="528" t="s">
        <v>22072</v>
      </c>
      <c r="B7606" s="528" t="s">
        <v>22073</v>
      </c>
      <c r="C7606" s="528" t="s">
        <v>22074</v>
      </c>
      <c r="D7606" s="528" t="s">
        <v>225</v>
      </c>
      <c r="E7606" s="528"/>
      <c r="F7606" s="528"/>
      <c r="G7606" s="528" t="s">
        <v>208</v>
      </c>
    </row>
    <row r="7607" spans="1:7" x14ac:dyDescent="0.35">
      <c r="A7607" s="528" t="s">
        <v>22075</v>
      </c>
      <c r="B7607" s="528" t="s">
        <v>22076</v>
      </c>
      <c r="C7607" s="528" t="s">
        <v>22077</v>
      </c>
      <c r="D7607" s="528" t="s">
        <v>225</v>
      </c>
      <c r="E7607" s="528"/>
      <c r="F7607" s="528"/>
      <c r="G7607" s="528" t="s">
        <v>214</v>
      </c>
    </row>
    <row r="7608" spans="1:7" x14ac:dyDescent="0.35">
      <c r="A7608" s="528" t="s">
        <v>22078</v>
      </c>
      <c r="B7608" s="528" t="s">
        <v>22079</v>
      </c>
      <c r="C7608" s="528" t="s">
        <v>22080</v>
      </c>
      <c r="D7608" s="528" t="s">
        <v>264</v>
      </c>
      <c r="E7608" s="528"/>
      <c r="F7608" s="528"/>
      <c r="G7608" s="528" t="s">
        <v>208</v>
      </c>
    </row>
    <row r="7609" spans="1:7" x14ac:dyDescent="0.35">
      <c r="A7609" s="528" t="s">
        <v>22081</v>
      </c>
      <c r="B7609" s="528" t="s">
        <v>22082</v>
      </c>
      <c r="C7609" s="528" t="s">
        <v>22083</v>
      </c>
      <c r="D7609" s="528" t="s">
        <v>277</v>
      </c>
      <c r="E7609" s="528"/>
      <c r="F7609" s="528"/>
      <c r="G7609" s="528" t="s">
        <v>208</v>
      </c>
    </row>
    <row r="7610" spans="1:7" x14ac:dyDescent="0.35">
      <c r="A7610" s="528" t="s">
        <v>22084</v>
      </c>
      <c r="B7610" s="528" t="s">
        <v>22085</v>
      </c>
      <c r="C7610" s="528" t="s">
        <v>22086</v>
      </c>
      <c r="D7610" s="528" t="s">
        <v>264</v>
      </c>
      <c r="E7610" s="528"/>
      <c r="F7610" s="528"/>
      <c r="G7610" s="528" t="s">
        <v>205</v>
      </c>
    </row>
    <row r="7611" spans="1:7" x14ac:dyDescent="0.35">
      <c r="A7611" s="528" t="s">
        <v>22087</v>
      </c>
      <c r="B7611" s="528" t="s">
        <v>22088</v>
      </c>
      <c r="C7611" s="528" t="s">
        <v>22089</v>
      </c>
      <c r="D7611" s="528" t="s">
        <v>264</v>
      </c>
      <c r="E7611" s="528"/>
      <c r="F7611" s="528"/>
      <c r="G7611" s="528" t="s">
        <v>205</v>
      </c>
    </row>
    <row r="7612" spans="1:7" x14ac:dyDescent="0.35">
      <c r="A7612" s="528" t="s">
        <v>22090</v>
      </c>
      <c r="B7612" s="528" t="s">
        <v>22091</v>
      </c>
      <c r="C7612" s="528" t="s">
        <v>22092</v>
      </c>
      <c r="D7612" s="528" t="s">
        <v>264</v>
      </c>
      <c r="E7612" s="528"/>
      <c r="F7612" s="528"/>
      <c r="G7612" s="528" t="s">
        <v>210</v>
      </c>
    </row>
    <row r="7613" spans="1:7" x14ac:dyDescent="0.35">
      <c r="A7613" s="528" t="s">
        <v>22093</v>
      </c>
      <c r="B7613" s="528" t="s">
        <v>22094</v>
      </c>
      <c r="C7613" s="528" t="s">
        <v>22095</v>
      </c>
      <c r="D7613" s="528" t="s">
        <v>264</v>
      </c>
      <c r="E7613" s="528"/>
      <c r="F7613" s="528"/>
      <c r="G7613" s="528" t="s">
        <v>210</v>
      </c>
    </row>
    <row r="7614" spans="1:7" x14ac:dyDescent="0.35">
      <c r="A7614" s="528" t="s">
        <v>22096</v>
      </c>
      <c r="B7614" s="528" t="s">
        <v>22097</v>
      </c>
      <c r="C7614" s="528" t="s">
        <v>22098</v>
      </c>
      <c r="D7614" s="528" t="s">
        <v>238</v>
      </c>
      <c r="E7614" s="528"/>
      <c r="F7614" s="528"/>
      <c r="G7614" s="528" t="s">
        <v>208</v>
      </c>
    </row>
    <row r="7615" spans="1:7" x14ac:dyDescent="0.35">
      <c r="A7615" s="528" t="s">
        <v>22099</v>
      </c>
      <c r="B7615" s="528" t="s">
        <v>22100</v>
      </c>
      <c r="C7615" s="528" t="s">
        <v>22101</v>
      </c>
      <c r="D7615" s="528" t="s">
        <v>277</v>
      </c>
      <c r="E7615" s="528"/>
      <c r="F7615" s="528"/>
      <c r="G7615" s="528" t="s">
        <v>214</v>
      </c>
    </row>
    <row r="7616" spans="1:7" x14ac:dyDescent="0.35">
      <c r="A7616" s="528" t="s">
        <v>22102</v>
      </c>
      <c r="B7616" s="528" t="s">
        <v>22103</v>
      </c>
      <c r="C7616" s="528" t="s">
        <v>22104</v>
      </c>
      <c r="D7616" s="528" t="s">
        <v>277</v>
      </c>
      <c r="E7616" s="528"/>
      <c r="F7616" s="528"/>
      <c r="G7616" s="528" t="s">
        <v>205</v>
      </c>
    </row>
    <row r="7617" spans="1:7" x14ac:dyDescent="0.35">
      <c r="A7617" s="528" t="s">
        <v>22105</v>
      </c>
      <c r="B7617" s="528" t="s">
        <v>22106</v>
      </c>
      <c r="C7617" s="528" t="s">
        <v>22107</v>
      </c>
      <c r="D7617" s="528" t="s">
        <v>277</v>
      </c>
      <c r="E7617" s="528"/>
      <c r="F7617" s="528"/>
      <c r="G7617" s="528" t="s">
        <v>208</v>
      </c>
    </row>
    <row r="7618" spans="1:7" x14ac:dyDescent="0.35">
      <c r="A7618" s="528" t="s">
        <v>22108</v>
      </c>
      <c r="B7618" s="528" t="s">
        <v>22109</v>
      </c>
      <c r="C7618" s="528" t="s">
        <v>22110</v>
      </c>
      <c r="D7618" s="528" t="s">
        <v>225</v>
      </c>
      <c r="E7618" s="528"/>
      <c r="F7618" s="528"/>
      <c r="G7618" s="528" t="s">
        <v>208</v>
      </c>
    </row>
    <row r="7619" spans="1:7" x14ac:dyDescent="0.35">
      <c r="A7619" s="528" t="s">
        <v>22111</v>
      </c>
      <c r="B7619" s="528" t="s">
        <v>22112</v>
      </c>
      <c r="C7619" s="528" t="s">
        <v>22113</v>
      </c>
      <c r="D7619" s="528" t="s">
        <v>277</v>
      </c>
      <c r="E7619" s="528"/>
      <c r="F7619" s="528"/>
      <c r="G7619" s="528" t="s">
        <v>208</v>
      </c>
    </row>
    <row r="7620" spans="1:7" x14ac:dyDescent="0.35">
      <c r="A7620" s="528" t="s">
        <v>22114</v>
      </c>
      <c r="B7620" s="528" t="s">
        <v>22115</v>
      </c>
      <c r="C7620" s="528" t="s">
        <v>22116</v>
      </c>
      <c r="D7620" s="528" t="s">
        <v>225</v>
      </c>
      <c r="E7620" s="528"/>
      <c r="F7620" s="528"/>
      <c r="G7620" s="528" t="s">
        <v>208</v>
      </c>
    </row>
    <row r="7621" spans="1:7" x14ac:dyDescent="0.35">
      <c r="A7621" s="528" t="s">
        <v>22117</v>
      </c>
      <c r="B7621" s="528" t="s">
        <v>22118</v>
      </c>
      <c r="C7621" s="528" t="s">
        <v>22119</v>
      </c>
      <c r="D7621" s="528" t="s">
        <v>225</v>
      </c>
      <c r="E7621" s="528"/>
      <c r="F7621" s="528"/>
      <c r="G7621" s="528" t="s">
        <v>205</v>
      </c>
    </row>
    <row r="7622" spans="1:7" x14ac:dyDescent="0.35">
      <c r="A7622" s="528" t="s">
        <v>22120</v>
      </c>
      <c r="B7622" s="528" t="s">
        <v>22121</v>
      </c>
      <c r="C7622" s="528" t="s">
        <v>22122</v>
      </c>
      <c r="D7622" s="528" t="s">
        <v>225</v>
      </c>
      <c r="E7622" s="528"/>
      <c r="F7622" s="528"/>
      <c r="G7622" s="528" t="s">
        <v>205</v>
      </c>
    </row>
    <row r="7623" spans="1:7" x14ac:dyDescent="0.35">
      <c r="A7623" s="528" t="s">
        <v>22123</v>
      </c>
      <c r="B7623" s="528" t="s">
        <v>22124</v>
      </c>
      <c r="C7623" s="528" t="s">
        <v>22125</v>
      </c>
      <c r="D7623" s="528" t="s">
        <v>225</v>
      </c>
      <c r="E7623" s="528"/>
      <c r="F7623" s="528"/>
      <c r="G7623" s="528" t="s">
        <v>208</v>
      </c>
    </row>
    <row r="7624" spans="1:7" x14ac:dyDescent="0.35">
      <c r="A7624" s="528" t="s">
        <v>22126</v>
      </c>
      <c r="B7624" s="528" t="s">
        <v>22127</v>
      </c>
      <c r="C7624" s="528" t="s">
        <v>22128</v>
      </c>
      <c r="D7624" s="528" t="s">
        <v>225</v>
      </c>
      <c r="E7624" s="528"/>
      <c r="F7624" s="528"/>
      <c r="G7624" s="528" t="s">
        <v>205</v>
      </c>
    </row>
    <row r="7625" spans="1:7" x14ac:dyDescent="0.35">
      <c r="A7625" s="528" t="s">
        <v>22129</v>
      </c>
      <c r="B7625" s="528" t="s">
        <v>22130</v>
      </c>
      <c r="C7625" s="528" t="s">
        <v>22131</v>
      </c>
      <c r="D7625" s="528" t="s">
        <v>225</v>
      </c>
      <c r="E7625" s="528"/>
      <c r="F7625" s="528"/>
      <c r="G7625" s="528" t="s">
        <v>208</v>
      </c>
    </row>
    <row r="7626" spans="1:7" x14ac:dyDescent="0.35">
      <c r="A7626" s="528" t="s">
        <v>22132</v>
      </c>
      <c r="B7626" s="528" t="s">
        <v>22133</v>
      </c>
      <c r="C7626" s="528" t="s">
        <v>22134</v>
      </c>
      <c r="D7626" s="528" t="s">
        <v>264</v>
      </c>
      <c r="E7626" s="528"/>
      <c r="F7626" s="528"/>
      <c r="G7626" s="528" t="s">
        <v>208</v>
      </c>
    </row>
    <row r="7627" spans="1:7" x14ac:dyDescent="0.35">
      <c r="A7627" s="528" t="s">
        <v>22135</v>
      </c>
      <c r="B7627" s="528" t="s">
        <v>22136</v>
      </c>
      <c r="C7627" s="528" t="s">
        <v>22137</v>
      </c>
      <c r="D7627" s="528" t="s">
        <v>264</v>
      </c>
      <c r="E7627" s="528"/>
      <c r="F7627" s="528"/>
      <c r="G7627" s="528" t="s">
        <v>205</v>
      </c>
    </row>
    <row r="7628" spans="1:7" x14ac:dyDescent="0.35">
      <c r="A7628" s="528" t="s">
        <v>22138</v>
      </c>
      <c r="B7628" s="528" t="s">
        <v>22139</v>
      </c>
      <c r="C7628" s="528" t="s">
        <v>22140</v>
      </c>
      <c r="D7628" s="528" t="s">
        <v>251</v>
      </c>
      <c r="E7628" s="528"/>
      <c r="F7628" s="528"/>
      <c r="G7628" s="528" t="s">
        <v>205</v>
      </c>
    </row>
    <row r="7629" spans="1:7" x14ac:dyDescent="0.35">
      <c r="A7629" s="528" t="s">
        <v>22141</v>
      </c>
      <c r="B7629" s="528" t="s">
        <v>22142</v>
      </c>
      <c r="C7629" s="528" t="s">
        <v>22143</v>
      </c>
      <c r="D7629" s="528" t="s">
        <v>251</v>
      </c>
      <c r="E7629" s="528"/>
      <c r="F7629" s="528"/>
      <c r="G7629" s="528" t="s">
        <v>208</v>
      </c>
    </row>
    <row r="7630" spans="1:7" x14ac:dyDescent="0.35">
      <c r="A7630" s="528" t="s">
        <v>22144</v>
      </c>
      <c r="B7630" s="528" t="s">
        <v>22145</v>
      </c>
      <c r="C7630" s="528" t="s">
        <v>22146</v>
      </c>
      <c r="D7630" s="528" t="s">
        <v>277</v>
      </c>
      <c r="E7630" s="528"/>
      <c r="F7630" s="528"/>
      <c r="G7630" s="528" t="s">
        <v>208</v>
      </c>
    </row>
    <row r="7631" spans="1:7" x14ac:dyDescent="0.35">
      <c r="A7631" s="528" t="s">
        <v>22147</v>
      </c>
      <c r="B7631" s="528" t="s">
        <v>22148</v>
      </c>
      <c r="C7631" s="528" t="s">
        <v>22149</v>
      </c>
      <c r="D7631" s="528" t="s">
        <v>277</v>
      </c>
      <c r="E7631" s="528"/>
      <c r="F7631" s="528"/>
      <c r="G7631" s="528" t="s">
        <v>205</v>
      </c>
    </row>
    <row r="7632" spans="1:7" x14ac:dyDescent="0.35">
      <c r="A7632" s="528" t="s">
        <v>22150</v>
      </c>
      <c r="B7632" s="528" t="s">
        <v>22151</v>
      </c>
      <c r="C7632" s="528" t="s">
        <v>22152</v>
      </c>
      <c r="D7632" s="528" t="s">
        <v>251</v>
      </c>
      <c r="E7632" s="528"/>
      <c r="F7632" s="528"/>
      <c r="G7632" s="528" t="s">
        <v>205</v>
      </c>
    </row>
    <row r="7633" spans="1:7" x14ac:dyDescent="0.35">
      <c r="A7633" s="528" t="s">
        <v>22153</v>
      </c>
      <c r="B7633" s="528" t="s">
        <v>22154</v>
      </c>
      <c r="C7633" s="528" t="s">
        <v>22155</v>
      </c>
      <c r="D7633" s="528" t="s">
        <v>251</v>
      </c>
      <c r="E7633" s="528"/>
      <c r="F7633" s="528"/>
      <c r="G7633" s="528" t="s">
        <v>208</v>
      </c>
    </row>
    <row r="7634" spans="1:7" x14ac:dyDescent="0.35">
      <c r="A7634" s="528" t="s">
        <v>22156</v>
      </c>
      <c r="B7634" s="528" t="s">
        <v>22157</v>
      </c>
      <c r="C7634" s="528" t="s">
        <v>22158</v>
      </c>
      <c r="D7634" s="528" t="s">
        <v>251</v>
      </c>
      <c r="E7634" s="528"/>
      <c r="F7634" s="528"/>
      <c r="G7634" s="528" t="s">
        <v>205</v>
      </c>
    </row>
    <row r="7635" spans="1:7" x14ac:dyDescent="0.35">
      <c r="A7635" s="528" t="s">
        <v>22159</v>
      </c>
      <c r="B7635" s="528" t="s">
        <v>22160</v>
      </c>
      <c r="C7635" s="528" t="s">
        <v>22161</v>
      </c>
      <c r="D7635" s="528" t="s">
        <v>251</v>
      </c>
      <c r="E7635" s="528"/>
      <c r="F7635" s="528"/>
      <c r="G7635" s="528" t="s">
        <v>208</v>
      </c>
    </row>
    <row r="7636" spans="1:7" x14ac:dyDescent="0.35">
      <c r="A7636" s="528" t="s">
        <v>22162</v>
      </c>
      <c r="B7636" s="528" t="s">
        <v>22163</v>
      </c>
      <c r="C7636" s="528" t="s">
        <v>22164</v>
      </c>
      <c r="D7636" s="528" t="s">
        <v>264</v>
      </c>
      <c r="E7636" s="528"/>
      <c r="F7636" s="528"/>
      <c r="G7636" s="528" t="s">
        <v>208</v>
      </c>
    </row>
    <row r="7637" spans="1:7" x14ac:dyDescent="0.35">
      <c r="A7637" s="528" t="s">
        <v>22165</v>
      </c>
      <c r="B7637" s="528" t="s">
        <v>22166</v>
      </c>
      <c r="C7637" s="528" t="s">
        <v>22167</v>
      </c>
      <c r="D7637" s="528" t="s">
        <v>264</v>
      </c>
      <c r="E7637" s="528"/>
      <c r="F7637" s="528"/>
      <c r="G7637" s="528" t="s">
        <v>205</v>
      </c>
    </row>
    <row r="7638" spans="1:7" x14ac:dyDescent="0.35">
      <c r="A7638" s="528" t="s">
        <v>22168</v>
      </c>
      <c r="B7638" s="528" t="s">
        <v>22169</v>
      </c>
      <c r="C7638" s="528" t="s">
        <v>22170</v>
      </c>
      <c r="D7638" s="528" t="s">
        <v>264</v>
      </c>
      <c r="E7638" s="528"/>
      <c r="F7638" s="528"/>
      <c r="G7638" s="528" t="s">
        <v>208</v>
      </c>
    </row>
    <row r="7639" spans="1:7" x14ac:dyDescent="0.35">
      <c r="A7639" s="528" t="s">
        <v>22171</v>
      </c>
      <c r="B7639" s="528" t="s">
        <v>22172</v>
      </c>
      <c r="C7639" s="528" t="s">
        <v>22173</v>
      </c>
      <c r="D7639" s="528" t="s">
        <v>225</v>
      </c>
      <c r="E7639" s="528"/>
      <c r="F7639" s="528"/>
      <c r="G7639" s="528" t="s">
        <v>212</v>
      </c>
    </row>
    <row r="7640" spans="1:7" x14ac:dyDescent="0.35">
      <c r="A7640" s="528" t="s">
        <v>22174</v>
      </c>
      <c r="B7640" s="528" t="s">
        <v>22175</v>
      </c>
      <c r="C7640" s="528" t="s">
        <v>22176</v>
      </c>
      <c r="D7640" s="528" t="s">
        <v>277</v>
      </c>
      <c r="E7640" s="528"/>
      <c r="F7640" s="528"/>
      <c r="G7640" s="528" t="s">
        <v>208</v>
      </c>
    </row>
    <row r="7641" spans="1:7" x14ac:dyDescent="0.35">
      <c r="A7641" s="528" t="s">
        <v>22177</v>
      </c>
      <c r="B7641" s="528" t="s">
        <v>22178</v>
      </c>
      <c r="C7641" s="528" t="s">
        <v>22179</v>
      </c>
      <c r="D7641" s="528" t="s">
        <v>277</v>
      </c>
      <c r="E7641" s="528"/>
      <c r="F7641" s="528"/>
      <c r="G7641" s="528" t="s">
        <v>208</v>
      </c>
    </row>
    <row r="7642" spans="1:7" x14ac:dyDescent="0.35">
      <c r="A7642" s="528" t="s">
        <v>22180</v>
      </c>
      <c r="B7642" s="528" t="s">
        <v>22181</v>
      </c>
      <c r="C7642" s="528" t="s">
        <v>22182</v>
      </c>
      <c r="D7642" s="528" t="s">
        <v>264</v>
      </c>
      <c r="E7642" s="528"/>
      <c r="F7642" s="528"/>
      <c r="G7642" s="528" t="s">
        <v>212</v>
      </c>
    </row>
    <row r="7643" spans="1:7" x14ac:dyDescent="0.35">
      <c r="A7643" s="528" t="s">
        <v>22183</v>
      </c>
      <c r="B7643" s="528" t="s">
        <v>22184</v>
      </c>
      <c r="C7643" s="528" t="s">
        <v>22185</v>
      </c>
      <c r="D7643" s="528" t="s">
        <v>264</v>
      </c>
      <c r="E7643" s="528"/>
      <c r="F7643" s="528"/>
      <c r="G7643" s="528" t="s">
        <v>214</v>
      </c>
    </row>
    <row r="7644" spans="1:7" x14ac:dyDescent="0.35">
      <c r="A7644" s="528" t="s">
        <v>22186</v>
      </c>
      <c r="B7644" s="528" t="s">
        <v>22187</v>
      </c>
      <c r="C7644" s="528" t="s">
        <v>22188</v>
      </c>
      <c r="D7644" s="528" t="s">
        <v>238</v>
      </c>
      <c r="E7644" s="528"/>
      <c r="F7644" s="528"/>
      <c r="G7644" s="528" t="s">
        <v>212</v>
      </c>
    </row>
    <row r="7645" spans="1:7" x14ac:dyDescent="0.35">
      <c r="A7645" s="528" t="s">
        <v>22189</v>
      </c>
      <c r="B7645" s="528" t="s">
        <v>22190</v>
      </c>
      <c r="C7645" s="528" t="s">
        <v>22191</v>
      </c>
      <c r="D7645" s="528" t="s">
        <v>264</v>
      </c>
      <c r="E7645" s="528"/>
      <c r="F7645" s="528"/>
      <c r="G7645" s="528" t="s">
        <v>208</v>
      </c>
    </row>
    <row r="7646" spans="1:7" x14ac:dyDescent="0.35">
      <c r="A7646" s="528" t="s">
        <v>22192</v>
      </c>
      <c r="B7646" s="528" t="s">
        <v>22193</v>
      </c>
      <c r="C7646" s="528" t="s">
        <v>22194</v>
      </c>
      <c r="D7646" s="528" t="s">
        <v>277</v>
      </c>
      <c r="E7646" s="528"/>
      <c r="F7646" s="528"/>
      <c r="G7646" s="528" t="s">
        <v>205</v>
      </c>
    </row>
    <row r="7647" spans="1:7" x14ac:dyDescent="0.35">
      <c r="A7647" s="528" t="s">
        <v>22195</v>
      </c>
      <c r="B7647" s="528" t="s">
        <v>22196</v>
      </c>
      <c r="C7647" s="528" t="s">
        <v>22197</v>
      </c>
      <c r="D7647" s="528" t="s">
        <v>277</v>
      </c>
      <c r="E7647" s="528"/>
      <c r="F7647" s="528"/>
      <c r="G7647" s="528" t="s">
        <v>212</v>
      </c>
    </row>
    <row r="7648" spans="1:7" x14ac:dyDescent="0.35">
      <c r="A7648" s="528" t="s">
        <v>22198</v>
      </c>
      <c r="B7648" s="528" t="s">
        <v>22199</v>
      </c>
      <c r="C7648" s="528" t="s">
        <v>22200</v>
      </c>
      <c r="D7648" s="528" t="s">
        <v>277</v>
      </c>
      <c r="E7648" s="528"/>
      <c r="F7648" s="528"/>
      <c r="G7648" s="528" t="s">
        <v>212</v>
      </c>
    </row>
    <row r="7649" spans="1:7" x14ac:dyDescent="0.35">
      <c r="A7649" s="528" t="s">
        <v>22201</v>
      </c>
      <c r="B7649" s="528" t="s">
        <v>22202</v>
      </c>
      <c r="C7649" s="528" t="s">
        <v>22203</v>
      </c>
      <c r="D7649" s="528" t="s">
        <v>238</v>
      </c>
      <c r="E7649" s="528"/>
      <c r="F7649" s="528"/>
      <c r="G7649" s="528" t="s">
        <v>208</v>
      </c>
    </row>
    <row r="7650" spans="1:7" x14ac:dyDescent="0.35">
      <c r="A7650" s="528" t="s">
        <v>22204</v>
      </c>
      <c r="B7650" s="528" t="s">
        <v>22205</v>
      </c>
      <c r="C7650" s="528" t="s">
        <v>22206</v>
      </c>
      <c r="D7650" s="528" t="s">
        <v>251</v>
      </c>
      <c r="E7650" s="528"/>
      <c r="F7650" s="528"/>
      <c r="G7650" s="528" t="s">
        <v>208</v>
      </c>
    </row>
    <row r="7651" spans="1:7" x14ac:dyDescent="0.35">
      <c r="A7651" s="528" t="s">
        <v>22207</v>
      </c>
      <c r="B7651" s="528" t="s">
        <v>22208</v>
      </c>
      <c r="C7651" s="528" t="s">
        <v>22209</v>
      </c>
      <c r="D7651" s="528" t="s">
        <v>277</v>
      </c>
      <c r="E7651" s="528"/>
      <c r="F7651" s="528"/>
      <c r="G7651" s="528" t="s">
        <v>208</v>
      </c>
    </row>
    <row r="7652" spans="1:7" x14ac:dyDescent="0.35">
      <c r="A7652" s="528" t="s">
        <v>22210</v>
      </c>
      <c r="B7652" s="528" t="s">
        <v>22211</v>
      </c>
      <c r="C7652" s="528" t="s">
        <v>22212</v>
      </c>
      <c r="D7652" s="528" t="s">
        <v>238</v>
      </c>
      <c r="E7652" s="528"/>
      <c r="F7652" s="528"/>
      <c r="G7652" s="528" t="s">
        <v>205</v>
      </c>
    </row>
    <row r="7653" spans="1:7" x14ac:dyDescent="0.35">
      <c r="A7653" s="528" t="s">
        <v>22213</v>
      </c>
      <c r="B7653" s="528" t="s">
        <v>22214</v>
      </c>
      <c r="C7653" s="528" t="s">
        <v>22215</v>
      </c>
      <c r="D7653" s="528" t="s">
        <v>238</v>
      </c>
      <c r="E7653" s="528"/>
      <c r="F7653" s="528"/>
      <c r="G7653" s="528" t="s">
        <v>205</v>
      </c>
    </row>
    <row r="7654" spans="1:7" x14ac:dyDescent="0.35">
      <c r="A7654" s="528" t="s">
        <v>22216</v>
      </c>
      <c r="B7654" s="528" t="s">
        <v>22217</v>
      </c>
      <c r="C7654" s="528" t="s">
        <v>22218</v>
      </c>
      <c r="D7654" s="528" t="s">
        <v>238</v>
      </c>
      <c r="E7654" s="528"/>
      <c r="F7654" s="528"/>
      <c r="G7654" s="528" t="s">
        <v>205</v>
      </c>
    </row>
    <row r="7655" spans="1:7" x14ac:dyDescent="0.35">
      <c r="A7655" s="528" t="s">
        <v>22219</v>
      </c>
      <c r="B7655" s="528" t="s">
        <v>22220</v>
      </c>
      <c r="C7655" s="528" t="s">
        <v>22221</v>
      </c>
      <c r="D7655" s="528" t="s">
        <v>238</v>
      </c>
      <c r="E7655" s="528"/>
      <c r="F7655" s="528"/>
      <c r="G7655" s="528" t="s">
        <v>205</v>
      </c>
    </row>
    <row r="7656" spans="1:7" x14ac:dyDescent="0.35">
      <c r="A7656" s="528" t="s">
        <v>22222</v>
      </c>
      <c r="B7656" s="528" t="s">
        <v>22223</v>
      </c>
      <c r="C7656" s="528" t="s">
        <v>22224</v>
      </c>
      <c r="D7656" s="528" t="s">
        <v>238</v>
      </c>
      <c r="E7656" s="528"/>
      <c r="F7656" s="528"/>
      <c r="G7656" s="528" t="s">
        <v>208</v>
      </c>
    </row>
    <row r="7657" spans="1:7" x14ac:dyDescent="0.35">
      <c r="A7657" s="528" t="s">
        <v>22225</v>
      </c>
      <c r="B7657" s="528" t="s">
        <v>22226</v>
      </c>
      <c r="C7657" s="528" t="s">
        <v>22227</v>
      </c>
      <c r="D7657" s="528" t="s">
        <v>238</v>
      </c>
      <c r="E7657" s="528"/>
      <c r="F7657" s="528"/>
      <c r="G7657" s="528" t="s">
        <v>208</v>
      </c>
    </row>
    <row r="7658" spans="1:7" x14ac:dyDescent="0.35">
      <c r="A7658" s="528" t="s">
        <v>22228</v>
      </c>
      <c r="B7658" s="528" t="s">
        <v>22229</v>
      </c>
      <c r="C7658" s="528" t="s">
        <v>22230</v>
      </c>
      <c r="D7658" s="528" t="s">
        <v>238</v>
      </c>
      <c r="E7658" s="528"/>
      <c r="F7658" s="528"/>
      <c r="G7658" s="528" t="s">
        <v>208</v>
      </c>
    </row>
    <row r="7659" spans="1:7" x14ac:dyDescent="0.35">
      <c r="A7659" s="528" t="s">
        <v>22231</v>
      </c>
      <c r="B7659" s="528" t="s">
        <v>22232</v>
      </c>
      <c r="C7659" s="528" t="s">
        <v>22233</v>
      </c>
      <c r="D7659" s="528" t="s">
        <v>238</v>
      </c>
      <c r="E7659" s="528"/>
      <c r="F7659" s="528"/>
      <c r="G7659" s="528" t="s">
        <v>208</v>
      </c>
    </row>
    <row r="7660" spans="1:7" x14ac:dyDescent="0.35">
      <c r="A7660" s="528" t="s">
        <v>22234</v>
      </c>
      <c r="B7660" s="528" t="s">
        <v>22235</v>
      </c>
      <c r="C7660" s="528" t="s">
        <v>22236</v>
      </c>
      <c r="D7660" s="528" t="s">
        <v>225</v>
      </c>
      <c r="E7660" s="528"/>
      <c r="F7660" s="528"/>
      <c r="G7660" s="528" t="s">
        <v>205</v>
      </c>
    </row>
    <row r="7661" spans="1:7" x14ac:dyDescent="0.35">
      <c r="A7661" s="528" t="s">
        <v>22237</v>
      </c>
      <c r="B7661" s="528" t="s">
        <v>22238</v>
      </c>
      <c r="C7661" s="528" t="s">
        <v>22239</v>
      </c>
      <c r="D7661" s="528" t="s">
        <v>264</v>
      </c>
      <c r="E7661" s="528"/>
      <c r="F7661" s="528"/>
      <c r="G7661" s="528" t="s">
        <v>212</v>
      </c>
    </row>
    <row r="7662" spans="1:7" x14ac:dyDescent="0.35">
      <c r="A7662" s="528" t="s">
        <v>22240</v>
      </c>
      <c r="B7662" s="528" t="s">
        <v>22241</v>
      </c>
      <c r="C7662" s="528" t="s">
        <v>22242</v>
      </c>
      <c r="D7662" s="528" t="s">
        <v>264</v>
      </c>
      <c r="E7662" s="528"/>
      <c r="F7662" s="528"/>
      <c r="G7662" s="528" t="s">
        <v>208</v>
      </c>
    </row>
    <row r="7663" spans="1:7" x14ac:dyDescent="0.35">
      <c r="A7663" s="528" t="s">
        <v>22243</v>
      </c>
      <c r="B7663" s="528" t="s">
        <v>22244</v>
      </c>
      <c r="C7663" s="528" t="s">
        <v>22245</v>
      </c>
      <c r="D7663" s="528" t="s">
        <v>264</v>
      </c>
      <c r="E7663" s="528"/>
      <c r="F7663" s="528"/>
      <c r="G7663" s="528" t="s">
        <v>205</v>
      </c>
    </row>
    <row r="7664" spans="1:7" x14ac:dyDescent="0.35">
      <c r="A7664" s="528" t="s">
        <v>22246</v>
      </c>
      <c r="B7664" s="528" t="s">
        <v>22247</v>
      </c>
      <c r="C7664" s="528" t="s">
        <v>22248</v>
      </c>
      <c r="D7664" s="528" t="s">
        <v>277</v>
      </c>
      <c r="E7664" s="528"/>
      <c r="F7664" s="528"/>
      <c r="G7664" s="528" t="s">
        <v>212</v>
      </c>
    </row>
    <row r="7665" spans="1:7" x14ac:dyDescent="0.35">
      <c r="A7665" s="528" t="s">
        <v>22249</v>
      </c>
      <c r="B7665" s="528" t="s">
        <v>22250</v>
      </c>
      <c r="C7665" s="528" t="s">
        <v>22251</v>
      </c>
      <c r="D7665" s="528" t="s">
        <v>277</v>
      </c>
      <c r="E7665" s="528"/>
      <c r="F7665" s="528"/>
      <c r="G7665" s="528" t="s">
        <v>212</v>
      </c>
    </row>
    <row r="7666" spans="1:7" x14ac:dyDescent="0.35">
      <c r="A7666" s="528" t="s">
        <v>22252</v>
      </c>
      <c r="B7666" s="528" t="s">
        <v>22253</v>
      </c>
      <c r="C7666" s="528" t="s">
        <v>22254</v>
      </c>
      <c r="D7666" s="528" t="s">
        <v>264</v>
      </c>
      <c r="E7666" s="528"/>
      <c r="F7666" s="528"/>
      <c r="G7666" s="528" t="s">
        <v>212</v>
      </c>
    </row>
    <row r="7667" spans="1:7" x14ac:dyDescent="0.35">
      <c r="A7667" s="528" t="s">
        <v>22255</v>
      </c>
      <c r="B7667" s="528" t="s">
        <v>22256</v>
      </c>
      <c r="C7667" s="528" t="s">
        <v>22257</v>
      </c>
      <c r="D7667" s="528" t="s">
        <v>225</v>
      </c>
      <c r="E7667" s="528"/>
      <c r="F7667" s="528"/>
      <c r="G7667" s="528" t="s">
        <v>208</v>
      </c>
    </row>
    <row r="7668" spans="1:7" x14ac:dyDescent="0.35">
      <c r="A7668" s="528" t="s">
        <v>22258</v>
      </c>
      <c r="B7668" s="528" t="s">
        <v>22259</v>
      </c>
      <c r="C7668" s="528" t="s">
        <v>22260</v>
      </c>
      <c r="D7668" s="528" t="s">
        <v>225</v>
      </c>
      <c r="E7668" s="528"/>
      <c r="F7668" s="528"/>
      <c r="G7668" s="528" t="s">
        <v>205</v>
      </c>
    </row>
    <row r="7669" spans="1:7" x14ac:dyDescent="0.35">
      <c r="A7669" s="528" t="s">
        <v>22261</v>
      </c>
      <c r="B7669" s="528" t="s">
        <v>22262</v>
      </c>
      <c r="C7669" s="528" t="s">
        <v>22263</v>
      </c>
      <c r="D7669" s="528" t="s">
        <v>264</v>
      </c>
      <c r="E7669" s="528"/>
      <c r="F7669" s="528"/>
      <c r="G7669" s="528" t="s">
        <v>205</v>
      </c>
    </row>
    <row r="7670" spans="1:7" x14ac:dyDescent="0.35">
      <c r="A7670" s="528" t="s">
        <v>22264</v>
      </c>
      <c r="B7670" s="528" t="s">
        <v>22265</v>
      </c>
      <c r="C7670" s="528" t="s">
        <v>22266</v>
      </c>
      <c r="D7670" s="528" t="s">
        <v>264</v>
      </c>
      <c r="E7670" s="528"/>
      <c r="F7670" s="528"/>
      <c r="G7670" s="528" t="s">
        <v>212</v>
      </c>
    </row>
    <row r="7671" spans="1:7" x14ac:dyDescent="0.35">
      <c r="A7671" s="528" t="s">
        <v>22267</v>
      </c>
      <c r="B7671" s="528" t="s">
        <v>22268</v>
      </c>
      <c r="C7671" s="528" t="s">
        <v>22269</v>
      </c>
      <c r="D7671" s="528" t="s">
        <v>238</v>
      </c>
      <c r="E7671" s="528"/>
      <c r="F7671" s="528"/>
      <c r="G7671" s="528" t="s">
        <v>212</v>
      </c>
    </row>
    <row r="7672" spans="1:7" x14ac:dyDescent="0.35">
      <c r="A7672" s="528" t="s">
        <v>22270</v>
      </c>
      <c r="B7672" s="528" t="s">
        <v>22271</v>
      </c>
      <c r="C7672" s="528" t="s">
        <v>22272</v>
      </c>
      <c r="D7672" s="528" t="s">
        <v>264</v>
      </c>
      <c r="E7672" s="528"/>
      <c r="F7672" s="528"/>
      <c r="G7672" s="528" t="s">
        <v>208</v>
      </c>
    </row>
    <row r="7673" spans="1:7" x14ac:dyDescent="0.35">
      <c r="A7673" s="528" t="s">
        <v>22273</v>
      </c>
      <c r="B7673" s="528" t="s">
        <v>22274</v>
      </c>
      <c r="C7673" s="528" t="s">
        <v>22275</v>
      </c>
      <c r="D7673" s="528" t="s">
        <v>264</v>
      </c>
      <c r="E7673" s="528"/>
      <c r="F7673" s="528"/>
      <c r="G7673" s="528" t="s">
        <v>205</v>
      </c>
    </row>
    <row r="7674" spans="1:7" x14ac:dyDescent="0.35">
      <c r="A7674" s="528" t="s">
        <v>22276</v>
      </c>
      <c r="B7674" s="528" t="s">
        <v>22277</v>
      </c>
      <c r="C7674" s="528" t="s">
        <v>22278</v>
      </c>
      <c r="D7674" s="528" t="s">
        <v>264</v>
      </c>
      <c r="E7674" s="528"/>
      <c r="F7674" s="528"/>
      <c r="G7674" s="528" t="s">
        <v>208</v>
      </c>
    </row>
    <row r="7675" spans="1:7" x14ac:dyDescent="0.35">
      <c r="A7675" s="528" t="s">
        <v>22279</v>
      </c>
      <c r="B7675" s="528" t="s">
        <v>22280</v>
      </c>
      <c r="C7675" s="528" t="s">
        <v>22281</v>
      </c>
      <c r="D7675" s="528" t="s">
        <v>264</v>
      </c>
      <c r="E7675" s="528"/>
      <c r="F7675" s="528"/>
      <c r="G7675" s="528" t="s">
        <v>208</v>
      </c>
    </row>
    <row r="7676" spans="1:7" x14ac:dyDescent="0.35">
      <c r="A7676" s="528" t="s">
        <v>22282</v>
      </c>
      <c r="B7676" s="528" t="s">
        <v>22283</v>
      </c>
      <c r="C7676" s="528" t="s">
        <v>22284</v>
      </c>
      <c r="D7676" s="528" t="s">
        <v>264</v>
      </c>
      <c r="E7676" s="528"/>
      <c r="F7676" s="528"/>
      <c r="G7676" s="528" t="s">
        <v>208</v>
      </c>
    </row>
    <row r="7677" spans="1:7" x14ac:dyDescent="0.35">
      <c r="A7677" s="528" t="s">
        <v>22285</v>
      </c>
      <c r="B7677" s="528" t="s">
        <v>22286</v>
      </c>
      <c r="C7677" s="528" t="s">
        <v>22287</v>
      </c>
      <c r="D7677" s="528" t="s">
        <v>264</v>
      </c>
      <c r="E7677" s="528" t="s">
        <v>277</v>
      </c>
      <c r="F7677" s="528"/>
      <c r="G7677" s="528" t="s">
        <v>208</v>
      </c>
    </row>
    <row r="7678" spans="1:7" x14ac:dyDescent="0.35">
      <c r="A7678" s="528" t="s">
        <v>22288</v>
      </c>
      <c r="B7678" s="528" t="s">
        <v>22289</v>
      </c>
      <c r="C7678" s="528" t="s">
        <v>22290</v>
      </c>
      <c r="D7678" s="528" t="s">
        <v>225</v>
      </c>
      <c r="E7678" s="528"/>
      <c r="F7678" s="528"/>
      <c r="G7678" s="528" t="s">
        <v>205</v>
      </c>
    </row>
    <row r="7679" spans="1:7" x14ac:dyDescent="0.35">
      <c r="A7679" s="528" t="s">
        <v>22291</v>
      </c>
      <c r="B7679" s="528" t="s">
        <v>22292</v>
      </c>
      <c r="C7679" s="528" t="s">
        <v>22293</v>
      </c>
      <c r="D7679" s="528" t="s">
        <v>225</v>
      </c>
      <c r="E7679" s="528"/>
      <c r="F7679" s="528"/>
      <c r="G7679" s="528" t="s">
        <v>205</v>
      </c>
    </row>
    <row r="7680" spans="1:7" x14ac:dyDescent="0.35">
      <c r="A7680" s="528" t="s">
        <v>22294</v>
      </c>
      <c r="B7680" s="528" t="s">
        <v>22295</v>
      </c>
      <c r="C7680" s="528" t="s">
        <v>22296</v>
      </c>
      <c r="D7680" s="528" t="s">
        <v>225</v>
      </c>
      <c r="E7680" s="528"/>
      <c r="F7680" s="528"/>
      <c r="G7680" s="528" t="s">
        <v>205</v>
      </c>
    </row>
    <row r="7681" spans="1:7" x14ac:dyDescent="0.35">
      <c r="A7681" s="528" t="s">
        <v>22297</v>
      </c>
      <c r="B7681" s="528" t="s">
        <v>22298</v>
      </c>
      <c r="C7681" s="528" t="s">
        <v>22299</v>
      </c>
      <c r="D7681" s="528" t="s">
        <v>225</v>
      </c>
      <c r="E7681" s="528"/>
      <c r="F7681" s="528"/>
      <c r="G7681" s="528" t="s">
        <v>205</v>
      </c>
    </row>
    <row r="7682" spans="1:7" x14ac:dyDescent="0.35">
      <c r="A7682" s="528" t="s">
        <v>22300</v>
      </c>
      <c r="B7682" s="528" t="s">
        <v>22301</v>
      </c>
      <c r="C7682" s="528" t="s">
        <v>22302</v>
      </c>
      <c r="D7682" s="528" t="s">
        <v>225</v>
      </c>
      <c r="E7682" s="528"/>
      <c r="F7682" s="528"/>
      <c r="G7682" s="528" t="s">
        <v>205</v>
      </c>
    </row>
    <row r="7683" spans="1:7" x14ac:dyDescent="0.35">
      <c r="A7683" s="528" t="s">
        <v>22303</v>
      </c>
      <c r="B7683" s="528" t="s">
        <v>22304</v>
      </c>
      <c r="C7683" s="528" t="s">
        <v>22305</v>
      </c>
      <c r="D7683" s="528" t="s">
        <v>225</v>
      </c>
      <c r="E7683" s="528"/>
      <c r="F7683" s="528"/>
      <c r="G7683" s="528" t="s">
        <v>205</v>
      </c>
    </row>
    <row r="7684" spans="1:7" x14ac:dyDescent="0.35">
      <c r="A7684" s="528" t="s">
        <v>22306</v>
      </c>
      <c r="B7684" s="528" t="s">
        <v>22307</v>
      </c>
      <c r="C7684" s="528" t="s">
        <v>22308</v>
      </c>
      <c r="D7684" s="528" t="s">
        <v>277</v>
      </c>
      <c r="E7684" s="528"/>
      <c r="F7684" s="528"/>
      <c r="G7684" s="528" t="s">
        <v>212</v>
      </c>
    </row>
    <row r="7685" spans="1:7" x14ac:dyDescent="0.35">
      <c r="A7685" s="528" t="s">
        <v>22309</v>
      </c>
      <c r="B7685" s="528" t="s">
        <v>22310</v>
      </c>
      <c r="C7685" s="528" t="s">
        <v>22311</v>
      </c>
      <c r="D7685" s="528" t="s">
        <v>251</v>
      </c>
      <c r="E7685" s="528"/>
      <c r="F7685" s="528"/>
      <c r="G7685" s="528" t="s">
        <v>205</v>
      </c>
    </row>
    <row r="7686" spans="1:7" x14ac:dyDescent="0.35">
      <c r="A7686" s="528" t="s">
        <v>22312</v>
      </c>
      <c r="B7686" s="528" t="s">
        <v>22313</v>
      </c>
      <c r="C7686" s="528" t="s">
        <v>22314</v>
      </c>
      <c r="D7686" s="528" t="s">
        <v>251</v>
      </c>
      <c r="E7686" s="528"/>
      <c r="F7686" s="528"/>
      <c r="G7686" s="528" t="s">
        <v>205</v>
      </c>
    </row>
    <row r="7687" spans="1:7" x14ac:dyDescent="0.35">
      <c r="A7687" s="528" t="s">
        <v>22315</v>
      </c>
      <c r="B7687" s="528" t="s">
        <v>22316</v>
      </c>
      <c r="C7687" s="528" t="s">
        <v>22317</v>
      </c>
      <c r="D7687" s="528" t="s">
        <v>251</v>
      </c>
      <c r="E7687" s="528"/>
      <c r="F7687" s="528"/>
      <c r="G7687" s="528" t="s">
        <v>205</v>
      </c>
    </row>
    <row r="7688" spans="1:7" x14ac:dyDescent="0.35">
      <c r="A7688" s="528" t="s">
        <v>22318</v>
      </c>
      <c r="B7688" s="528" t="s">
        <v>22319</v>
      </c>
      <c r="C7688" s="528" t="s">
        <v>22320</v>
      </c>
      <c r="D7688" s="528" t="s">
        <v>251</v>
      </c>
      <c r="E7688" s="528"/>
      <c r="F7688" s="528"/>
      <c r="G7688" s="528" t="s">
        <v>205</v>
      </c>
    </row>
    <row r="7689" spans="1:7" x14ac:dyDescent="0.35">
      <c r="A7689" s="528" t="s">
        <v>22321</v>
      </c>
      <c r="B7689" s="528" t="s">
        <v>22322</v>
      </c>
      <c r="C7689" s="528" t="s">
        <v>22323</v>
      </c>
      <c r="D7689" s="528" t="s">
        <v>251</v>
      </c>
      <c r="E7689" s="528"/>
      <c r="F7689" s="528"/>
      <c r="G7689" s="528" t="s">
        <v>205</v>
      </c>
    </row>
    <row r="7690" spans="1:7" x14ac:dyDescent="0.35">
      <c r="A7690" s="528" t="s">
        <v>22324</v>
      </c>
      <c r="B7690" s="528" t="s">
        <v>22325</v>
      </c>
      <c r="C7690" s="528" t="s">
        <v>22326</v>
      </c>
      <c r="D7690" s="528" t="s">
        <v>251</v>
      </c>
      <c r="E7690" s="528"/>
      <c r="F7690" s="528"/>
      <c r="G7690" s="528" t="s">
        <v>205</v>
      </c>
    </row>
    <row r="7691" spans="1:7" x14ac:dyDescent="0.35">
      <c r="A7691" s="528" t="s">
        <v>22327</v>
      </c>
      <c r="B7691" s="528" t="s">
        <v>22328</v>
      </c>
      <c r="C7691" s="528" t="s">
        <v>22329</v>
      </c>
      <c r="D7691" s="528" t="s">
        <v>251</v>
      </c>
      <c r="E7691" s="528"/>
      <c r="F7691" s="528"/>
      <c r="G7691" s="528" t="s">
        <v>208</v>
      </c>
    </row>
    <row r="7692" spans="1:7" x14ac:dyDescent="0.35">
      <c r="A7692" s="528" t="s">
        <v>22330</v>
      </c>
      <c r="B7692" s="528" t="s">
        <v>22331</v>
      </c>
      <c r="C7692" s="528" t="s">
        <v>22332</v>
      </c>
      <c r="D7692" s="528" t="s">
        <v>251</v>
      </c>
      <c r="E7692" s="528"/>
      <c r="F7692" s="528"/>
      <c r="G7692" s="528" t="s">
        <v>208</v>
      </c>
    </row>
    <row r="7693" spans="1:7" x14ac:dyDescent="0.35">
      <c r="A7693" s="528" t="s">
        <v>22333</v>
      </c>
      <c r="B7693" s="528" t="s">
        <v>22334</v>
      </c>
      <c r="C7693" s="528" t="s">
        <v>22335</v>
      </c>
      <c r="D7693" s="528" t="s">
        <v>251</v>
      </c>
      <c r="E7693" s="528"/>
      <c r="F7693" s="528"/>
      <c r="G7693" s="528" t="s">
        <v>208</v>
      </c>
    </row>
    <row r="7694" spans="1:7" x14ac:dyDescent="0.35">
      <c r="A7694" s="528" t="s">
        <v>22336</v>
      </c>
      <c r="B7694" s="528" t="s">
        <v>22337</v>
      </c>
      <c r="C7694" s="528" t="s">
        <v>22338</v>
      </c>
      <c r="D7694" s="528" t="s">
        <v>251</v>
      </c>
      <c r="E7694" s="528"/>
      <c r="F7694" s="528"/>
      <c r="G7694" s="528" t="s">
        <v>208</v>
      </c>
    </row>
    <row r="7695" spans="1:7" x14ac:dyDescent="0.35">
      <c r="A7695" s="528" t="s">
        <v>22339</v>
      </c>
      <c r="B7695" s="528" t="s">
        <v>22340</v>
      </c>
      <c r="C7695" s="528" t="s">
        <v>22341</v>
      </c>
      <c r="D7695" s="528" t="s">
        <v>277</v>
      </c>
      <c r="E7695" s="528"/>
      <c r="F7695" s="528"/>
      <c r="G7695" s="528" t="s">
        <v>205</v>
      </c>
    </row>
    <row r="7696" spans="1:7" x14ac:dyDescent="0.35">
      <c r="A7696" s="528" t="s">
        <v>22342</v>
      </c>
      <c r="B7696" s="528" t="s">
        <v>22343</v>
      </c>
      <c r="C7696" s="528" t="s">
        <v>22344</v>
      </c>
      <c r="D7696" s="528" t="s">
        <v>277</v>
      </c>
      <c r="E7696" s="528"/>
      <c r="F7696" s="528"/>
      <c r="G7696" s="528" t="s">
        <v>208</v>
      </c>
    </row>
    <row r="7697" spans="1:7" x14ac:dyDescent="0.35">
      <c r="A7697" s="528" t="s">
        <v>22345</v>
      </c>
      <c r="B7697" s="528" t="s">
        <v>22346</v>
      </c>
      <c r="C7697" s="528" t="s">
        <v>22347</v>
      </c>
      <c r="D7697" s="528" t="s">
        <v>225</v>
      </c>
      <c r="E7697" s="528"/>
      <c r="F7697" s="528"/>
      <c r="G7697" s="528" t="s">
        <v>205</v>
      </c>
    </row>
    <row r="7698" spans="1:7" x14ac:dyDescent="0.35">
      <c r="A7698" s="528" t="s">
        <v>22348</v>
      </c>
      <c r="B7698" s="528" t="s">
        <v>22349</v>
      </c>
      <c r="C7698" s="528" t="s">
        <v>22350</v>
      </c>
      <c r="D7698" s="528" t="s">
        <v>225</v>
      </c>
      <c r="E7698" s="528"/>
      <c r="F7698" s="528"/>
      <c r="G7698" s="528" t="s">
        <v>208</v>
      </c>
    </row>
    <row r="7699" spans="1:7" x14ac:dyDescent="0.35">
      <c r="A7699" s="528" t="s">
        <v>22351</v>
      </c>
      <c r="B7699" s="528" t="s">
        <v>22352</v>
      </c>
      <c r="C7699" s="528" t="s">
        <v>22353</v>
      </c>
      <c r="D7699" s="528" t="s">
        <v>264</v>
      </c>
      <c r="E7699" s="528"/>
      <c r="F7699" s="528"/>
      <c r="G7699" s="528" t="s">
        <v>208</v>
      </c>
    </row>
    <row r="7700" spans="1:7" x14ac:dyDescent="0.35">
      <c r="A7700" s="528" t="s">
        <v>22354</v>
      </c>
      <c r="B7700" s="528" t="s">
        <v>22355</v>
      </c>
      <c r="C7700" s="528" t="s">
        <v>22356</v>
      </c>
      <c r="D7700" s="528" t="s">
        <v>225</v>
      </c>
      <c r="E7700" s="528"/>
      <c r="F7700" s="528"/>
      <c r="G7700" s="528" t="s">
        <v>208</v>
      </c>
    </row>
    <row r="7701" spans="1:7" x14ac:dyDescent="0.35">
      <c r="A7701" s="528" t="s">
        <v>22357</v>
      </c>
      <c r="B7701" s="528" t="s">
        <v>22358</v>
      </c>
      <c r="C7701" s="528" t="s">
        <v>22359</v>
      </c>
      <c r="D7701" s="528" t="s">
        <v>225</v>
      </c>
      <c r="E7701" s="528"/>
      <c r="F7701" s="528"/>
      <c r="G7701" s="528" t="s">
        <v>208</v>
      </c>
    </row>
    <row r="7702" spans="1:7" x14ac:dyDescent="0.35">
      <c r="A7702" s="528" t="s">
        <v>22360</v>
      </c>
      <c r="B7702" s="528" t="s">
        <v>22361</v>
      </c>
      <c r="C7702" s="528" t="s">
        <v>22362</v>
      </c>
      <c r="D7702" s="528" t="s">
        <v>277</v>
      </c>
      <c r="E7702" s="528"/>
      <c r="F7702" s="528"/>
      <c r="G7702" s="528" t="s">
        <v>212</v>
      </c>
    </row>
    <row r="7703" spans="1:7" x14ac:dyDescent="0.35">
      <c r="A7703" s="528" t="s">
        <v>22363</v>
      </c>
      <c r="B7703" s="528" t="s">
        <v>22364</v>
      </c>
      <c r="C7703" s="528" t="s">
        <v>22365</v>
      </c>
      <c r="D7703" s="528" t="s">
        <v>225</v>
      </c>
      <c r="E7703" s="528"/>
      <c r="F7703" s="528"/>
      <c r="G7703" s="528" t="s">
        <v>208</v>
      </c>
    </row>
    <row r="7704" spans="1:7" x14ac:dyDescent="0.35">
      <c r="A7704" s="528" t="s">
        <v>22366</v>
      </c>
      <c r="B7704" s="528" t="s">
        <v>22367</v>
      </c>
      <c r="C7704" s="528" t="s">
        <v>22368</v>
      </c>
      <c r="D7704" s="528" t="s">
        <v>225</v>
      </c>
      <c r="E7704" s="528" t="s">
        <v>264</v>
      </c>
      <c r="F7704" s="528"/>
      <c r="G7704" s="528" t="s">
        <v>205</v>
      </c>
    </row>
    <row r="7705" spans="1:7" x14ac:dyDescent="0.35">
      <c r="A7705" s="528" t="s">
        <v>22369</v>
      </c>
      <c r="B7705" s="528" t="s">
        <v>22370</v>
      </c>
      <c r="C7705" s="528" t="s">
        <v>22371</v>
      </c>
      <c r="D7705" s="528" t="s">
        <v>277</v>
      </c>
      <c r="E7705" s="528"/>
      <c r="F7705" s="528"/>
      <c r="G7705" s="528" t="s">
        <v>208</v>
      </c>
    </row>
    <row r="7706" spans="1:7" x14ac:dyDescent="0.35">
      <c r="A7706" s="528" t="s">
        <v>22372</v>
      </c>
      <c r="B7706" s="528" t="s">
        <v>22373</v>
      </c>
      <c r="C7706" s="528" t="s">
        <v>22374</v>
      </c>
      <c r="D7706" s="528" t="s">
        <v>225</v>
      </c>
      <c r="E7706" s="528"/>
      <c r="F7706" s="528"/>
      <c r="G7706" s="528" t="s">
        <v>208</v>
      </c>
    </row>
    <row r="7707" spans="1:7" x14ac:dyDescent="0.35">
      <c r="A7707" s="528" t="s">
        <v>22375</v>
      </c>
      <c r="B7707" s="528" t="s">
        <v>22376</v>
      </c>
      <c r="C7707" s="528" t="s">
        <v>22377</v>
      </c>
      <c r="D7707" s="528" t="s">
        <v>225</v>
      </c>
      <c r="E7707" s="528"/>
      <c r="F7707" s="528"/>
      <c r="G7707" s="528" t="s">
        <v>208</v>
      </c>
    </row>
    <row r="7708" spans="1:7" x14ac:dyDescent="0.35">
      <c r="A7708" s="528" t="s">
        <v>22378</v>
      </c>
      <c r="B7708" s="528" t="s">
        <v>22379</v>
      </c>
      <c r="C7708" s="528" t="s">
        <v>22380</v>
      </c>
      <c r="D7708" s="528" t="s">
        <v>225</v>
      </c>
      <c r="E7708" s="528"/>
      <c r="F7708" s="528"/>
      <c r="G7708" s="528" t="s">
        <v>208</v>
      </c>
    </row>
    <row r="7709" spans="1:7" x14ac:dyDescent="0.35">
      <c r="A7709" s="528" t="s">
        <v>22381</v>
      </c>
      <c r="B7709" s="528" t="s">
        <v>22382</v>
      </c>
      <c r="C7709" s="528" t="s">
        <v>22383</v>
      </c>
      <c r="D7709" s="528" t="s">
        <v>277</v>
      </c>
      <c r="E7709" s="528"/>
      <c r="F7709" s="528"/>
      <c r="G7709" s="528" t="s">
        <v>208</v>
      </c>
    </row>
    <row r="7710" spans="1:7" x14ac:dyDescent="0.35">
      <c r="A7710" s="528" t="s">
        <v>22384</v>
      </c>
      <c r="B7710" s="528" t="s">
        <v>22385</v>
      </c>
      <c r="C7710" s="528" t="s">
        <v>22386</v>
      </c>
      <c r="D7710" s="528" t="s">
        <v>277</v>
      </c>
      <c r="E7710" s="528"/>
      <c r="F7710" s="528"/>
      <c r="G7710" s="528" t="s">
        <v>208</v>
      </c>
    </row>
    <row r="7711" spans="1:7" x14ac:dyDescent="0.35">
      <c r="A7711" s="528" t="s">
        <v>22387</v>
      </c>
      <c r="B7711" s="528" t="s">
        <v>22388</v>
      </c>
      <c r="C7711" s="528" t="s">
        <v>22389</v>
      </c>
      <c r="D7711" s="528" t="s">
        <v>277</v>
      </c>
      <c r="E7711" s="528" t="s">
        <v>238</v>
      </c>
      <c r="F7711" s="528"/>
      <c r="G7711" s="528" t="s">
        <v>208</v>
      </c>
    </row>
    <row r="7712" spans="1:7" x14ac:dyDescent="0.35">
      <c r="A7712" s="528" t="s">
        <v>22390</v>
      </c>
      <c r="B7712" s="528" t="s">
        <v>22391</v>
      </c>
      <c r="C7712" s="528" t="s">
        <v>22392</v>
      </c>
      <c r="D7712" s="528" t="s">
        <v>277</v>
      </c>
      <c r="E7712" s="528"/>
      <c r="F7712" s="528"/>
      <c r="G7712" s="528" t="s">
        <v>208</v>
      </c>
    </row>
    <row r="7713" spans="1:7" x14ac:dyDescent="0.35">
      <c r="A7713" s="528" t="s">
        <v>22393</v>
      </c>
      <c r="B7713" s="528" t="s">
        <v>22394</v>
      </c>
      <c r="C7713" s="528" t="s">
        <v>22395</v>
      </c>
      <c r="D7713" s="528" t="s">
        <v>277</v>
      </c>
      <c r="E7713" s="528"/>
      <c r="F7713" s="528"/>
      <c r="G7713" s="528" t="s">
        <v>208</v>
      </c>
    </row>
    <row r="7714" spans="1:7" x14ac:dyDescent="0.35">
      <c r="A7714" s="528" t="s">
        <v>22396</v>
      </c>
      <c r="B7714" s="528" t="s">
        <v>22397</v>
      </c>
      <c r="C7714" s="528" t="s">
        <v>22398</v>
      </c>
      <c r="D7714" s="528" t="s">
        <v>277</v>
      </c>
      <c r="E7714" s="528" t="s">
        <v>238</v>
      </c>
      <c r="F7714" s="528"/>
      <c r="G7714" s="528" t="s">
        <v>208</v>
      </c>
    </row>
    <row r="7715" spans="1:7" x14ac:dyDescent="0.35">
      <c r="A7715" s="528" t="s">
        <v>22399</v>
      </c>
      <c r="B7715" s="528" t="s">
        <v>22400</v>
      </c>
      <c r="C7715" s="528" t="s">
        <v>22401</v>
      </c>
      <c r="D7715" s="528" t="s">
        <v>277</v>
      </c>
      <c r="E7715" s="528"/>
      <c r="F7715" s="528"/>
      <c r="G7715" s="528" t="s">
        <v>208</v>
      </c>
    </row>
    <row r="7716" spans="1:7" x14ac:dyDescent="0.35">
      <c r="A7716" s="528" t="s">
        <v>22402</v>
      </c>
      <c r="B7716" s="528" t="s">
        <v>22403</v>
      </c>
      <c r="C7716" s="528" t="s">
        <v>22404</v>
      </c>
      <c r="D7716" s="528" t="s">
        <v>277</v>
      </c>
      <c r="E7716" s="528" t="s">
        <v>238</v>
      </c>
      <c r="F7716" s="528"/>
      <c r="G7716" s="528" t="s">
        <v>208</v>
      </c>
    </row>
    <row r="7717" spans="1:7" x14ac:dyDescent="0.35">
      <c r="A7717" s="528" t="s">
        <v>22405</v>
      </c>
      <c r="B7717" s="528" t="s">
        <v>22406</v>
      </c>
      <c r="C7717" s="528" t="s">
        <v>22407</v>
      </c>
      <c r="D7717" s="528" t="s">
        <v>277</v>
      </c>
      <c r="E7717" s="528"/>
      <c r="F7717" s="528"/>
      <c r="G7717" s="528" t="s">
        <v>208</v>
      </c>
    </row>
    <row r="7718" spans="1:7" x14ac:dyDescent="0.35">
      <c r="A7718" s="528" t="s">
        <v>22408</v>
      </c>
      <c r="B7718" s="528" t="s">
        <v>22409</v>
      </c>
      <c r="C7718" s="528" t="s">
        <v>22410</v>
      </c>
      <c r="D7718" s="528" t="s">
        <v>251</v>
      </c>
      <c r="E7718" s="528"/>
      <c r="F7718" s="528"/>
      <c r="G7718" s="528" t="s">
        <v>212</v>
      </c>
    </row>
    <row r="7719" spans="1:7" x14ac:dyDescent="0.35">
      <c r="A7719" s="528" t="s">
        <v>22411</v>
      </c>
      <c r="B7719" s="528" t="s">
        <v>22412</v>
      </c>
      <c r="C7719" s="528" t="s">
        <v>22413</v>
      </c>
      <c r="D7719" s="528" t="s">
        <v>277</v>
      </c>
      <c r="E7719" s="528"/>
      <c r="F7719" s="528"/>
      <c r="G7719" s="528" t="s">
        <v>208</v>
      </c>
    </row>
    <row r="7720" spans="1:7" x14ac:dyDescent="0.35">
      <c r="A7720" s="528" t="s">
        <v>22414</v>
      </c>
      <c r="B7720" s="528" t="s">
        <v>22415</v>
      </c>
      <c r="C7720" s="528" t="s">
        <v>22416</v>
      </c>
      <c r="D7720" s="528" t="s">
        <v>225</v>
      </c>
      <c r="E7720" s="528"/>
      <c r="F7720" s="528"/>
      <c r="G7720" s="528" t="s">
        <v>205</v>
      </c>
    </row>
    <row r="7721" spans="1:7" x14ac:dyDescent="0.35">
      <c r="A7721" s="528" t="s">
        <v>22417</v>
      </c>
      <c r="B7721" s="528" t="s">
        <v>22418</v>
      </c>
      <c r="C7721" s="528" t="s">
        <v>22419</v>
      </c>
      <c r="D7721" s="528" t="s">
        <v>225</v>
      </c>
      <c r="E7721" s="528"/>
      <c r="F7721" s="528"/>
      <c r="G7721" s="528" t="s">
        <v>205</v>
      </c>
    </row>
    <row r="7722" spans="1:7" x14ac:dyDescent="0.35">
      <c r="A7722" s="528" t="s">
        <v>22420</v>
      </c>
      <c r="B7722" s="528" t="s">
        <v>22421</v>
      </c>
      <c r="C7722" s="528" t="s">
        <v>22422</v>
      </c>
      <c r="D7722" s="528" t="s">
        <v>251</v>
      </c>
      <c r="E7722" s="528"/>
      <c r="F7722" s="528"/>
      <c r="G7722" s="528" t="s">
        <v>205</v>
      </c>
    </row>
    <row r="7723" spans="1:7" x14ac:dyDescent="0.35">
      <c r="A7723" s="528" t="s">
        <v>22423</v>
      </c>
      <c r="B7723" s="528" t="s">
        <v>22424</v>
      </c>
      <c r="C7723" s="528" t="s">
        <v>22425</v>
      </c>
      <c r="D7723" s="528" t="s">
        <v>251</v>
      </c>
      <c r="E7723" s="528"/>
      <c r="F7723" s="528"/>
      <c r="G7723" s="528" t="s">
        <v>205</v>
      </c>
    </row>
    <row r="7724" spans="1:7" x14ac:dyDescent="0.35">
      <c r="A7724" s="528" t="s">
        <v>22426</v>
      </c>
      <c r="B7724" s="528" t="s">
        <v>22427</v>
      </c>
      <c r="C7724" s="528" t="s">
        <v>22428</v>
      </c>
      <c r="D7724" s="528" t="s">
        <v>277</v>
      </c>
      <c r="E7724" s="528"/>
      <c r="F7724" s="528"/>
      <c r="G7724" s="528" t="s">
        <v>205</v>
      </c>
    </row>
    <row r="7725" spans="1:7" x14ac:dyDescent="0.35">
      <c r="A7725" s="528" t="s">
        <v>22429</v>
      </c>
      <c r="B7725" s="528" t="s">
        <v>22430</v>
      </c>
      <c r="C7725" s="528" t="s">
        <v>22431</v>
      </c>
      <c r="D7725" s="528" t="s">
        <v>264</v>
      </c>
      <c r="E7725" s="528"/>
      <c r="F7725" s="528"/>
      <c r="G7725" s="528" t="s">
        <v>212</v>
      </c>
    </row>
    <row r="7726" spans="1:7" x14ac:dyDescent="0.35">
      <c r="A7726" s="528" t="s">
        <v>22432</v>
      </c>
      <c r="B7726" s="528" t="s">
        <v>22433</v>
      </c>
      <c r="C7726" s="528" t="s">
        <v>22434</v>
      </c>
      <c r="D7726" s="528" t="s">
        <v>277</v>
      </c>
      <c r="E7726" s="528"/>
      <c r="F7726" s="528"/>
      <c r="G7726" s="528" t="s">
        <v>205</v>
      </c>
    </row>
    <row r="7727" spans="1:7" x14ac:dyDescent="0.35">
      <c r="A7727" s="528" t="s">
        <v>22435</v>
      </c>
      <c r="B7727" s="528" t="s">
        <v>22436</v>
      </c>
      <c r="C7727" s="528" t="s">
        <v>22437</v>
      </c>
      <c r="D7727" s="528" t="s">
        <v>251</v>
      </c>
      <c r="E7727" s="528"/>
      <c r="F7727" s="528"/>
      <c r="G7727" s="528" t="s">
        <v>208</v>
      </c>
    </row>
    <row r="7728" spans="1:7" x14ac:dyDescent="0.35">
      <c r="A7728" s="528" t="s">
        <v>22438</v>
      </c>
      <c r="B7728" s="528" t="s">
        <v>22439</v>
      </c>
      <c r="C7728" s="528" t="s">
        <v>22440</v>
      </c>
      <c r="D7728" s="528" t="s">
        <v>264</v>
      </c>
      <c r="E7728" s="528"/>
      <c r="F7728" s="528"/>
      <c r="G7728" s="528" t="s">
        <v>208</v>
      </c>
    </row>
    <row r="7729" spans="1:7" x14ac:dyDescent="0.35">
      <c r="A7729" s="528" t="s">
        <v>22441</v>
      </c>
      <c r="B7729" s="528" t="s">
        <v>22442</v>
      </c>
      <c r="C7729" s="528" t="s">
        <v>22443</v>
      </c>
      <c r="D7729" s="528" t="s">
        <v>277</v>
      </c>
      <c r="E7729" s="528"/>
      <c r="F7729" s="528"/>
      <c r="G7729" s="528" t="s">
        <v>208</v>
      </c>
    </row>
    <row r="7730" spans="1:7" x14ac:dyDescent="0.35">
      <c r="A7730" s="528" t="s">
        <v>22444</v>
      </c>
      <c r="B7730" s="528" t="s">
        <v>22445</v>
      </c>
      <c r="C7730" s="528" t="s">
        <v>22446</v>
      </c>
      <c r="D7730" s="528" t="s">
        <v>238</v>
      </c>
      <c r="E7730" s="528"/>
      <c r="F7730" s="528"/>
      <c r="G7730" s="528" t="s">
        <v>208</v>
      </c>
    </row>
    <row r="7731" spans="1:7" x14ac:dyDescent="0.35">
      <c r="A7731" s="528" t="s">
        <v>22447</v>
      </c>
      <c r="B7731" s="528" t="s">
        <v>22448</v>
      </c>
      <c r="C7731" s="528" t="s">
        <v>22449</v>
      </c>
      <c r="D7731" s="528" t="s">
        <v>277</v>
      </c>
      <c r="E7731" s="528"/>
      <c r="F7731" s="528"/>
      <c r="G7731" s="528" t="s">
        <v>208</v>
      </c>
    </row>
    <row r="7732" spans="1:7" x14ac:dyDescent="0.35">
      <c r="A7732" s="528" t="s">
        <v>22450</v>
      </c>
      <c r="B7732" s="528" t="s">
        <v>22451</v>
      </c>
      <c r="C7732" s="528" t="s">
        <v>22452</v>
      </c>
      <c r="D7732" s="528" t="s">
        <v>264</v>
      </c>
      <c r="E7732" s="528"/>
      <c r="F7732" s="528"/>
      <c r="G7732" s="528" t="s">
        <v>205</v>
      </c>
    </row>
    <row r="7733" spans="1:7" x14ac:dyDescent="0.35">
      <c r="A7733" s="528" t="s">
        <v>22453</v>
      </c>
      <c r="B7733" s="528" t="s">
        <v>22454</v>
      </c>
      <c r="C7733" s="528" t="s">
        <v>22455</v>
      </c>
      <c r="D7733" s="528" t="s">
        <v>264</v>
      </c>
      <c r="E7733" s="528"/>
      <c r="F7733" s="528"/>
      <c r="G7733" s="528" t="s">
        <v>210</v>
      </c>
    </row>
    <row r="7734" spans="1:7" x14ac:dyDescent="0.35">
      <c r="A7734" s="528" t="s">
        <v>22456</v>
      </c>
      <c r="B7734" s="528" t="s">
        <v>22457</v>
      </c>
      <c r="C7734" s="528" t="s">
        <v>22458</v>
      </c>
      <c r="D7734" s="528" t="s">
        <v>264</v>
      </c>
      <c r="E7734" s="528"/>
      <c r="F7734" s="528"/>
      <c r="G7734" s="528" t="s">
        <v>205</v>
      </c>
    </row>
    <row r="7735" spans="1:7" x14ac:dyDescent="0.35">
      <c r="A7735" s="528" t="s">
        <v>22459</v>
      </c>
      <c r="B7735" s="528" t="s">
        <v>22460</v>
      </c>
      <c r="C7735" s="528" t="s">
        <v>22461</v>
      </c>
      <c r="D7735" s="528" t="s">
        <v>264</v>
      </c>
      <c r="E7735" s="528"/>
      <c r="F7735" s="528"/>
      <c r="G7735" s="528" t="s">
        <v>208</v>
      </c>
    </row>
    <row r="7736" spans="1:7" x14ac:dyDescent="0.35">
      <c r="A7736" s="528" t="s">
        <v>22462</v>
      </c>
      <c r="B7736" s="528" t="s">
        <v>22463</v>
      </c>
      <c r="C7736" s="528" t="s">
        <v>22464</v>
      </c>
      <c r="D7736" s="528" t="s">
        <v>264</v>
      </c>
      <c r="E7736" s="528"/>
      <c r="F7736" s="528"/>
      <c r="G7736" s="528" t="s">
        <v>205</v>
      </c>
    </row>
    <row r="7737" spans="1:7" x14ac:dyDescent="0.35">
      <c r="A7737" s="528" t="s">
        <v>22465</v>
      </c>
      <c r="B7737" s="528" t="s">
        <v>22466</v>
      </c>
      <c r="C7737" s="528" t="s">
        <v>22467</v>
      </c>
      <c r="D7737" s="528" t="s">
        <v>264</v>
      </c>
      <c r="E7737" s="528"/>
      <c r="F7737" s="528"/>
      <c r="G7737" s="528" t="s">
        <v>212</v>
      </c>
    </row>
    <row r="7738" spans="1:7" x14ac:dyDescent="0.35">
      <c r="A7738" s="528" t="s">
        <v>22468</v>
      </c>
      <c r="B7738" s="528" t="s">
        <v>22469</v>
      </c>
      <c r="C7738" s="528" t="s">
        <v>22470</v>
      </c>
      <c r="D7738" s="528" t="s">
        <v>264</v>
      </c>
      <c r="E7738" s="528"/>
      <c r="F7738" s="528"/>
      <c r="G7738" s="528" t="s">
        <v>208</v>
      </c>
    </row>
    <row r="7739" spans="1:7" x14ac:dyDescent="0.35">
      <c r="A7739" s="528" t="s">
        <v>22471</v>
      </c>
      <c r="B7739" s="528" t="s">
        <v>22472</v>
      </c>
      <c r="C7739" s="528" t="s">
        <v>22473</v>
      </c>
      <c r="D7739" s="528" t="s">
        <v>264</v>
      </c>
      <c r="E7739" s="528"/>
      <c r="F7739" s="528"/>
      <c r="G7739" s="528" t="s">
        <v>208</v>
      </c>
    </row>
    <row r="7740" spans="1:7" x14ac:dyDescent="0.35">
      <c r="A7740" s="528" t="s">
        <v>22474</v>
      </c>
      <c r="B7740" s="528" t="s">
        <v>22475</v>
      </c>
      <c r="C7740" s="528" t="s">
        <v>22476</v>
      </c>
      <c r="D7740" s="528" t="s">
        <v>264</v>
      </c>
      <c r="E7740" s="528"/>
      <c r="F7740" s="528"/>
      <c r="G7740" s="528" t="s">
        <v>208</v>
      </c>
    </row>
    <row r="7741" spans="1:7" x14ac:dyDescent="0.35">
      <c r="A7741" s="528" t="s">
        <v>22477</v>
      </c>
      <c r="B7741" s="528" t="s">
        <v>22478</v>
      </c>
      <c r="C7741" s="528" t="s">
        <v>22479</v>
      </c>
      <c r="D7741" s="528" t="s">
        <v>264</v>
      </c>
      <c r="E7741" s="528"/>
      <c r="F7741" s="528"/>
      <c r="G7741" s="528" t="s">
        <v>210</v>
      </c>
    </row>
    <row r="7742" spans="1:7" x14ac:dyDescent="0.35">
      <c r="A7742" s="528" t="s">
        <v>22480</v>
      </c>
      <c r="B7742" s="528" t="s">
        <v>22481</v>
      </c>
      <c r="C7742" s="528" t="s">
        <v>22482</v>
      </c>
      <c r="D7742" s="528" t="s">
        <v>277</v>
      </c>
      <c r="E7742" s="528"/>
      <c r="F7742" s="528"/>
      <c r="G7742" s="528" t="s">
        <v>212</v>
      </c>
    </row>
    <row r="7743" spans="1:7" x14ac:dyDescent="0.35">
      <c r="A7743" s="528" t="s">
        <v>22483</v>
      </c>
      <c r="B7743" s="528" t="s">
        <v>22484</v>
      </c>
      <c r="C7743" s="528" t="s">
        <v>22485</v>
      </c>
      <c r="D7743" s="528" t="s">
        <v>238</v>
      </c>
      <c r="E7743" s="528"/>
      <c r="F7743" s="528"/>
      <c r="G7743" s="528" t="s">
        <v>208</v>
      </c>
    </row>
    <row r="7744" spans="1:7" x14ac:dyDescent="0.35">
      <c r="A7744" s="528" t="s">
        <v>22486</v>
      </c>
      <c r="B7744" s="528" t="s">
        <v>22487</v>
      </c>
      <c r="C7744" s="528" t="s">
        <v>22488</v>
      </c>
      <c r="D7744" s="528" t="s">
        <v>238</v>
      </c>
      <c r="E7744" s="528"/>
      <c r="F7744" s="528"/>
      <c r="G7744" s="528" t="s">
        <v>205</v>
      </c>
    </row>
    <row r="7745" spans="1:7" x14ac:dyDescent="0.35">
      <c r="A7745" s="528" t="s">
        <v>22489</v>
      </c>
      <c r="B7745" s="528" t="s">
        <v>22490</v>
      </c>
      <c r="C7745" s="528" t="s">
        <v>22491</v>
      </c>
      <c r="D7745" s="528" t="s">
        <v>238</v>
      </c>
      <c r="E7745" s="528"/>
      <c r="F7745" s="528"/>
      <c r="G7745" s="528" t="s">
        <v>205</v>
      </c>
    </row>
    <row r="7746" spans="1:7" x14ac:dyDescent="0.35">
      <c r="A7746" s="528" t="s">
        <v>22492</v>
      </c>
      <c r="B7746" s="528" t="s">
        <v>22493</v>
      </c>
      <c r="C7746" s="528" t="s">
        <v>22494</v>
      </c>
      <c r="D7746" s="528" t="s">
        <v>238</v>
      </c>
      <c r="E7746" s="528"/>
      <c r="F7746" s="528"/>
      <c r="G7746" s="528" t="s">
        <v>208</v>
      </c>
    </row>
    <row r="7747" spans="1:7" x14ac:dyDescent="0.35">
      <c r="A7747" s="528" t="s">
        <v>22495</v>
      </c>
      <c r="B7747" s="528" t="s">
        <v>22496</v>
      </c>
      <c r="C7747" s="528" t="s">
        <v>22497</v>
      </c>
      <c r="D7747" s="528" t="s">
        <v>238</v>
      </c>
      <c r="E7747" s="528"/>
      <c r="F7747" s="528"/>
      <c r="G7747" s="528" t="s">
        <v>205</v>
      </c>
    </row>
    <row r="7748" spans="1:7" x14ac:dyDescent="0.35">
      <c r="A7748" s="528" t="s">
        <v>22498</v>
      </c>
      <c r="B7748" s="528" t="s">
        <v>22499</v>
      </c>
      <c r="C7748" s="528" t="s">
        <v>22500</v>
      </c>
      <c r="D7748" s="528" t="s">
        <v>238</v>
      </c>
      <c r="E7748" s="528"/>
      <c r="F7748" s="528"/>
      <c r="G7748" s="528" t="s">
        <v>205</v>
      </c>
    </row>
    <row r="7749" spans="1:7" x14ac:dyDescent="0.35">
      <c r="A7749" s="528" t="s">
        <v>22501</v>
      </c>
      <c r="B7749" s="528" t="s">
        <v>22502</v>
      </c>
      <c r="C7749" s="528" t="s">
        <v>22503</v>
      </c>
      <c r="D7749" s="528" t="s">
        <v>238</v>
      </c>
      <c r="E7749" s="528"/>
      <c r="F7749" s="528"/>
      <c r="G7749" s="528" t="s">
        <v>208</v>
      </c>
    </row>
    <row r="7750" spans="1:7" x14ac:dyDescent="0.35">
      <c r="A7750" s="528" t="s">
        <v>22504</v>
      </c>
      <c r="B7750" s="528" t="s">
        <v>22505</v>
      </c>
      <c r="C7750" s="528" t="s">
        <v>22506</v>
      </c>
      <c r="D7750" s="528" t="s">
        <v>238</v>
      </c>
      <c r="E7750" s="528"/>
      <c r="F7750" s="528"/>
      <c r="G7750" s="528" t="s">
        <v>205</v>
      </c>
    </row>
    <row r="7751" spans="1:7" x14ac:dyDescent="0.35">
      <c r="A7751" s="528" t="s">
        <v>22507</v>
      </c>
      <c r="B7751" s="528" t="s">
        <v>22508</v>
      </c>
      <c r="C7751" s="528" t="s">
        <v>22509</v>
      </c>
      <c r="D7751" s="528" t="s">
        <v>238</v>
      </c>
      <c r="E7751" s="528"/>
      <c r="F7751" s="528"/>
      <c r="G7751" s="528" t="s">
        <v>205</v>
      </c>
    </row>
    <row r="7752" spans="1:7" x14ac:dyDescent="0.35">
      <c r="A7752" s="528" t="s">
        <v>22510</v>
      </c>
      <c r="B7752" s="528" t="s">
        <v>22511</v>
      </c>
      <c r="C7752" s="528" t="s">
        <v>22512</v>
      </c>
      <c r="D7752" s="528" t="s">
        <v>238</v>
      </c>
      <c r="E7752" s="528"/>
      <c r="F7752" s="528"/>
      <c r="G7752" s="528" t="s">
        <v>208</v>
      </c>
    </row>
    <row r="7753" spans="1:7" x14ac:dyDescent="0.35">
      <c r="A7753" s="528" t="s">
        <v>22513</v>
      </c>
      <c r="B7753" s="528" t="s">
        <v>22514</v>
      </c>
      <c r="C7753" s="528" t="s">
        <v>22515</v>
      </c>
      <c r="D7753" s="528" t="s">
        <v>238</v>
      </c>
      <c r="E7753" s="528"/>
      <c r="F7753" s="528"/>
      <c r="G7753" s="528" t="s">
        <v>205</v>
      </c>
    </row>
    <row r="7754" spans="1:7" x14ac:dyDescent="0.35">
      <c r="A7754" s="528" t="s">
        <v>22516</v>
      </c>
      <c r="B7754" s="528" t="s">
        <v>22517</v>
      </c>
      <c r="C7754" s="528" t="s">
        <v>22518</v>
      </c>
      <c r="D7754" s="528" t="s">
        <v>238</v>
      </c>
      <c r="E7754" s="528"/>
      <c r="F7754" s="528"/>
      <c r="G7754" s="528" t="s">
        <v>205</v>
      </c>
    </row>
    <row r="7755" spans="1:7" x14ac:dyDescent="0.35">
      <c r="A7755" s="528" t="s">
        <v>22519</v>
      </c>
      <c r="B7755" s="528" t="s">
        <v>22520</v>
      </c>
      <c r="C7755" s="528" t="s">
        <v>22521</v>
      </c>
      <c r="D7755" s="528" t="s">
        <v>264</v>
      </c>
      <c r="E7755" s="528"/>
      <c r="F7755" s="528"/>
      <c r="G7755" s="528" t="s">
        <v>208</v>
      </c>
    </row>
    <row r="7756" spans="1:7" x14ac:dyDescent="0.35">
      <c r="A7756" s="528" t="s">
        <v>22522</v>
      </c>
      <c r="B7756" s="528" t="s">
        <v>22523</v>
      </c>
      <c r="C7756" s="528" t="s">
        <v>22524</v>
      </c>
      <c r="D7756" s="528" t="s">
        <v>238</v>
      </c>
      <c r="E7756" s="528"/>
      <c r="F7756" s="528"/>
      <c r="G7756" s="528" t="s">
        <v>205</v>
      </c>
    </row>
    <row r="7757" spans="1:7" x14ac:dyDescent="0.35">
      <c r="A7757" s="528" t="s">
        <v>22525</v>
      </c>
      <c r="B7757" s="528" t="s">
        <v>22526</v>
      </c>
      <c r="C7757" s="528" t="s">
        <v>22527</v>
      </c>
      <c r="D7757" s="528" t="s">
        <v>238</v>
      </c>
      <c r="E7757" s="528"/>
      <c r="F7757" s="528"/>
      <c r="G7757" s="528" t="s">
        <v>205</v>
      </c>
    </row>
    <row r="7758" spans="1:7" x14ac:dyDescent="0.35">
      <c r="A7758" s="528" t="s">
        <v>22528</v>
      </c>
      <c r="B7758" s="528" t="s">
        <v>22529</v>
      </c>
      <c r="C7758" s="528" t="s">
        <v>22530</v>
      </c>
      <c r="D7758" s="528" t="s">
        <v>264</v>
      </c>
      <c r="E7758" s="528"/>
      <c r="F7758" s="528"/>
      <c r="G7758" s="528" t="s">
        <v>212</v>
      </c>
    </row>
    <row r="7759" spans="1:7" x14ac:dyDescent="0.35">
      <c r="A7759" s="528" t="s">
        <v>22531</v>
      </c>
      <c r="B7759" s="528" t="s">
        <v>22532</v>
      </c>
      <c r="C7759" s="528" t="s">
        <v>22533</v>
      </c>
      <c r="D7759" s="528" t="s">
        <v>264</v>
      </c>
      <c r="E7759" s="528"/>
      <c r="F7759" s="528"/>
      <c r="G7759" s="528" t="s">
        <v>212</v>
      </c>
    </row>
    <row r="7760" spans="1:7" x14ac:dyDescent="0.35">
      <c r="A7760" s="528" t="s">
        <v>22534</v>
      </c>
      <c r="B7760" s="528" t="s">
        <v>22535</v>
      </c>
      <c r="C7760" s="528" t="s">
        <v>22536</v>
      </c>
      <c r="D7760" s="528" t="s">
        <v>264</v>
      </c>
      <c r="E7760" s="528"/>
      <c r="F7760" s="528"/>
      <c r="G7760" s="528" t="s">
        <v>208</v>
      </c>
    </row>
    <row r="7761" spans="1:7" x14ac:dyDescent="0.35">
      <c r="A7761" s="528" t="s">
        <v>22537</v>
      </c>
      <c r="B7761" s="528" t="s">
        <v>22538</v>
      </c>
      <c r="C7761" s="528" t="s">
        <v>22539</v>
      </c>
      <c r="D7761" s="528" t="s">
        <v>264</v>
      </c>
      <c r="E7761" s="528"/>
      <c r="F7761" s="528"/>
      <c r="G7761" s="528" t="s">
        <v>208</v>
      </c>
    </row>
    <row r="7762" spans="1:7" x14ac:dyDescent="0.35">
      <c r="A7762" s="528" t="s">
        <v>22540</v>
      </c>
      <c r="B7762" s="528" t="s">
        <v>22541</v>
      </c>
      <c r="C7762" s="528" t="s">
        <v>22542</v>
      </c>
      <c r="D7762" s="528" t="s">
        <v>277</v>
      </c>
      <c r="E7762" s="528"/>
      <c r="F7762" s="528"/>
      <c r="G7762" s="528" t="s">
        <v>208</v>
      </c>
    </row>
    <row r="7763" spans="1:7" x14ac:dyDescent="0.35">
      <c r="A7763" s="528" t="s">
        <v>22543</v>
      </c>
      <c r="B7763" s="528" t="s">
        <v>22544</v>
      </c>
      <c r="C7763" s="528" t="s">
        <v>22545</v>
      </c>
      <c r="D7763" s="528" t="s">
        <v>277</v>
      </c>
      <c r="E7763" s="528"/>
      <c r="F7763" s="528"/>
      <c r="G7763" s="528" t="s">
        <v>208</v>
      </c>
    </row>
    <row r="7764" spans="1:7" x14ac:dyDescent="0.35">
      <c r="A7764" s="528" t="s">
        <v>22546</v>
      </c>
      <c r="B7764" s="528" t="s">
        <v>22547</v>
      </c>
      <c r="C7764" s="528" t="s">
        <v>22548</v>
      </c>
      <c r="D7764" s="528" t="s">
        <v>264</v>
      </c>
      <c r="E7764" s="528"/>
      <c r="F7764" s="528"/>
      <c r="G7764" s="528" t="s">
        <v>205</v>
      </c>
    </row>
    <row r="7765" spans="1:7" x14ac:dyDescent="0.35">
      <c r="A7765" s="528" t="s">
        <v>22549</v>
      </c>
      <c r="B7765" s="528" t="s">
        <v>22550</v>
      </c>
      <c r="C7765" s="528" t="s">
        <v>22551</v>
      </c>
      <c r="D7765" s="528" t="s">
        <v>264</v>
      </c>
      <c r="E7765" s="528"/>
      <c r="F7765" s="528"/>
      <c r="G7765" s="528" t="s">
        <v>205</v>
      </c>
    </row>
    <row r="7766" spans="1:7" x14ac:dyDescent="0.35">
      <c r="A7766" s="528" t="s">
        <v>22552</v>
      </c>
      <c r="B7766" s="528" t="s">
        <v>22553</v>
      </c>
      <c r="C7766" s="528" t="s">
        <v>22554</v>
      </c>
      <c r="D7766" s="528" t="s">
        <v>264</v>
      </c>
      <c r="E7766" s="528"/>
      <c r="F7766" s="528"/>
      <c r="G7766" s="528" t="s">
        <v>212</v>
      </c>
    </row>
    <row r="7767" spans="1:7" x14ac:dyDescent="0.35">
      <c r="A7767" s="528" t="s">
        <v>22555</v>
      </c>
      <c r="B7767" s="528" t="s">
        <v>22556</v>
      </c>
      <c r="C7767" s="528" t="s">
        <v>22557</v>
      </c>
      <c r="D7767" s="528" t="s">
        <v>264</v>
      </c>
      <c r="E7767" s="528"/>
      <c r="F7767" s="528"/>
      <c r="G7767" s="528" t="s">
        <v>212</v>
      </c>
    </row>
    <row r="7768" spans="1:7" x14ac:dyDescent="0.35">
      <c r="A7768" s="528" t="s">
        <v>22558</v>
      </c>
      <c r="B7768" s="528" t="s">
        <v>22559</v>
      </c>
      <c r="C7768" s="528" t="s">
        <v>22560</v>
      </c>
      <c r="D7768" s="528" t="s">
        <v>277</v>
      </c>
      <c r="E7768" s="528"/>
      <c r="F7768" s="528"/>
      <c r="G7768" s="528" t="s">
        <v>214</v>
      </c>
    </row>
    <row r="7769" spans="1:7" x14ac:dyDescent="0.35">
      <c r="A7769" s="528" t="s">
        <v>22561</v>
      </c>
      <c r="B7769" s="528" t="s">
        <v>22562</v>
      </c>
      <c r="C7769" s="528" t="s">
        <v>22563</v>
      </c>
      <c r="D7769" s="528" t="s">
        <v>251</v>
      </c>
      <c r="E7769" s="528"/>
      <c r="F7769" s="528"/>
      <c r="G7769" s="528" t="s">
        <v>208</v>
      </c>
    </row>
    <row r="7770" spans="1:7" x14ac:dyDescent="0.35">
      <c r="A7770" s="528" t="s">
        <v>22564</v>
      </c>
      <c r="B7770" s="528" t="s">
        <v>22565</v>
      </c>
      <c r="C7770" s="528" t="s">
        <v>22566</v>
      </c>
      <c r="D7770" s="528" t="s">
        <v>264</v>
      </c>
      <c r="E7770" s="528"/>
      <c r="F7770" s="528"/>
      <c r="G7770" s="528" t="s">
        <v>212</v>
      </c>
    </row>
    <row r="7771" spans="1:7" x14ac:dyDescent="0.35">
      <c r="A7771" s="528" t="s">
        <v>22567</v>
      </c>
      <c r="B7771" s="528" t="s">
        <v>22568</v>
      </c>
      <c r="C7771" s="528" t="s">
        <v>22569</v>
      </c>
      <c r="D7771" s="528" t="s">
        <v>251</v>
      </c>
      <c r="E7771" s="528"/>
      <c r="F7771" s="528"/>
      <c r="G7771" s="528" t="s">
        <v>205</v>
      </c>
    </row>
    <row r="7772" spans="1:7" x14ac:dyDescent="0.35">
      <c r="A7772" s="528" t="s">
        <v>22570</v>
      </c>
      <c r="B7772" s="528" t="s">
        <v>22571</v>
      </c>
      <c r="C7772" s="528" t="s">
        <v>22572</v>
      </c>
      <c r="D7772" s="528" t="s">
        <v>251</v>
      </c>
      <c r="E7772" s="528"/>
      <c r="F7772" s="528"/>
      <c r="G7772" s="528" t="s">
        <v>208</v>
      </c>
    </row>
    <row r="7773" spans="1:7" x14ac:dyDescent="0.35">
      <c r="A7773" s="528" t="s">
        <v>22573</v>
      </c>
      <c r="B7773" s="528" t="s">
        <v>22574</v>
      </c>
      <c r="C7773" s="528" t="s">
        <v>22575</v>
      </c>
      <c r="D7773" s="528" t="s">
        <v>251</v>
      </c>
      <c r="E7773" s="528"/>
      <c r="F7773" s="528"/>
      <c r="G7773" s="528" t="s">
        <v>205</v>
      </c>
    </row>
    <row r="7774" spans="1:7" x14ac:dyDescent="0.35">
      <c r="A7774" s="528" t="s">
        <v>22576</v>
      </c>
      <c r="B7774" s="528" t="s">
        <v>22577</v>
      </c>
      <c r="C7774" s="528" t="s">
        <v>22578</v>
      </c>
      <c r="D7774" s="528" t="s">
        <v>251</v>
      </c>
      <c r="E7774" s="528"/>
      <c r="F7774" s="528"/>
      <c r="G7774" s="528" t="s">
        <v>205</v>
      </c>
    </row>
    <row r="7775" spans="1:7" x14ac:dyDescent="0.35">
      <c r="A7775" s="528" t="s">
        <v>22579</v>
      </c>
      <c r="B7775" s="528" t="s">
        <v>22580</v>
      </c>
      <c r="C7775" s="528" t="s">
        <v>22581</v>
      </c>
      <c r="D7775" s="528" t="s">
        <v>238</v>
      </c>
      <c r="E7775" s="528"/>
      <c r="F7775" s="528"/>
      <c r="G7775" s="528" t="s">
        <v>208</v>
      </c>
    </row>
    <row r="7776" spans="1:7" x14ac:dyDescent="0.35">
      <c r="A7776" s="528" t="s">
        <v>22582</v>
      </c>
      <c r="B7776" s="528" t="s">
        <v>22583</v>
      </c>
      <c r="C7776" s="528" t="s">
        <v>20749</v>
      </c>
      <c r="D7776" s="528" t="s">
        <v>277</v>
      </c>
      <c r="E7776" s="528"/>
      <c r="F7776" s="528"/>
      <c r="G7776" s="528" t="s">
        <v>208</v>
      </c>
    </row>
    <row r="7777" spans="1:7" x14ac:dyDescent="0.35">
      <c r="A7777" s="528" t="s">
        <v>22584</v>
      </c>
      <c r="B7777" s="528" t="s">
        <v>22585</v>
      </c>
      <c r="C7777" s="528" t="s">
        <v>22586</v>
      </c>
      <c r="D7777" s="528" t="s">
        <v>264</v>
      </c>
      <c r="E7777" s="528" t="s">
        <v>277</v>
      </c>
      <c r="F7777" s="528"/>
      <c r="G7777" s="528" t="s">
        <v>205</v>
      </c>
    </row>
    <row r="7778" spans="1:7" x14ac:dyDescent="0.35">
      <c r="A7778" s="528" t="s">
        <v>22587</v>
      </c>
      <c r="B7778" s="528" t="s">
        <v>22588</v>
      </c>
      <c r="C7778" s="528" t="s">
        <v>22589</v>
      </c>
      <c r="D7778" s="528" t="s">
        <v>264</v>
      </c>
      <c r="E7778" s="528" t="s">
        <v>277</v>
      </c>
      <c r="F7778" s="528"/>
      <c r="G7778" s="528" t="s">
        <v>208</v>
      </c>
    </row>
    <row r="7779" spans="1:7" x14ac:dyDescent="0.35">
      <c r="A7779" s="528" t="s">
        <v>22590</v>
      </c>
      <c r="B7779" s="528" t="s">
        <v>22591</v>
      </c>
      <c r="C7779" s="528" t="s">
        <v>22592</v>
      </c>
      <c r="D7779" s="528" t="s">
        <v>225</v>
      </c>
      <c r="E7779" s="528"/>
      <c r="F7779" s="528"/>
      <c r="G7779" s="528" t="s">
        <v>208</v>
      </c>
    </row>
    <row r="7780" spans="1:7" x14ac:dyDescent="0.35">
      <c r="A7780" s="528" t="s">
        <v>22593</v>
      </c>
      <c r="B7780" s="528" t="s">
        <v>22594</v>
      </c>
      <c r="C7780" s="528" t="s">
        <v>22595</v>
      </c>
      <c r="D7780" s="528" t="s">
        <v>225</v>
      </c>
      <c r="E7780" s="528"/>
      <c r="F7780" s="528"/>
      <c r="G7780" s="528" t="s">
        <v>208</v>
      </c>
    </row>
    <row r="7781" spans="1:7" x14ac:dyDescent="0.35">
      <c r="A7781" s="528" t="s">
        <v>22596</v>
      </c>
      <c r="B7781" s="528" t="s">
        <v>22597</v>
      </c>
      <c r="C7781" s="528" t="s">
        <v>22598</v>
      </c>
      <c r="D7781" s="528" t="s">
        <v>264</v>
      </c>
      <c r="E7781" s="528"/>
      <c r="F7781" s="528"/>
      <c r="G7781" s="528" t="s">
        <v>208</v>
      </c>
    </row>
    <row r="7782" spans="1:7" x14ac:dyDescent="0.35">
      <c r="A7782" s="528" t="s">
        <v>22599</v>
      </c>
      <c r="B7782" s="528" t="s">
        <v>22600</v>
      </c>
      <c r="C7782" s="528" t="s">
        <v>22601</v>
      </c>
      <c r="D7782" s="528" t="s">
        <v>238</v>
      </c>
      <c r="E7782" s="528"/>
      <c r="F7782" s="528"/>
      <c r="G7782" s="528" t="s">
        <v>208</v>
      </c>
    </row>
    <row r="7783" spans="1:7" x14ac:dyDescent="0.35">
      <c r="A7783" s="528" t="s">
        <v>22602</v>
      </c>
      <c r="B7783" s="528" t="s">
        <v>22603</v>
      </c>
      <c r="C7783" s="528" t="s">
        <v>22604</v>
      </c>
      <c r="D7783" s="528" t="s">
        <v>264</v>
      </c>
      <c r="E7783" s="528"/>
      <c r="F7783" s="528"/>
      <c r="G7783" s="528" t="s">
        <v>208</v>
      </c>
    </row>
    <row r="7784" spans="1:7" x14ac:dyDescent="0.35">
      <c r="A7784" s="528" t="s">
        <v>22605</v>
      </c>
      <c r="B7784" s="528" t="s">
        <v>22606</v>
      </c>
      <c r="C7784" s="528" t="s">
        <v>22607</v>
      </c>
      <c r="D7784" s="528" t="s">
        <v>264</v>
      </c>
      <c r="E7784" s="528"/>
      <c r="F7784" s="528"/>
      <c r="G7784" s="528" t="s">
        <v>205</v>
      </c>
    </row>
    <row r="7785" spans="1:7" x14ac:dyDescent="0.35">
      <c r="A7785" s="528" t="s">
        <v>22608</v>
      </c>
      <c r="B7785" s="528" t="s">
        <v>22609</v>
      </c>
      <c r="C7785" s="528" t="s">
        <v>22610</v>
      </c>
      <c r="D7785" s="528" t="s">
        <v>264</v>
      </c>
      <c r="E7785" s="528"/>
      <c r="F7785" s="528"/>
      <c r="G7785" s="528" t="s">
        <v>210</v>
      </c>
    </row>
    <row r="7786" spans="1:7" x14ac:dyDescent="0.35">
      <c r="A7786" s="528" t="s">
        <v>22611</v>
      </c>
      <c r="B7786" s="528" t="s">
        <v>22612</v>
      </c>
      <c r="C7786" s="528" t="s">
        <v>22613</v>
      </c>
      <c r="D7786" s="528" t="s">
        <v>264</v>
      </c>
      <c r="E7786" s="528"/>
      <c r="F7786" s="528"/>
      <c r="G7786" s="528" t="s">
        <v>208</v>
      </c>
    </row>
    <row r="7787" spans="1:7" x14ac:dyDescent="0.35">
      <c r="A7787" s="528" t="s">
        <v>22614</v>
      </c>
      <c r="B7787" s="528" t="s">
        <v>22615</v>
      </c>
      <c r="C7787" s="528" t="s">
        <v>22616</v>
      </c>
      <c r="D7787" s="528" t="s">
        <v>264</v>
      </c>
      <c r="E7787" s="528"/>
      <c r="F7787" s="528"/>
      <c r="G7787" s="528" t="s">
        <v>208</v>
      </c>
    </row>
    <row r="7788" spans="1:7" x14ac:dyDescent="0.35">
      <c r="A7788" s="528" t="s">
        <v>22617</v>
      </c>
      <c r="B7788" s="528" t="s">
        <v>22618</v>
      </c>
      <c r="C7788" s="528" t="s">
        <v>22619</v>
      </c>
      <c r="D7788" s="528" t="s">
        <v>264</v>
      </c>
      <c r="E7788" s="528"/>
      <c r="F7788" s="528"/>
      <c r="G7788" s="528" t="s">
        <v>208</v>
      </c>
    </row>
    <row r="7789" spans="1:7" x14ac:dyDescent="0.35">
      <c r="A7789" s="528" t="s">
        <v>22620</v>
      </c>
      <c r="B7789" s="528" t="s">
        <v>22621</v>
      </c>
      <c r="C7789" s="528" t="s">
        <v>22622</v>
      </c>
      <c r="D7789" s="528" t="s">
        <v>225</v>
      </c>
      <c r="E7789" s="528"/>
      <c r="F7789" s="528"/>
      <c r="G7789" s="528" t="s">
        <v>208</v>
      </c>
    </row>
    <row r="7790" spans="1:7" x14ac:dyDescent="0.35">
      <c r="A7790" s="528" t="s">
        <v>22623</v>
      </c>
      <c r="B7790" s="528" t="s">
        <v>22624</v>
      </c>
      <c r="C7790" s="528" t="s">
        <v>22625</v>
      </c>
      <c r="D7790" s="528" t="s">
        <v>225</v>
      </c>
      <c r="E7790" s="528"/>
      <c r="F7790" s="528"/>
      <c r="G7790" s="528" t="s">
        <v>208</v>
      </c>
    </row>
    <row r="7791" spans="1:7" x14ac:dyDescent="0.35">
      <c r="A7791" s="528" t="s">
        <v>22626</v>
      </c>
      <c r="B7791" s="528" t="s">
        <v>22627</v>
      </c>
      <c r="C7791" s="528" t="s">
        <v>22628</v>
      </c>
      <c r="D7791" s="528" t="s">
        <v>225</v>
      </c>
      <c r="E7791" s="528"/>
      <c r="F7791" s="528"/>
      <c r="G7791" s="528" t="s">
        <v>208</v>
      </c>
    </row>
    <row r="7792" spans="1:7" x14ac:dyDescent="0.35">
      <c r="A7792" s="528" t="s">
        <v>22629</v>
      </c>
      <c r="B7792" s="528" t="s">
        <v>22630</v>
      </c>
      <c r="C7792" s="528" t="s">
        <v>22631</v>
      </c>
      <c r="D7792" s="528" t="s">
        <v>225</v>
      </c>
      <c r="E7792" s="528"/>
      <c r="F7792" s="528"/>
      <c r="G7792" s="528" t="s">
        <v>208</v>
      </c>
    </row>
    <row r="7793" spans="1:7" x14ac:dyDescent="0.35">
      <c r="A7793" s="528" t="s">
        <v>22632</v>
      </c>
      <c r="B7793" s="528" t="s">
        <v>22633</v>
      </c>
      <c r="C7793" s="528" t="s">
        <v>22634</v>
      </c>
      <c r="D7793" s="528" t="s">
        <v>277</v>
      </c>
      <c r="E7793" s="528"/>
      <c r="F7793" s="528"/>
      <c r="G7793" s="528" t="s">
        <v>208</v>
      </c>
    </row>
    <row r="7794" spans="1:7" x14ac:dyDescent="0.35">
      <c r="A7794" s="528" t="s">
        <v>22635</v>
      </c>
      <c r="B7794" s="528" t="s">
        <v>22636</v>
      </c>
      <c r="C7794" s="528" t="s">
        <v>22637</v>
      </c>
      <c r="D7794" s="528" t="s">
        <v>225</v>
      </c>
      <c r="E7794" s="528"/>
      <c r="F7794" s="528"/>
      <c r="G7794" s="528" t="s">
        <v>208</v>
      </c>
    </row>
    <row r="7795" spans="1:7" x14ac:dyDescent="0.35">
      <c r="A7795" s="528" t="s">
        <v>22638</v>
      </c>
      <c r="B7795" s="528" t="s">
        <v>22639</v>
      </c>
      <c r="C7795" s="528" t="s">
        <v>22640</v>
      </c>
      <c r="D7795" s="528" t="s">
        <v>225</v>
      </c>
      <c r="E7795" s="528"/>
      <c r="F7795" s="528"/>
      <c r="G7795" s="528" t="s">
        <v>208</v>
      </c>
    </row>
    <row r="7796" spans="1:7" x14ac:dyDescent="0.35">
      <c r="A7796" s="528" t="s">
        <v>22641</v>
      </c>
      <c r="B7796" s="528" t="s">
        <v>22642</v>
      </c>
      <c r="C7796" s="528" t="s">
        <v>22643</v>
      </c>
      <c r="D7796" s="528" t="s">
        <v>277</v>
      </c>
      <c r="E7796" s="528"/>
      <c r="F7796" s="528"/>
      <c r="G7796" s="528" t="s">
        <v>208</v>
      </c>
    </row>
    <row r="7797" spans="1:7" x14ac:dyDescent="0.35">
      <c r="A7797" s="528" t="s">
        <v>22644</v>
      </c>
      <c r="B7797" s="528" t="s">
        <v>22645</v>
      </c>
      <c r="C7797" s="528" t="s">
        <v>22646</v>
      </c>
      <c r="D7797" s="528" t="s">
        <v>251</v>
      </c>
      <c r="E7797" s="528"/>
      <c r="F7797" s="528"/>
      <c r="G7797" s="528" t="s">
        <v>208</v>
      </c>
    </row>
    <row r="7798" spans="1:7" x14ac:dyDescent="0.35">
      <c r="A7798" s="528" t="s">
        <v>22647</v>
      </c>
      <c r="B7798" s="528" t="s">
        <v>22648</v>
      </c>
      <c r="C7798" s="528" t="s">
        <v>22649</v>
      </c>
      <c r="D7798" s="528" t="s">
        <v>251</v>
      </c>
      <c r="E7798" s="528"/>
      <c r="F7798" s="528"/>
      <c r="G7798" s="528" t="s">
        <v>208</v>
      </c>
    </row>
    <row r="7799" spans="1:7" x14ac:dyDescent="0.35">
      <c r="A7799" s="528" t="s">
        <v>22650</v>
      </c>
      <c r="B7799" s="528" t="s">
        <v>22651</v>
      </c>
      <c r="C7799" s="528" t="s">
        <v>22652</v>
      </c>
      <c r="D7799" s="528" t="s">
        <v>225</v>
      </c>
      <c r="E7799" s="528"/>
      <c r="F7799" s="528"/>
      <c r="G7799" s="528" t="s">
        <v>205</v>
      </c>
    </row>
    <row r="7800" spans="1:7" x14ac:dyDescent="0.35">
      <c r="A7800" s="528" t="s">
        <v>22653</v>
      </c>
      <c r="B7800" s="528" t="s">
        <v>22654</v>
      </c>
      <c r="C7800" s="528" t="s">
        <v>22655</v>
      </c>
      <c r="D7800" s="528" t="s">
        <v>277</v>
      </c>
      <c r="E7800" s="528"/>
      <c r="F7800" s="528"/>
      <c r="G7800" s="528" t="s">
        <v>212</v>
      </c>
    </row>
    <row r="7801" spans="1:7" x14ac:dyDescent="0.35">
      <c r="A7801" s="528" t="s">
        <v>22656</v>
      </c>
      <c r="B7801" s="528" t="s">
        <v>22657</v>
      </c>
      <c r="C7801" s="528" t="s">
        <v>22658</v>
      </c>
      <c r="D7801" s="528" t="s">
        <v>238</v>
      </c>
      <c r="E7801" s="528"/>
      <c r="F7801" s="528"/>
      <c r="G7801" s="528" t="s">
        <v>212</v>
      </c>
    </row>
    <row r="7802" spans="1:7" x14ac:dyDescent="0.35">
      <c r="A7802" s="528" t="s">
        <v>22659</v>
      </c>
      <c r="B7802" s="528" t="s">
        <v>22660</v>
      </c>
      <c r="C7802" s="528" t="s">
        <v>22661</v>
      </c>
      <c r="D7802" s="528" t="s">
        <v>264</v>
      </c>
      <c r="E7802" s="528"/>
      <c r="F7802" s="528"/>
      <c r="G7802" s="528" t="s">
        <v>212</v>
      </c>
    </row>
    <row r="7803" spans="1:7" x14ac:dyDescent="0.35">
      <c r="A7803" s="528" t="s">
        <v>22662</v>
      </c>
      <c r="B7803" s="528" t="s">
        <v>22663</v>
      </c>
      <c r="C7803" s="528" t="s">
        <v>22664</v>
      </c>
      <c r="D7803" s="528" t="s">
        <v>277</v>
      </c>
      <c r="E7803" s="528"/>
      <c r="F7803" s="528"/>
      <c r="G7803" s="528" t="s">
        <v>205</v>
      </c>
    </row>
    <row r="7804" spans="1:7" x14ac:dyDescent="0.35">
      <c r="A7804" s="528" t="s">
        <v>22665</v>
      </c>
      <c r="B7804" s="528" t="s">
        <v>22666</v>
      </c>
      <c r="C7804" s="528" t="s">
        <v>22667</v>
      </c>
      <c r="D7804" s="528" t="s">
        <v>277</v>
      </c>
      <c r="E7804" s="528"/>
      <c r="F7804" s="528"/>
      <c r="G7804" s="528" t="s">
        <v>208</v>
      </c>
    </row>
    <row r="7805" spans="1:7" x14ac:dyDescent="0.35">
      <c r="A7805" s="528" t="s">
        <v>22668</v>
      </c>
      <c r="B7805" s="528" t="s">
        <v>22669</v>
      </c>
      <c r="C7805" s="528" t="s">
        <v>22670</v>
      </c>
      <c r="D7805" s="528" t="s">
        <v>277</v>
      </c>
      <c r="E7805" s="528"/>
      <c r="F7805" s="528"/>
      <c r="G7805" s="528" t="s">
        <v>212</v>
      </c>
    </row>
    <row r="7806" spans="1:7" x14ac:dyDescent="0.35">
      <c r="A7806" s="528" t="s">
        <v>22671</v>
      </c>
      <c r="B7806" s="528" t="s">
        <v>22672</v>
      </c>
      <c r="C7806" s="528" t="s">
        <v>22673</v>
      </c>
      <c r="D7806" s="528" t="s">
        <v>264</v>
      </c>
      <c r="E7806" s="528"/>
      <c r="F7806" s="528"/>
      <c r="G7806" s="528" t="s">
        <v>212</v>
      </c>
    </row>
    <row r="7807" spans="1:7" x14ac:dyDescent="0.35">
      <c r="A7807" s="528" t="s">
        <v>22674</v>
      </c>
      <c r="B7807" s="528" t="s">
        <v>22675</v>
      </c>
      <c r="C7807" s="528" t="s">
        <v>22676</v>
      </c>
      <c r="D7807" s="528" t="s">
        <v>225</v>
      </c>
      <c r="E7807" s="528"/>
      <c r="F7807" s="528"/>
      <c r="G7807" s="528" t="s">
        <v>208</v>
      </c>
    </row>
    <row r="7808" spans="1:7" x14ac:dyDescent="0.35">
      <c r="A7808" s="528" t="s">
        <v>22677</v>
      </c>
      <c r="B7808" s="528" t="s">
        <v>22678</v>
      </c>
      <c r="C7808" s="528" t="s">
        <v>22679</v>
      </c>
      <c r="D7808" s="528" t="s">
        <v>264</v>
      </c>
      <c r="E7808" s="528"/>
      <c r="F7808" s="528"/>
      <c r="G7808" s="528" t="s">
        <v>208</v>
      </c>
    </row>
    <row r="7809" spans="1:7" x14ac:dyDescent="0.35">
      <c r="A7809" s="528" t="s">
        <v>22680</v>
      </c>
      <c r="B7809" s="528" t="s">
        <v>22681</v>
      </c>
      <c r="C7809" s="528" t="s">
        <v>22682</v>
      </c>
      <c r="D7809" s="528" t="s">
        <v>264</v>
      </c>
      <c r="E7809" s="528"/>
      <c r="F7809" s="528"/>
      <c r="G7809" s="528" t="s">
        <v>208</v>
      </c>
    </row>
    <row r="7810" spans="1:7" x14ac:dyDescent="0.35">
      <c r="A7810" s="528" t="s">
        <v>22683</v>
      </c>
      <c r="B7810" s="528" t="s">
        <v>22684</v>
      </c>
      <c r="C7810" s="528" t="s">
        <v>22685</v>
      </c>
      <c r="D7810" s="528" t="s">
        <v>264</v>
      </c>
      <c r="E7810" s="528"/>
      <c r="F7810" s="528"/>
      <c r="G7810" s="528" t="s">
        <v>208</v>
      </c>
    </row>
    <row r="7811" spans="1:7" x14ac:dyDescent="0.35">
      <c r="A7811" s="528" t="s">
        <v>22686</v>
      </c>
      <c r="B7811" s="528" t="s">
        <v>22687</v>
      </c>
      <c r="C7811" s="528" t="s">
        <v>22688</v>
      </c>
      <c r="D7811" s="528" t="s">
        <v>264</v>
      </c>
      <c r="E7811" s="528"/>
      <c r="F7811" s="528"/>
      <c r="G7811" s="528" t="s">
        <v>208</v>
      </c>
    </row>
    <row r="7812" spans="1:7" x14ac:dyDescent="0.35">
      <c r="A7812" s="528" t="s">
        <v>22689</v>
      </c>
      <c r="B7812" s="528" t="s">
        <v>22690</v>
      </c>
      <c r="C7812" s="528" t="s">
        <v>22691</v>
      </c>
      <c r="D7812" s="528" t="s">
        <v>264</v>
      </c>
      <c r="E7812" s="528"/>
      <c r="F7812" s="528"/>
      <c r="G7812" s="528" t="s">
        <v>205</v>
      </c>
    </row>
    <row r="7813" spans="1:7" x14ac:dyDescent="0.35">
      <c r="A7813" s="528" t="s">
        <v>22692</v>
      </c>
      <c r="B7813" s="528" t="s">
        <v>22693</v>
      </c>
      <c r="C7813" s="528" t="s">
        <v>22694</v>
      </c>
      <c r="D7813" s="528" t="s">
        <v>277</v>
      </c>
      <c r="E7813" s="528"/>
      <c r="F7813" s="528"/>
      <c r="G7813" s="528" t="s">
        <v>214</v>
      </c>
    </row>
    <row r="7814" spans="1:7" x14ac:dyDescent="0.35">
      <c r="A7814" s="528" t="s">
        <v>22695</v>
      </c>
      <c r="B7814" s="528" t="s">
        <v>22696</v>
      </c>
      <c r="C7814" s="528" t="s">
        <v>22697</v>
      </c>
      <c r="D7814" s="528" t="s">
        <v>264</v>
      </c>
      <c r="E7814" s="528"/>
      <c r="F7814" s="528"/>
      <c r="G7814" s="528" t="s">
        <v>208</v>
      </c>
    </row>
    <row r="7815" spans="1:7" x14ac:dyDescent="0.35">
      <c r="A7815" s="528" t="s">
        <v>22698</v>
      </c>
      <c r="B7815" s="528" t="s">
        <v>22699</v>
      </c>
      <c r="C7815" s="528" t="s">
        <v>22700</v>
      </c>
      <c r="D7815" s="528" t="s">
        <v>264</v>
      </c>
      <c r="E7815" s="528"/>
      <c r="F7815" s="528"/>
      <c r="G7815" s="528" t="s">
        <v>208</v>
      </c>
    </row>
    <row r="7816" spans="1:7" x14ac:dyDescent="0.35">
      <c r="A7816" s="528" t="s">
        <v>22701</v>
      </c>
      <c r="B7816" s="528" t="s">
        <v>22702</v>
      </c>
      <c r="C7816" s="528" t="s">
        <v>22703</v>
      </c>
      <c r="D7816" s="528" t="s">
        <v>264</v>
      </c>
      <c r="E7816" s="528"/>
      <c r="F7816" s="528"/>
      <c r="G7816" s="528" t="s">
        <v>208</v>
      </c>
    </row>
    <row r="7817" spans="1:7" x14ac:dyDescent="0.35">
      <c r="A7817" s="528" t="s">
        <v>22704</v>
      </c>
      <c r="B7817" s="528" t="s">
        <v>22705</v>
      </c>
      <c r="C7817" s="528" t="s">
        <v>22706</v>
      </c>
      <c r="D7817" s="528" t="s">
        <v>277</v>
      </c>
      <c r="E7817" s="528"/>
      <c r="F7817" s="528"/>
      <c r="G7817" s="528" t="s">
        <v>208</v>
      </c>
    </row>
    <row r="7818" spans="1:7" x14ac:dyDescent="0.35">
      <c r="A7818" s="528" t="s">
        <v>22707</v>
      </c>
      <c r="B7818" s="528" t="s">
        <v>22708</v>
      </c>
      <c r="C7818" s="528" t="s">
        <v>22709</v>
      </c>
      <c r="D7818" s="528" t="s">
        <v>225</v>
      </c>
      <c r="E7818" s="528"/>
      <c r="F7818" s="528"/>
      <c r="G7818" s="528" t="s">
        <v>205</v>
      </c>
    </row>
    <row r="7819" spans="1:7" x14ac:dyDescent="0.35">
      <c r="A7819" s="528" t="s">
        <v>22710</v>
      </c>
      <c r="B7819" s="528" t="s">
        <v>22711</v>
      </c>
      <c r="C7819" s="528" t="s">
        <v>22712</v>
      </c>
      <c r="D7819" s="528" t="s">
        <v>264</v>
      </c>
      <c r="E7819" s="528"/>
      <c r="F7819" s="528"/>
      <c r="G7819" s="528" t="s">
        <v>205</v>
      </c>
    </row>
    <row r="7820" spans="1:7" x14ac:dyDescent="0.35">
      <c r="A7820" s="528" t="s">
        <v>22713</v>
      </c>
      <c r="B7820" s="528" t="s">
        <v>22714</v>
      </c>
      <c r="C7820" s="528" t="s">
        <v>22715</v>
      </c>
      <c r="D7820" s="528" t="s">
        <v>264</v>
      </c>
      <c r="E7820" s="528"/>
      <c r="F7820" s="528"/>
      <c r="G7820" s="528" t="s">
        <v>210</v>
      </c>
    </row>
    <row r="7821" spans="1:7" x14ac:dyDescent="0.35">
      <c r="A7821" s="528" t="s">
        <v>22716</v>
      </c>
      <c r="B7821" s="528" t="s">
        <v>22717</v>
      </c>
      <c r="C7821" s="528" t="s">
        <v>22718</v>
      </c>
      <c r="D7821" s="528" t="s">
        <v>264</v>
      </c>
      <c r="E7821" s="528"/>
      <c r="F7821" s="528"/>
      <c r="G7821" s="528" t="s">
        <v>210</v>
      </c>
    </row>
    <row r="7822" spans="1:7" x14ac:dyDescent="0.35">
      <c r="A7822" s="528" t="s">
        <v>22719</v>
      </c>
      <c r="B7822" s="528" t="s">
        <v>22720</v>
      </c>
      <c r="C7822" s="528" t="s">
        <v>22721</v>
      </c>
      <c r="D7822" s="528" t="s">
        <v>277</v>
      </c>
      <c r="E7822" s="528"/>
      <c r="F7822" s="528"/>
      <c r="G7822" s="528" t="s">
        <v>208</v>
      </c>
    </row>
    <row r="7823" spans="1:7" x14ac:dyDescent="0.35">
      <c r="A7823" s="528" t="s">
        <v>22722</v>
      </c>
      <c r="B7823" s="528" t="s">
        <v>22723</v>
      </c>
      <c r="C7823" s="528" t="s">
        <v>22724</v>
      </c>
      <c r="D7823" s="528" t="s">
        <v>264</v>
      </c>
      <c r="E7823" s="528"/>
      <c r="F7823" s="528"/>
      <c r="G7823" s="528" t="s">
        <v>208</v>
      </c>
    </row>
    <row r="7824" spans="1:7" x14ac:dyDescent="0.35">
      <c r="A7824" s="528" t="s">
        <v>22725</v>
      </c>
      <c r="B7824" s="528" t="s">
        <v>22726</v>
      </c>
      <c r="C7824" s="528" t="s">
        <v>22727</v>
      </c>
      <c r="D7824" s="528" t="s">
        <v>264</v>
      </c>
      <c r="E7824" s="528"/>
      <c r="F7824" s="528"/>
      <c r="G7824" s="528" t="s">
        <v>205</v>
      </c>
    </row>
    <row r="7825" spans="1:7" x14ac:dyDescent="0.35">
      <c r="A7825" s="528" t="s">
        <v>22728</v>
      </c>
      <c r="B7825" s="528" t="s">
        <v>22729</v>
      </c>
      <c r="C7825" s="528" t="s">
        <v>22730</v>
      </c>
      <c r="D7825" s="528" t="s">
        <v>225</v>
      </c>
      <c r="E7825" s="528"/>
      <c r="F7825" s="528"/>
      <c r="G7825" s="528" t="s">
        <v>212</v>
      </c>
    </row>
    <row r="7826" spans="1:7" x14ac:dyDescent="0.35">
      <c r="A7826" s="528" t="s">
        <v>22731</v>
      </c>
      <c r="B7826" s="528" t="s">
        <v>22732</v>
      </c>
      <c r="C7826" s="528" t="s">
        <v>22733</v>
      </c>
      <c r="D7826" s="528" t="s">
        <v>264</v>
      </c>
      <c r="E7826" s="528"/>
      <c r="F7826" s="528"/>
      <c r="G7826" s="528" t="s">
        <v>210</v>
      </c>
    </row>
    <row r="7827" spans="1:7" x14ac:dyDescent="0.35">
      <c r="A7827" s="528" t="s">
        <v>22734</v>
      </c>
      <c r="B7827" s="528" t="s">
        <v>22735</v>
      </c>
      <c r="C7827" s="528" t="s">
        <v>22736</v>
      </c>
      <c r="D7827" s="528" t="s">
        <v>251</v>
      </c>
      <c r="E7827" s="528"/>
      <c r="F7827" s="528"/>
      <c r="G7827" s="528" t="s">
        <v>205</v>
      </c>
    </row>
    <row r="7828" spans="1:7" x14ac:dyDescent="0.35">
      <c r="A7828" s="528" t="s">
        <v>22737</v>
      </c>
      <c r="B7828" s="528" t="s">
        <v>22738</v>
      </c>
      <c r="C7828" s="528" t="s">
        <v>22739</v>
      </c>
      <c r="D7828" s="528" t="s">
        <v>277</v>
      </c>
      <c r="E7828" s="528"/>
      <c r="F7828" s="528"/>
      <c r="G7828" s="528" t="s">
        <v>212</v>
      </c>
    </row>
    <row r="7829" spans="1:7" x14ac:dyDescent="0.35">
      <c r="A7829" s="528" t="s">
        <v>22740</v>
      </c>
      <c r="B7829" s="528" t="s">
        <v>22741</v>
      </c>
      <c r="C7829" s="528" t="s">
        <v>22742</v>
      </c>
      <c r="D7829" s="528" t="s">
        <v>264</v>
      </c>
      <c r="E7829" s="528"/>
      <c r="F7829" s="528"/>
      <c r="G7829" s="528" t="s">
        <v>208</v>
      </c>
    </row>
    <row r="7830" spans="1:7" x14ac:dyDescent="0.35">
      <c r="A7830" s="528" t="s">
        <v>22743</v>
      </c>
      <c r="B7830" s="528" t="s">
        <v>22744</v>
      </c>
      <c r="C7830" s="528" t="s">
        <v>22745</v>
      </c>
      <c r="D7830" s="528" t="s">
        <v>264</v>
      </c>
      <c r="E7830" s="528"/>
      <c r="F7830" s="528"/>
      <c r="G7830" s="528" t="s">
        <v>205</v>
      </c>
    </row>
    <row r="7831" spans="1:7" x14ac:dyDescent="0.35">
      <c r="A7831" s="528" t="s">
        <v>22746</v>
      </c>
      <c r="B7831" s="528" t="s">
        <v>22747</v>
      </c>
      <c r="C7831" s="528" t="s">
        <v>22748</v>
      </c>
      <c r="D7831" s="528" t="s">
        <v>264</v>
      </c>
      <c r="E7831" s="528"/>
      <c r="F7831" s="528"/>
      <c r="G7831" s="528" t="s">
        <v>208</v>
      </c>
    </row>
    <row r="7832" spans="1:7" x14ac:dyDescent="0.35">
      <c r="A7832" s="528" t="s">
        <v>22749</v>
      </c>
      <c r="B7832" s="528" t="s">
        <v>22750</v>
      </c>
      <c r="C7832" s="528" t="s">
        <v>22751</v>
      </c>
      <c r="D7832" s="528" t="s">
        <v>264</v>
      </c>
      <c r="E7832" s="528"/>
      <c r="F7832" s="528"/>
      <c r="G7832" s="528" t="s">
        <v>205</v>
      </c>
    </row>
    <row r="7833" spans="1:7" x14ac:dyDescent="0.35">
      <c r="A7833" s="528" t="s">
        <v>22752</v>
      </c>
      <c r="B7833" s="528" t="s">
        <v>22753</v>
      </c>
      <c r="C7833" s="528" t="s">
        <v>22754</v>
      </c>
      <c r="D7833" s="528" t="s">
        <v>264</v>
      </c>
      <c r="E7833" s="528"/>
      <c r="F7833" s="528"/>
      <c r="G7833" s="528" t="s">
        <v>208</v>
      </c>
    </row>
    <row r="7834" spans="1:7" x14ac:dyDescent="0.35">
      <c r="A7834" s="528" t="s">
        <v>22755</v>
      </c>
      <c r="B7834" s="528" t="s">
        <v>22756</v>
      </c>
      <c r="C7834" s="528" t="s">
        <v>22757</v>
      </c>
      <c r="D7834" s="528" t="s">
        <v>264</v>
      </c>
      <c r="E7834" s="528"/>
      <c r="F7834" s="528"/>
      <c r="G7834" s="528" t="s">
        <v>214</v>
      </c>
    </row>
    <row r="7835" spans="1:7" x14ac:dyDescent="0.35">
      <c r="A7835" s="528" t="s">
        <v>22758</v>
      </c>
      <c r="B7835" s="528" t="s">
        <v>22759</v>
      </c>
      <c r="C7835" s="528" t="s">
        <v>22760</v>
      </c>
      <c r="D7835" s="528" t="s">
        <v>238</v>
      </c>
      <c r="E7835" s="528"/>
      <c r="F7835" s="528"/>
      <c r="G7835" s="528" t="s">
        <v>208</v>
      </c>
    </row>
    <row r="7836" spans="1:7" x14ac:dyDescent="0.35">
      <c r="A7836" s="528" t="s">
        <v>22761</v>
      </c>
      <c r="B7836" s="528" t="s">
        <v>22762</v>
      </c>
      <c r="C7836" s="528" t="s">
        <v>22763</v>
      </c>
      <c r="D7836" s="528" t="s">
        <v>264</v>
      </c>
      <c r="E7836" s="528"/>
      <c r="F7836" s="528"/>
      <c r="G7836" s="528" t="s">
        <v>205</v>
      </c>
    </row>
    <row r="7837" spans="1:7" x14ac:dyDescent="0.35">
      <c r="A7837" s="528" t="s">
        <v>22764</v>
      </c>
      <c r="B7837" s="528" t="s">
        <v>22765</v>
      </c>
      <c r="C7837" s="528" t="s">
        <v>22766</v>
      </c>
      <c r="D7837" s="528" t="s">
        <v>264</v>
      </c>
      <c r="E7837" s="528"/>
      <c r="F7837" s="528"/>
      <c r="G7837" s="528" t="s">
        <v>205</v>
      </c>
    </row>
    <row r="7838" spans="1:7" x14ac:dyDescent="0.35">
      <c r="A7838" s="528" t="s">
        <v>22767</v>
      </c>
      <c r="B7838" s="528" t="s">
        <v>22768</v>
      </c>
      <c r="C7838" s="528" t="s">
        <v>22769</v>
      </c>
      <c r="D7838" s="528" t="s">
        <v>264</v>
      </c>
      <c r="E7838" s="528"/>
      <c r="F7838" s="528"/>
      <c r="G7838" s="528" t="s">
        <v>208</v>
      </c>
    </row>
    <row r="7839" spans="1:7" x14ac:dyDescent="0.35">
      <c r="A7839" s="528" t="s">
        <v>22770</v>
      </c>
      <c r="B7839" s="528" t="s">
        <v>22771</v>
      </c>
      <c r="C7839" s="528" t="s">
        <v>22772</v>
      </c>
      <c r="D7839" s="528" t="s">
        <v>238</v>
      </c>
      <c r="E7839" s="528"/>
      <c r="F7839" s="528"/>
      <c r="G7839" s="528" t="s">
        <v>205</v>
      </c>
    </row>
    <row r="7840" spans="1:7" x14ac:dyDescent="0.35">
      <c r="A7840" s="528" t="s">
        <v>22773</v>
      </c>
      <c r="B7840" s="528" t="s">
        <v>22774</v>
      </c>
      <c r="C7840" s="528" t="s">
        <v>22775</v>
      </c>
      <c r="D7840" s="528" t="s">
        <v>277</v>
      </c>
      <c r="E7840" s="528"/>
      <c r="F7840" s="528"/>
      <c r="G7840" s="528" t="s">
        <v>208</v>
      </c>
    </row>
    <row r="7841" spans="1:7" x14ac:dyDescent="0.35">
      <c r="A7841" s="528" t="s">
        <v>22776</v>
      </c>
      <c r="B7841" s="528" t="s">
        <v>22777</v>
      </c>
      <c r="C7841" s="528" t="s">
        <v>22778</v>
      </c>
      <c r="D7841" s="528" t="s">
        <v>251</v>
      </c>
      <c r="E7841" s="528"/>
      <c r="F7841" s="528"/>
      <c r="G7841" s="528" t="s">
        <v>205</v>
      </c>
    </row>
    <row r="7842" spans="1:7" x14ac:dyDescent="0.35">
      <c r="A7842" s="528" t="s">
        <v>22779</v>
      </c>
      <c r="B7842" s="528" t="s">
        <v>22780</v>
      </c>
      <c r="C7842" s="528" t="s">
        <v>22781</v>
      </c>
      <c r="D7842" s="528" t="s">
        <v>251</v>
      </c>
      <c r="E7842" s="528"/>
      <c r="F7842" s="528"/>
      <c r="G7842" s="528" t="s">
        <v>208</v>
      </c>
    </row>
    <row r="7843" spans="1:7" x14ac:dyDescent="0.35">
      <c r="A7843" s="528" t="s">
        <v>22782</v>
      </c>
      <c r="B7843" s="528" t="s">
        <v>22783</v>
      </c>
      <c r="C7843" s="528" t="s">
        <v>22784</v>
      </c>
      <c r="D7843" s="528" t="s">
        <v>225</v>
      </c>
      <c r="E7843" s="528"/>
      <c r="F7843" s="528"/>
      <c r="G7843" s="528" t="s">
        <v>208</v>
      </c>
    </row>
    <row r="7844" spans="1:7" x14ac:dyDescent="0.35">
      <c r="A7844" s="528" t="s">
        <v>22785</v>
      </c>
      <c r="B7844" s="528" t="s">
        <v>22786</v>
      </c>
      <c r="C7844" s="528" t="s">
        <v>22787</v>
      </c>
      <c r="D7844" s="528" t="s">
        <v>277</v>
      </c>
      <c r="E7844" s="528" t="s">
        <v>225</v>
      </c>
      <c r="F7844" s="528"/>
      <c r="G7844" s="528" t="s">
        <v>205</v>
      </c>
    </row>
    <row r="7845" spans="1:7" x14ac:dyDescent="0.35">
      <c r="A7845" s="528" t="s">
        <v>22788</v>
      </c>
      <c r="B7845" s="528" t="s">
        <v>22789</v>
      </c>
      <c r="C7845" s="528" t="s">
        <v>22790</v>
      </c>
      <c r="D7845" s="528" t="s">
        <v>251</v>
      </c>
      <c r="E7845" s="528"/>
      <c r="F7845" s="528"/>
      <c r="G7845" s="528" t="s">
        <v>212</v>
      </c>
    </row>
    <row r="7846" spans="1:7" x14ac:dyDescent="0.35">
      <c r="A7846" s="528" t="s">
        <v>22791</v>
      </c>
      <c r="B7846" s="528" t="s">
        <v>22792</v>
      </c>
      <c r="C7846" s="528" t="s">
        <v>22793</v>
      </c>
      <c r="D7846" s="528" t="s">
        <v>225</v>
      </c>
      <c r="E7846" s="528"/>
      <c r="F7846" s="528"/>
      <c r="G7846" s="528" t="s">
        <v>212</v>
      </c>
    </row>
    <row r="7847" spans="1:7" x14ac:dyDescent="0.35">
      <c r="A7847" s="528" t="s">
        <v>22794</v>
      </c>
      <c r="B7847" s="528" t="s">
        <v>22795</v>
      </c>
      <c r="C7847" s="528" t="s">
        <v>22796</v>
      </c>
      <c r="D7847" s="528" t="s">
        <v>264</v>
      </c>
      <c r="E7847" s="528"/>
      <c r="F7847" s="528"/>
      <c r="G7847" s="528" t="s">
        <v>208</v>
      </c>
    </row>
    <row r="7848" spans="1:7" x14ac:dyDescent="0.35">
      <c r="A7848" s="528" t="s">
        <v>22797</v>
      </c>
      <c r="B7848" s="528" t="s">
        <v>22798</v>
      </c>
      <c r="C7848" s="528" t="s">
        <v>22799</v>
      </c>
      <c r="D7848" s="528" t="s">
        <v>264</v>
      </c>
      <c r="E7848" s="528"/>
      <c r="F7848" s="528"/>
      <c r="G7848" s="528" t="s">
        <v>205</v>
      </c>
    </row>
    <row r="7849" spans="1:7" x14ac:dyDescent="0.35">
      <c r="A7849" s="528" t="s">
        <v>22800</v>
      </c>
      <c r="B7849" s="528" t="s">
        <v>22801</v>
      </c>
      <c r="C7849" s="528" t="s">
        <v>22802</v>
      </c>
      <c r="D7849" s="528" t="s">
        <v>277</v>
      </c>
      <c r="E7849" s="528"/>
      <c r="F7849" s="528"/>
      <c r="G7849" s="528" t="s">
        <v>214</v>
      </c>
    </row>
    <row r="7850" spans="1:7" x14ac:dyDescent="0.35">
      <c r="A7850" s="528" t="s">
        <v>22803</v>
      </c>
      <c r="B7850" s="528" t="s">
        <v>22804</v>
      </c>
      <c r="C7850" s="528" t="s">
        <v>22805</v>
      </c>
      <c r="D7850" s="528" t="s">
        <v>277</v>
      </c>
      <c r="E7850" s="528"/>
      <c r="F7850" s="528"/>
      <c r="G7850" s="528" t="s">
        <v>214</v>
      </c>
    </row>
    <row r="7851" spans="1:7" x14ac:dyDescent="0.35">
      <c r="A7851" s="528" t="s">
        <v>22806</v>
      </c>
      <c r="B7851" s="528" t="s">
        <v>22807</v>
      </c>
      <c r="C7851" s="528" t="s">
        <v>22808</v>
      </c>
      <c r="D7851" s="528" t="s">
        <v>277</v>
      </c>
      <c r="E7851" s="528"/>
      <c r="F7851" s="528"/>
      <c r="G7851" s="528" t="s">
        <v>214</v>
      </c>
    </row>
    <row r="7852" spans="1:7" x14ac:dyDescent="0.35">
      <c r="A7852" s="528" t="s">
        <v>22809</v>
      </c>
      <c r="B7852" s="528" t="s">
        <v>22810</v>
      </c>
      <c r="C7852" s="528" t="s">
        <v>22811</v>
      </c>
      <c r="D7852" s="528" t="s">
        <v>277</v>
      </c>
      <c r="E7852" s="528"/>
      <c r="F7852" s="528"/>
      <c r="G7852" s="528" t="s">
        <v>212</v>
      </c>
    </row>
    <row r="7853" spans="1:7" x14ac:dyDescent="0.35">
      <c r="A7853" s="528" t="s">
        <v>22812</v>
      </c>
      <c r="B7853" s="528" t="s">
        <v>22813</v>
      </c>
      <c r="C7853" s="528" t="s">
        <v>22814</v>
      </c>
      <c r="D7853" s="528" t="s">
        <v>225</v>
      </c>
      <c r="E7853" s="528"/>
      <c r="F7853" s="528"/>
      <c r="G7853" s="528" t="s">
        <v>212</v>
      </c>
    </row>
    <row r="7854" spans="1:7" x14ac:dyDescent="0.35">
      <c r="A7854" s="528" t="s">
        <v>22815</v>
      </c>
      <c r="B7854" s="528" t="s">
        <v>22816</v>
      </c>
      <c r="C7854" s="528" t="s">
        <v>22817</v>
      </c>
      <c r="D7854" s="528" t="s">
        <v>277</v>
      </c>
      <c r="E7854" s="528" t="s">
        <v>264</v>
      </c>
      <c r="F7854" s="528"/>
      <c r="G7854" s="528" t="s">
        <v>212</v>
      </c>
    </row>
    <row r="7855" spans="1:7" x14ac:dyDescent="0.35">
      <c r="A7855" s="528" t="s">
        <v>22818</v>
      </c>
      <c r="B7855" s="528" t="s">
        <v>22819</v>
      </c>
      <c r="C7855" s="528" t="s">
        <v>22820</v>
      </c>
      <c r="D7855" s="528" t="s">
        <v>277</v>
      </c>
      <c r="E7855" s="528"/>
      <c r="F7855" s="528"/>
      <c r="G7855" s="528" t="s">
        <v>212</v>
      </c>
    </row>
    <row r="7856" spans="1:7" x14ac:dyDescent="0.35">
      <c r="A7856" s="528" t="s">
        <v>22821</v>
      </c>
      <c r="B7856" s="528" t="s">
        <v>22822</v>
      </c>
      <c r="C7856" s="528" t="s">
        <v>22823</v>
      </c>
      <c r="D7856" s="528" t="s">
        <v>225</v>
      </c>
      <c r="E7856" s="528"/>
      <c r="F7856" s="528"/>
      <c r="G7856" s="528" t="s">
        <v>205</v>
      </c>
    </row>
    <row r="7857" spans="1:7" x14ac:dyDescent="0.35">
      <c r="A7857" s="528" t="s">
        <v>22824</v>
      </c>
      <c r="B7857" s="528" t="s">
        <v>22825</v>
      </c>
      <c r="C7857" s="528" t="s">
        <v>22826</v>
      </c>
      <c r="D7857" s="528" t="s">
        <v>225</v>
      </c>
      <c r="E7857" s="528"/>
      <c r="F7857" s="528"/>
      <c r="G7857" s="528" t="s">
        <v>205</v>
      </c>
    </row>
    <row r="7858" spans="1:7" x14ac:dyDescent="0.35">
      <c r="A7858" s="528" t="s">
        <v>22827</v>
      </c>
      <c r="B7858" s="528" t="s">
        <v>22828</v>
      </c>
      <c r="C7858" s="528" t="s">
        <v>22829</v>
      </c>
      <c r="D7858" s="528" t="s">
        <v>277</v>
      </c>
      <c r="E7858" s="528"/>
      <c r="F7858" s="528"/>
      <c r="G7858" s="528" t="s">
        <v>208</v>
      </c>
    </row>
    <row r="7859" spans="1:7" x14ac:dyDescent="0.35">
      <c r="A7859" s="528" t="s">
        <v>22830</v>
      </c>
      <c r="B7859" s="528" t="s">
        <v>22831</v>
      </c>
      <c r="C7859" s="528" t="s">
        <v>22832</v>
      </c>
      <c r="D7859" s="528" t="s">
        <v>264</v>
      </c>
      <c r="E7859" s="528"/>
      <c r="F7859" s="528"/>
      <c r="G7859" s="528" t="s">
        <v>210</v>
      </c>
    </row>
    <row r="7860" spans="1:7" x14ac:dyDescent="0.35">
      <c r="A7860" s="528" t="s">
        <v>22833</v>
      </c>
      <c r="B7860" s="528" t="s">
        <v>22834</v>
      </c>
      <c r="C7860" s="528" t="s">
        <v>22835</v>
      </c>
      <c r="D7860" s="528" t="s">
        <v>277</v>
      </c>
      <c r="E7860" s="528"/>
      <c r="F7860" s="528"/>
      <c r="G7860" s="528" t="s">
        <v>208</v>
      </c>
    </row>
    <row r="7861" spans="1:7" x14ac:dyDescent="0.35">
      <c r="A7861" s="528" t="s">
        <v>22836</v>
      </c>
      <c r="B7861" s="528" t="s">
        <v>22837</v>
      </c>
      <c r="C7861" s="528" t="s">
        <v>22838</v>
      </c>
      <c r="D7861" s="528" t="s">
        <v>264</v>
      </c>
      <c r="E7861" s="528"/>
      <c r="F7861" s="528"/>
      <c r="G7861" s="528" t="s">
        <v>212</v>
      </c>
    </row>
    <row r="7862" spans="1:7" x14ac:dyDescent="0.35">
      <c r="A7862" s="528" t="s">
        <v>22839</v>
      </c>
      <c r="B7862" s="528" t="s">
        <v>22840</v>
      </c>
      <c r="C7862" s="528" t="s">
        <v>22841</v>
      </c>
      <c r="D7862" s="528" t="s">
        <v>264</v>
      </c>
      <c r="E7862" s="528"/>
      <c r="F7862" s="528"/>
      <c r="G7862" s="528" t="s">
        <v>205</v>
      </c>
    </row>
    <row r="7863" spans="1:7" x14ac:dyDescent="0.35">
      <c r="A7863" s="528" t="s">
        <v>22842</v>
      </c>
      <c r="B7863" s="528" t="s">
        <v>22843</v>
      </c>
      <c r="C7863" s="528" t="s">
        <v>22844</v>
      </c>
      <c r="D7863" s="528" t="s">
        <v>264</v>
      </c>
      <c r="E7863" s="528"/>
      <c r="F7863" s="528"/>
      <c r="G7863" s="528" t="s">
        <v>205</v>
      </c>
    </row>
    <row r="7864" spans="1:7" x14ac:dyDescent="0.35">
      <c r="A7864" s="528" t="s">
        <v>22845</v>
      </c>
      <c r="B7864" s="528" t="s">
        <v>22846</v>
      </c>
      <c r="C7864" s="528" t="s">
        <v>22847</v>
      </c>
      <c r="D7864" s="528" t="s">
        <v>277</v>
      </c>
      <c r="E7864" s="528" t="s">
        <v>264</v>
      </c>
      <c r="F7864" s="528"/>
      <c r="G7864" s="528" t="s">
        <v>205</v>
      </c>
    </row>
    <row r="7865" spans="1:7" x14ac:dyDescent="0.35">
      <c r="A7865" s="528" t="s">
        <v>22848</v>
      </c>
      <c r="B7865" s="528" t="s">
        <v>22849</v>
      </c>
      <c r="C7865" s="528" t="s">
        <v>22850</v>
      </c>
      <c r="D7865" s="528" t="s">
        <v>277</v>
      </c>
      <c r="E7865" s="528" t="s">
        <v>264</v>
      </c>
      <c r="F7865" s="528"/>
      <c r="G7865" s="528" t="s">
        <v>205</v>
      </c>
    </row>
    <row r="7866" spans="1:7" x14ac:dyDescent="0.35">
      <c r="A7866" s="528" t="s">
        <v>22851</v>
      </c>
      <c r="B7866" s="528" t="s">
        <v>22852</v>
      </c>
      <c r="C7866" s="528" t="s">
        <v>22853</v>
      </c>
      <c r="D7866" s="528" t="s">
        <v>264</v>
      </c>
      <c r="E7866" s="528"/>
      <c r="F7866" s="528"/>
      <c r="G7866" s="528" t="s">
        <v>208</v>
      </c>
    </row>
    <row r="7867" spans="1:7" x14ac:dyDescent="0.35">
      <c r="A7867" s="528" t="s">
        <v>22854</v>
      </c>
      <c r="B7867" s="528" t="s">
        <v>22855</v>
      </c>
      <c r="C7867" s="528" t="s">
        <v>22856</v>
      </c>
      <c r="D7867" s="528" t="s">
        <v>264</v>
      </c>
      <c r="E7867" s="528"/>
      <c r="F7867" s="528"/>
      <c r="G7867" s="528" t="s">
        <v>208</v>
      </c>
    </row>
    <row r="7868" spans="1:7" x14ac:dyDescent="0.35">
      <c r="A7868" s="528" t="s">
        <v>22857</v>
      </c>
      <c r="B7868" s="528" t="s">
        <v>22858</v>
      </c>
      <c r="C7868" s="528" t="s">
        <v>22859</v>
      </c>
      <c r="D7868" s="528" t="s">
        <v>277</v>
      </c>
      <c r="E7868" s="528" t="s">
        <v>264</v>
      </c>
      <c r="F7868" s="528"/>
      <c r="G7868" s="528" t="s">
        <v>208</v>
      </c>
    </row>
    <row r="7869" spans="1:7" x14ac:dyDescent="0.35">
      <c r="A7869" s="528" t="s">
        <v>22860</v>
      </c>
      <c r="B7869" s="528" t="s">
        <v>22861</v>
      </c>
      <c r="C7869" s="528" t="s">
        <v>22862</v>
      </c>
      <c r="D7869" s="528" t="s">
        <v>277</v>
      </c>
      <c r="E7869" s="528" t="s">
        <v>264</v>
      </c>
      <c r="F7869" s="528"/>
      <c r="G7869" s="528" t="s">
        <v>208</v>
      </c>
    </row>
    <row r="7870" spans="1:7" x14ac:dyDescent="0.35">
      <c r="A7870" s="528" t="s">
        <v>22863</v>
      </c>
      <c r="B7870" s="528" t="s">
        <v>22864</v>
      </c>
      <c r="C7870" s="528" t="s">
        <v>22865</v>
      </c>
      <c r="D7870" s="528" t="s">
        <v>264</v>
      </c>
      <c r="E7870" s="528"/>
      <c r="F7870" s="528"/>
      <c r="G7870" s="528" t="s">
        <v>208</v>
      </c>
    </row>
    <row r="7871" spans="1:7" x14ac:dyDescent="0.35">
      <c r="A7871" s="528" t="s">
        <v>22866</v>
      </c>
      <c r="B7871" s="528" t="s">
        <v>22867</v>
      </c>
      <c r="C7871" s="528" t="s">
        <v>22868</v>
      </c>
      <c r="D7871" s="528" t="s">
        <v>264</v>
      </c>
      <c r="E7871" s="528"/>
      <c r="F7871" s="528"/>
      <c r="G7871" s="528" t="s">
        <v>208</v>
      </c>
    </row>
    <row r="7872" spans="1:7" x14ac:dyDescent="0.35">
      <c r="A7872" s="528" t="s">
        <v>22869</v>
      </c>
      <c r="B7872" s="528" t="s">
        <v>22870</v>
      </c>
      <c r="C7872" s="528" t="s">
        <v>22871</v>
      </c>
      <c r="D7872" s="528" t="s">
        <v>264</v>
      </c>
      <c r="E7872" s="528"/>
      <c r="F7872" s="528"/>
      <c r="G7872" s="528" t="s">
        <v>205</v>
      </c>
    </row>
    <row r="7873" spans="1:7" x14ac:dyDescent="0.35">
      <c r="A7873" s="528" t="s">
        <v>22872</v>
      </c>
      <c r="B7873" s="528" t="s">
        <v>22873</v>
      </c>
      <c r="C7873" s="528" t="s">
        <v>22874</v>
      </c>
      <c r="D7873" s="528" t="s">
        <v>264</v>
      </c>
      <c r="E7873" s="528"/>
      <c r="F7873" s="528"/>
      <c r="G7873" s="528" t="s">
        <v>205</v>
      </c>
    </row>
    <row r="7874" spans="1:7" x14ac:dyDescent="0.35">
      <c r="A7874" s="528" t="s">
        <v>22875</v>
      </c>
      <c r="B7874" s="528" t="s">
        <v>22876</v>
      </c>
      <c r="C7874" s="528" t="s">
        <v>22877</v>
      </c>
      <c r="D7874" s="528" t="s">
        <v>238</v>
      </c>
      <c r="E7874" s="528"/>
      <c r="F7874" s="528"/>
      <c r="G7874" s="528" t="s">
        <v>212</v>
      </c>
    </row>
    <row r="7875" spans="1:7" x14ac:dyDescent="0.35">
      <c r="A7875" s="528" t="s">
        <v>22878</v>
      </c>
      <c r="B7875" s="528" t="s">
        <v>22879</v>
      </c>
      <c r="C7875" s="528" t="s">
        <v>22880</v>
      </c>
      <c r="D7875" s="528" t="s">
        <v>264</v>
      </c>
      <c r="E7875" s="528"/>
      <c r="F7875" s="528"/>
      <c r="G7875" s="528" t="s">
        <v>208</v>
      </c>
    </row>
    <row r="7876" spans="1:7" x14ac:dyDescent="0.35">
      <c r="A7876" s="528" t="s">
        <v>22881</v>
      </c>
      <c r="B7876" s="528" t="s">
        <v>22882</v>
      </c>
      <c r="C7876" s="528" t="s">
        <v>22883</v>
      </c>
      <c r="D7876" s="528" t="s">
        <v>225</v>
      </c>
      <c r="E7876" s="528"/>
      <c r="F7876" s="528"/>
      <c r="G7876" s="528" t="s">
        <v>208</v>
      </c>
    </row>
    <row r="7877" spans="1:7" x14ac:dyDescent="0.35">
      <c r="A7877" s="528" t="s">
        <v>22884</v>
      </c>
      <c r="B7877" s="528" t="s">
        <v>22885</v>
      </c>
      <c r="C7877" s="528" t="s">
        <v>22886</v>
      </c>
      <c r="D7877" s="528" t="s">
        <v>264</v>
      </c>
      <c r="E7877" s="528"/>
      <c r="F7877" s="528"/>
      <c r="G7877" s="528" t="s">
        <v>208</v>
      </c>
    </row>
    <row r="7878" spans="1:7" x14ac:dyDescent="0.35">
      <c r="A7878" s="528" t="s">
        <v>22887</v>
      </c>
      <c r="B7878" s="528" t="s">
        <v>22888</v>
      </c>
      <c r="C7878" s="528" t="s">
        <v>22889</v>
      </c>
      <c r="D7878" s="528" t="s">
        <v>277</v>
      </c>
      <c r="E7878" s="528"/>
      <c r="F7878" s="528"/>
      <c r="G7878" s="528" t="s">
        <v>208</v>
      </c>
    </row>
    <row r="7879" spans="1:7" x14ac:dyDescent="0.35">
      <c r="A7879" s="528" t="s">
        <v>22890</v>
      </c>
      <c r="B7879" s="528" t="s">
        <v>22891</v>
      </c>
      <c r="C7879" s="528" t="s">
        <v>22892</v>
      </c>
      <c r="D7879" s="528" t="s">
        <v>277</v>
      </c>
      <c r="E7879" s="528"/>
      <c r="F7879" s="528"/>
      <c r="G7879" s="528" t="s">
        <v>208</v>
      </c>
    </row>
    <row r="7880" spans="1:7" x14ac:dyDescent="0.35">
      <c r="A7880" s="528" t="s">
        <v>22893</v>
      </c>
      <c r="B7880" s="528" t="s">
        <v>22894</v>
      </c>
      <c r="C7880" s="528" t="s">
        <v>22895</v>
      </c>
      <c r="D7880" s="528" t="s">
        <v>264</v>
      </c>
      <c r="E7880" s="528"/>
      <c r="F7880" s="528"/>
      <c r="G7880" s="528" t="s">
        <v>205</v>
      </c>
    </row>
    <row r="7881" spans="1:7" x14ac:dyDescent="0.35">
      <c r="A7881" s="528" t="s">
        <v>22896</v>
      </c>
      <c r="B7881" s="528" t="s">
        <v>22897</v>
      </c>
      <c r="C7881" s="528" t="s">
        <v>22898</v>
      </c>
      <c r="D7881" s="528" t="s">
        <v>277</v>
      </c>
      <c r="E7881" s="528"/>
      <c r="F7881" s="528"/>
      <c r="G7881" s="528" t="s">
        <v>205</v>
      </c>
    </row>
    <row r="7882" spans="1:7" x14ac:dyDescent="0.35">
      <c r="A7882" s="528" t="s">
        <v>22899</v>
      </c>
      <c r="B7882" s="528" t="s">
        <v>22900</v>
      </c>
      <c r="C7882" s="528" t="s">
        <v>22901</v>
      </c>
      <c r="D7882" s="528" t="s">
        <v>264</v>
      </c>
      <c r="E7882" s="528"/>
      <c r="F7882" s="528"/>
      <c r="G7882" s="528" t="s">
        <v>205</v>
      </c>
    </row>
    <row r="7883" spans="1:7" x14ac:dyDescent="0.35">
      <c r="A7883" s="528" t="s">
        <v>22902</v>
      </c>
      <c r="B7883" s="528" t="s">
        <v>22903</v>
      </c>
      <c r="C7883" s="528" t="s">
        <v>22904</v>
      </c>
      <c r="D7883" s="528" t="s">
        <v>264</v>
      </c>
      <c r="E7883" s="528"/>
      <c r="F7883" s="528"/>
      <c r="G7883" s="528" t="s">
        <v>212</v>
      </c>
    </row>
    <row r="7884" spans="1:7" x14ac:dyDescent="0.35">
      <c r="A7884" s="528" t="s">
        <v>22905</v>
      </c>
      <c r="B7884" s="528" t="s">
        <v>22906</v>
      </c>
      <c r="C7884" s="528" t="s">
        <v>22907</v>
      </c>
      <c r="D7884" s="528" t="s">
        <v>264</v>
      </c>
      <c r="E7884" s="528"/>
      <c r="F7884" s="528"/>
      <c r="G7884" s="528" t="s">
        <v>212</v>
      </c>
    </row>
    <row r="7885" spans="1:7" x14ac:dyDescent="0.35">
      <c r="A7885" s="528" t="s">
        <v>22908</v>
      </c>
      <c r="B7885" s="528" t="s">
        <v>22909</v>
      </c>
      <c r="C7885" s="528" t="s">
        <v>22910</v>
      </c>
      <c r="D7885" s="528" t="s">
        <v>277</v>
      </c>
      <c r="E7885" s="528"/>
      <c r="F7885" s="528"/>
      <c r="G7885" s="528" t="s">
        <v>212</v>
      </c>
    </row>
    <row r="7886" spans="1:7" x14ac:dyDescent="0.35">
      <c r="A7886" s="528" t="s">
        <v>22911</v>
      </c>
      <c r="B7886" s="528" t="s">
        <v>22912</v>
      </c>
      <c r="C7886" s="528" t="s">
        <v>22913</v>
      </c>
      <c r="D7886" s="528" t="s">
        <v>264</v>
      </c>
      <c r="E7886" s="528"/>
      <c r="F7886" s="528"/>
      <c r="G7886" s="528" t="s">
        <v>208</v>
      </c>
    </row>
    <row r="7887" spans="1:7" x14ac:dyDescent="0.35">
      <c r="A7887" s="528" t="s">
        <v>22914</v>
      </c>
      <c r="B7887" s="528" t="s">
        <v>22915</v>
      </c>
      <c r="C7887" s="528" t="s">
        <v>22916</v>
      </c>
      <c r="D7887" s="528" t="s">
        <v>225</v>
      </c>
      <c r="E7887" s="528"/>
      <c r="F7887" s="528"/>
      <c r="G7887" s="528" t="s">
        <v>205</v>
      </c>
    </row>
    <row r="7888" spans="1:7" x14ac:dyDescent="0.35">
      <c r="A7888" s="528" t="s">
        <v>22917</v>
      </c>
      <c r="B7888" s="528" t="s">
        <v>22918</v>
      </c>
      <c r="C7888" s="528" t="s">
        <v>22919</v>
      </c>
      <c r="D7888" s="528" t="s">
        <v>225</v>
      </c>
      <c r="E7888" s="528"/>
      <c r="F7888" s="528"/>
      <c r="G7888" s="528" t="s">
        <v>205</v>
      </c>
    </row>
    <row r="7889" spans="1:7" x14ac:dyDescent="0.35">
      <c r="A7889" s="528" t="s">
        <v>22920</v>
      </c>
      <c r="B7889" s="528" t="s">
        <v>22921</v>
      </c>
      <c r="C7889" s="528" t="s">
        <v>22922</v>
      </c>
      <c r="D7889" s="528" t="s">
        <v>264</v>
      </c>
      <c r="E7889" s="528"/>
      <c r="F7889" s="528"/>
      <c r="G7889" s="528" t="s">
        <v>205</v>
      </c>
    </row>
    <row r="7890" spans="1:7" x14ac:dyDescent="0.35">
      <c r="A7890" s="528" t="s">
        <v>22923</v>
      </c>
      <c r="B7890" s="528" t="s">
        <v>22924</v>
      </c>
      <c r="C7890" s="528" t="s">
        <v>22925</v>
      </c>
      <c r="D7890" s="528" t="s">
        <v>264</v>
      </c>
      <c r="E7890" s="528"/>
      <c r="F7890" s="528"/>
      <c r="G7890" s="528" t="s">
        <v>205</v>
      </c>
    </row>
    <row r="7891" spans="1:7" x14ac:dyDescent="0.35">
      <c r="A7891" s="528" t="s">
        <v>22926</v>
      </c>
      <c r="B7891" s="528" t="s">
        <v>22927</v>
      </c>
      <c r="C7891" s="528" t="s">
        <v>22928</v>
      </c>
      <c r="D7891" s="528" t="s">
        <v>225</v>
      </c>
      <c r="E7891" s="528"/>
      <c r="F7891" s="528"/>
      <c r="G7891" s="528" t="s">
        <v>205</v>
      </c>
    </row>
    <row r="7892" spans="1:7" x14ac:dyDescent="0.35">
      <c r="A7892" s="528" t="s">
        <v>22929</v>
      </c>
      <c r="B7892" s="528" t="s">
        <v>22930</v>
      </c>
      <c r="C7892" s="528" t="s">
        <v>22931</v>
      </c>
      <c r="D7892" s="528" t="s">
        <v>225</v>
      </c>
      <c r="E7892" s="528"/>
      <c r="F7892" s="528"/>
      <c r="G7892" s="528" t="s">
        <v>205</v>
      </c>
    </row>
    <row r="7893" spans="1:7" x14ac:dyDescent="0.35">
      <c r="A7893" s="528" t="s">
        <v>22932</v>
      </c>
      <c r="B7893" s="528" t="s">
        <v>22933</v>
      </c>
      <c r="C7893" s="528" t="s">
        <v>22934</v>
      </c>
      <c r="D7893" s="528" t="s">
        <v>225</v>
      </c>
      <c r="E7893" s="528"/>
      <c r="F7893" s="528"/>
      <c r="G7893" s="528" t="s">
        <v>205</v>
      </c>
    </row>
    <row r="7894" spans="1:7" x14ac:dyDescent="0.35">
      <c r="A7894" s="528" t="s">
        <v>22935</v>
      </c>
      <c r="B7894" s="528" t="s">
        <v>22936</v>
      </c>
      <c r="C7894" s="528" t="s">
        <v>22937</v>
      </c>
      <c r="D7894" s="528" t="s">
        <v>225</v>
      </c>
      <c r="E7894" s="528"/>
      <c r="F7894" s="528"/>
      <c r="G7894" s="528" t="s">
        <v>205</v>
      </c>
    </row>
    <row r="7895" spans="1:7" x14ac:dyDescent="0.35">
      <c r="A7895" s="528" t="s">
        <v>22938</v>
      </c>
      <c r="B7895" s="528" t="s">
        <v>22939</v>
      </c>
      <c r="C7895" s="528" t="s">
        <v>22940</v>
      </c>
      <c r="D7895" s="528" t="s">
        <v>251</v>
      </c>
      <c r="E7895" s="528"/>
      <c r="F7895" s="528"/>
      <c r="G7895" s="528" t="s">
        <v>205</v>
      </c>
    </row>
    <row r="7896" spans="1:7" x14ac:dyDescent="0.35">
      <c r="A7896" s="528" t="s">
        <v>22941</v>
      </c>
      <c r="B7896" s="528" t="s">
        <v>22942</v>
      </c>
      <c r="C7896" s="528" t="s">
        <v>22943</v>
      </c>
      <c r="D7896" s="528" t="s">
        <v>225</v>
      </c>
      <c r="E7896" s="528"/>
      <c r="F7896" s="528"/>
      <c r="G7896" s="528" t="s">
        <v>205</v>
      </c>
    </row>
    <row r="7897" spans="1:7" x14ac:dyDescent="0.35">
      <c r="A7897" s="528" t="s">
        <v>22944</v>
      </c>
      <c r="B7897" s="528" t="s">
        <v>22945</v>
      </c>
      <c r="C7897" s="528" t="s">
        <v>22946</v>
      </c>
      <c r="D7897" s="528" t="s">
        <v>225</v>
      </c>
      <c r="E7897" s="528"/>
      <c r="F7897" s="528"/>
      <c r="G7897" s="528" t="s">
        <v>205</v>
      </c>
    </row>
    <row r="7898" spans="1:7" x14ac:dyDescent="0.35">
      <c r="A7898" s="528" t="s">
        <v>22947</v>
      </c>
      <c r="B7898" s="528" t="s">
        <v>22948</v>
      </c>
      <c r="C7898" s="528" t="s">
        <v>22949</v>
      </c>
      <c r="D7898" s="528" t="s">
        <v>277</v>
      </c>
      <c r="E7898" s="528"/>
      <c r="F7898" s="528"/>
      <c r="G7898" s="528" t="s">
        <v>205</v>
      </c>
    </row>
    <row r="7899" spans="1:7" x14ac:dyDescent="0.35">
      <c r="A7899" s="528" t="s">
        <v>22950</v>
      </c>
      <c r="B7899" s="528" t="s">
        <v>22951</v>
      </c>
      <c r="C7899" s="528" t="s">
        <v>22952</v>
      </c>
      <c r="D7899" s="528" t="s">
        <v>238</v>
      </c>
      <c r="E7899" s="528"/>
      <c r="F7899" s="528"/>
      <c r="G7899" s="528" t="s">
        <v>208</v>
      </c>
    </row>
    <row r="7900" spans="1:7" x14ac:dyDescent="0.35">
      <c r="A7900" s="528" t="s">
        <v>22953</v>
      </c>
      <c r="B7900" s="528" t="s">
        <v>22954</v>
      </c>
      <c r="C7900" s="528" t="s">
        <v>22955</v>
      </c>
      <c r="D7900" s="528" t="s">
        <v>264</v>
      </c>
      <c r="E7900" s="528"/>
      <c r="F7900" s="528"/>
      <c r="G7900" s="528" t="s">
        <v>212</v>
      </c>
    </row>
    <row r="7901" spans="1:7" x14ac:dyDescent="0.35">
      <c r="A7901" s="528" t="s">
        <v>22956</v>
      </c>
      <c r="B7901" s="528" t="s">
        <v>22957</v>
      </c>
      <c r="C7901" s="528" t="s">
        <v>22958</v>
      </c>
      <c r="D7901" s="528" t="s">
        <v>264</v>
      </c>
      <c r="E7901" s="528"/>
      <c r="F7901" s="528"/>
      <c r="G7901" s="528" t="s">
        <v>208</v>
      </c>
    </row>
    <row r="7902" spans="1:7" x14ac:dyDescent="0.35">
      <c r="A7902" s="528" t="s">
        <v>22959</v>
      </c>
      <c r="B7902" s="528" t="s">
        <v>22960</v>
      </c>
      <c r="C7902" s="528" t="s">
        <v>22961</v>
      </c>
      <c r="D7902" s="528" t="s">
        <v>264</v>
      </c>
      <c r="E7902" s="528"/>
      <c r="F7902" s="528"/>
      <c r="G7902" s="528" t="s">
        <v>208</v>
      </c>
    </row>
    <row r="7903" spans="1:7" x14ac:dyDescent="0.35">
      <c r="A7903" s="528" t="s">
        <v>22962</v>
      </c>
      <c r="B7903" s="528" t="s">
        <v>22963</v>
      </c>
      <c r="C7903" s="528" t="s">
        <v>22964</v>
      </c>
      <c r="D7903" s="528" t="s">
        <v>264</v>
      </c>
      <c r="E7903" s="528"/>
      <c r="F7903" s="528"/>
      <c r="G7903" s="528" t="s">
        <v>208</v>
      </c>
    </row>
    <row r="7904" spans="1:7" x14ac:dyDescent="0.35">
      <c r="A7904" s="528" t="s">
        <v>22965</v>
      </c>
      <c r="B7904" s="528" t="s">
        <v>22966</v>
      </c>
      <c r="C7904" s="528" t="s">
        <v>22967</v>
      </c>
      <c r="D7904" s="528" t="s">
        <v>264</v>
      </c>
      <c r="E7904" s="528"/>
      <c r="F7904" s="528"/>
      <c r="G7904" s="528" t="s">
        <v>208</v>
      </c>
    </row>
    <row r="7905" spans="1:7" x14ac:dyDescent="0.35">
      <c r="A7905" s="528" t="s">
        <v>22968</v>
      </c>
      <c r="B7905" s="528" t="s">
        <v>22969</v>
      </c>
      <c r="C7905" s="528" t="s">
        <v>22970</v>
      </c>
      <c r="D7905" s="528" t="s">
        <v>264</v>
      </c>
      <c r="E7905" s="528"/>
      <c r="F7905" s="528"/>
      <c r="G7905" s="528" t="s">
        <v>205</v>
      </c>
    </row>
    <row r="7906" spans="1:7" x14ac:dyDescent="0.35">
      <c r="A7906" s="528" t="s">
        <v>22971</v>
      </c>
      <c r="B7906" s="528" t="s">
        <v>22972</v>
      </c>
      <c r="C7906" s="528" t="s">
        <v>22973</v>
      </c>
      <c r="D7906" s="528" t="s">
        <v>264</v>
      </c>
      <c r="E7906" s="528"/>
      <c r="F7906" s="528"/>
      <c r="G7906" s="528" t="s">
        <v>212</v>
      </c>
    </row>
    <row r="7907" spans="1:7" x14ac:dyDescent="0.35">
      <c r="A7907" s="528" t="s">
        <v>22974</v>
      </c>
      <c r="B7907" s="528" t="s">
        <v>22975</v>
      </c>
      <c r="C7907" s="528" t="s">
        <v>22976</v>
      </c>
      <c r="D7907" s="528" t="s">
        <v>264</v>
      </c>
      <c r="E7907" s="528"/>
      <c r="F7907" s="528"/>
      <c r="G7907" s="528" t="s">
        <v>212</v>
      </c>
    </row>
    <row r="7908" spans="1:7" x14ac:dyDescent="0.35">
      <c r="A7908" s="528" t="s">
        <v>22977</v>
      </c>
      <c r="B7908" s="528" t="s">
        <v>22978</v>
      </c>
      <c r="C7908" s="528" t="s">
        <v>22979</v>
      </c>
      <c r="D7908" s="528" t="s">
        <v>264</v>
      </c>
      <c r="E7908" s="528"/>
      <c r="F7908" s="528"/>
      <c r="G7908" s="528" t="s">
        <v>212</v>
      </c>
    </row>
    <row r="7909" spans="1:7" x14ac:dyDescent="0.35">
      <c r="A7909" s="528" t="s">
        <v>22980</v>
      </c>
      <c r="B7909" s="528" t="s">
        <v>22981</v>
      </c>
      <c r="C7909" s="528" t="s">
        <v>22982</v>
      </c>
      <c r="D7909" s="528" t="s">
        <v>264</v>
      </c>
      <c r="E7909" s="528"/>
      <c r="F7909" s="528"/>
      <c r="G7909" s="528" t="s">
        <v>212</v>
      </c>
    </row>
    <row r="7910" spans="1:7" x14ac:dyDescent="0.35">
      <c r="A7910" s="528" t="s">
        <v>22983</v>
      </c>
      <c r="B7910" s="528" t="s">
        <v>22984</v>
      </c>
      <c r="C7910" s="528" t="s">
        <v>22985</v>
      </c>
      <c r="D7910" s="528" t="s">
        <v>264</v>
      </c>
      <c r="E7910" s="528"/>
      <c r="F7910" s="528"/>
      <c r="G7910" s="528" t="s">
        <v>212</v>
      </c>
    </row>
    <row r="7911" spans="1:7" x14ac:dyDescent="0.35">
      <c r="A7911" s="528" t="s">
        <v>22986</v>
      </c>
      <c r="B7911" s="528" t="s">
        <v>22987</v>
      </c>
      <c r="C7911" s="528" t="s">
        <v>22988</v>
      </c>
      <c r="D7911" s="528" t="s">
        <v>264</v>
      </c>
      <c r="E7911" s="528"/>
      <c r="F7911" s="528"/>
      <c r="G7911" s="528" t="s">
        <v>212</v>
      </c>
    </row>
    <row r="7912" spans="1:7" x14ac:dyDescent="0.35">
      <c r="A7912" s="528" t="s">
        <v>22989</v>
      </c>
      <c r="B7912" s="528" t="s">
        <v>22990</v>
      </c>
      <c r="C7912" s="528" t="s">
        <v>22991</v>
      </c>
      <c r="D7912" s="528" t="s">
        <v>264</v>
      </c>
      <c r="E7912" s="528"/>
      <c r="F7912" s="528"/>
      <c r="G7912" s="528" t="s">
        <v>212</v>
      </c>
    </row>
    <row r="7913" spans="1:7" x14ac:dyDescent="0.35">
      <c r="A7913" s="528" t="s">
        <v>22992</v>
      </c>
      <c r="B7913" s="528" t="s">
        <v>22993</v>
      </c>
      <c r="C7913" s="528" t="s">
        <v>22994</v>
      </c>
      <c r="D7913" s="528" t="s">
        <v>264</v>
      </c>
      <c r="E7913" s="528"/>
      <c r="F7913" s="528"/>
      <c r="G7913" s="528" t="s">
        <v>210</v>
      </c>
    </row>
    <row r="7914" spans="1:7" x14ac:dyDescent="0.35">
      <c r="A7914" s="528" t="s">
        <v>22995</v>
      </c>
      <c r="B7914" s="528" t="s">
        <v>22996</v>
      </c>
      <c r="C7914" s="528" t="s">
        <v>22997</v>
      </c>
      <c r="D7914" s="528" t="s">
        <v>238</v>
      </c>
      <c r="E7914" s="528"/>
      <c r="F7914" s="528"/>
      <c r="G7914" s="528" t="s">
        <v>212</v>
      </c>
    </row>
    <row r="7915" spans="1:7" x14ac:dyDescent="0.35">
      <c r="A7915" s="528" t="s">
        <v>22998</v>
      </c>
      <c r="B7915" s="528" t="s">
        <v>22999</v>
      </c>
      <c r="C7915" s="528" t="s">
        <v>23000</v>
      </c>
      <c r="D7915" s="528" t="s">
        <v>264</v>
      </c>
      <c r="E7915" s="528"/>
      <c r="F7915" s="528"/>
      <c r="G7915" s="528" t="s">
        <v>212</v>
      </c>
    </row>
    <row r="7916" spans="1:7" x14ac:dyDescent="0.35">
      <c r="A7916" s="528" t="s">
        <v>23001</v>
      </c>
      <c r="B7916" s="528" t="s">
        <v>23002</v>
      </c>
      <c r="C7916" s="528" t="s">
        <v>23003</v>
      </c>
      <c r="D7916" s="528" t="s">
        <v>264</v>
      </c>
      <c r="E7916" s="528"/>
      <c r="F7916" s="528"/>
      <c r="G7916" s="528" t="s">
        <v>210</v>
      </c>
    </row>
    <row r="7917" spans="1:7" x14ac:dyDescent="0.35">
      <c r="A7917" s="528" t="s">
        <v>23004</v>
      </c>
      <c r="B7917" s="528" t="s">
        <v>23005</v>
      </c>
      <c r="C7917" s="528" t="s">
        <v>23006</v>
      </c>
      <c r="D7917" s="528" t="s">
        <v>264</v>
      </c>
      <c r="E7917" s="528"/>
      <c r="F7917" s="528"/>
      <c r="G7917" s="528" t="s">
        <v>205</v>
      </c>
    </row>
    <row r="7918" spans="1:7" x14ac:dyDescent="0.35">
      <c r="A7918" s="528" t="s">
        <v>23007</v>
      </c>
      <c r="B7918" s="528" t="s">
        <v>23008</v>
      </c>
      <c r="C7918" s="528" t="s">
        <v>23009</v>
      </c>
      <c r="D7918" s="528" t="s">
        <v>238</v>
      </c>
      <c r="E7918" s="528"/>
      <c r="F7918" s="528"/>
      <c r="G7918" s="528" t="s">
        <v>212</v>
      </c>
    </row>
    <row r="7919" spans="1:7" x14ac:dyDescent="0.35">
      <c r="A7919" s="528" t="s">
        <v>23010</v>
      </c>
      <c r="B7919" s="528" t="s">
        <v>23011</v>
      </c>
      <c r="C7919" s="528" t="s">
        <v>23012</v>
      </c>
      <c r="D7919" s="528" t="s">
        <v>277</v>
      </c>
      <c r="E7919" s="528"/>
      <c r="F7919" s="528"/>
      <c r="G7919" s="528" t="s">
        <v>208</v>
      </c>
    </row>
    <row r="7920" spans="1:7" x14ac:dyDescent="0.35">
      <c r="A7920" s="528" t="s">
        <v>23013</v>
      </c>
      <c r="B7920" s="528" t="s">
        <v>23014</v>
      </c>
      <c r="C7920" s="528" t="s">
        <v>23015</v>
      </c>
      <c r="D7920" s="528" t="s">
        <v>264</v>
      </c>
      <c r="E7920" s="528"/>
      <c r="F7920" s="528"/>
      <c r="G7920" s="528" t="s">
        <v>208</v>
      </c>
    </row>
    <row r="7921" spans="1:7" x14ac:dyDescent="0.35">
      <c r="A7921" s="528" t="s">
        <v>23016</v>
      </c>
      <c r="B7921" s="528" t="s">
        <v>23017</v>
      </c>
      <c r="C7921" s="528" t="s">
        <v>23018</v>
      </c>
      <c r="D7921" s="528" t="s">
        <v>264</v>
      </c>
      <c r="E7921" s="528"/>
      <c r="F7921" s="528"/>
      <c r="G7921" s="528" t="s">
        <v>208</v>
      </c>
    </row>
    <row r="7922" spans="1:7" x14ac:dyDescent="0.35">
      <c r="A7922" s="528" t="s">
        <v>23019</v>
      </c>
      <c r="B7922" s="528" t="s">
        <v>23020</v>
      </c>
      <c r="C7922" s="528" t="s">
        <v>23021</v>
      </c>
      <c r="D7922" s="528" t="s">
        <v>277</v>
      </c>
      <c r="E7922" s="528"/>
      <c r="F7922" s="528"/>
      <c r="G7922" s="528" t="s">
        <v>205</v>
      </c>
    </row>
    <row r="7923" spans="1:7" x14ac:dyDescent="0.35">
      <c r="A7923" s="528" t="s">
        <v>23022</v>
      </c>
      <c r="B7923" s="528" t="s">
        <v>23023</v>
      </c>
      <c r="C7923" s="528" t="s">
        <v>23024</v>
      </c>
      <c r="D7923" s="528" t="s">
        <v>277</v>
      </c>
      <c r="E7923" s="528"/>
      <c r="F7923" s="528"/>
      <c r="G7923" s="528" t="s">
        <v>208</v>
      </c>
    </row>
    <row r="7924" spans="1:7" x14ac:dyDescent="0.35">
      <c r="A7924" s="528" t="s">
        <v>23025</v>
      </c>
      <c r="B7924" s="528" t="s">
        <v>23026</v>
      </c>
      <c r="C7924" s="528" t="s">
        <v>23027</v>
      </c>
      <c r="D7924" s="528" t="s">
        <v>277</v>
      </c>
      <c r="E7924" s="528"/>
      <c r="F7924" s="528"/>
      <c r="G7924" s="528" t="s">
        <v>208</v>
      </c>
    </row>
    <row r="7925" spans="1:7" x14ac:dyDescent="0.35">
      <c r="A7925" s="528" t="s">
        <v>23028</v>
      </c>
      <c r="B7925" s="528" t="s">
        <v>23029</v>
      </c>
      <c r="C7925" s="528" t="s">
        <v>23030</v>
      </c>
      <c r="D7925" s="528" t="s">
        <v>264</v>
      </c>
      <c r="E7925" s="528"/>
      <c r="F7925" s="528"/>
      <c r="G7925" s="528" t="s">
        <v>205</v>
      </c>
    </row>
    <row r="7926" spans="1:7" x14ac:dyDescent="0.35">
      <c r="A7926" s="528" t="s">
        <v>23031</v>
      </c>
      <c r="B7926" s="528" t="s">
        <v>23032</v>
      </c>
      <c r="C7926" s="528" t="s">
        <v>23033</v>
      </c>
      <c r="D7926" s="528" t="s">
        <v>264</v>
      </c>
      <c r="E7926" s="528"/>
      <c r="F7926" s="528"/>
      <c r="G7926" s="528" t="s">
        <v>212</v>
      </c>
    </row>
    <row r="7927" spans="1:7" x14ac:dyDescent="0.35">
      <c r="A7927" s="528" t="s">
        <v>23034</v>
      </c>
      <c r="B7927" s="528" t="s">
        <v>23035</v>
      </c>
      <c r="C7927" s="528" t="s">
        <v>23036</v>
      </c>
      <c r="D7927" s="528" t="s">
        <v>277</v>
      </c>
      <c r="E7927" s="528"/>
      <c r="F7927" s="528"/>
      <c r="G7927" s="528" t="s">
        <v>212</v>
      </c>
    </row>
    <row r="7928" spans="1:7" x14ac:dyDescent="0.35">
      <c r="A7928" s="528" t="s">
        <v>23037</v>
      </c>
      <c r="B7928" s="528" t="s">
        <v>23038</v>
      </c>
      <c r="C7928" s="528" t="s">
        <v>23039</v>
      </c>
      <c r="D7928" s="528" t="s">
        <v>277</v>
      </c>
      <c r="E7928" s="528"/>
      <c r="F7928" s="528"/>
      <c r="G7928" s="528" t="s">
        <v>212</v>
      </c>
    </row>
    <row r="7929" spans="1:7" x14ac:dyDescent="0.35">
      <c r="A7929" s="528" t="s">
        <v>23040</v>
      </c>
      <c r="B7929" s="528" t="s">
        <v>23041</v>
      </c>
      <c r="C7929" s="528" t="s">
        <v>23042</v>
      </c>
      <c r="D7929" s="528" t="s">
        <v>264</v>
      </c>
      <c r="E7929" s="528"/>
      <c r="F7929" s="528"/>
      <c r="G7929" s="528" t="s">
        <v>205</v>
      </c>
    </row>
    <row r="7930" spans="1:7" x14ac:dyDescent="0.35">
      <c r="A7930" s="528" t="s">
        <v>23043</v>
      </c>
      <c r="B7930" s="528" t="s">
        <v>23044</v>
      </c>
      <c r="C7930" s="528" t="s">
        <v>23045</v>
      </c>
      <c r="D7930" s="528" t="s">
        <v>264</v>
      </c>
      <c r="E7930" s="528"/>
      <c r="F7930" s="528"/>
      <c r="G7930" s="528" t="s">
        <v>208</v>
      </c>
    </row>
    <row r="7931" spans="1:7" x14ac:dyDescent="0.35">
      <c r="A7931" s="528" t="s">
        <v>23046</v>
      </c>
      <c r="B7931" s="528" t="s">
        <v>23047</v>
      </c>
      <c r="C7931" s="528" t="s">
        <v>23048</v>
      </c>
      <c r="D7931" s="528" t="s">
        <v>264</v>
      </c>
      <c r="E7931" s="528"/>
      <c r="F7931" s="528"/>
      <c r="G7931" s="528" t="s">
        <v>208</v>
      </c>
    </row>
    <row r="7932" spans="1:7" x14ac:dyDescent="0.35">
      <c r="A7932" s="528" t="s">
        <v>23049</v>
      </c>
      <c r="B7932" s="528" t="s">
        <v>23050</v>
      </c>
      <c r="C7932" s="528" t="s">
        <v>23051</v>
      </c>
      <c r="D7932" s="528" t="s">
        <v>264</v>
      </c>
      <c r="E7932" s="528"/>
      <c r="F7932" s="528"/>
      <c r="G7932" s="528" t="s">
        <v>208</v>
      </c>
    </row>
    <row r="7933" spans="1:7" x14ac:dyDescent="0.35">
      <c r="A7933" s="528" t="s">
        <v>23052</v>
      </c>
      <c r="B7933" s="528" t="s">
        <v>23053</v>
      </c>
      <c r="C7933" s="528" t="s">
        <v>23054</v>
      </c>
      <c r="D7933" s="528" t="s">
        <v>264</v>
      </c>
      <c r="E7933" s="528"/>
      <c r="F7933" s="528"/>
      <c r="G7933" s="528" t="s">
        <v>208</v>
      </c>
    </row>
    <row r="7934" spans="1:7" x14ac:dyDescent="0.35">
      <c r="A7934" s="528" t="s">
        <v>23055</v>
      </c>
      <c r="B7934" s="528" t="s">
        <v>23056</v>
      </c>
      <c r="C7934" s="528" t="s">
        <v>23057</v>
      </c>
      <c r="D7934" s="528" t="s">
        <v>277</v>
      </c>
      <c r="E7934" s="528"/>
      <c r="F7934" s="528"/>
      <c r="G7934" s="528" t="s">
        <v>205</v>
      </c>
    </row>
    <row r="7935" spans="1:7" x14ac:dyDescent="0.35">
      <c r="A7935" s="528" t="s">
        <v>23058</v>
      </c>
      <c r="B7935" s="528" t="s">
        <v>23059</v>
      </c>
      <c r="C7935" s="528" t="s">
        <v>23060</v>
      </c>
      <c r="D7935" s="528" t="s">
        <v>277</v>
      </c>
      <c r="E7935" s="528"/>
      <c r="F7935" s="528"/>
      <c r="G7935" s="528" t="s">
        <v>205</v>
      </c>
    </row>
    <row r="7936" spans="1:7" x14ac:dyDescent="0.35">
      <c r="A7936" s="528" t="s">
        <v>23061</v>
      </c>
      <c r="B7936" s="528" t="s">
        <v>23062</v>
      </c>
      <c r="C7936" s="528" t="s">
        <v>23063</v>
      </c>
      <c r="D7936" s="528" t="s">
        <v>277</v>
      </c>
      <c r="E7936" s="528"/>
      <c r="F7936" s="528"/>
      <c r="G7936" s="528" t="s">
        <v>212</v>
      </c>
    </row>
    <row r="7937" spans="1:7" x14ac:dyDescent="0.35">
      <c r="A7937" s="528" t="s">
        <v>23064</v>
      </c>
      <c r="B7937" s="528" t="s">
        <v>23065</v>
      </c>
      <c r="C7937" s="528" t="s">
        <v>23066</v>
      </c>
      <c r="D7937" s="528" t="s">
        <v>264</v>
      </c>
      <c r="E7937" s="528"/>
      <c r="F7937" s="528"/>
      <c r="G7937" s="528" t="s">
        <v>208</v>
      </c>
    </row>
    <row r="7938" spans="1:7" x14ac:dyDescent="0.35">
      <c r="A7938" s="528" t="s">
        <v>23067</v>
      </c>
      <c r="B7938" s="528" t="s">
        <v>23068</v>
      </c>
      <c r="C7938" s="528" t="s">
        <v>23069</v>
      </c>
      <c r="D7938" s="528" t="s">
        <v>264</v>
      </c>
      <c r="E7938" s="528"/>
      <c r="F7938" s="528"/>
      <c r="G7938" s="528" t="s">
        <v>208</v>
      </c>
    </row>
    <row r="7939" spans="1:7" x14ac:dyDescent="0.35">
      <c r="A7939" s="528" t="s">
        <v>23070</v>
      </c>
      <c r="B7939" s="528" t="s">
        <v>23071</v>
      </c>
      <c r="C7939" s="528" t="s">
        <v>23072</v>
      </c>
      <c r="D7939" s="528" t="s">
        <v>264</v>
      </c>
      <c r="E7939" s="528"/>
      <c r="F7939" s="528"/>
      <c r="G7939" s="528" t="s">
        <v>208</v>
      </c>
    </row>
    <row r="7940" spans="1:7" x14ac:dyDescent="0.35">
      <c r="A7940" s="528" t="s">
        <v>23073</v>
      </c>
      <c r="B7940" s="528" t="s">
        <v>23074</v>
      </c>
      <c r="C7940" s="528" t="s">
        <v>23075</v>
      </c>
      <c r="D7940" s="528" t="s">
        <v>264</v>
      </c>
      <c r="E7940" s="528"/>
      <c r="F7940" s="528"/>
      <c r="G7940" s="528" t="s">
        <v>212</v>
      </c>
    </row>
    <row r="7941" spans="1:7" x14ac:dyDescent="0.35">
      <c r="A7941" s="528" t="s">
        <v>23076</v>
      </c>
      <c r="B7941" s="528" t="s">
        <v>23077</v>
      </c>
      <c r="C7941" s="528" t="s">
        <v>23078</v>
      </c>
      <c r="D7941" s="528" t="s">
        <v>264</v>
      </c>
      <c r="E7941" s="528"/>
      <c r="F7941" s="528"/>
      <c r="G7941" s="528" t="s">
        <v>212</v>
      </c>
    </row>
    <row r="7942" spans="1:7" x14ac:dyDescent="0.35">
      <c r="A7942" s="528" t="s">
        <v>23079</v>
      </c>
      <c r="B7942" s="528" t="s">
        <v>23080</v>
      </c>
      <c r="C7942" s="528" t="s">
        <v>23081</v>
      </c>
      <c r="D7942" s="528" t="s">
        <v>264</v>
      </c>
      <c r="E7942" s="528"/>
      <c r="F7942" s="528"/>
      <c r="G7942" s="528" t="s">
        <v>212</v>
      </c>
    </row>
    <row r="7943" spans="1:7" x14ac:dyDescent="0.35">
      <c r="A7943" s="528" t="s">
        <v>23082</v>
      </c>
      <c r="B7943" s="528" t="s">
        <v>23083</v>
      </c>
      <c r="C7943" s="528" t="s">
        <v>23084</v>
      </c>
      <c r="D7943" s="528" t="s">
        <v>277</v>
      </c>
      <c r="E7943" s="528"/>
      <c r="F7943" s="528"/>
      <c r="G7943" s="528" t="s">
        <v>212</v>
      </c>
    </row>
    <row r="7944" spans="1:7" x14ac:dyDescent="0.35">
      <c r="A7944" s="528" t="s">
        <v>23085</v>
      </c>
      <c r="B7944" s="528" t="s">
        <v>23086</v>
      </c>
      <c r="C7944" s="528" t="s">
        <v>23087</v>
      </c>
      <c r="D7944" s="528" t="s">
        <v>225</v>
      </c>
      <c r="E7944" s="528"/>
      <c r="F7944" s="528"/>
      <c r="G7944" s="528" t="s">
        <v>208</v>
      </c>
    </row>
    <row r="7945" spans="1:7" x14ac:dyDescent="0.35">
      <c r="A7945" s="528" t="s">
        <v>23088</v>
      </c>
      <c r="B7945" s="528" t="s">
        <v>23089</v>
      </c>
      <c r="C7945" s="528" t="s">
        <v>23090</v>
      </c>
      <c r="D7945" s="528" t="s">
        <v>225</v>
      </c>
      <c r="E7945" s="528"/>
      <c r="F7945" s="528"/>
      <c r="G7945" s="528" t="s">
        <v>208</v>
      </c>
    </row>
    <row r="7946" spans="1:7" x14ac:dyDescent="0.35">
      <c r="A7946" s="528" t="s">
        <v>23091</v>
      </c>
      <c r="B7946" s="528" t="s">
        <v>23092</v>
      </c>
      <c r="C7946" s="528" t="s">
        <v>23093</v>
      </c>
      <c r="D7946" s="528" t="s">
        <v>264</v>
      </c>
      <c r="E7946" s="528"/>
      <c r="F7946" s="528"/>
      <c r="G7946" s="528" t="s">
        <v>212</v>
      </c>
    </row>
    <row r="7947" spans="1:7" x14ac:dyDescent="0.35">
      <c r="A7947" s="528" t="s">
        <v>23094</v>
      </c>
      <c r="B7947" s="528" t="s">
        <v>23095</v>
      </c>
      <c r="C7947" s="528" t="s">
        <v>23096</v>
      </c>
      <c r="D7947" s="528" t="s">
        <v>225</v>
      </c>
      <c r="E7947" s="528"/>
      <c r="F7947" s="528"/>
      <c r="G7947" s="528" t="s">
        <v>205</v>
      </c>
    </row>
    <row r="7948" spans="1:7" x14ac:dyDescent="0.35">
      <c r="A7948" s="528" t="s">
        <v>23097</v>
      </c>
      <c r="B7948" s="528" t="s">
        <v>23098</v>
      </c>
      <c r="C7948" s="528" t="s">
        <v>23099</v>
      </c>
      <c r="D7948" s="528" t="s">
        <v>277</v>
      </c>
      <c r="E7948" s="528"/>
      <c r="F7948" s="528"/>
      <c r="G7948" s="528" t="s">
        <v>212</v>
      </c>
    </row>
    <row r="7949" spans="1:7" x14ac:dyDescent="0.35">
      <c r="A7949" s="528" t="s">
        <v>23100</v>
      </c>
      <c r="B7949" s="528" t="s">
        <v>23101</v>
      </c>
      <c r="C7949" s="528" t="s">
        <v>23102</v>
      </c>
      <c r="D7949" s="528" t="s">
        <v>264</v>
      </c>
      <c r="E7949" s="528" t="s">
        <v>277</v>
      </c>
      <c r="F7949" s="528"/>
      <c r="G7949" s="528" t="s">
        <v>205</v>
      </c>
    </row>
    <row r="7950" spans="1:7" x14ac:dyDescent="0.35">
      <c r="A7950" s="528" t="s">
        <v>23103</v>
      </c>
      <c r="B7950" s="528" t="s">
        <v>23104</v>
      </c>
      <c r="C7950" s="528" t="s">
        <v>23105</v>
      </c>
      <c r="D7950" s="528" t="s">
        <v>264</v>
      </c>
      <c r="E7950" s="528" t="s">
        <v>277</v>
      </c>
      <c r="F7950" s="528"/>
      <c r="G7950" s="528" t="s">
        <v>205</v>
      </c>
    </row>
    <row r="7951" spans="1:7" x14ac:dyDescent="0.35">
      <c r="A7951" s="528" t="s">
        <v>23106</v>
      </c>
      <c r="B7951" s="528" t="s">
        <v>23107</v>
      </c>
      <c r="C7951" s="528" t="s">
        <v>23108</v>
      </c>
      <c r="D7951" s="528" t="s">
        <v>264</v>
      </c>
      <c r="E7951" s="528" t="s">
        <v>225</v>
      </c>
      <c r="F7951" s="528"/>
      <c r="G7951" s="528" t="s">
        <v>205</v>
      </c>
    </row>
    <row r="7952" spans="1:7" x14ac:dyDescent="0.35">
      <c r="A7952" s="528" t="s">
        <v>23109</v>
      </c>
      <c r="B7952" s="528" t="s">
        <v>23110</v>
      </c>
      <c r="C7952" s="528" t="s">
        <v>23111</v>
      </c>
      <c r="D7952" s="528" t="s">
        <v>264</v>
      </c>
      <c r="E7952" s="528" t="s">
        <v>225</v>
      </c>
      <c r="F7952" s="528"/>
      <c r="G7952" s="528" t="s">
        <v>205</v>
      </c>
    </row>
    <row r="7953" spans="1:7" x14ac:dyDescent="0.35">
      <c r="A7953" s="528" t="s">
        <v>23112</v>
      </c>
      <c r="B7953" s="528" t="s">
        <v>23113</v>
      </c>
      <c r="C7953" s="528" t="s">
        <v>23114</v>
      </c>
      <c r="D7953" s="528" t="s">
        <v>264</v>
      </c>
      <c r="E7953" s="528"/>
      <c r="F7953" s="528"/>
      <c r="G7953" s="528" t="s">
        <v>205</v>
      </c>
    </row>
    <row r="7954" spans="1:7" x14ac:dyDescent="0.35">
      <c r="A7954" s="528" t="s">
        <v>23115</v>
      </c>
      <c r="B7954" s="528" t="s">
        <v>23116</v>
      </c>
      <c r="C7954" s="528" t="s">
        <v>23117</v>
      </c>
      <c r="D7954" s="528" t="s">
        <v>264</v>
      </c>
      <c r="E7954" s="528"/>
      <c r="F7954" s="528"/>
      <c r="G7954" s="528" t="s">
        <v>205</v>
      </c>
    </row>
    <row r="7955" spans="1:7" x14ac:dyDescent="0.35">
      <c r="A7955" s="528" t="s">
        <v>23118</v>
      </c>
      <c r="B7955" s="528" t="s">
        <v>23119</v>
      </c>
      <c r="C7955" s="528" t="s">
        <v>23120</v>
      </c>
      <c r="D7955" s="528" t="s">
        <v>264</v>
      </c>
      <c r="E7955" s="528" t="s">
        <v>225</v>
      </c>
      <c r="F7955" s="528"/>
      <c r="G7955" s="528" t="s">
        <v>205</v>
      </c>
    </row>
    <row r="7956" spans="1:7" x14ac:dyDescent="0.35">
      <c r="A7956" s="528" t="s">
        <v>23121</v>
      </c>
      <c r="B7956" s="528" t="s">
        <v>23122</v>
      </c>
      <c r="C7956" s="528" t="s">
        <v>23123</v>
      </c>
      <c r="D7956" s="528" t="s">
        <v>264</v>
      </c>
      <c r="E7956" s="528" t="s">
        <v>277</v>
      </c>
      <c r="F7956" s="528"/>
      <c r="G7956" s="528" t="s">
        <v>205</v>
      </c>
    </row>
    <row r="7957" spans="1:7" x14ac:dyDescent="0.35">
      <c r="A7957" s="528" t="s">
        <v>23124</v>
      </c>
      <c r="B7957" s="528" t="s">
        <v>23125</v>
      </c>
      <c r="C7957" s="528" t="s">
        <v>23126</v>
      </c>
      <c r="D7957" s="528" t="s">
        <v>251</v>
      </c>
      <c r="E7957" s="528"/>
      <c r="F7957" s="528"/>
      <c r="G7957" s="528" t="s">
        <v>208</v>
      </c>
    </row>
    <row r="7958" spans="1:7" x14ac:dyDescent="0.35">
      <c r="A7958" s="528" t="s">
        <v>23127</v>
      </c>
      <c r="B7958" s="528" t="s">
        <v>23128</v>
      </c>
      <c r="C7958" s="528" t="s">
        <v>23129</v>
      </c>
      <c r="D7958" s="528" t="s">
        <v>264</v>
      </c>
      <c r="E7958" s="528"/>
      <c r="F7958" s="528"/>
      <c r="G7958" s="528" t="s">
        <v>212</v>
      </c>
    </row>
    <row r="7959" spans="1:7" x14ac:dyDescent="0.35">
      <c r="A7959" s="528" t="s">
        <v>23130</v>
      </c>
      <c r="B7959" s="528" t="s">
        <v>23131</v>
      </c>
      <c r="C7959" s="528" t="s">
        <v>23132</v>
      </c>
      <c r="D7959" s="528" t="s">
        <v>277</v>
      </c>
      <c r="E7959" s="528"/>
      <c r="F7959" s="528"/>
      <c r="G7959" s="528" t="s">
        <v>208</v>
      </c>
    </row>
    <row r="7960" spans="1:7" x14ac:dyDescent="0.35">
      <c r="A7960" s="528" t="s">
        <v>23133</v>
      </c>
      <c r="B7960" s="528" t="s">
        <v>23134</v>
      </c>
      <c r="C7960" s="528" t="s">
        <v>23135</v>
      </c>
      <c r="D7960" s="528" t="s">
        <v>251</v>
      </c>
      <c r="E7960" s="528"/>
      <c r="F7960" s="528"/>
      <c r="G7960" s="528" t="s">
        <v>208</v>
      </c>
    </row>
    <row r="7961" spans="1:7" x14ac:dyDescent="0.35">
      <c r="A7961" s="528" t="s">
        <v>23136</v>
      </c>
      <c r="B7961" s="528" t="s">
        <v>23137</v>
      </c>
      <c r="C7961" s="528" t="s">
        <v>23138</v>
      </c>
      <c r="D7961" s="528" t="s">
        <v>251</v>
      </c>
      <c r="E7961" s="528"/>
      <c r="F7961" s="528"/>
      <c r="G7961" s="528" t="s">
        <v>208</v>
      </c>
    </row>
    <row r="7962" spans="1:7" x14ac:dyDescent="0.35">
      <c r="A7962" s="528" t="s">
        <v>23139</v>
      </c>
      <c r="B7962" s="528" t="s">
        <v>23140</v>
      </c>
      <c r="C7962" s="528" t="s">
        <v>23141</v>
      </c>
      <c r="D7962" s="528" t="s">
        <v>251</v>
      </c>
      <c r="E7962" s="528"/>
      <c r="F7962" s="528"/>
      <c r="G7962" s="528" t="s">
        <v>208</v>
      </c>
    </row>
    <row r="7963" spans="1:7" x14ac:dyDescent="0.35">
      <c r="A7963" s="528" t="s">
        <v>23142</v>
      </c>
      <c r="B7963" s="528" t="s">
        <v>23143</v>
      </c>
      <c r="C7963" s="528" t="s">
        <v>23144</v>
      </c>
      <c r="D7963" s="528" t="s">
        <v>251</v>
      </c>
      <c r="E7963" s="528"/>
      <c r="F7963" s="528"/>
      <c r="G7963" s="528" t="s">
        <v>208</v>
      </c>
    </row>
    <row r="7964" spans="1:7" x14ac:dyDescent="0.35">
      <c r="A7964" s="528" t="s">
        <v>23145</v>
      </c>
      <c r="B7964" s="528" t="s">
        <v>23146</v>
      </c>
      <c r="C7964" s="528" t="s">
        <v>23147</v>
      </c>
      <c r="D7964" s="528" t="s">
        <v>264</v>
      </c>
      <c r="E7964" s="528"/>
      <c r="F7964" s="528"/>
      <c r="G7964" s="528" t="s">
        <v>205</v>
      </c>
    </row>
    <row r="7965" spans="1:7" x14ac:dyDescent="0.35">
      <c r="A7965" s="528" t="s">
        <v>23148</v>
      </c>
      <c r="B7965" s="528" t="s">
        <v>23149</v>
      </c>
      <c r="C7965" s="528" t="s">
        <v>23150</v>
      </c>
      <c r="D7965" s="528" t="s">
        <v>264</v>
      </c>
      <c r="E7965" s="528"/>
      <c r="F7965" s="528"/>
      <c r="G7965" s="528" t="s">
        <v>208</v>
      </c>
    </row>
    <row r="7966" spans="1:7" x14ac:dyDescent="0.35">
      <c r="A7966" s="528" t="s">
        <v>23151</v>
      </c>
      <c r="B7966" s="528" t="s">
        <v>23152</v>
      </c>
      <c r="C7966" s="528" t="s">
        <v>23153</v>
      </c>
      <c r="D7966" s="528" t="s">
        <v>264</v>
      </c>
      <c r="E7966" s="528"/>
      <c r="F7966" s="528"/>
      <c r="G7966" s="528" t="s">
        <v>208</v>
      </c>
    </row>
    <row r="7967" spans="1:7" x14ac:dyDescent="0.35">
      <c r="A7967" s="528" t="s">
        <v>23154</v>
      </c>
      <c r="B7967" s="528" t="s">
        <v>23155</v>
      </c>
      <c r="C7967" s="528" t="s">
        <v>23156</v>
      </c>
      <c r="D7967" s="528" t="s">
        <v>264</v>
      </c>
      <c r="E7967" s="528"/>
      <c r="F7967" s="528"/>
      <c r="G7967" s="528" t="s">
        <v>208</v>
      </c>
    </row>
    <row r="7968" spans="1:7" x14ac:dyDescent="0.35">
      <c r="A7968" s="528" t="s">
        <v>23157</v>
      </c>
      <c r="B7968" s="528" t="s">
        <v>23158</v>
      </c>
      <c r="C7968" s="528" t="s">
        <v>23159</v>
      </c>
      <c r="D7968" s="528" t="s">
        <v>264</v>
      </c>
      <c r="E7968" s="528" t="s">
        <v>277</v>
      </c>
      <c r="F7968" s="528"/>
      <c r="G7968" s="528" t="s">
        <v>208</v>
      </c>
    </row>
    <row r="7969" spans="1:7" x14ac:dyDescent="0.35">
      <c r="A7969" s="528" t="s">
        <v>23160</v>
      </c>
      <c r="B7969" s="528" t="s">
        <v>23161</v>
      </c>
      <c r="C7969" s="528" t="s">
        <v>23162</v>
      </c>
      <c r="D7969" s="528" t="s">
        <v>264</v>
      </c>
      <c r="E7969" s="528" t="s">
        <v>277</v>
      </c>
      <c r="F7969" s="528"/>
      <c r="G7969" s="528" t="s">
        <v>208</v>
      </c>
    </row>
    <row r="7970" spans="1:7" x14ac:dyDescent="0.35">
      <c r="A7970" s="528" t="s">
        <v>23163</v>
      </c>
      <c r="B7970" s="528" t="s">
        <v>23164</v>
      </c>
      <c r="C7970" s="528" t="s">
        <v>23165</v>
      </c>
      <c r="D7970" s="528" t="s">
        <v>264</v>
      </c>
      <c r="E7970" s="528"/>
      <c r="F7970" s="528"/>
      <c r="G7970" s="528" t="s">
        <v>208</v>
      </c>
    </row>
    <row r="7971" spans="1:7" x14ac:dyDescent="0.35">
      <c r="A7971" s="528" t="s">
        <v>23166</v>
      </c>
      <c r="B7971" s="528" t="s">
        <v>23167</v>
      </c>
      <c r="C7971" s="528" t="s">
        <v>23168</v>
      </c>
      <c r="D7971" s="528" t="s">
        <v>264</v>
      </c>
      <c r="E7971" s="528"/>
      <c r="F7971" s="528"/>
      <c r="G7971" s="528" t="s">
        <v>205</v>
      </c>
    </row>
    <row r="7972" spans="1:7" x14ac:dyDescent="0.35">
      <c r="A7972" s="528" t="s">
        <v>23169</v>
      </c>
      <c r="B7972" s="528" t="s">
        <v>23170</v>
      </c>
      <c r="C7972" s="528" t="s">
        <v>23171</v>
      </c>
      <c r="D7972" s="528" t="s">
        <v>264</v>
      </c>
      <c r="E7972" s="528"/>
      <c r="F7972" s="528"/>
      <c r="G7972" s="528" t="s">
        <v>205</v>
      </c>
    </row>
    <row r="7973" spans="1:7" x14ac:dyDescent="0.35">
      <c r="A7973" s="528" t="s">
        <v>23172</v>
      </c>
      <c r="B7973" s="528" t="s">
        <v>23173</v>
      </c>
      <c r="C7973" s="528" t="s">
        <v>23174</v>
      </c>
      <c r="D7973" s="528" t="s">
        <v>225</v>
      </c>
      <c r="E7973" s="528"/>
      <c r="F7973" s="528"/>
      <c r="G7973" s="528" t="s">
        <v>208</v>
      </c>
    </row>
    <row r="7974" spans="1:7" x14ac:dyDescent="0.35">
      <c r="A7974" s="528" t="s">
        <v>23175</v>
      </c>
      <c r="B7974" s="528" t="s">
        <v>23176</v>
      </c>
      <c r="C7974" s="528" t="s">
        <v>23177</v>
      </c>
      <c r="D7974" s="528" t="s">
        <v>264</v>
      </c>
      <c r="E7974" s="528"/>
      <c r="F7974" s="528"/>
      <c r="G7974" s="528" t="s">
        <v>205</v>
      </c>
    </row>
    <row r="7975" spans="1:7" x14ac:dyDescent="0.35">
      <c r="A7975" s="528" t="s">
        <v>23178</v>
      </c>
      <c r="B7975" s="528" t="s">
        <v>23179</v>
      </c>
      <c r="C7975" s="528" t="s">
        <v>23180</v>
      </c>
      <c r="D7975" s="528" t="s">
        <v>277</v>
      </c>
      <c r="E7975" s="528"/>
      <c r="F7975" s="528"/>
      <c r="G7975" s="528" t="s">
        <v>212</v>
      </c>
    </row>
    <row r="7976" spans="1:7" x14ac:dyDescent="0.35">
      <c r="A7976" s="528" t="s">
        <v>23181</v>
      </c>
      <c r="B7976" s="528" t="s">
        <v>23182</v>
      </c>
      <c r="C7976" s="528" t="s">
        <v>23183</v>
      </c>
      <c r="D7976" s="528" t="s">
        <v>238</v>
      </c>
      <c r="E7976" s="528"/>
      <c r="F7976" s="528"/>
      <c r="G7976" s="528" t="s">
        <v>205</v>
      </c>
    </row>
    <row r="7977" spans="1:7" x14ac:dyDescent="0.35">
      <c r="A7977" s="528" t="s">
        <v>23184</v>
      </c>
      <c r="B7977" s="528" t="s">
        <v>23185</v>
      </c>
      <c r="C7977" s="528" t="s">
        <v>23186</v>
      </c>
      <c r="D7977" s="528" t="s">
        <v>225</v>
      </c>
      <c r="E7977" s="528"/>
      <c r="F7977" s="528"/>
      <c r="G7977" s="528" t="s">
        <v>205</v>
      </c>
    </row>
    <row r="7978" spans="1:7" x14ac:dyDescent="0.35">
      <c r="A7978" s="528" t="s">
        <v>23187</v>
      </c>
      <c r="B7978" s="528" t="s">
        <v>23188</v>
      </c>
      <c r="C7978" s="528" t="s">
        <v>23189</v>
      </c>
      <c r="D7978" s="528" t="s">
        <v>225</v>
      </c>
      <c r="E7978" s="528"/>
      <c r="F7978" s="528"/>
      <c r="G7978" s="528" t="s">
        <v>208</v>
      </c>
    </row>
    <row r="7979" spans="1:7" x14ac:dyDescent="0.35">
      <c r="A7979" s="528" t="s">
        <v>23190</v>
      </c>
      <c r="B7979" s="528" t="s">
        <v>23191</v>
      </c>
      <c r="C7979" s="528" t="s">
        <v>23192</v>
      </c>
      <c r="D7979" s="528" t="s">
        <v>225</v>
      </c>
      <c r="E7979" s="528"/>
      <c r="F7979" s="528"/>
      <c r="G7979" s="528" t="s">
        <v>208</v>
      </c>
    </row>
    <row r="7980" spans="1:7" x14ac:dyDescent="0.35">
      <c r="A7980" s="528" t="s">
        <v>23193</v>
      </c>
      <c r="B7980" s="528" t="s">
        <v>23194</v>
      </c>
      <c r="C7980" s="528" t="s">
        <v>23195</v>
      </c>
      <c r="D7980" s="528" t="s">
        <v>225</v>
      </c>
      <c r="E7980" s="528"/>
      <c r="F7980" s="528"/>
      <c r="G7980" s="528" t="s">
        <v>205</v>
      </c>
    </row>
    <row r="7981" spans="1:7" x14ac:dyDescent="0.35">
      <c r="A7981" s="528" t="s">
        <v>23196</v>
      </c>
      <c r="B7981" s="528" t="s">
        <v>23197</v>
      </c>
      <c r="C7981" s="528" t="s">
        <v>23198</v>
      </c>
      <c r="D7981" s="528" t="s">
        <v>225</v>
      </c>
      <c r="E7981" s="528"/>
      <c r="F7981" s="528"/>
      <c r="G7981" s="528" t="s">
        <v>205</v>
      </c>
    </row>
    <row r="7982" spans="1:7" x14ac:dyDescent="0.35">
      <c r="A7982" s="528" t="s">
        <v>23199</v>
      </c>
      <c r="B7982" s="528" t="s">
        <v>23200</v>
      </c>
      <c r="C7982" s="528" t="s">
        <v>23201</v>
      </c>
      <c r="D7982" s="528" t="s">
        <v>264</v>
      </c>
      <c r="E7982" s="528"/>
      <c r="F7982" s="528"/>
      <c r="G7982" s="528" t="s">
        <v>208</v>
      </c>
    </row>
    <row r="7983" spans="1:7" x14ac:dyDescent="0.35">
      <c r="A7983" s="528" t="s">
        <v>23202</v>
      </c>
      <c r="B7983" s="528" t="s">
        <v>23203</v>
      </c>
      <c r="C7983" s="528" t="s">
        <v>23204</v>
      </c>
      <c r="D7983" s="528" t="s">
        <v>264</v>
      </c>
      <c r="E7983" s="528"/>
      <c r="F7983" s="528"/>
      <c r="G7983" s="528" t="s">
        <v>208</v>
      </c>
    </row>
    <row r="7984" spans="1:7" x14ac:dyDescent="0.35">
      <c r="A7984" s="528" t="s">
        <v>23205</v>
      </c>
      <c r="B7984" s="528" t="s">
        <v>23206</v>
      </c>
      <c r="C7984" s="528" t="s">
        <v>23207</v>
      </c>
      <c r="D7984" s="528" t="s">
        <v>264</v>
      </c>
      <c r="E7984" s="528" t="s">
        <v>277</v>
      </c>
      <c r="F7984" s="528"/>
      <c r="G7984" s="528" t="s">
        <v>208</v>
      </c>
    </row>
    <row r="7985" spans="1:7" x14ac:dyDescent="0.35">
      <c r="A7985" s="528" t="s">
        <v>23208</v>
      </c>
      <c r="B7985" s="528" t="s">
        <v>23209</v>
      </c>
      <c r="C7985" s="528" t="s">
        <v>23210</v>
      </c>
      <c r="D7985" s="528" t="s">
        <v>264</v>
      </c>
      <c r="E7985" s="528"/>
      <c r="F7985" s="528"/>
      <c r="G7985" s="528" t="s">
        <v>208</v>
      </c>
    </row>
    <row r="7986" spans="1:7" x14ac:dyDescent="0.35">
      <c r="A7986" s="528" t="s">
        <v>23211</v>
      </c>
      <c r="B7986" s="528" t="s">
        <v>23212</v>
      </c>
      <c r="C7986" s="528" t="s">
        <v>23213</v>
      </c>
      <c r="D7986" s="528" t="s">
        <v>238</v>
      </c>
      <c r="E7986" s="528"/>
      <c r="F7986" s="528"/>
      <c r="G7986" s="528" t="s">
        <v>208</v>
      </c>
    </row>
    <row r="7987" spans="1:7" x14ac:dyDescent="0.35">
      <c r="A7987" s="528" t="s">
        <v>23214</v>
      </c>
      <c r="B7987" s="528" t="s">
        <v>23215</v>
      </c>
      <c r="C7987" s="528" t="s">
        <v>23216</v>
      </c>
      <c r="D7987" s="528" t="s">
        <v>238</v>
      </c>
      <c r="E7987" s="528"/>
      <c r="F7987" s="528"/>
      <c r="G7987" s="528" t="s">
        <v>208</v>
      </c>
    </row>
    <row r="7988" spans="1:7" x14ac:dyDescent="0.35">
      <c r="A7988" s="528" t="s">
        <v>23217</v>
      </c>
      <c r="B7988" s="528" t="s">
        <v>23218</v>
      </c>
      <c r="C7988" s="528" t="s">
        <v>23219</v>
      </c>
      <c r="D7988" s="528" t="s">
        <v>277</v>
      </c>
      <c r="E7988" s="528"/>
      <c r="F7988" s="528"/>
      <c r="G7988" s="528" t="s">
        <v>205</v>
      </c>
    </row>
    <row r="7989" spans="1:7" x14ac:dyDescent="0.35">
      <c r="A7989" s="528" t="s">
        <v>23220</v>
      </c>
      <c r="B7989" s="528" t="s">
        <v>23221</v>
      </c>
      <c r="C7989" s="528" t="s">
        <v>23222</v>
      </c>
      <c r="D7989" s="528" t="s">
        <v>238</v>
      </c>
      <c r="E7989" s="528"/>
      <c r="F7989" s="528"/>
      <c r="G7989" s="528" t="s">
        <v>208</v>
      </c>
    </row>
    <row r="7990" spans="1:7" x14ac:dyDescent="0.35">
      <c r="A7990" s="528" t="s">
        <v>23223</v>
      </c>
      <c r="B7990" s="528" t="s">
        <v>23224</v>
      </c>
      <c r="C7990" s="528" t="s">
        <v>23225</v>
      </c>
      <c r="D7990" s="528" t="s">
        <v>277</v>
      </c>
      <c r="E7990" s="528"/>
      <c r="F7990" s="528"/>
      <c r="G7990" s="528" t="s">
        <v>205</v>
      </c>
    </row>
    <row r="7991" spans="1:7" x14ac:dyDescent="0.35">
      <c r="A7991" s="528" t="s">
        <v>23226</v>
      </c>
      <c r="B7991" s="528" t="s">
        <v>23227</v>
      </c>
      <c r="C7991" s="528" t="s">
        <v>23228</v>
      </c>
      <c r="D7991" s="528" t="s">
        <v>277</v>
      </c>
      <c r="E7991" s="528"/>
      <c r="F7991" s="528"/>
      <c r="G7991" s="528" t="s">
        <v>208</v>
      </c>
    </row>
    <row r="7992" spans="1:7" x14ac:dyDescent="0.35">
      <c r="A7992" s="528" t="s">
        <v>23229</v>
      </c>
      <c r="B7992" s="528" t="s">
        <v>23230</v>
      </c>
      <c r="C7992" s="528" t="s">
        <v>23231</v>
      </c>
      <c r="D7992" s="528" t="s">
        <v>225</v>
      </c>
      <c r="E7992" s="528"/>
      <c r="F7992" s="528"/>
      <c r="G7992" s="528" t="s">
        <v>208</v>
      </c>
    </row>
    <row r="7993" spans="1:7" x14ac:dyDescent="0.35">
      <c r="A7993" s="528" t="s">
        <v>23232</v>
      </c>
      <c r="B7993" s="528" t="s">
        <v>23233</v>
      </c>
      <c r="C7993" s="528" t="s">
        <v>23234</v>
      </c>
      <c r="D7993" s="528" t="s">
        <v>277</v>
      </c>
      <c r="E7993" s="528"/>
      <c r="F7993" s="528"/>
      <c r="G7993" s="528" t="s">
        <v>208</v>
      </c>
    </row>
    <row r="7994" spans="1:7" x14ac:dyDescent="0.35">
      <c r="A7994" s="528" t="s">
        <v>23235</v>
      </c>
      <c r="B7994" s="528" t="s">
        <v>23236</v>
      </c>
      <c r="C7994" s="528" t="s">
        <v>23237</v>
      </c>
      <c r="D7994" s="528" t="s">
        <v>264</v>
      </c>
      <c r="E7994" s="528"/>
      <c r="F7994" s="528"/>
      <c r="G7994" s="528" t="s">
        <v>208</v>
      </c>
    </row>
    <row r="7995" spans="1:7" x14ac:dyDescent="0.35">
      <c r="A7995" s="528" t="s">
        <v>23238</v>
      </c>
      <c r="B7995" s="528" t="s">
        <v>23239</v>
      </c>
      <c r="C7995" s="528" t="s">
        <v>23240</v>
      </c>
      <c r="D7995" s="528" t="s">
        <v>277</v>
      </c>
      <c r="E7995" s="528"/>
      <c r="F7995" s="528"/>
      <c r="G7995" s="528" t="s">
        <v>212</v>
      </c>
    </row>
    <row r="7996" spans="1:7" x14ac:dyDescent="0.35">
      <c r="A7996" s="528" t="s">
        <v>23241</v>
      </c>
      <c r="B7996" s="528" t="s">
        <v>23242</v>
      </c>
      <c r="C7996" s="528" t="s">
        <v>23243</v>
      </c>
      <c r="D7996" s="528" t="s">
        <v>264</v>
      </c>
      <c r="E7996" s="528"/>
      <c r="F7996" s="528"/>
      <c r="G7996" s="528" t="s">
        <v>205</v>
      </c>
    </row>
    <row r="7997" spans="1:7" x14ac:dyDescent="0.35">
      <c r="A7997" s="528" t="s">
        <v>23244</v>
      </c>
      <c r="B7997" s="528" t="s">
        <v>23245</v>
      </c>
      <c r="C7997" s="528" t="s">
        <v>23246</v>
      </c>
      <c r="D7997" s="528" t="s">
        <v>277</v>
      </c>
      <c r="E7997" s="528"/>
      <c r="F7997" s="528"/>
      <c r="G7997" s="528" t="s">
        <v>212</v>
      </c>
    </row>
    <row r="7998" spans="1:7" x14ac:dyDescent="0.35">
      <c r="A7998" s="528" t="s">
        <v>23247</v>
      </c>
      <c r="B7998" s="528" t="s">
        <v>23248</v>
      </c>
      <c r="C7998" s="528" t="s">
        <v>23249</v>
      </c>
      <c r="D7998" s="528" t="s">
        <v>238</v>
      </c>
      <c r="E7998" s="528"/>
      <c r="F7998" s="528"/>
      <c r="G7998" s="528" t="s">
        <v>208</v>
      </c>
    </row>
    <row r="7999" spans="1:7" x14ac:dyDescent="0.35">
      <c r="A7999" s="528" t="s">
        <v>23250</v>
      </c>
      <c r="B7999" s="528" t="s">
        <v>23251</v>
      </c>
      <c r="C7999" s="528" t="s">
        <v>23252</v>
      </c>
      <c r="D7999" s="528" t="s">
        <v>238</v>
      </c>
      <c r="E7999" s="528"/>
      <c r="F7999" s="528"/>
      <c r="G7999" s="528" t="s">
        <v>208</v>
      </c>
    </row>
    <row r="8000" spans="1:7" x14ac:dyDescent="0.35">
      <c r="A8000" s="528" t="s">
        <v>23253</v>
      </c>
      <c r="B8000" s="528" t="s">
        <v>23254</v>
      </c>
      <c r="C8000" s="528" t="s">
        <v>23255</v>
      </c>
      <c r="D8000" s="528" t="s">
        <v>238</v>
      </c>
      <c r="E8000" s="528"/>
      <c r="F8000" s="528"/>
      <c r="G8000" s="528" t="s">
        <v>208</v>
      </c>
    </row>
    <row r="8001" spans="1:7" x14ac:dyDescent="0.35">
      <c r="A8001" s="528" t="s">
        <v>23256</v>
      </c>
      <c r="B8001" s="528" t="s">
        <v>23257</v>
      </c>
      <c r="C8001" s="528" t="s">
        <v>23258</v>
      </c>
      <c r="D8001" s="528" t="s">
        <v>238</v>
      </c>
      <c r="E8001" s="528"/>
      <c r="F8001" s="528"/>
      <c r="G8001" s="528" t="s">
        <v>208</v>
      </c>
    </row>
    <row r="8002" spans="1:7" x14ac:dyDescent="0.35">
      <c r="A8002" s="528" t="s">
        <v>23259</v>
      </c>
      <c r="B8002" s="528" t="s">
        <v>23260</v>
      </c>
      <c r="C8002" s="528" t="s">
        <v>23261</v>
      </c>
      <c r="D8002" s="528" t="s">
        <v>277</v>
      </c>
      <c r="E8002" s="528"/>
      <c r="F8002" s="528"/>
      <c r="G8002" s="528" t="s">
        <v>208</v>
      </c>
    </row>
    <row r="8003" spans="1:7" x14ac:dyDescent="0.35">
      <c r="A8003" s="528" t="s">
        <v>23262</v>
      </c>
      <c r="B8003" s="528" t="s">
        <v>23263</v>
      </c>
      <c r="C8003" s="528" t="s">
        <v>23264</v>
      </c>
      <c r="D8003" s="528" t="s">
        <v>225</v>
      </c>
      <c r="E8003" s="528" t="s">
        <v>264</v>
      </c>
      <c r="F8003" s="528"/>
      <c r="G8003" s="528" t="s">
        <v>212</v>
      </c>
    </row>
    <row r="8004" spans="1:7" x14ac:dyDescent="0.35">
      <c r="A8004" s="528" t="s">
        <v>23265</v>
      </c>
      <c r="B8004" s="528" t="s">
        <v>23266</v>
      </c>
      <c r="C8004" s="528" t="s">
        <v>23267</v>
      </c>
      <c r="D8004" s="528" t="s">
        <v>225</v>
      </c>
      <c r="E8004" s="528" t="s">
        <v>264</v>
      </c>
      <c r="F8004" s="528"/>
      <c r="G8004" s="528" t="s">
        <v>212</v>
      </c>
    </row>
    <row r="8005" spans="1:7" x14ac:dyDescent="0.35">
      <c r="A8005" s="528" t="s">
        <v>23268</v>
      </c>
      <c r="B8005" s="528" t="s">
        <v>23269</v>
      </c>
      <c r="C8005" s="528" t="s">
        <v>23270</v>
      </c>
      <c r="D8005" s="528" t="s">
        <v>225</v>
      </c>
      <c r="E8005" s="528" t="s">
        <v>264</v>
      </c>
      <c r="F8005" s="528"/>
      <c r="G8005" s="528" t="s">
        <v>212</v>
      </c>
    </row>
    <row r="8006" spans="1:7" x14ac:dyDescent="0.35">
      <c r="A8006" s="528" t="s">
        <v>23271</v>
      </c>
      <c r="B8006" s="528" t="s">
        <v>23272</v>
      </c>
      <c r="C8006" s="528" t="s">
        <v>23273</v>
      </c>
      <c r="D8006" s="528" t="s">
        <v>264</v>
      </c>
      <c r="E8006" s="528"/>
      <c r="F8006" s="528"/>
      <c r="G8006" s="528" t="s">
        <v>212</v>
      </c>
    </row>
    <row r="8007" spans="1:7" x14ac:dyDescent="0.35">
      <c r="A8007" s="528" t="s">
        <v>23274</v>
      </c>
      <c r="B8007" s="528" t="s">
        <v>23275</v>
      </c>
      <c r="C8007" s="528" t="s">
        <v>23276</v>
      </c>
      <c r="D8007" s="528" t="s">
        <v>264</v>
      </c>
      <c r="E8007" s="528"/>
      <c r="F8007" s="528"/>
      <c r="G8007" s="528" t="s">
        <v>208</v>
      </c>
    </row>
    <row r="8008" spans="1:7" x14ac:dyDescent="0.35">
      <c r="A8008" s="528" t="s">
        <v>23277</v>
      </c>
      <c r="B8008" s="528" t="s">
        <v>23278</v>
      </c>
      <c r="C8008" s="528" t="s">
        <v>23279</v>
      </c>
      <c r="D8008" s="528" t="s">
        <v>277</v>
      </c>
      <c r="E8008" s="528"/>
      <c r="F8008" s="528"/>
      <c r="G8008" s="528" t="s">
        <v>208</v>
      </c>
    </row>
    <row r="8009" spans="1:7" x14ac:dyDescent="0.35">
      <c r="A8009" s="528" t="s">
        <v>23280</v>
      </c>
      <c r="B8009" s="528" t="s">
        <v>23281</v>
      </c>
      <c r="C8009" s="528" t="s">
        <v>23282</v>
      </c>
      <c r="D8009" s="528" t="s">
        <v>251</v>
      </c>
      <c r="E8009" s="528"/>
      <c r="F8009" s="528"/>
      <c r="G8009" s="528" t="s">
        <v>205</v>
      </c>
    </row>
    <row r="8010" spans="1:7" x14ac:dyDescent="0.35">
      <c r="A8010" s="528" t="s">
        <v>23283</v>
      </c>
      <c r="B8010" s="528" t="s">
        <v>23284</v>
      </c>
      <c r="C8010" s="528" t="s">
        <v>23285</v>
      </c>
      <c r="D8010" s="528" t="s">
        <v>251</v>
      </c>
      <c r="E8010" s="528"/>
      <c r="F8010" s="528"/>
      <c r="G8010" s="528" t="s">
        <v>208</v>
      </c>
    </row>
    <row r="8011" spans="1:7" x14ac:dyDescent="0.35">
      <c r="A8011" s="528" t="s">
        <v>23286</v>
      </c>
      <c r="B8011" s="528" t="s">
        <v>23287</v>
      </c>
      <c r="C8011" s="528" t="s">
        <v>23288</v>
      </c>
      <c r="D8011" s="528" t="s">
        <v>225</v>
      </c>
      <c r="E8011" s="528"/>
      <c r="F8011" s="528"/>
      <c r="G8011" s="528" t="s">
        <v>205</v>
      </c>
    </row>
    <row r="8012" spans="1:7" x14ac:dyDescent="0.35">
      <c r="A8012" s="528" t="s">
        <v>23289</v>
      </c>
      <c r="B8012" s="528" t="s">
        <v>23290</v>
      </c>
      <c r="C8012" s="528" t="s">
        <v>23291</v>
      </c>
      <c r="D8012" s="528" t="s">
        <v>225</v>
      </c>
      <c r="E8012" s="528"/>
      <c r="F8012" s="528"/>
      <c r="G8012" s="528" t="s">
        <v>208</v>
      </c>
    </row>
    <row r="8013" spans="1:7" x14ac:dyDescent="0.35">
      <c r="A8013" s="528" t="s">
        <v>23292</v>
      </c>
      <c r="B8013" s="528" t="s">
        <v>23293</v>
      </c>
      <c r="C8013" s="528" t="s">
        <v>23294</v>
      </c>
      <c r="D8013" s="528" t="s">
        <v>238</v>
      </c>
      <c r="E8013" s="528"/>
      <c r="F8013" s="528"/>
      <c r="G8013" s="528" t="s">
        <v>208</v>
      </c>
    </row>
    <row r="8014" spans="1:7" x14ac:dyDescent="0.35">
      <c r="A8014" s="528" t="s">
        <v>23295</v>
      </c>
      <c r="B8014" s="528" t="s">
        <v>23296</v>
      </c>
      <c r="C8014" s="528" t="s">
        <v>23297</v>
      </c>
      <c r="D8014" s="528" t="s">
        <v>238</v>
      </c>
      <c r="E8014" s="528"/>
      <c r="F8014" s="528"/>
      <c r="G8014" s="528" t="s">
        <v>212</v>
      </c>
    </row>
    <row r="8015" spans="1:7" x14ac:dyDescent="0.35">
      <c r="A8015" s="528" t="s">
        <v>23298</v>
      </c>
      <c r="B8015" s="528" t="s">
        <v>23299</v>
      </c>
      <c r="C8015" s="528" t="s">
        <v>23300</v>
      </c>
      <c r="D8015" s="528" t="s">
        <v>225</v>
      </c>
      <c r="E8015" s="528"/>
      <c r="F8015" s="528"/>
      <c r="G8015" s="528" t="s">
        <v>208</v>
      </c>
    </row>
    <row r="8016" spans="1:7" x14ac:dyDescent="0.35">
      <c r="A8016" s="528" t="s">
        <v>23301</v>
      </c>
      <c r="B8016" s="528" t="s">
        <v>23302</v>
      </c>
      <c r="C8016" s="528" t="s">
        <v>23303</v>
      </c>
      <c r="D8016" s="528" t="s">
        <v>264</v>
      </c>
      <c r="E8016" s="528" t="s">
        <v>277</v>
      </c>
      <c r="F8016" s="528"/>
      <c r="G8016" s="528" t="s">
        <v>205</v>
      </c>
    </row>
    <row r="8017" spans="1:7" x14ac:dyDescent="0.35">
      <c r="A8017" s="528" t="s">
        <v>23304</v>
      </c>
      <c r="B8017" s="528" t="s">
        <v>23305</v>
      </c>
      <c r="C8017" s="528" t="s">
        <v>23306</v>
      </c>
      <c r="D8017" s="528" t="s">
        <v>264</v>
      </c>
      <c r="E8017" s="528" t="s">
        <v>277</v>
      </c>
      <c r="F8017" s="528"/>
      <c r="G8017" s="528" t="s">
        <v>208</v>
      </c>
    </row>
    <row r="8018" spans="1:7" x14ac:dyDescent="0.35">
      <c r="A8018" s="528" t="s">
        <v>23307</v>
      </c>
      <c r="B8018" s="528" t="s">
        <v>23308</v>
      </c>
      <c r="C8018" s="528" t="s">
        <v>23309</v>
      </c>
      <c r="D8018" s="528" t="s">
        <v>264</v>
      </c>
      <c r="E8018" s="528"/>
      <c r="F8018" s="528"/>
      <c r="G8018" s="528" t="s">
        <v>212</v>
      </c>
    </row>
    <row r="8019" spans="1:7" x14ac:dyDescent="0.35">
      <c r="A8019" s="528" t="s">
        <v>23310</v>
      </c>
      <c r="B8019" s="528" t="s">
        <v>23311</v>
      </c>
      <c r="C8019" s="528" t="s">
        <v>23312</v>
      </c>
      <c r="D8019" s="528" t="s">
        <v>238</v>
      </c>
      <c r="E8019" s="528"/>
      <c r="F8019" s="528"/>
      <c r="G8019" s="528" t="s">
        <v>212</v>
      </c>
    </row>
    <row r="8020" spans="1:7" x14ac:dyDescent="0.35">
      <c r="A8020" s="528" t="s">
        <v>23313</v>
      </c>
      <c r="B8020" s="528" t="s">
        <v>23314</v>
      </c>
      <c r="C8020" s="528" t="s">
        <v>23315</v>
      </c>
      <c r="D8020" s="528" t="s">
        <v>238</v>
      </c>
      <c r="E8020" s="528"/>
      <c r="F8020" s="528"/>
      <c r="G8020" s="528" t="s">
        <v>208</v>
      </c>
    </row>
    <row r="8021" spans="1:7" x14ac:dyDescent="0.35">
      <c r="A8021" s="528" t="s">
        <v>23316</v>
      </c>
      <c r="B8021" s="528" t="s">
        <v>23317</v>
      </c>
      <c r="C8021" s="528" t="s">
        <v>23318</v>
      </c>
      <c r="D8021" s="528" t="s">
        <v>277</v>
      </c>
      <c r="E8021" s="528"/>
      <c r="F8021" s="528"/>
      <c r="G8021" s="528" t="s">
        <v>205</v>
      </c>
    </row>
    <row r="8022" spans="1:7" x14ac:dyDescent="0.35">
      <c r="A8022" s="528" t="s">
        <v>23319</v>
      </c>
      <c r="B8022" s="528" t="s">
        <v>23320</v>
      </c>
      <c r="C8022" s="528" t="s">
        <v>23321</v>
      </c>
      <c r="D8022" s="528" t="s">
        <v>277</v>
      </c>
      <c r="E8022" s="528"/>
      <c r="F8022" s="528"/>
      <c r="G8022" s="528" t="s">
        <v>208</v>
      </c>
    </row>
    <row r="8023" spans="1:7" x14ac:dyDescent="0.35">
      <c r="A8023" s="528" t="s">
        <v>23322</v>
      </c>
      <c r="B8023" s="528" t="s">
        <v>23323</v>
      </c>
      <c r="C8023" s="528" t="s">
        <v>23324</v>
      </c>
      <c r="D8023" s="528" t="s">
        <v>264</v>
      </c>
      <c r="E8023" s="528"/>
      <c r="F8023" s="528"/>
      <c r="G8023" s="528" t="s">
        <v>212</v>
      </c>
    </row>
    <row r="8024" spans="1:7" x14ac:dyDescent="0.35">
      <c r="A8024" s="528" t="s">
        <v>23325</v>
      </c>
      <c r="B8024" s="528" t="s">
        <v>23326</v>
      </c>
      <c r="C8024" s="528" t="s">
        <v>23327</v>
      </c>
      <c r="D8024" s="528" t="s">
        <v>277</v>
      </c>
      <c r="E8024" s="528"/>
      <c r="F8024" s="528"/>
      <c r="G8024" s="528" t="s">
        <v>214</v>
      </c>
    </row>
    <row r="8025" spans="1:7" x14ac:dyDescent="0.35">
      <c r="A8025" s="528" t="s">
        <v>23328</v>
      </c>
      <c r="B8025" s="528" t="s">
        <v>23329</v>
      </c>
      <c r="C8025" s="528" t="s">
        <v>23330</v>
      </c>
      <c r="D8025" s="528" t="s">
        <v>225</v>
      </c>
      <c r="E8025" s="528"/>
      <c r="F8025" s="528"/>
      <c r="G8025" s="528" t="s">
        <v>208</v>
      </c>
    </row>
    <row r="8026" spans="1:7" x14ac:dyDescent="0.35">
      <c r="A8026" s="528" t="s">
        <v>23331</v>
      </c>
      <c r="B8026" s="528" t="s">
        <v>23332</v>
      </c>
      <c r="C8026" s="528" t="s">
        <v>23333</v>
      </c>
      <c r="D8026" s="528" t="s">
        <v>225</v>
      </c>
      <c r="E8026" s="528"/>
      <c r="F8026" s="528"/>
      <c r="G8026" s="528" t="s">
        <v>212</v>
      </c>
    </row>
    <row r="8027" spans="1:7" x14ac:dyDescent="0.35">
      <c r="A8027" s="528" t="s">
        <v>23334</v>
      </c>
      <c r="B8027" s="528" t="s">
        <v>23335</v>
      </c>
      <c r="C8027" s="528" t="s">
        <v>23336</v>
      </c>
      <c r="D8027" s="528" t="s">
        <v>225</v>
      </c>
      <c r="E8027" s="528"/>
      <c r="F8027" s="528"/>
      <c r="G8027" s="528" t="s">
        <v>208</v>
      </c>
    </row>
    <row r="8028" spans="1:7" x14ac:dyDescent="0.35">
      <c r="A8028" s="528" t="s">
        <v>23337</v>
      </c>
      <c r="B8028" s="528" t="s">
        <v>23338</v>
      </c>
      <c r="C8028" s="528" t="s">
        <v>23339</v>
      </c>
      <c r="D8028" s="528" t="s">
        <v>225</v>
      </c>
      <c r="E8028" s="528"/>
      <c r="F8028" s="528"/>
      <c r="G8028" s="528" t="s">
        <v>208</v>
      </c>
    </row>
    <row r="8029" spans="1:7" x14ac:dyDescent="0.35">
      <c r="A8029" s="528" t="s">
        <v>23340</v>
      </c>
      <c r="B8029" s="528" t="s">
        <v>23341</v>
      </c>
      <c r="C8029" s="528" t="s">
        <v>23342</v>
      </c>
      <c r="D8029" s="528" t="s">
        <v>225</v>
      </c>
      <c r="E8029" s="528"/>
      <c r="F8029" s="528"/>
      <c r="G8029" s="528" t="s">
        <v>208</v>
      </c>
    </row>
    <row r="8030" spans="1:7" x14ac:dyDescent="0.35">
      <c r="A8030" s="528" t="s">
        <v>23343</v>
      </c>
      <c r="B8030" s="528" t="s">
        <v>23344</v>
      </c>
      <c r="C8030" s="528" t="s">
        <v>23345</v>
      </c>
      <c r="D8030" s="528" t="s">
        <v>251</v>
      </c>
      <c r="E8030" s="528"/>
      <c r="F8030" s="528"/>
      <c r="G8030" s="528" t="s">
        <v>205</v>
      </c>
    </row>
    <row r="8031" spans="1:7" x14ac:dyDescent="0.35">
      <c r="A8031" s="528" t="s">
        <v>23346</v>
      </c>
      <c r="B8031" s="528" t="s">
        <v>23347</v>
      </c>
      <c r="C8031" s="528" t="s">
        <v>23348</v>
      </c>
      <c r="D8031" s="528" t="s">
        <v>251</v>
      </c>
      <c r="E8031" s="528"/>
      <c r="F8031" s="528"/>
      <c r="G8031" s="528" t="s">
        <v>208</v>
      </c>
    </row>
    <row r="8032" spans="1:7" x14ac:dyDescent="0.35">
      <c r="A8032" s="528" t="s">
        <v>23349</v>
      </c>
      <c r="B8032" s="528" t="s">
        <v>23350</v>
      </c>
      <c r="C8032" s="528" t="s">
        <v>23351</v>
      </c>
      <c r="D8032" s="528" t="s">
        <v>264</v>
      </c>
      <c r="E8032" s="528"/>
      <c r="F8032" s="528"/>
      <c r="G8032" s="528" t="s">
        <v>208</v>
      </c>
    </row>
    <row r="8033" spans="1:7" x14ac:dyDescent="0.35">
      <c r="A8033" s="528" t="s">
        <v>23352</v>
      </c>
      <c r="B8033" s="528" t="s">
        <v>23353</v>
      </c>
      <c r="C8033" s="528" t="s">
        <v>23354</v>
      </c>
      <c r="D8033" s="528" t="s">
        <v>264</v>
      </c>
      <c r="E8033" s="528"/>
      <c r="F8033" s="528"/>
      <c r="G8033" s="528" t="s">
        <v>208</v>
      </c>
    </row>
    <row r="8034" spans="1:7" x14ac:dyDescent="0.35">
      <c r="A8034" s="528" t="s">
        <v>23355</v>
      </c>
      <c r="B8034" s="528" t="s">
        <v>23356</v>
      </c>
      <c r="C8034" s="528" t="s">
        <v>23357</v>
      </c>
      <c r="D8034" s="528" t="s">
        <v>277</v>
      </c>
      <c r="E8034" s="528"/>
      <c r="F8034" s="528"/>
      <c r="G8034" s="528" t="s">
        <v>212</v>
      </c>
    </row>
    <row r="8035" spans="1:7" x14ac:dyDescent="0.35">
      <c r="A8035" s="528" t="s">
        <v>23358</v>
      </c>
      <c r="B8035" s="528" t="s">
        <v>23359</v>
      </c>
      <c r="C8035" s="528" t="s">
        <v>23360</v>
      </c>
      <c r="D8035" s="528" t="s">
        <v>225</v>
      </c>
      <c r="E8035" s="528"/>
      <c r="F8035" s="528"/>
      <c r="G8035" s="528" t="s">
        <v>208</v>
      </c>
    </row>
    <row r="8036" spans="1:7" x14ac:dyDescent="0.35">
      <c r="A8036" s="528" t="s">
        <v>23361</v>
      </c>
      <c r="B8036" s="528" t="s">
        <v>23362</v>
      </c>
      <c r="C8036" s="528" t="s">
        <v>23363</v>
      </c>
      <c r="D8036" s="528" t="s">
        <v>225</v>
      </c>
      <c r="E8036" s="528"/>
      <c r="F8036" s="528"/>
      <c r="G8036" s="528" t="s">
        <v>208</v>
      </c>
    </row>
    <row r="8037" spans="1:7" x14ac:dyDescent="0.35">
      <c r="A8037" s="528" t="s">
        <v>23364</v>
      </c>
      <c r="B8037" s="528" t="s">
        <v>23365</v>
      </c>
      <c r="C8037" s="528" t="s">
        <v>23366</v>
      </c>
      <c r="D8037" s="528" t="s">
        <v>264</v>
      </c>
      <c r="E8037" s="528"/>
      <c r="F8037" s="528"/>
      <c r="G8037" s="528" t="s">
        <v>208</v>
      </c>
    </row>
    <row r="8038" spans="1:7" x14ac:dyDescent="0.35">
      <c r="A8038" s="528" t="s">
        <v>23367</v>
      </c>
      <c r="B8038" s="528" t="s">
        <v>23368</v>
      </c>
      <c r="C8038" s="528" t="s">
        <v>23369</v>
      </c>
      <c r="D8038" s="528" t="s">
        <v>264</v>
      </c>
      <c r="E8038" s="528"/>
      <c r="F8038" s="528"/>
      <c r="G8038" s="528" t="s">
        <v>208</v>
      </c>
    </row>
    <row r="8039" spans="1:7" x14ac:dyDescent="0.35">
      <c r="A8039" s="528" t="s">
        <v>23370</v>
      </c>
      <c r="B8039" s="528" t="s">
        <v>23371</v>
      </c>
      <c r="C8039" s="528" t="s">
        <v>23372</v>
      </c>
      <c r="D8039" s="528" t="s">
        <v>264</v>
      </c>
      <c r="E8039" s="528"/>
      <c r="F8039" s="528"/>
      <c r="G8039" s="528" t="s">
        <v>205</v>
      </c>
    </row>
    <row r="8040" spans="1:7" x14ac:dyDescent="0.35">
      <c r="A8040" s="528" t="s">
        <v>23373</v>
      </c>
      <c r="B8040" s="528" t="s">
        <v>23374</v>
      </c>
      <c r="C8040" s="528" t="s">
        <v>23375</v>
      </c>
      <c r="D8040" s="528" t="s">
        <v>264</v>
      </c>
      <c r="E8040" s="528"/>
      <c r="F8040" s="528"/>
      <c r="G8040" s="528" t="s">
        <v>210</v>
      </c>
    </row>
    <row r="8041" spans="1:7" x14ac:dyDescent="0.35">
      <c r="A8041" s="528" t="s">
        <v>23376</v>
      </c>
      <c r="B8041" s="528" t="s">
        <v>23377</v>
      </c>
      <c r="C8041" s="528" t="s">
        <v>23378</v>
      </c>
      <c r="D8041" s="528" t="s">
        <v>277</v>
      </c>
      <c r="E8041" s="528"/>
      <c r="F8041" s="528"/>
      <c r="G8041" s="528" t="s">
        <v>205</v>
      </c>
    </row>
    <row r="8042" spans="1:7" x14ac:dyDescent="0.35">
      <c r="A8042" s="528" t="s">
        <v>23379</v>
      </c>
      <c r="B8042" s="528" t="s">
        <v>23380</v>
      </c>
      <c r="C8042" s="528" t="s">
        <v>23381</v>
      </c>
      <c r="D8042" s="528" t="s">
        <v>264</v>
      </c>
      <c r="E8042" s="528"/>
      <c r="F8042" s="528"/>
      <c r="G8042" s="528" t="s">
        <v>208</v>
      </c>
    </row>
    <row r="8043" spans="1:7" x14ac:dyDescent="0.35">
      <c r="A8043" s="528" t="s">
        <v>23382</v>
      </c>
      <c r="B8043" s="528" t="s">
        <v>23383</v>
      </c>
      <c r="C8043" s="528" t="s">
        <v>23384</v>
      </c>
      <c r="D8043" s="528" t="s">
        <v>277</v>
      </c>
      <c r="E8043" s="528"/>
      <c r="F8043" s="528"/>
      <c r="G8043" s="528" t="s">
        <v>208</v>
      </c>
    </row>
    <row r="8044" spans="1:7" x14ac:dyDescent="0.35">
      <c r="A8044" s="528" t="s">
        <v>23385</v>
      </c>
      <c r="B8044" s="528" t="s">
        <v>23386</v>
      </c>
      <c r="C8044" s="528" t="s">
        <v>23387</v>
      </c>
      <c r="D8044" s="528" t="s">
        <v>264</v>
      </c>
      <c r="E8044" s="528"/>
      <c r="F8044" s="528"/>
      <c r="G8044" s="528" t="s">
        <v>205</v>
      </c>
    </row>
    <row r="8045" spans="1:7" x14ac:dyDescent="0.35">
      <c r="A8045" s="528" t="s">
        <v>23388</v>
      </c>
      <c r="B8045" s="528" t="s">
        <v>23389</v>
      </c>
      <c r="C8045" s="528" t="s">
        <v>23390</v>
      </c>
      <c r="D8045" s="528" t="s">
        <v>225</v>
      </c>
      <c r="E8045" s="528"/>
      <c r="F8045" s="528"/>
      <c r="G8045" s="528" t="s">
        <v>208</v>
      </c>
    </row>
    <row r="8046" spans="1:7" x14ac:dyDescent="0.35">
      <c r="A8046" s="528" t="s">
        <v>23391</v>
      </c>
      <c r="B8046" s="528" t="s">
        <v>23392</v>
      </c>
      <c r="C8046" s="528" t="s">
        <v>23393</v>
      </c>
      <c r="D8046" s="528" t="s">
        <v>264</v>
      </c>
      <c r="E8046" s="528"/>
      <c r="F8046" s="528"/>
      <c r="G8046" s="528" t="s">
        <v>208</v>
      </c>
    </row>
    <row r="8047" spans="1:7" x14ac:dyDescent="0.35">
      <c r="A8047" s="528" t="s">
        <v>23394</v>
      </c>
      <c r="B8047" s="528" t="s">
        <v>23395</v>
      </c>
      <c r="C8047" s="528" t="s">
        <v>23396</v>
      </c>
      <c r="D8047" s="528" t="s">
        <v>225</v>
      </c>
      <c r="E8047" s="528"/>
      <c r="F8047" s="528"/>
      <c r="G8047" s="528" t="s">
        <v>208</v>
      </c>
    </row>
    <row r="8048" spans="1:7" x14ac:dyDescent="0.35">
      <c r="A8048" s="528" t="s">
        <v>23397</v>
      </c>
      <c r="B8048" s="528" t="s">
        <v>23398</v>
      </c>
      <c r="C8048" s="528" t="s">
        <v>23399</v>
      </c>
      <c r="D8048" s="528" t="s">
        <v>277</v>
      </c>
      <c r="E8048" s="528"/>
      <c r="F8048" s="528"/>
      <c r="G8048" s="528" t="s">
        <v>208</v>
      </c>
    </row>
    <row r="8049" spans="1:7" x14ac:dyDescent="0.35">
      <c r="A8049" s="528" t="s">
        <v>23400</v>
      </c>
      <c r="B8049" s="528" t="s">
        <v>23401</v>
      </c>
      <c r="C8049" s="528" t="s">
        <v>23402</v>
      </c>
      <c r="D8049" s="528" t="s">
        <v>225</v>
      </c>
      <c r="E8049" s="528"/>
      <c r="F8049" s="528"/>
      <c r="G8049" s="528" t="s">
        <v>208</v>
      </c>
    </row>
    <row r="8050" spans="1:7" x14ac:dyDescent="0.35">
      <c r="A8050" s="528" t="s">
        <v>23403</v>
      </c>
      <c r="B8050" s="528" t="s">
        <v>23404</v>
      </c>
      <c r="C8050" s="528" t="s">
        <v>23405</v>
      </c>
      <c r="D8050" s="528" t="s">
        <v>264</v>
      </c>
      <c r="E8050" s="528"/>
      <c r="F8050" s="528"/>
      <c r="G8050" s="528" t="s">
        <v>212</v>
      </c>
    </row>
    <row r="8051" spans="1:7" x14ac:dyDescent="0.35">
      <c r="A8051" s="528" t="s">
        <v>23406</v>
      </c>
      <c r="B8051" s="528" t="s">
        <v>23407</v>
      </c>
      <c r="C8051" s="528" t="s">
        <v>23408</v>
      </c>
      <c r="D8051" s="528" t="s">
        <v>264</v>
      </c>
      <c r="E8051" s="528"/>
      <c r="F8051" s="528"/>
      <c r="G8051" s="528" t="s">
        <v>208</v>
      </c>
    </row>
    <row r="8052" spans="1:7" x14ac:dyDescent="0.35">
      <c r="A8052" s="528" t="s">
        <v>23409</v>
      </c>
      <c r="B8052" s="528" t="s">
        <v>23410</v>
      </c>
      <c r="C8052" s="528" t="s">
        <v>23411</v>
      </c>
      <c r="D8052" s="528" t="s">
        <v>251</v>
      </c>
      <c r="E8052" s="528"/>
      <c r="F8052" s="528"/>
      <c r="G8052" s="528" t="s">
        <v>208</v>
      </c>
    </row>
    <row r="8053" spans="1:7" x14ac:dyDescent="0.35">
      <c r="A8053" s="528" t="s">
        <v>23412</v>
      </c>
      <c r="B8053" s="528" t="s">
        <v>23413</v>
      </c>
      <c r="C8053" s="528" t="s">
        <v>23414</v>
      </c>
      <c r="D8053" s="528" t="s">
        <v>264</v>
      </c>
      <c r="E8053" s="528"/>
      <c r="F8053" s="528"/>
      <c r="G8053" s="528" t="s">
        <v>205</v>
      </c>
    </row>
    <row r="8054" spans="1:7" x14ac:dyDescent="0.35">
      <c r="A8054" s="528" t="s">
        <v>23415</v>
      </c>
      <c r="B8054" s="528" t="s">
        <v>23416</v>
      </c>
      <c r="C8054" s="528" t="s">
        <v>23417</v>
      </c>
      <c r="D8054" s="528" t="s">
        <v>264</v>
      </c>
      <c r="E8054" s="528"/>
      <c r="F8054" s="528"/>
      <c r="G8054" s="528" t="s">
        <v>208</v>
      </c>
    </row>
    <row r="8055" spans="1:7" x14ac:dyDescent="0.35">
      <c r="A8055" s="528" t="s">
        <v>23418</v>
      </c>
      <c r="B8055" s="528" t="s">
        <v>23419</v>
      </c>
      <c r="C8055" s="528" t="s">
        <v>23420</v>
      </c>
      <c r="D8055" s="528" t="s">
        <v>238</v>
      </c>
      <c r="E8055" s="528"/>
      <c r="F8055" s="528"/>
      <c r="G8055" s="528" t="s">
        <v>208</v>
      </c>
    </row>
    <row r="8056" spans="1:7" x14ac:dyDescent="0.35">
      <c r="A8056" s="528" t="s">
        <v>23421</v>
      </c>
      <c r="B8056" s="528" t="s">
        <v>23422</v>
      </c>
      <c r="C8056" s="528" t="s">
        <v>23423</v>
      </c>
      <c r="D8056" s="528" t="s">
        <v>238</v>
      </c>
      <c r="E8056" s="528"/>
      <c r="F8056" s="528"/>
      <c r="G8056" s="528" t="s">
        <v>208</v>
      </c>
    </row>
    <row r="8057" spans="1:7" x14ac:dyDescent="0.35">
      <c r="A8057" s="528" t="s">
        <v>23424</v>
      </c>
      <c r="B8057" s="528" t="s">
        <v>23425</v>
      </c>
      <c r="C8057" s="528" t="s">
        <v>23426</v>
      </c>
      <c r="D8057" s="528" t="s">
        <v>264</v>
      </c>
      <c r="E8057" s="528" t="s">
        <v>277</v>
      </c>
      <c r="F8057" s="528"/>
      <c r="G8057" s="528" t="s">
        <v>205</v>
      </c>
    </row>
    <row r="8058" spans="1:7" x14ac:dyDescent="0.35">
      <c r="A8058" s="528" t="s">
        <v>23427</v>
      </c>
      <c r="B8058" s="528" t="s">
        <v>23428</v>
      </c>
      <c r="C8058" s="528" t="s">
        <v>23429</v>
      </c>
      <c r="D8058" s="528" t="s">
        <v>264</v>
      </c>
      <c r="E8058" s="528" t="s">
        <v>277</v>
      </c>
      <c r="F8058" s="528"/>
      <c r="G8058" s="528" t="s">
        <v>205</v>
      </c>
    </row>
    <row r="8059" spans="1:7" x14ac:dyDescent="0.35">
      <c r="A8059" s="528" t="s">
        <v>23430</v>
      </c>
      <c r="B8059" s="528" t="s">
        <v>23431</v>
      </c>
      <c r="C8059" s="528" t="s">
        <v>23432</v>
      </c>
      <c r="D8059" s="528" t="s">
        <v>264</v>
      </c>
      <c r="E8059" s="528" t="s">
        <v>277</v>
      </c>
      <c r="F8059" s="528"/>
      <c r="G8059" s="528" t="s">
        <v>205</v>
      </c>
    </row>
    <row r="8060" spans="1:7" x14ac:dyDescent="0.35">
      <c r="A8060" s="528" t="s">
        <v>23433</v>
      </c>
      <c r="B8060" s="528" t="s">
        <v>23434</v>
      </c>
      <c r="C8060" s="528" t="s">
        <v>23435</v>
      </c>
      <c r="D8060" s="528" t="s">
        <v>264</v>
      </c>
      <c r="E8060" s="528" t="s">
        <v>277</v>
      </c>
      <c r="F8060" s="528"/>
      <c r="G8060" s="528" t="s">
        <v>205</v>
      </c>
    </row>
    <row r="8061" spans="1:7" x14ac:dyDescent="0.35">
      <c r="A8061" s="528" t="s">
        <v>23436</v>
      </c>
      <c r="B8061" s="528" t="s">
        <v>23437</v>
      </c>
      <c r="C8061" s="528" t="s">
        <v>23438</v>
      </c>
      <c r="D8061" s="528" t="s">
        <v>264</v>
      </c>
      <c r="E8061" s="528"/>
      <c r="F8061" s="528"/>
      <c r="G8061" s="528" t="s">
        <v>205</v>
      </c>
    </row>
    <row r="8062" spans="1:7" x14ac:dyDescent="0.35">
      <c r="A8062" s="528" t="s">
        <v>23439</v>
      </c>
      <c r="B8062" s="528" t="s">
        <v>23440</v>
      </c>
      <c r="C8062" s="528" t="s">
        <v>23441</v>
      </c>
      <c r="D8062" s="528" t="s">
        <v>264</v>
      </c>
      <c r="E8062" s="528"/>
      <c r="F8062" s="528"/>
      <c r="G8062" s="528" t="s">
        <v>205</v>
      </c>
    </row>
    <row r="8063" spans="1:7" x14ac:dyDescent="0.35">
      <c r="A8063" s="528" t="s">
        <v>23442</v>
      </c>
      <c r="B8063" s="528" t="s">
        <v>23443</v>
      </c>
      <c r="C8063" s="528" t="s">
        <v>23444</v>
      </c>
      <c r="D8063" s="528" t="s">
        <v>264</v>
      </c>
      <c r="E8063" s="528"/>
      <c r="F8063" s="528"/>
      <c r="G8063" s="528" t="s">
        <v>208</v>
      </c>
    </row>
    <row r="8064" spans="1:7" x14ac:dyDescent="0.35">
      <c r="A8064" s="528" t="s">
        <v>23445</v>
      </c>
      <c r="B8064" s="528" t="s">
        <v>23446</v>
      </c>
      <c r="C8064" s="528" t="s">
        <v>23447</v>
      </c>
      <c r="D8064" s="528" t="s">
        <v>264</v>
      </c>
      <c r="E8064" s="528"/>
      <c r="F8064" s="528"/>
      <c r="G8064" s="528" t="s">
        <v>208</v>
      </c>
    </row>
    <row r="8065" spans="1:7" x14ac:dyDescent="0.35">
      <c r="A8065" s="528" t="s">
        <v>23448</v>
      </c>
      <c r="B8065" s="528" t="s">
        <v>23449</v>
      </c>
      <c r="C8065" s="528" t="s">
        <v>23450</v>
      </c>
      <c r="D8065" s="528" t="s">
        <v>264</v>
      </c>
      <c r="E8065" s="528"/>
      <c r="F8065" s="528"/>
      <c r="G8065" s="528" t="s">
        <v>205</v>
      </c>
    </row>
    <row r="8066" spans="1:7" x14ac:dyDescent="0.35">
      <c r="A8066" s="528" t="s">
        <v>23451</v>
      </c>
      <c r="B8066" s="528" t="s">
        <v>23452</v>
      </c>
      <c r="C8066" s="528" t="s">
        <v>23453</v>
      </c>
      <c r="D8066" s="528" t="s">
        <v>238</v>
      </c>
      <c r="E8066" s="528"/>
      <c r="F8066" s="528"/>
      <c r="G8066" s="528" t="s">
        <v>208</v>
      </c>
    </row>
    <row r="8067" spans="1:7" x14ac:dyDescent="0.35">
      <c r="A8067" s="528" t="s">
        <v>23454</v>
      </c>
      <c r="B8067" s="528" t="s">
        <v>23455</v>
      </c>
      <c r="C8067" s="528" t="s">
        <v>23456</v>
      </c>
      <c r="D8067" s="528" t="s">
        <v>251</v>
      </c>
      <c r="E8067" s="528"/>
      <c r="F8067" s="528"/>
      <c r="G8067" s="528" t="s">
        <v>208</v>
      </c>
    </row>
    <row r="8068" spans="1:7" x14ac:dyDescent="0.35">
      <c r="A8068" s="528" t="s">
        <v>23457</v>
      </c>
      <c r="B8068" s="528" t="s">
        <v>23458</v>
      </c>
      <c r="C8068" s="528" t="s">
        <v>23459</v>
      </c>
      <c r="D8068" s="528" t="s">
        <v>251</v>
      </c>
      <c r="E8068" s="528"/>
      <c r="F8068" s="528"/>
      <c r="G8068" s="528" t="s">
        <v>208</v>
      </c>
    </row>
    <row r="8069" spans="1:7" x14ac:dyDescent="0.35">
      <c r="A8069" s="528" t="s">
        <v>23460</v>
      </c>
      <c r="B8069" s="528" t="s">
        <v>23461</v>
      </c>
      <c r="C8069" s="528" t="s">
        <v>23462</v>
      </c>
      <c r="D8069" s="528" t="s">
        <v>238</v>
      </c>
      <c r="E8069" s="528"/>
      <c r="F8069" s="528"/>
      <c r="G8069" s="528" t="s">
        <v>208</v>
      </c>
    </row>
    <row r="8070" spans="1:7" x14ac:dyDescent="0.35">
      <c r="A8070" s="528" t="s">
        <v>23463</v>
      </c>
      <c r="B8070" s="528" t="s">
        <v>23464</v>
      </c>
      <c r="C8070" s="528" t="s">
        <v>23465</v>
      </c>
      <c r="D8070" s="528" t="s">
        <v>264</v>
      </c>
      <c r="E8070" s="528"/>
      <c r="F8070" s="528"/>
      <c r="G8070" s="528" t="s">
        <v>208</v>
      </c>
    </row>
    <row r="8071" spans="1:7" x14ac:dyDescent="0.35">
      <c r="A8071" s="528" t="s">
        <v>23466</v>
      </c>
      <c r="B8071" s="528" t="s">
        <v>23467</v>
      </c>
      <c r="C8071" s="528" t="s">
        <v>23468</v>
      </c>
      <c r="D8071" s="528" t="s">
        <v>277</v>
      </c>
      <c r="E8071" s="528"/>
      <c r="F8071" s="528"/>
      <c r="G8071" s="528" t="s">
        <v>208</v>
      </c>
    </row>
    <row r="8072" spans="1:7" x14ac:dyDescent="0.35">
      <c r="A8072" s="528" t="s">
        <v>23469</v>
      </c>
      <c r="B8072" s="528" t="s">
        <v>23470</v>
      </c>
      <c r="C8072" s="528" t="s">
        <v>23471</v>
      </c>
      <c r="D8072" s="528" t="s">
        <v>277</v>
      </c>
      <c r="E8072" s="528"/>
      <c r="F8072" s="528"/>
      <c r="G8072" s="528" t="s">
        <v>208</v>
      </c>
    </row>
    <row r="8073" spans="1:7" x14ac:dyDescent="0.35">
      <c r="A8073" s="528" t="s">
        <v>23472</v>
      </c>
      <c r="B8073" s="528" t="s">
        <v>23473</v>
      </c>
      <c r="C8073" s="528" t="s">
        <v>23474</v>
      </c>
      <c r="D8073" s="528" t="s">
        <v>264</v>
      </c>
      <c r="E8073" s="528"/>
      <c r="F8073" s="528"/>
      <c r="G8073" s="528" t="s">
        <v>205</v>
      </c>
    </row>
    <row r="8074" spans="1:7" x14ac:dyDescent="0.35">
      <c r="A8074" s="528" t="s">
        <v>23475</v>
      </c>
      <c r="B8074" s="528" t="s">
        <v>23476</v>
      </c>
      <c r="C8074" s="528" t="s">
        <v>23477</v>
      </c>
      <c r="D8074" s="528" t="s">
        <v>251</v>
      </c>
      <c r="E8074" s="528"/>
      <c r="F8074" s="528"/>
      <c r="G8074" s="528" t="s">
        <v>208</v>
      </c>
    </row>
    <row r="8075" spans="1:7" x14ac:dyDescent="0.35">
      <c r="A8075" s="528" t="s">
        <v>23478</v>
      </c>
      <c r="B8075" s="528" t="s">
        <v>23479</v>
      </c>
      <c r="C8075" s="528" t="s">
        <v>23480</v>
      </c>
      <c r="D8075" s="528" t="s">
        <v>277</v>
      </c>
      <c r="E8075" s="528"/>
      <c r="F8075" s="528"/>
      <c r="G8075" s="528" t="s">
        <v>205</v>
      </c>
    </row>
    <row r="8076" spans="1:7" x14ac:dyDescent="0.35">
      <c r="A8076" s="528" t="s">
        <v>23481</v>
      </c>
      <c r="B8076" s="528" t="s">
        <v>23482</v>
      </c>
      <c r="C8076" s="528" t="s">
        <v>23483</v>
      </c>
      <c r="D8076" s="528" t="s">
        <v>277</v>
      </c>
      <c r="E8076" s="528"/>
      <c r="F8076" s="528"/>
      <c r="G8076" s="528" t="s">
        <v>208</v>
      </c>
    </row>
    <row r="8077" spans="1:7" x14ac:dyDescent="0.35">
      <c r="A8077" s="528" t="s">
        <v>23484</v>
      </c>
      <c r="B8077" s="528" t="s">
        <v>23485</v>
      </c>
      <c r="C8077" s="528" t="s">
        <v>23486</v>
      </c>
      <c r="D8077" s="528" t="s">
        <v>277</v>
      </c>
      <c r="E8077" s="528"/>
      <c r="F8077" s="528"/>
      <c r="G8077" s="528" t="s">
        <v>212</v>
      </c>
    </row>
    <row r="8078" spans="1:7" x14ac:dyDescent="0.35">
      <c r="A8078" s="528" t="s">
        <v>23487</v>
      </c>
      <c r="B8078" s="528" t="s">
        <v>23488</v>
      </c>
      <c r="C8078" s="528" t="s">
        <v>23489</v>
      </c>
      <c r="D8078" s="528" t="s">
        <v>277</v>
      </c>
      <c r="E8078" s="528"/>
      <c r="F8078" s="528"/>
      <c r="G8078" s="528" t="s">
        <v>205</v>
      </c>
    </row>
    <row r="8079" spans="1:7" x14ac:dyDescent="0.35">
      <c r="A8079" s="528" t="s">
        <v>23490</v>
      </c>
      <c r="B8079" s="528" t="s">
        <v>23491</v>
      </c>
      <c r="C8079" s="528" t="s">
        <v>23492</v>
      </c>
      <c r="D8079" s="528" t="s">
        <v>277</v>
      </c>
      <c r="E8079" s="528"/>
      <c r="F8079" s="528"/>
      <c r="G8079" s="528" t="s">
        <v>205</v>
      </c>
    </row>
    <row r="8080" spans="1:7" x14ac:dyDescent="0.35">
      <c r="A8080" s="528" t="s">
        <v>23493</v>
      </c>
      <c r="B8080" s="528" t="s">
        <v>23494</v>
      </c>
      <c r="C8080" s="528" t="s">
        <v>23495</v>
      </c>
      <c r="D8080" s="528" t="s">
        <v>225</v>
      </c>
      <c r="E8080" s="528"/>
      <c r="F8080" s="528"/>
      <c r="G8080" s="528" t="s">
        <v>208</v>
      </c>
    </row>
    <row r="8081" spans="1:7" x14ac:dyDescent="0.35">
      <c r="A8081" s="528" t="s">
        <v>23496</v>
      </c>
      <c r="B8081" s="528" t="s">
        <v>23497</v>
      </c>
      <c r="C8081" s="528" t="s">
        <v>23498</v>
      </c>
      <c r="D8081" s="528" t="s">
        <v>264</v>
      </c>
      <c r="E8081" s="528"/>
      <c r="F8081" s="528"/>
      <c r="G8081" s="528" t="s">
        <v>208</v>
      </c>
    </row>
    <row r="8082" spans="1:7" x14ac:dyDescent="0.35">
      <c r="A8082" s="528" t="s">
        <v>23499</v>
      </c>
      <c r="B8082" s="528" t="s">
        <v>23500</v>
      </c>
      <c r="C8082" s="528" t="s">
        <v>23501</v>
      </c>
      <c r="D8082" s="528" t="s">
        <v>225</v>
      </c>
      <c r="E8082" s="528"/>
      <c r="F8082" s="528"/>
      <c r="G8082" s="528" t="s">
        <v>208</v>
      </c>
    </row>
    <row r="8083" spans="1:7" x14ac:dyDescent="0.35">
      <c r="A8083" s="528" t="s">
        <v>23502</v>
      </c>
      <c r="B8083" s="528" t="s">
        <v>23503</v>
      </c>
      <c r="C8083" s="528" t="s">
        <v>23504</v>
      </c>
      <c r="D8083" s="528" t="s">
        <v>225</v>
      </c>
      <c r="E8083" s="528"/>
      <c r="F8083" s="528"/>
      <c r="G8083" s="528" t="s">
        <v>208</v>
      </c>
    </row>
    <row r="8084" spans="1:7" x14ac:dyDescent="0.35">
      <c r="A8084" s="528" t="s">
        <v>23505</v>
      </c>
      <c r="B8084" s="528" t="s">
        <v>23506</v>
      </c>
      <c r="C8084" s="528" t="s">
        <v>23507</v>
      </c>
      <c r="D8084" s="528" t="s">
        <v>225</v>
      </c>
      <c r="E8084" s="528"/>
      <c r="F8084" s="528"/>
      <c r="G8084" s="528" t="s">
        <v>205</v>
      </c>
    </row>
    <row r="8085" spans="1:7" x14ac:dyDescent="0.35">
      <c r="A8085" s="528" t="s">
        <v>23508</v>
      </c>
      <c r="B8085" s="528" t="s">
        <v>23509</v>
      </c>
      <c r="C8085" s="528" t="s">
        <v>23510</v>
      </c>
      <c r="D8085" s="528" t="s">
        <v>264</v>
      </c>
      <c r="E8085" s="528"/>
      <c r="F8085" s="528"/>
      <c r="G8085" s="528" t="s">
        <v>205</v>
      </c>
    </row>
    <row r="8086" spans="1:7" x14ac:dyDescent="0.35">
      <c r="A8086" s="528" t="s">
        <v>23511</v>
      </c>
      <c r="B8086" s="528" t="s">
        <v>23512</v>
      </c>
      <c r="C8086" s="528" t="s">
        <v>23513</v>
      </c>
      <c r="D8086" s="528" t="s">
        <v>225</v>
      </c>
      <c r="E8086" s="528"/>
      <c r="F8086" s="528"/>
      <c r="G8086" s="528" t="s">
        <v>205</v>
      </c>
    </row>
    <row r="8087" spans="1:7" x14ac:dyDescent="0.35">
      <c r="A8087" s="528" t="s">
        <v>23514</v>
      </c>
      <c r="B8087" s="528" t="s">
        <v>23515</v>
      </c>
      <c r="C8087" s="528" t="s">
        <v>23516</v>
      </c>
      <c r="D8087" s="528" t="s">
        <v>264</v>
      </c>
      <c r="E8087" s="528"/>
      <c r="F8087" s="528"/>
      <c r="G8087" s="528" t="s">
        <v>205</v>
      </c>
    </row>
    <row r="8088" spans="1:7" x14ac:dyDescent="0.35">
      <c r="A8088" s="528" t="s">
        <v>23517</v>
      </c>
      <c r="B8088" s="528" t="s">
        <v>23518</v>
      </c>
      <c r="C8088" s="528" t="s">
        <v>23519</v>
      </c>
      <c r="D8088" s="528" t="s">
        <v>225</v>
      </c>
      <c r="E8088" s="528"/>
      <c r="F8088" s="528"/>
      <c r="G8088" s="528" t="s">
        <v>208</v>
      </c>
    </row>
    <row r="8089" spans="1:7" x14ac:dyDescent="0.35">
      <c r="A8089" s="528" t="s">
        <v>23520</v>
      </c>
      <c r="B8089" s="528" t="s">
        <v>23521</v>
      </c>
      <c r="C8089" s="528" t="s">
        <v>23522</v>
      </c>
      <c r="D8089" s="528" t="s">
        <v>225</v>
      </c>
      <c r="E8089" s="528"/>
      <c r="F8089" s="528"/>
      <c r="G8089" s="528" t="s">
        <v>205</v>
      </c>
    </row>
    <row r="8090" spans="1:7" x14ac:dyDescent="0.35">
      <c r="A8090" s="528" t="s">
        <v>23523</v>
      </c>
      <c r="B8090" s="528" t="s">
        <v>23524</v>
      </c>
      <c r="C8090" s="528" t="s">
        <v>23525</v>
      </c>
      <c r="D8090" s="528" t="s">
        <v>264</v>
      </c>
      <c r="E8090" s="528"/>
      <c r="F8090" s="528"/>
      <c r="G8090" s="528" t="s">
        <v>212</v>
      </c>
    </row>
    <row r="8091" spans="1:7" x14ac:dyDescent="0.35">
      <c r="A8091" s="528" t="s">
        <v>23526</v>
      </c>
      <c r="B8091" s="528" t="s">
        <v>23527</v>
      </c>
      <c r="C8091" s="528" t="s">
        <v>23528</v>
      </c>
      <c r="D8091" s="528" t="s">
        <v>225</v>
      </c>
      <c r="E8091" s="528"/>
      <c r="F8091" s="528"/>
      <c r="G8091" s="528" t="s">
        <v>208</v>
      </c>
    </row>
    <row r="8092" spans="1:7" x14ac:dyDescent="0.35">
      <c r="A8092" s="528" t="s">
        <v>23529</v>
      </c>
      <c r="B8092" s="528" t="s">
        <v>23530</v>
      </c>
      <c r="C8092" s="528" t="s">
        <v>23531</v>
      </c>
      <c r="D8092" s="528" t="s">
        <v>238</v>
      </c>
      <c r="E8092" s="528"/>
      <c r="F8092" s="528"/>
      <c r="G8092" s="528" t="s">
        <v>208</v>
      </c>
    </row>
    <row r="8093" spans="1:7" x14ac:dyDescent="0.35">
      <c r="A8093" s="528" t="s">
        <v>23532</v>
      </c>
      <c r="B8093" s="528" t="s">
        <v>23533</v>
      </c>
      <c r="C8093" s="528" t="s">
        <v>23534</v>
      </c>
      <c r="D8093" s="528" t="s">
        <v>264</v>
      </c>
      <c r="E8093" s="528"/>
      <c r="F8093" s="528"/>
      <c r="G8093" s="528" t="s">
        <v>212</v>
      </c>
    </row>
    <row r="8094" spans="1:7" x14ac:dyDescent="0.35">
      <c r="A8094" s="528" t="s">
        <v>23535</v>
      </c>
      <c r="B8094" s="528" t="s">
        <v>23536</v>
      </c>
      <c r="C8094" s="528" t="s">
        <v>23537</v>
      </c>
      <c r="D8094" s="528" t="s">
        <v>277</v>
      </c>
      <c r="E8094" s="528"/>
      <c r="F8094" s="528"/>
      <c r="G8094" s="528" t="s">
        <v>208</v>
      </c>
    </row>
    <row r="8095" spans="1:7" x14ac:dyDescent="0.35">
      <c r="A8095" s="528" t="s">
        <v>23538</v>
      </c>
      <c r="B8095" s="528" t="s">
        <v>23539</v>
      </c>
      <c r="C8095" s="528" t="s">
        <v>23540</v>
      </c>
      <c r="D8095" s="528" t="s">
        <v>264</v>
      </c>
      <c r="E8095" s="528"/>
      <c r="F8095" s="528"/>
      <c r="G8095" s="528" t="s">
        <v>205</v>
      </c>
    </row>
    <row r="8096" spans="1:7" x14ac:dyDescent="0.35">
      <c r="A8096" s="528" t="s">
        <v>23541</v>
      </c>
      <c r="B8096" s="528" t="s">
        <v>23542</v>
      </c>
      <c r="C8096" s="528" t="s">
        <v>23543</v>
      </c>
      <c r="D8096" s="528" t="s">
        <v>264</v>
      </c>
      <c r="E8096" s="528"/>
      <c r="F8096" s="528"/>
      <c r="G8096" s="528" t="s">
        <v>205</v>
      </c>
    </row>
    <row r="8097" spans="1:7" x14ac:dyDescent="0.35">
      <c r="A8097" s="528" t="s">
        <v>23544</v>
      </c>
      <c r="B8097" s="528" t="s">
        <v>23545</v>
      </c>
      <c r="C8097" s="528" t="s">
        <v>23546</v>
      </c>
      <c r="D8097" s="528" t="s">
        <v>264</v>
      </c>
      <c r="E8097" s="528" t="s">
        <v>277</v>
      </c>
      <c r="F8097" s="528"/>
      <c r="G8097" s="528" t="s">
        <v>205</v>
      </c>
    </row>
    <row r="8098" spans="1:7" x14ac:dyDescent="0.35">
      <c r="A8098" s="528" t="s">
        <v>23547</v>
      </c>
      <c r="B8098" s="528" t="s">
        <v>23548</v>
      </c>
      <c r="C8098" s="528" t="s">
        <v>23549</v>
      </c>
      <c r="D8098" s="528" t="s">
        <v>264</v>
      </c>
      <c r="E8098" s="528"/>
      <c r="F8098" s="528"/>
      <c r="G8098" s="528" t="s">
        <v>208</v>
      </c>
    </row>
    <row r="8099" spans="1:7" x14ac:dyDescent="0.35">
      <c r="A8099" s="528" t="s">
        <v>23550</v>
      </c>
      <c r="B8099" s="528" t="s">
        <v>23551</v>
      </c>
      <c r="C8099" s="528" t="s">
        <v>23552</v>
      </c>
      <c r="D8099" s="528" t="s">
        <v>264</v>
      </c>
      <c r="E8099" s="528" t="s">
        <v>277</v>
      </c>
      <c r="F8099" s="528"/>
      <c r="G8099" s="528" t="s">
        <v>208</v>
      </c>
    </row>
    <row r="8100" spans="1:7" x14ac:dyDescent="0.35">
      <c r="A8100" s="528" t="s">
        <v>23553</v>
      </c>
      <c r="B8100" s="528" t="s">
        <v>23554</v>
      </c>
      <c r="C8100" s="528" t="s">
        <v>23555</v>
      </c>
      <c r="D8100" s="528" t="s">
        <v>264</v>
      </c>
      <c r="E8100" s="528"/>
      <c r="F8100" s="528"/>
      <c r="G8100" s="528" t="s">
        <v>212</v>
      </c>
    </row>
    <row r="8101" spans="1:7" x14ac:dyDescent="0.35">
      <c r="A8101" s="528" t="s">
        <v>23556</v>
      </c>
      <c r="B8101" s="528" t="s">
        <v>23557</v>
      </c>
      <c r="C8101" s="528" t="s">
        <v>23558</v>
      </c>
      <c r="D8101" s="528" t="s">
        <v>264</v>
      </c>
      <c r="E8101" s="528"/>
      <c r="F8101" s="528"/>
      <c r="G8101" s="528" t="s">
        <v>212</v>
      </c>
    </row>
    <row r="8102" spans="1:7" x14ac:dyDescent="0.35">
      <c r="A8102" s="528" t="s">
        <v>23559</v>
      </c>
      <c r="B8102" s="528" t="s">
        <v>23560</v>
      </c>
      <c r="C8102" s="528" t="s">
        <v>23561</v>
      </c>
      <c r="D8102" s="528" t="s">
        <v>264</v>
      </c>
      <c r="E8102" s="528"/>
      <c r="F8102" s="528"/>
      <c r="G8102" s="528" t="s">
        <v>212</v>
      </c>
    </row>
    <row r="8103" spans="1:7" x14ac:dyDescent="0.35">
      <c r="A8103" s="528" t="s">
        <v>23562</v>
      </c>
      <c r="B8103" s="528" t="s">
        <v>23563</v>
      </c>
      <c r="C8103" s="528" t="s">
        <v>23564</v>
      </c>
      <c r="D8103" s="528" t="s">
        <v>264</v>
      </c>
      <c r="E8103" s="528"/>
      <c r="F8103" s="528"/>
      <c r="G8103" s="528" t="s">
        <v>212</v>
      </c>
    </row>
    <row r="8104" spans="1:7" x14ac:dyDescent="0.35">
      <c r="A8104" s="528" t="s">
        <v>23565</v>
      </c>
      <c r="B8104" s="528" t="s">
        <v>23566</v>
      </c>
      <c r="C8104" s="528" t="s">
        <v>23567</v>
      </c>
      <c r="D8104" s="528" t="s">
        <v>264</v>
      </c>
      <c r="E8104" s="528"/>
      <c r="F8104" s="528"/>
      <c r="G8104" s="528" t="s">
        <v>212</v>
      </c>
    </row>
    <row r="8105" spans="1:7" x14ac:dyDescent="0.35">
      <c r="A8105" s="528" t="s">
        <v>23568</v>
      </c>
      <c r="B8105" s="528" t="s">
        <v>23569</v>
      </c>
      <c r="C8105" s="528" t="s">
        <v>23570</v>
      </c>
      <c r="D8105" s="528" t="s">
        <v>277</v>
      </c>
      <c r="E8105" s="528"/>
      <c r="F8105" s="528"/>
      <c r="G8105" s="528" t="s">
        <v>208</v>
      </c>
    </row>
    <row r="8106" spans="1:7" x14ac:dyDescent="0.35">
      <c r="A8106" s="528" t="s">
        <v>23571</v>
      </c>
      <c r="B8106" s="528" t="s">
        <v>23572</v>
      </c>
      <c r="C8106" s="528" t="s">
        <v>23573</v>
      </c>
      <c r="D8106" s="528" t="s">
        <v>264</v>
      </c>
      <c r="E8106" s="528"/>
      <c r="F8106" s="528"/>
      <c r="G8106" s="528" t="s">
        <v>208</v>
      </c>
    </row>
    <row r="8107" spans="1:7" x14ac:dyDescent="0.35">
      <c r="A8107" s="528" t="s">
        <v>23574</v>
      </c>
      <c r="B8107" s="528" t="s">
        <v>23575</v>
      </c>
      <c r="C8107" s="528" t="s">
        <v>23576</v>
      </c>
      <c r="D8107" s="528" t="s">
        <v>225</v>
      </c>
      <c r="E8107" s="528"/>
      <c r="F8107" s="528"/>
      <c r="G8107" s="528" t="s">
        <v>208</v>
      </c>
    </row>
    <row r="8108" spans="1:7" x14ac:dyDescent="0.35">
      <c r="A8108" s="528" t="s">
        <v>23577</v>
      </c>
      <c r="B8108" s="528" t="s">
        <v>23578</v>
      </c>
      <c r="C8108" s="528" t="s">
        <v>23579</v>
      </c>
      <c r="D8108" s="528" t="s">
        <v>225</v>
      </c>
      <c r="E8108" s="528"/>
      <c r="F8108" s="528"/>
      <c r="G8108" s="528" t="s">
        <v>208</v>
      </c>
    </row>
    <row r="8109" spans="1:7" x14ac:dyDescent="0.35">
      <c r="A8109" s="528" t="s">
        <v>23580</v>
      </c>
      <c r="B8109" s="528" t="s">
        <v>23581</v>
      </c>
      <c r="C8109" s="528" t="s">
        <v>23582</v>
      </c>
      <c r="D8109" s="528" t="s">
        <v>264</v>
      </c>
      <c r="E8109" s="528"/>
      <c r="F8109" s="528"/>
      <c r="G8109" s="528" t="s">
        <v>208</v>
      </c>
    </row>
    <row r="8110" spans="1:7" x14ac:dyDescent="0.35">
      <c r="A8110" s="528" t="s">
        <v>23583</v>
      </c>
      <c r="B8110" s="528" t="s">
        <v>23584</v>
      </c>
      <c r="C8110" s="528" t="s">
        <v>23585</v>
      </c>
      <c r="D8110" s="528" t="s">
        <v>264</v>
      </c>
      <c r="E8110" s="528"/>
      <c r="F8110" s="528"/>
      <c r="G8110" s="528" t="s">
        <v>208</v>
      </c>
    </row>
    <row r="8111" spans="1:7" x14ac:dyDescent="0.35">
      <c r="A8111" s="528" t="s">
        <v>23586</v>
      </c>
      <c r="B8111" s="528" t="s">
        <v>23587</v>
      </c>
      <c r="C8111" s="528" t="s">
        <v>23588</v>
      </c>
      <c r="D8111" s="528" t="s">
        <v>238</v>
      </c>
      <c r="E8111" s="528"/>
      <c r="F8111" s="528"/>
      <c r="G8111" s="528" t="s">
        <v>205</v>
      </c>
    </row>
    <row r="8112" spans="1:7" x14ac:dyDescent="0.35">
      <c r="A8112" s="528" t="s">
        <v>23589</v>
      </c>
      <c r="B8112" s="528" t="s">
        <v>23590</v>
      </c>
      <c r="C8112" s="528" t="s">
        <v>23591</v>
      </c>
      <c r="D8112" s="528" t="s">
        <v>264</v>
      </c>
      <c r="E8112" s="528"/>
      <c r="F8112" s="528"/>
      <c r="G8112" s="528" t="s">
        <v>208</v>
      </c>
    </row>
    <row r="8113" spans="1:7" x14ac:dyDescent="0.35">
      <c r="A8113" s="528" t="s">
        <v>23592</v>
      </c>
      <c r="B8113" s="528" t="s">
        <v>23593</v>
      </c>
      <c r="C8113" s="528" t="s">
        <v>23594</v>
      </c>
      <c r="D8113" s="528" t="s">
        <v>264</v>
      </c>
      <c r="E8113" s="528"/>
      <c r="F8113" s="528"/>
      <c r="G8113" s="528" t="s">
        <v>208</v>
      </c>
    </row>
    <row r="8114" spans="1:7" x14ac:dyDescent="0.35">
      <c r="A8114" s="528" t="s">
        <v>23595</v>
      </c>
      <c r="B8114" s="528" t="s">
        <v>23596</v>
      </c>
      <c r="C8114" s="528" t="s">
        <v>23597</v>
      </c>
      <c r="D8114" s="528" t="s">
        <v>264</v>
      </c>
      <c r="E8114" s="528"/>
      <c r="F8114" s="528"/>
      <c r="G8114" s="528" t="s">
        <v>212</v>
      </c>
    </row>
    <row r="8115" spans="1:7" x14ac:dyDescent="0.35">
      <c r="A8115" s="528" t="s">
        <v>23598</v>
      </c>
      <c r="B8115" s="528" t="s">
        <v>23599</v>
      </c>
      <c r="C8115" s="528" t="s">
        <v>23600</v>
      </c>
      <c r="D8115" s="528" t="s">
        <v>264</v>
      </c>
      <c r="E8115" s="528"/>
      <c r="F8115" s="528"/>
      <c r="G8115" s="528" t="s">
        <v>212</v>
      </c>
    </row>
    <row r="8116" spans="1:7" x14ac:dyDescent="0.35">
      <c r="A8116" s="528" t="s">
        <v>23601</v>
      </c>
      <c r="B8116" s="528" t="s">
        <v>23602</v>
      </c>
      <c r="C8116" s="528" t="s">
        <v>23603</v>
      </c>
      <c r="D8116" s="528" t="s">
        <v>277</v>
      </c>
      <c r="E8116" s="528"/>
      <c r="F8116" s="528"/>
      <c r="G8116" s="528" t="s">
        <v>212</v>
      </c>
    </row>
    <row r="8117" spans="1:7" x14ac:dyDescent="0.35">
      <c r="A8117" s="528" t="s">
        <v>23604</v>
      </c>
      <c r="B8117" s="528" t="s">
        <v>23605</v>
      </c>
      <c r="C8117" s="528" t="s">
        <v>23606</v>
      </c>
      <c r="D8117" s="528" t="s">
        <v>225</v>
      </c>
      <c r="E8117" s="528" t="s">
        <v>277</v>
      </c>
      <c r="F8117" s="528"/>
      <c r="G8117" s="528" t="s">
        <v>205</v>
      </c>
    </row>
    <row r="8118" spans="1:7" x14ac:dyDescent="0.35">
      <c r="A8118" s="528" t="s">
        <v>23607</v>
      </c>
      <c r="B8118" s="528" t="s">
        <v>23608</v>
      </c>
      <c r="C8118" s="528" t="s">
        <v>23609</v>
      </c>
      <c r="D8118" s="528" t="s">
        <v>264</v>
      </c>
      <c r="E8118" s="528"/>
      <c r="F8118" s="528"/>
      <c r="G8118" s="528" t="s">
        <v>208</v>
      </c>
    </row>
    <row r="8119" spans="1:7" x14ac:dyDescent="0.35">
      <c r="A8119" s="528" t="s">
        <v>23610</v>
      </c>
      <c r="B8119" s="528" t="s">
        <v>23611</v>
      </c>
      <c r="C8119" s="528" t="s">
        <v>23612</v>
      </c>
      <c r="D8119" s="528" t="s">
        <v>277</v>
      </c>
      <c r="E8119" s="528" t="s">
        <v>225</v>
      </c>
      <c r="F8119" s="528"/>
      <c r="G8119" s="528" t="s">
        <v>208</v>
      </c>
    </row>
    <row r="8120" spans="1:7" x14ac:dyDescent="0.35">
      <c r="A8120" s="528" t="s">
        <v>23613</v>
      </c>
      <c r="B8120" s="528" t="s">
        <v>23614</v>
      </c>
      <c r="C8120" s="528" t="s">
        <v>23615</v>
      </c>
      <c r="D8120" s="528" t="s">
        <v>277</v>
      </c>
      <c r="E8120" s="528" t="s">
        <v>225</v>
      </c>
      <c r="F8120" s="528"/>
      <c r="G8120" s="528" t="s">
        <v>208</v>
      </c>
    </row>
    <row r="8121" spans="1:7" x14ac:dyDescent="0.35">
      <c r="A8121" s="528" t="s">
        <v>23616</v>
      </c>
      <c r="B8121" s="528" t="s">
        <v>23617</v>
      </c>
      <c r="C8121" s="528" t="s">
        <v>23618</v>
      </c>
      <c r="D8121" s="528" t="s">
        <v>264</v>
      </c>
      <c r="E8121" s="528"/>
      <c r="F8121" s="528"/>
      <c r="G8121" s="528" t="s">
        <v>205</v>
      </c>
    </row>
    <row r="8122" spans="1:7" x14ac:dyDescent="0.35">
      <c r="A8122" s="528" t="s">
        <v>23619</v>
      </c>
      <c r="B8122" s="528" t="s">
        <v>23620</v>
      </c>
      <c r="C8122" s="528" t="s">
        <v>23621</v>
      </c>
      <c r="D8122" s="528" t="s">
        <v>264</v>
      </c>
      <c r="E8122" s="528"/>
      <c r="F8122" s="528"/>
      <c r="G8122" s="528" t="s">
        <v>208</v>
      </c>
    </row>
    <row r="8123" spans="1:7" x14ac:dyDescent="0.35">
      <c r="A8123" s="528" t="s">
        <v>23622</v>
      </c>
      <c r="B8123" s="528" t="s">
        <v>23623</v>
      </c>
      <c r="C8123" s="528" t="s">
        <v>23624</v>
      </c>
      <c r="D8123" s="528" t="s">
        <v>264</v>
      </c>
      <c r="E8123" s="528"/>
      <c r="F8123" s="528"/>
      <c r="G8123" s="528" t="s">
        <v>205</v>
      </c>
    </row>
    <row r="8124" spans="1:7" x14ac:dyDescent="0.35">
      <c r="A8124" s="528" t="s">
        <v>23625</v>
      </c>
      <c r="B8124" s="528" t="s">
        <v>23626</v>
      </c>
      <c r="C8124" s="528" t="s">
        <v>23627</v>
      </c>
      <c r="D8124" s="528" t="s">
        <v>264</v>
      </c>
      <c r="E8124" s="528"/>
      <c r="F8124" s="528"/>
      <c r="G8124" s="528" t="s">
        <v>210</v>
      </c>
    </row>
    <row r="8125" spans="1:7" x14ac:dyDescent="0.35">
      <c r="A8125" s="528" t="s">
        <v>23628</v>
      </c>
      <c r="B8125" s="528" t="s">
        <v>23629</v>
      </c>
      <c r="C8125" s="528" t="s">
        <v>23630</v>
      </c>
      <c r="D8125" s="528" t="s">
        <v>264</v>
      </c>
      <c r="E8125" s="528"/>
      <c r="F8125" s="528"/>
      <c r="G8125" s="528" t="s">
        <v>210</v>
      </c>
    </row>
    <row r="8126" spans="1:7" x14ac:dyDescent="0.35">
      <c r="A8126" s="528" t="s">
        <v>23631</v>
      </c>
      <c r="B8126" s="528" t="s">
        <v>23632</v>
      </c>
      <c r="C8126" s="528" t="s">
        <v>23633</v>
      </c>
      <c r="D8126" s="528" t="s">
        <v>264</v>
      </c>
      <c r="E8126" s="528"/>
      <c r="F8126" s="528"/>
      <c r="G8126" s="528" t="s">
        <v>205</v>
      </c>
    </row>
    <row r="8127" spans="1:7" x14ac:dyDescent="0.35">
      <c r="A8127" s="528" t="s">
        <v>23634</v>
      </c>
      <c r="B8127" s="528" t="s">
        <v>23635</v>
      </c>
      <c r="C8127" s="528" t="s">
        <v>23636</v>
      </c>
      <c r="D8127" s="528" t="s">
        <v>264</v>
      </c>
      <c r="E8127" s="528"/>
      <c r="F8127" s="528"/>
      <c r="G8127" s="528" t="s">
        <v>210</v>
      </c>
    </row>
    <row r="8128" spans="1:7" x14ac:dyDescent="0.35">
      <c r="A8128" s="528" t="s">
        <v>23637</v>
      </c>
      <c r="B8128" s="528" t="s">
        <v>23638</v>
      </c>
      <c r="C8128" s="528" t="s">
        <v>23639</v>
      </c>
      <c r="D8128" s="528" t="s">
        <v>264</v>
      </c>
      <c r="E8128" s="528"/>
      <c r="F8128" s="528"/>
      <c r="G8128" s="528" t="s">
        <v>210</v>
      </c>
    </row>
    <row r="8129" spans="1:7" x14ac:dyDescent="0.35">
      <c r="A8129" s="528" t="s">
        <v>23640</v>
      </c>
      <c r="B8129" s="528" t="s">
        <v>23641</v>
      </c>
      <c r="C8129" s="528" t="s">
        <v>23642</v>
      </c>
      <c r="D8129" s="528" t="s">
        <v>264</v>
      </c>
      <c r="E8129" s="528"/>
      <c r="F8129" s="528"/>
      <c r="G8129" s="528" t="s">
        <v>205</v>
      </c>
    </row>
    <row r="8130" spans="1:7" x14ac:dyDescent="0.35">
      <c r="A8130" s="528" t="s">
        <v>23643</v>
      </c>
      <c r="B8130" s="528" t="s">
        <v>23644</v>
      </c>
      <c r="C8130" s="528" t="s">
        <v>23645</v>
      </c>
      <c r="D8130" s="528" t="s">
        <v>264</v>
      </c>
      <c r="E8130" s="528"/>
      <c r="F8130" s="528"/>
      <c r="G8130" s="528" t="s">
        <v>205</v>
      </c>
    </row>
    <row r="8131" spans="1:7" x14ac:dyDescent="0.35">
      <c r="A8131" s="528" t="s">
        <v>23646</v>
      </c>
      <c r="B8131" s="528" t="s">
        <v>23647</v>
      </c>
      <c r="C8131" s="528" t="s">
        <v>23648</v>
      </c>
      <c r="D8131" s="528" t="s">
        <v>225</v>
      </c>
      <c r="E8131" s="528"/>
      <c r="F8131" s="528"/>
      <c r="G8131" s="528" t="s">
        <v>205</v>
      </c>
    </row>
    <row r="8132" spans="1:7" x14ac:dyDescent="0.35">
      <c r="A8132" s="528" t="s">
        <v>23649</v>
      </c>
      <c r="B8132" s="528" t="s">
        <v>23650</v>
      </c>
      <c r="C8132" s="528" t="s">
        <v>23651</v>
      </c>
      <c r="D8132" s="528" t="s">
        <v>225</v>
      </c>
      <c r="E8132" s="528"/>
      <c r="F8132" s="528"/>
      <c r="G8132" s="528" t="s">
        <v>205</v>
      </c>
    </row>
    <row r="8133" spans="1:7" x14ac:dyDescent="0.35">
      <c r="A8133" s="528" t="s">
        <v>23652</v>
      </c>
      <c r="B8133" s="528" t="s">
        <v>23653</v>
      </c>
      <c r="C8133" s="528" t="s">
        <v>23654</v>
      </c>
      <c r="D8133" s="528" t="s">
        <v>277</v>
      </c>
      <c r="E8133" s="528"/>
      <c r="F8133" s="528"/>
      <c r="G8133" s="528" t="s">
        <v>208</v>
      </c>
    </row>
    <row r="8134" spans="1:7" x14ac:dyDescent="0.35">
      <c r="A8134" s="528" t="s">
        <v>23655</v>
      </c>
      <c r="B8134" s="528" t="s">
        <v>23656</v>
      </c>
      <c r="C8134" s="528" t="s">
        <v>23657</v>
      </c>
      <c r="D8134" s="528" t="s">
        <v>264</v>
      </c>
      <c r="E8134" s="528"/>
      <c r="F8134" s="528"/>
      <c r="G8134" s="528" t="s">
        <v>208</v>
      </c>
    </row>
    <row r="8135" spans="1:7" x14ac:dyDescent="0.35">
      <c r="A8135" s="528" t="s">
        <v>23658</v>
      </c>
      <c r="B8135" s="528" t="s">
        <v>23659</v>
      </c>
      <c r="C8135" s="528" t="s">
        <v>23660</v>
      </c>
      <c r="D8135" s="528" t="s">
        <v>225</v>
      </c>
      <c r="E8135" s="528"/>
      <c r="F8135" s="528"/>
      <c r="G8135" s="528" t="s">
        <v>208</v>
      </c>
    </row>
    <row r="8136" spans="1:7" x14ac:dyDescent="0.35">
      <c r="A8136" s="528" t="s">
        <v>23661</v>
      </c>
      <c r="B8136" s="528" t="s">
        <v>23662</v>
      </c>
      <c r="C8136" s="528" t="s">
        <v>23663</v>
      </c>
      <c r="D8136" s="528" t="s">
        <v>225</v>
      </c>
      <c r="E8136" s="528"/>
      <c r="F8136" s="528"/>
      <c r="G8136" s="528" t="s">
        <v>208</v>
      </c>
    </row>
    <row r="8137" spans="1:7" x14ac:dyDescent="0.35">
      <c r="A8137" s="528" t="s">
        <v>23664</v>
      </c>
      <c r="B8137" s="528" t="s">
        <v>23665</v>
      </c>
      <c r="C8137" s="528" t="s">
        <v>23666</v>
      </c>
      <c r="D8137" s="528" t="s">
        <v>225</v>
      </c>
      <c r="E8137" s="528"/>
      <c r="F8137" s="528"/>
      <c r="G8137" s="528" t="s">
        <v>205</v>
      </c>
    </row>
    <row r="8138" spans="1:7" x14ac:dyDescent="0.35">
      <c r="A8138" s="528" t="s">
        <v>23667</v>
      </c>
      <c r="B8138" s="528" t="s">
        <v>23668</v>
      </c>
      <c r="C8138" s="528" t="s">
        <v>23669</v>
      </c>
      <c r="D8138" s="528" t="s">
        <v>277</v>
      </c>
      <c r="E8138" s="528"/>
      <c r="F8138" s="528"/>
      <c r="G8138" s="528" t="s">
        <v>208</v>
      </c>
    </row>
    <row r="8139" spans="1:7" x14ac:dyDescent="0.35">
      <c r="A8139" s="528" t="s">
        <v>23670</v>
      </c>
      <c r="B8139" s="528" t="s">
        <v>23671</v>
      </c>
      <c r="C8139" s="528" t="s">
        <v>23672</v>
      </c>
      <c r="D8139" s="528" t="s">
        <v>277</v>
      </c>
      <c r="E8139" s="528"/>
      <c r="F8139" s="528"/>
      <c r="G8139" s="528" t="s">
        <v>208</v>
      </c>
    </row>
    <row r="8140" spans="1:7" x14ac:dyDescent="0.35">
      <c r="A8140" s="528" t="s">
        <v>23673</v>
      </c>
      <c r="B8140" s="528" t="s">
        <v>23674</v>
      </c>
      <c r="C8140" s="528" t="s">
        <v>23675</v>
      </c>
      <c r="D8140" s="528" t="s">
        <v>225</v>
      </c>
      <c r="E8140" s="528"/>
      <c r="F8140" s="528"/>
      <c r="G8140" s="528" t="s">
        <v>208</v>
      </c>
    </row>
    <row r="8141" spans="1:7" x14ac:dyDescent="0.35">
      <c r="A8141" s="528" t="s">
        <v>23676</v>
      </c>
      <c r="B8141" s="528" t="s">
        <v>23677</v>
      </c>
      <c r="C8141" s="528" t="s">
        <v>23678</v>
      </c>
      <c r="D8141" s="528" t="s">
        <v>225</v>
      </c>
      <c r="E8141" s="528"/>
      <c r="F8141" s="528"/>
      <c r="G8141" s="528" t="s">
        <v>208</v>
      </c>
    </row>
    <row r="8142" spans="1:7" x14ac:dyDescent="0.35">
      <c r="A8142" s="528" t="s">
        <v>23679</v>
      </c>
      <c r="B8142" s="528" t="s">
        <v>23680</v>
      </c>
      <c r="C8142" s="528" t="s">
        <v>23681</v>
      </c>
      <c r="D8142" s="528" t="s">
        <v>225</v>
      </c>
      <c r="E8142" s="528"/>
      <c r="F8142" s="528"/>
      <c r="G8142" s="528" t="s">
        <v>208</v>
      </c>
    </row>
    <row r="8143" spans="1:7" x14ac:dyDescent="0.35">
      <c r="A8143" s="528" t="s">
        <v>23682</v>
      </c>
      <c r="B8143" s="528" t="s">
        <v>23683</v>
      </c>
      <c r="C8143" s="528" t="s">
        <v>23684</v>
      </c>
      <c r="D8143" s="528" t="s">
        <v>225</v>
      </c>
      <c r="E8143" s="528"/>
      <c r="F8143" s="528"/>
      <c r="G8143" s="528" t="s">
        <v>208</v>
      </c>
    </row>
    <row r="8144" spans="1:7" x14ac:dyDescent="0.35">
      <c r="A8144" s="528" t="s">
        <v>23685</v>
      </c>
      <c r="B8144" s="528" t="s">
        <v>23686</v>
      </c>
      <c r="C8144" s="528" t="s">
        <v>23687</v>
      </c>
      <c r="D8144" s="528" t="s">
        <v>225</v>
      </c>
      <c r="E8144" s="528"/>
      <c r="F8144" s="528"/>
      <c r="G8144" s="528" t="s">
        <v>208</v>
      </c>
    </row>
    <row r="8145" spans="1:7" x14ac:dyDescent="0.35">
      <c r="A8145" s="528" t="s">
        <v>23688</v>
      </c>
      <c r="B8145" s="528" t="s">
        <v>23689</v>
      </c>
      <c r="C8145" s="528" t="s">
        <v>23690</v>
      </c>
      <c r="D8145" s="528" t="s">
        <v>225</v>
      </c>
      <c r="E8145" s="528"/>
      <c r="F8145" s="528"/>
      <c r="G8145" s="528" t="s">
        <v>208</v>
      </c>
    </row>
    <row r="8146" spans="1:7" x14ac:dyDescent="0.35">
      <c r="A8146" s="528" t="s">
        <v>23691</v>
      </c>
      <c r="B8146" s="528" t="s">
        <v>23692</v>
      </c>
      <c r="C8146" s="528" t="s">
        <v>23693</v>
      </c>
      <c r="D8146" s="528" t="s">
        <v>225</v>
      </c>
      <c r="E8146" s="528"/>
      <c r="F8146" s="528"/>
      <c r="G8146" s="528" t="s">
        <v>208</v>
      </c>
    </row>
    <row r="8147" spans="1:7" x14ac:dyDescent="0.35">
      <c r="A8147" s="528" t="s">
        <v>23694</v>
      </c>
      <c r="B8147" s="528" t="s">
        <v>23695</v>
      </c>
      <c r="C8147" s="528" t="s">
        <v>23696</v>
      </c>
      <c r="D8147" s="528" t="s">
        <v>225</v>
      </c>
      <c r="E8147" s="528"/>
      <c r="F8147" s="528"/>
      <c r="G8147" s="528" t="s">
        <v>208</v>
      </c>
    </row>
    <row r="8148" spans="1:7" x14ac:dyDescent="0.35">
      <c r="A8148" s="528" t="s">
        <v>23697</v>
      </c>
      <c r="B8148" s="528" t="s">
        <v>23698</v>
      </c>
      <c r="C8148" s="528" t="s">
        <v>23699</v>
      </c>
      <c r="D8148" s="528" t="s">
        <v>225</v>
      </c>
      <c r="E8148" s="528"/>
      <c r="F8148" s="528"/>
      <c r="G8148" s="528" t="s">
        <v>208</v>
      </c>
    </row>
    <row r="8149" spans="1:7" x14ac:dyDescent="0.35">
      <c r="A8149" s="528" t="s">
        <v>23700</v>
      </c>
      <c r="B8149" s="528" t="s">
        <v>23701</v>
      </c>
      <c r="C8149" s="528" t="s">
        <v>23702</v>
      </c>
      <c r="D8149" s="528" t="s">
        <v>225</v>
      </c>
      <c r="E8149" s="528"/>
      <c r="F8149" s="528"/>
      <c r="G8149" s="528" t="s">
        <v>208</v>
      </c>
    </row>
    <row r="8150" spans="1:7" x14ac:dyDescent="0.35">
      <c r="A8150" s="528" t="s">
        <v>23703</v>
      </c>
      <c r="B8150" s="528" t="s">
        <v>23704</v>
      </c>
      <c r="C8150" s="528" t="s">
        <v>23705</v>
      </c>
      <c r="D8150" s="528" t="s">
        <v>225</v>
      </c>
      <c r="E8150" s="528"/>
      <c r="F8150" s="528"/>
      <c r="G8150" s="528" t="s">
        <v>208</v>
      </c>
    </row>
    <row r="8151" spans="1:7" x14ac:dyDescent="0.35">
      <c r="A8151" s="528" t="s">
        <v>23706</v>
      </c>
      <c r="B8151" s="528" t="s">
        <v>23707</v>
      </c>
      <c r="C8151" s="528" t="s">
        <v>23708</v>
      </c>
      <c r="D8151" s="528" t="s">
        <v>225</v>
      </c>
      <c r="E8151" s="528"/>
      <c r="F8151" s="528"/>
      <c r="G8151" s="528" t="s">
        <v>208</v>
      </c>
    </row>
    <row r="8152" spans="1:7" x14ac:dyDescent="0.35">
      <c r="A8152" s="528" t="s">
        <v>23709</v>
      </c>
      <c r="B8152" s="528" t="s">
        <v>23710</v>
      </c>
      <c r="C8152" s="528" t="s">
        <v>23711</v>
      </c>
      <c r="D8152" s="528" t="s">
        <v>264</v>
      </c>
      <c r="E8152" s="528"/>
      <c r="F8152" s="528"/>
      <c r="G8152" s="528" t="s">
        <v>212</v>
      </c>
    </row>
    <row r="8153" spans="1:7" x14ac:dyDescent="0.35">
      <c r="A8153" s="528" t="s">
        <v>23712</v>
      </c>
      <c r="B8153" s="528" t="s">
        <v>23713</v>
      </c>
      <c r="C8153" s="528" t="s">
        <v>23714</v>
      </c>
      <c r="D8153" s="528" t="s">
        <v>277</v>
      </c>
      <c r="E8153" s="528"/>
      <c r="F8153" s="528"/>
      <c r="G8153" s="528" t="s">
        <v>208</v>
      </c>
    </row>
    <row r="8154" spans="1:7" x14ac:dyDescent="0.35">
      <c r="A8154" s="528" t="s">
        <v>23715</v>
      </c>
      <c r="B8154" s="528" t="s">
        <v>23716</v>
      </c>
      <c r="C8154" s="528" t="s">
        <v>23717</v>
      </c>
      <c r="D8154" s="528" t="s">
        <v>264</v>
      </c>
      <c r="E8154" s="528"/>
      <c r="F8154" s="528"/>
      <c r="G8154" s="528" t="s">
        <v>212</v>
      </c>
    </row>
    <row r="8155" spans="1:7" x14ac:dyDescent="0.35">
      <c r="A8155" s="528" t="s">
        <v>23718</v>
      </c>
      <c r="B8155" s="528" t="s">
        <v>23719</v>
      </c>
      <c r="C8155" s="528" t="s">
        <v>23720</v>
      </c>
      <c r="D8155" s="528" t="s">
        <v>264</v>
      </c>
      <c r="E8155" s="528"/>
      <c r="F8155" s="528"/>
      <c r="G8155" s="528" t="s">
        <v>205</v>
      </c>
    </row>
    <row r="8156" spans="1:7" x14ac:dyDescent="0.35">
      <c r="A8156" s="528" t="s">
        <v>23721</v>
      </c>
      <c r="B8156" s="528" t="s">
        <v>23722</v>
      </c>
      <c r="C8156" s="528" t="s">
        <v>23723</v>
      </c>
      <c r="D8156" s="528" t="s">
        <v>264</v>
      </c>
      <c r="E8156" s="528"/>
      <c r="F8156" s="528"/>
      <c r="G8156" s="528" t="s">
        <v>212</v>
      </c>
    </row>
    <row r="8157" spans="1:7" x14ac:dyDescent="0.35">
      <c r="A8157" s="528" t="s">
        <v>23724</v>
      </c>
      <c r="B8157" s="528" t="s">
        <v>23725</v>
      </c>
      <c r="C8157" s="528" t="s">
        <v>23726</v>
      </c>
      <c r="D8157" s="528" t="s">
        <v>264</v>
      </c>
      <c r="E8157" s="528"/>
      <c r="F8157" s="528"/>
      <c r="G8157" s="528" t="s">
        <v>212</v>
      </c>
    </row>
    <row r="8158" spans="1:7" x14ac:dyDescent="0.35">
      <c r="A8158" s="528" t="s">
        <v>23727</v>
      </c>
      <c r="B8158" s="528" t="s">
        <v>23728</v>
      </c>
      <c r="C8158" s="528" t="s">
        <v>23729</v>
      </c>
      <c r="D8158" s="528" t="s">
        <v>264</v>
      </c>
      <c r="E8158" s="528"/>
      <c r="F8158" s="528"/>
      <c r="G8158" s="528" t="s">
        <v>212</v>
      </c>
    </row>
    <row r="8159" spans="1:7" x14ac:dyDescent="0.35">
      <c r="A8159" s="528" t="s">
        <v>23730</v>
      </c>
      <c r="B8159" s="528" t="s">
        <v>23731</v>
      </c>
      <c r="C8159" s="528" t="s">
        <v>23732</v>
      </c>
      <c r="D8159" s="528" t="s">
        <v>264</v>
      </c>
      <c r="E8159" s="528" t="s">
        <v>277</v>
      </c>
      <c r="F8159" s="528"/>
      <c r="G8159" s="528" t="s">
        <v>212</v>
      </c>
    </row>
    <row r="8160" spans="1:7" x14ac:dyDescent="0.35">
      <c r="A8160" s="528" t="s">
        <v>23733</v>
      </c>
      <c r="B8160" s="528" t="s">
        <v>23734</v>
      </c>
      <c r="C8160" s="528" t="s">
        <v>23735</v>
      </c>
      <c r="D8160" s="528" t="s">
        <v>238</v>
      </c>
      <c r="E8160" s="528"/>
      <c r="F8160" s="528"/>
      <c r="G8160" s="528" t="s">
        <v>212</v>
      </c>
    </row>
    <row r="8161" spans="1:7" x14ac:dyDescent="0.35">
      <c r="A8161" s="528" t="s">
        <v>23736</v>
      </c>
      <c r="B8161" s="528" t="s">
        <v>23737</v>
      </c>
      <c r="C8161" s="528" t="s">
        <v>23738</v>
      </c>
      <c r="D8161" s="528" t="s">
        <v>264</v>
      </c>
      <c r="E8161" s="528" t="s">
        <v>277</v>
      </c>
      <c r="F8161" s="528"/>
      <c r="G8161" s="528" t="s">
        <v>212</v>
      </c>
    </row>
    <row r="8162" spans="1:7" x14ac:dyDescent="0.35">
      <c r="A8162" s="528" t="s">
        <v>23739</v>
      </c>
      <c r="B8162" s="528" t="s">
        <v>23740</v>
      </c>
      <c r="C8162" s="528" t="s">
        <v>23741</v>
      </c>
      <c r="D8162" s="528" t="s">
        <v>264</v>
      </c>
      <c r="E8162" s="528"/>
      <c r="F8162" s="528"/>
      <c r="G8162" s="528" t="s">
        <v>212</v>
      </c>
    </row>
    <row r="8163" spans="1:7" x14ac:dyDescent="0.35">
      <c r="A8163" s="528" t="s">
        <v>23742</v>
      </c>
      <c r="B8163" s="528" t="s">
        <v>23743</v>
      </c>
      <c r="C8163" s="528" t="s">
        <v>23744</v>
      </c>
      <c r="D8163" s="528" t="s">
        <v>264</v>
      </c>
      <c r="E8163" s="528" t="s">
        <v>277</v>
      </c>
      <c r="F8163" s="528"/>
      <c r="G8163" s="528" t="s">
        <v>212</v>
      </c>
    </row>
    <row r="8164" spans="1:7" x14ac:dyDescent="0.35">
      <c r="A8164" s="528" t="s">
        <v>23745</v>
      </c>
      <c r="B8164" s="528" t="s">
        <v>23746</v>
      </c>
      <c r="C8164" s="528" t="s">
        <v>23747</v>
      </c>
      <c r="D8164" s="528" t="s">
        <v>264</v>
      </c>
      <c r="E8164" s="528" t="s">
        <v>277</v>
      </c>
      <c r="F8164" s="528"/>
      <c r="G8164" s="528" t="s">
        <v>214</v>
      </c>
    </row>
    <row r="8165" spans="1:7" x14ac:dyDescent="0.35">
      <c r="A8165" s="528" t="s">
        <v>23748</v>
      </c>
      <c r="B8165" s="528" t="s">
        <v>23749</v>
      </c>
      <c r="C8165" s="528" t="s">
        <v>23750</v>
      </c>
      <c r="D8165" s="528" t="s">
        <v>264</v>
      </c>
      <c r="E8165" s="528"/>
      <c r="F8165" s="528"/>
      <c r="G8165" s="528" t="s">
        <v>212</v>
      </c>
    </row>
    <row r="8166" spans="1:7" x14ac:dyDescent="0.35">
      <c r="A8166" s="528" t="s">
        <v>23751</v>
      </c>
      <c r="B8166" s="528" t="s">
        <v>23752</v>
      </c>
      <c r="C8166" s="528" t="s">
        <v>23753</v>
      </c>
      <c r="D8166" s="528" t="s">
        <v>264</v>
      </c>
      <c r="E8166" s="528" t="s">
        <v>225</v>
      </c>
      <c r="F8166" s="528" t="s">
        <v>277</v>
      </c>
      <c r="G8166" s="528" t="s">
        <v>212</v>
      </c>
    </row>
    <row r="8167" spans="1:7" x14ac:dyDescent="0.35">
      <c r="A8167" s="528" t="s">
        <v>23754</v>
      </c>
      <c r="B8167" s="528" t="s">
        <v>23755</v>
      </c>
      <c r="C8167" s="528" t="s">
        <v>23756</v>
      </c>
      <c r="D8167" s="528" t="s">
        <v>264</v>
      </c>
      <c r="E8167" s="528"/>
      <c r="F8167" s="528"/>
      <c r="G8167" s="528" t="s">
        <v>208</v>
      </c>
    </row>
    <row r="8168" spans="1:7" x14ac:dyDescent="0.35">
      <c r="A8168" s="528" t="s">
        <v>23757</v>
      </c>
      <c r="B8168" s="528" t="s">
        <v>23758</v>
      </c>
      <c r="C8168" s="528" t="s">
        <v>23759</v>
      </c>
      <c r="D8168" s="528" t="s">
        <v>264</v>
      </c>
      <c r="E8168" s="528"/>
      <c r="F8168" s="528"/>
      <c r="G8168" s="528" t="s">
        <v>214</v>
      </c>
    </row>
    <row r="8169" spans="1:7" x14ac:dyDescent="0.35">
      <c r="A8169" s="528" t="s">
        <v>23760</v>
      </c>
      <c r="B8169" s="528" t="s">
        <v>23761</v>
      </c>
      <c r="C8169" s="528" t="s">
        <v>23762</v>
      </c>
      <c r="D8169" s="528" t="s">
        <v>264</v>
      </c>
      <c r="E8169" s="528"/>
      <c r="F8169" s="528"/>
      <c r="G8169" s="528" t="s">
        <v>208</v>
      </c>
    </row>
    <row r="8170" spans="1:7" x14ac:dyDescent="0.35">
      <c r="A8170" s="528" t="s">
        <v>23763</v>
      </c>
      <c r="B8170" s="528" t="s">
        <v>23764</v>
      </c>
      <c r="C8170" s="528" t="s">
        <v>23765</v>
      </c>
      <c r="D8170" s="528" t="s">
        <v>264</v>
      </c>
      <c r="E8170" s="528"/>
      <c r="F8170" s="528"/>
      <c r="G8170" s="528" t="s">
        <v>212</v>
      </c>
    </row>
    <row r="8171" spans="1:7" x14ac:dyDescent="0.35">
      <c r="A8171" s="528" t="s">
        <v>23766</v>
      </c>
      <c r="B8171" s="528" t="s">
        <v>23767</v>
      </c>
      <c r="C8171" s="528" t="s">
        <v>23768</v>
      </c>
      <c r="D8171" s="528" t="s">
        <v>277</v>
      </c>
      <c r="E8171" s="528"/>
      <c r="F8171" s="528"/>
      <c r="G8171" s="528" t="s">
        <v>208</v>
      </c>
    </row>
    <row r="8172" spans="1:7" x14ac:dyDescent="0.35">
      <c r="A8172" s="528" t="s">
        <v>23769</v>
      </c>
      <c r="B8172" s="528" t="s">
        <v>23770</v>
      </c>
      <c r="C8172" s="528" t="s">
        <v>23771</v>
      </c>
      <c r="D8172" s="528" t="s">
        <v>225</v>
      </c>
      <c r="E8172" s="528"/>
      <c r="F8172" s="528"/>
      <c r="G8172" s="528" t="s">
        <v>208</v>
      </c>
    </row>
    <row r="8173" spans="1:7" x14ac:dyDescent="0.35">
      <c r="A8173" s="528" t="s">
        <v>23772</v>
      </c>
      <c r="B8173" s="528" t="s">
        <v>23773</v>
      </c>
      <c r="C8173" s="528" t="s">
        <v>23774</v>
      </c>
      <c r="D8173" s="528" t="s">
        <v>225</v>
      </c>
      <c r="E8173" s="528"/>
      <c r="F8173" s="528"/>
      <c r="G8173" s="528" t="s">
        <v>212</v>
      </c>
    </row>
    <row r="8174" spans="1:7" x14ac:dyDescent="0.35">
      <c r="A8174" s="528" t="s">
        <v>23775</v>
      </c>
      <c r="B8174" s="528" t="s">
        <v>23776</v>
      </c>
      <c r="C8174" s="528" t="s">
        <v>23777</v>
      </c>
      <c r="D8174" s="528" t="s">
        <v>277</v>
      </c>
      <c r="E8174" s="528"/>
      <c r="F8174" s="528"/>
      <c r="G8174" s="528" t="s">
        <v>208</v>
      </c>
    </row>
    <row r="8175" spans="1:7" x14ac:dyDescent="0.35">
      <c r="A8175" s="528" t="s">
        <v>23778</v>
      </c>
      <c r="B8175" s="528" t="s">
        <v>23779</v>
      </c>
      <c r="C8175" s="528" t="s">
        <v>23780</v>
      </c>
      <c r="D8175" s="528" t="s">
        <v>238</v>
      </c>
      <c r="E8175" s="528"/>
      <c r="F8175" s="528"/>
      <c r="G8175" s="528" t="s">
        <v>212</v>
      </c>
    </row>
    <row r="8176" spans="1:7" x14ac:dyDescent="0.35">
      <c r="A8176" s="528" t="s">
        <v>23781</v>
      </c>
      <c r="B8176" s="528" t="s">
        <v>23782</v>
      </c>
      <c r="C8176" s="528" t="s">
        <v>23783</v>
      </c>
      <c r="D8176" s="528" t="s">
        <v>225</v>
      </c>
      <c r="E8176" s="528"/>
      <c r="F8176" s="528"/>
      <c r="G8176" s="528" t="s">
        <v>212</v>
      </c>
    </row>
    <row r="8177" spans="1:7" x14ac:dyDescent="0.35">
      <c r="A8177" s="528" t="s">
        <v>23784</v>
      </c>
      <c r="B8177" s="528" t="s">
        <v>23785</v>
      </c>
      <c r="C8177" s="528" t="s">
        <v>23786</v>
      </c>
      <c r="D8177" s="528" t="s">
        <v>225</v>
      </c>
      <c r="E8177" s="528"/>
      <c r="F8177" s="528"/>
      <c r="G8177" s="528" t="s">
        <v>212</v>
      </c>
    </row>
    <row r="8178" spans="1:7" x14ac:dyDescent="0.35">
      <c r="A8178" s="528" t="s">
        <v>23787</v>
      </c>
      <c r="B8178" s="528" t="s">
        <v>23788</v>
      </c>
      <c r="C8178" s="528" t="s">
        <v>28355</v>
      </c>
      <c r="D8178" s="528" t="s">
        <v>264</v>
      </c>
      <c r="E8178" s="528"/>
      <c r="F8178" s="528"/>
      <c r="G8178" s="528" t="s">
        <v>214</v>
      </c>
    </row>
    <row r="8179" spans="1:7" x14ac:dyDescent="0.35">
      <c r="A8179" s="528" t="s">
        <v>23789</v>
      </c>
      <c r="B8179" s="528" t="s">
        <v>23790</v>
      </c>
      <c r="C8179" s="528" t="s">
        <v>23791</v>
      </c>
      <c r="D8179" s="528" t="s">
        <v>264</v>
      </c>
      <c r="E8179" s="528"/>
      <c r="F8179" s="528"/>
      <c r="G8179" s="528" t="s">
        <v>214</v>
      </c>
    </row>
    <row r="8180" spans="1:7" x14ac:dyDescent="0.35">
      <c r="A8180" s="528" t="s">
        <v>23792</v>
      </c>
      <c r="B8180" s="528" t="s">
        <v>23793</v>
      </c>
      <c r="C8180" s="528" t="s">
        <v>23794</v>
      </c>
      <c r="D8180" s="528" t="s">
        <v>264</v>
      </c>
      <c r="E8180" s="528"/>
      <c r="F8180" s="528"/>
      <c r="G8180" s="528" t="s">
        <v>208</v>
      </c>
    </row>
    <row r="8181" spans="1:7" x14ac:dyDescent="0.35">
      <c r="A8181" s="528" t="s">
        <v>23795</v>
      </c>
      <c r="B8181" s="528" t="s">
        <v>23796</v>
      </c>
      <c r="C8181" s="528" t="s">
        <v>23797</v>
      </c>
      <c r="D8181" s="528" t="s">
        <v>277</v>
      </c>
      <c r="E8181" s="528"/>
      <c r="F8181" s="528"/>
      <c r="G8181" s="528" t="s">
        <v>212</v>
      </c>
    </row>
    <row r="8182" spans="1:7" x14ac:dyDescent="0.35">
      <c r="A8182" s="528" t="s">
        <v>23798</v>
      </c>
      <c r="B8182" s="528" t="s">
        <v>23799</v>
      </c>
      <c r="C8182" s="528" t="s">
        <v>23800</v>
      </c>
      <c r="D8182" s="528" t="s">
        <v>277</v>
      </c>
      <c r="E8182" s="528"/>
      <c r="F8182" s="528"/>
      <c r="G8182" s="528" t="s">
        <v>208</v>
      </c>
    </row>
    <row r="8183" spans="1:7" x14ac:dyDescent="0.35">
      <c r="A8183" s="528" t="s">
        <v>23801</v>
      </c>
      <c r="B8183" s="528" t="s">
        <v>23802</v>
      </c>
      <c r="C8183" s="528" t="s">
        <v>23803</v>
      </c>
      <c r="D8183" s="528" t="s">
        <v>277</v>
      </c>
      <c r="E8183" s="528"/>
      <c r="F8183" s="528"/>
      <c r="G8183" s="528" t="s">
        <v>205</v>
      </c>
    </row>
    <row r="8184" spans="1:7" x14ac:dyDescent="0.35">
      <c r="A8184" s="528" t="s">
        <v>23804</v>
      </c>
      <c r="B8184" s="528" t="s">
        <v>23805</v>
      </c>
      <c r="C8184" s="528" t="s">
        <v>23806</v>
      </c>
      <c r="D8184" s="528" t="s">
        <v>277</v>
      </c>
      <c r="E8184" s="528"/>
      <c r="F8184" s="528"/>
      <c r="G8184" s="528" t="s">
        <v>205</v>
      </c>
    </row>
    <row r="8185" spans="1:7" x14ac:dyDescent="0.35">
      <c r="A8185" s="528" t="s">
        <v>23807</v>
      </c>
      <c r="B8185" s="528" t="s">
        <v>23808</v>
      </c>
      <c r="C8185" s="528" t="s">
        <v>23809</v>
      </c>
      <c r="D8185" s="528" t="s">
        <v>238</v>
      </c>
      <c r="E8185" s="528"/>
      <c r="F8185" s="528"/>
      <c r="G8185" s="528" t="s">
        <v>208</v>
      </c>
    </row>
    <row r="8186" spans="1:7" x14ac:dyDescent="0.35">
      <c r="A8186" s="528" t="s">
        <v>23810</v>
      </c>
      <c r="B8186" s="528" t="s">
        <v>23811</v>
      </c>
      <c r="C8186" s="528" t="s">
        <v>23812</v>
      </c>
      <c r="D8186" s="528" t="s">
        <v>264</v>
      </c>
      <c r="E8186" s="528"/>
      <c r="F8186" s="528"/>
      <c r="G8186" s="528" t="s">
        <v>210</v>
      </c>
    </row>
    <row r="8187" spans="1:7" x14ac:dyDescent="0.35">
      <c r="A8187" s="528" t="s">
        <v>23813</v>
      </c>
      <c r="B8187" s="528" t="s">
        <v>23814</v>
      </c>
      <c r="C8187" s="528" t="s">
        <v>23815</v>
      </c>
      <c r="D8187" s="528" t="s">
        <v>277</v>
      </c>
      <c r="E8187" s="528"/>
      <c r="F8187" s="528"/>
      <c r="G8187" s="528" t="s">
        <v>205</v>
      </c>
    </row>
    <row r="8188" spans="1:7" x14ac:dyDescent="0.35">
      <c r="A8188" s="528" t="s">
        <v>23816</v>
      </c>
      <c r="B8188" s="528" t="s">
        <v>23817</v>
      </c>
      <c r="C8188" s="528" t="s">
        <v>23818</v>
      </c>
      <c r="D8188" s="528" t="s">
        <v>264</v>
      </c>
      <c r="E8188" s="528"/>
      <c r="F8188" s="528"/>
      <c r="G8188" s="528" t="s">
        <v>208</v>
      </c>
    </row>
    <row r="8189" spans="1:7" x14ac:dyDescent="0.35">
      <c r="A8189" s="528" t="s">
        <v>23819</v>
      </c>
      <c r="B8189" s="528" t="s">
        <v>23820</v>
      </c>
      <c r="C8189" s="528" t="s">
        <v>23821</v>
      </c>
      <c r="D8189" s="528" t="s">
        <v>264</v>
      </c>
      <c r="E8189" s="528"/>
      <c r="F8189" s="528"/>
      <c r="G8189" s="528" t="s">
        <v>208</v>
      </c>
    </row>
    <row r="8190" spans="1:7" x14ac:dyDescent="0.35">
      <c r="A8190" s="528" t="s">
        <v>23822</v>
      </c>
      <c r="B8190" s="528" t="s">
        <v>23823</v>
      </c>
      <c r="C8190" s="528" t="s">
        <v>23824</v>
      </c>
      <c r="D8190" s="528" t="s">
        <v>225</v>
      </c>
      <c r="E8190" s="528"/>
      <c r="F8190" s="528"/>
      <c r="G8190" s="528" t="s">
        <v>208</v>
      </c>
    </row>
    <row r="8191" spans="1:7" x14ac:dyDescent="0.35">
      <c r="A8191" s="528" t="s">
        <v>23825</v>
      </c>
      <c r="B8191" s="528" t="s">
        <v>23826</v>
      </c>
      <c r="C8191" s="528" t="s">
        <v>23827</v>
      </c>
      <c r="D8191" s="528" t="s">
        <v>277</v>
      </c>
      <c r="E8191" s="528"/>
      <c r="F8191" s="528"/>
      <c r="G8191" s="528" t="s">
        <v>212</v>
      </c>
    </row>
    <row r="8192" spans="1:7" x14ac:dyDescent="0.35">
      <c r="A8192" s="528" t="s">
        <v>23828</v>
      </c>
      <c r="B8192" s="528" t="s">
        <v>23829</v>
      </c>
      <c r="C8192" s="528" t="s">
        <v>23830</v>
      </c>
      <c r="D8192" s="528" t="s">
        <v>251</v>
      </c>
      <c r="E8192" s="528"/>
      <c r="F8192" s="528"/>
      <c r="G8192" s="528" t="s">
        <v>208</v>
      </c>
    </row>
    <row r="8193" spans="1:7" x14ac:dyDescent="0.35">
      <c r="A8193" s="528" t="s">
        <v>23831</v>
      </c>
      <c r="B8193" s="528" t="s">
        <v>23832</v>
      </c>
      <c r="C8193" s="528" t="s">
        <v>23833</v>
      </c>
      <c r="D8193" s="528" t="s">
        <v>277</v>
      </c>
      <c r="E8193" s="528"/>
      <c r="F8193" s="528"/>
      <c r="G8193" s="528" t="s">
        <v>208</v>
      </c>
    </row>
    <row r="8194" spans="1:7" x14ac:dyDescent="0.35">
      <c r="A8194" s="528" t="s">
        <v>23834</v>
      </c>
      <c r="B8194" s="528" t="s">
        <v>23835</v>
      </c>
      <c r="C8194" s="528" t="s">
        <v>23836</v>
      </c>
      <c r="D8194" s="528" t="s">
        <v>251</v>
      </c>
      <c r="E8194" s="528"/>
      <c r="F8194" s="528"/>
      <c r="G8194" s="528" t="s">
        <v>208</v>
      </c>
    </row>
    <row r="8195" spans="1:7" x14ac:dyDescent="0.35">
      <c r="A8195" s="528" t="s">
        <v>23837</v>
      </c>
      <c r="B8195" s="528" t="s">
        <v>23838</v>
      </c>
      <c r="C8195" s="528" t="s">
        <v>23839</v>
      </c>
      <c r="D8195" s="528" t="s">
        <v>251</v>
      </c>
      <c r="E8195" s="528"/>
      <c r="F8195" s="528"/>
      <c r="G8195" s="528" t="s">
        <v>208</v>
      </c>
    </row>
    <row r="8196" spans="1:7" x14ac:dyDescent="0.35">
      <c r="A8196" s="528" t="s">
        <v>23840</v>
      </c>
      <c r="B8196" s="528" t="s">
        <v>23841</v>
      </c>
      <c r="C8196" s="528" t="s">
        <v>23842</v>
      </c>
      <c r="D8196" s="528" t="s">
        <v>251</v>
      </c>
      <c r="E8196" s="528"/>
      <c r="F8196" s="528"/>
      <c r="G8196" s="528" t="s">
        <v>208</v>
      </c>
    </row>
    <row r="8197" spans="1:7" x14ac:dyDescent="0.35">
      <c r="A8197" s="528" t="s">
        <v>23843</v>
      </c>
      <c r="B8197" s="528" t="s">
        <v>23844</v>
      </c>
      <c r="C8197" s="528" t="s">
        <v>23845</v>
      </c>
      <c r="D8197" s="528" t="s">
        <v>251</v>
      </c>
      <c r="E8197" s="528"/>
      <c r="F8197" s="528"/>
      <c r="G8197" s="528" t="s">
        <v>208</v>
      </c>
    </row>
    <row r="8198" spans="1:7" x14ac:dyDescent="0.35">
      <c r="A8198" s="528" t="s">
        <v>23846</v>
      </c>
      <c r="B8198" s="528" t="s">
        <v>23847</v>
      </c>
      <c r="C8198" s="528" t="s">
        <v>23848</v>
      </c>
      <c r="D8198" s="528" t="s">
        <v>251</v>
      </c>
      <c r="E8198" s="528"/>
      <c r="F8198" s="528"/>
      <c r="G8198" s="528" t="s">
        <v>208</v>
      </c>
    </row>
    <row r="8199" spans="1:7" x14ac:dyDescent="0.35">
      <c r="A8199" s="528" t="s">
        <v>23849</v>
      </c>
      <c r="B8199" s="528" t="s">
        <v>23850</v>
      </c>
      <c r="C8199" s="528" t="s">
        <v>23851</v>
      </c>
      <c r="D8199" s="528" t="s">
        <v>251</v>
      </c>
      <c r="E8199" s="528"/>
      <c r="F8199" s="528"/>
      <c r="G8199" s="528" t="s">
        <v>208</v>
      </c>
    </row>
    <row r="8200" spans="1:7" x14ac:dyDescent="0.35">
      <c r="A8200" s="528" t="s">
        <v>23852</v>
      </c>
      <c r="B8200" s="528" t="s">
        <v>23853</v>
      </c>
      <c r="C8200" s="528" t="s">
        <v>23854</v>
      </c>
      <c r="D8200" s="528" t="s">
        <v>264</v>
      </c>
      <c r="E8200" s="528"/>
      <c r="F8200" s="528"/>
      <c r="G8200" s="528" t="s">
        <v>208</v>
      </c>
    </row>
    <row r="8201" spans="1:7" x14ac:dyDescent="0.35">
      <c r="A8201" s="528" t="s">
        <v>23855</v>
      </c>
      <c r="B8201" s="528" t="s">
        <v>23856</v>
      </c>
      <c r="C8201" s="528" t="s">
        <v>16702</v>
      </c>
      <c r="D8201" s="528" t="s">
        <v>277</v>
      </c>
      <c r="E8201" s="528"/>
      <c r="F8201" s="528"/>
      <c r="G8201" s="528" t="s">
        <v>208</v>
      </c>
    </row>
    <row r="8202" spans="1:7" x14ac:dyDescent="0.35">
      <c r="A8202" s="528" t="s">
        <v>23857</v>
      </c>
      <c r="B8202" s="528" t="s">
        <v>23858</v>
      </c>
      <c r="C8202" s="528" t="s">
        <v>23859</v>
      </c>
      <c r="D8202" s="528" t="s">
        <v>225</v>
      </c>
      <c r="E8202" s="528"/>
      <c r="F8202" s="528"/>
      <c r="G8202" s="528" t="s">
        <v>208</v>
      </c>
    </row>
    <row r="8203" spans="1:7" x14ac:dyDescent="0.35">
      <c r="A8203" s="528" t="s">
        <v>23860</v>
      </c>
      <c r="B8203" s="528" t="s">
        <v>23861</v>
      </c>
      <c r="C8203" s="528" t="s">
        <v>23862</v>
      </c>
      <c r="D8203" s="528" t="s">
        <v>264</v>
      </c>
      <c r="E8203" s="528"/>
      <c r="F8203" s="528"/>
      <c r="G8203" s="528" t="s">
        <v>208</v>
      </c>
    </row>
    <row r="8204" spans="1:7" x14ac:dyDescent="0.35">
      <c r="A8204" s="528" t="s">
        <v>23863</v>
      </c>
      <c r="B8204" s="528" t="s">
        <v>23864</v>
      </c>
      <c r="C8204" s="528" t="s">
        <v>23865</v>
      </c>
      <c r="D8204" s="528" t="s">
        <v>264</v>
      </c>
      <c r="E8204" s="528"/>
      <c r="F8204" s="528"/>
      <c r="G8204" s="528" t="s">
        <v>208</v>
      </c>
    </row>
    <row r="8205" spans="1:7" x14ac:dyDescent="0.35">
      <c r="A8205" s="528" t="s">
        <v>23866</v>
      </c>
      <c r="B8205" s="528" t="s">
        <v>23867</v>
      </c>
      <c r="C8205" s="528" t="s">
        <v>23868</v>
      </c>
      <c r="D8205" s="528" t="s">
        <v>264</v>
      </c>
      <c r="E8205" s="528" t="s">
        <v>277</v>
      </c>
      <c r="F8205" s="528"/>
      <c r="G8205" s="528" t="s">
        <v>208</v>
      </c>
    </row>
    <row r="8206" spans="1:7" x14ac:dyDescent="0.35">
      <c r="A8206" s="528" t="s">
        <v>23869</v>
      </c>
      <c r="B8206" s="528" t="s">
        <v>23870</v>
      </c>
      <c r="C8206" s="528" t="s">
        <v>23871</v>
      </c>
      <c r="D8206" s="528" t="s">
        <v>264</v>
      </c>
      <c r="E8206" s="528"/>
      <c r="F8206" s="528"/>
      <c r="G8206" s="528" t="s">
        <v>208</v>
      </c>
    </row>
    <row r="8207" spans="1:7" x14ac:dyDescent="0.35">
      <c r="A8207" s="528" t="s">
        <v>23872</v>
      </c>
      <c r="B8207" s="528" t="s">
        <v>23873</v>
      </c>
      <c r="C8207" s="528" t="s">
        <v>23874</v>
      </c>
      <c r="D8207" s="528" t="s">
        <v>264</v>
      </c>
      <c r="E8207" s="528"/>
      <c r="F8207" s="528"/>
      <c r="G8207" s="528" t="s">
        <v>208</v>
      </c>
    </row>
    <row r="8208" spans="1:7" x14ac:dyDescent="0.35">
      <c r="A8208" s="528" t="s">
        <v>23875</v>
      </c>
      <c r="B8208" s="528" t="s">
        <v>23876</v>
      </c>
      <c r="C8208" s="528" t="s">
        <v>23877</v>
      </c>
      <c r="D8208" s="528" t="s">
        <v>264</v>
      </c>
      <c r="E8208" s="528"/>
      <c r="F8208" s="528"/>
      <c r="G8208" s="528" t="s">
        <v>208</v>
      </c>
    </row>
    <row r="8209" spans="1:7" x14ac:dyDescent="0.35">
      <c r="A8209" s="528" t="s">
        <v>23878</v>
      </c>
      <c r="B8209" s="528" t="s">
        <v>23879</v>
      </c>
      <c r="C8209" s="528" t="s">
        <v>23880</v>
      </c>
      <c r="D8209" s="528" t="s">
        <v>238</v>
      </c>
      <c r="E8209" s="528"/>
      <c r="F8209" s="528"/>
      <c r="G8209" s="528" t="s">
        <v>208</v>
      </c>
    </row>
    <row r="8210" spans="1:7" x14ac:dyDescent="0.35">
      <c r="A8210" s="528" t="s">
        <v>23881</v>
      </c>
      <c r="B8210" s="528" t="s">
        <v>23882</v>
      </c>
      <c r="C8210" s="528" t="s">
        <v>23883</v>
      </c>
      <c r="D8210" s="528" t="s">
        <v>264</v>
      </c>
      <c r="E8210" s="528"/>
      <c r="F8210" s="528"/>
      <c r="G8210" s="528" t="s">
        <v>205</v>
      </c>
    </row>
    <row r="8211" spans="1:7" x14ac:dyDescent="0.35">
      <c r="A8211" s="528" t="s">
        <v>23884</v>
      </c>
      <c r="B8211" s="528" t="s">
        <v>23885</v>
      </c>
      <c r="C8211" s="528" t="s">
        <v>23886</v>
      </c>
      <c r="D8211" s="528" t="s">
        <v>277</v>
      </c>
      <c r="E8211" s="528"/>
      <c r="F8211" s="528"/>
      <c r="G8211" s="528" t="s">
        <v>214</v>
      </c>
    </row>
    <row r="8212" spans="1:7" x14ac:dyDescent="0.35">
      <c r="A8212" s="528" t="s">
        <v>23887</v>
      </c>
      <c r="B8212" s="528" t="s">
        <v>23888</v>
      </c>
      <c r="C8212" s="528" t="s">
        <v>23889</v>
      </c>
      <c r="D8212" s="528" t="s">
        <v>264</v>
      </c>
      <c r="E8212" s="528"/>
      <c r="F8212" s="528"/>
      <c r="G8212" s="528" t="s">
        <v>208</v>
      </c>
    </row>
    <row r="8213" spans="1:7" x14ac:dyDescent="0.35">
      <c r="A8213" s="528" t="s">
        <v>23890</v>
      </c>
      <c r="B8213" s="528" t="s">
        <v>23891</v>
      </c>
      <c r="C8213" s="528" t="s">
        <v>23892</v>
      </c>
      <c r="D8213" s="528" t="s">
        <v>251</v>
      </c>
      <c r="E8213" s="528"/>
      <c r="F8213" s="528"/>
      <c r="G8213" s="528" t="s">
        <v>208</v>
      </c>
    </row>
    <row r="8214" spans="1:7" x14ac:dyDescent="0.35">
      <c r="A8214" s="528" t="s">
        <v>23893</v>
      </c>
      <c r="B8214" s="528" t="s">
        <v>23894</v>
      </c>
      <c r="C8214" s="528" t="s">
        <v>23895</v>
      </c>
      <c r="D8214" s="528" t="s">
        <v>251</v>
      </c>
      <c r="E8214" s="528"/>
      <c r="F8214" s="528"/>
      <c r="G8214" s="528" t="s">
        <v>208</v>
      </c>
    </row>
    <row r="8215" spans="1:7" x14ac:dyDescent="0.35">
      <c r="A8215" s="528" t="s">
        <v>23896</v>
      </c>
      <c r="B8215" s="528" t="s">
        <v>23897</v>
      </c>
      <c r="C8215" s="528" t="s">
        <v>23898</v>
      </c>
      <c r="D8215" s="528" t="s">
        <v>251</v>
      </c>
      <c r="E8215" s="528"/>
      <c r="F8215" s="528"/>
      <c r="G8215" s="528" t="s">
        <v>205</v>
      </c>
    </row>
    <row r="8216" spans="1:7" x14ac:dyDescent="0.35">
      <c r="A8216" s="528" t="s">
        <v>23899</v>
      </c>
      <c r="B8216" s="528" t="s">
        <v>23900</v>
      </c>
      <c r="C8216" s="528" t="s">
        <v>23901</v>
      </c>
      <c r="D8216" s="528" t="s">
        <v>277</v>
      </c>
      <c r="E8216" s="528"/>
      <c r="F8216" s="528"/>
      <c r="G8216" s="528" t="s">
        <v>208</v>
      </c>
    </row>
    <row r="8217" spans="1:7" x14ac:dyDescent="0.35">
      <c r="A8217" s="528" t="s">
        <v>23902</v>
      </c>
      <c r="B8217" s="528" t="s">
        <v>23903</v>
      </c>
      <c r="C8217" s="528" t="s">
        <v>23904</v>
      </c>
      <c r="D8217" s="528" t="s">
        <v>264</v>
      </c>
      <c r="E8217" s="528"/>
      <c r="F8217" s="528"/>
      <c r="G8217" s="528" t="s">
        <v>208</v>
      </c>
    </row>
    <row r="8218" spans="1:7" x14ac:dyDescent="0.35">
      <c r="A8218" s="528" t="s">
        <v>23905</v>
      </c>
      <c r="B8218" s="528" t="s">
        <v>23906</v>
      </c>
      <c r="C8218" s="528" t="s">
        <v>23907</v>
      </c>
      <c r="D8218" s="528" t="s">
        <v>277</v>
      </c>
      <c r="E8218" s="528" t="s">
        <v>264</v>
      </c>
      <c r="F8218" s="528"/>
      <c r="G8218" s="528" t="s">
        <v>208</v>
      </c>
    </row>
    <row r="8219" spans="1:7" x14ac:dyDescent="0.35">
      <c r="A8219" s="528" t="s">
        <v>23908</v>
      </c>
      <c r="B8219" s="528" t="s">
        <v>23909</v>
      </c>
      <c r="C8219" s="528" t="s">
        <v>23910</v>
      </c>
      <c r="D8219" s="528" t="s">
        <v>277</v>
      </c>
      <c r="E8219" s="528"/>
      <c r="F8219" s="528"/>
      <c r="G8219" s="528" t="s">
        <v>208</v>
      </c>
    </row>
    <row r="8220" spans="1:7" x14ac:dyDescent="0.35">
      <c r="A8220" s="528" t="s">
        <v>23911</v>
      </c>
      <c r="B8220" s="528" t="s">
        <v>23912</v>
      </c>
      <c r="C8220" s="528" t="s">
        <v>23913</v>
      </c>
      <c r="D8220" s="528" t="s">
        <v>238</v>
      </c>
      <c r="E8220" s="528"/>
      <c r="F8220" s="528"/>
      <c r="G8220" s="528" t="s">
        <v>208</v>
      </c>
    </row>
    <row r="8221" spans="1:7" x14ac:dyDescent="0.35">
      <c r="A8221" s="528" t="s">
        <v>23914</v>
      </c>
      <c r="B8221" s="528" t="s">
        <v>23915</v>
      </c>
      <c r="C8221" s="528" t="s">
        <v>23916</v>
      </c>
      <c r="D8221" s="528" t="s">
        <v>264</v>
      </c>
      <c r="E8221" s="528"/>
      <c r="F8221" s="528"/>
      <c r="G8221" s="528" t="s">
        <v>208</v>
      </c>
    </row>
    <row r="8222" spans="1:7" x14ac:dyDescent="0.35">
      <c r="A8222" s="528" t="s">
        <v>23917</v>
      </c>
      <c r="B8222" s="528" t="s">
        <v>23918</v>
      </c>
      <c r="C8222" s="528" t="s">
        <v>23919</v>
      </c>
      <c r="D8222" s="528" t="s">
        <v>264</v>
      </c>
      <c r="E8222" s="528"/>
      <c r="F8222" s="528"/>
      <c r="G8222" s="528" t="s">
        <v>208</v>
      </c>
    </row>
    <row r="8223" spans="1:7" x14ac:dyDescent="0.35">
      <c r="A8223" s="528" t="s">
        <v>23920</v>
      </c>
      <c r="B8223" s="528" t="s">
        <v>23921</v>
      </c>
      <c r="C8223" s="528" t="s">
        <v>23922</v>
      </c>
      <c r="D8223" s="528" t="s">
        <v>277</v>
      </c>
      <c r="E8223" s="528"/>
      <c r="F8223" s="528"/>
      <c r="G8223" s="528" t="s">
        <v>208</v>
      </c>
    </row>
    <row r="8224" spans="1:7" x14ac:dyDescent="0.35">
      <c r="A8224" s="528" t="s">
        <v>23923</v>
      </c>
      <c r="B8224" s="528" t="s">
        <v>23924</v>
      </c>
      <c r="C8224" s="528" t="s">
        <v>23925</v>
      </c>
      <c r="D8224" s="528" t="s">
        <v>277</v>
      </c>
      <c r="E8224" s="528"/>
      <c r="F8224" s="528"/>
      <c r="G8224" s="528" t="s">
        <v>208</v>
      </c>
    </row>
    <row r="8225" spans="1:7" x14ac:dyDescent="0.35">
      <c r="A8225" s="528" t="s">
        <v>23926</v>
      </c>
      <c r="B8225" s="528" t="s">
        <v>23927</v>
      </c>
      <c r="C8225" s="528" t="s">
        <v>23928</v>
      </c>
      <c r="D8225" s="528" t="s">
        <v>238</v>
      </c>
      <c r="E8225" s="528"/>
      <c r="F8225" s="528"/>
      <c r="G8225" s="528" t="s">
        <v>208</v>
      </c>
    </row>
    <row r="8226" spans="1:7" x14ac:dyDescent="0.35">
      <c r="A8226" s="528" t="s">
        <v>23929</v>
      </c>
      <c r="B8226" s="528" t="s">
        <v>23930</v>
      </c>
      <c r="C8226" s="528" t="s">
        <v>23931</v>
      </c>
      <c r="D8226" s="528" t="s">
        <v>238</v>
      </c>
      <c r="E8226" s="528"/>
      <c r="F8226" s="528"/>
      <c r="G8226" s="528" t="s">
        <v>208</v>
      </c>
    </row>
    <row r="8227" spans="1:7" x14ac:dyDescent="0.35">
      <c r="A8227" s="528" t="s">
        <v>23932</v>
      </c>
      <c r="B8227" s="528" t="s">
        <v>23933</v>
      </c>
      <c r="C8227" s="528" t="s">
        <v>23934</v>
      </c>
      <c r="D8227" s="528" t="s">
        <v>238</v>
      </c>
      <c r="E8227" s="528"/>
      <c r="F8227" s="528"/>
      <c r="G8227" s="528" t="s">
        <v>208</v>
      </c>
    </row>
    <row r="8228" spans="1:7" x14ac:dyDescent="0.35">
      <c r="A8228" s="528" t="s">
        <v>23935</v>
      </c>
      <c r="B8228" s="528" t="s">
        <v>23936</v>
      </c>
      <c r="C8228" s="528" t="s">
        <v>23937</v>
      </c>
      <c r="D8228" s="528" t="s">
        <v>238</v>
      </c>
      <c r="E8228" s="528"/>
      <c r="F8228" s="528"/>
      <c r="G8228" s="528" t="s">
        <v>208</v>
      </c>
    </row>
    <row r="8229" spans="1:7" x14ac:dyDescent="0.35">
      <c r="A8229" s="528" t="s">
        <v>23938</v>
      </c>
      <c r="B8229" s="528" t="s">
        <v>23939</v>
      </c>
      <c r="C8229" s="528" t="s">
        <v>23940</v>
      </c>
      <c r="D8229" s="528" t="s">
        <v>264</v>
      </c>
      <c r="E8229" s="528"/>
      <c r="F8229" s="528"/>
      <c r="G8229" s="528" t="s">
        <v>208</v>
      </c>
    </row>
    <row r="8230" spans="1:7" x14ac:dyDescent="0.35">
      <c r="A8230" s="528" t="s">
        <v>23941</v>
      </c>
      <c r="B8230" s="528" t="s">
        <v>23942</v>
      </c>
      <c r="C8230" s="528" t="s">
        <v>23943</v>
      </c>
      <c r="D8230" s="528" t="s">
        <v>238</v>
      </c>
      <c r="E8230" s="528"/>
      <c r="F8230" s="528"/>
      <c r="G8230" s="528" t="s">
        <v>212</v>
      </c>
    </row>
    <row r="8231" spans="1:7" x14ac:dyDescent="0.35">
      <c r="A8231" s="528" t="s">
        <v>23944</v>
      </c>
      <c r="B8231" s="528" t="s">
        <v>23945</v>
      </c>
      <c r="C8231" s="528" t="s">
        <v>23946</v>
      </c>
      <c r="D8231" s="528" t="s">
        <v>264</v>
      </c>
      <c r="E8231" s="528"/>
      <c r="F8231" s="528"/>
      <c r="G8231" s="528" t="s">
        <v>212</v>
      </c>
    </row>
    <row r="8232" spans="1:7" x14ac:dyDescent="0.35">
      <c r="A8232" s="528" t="s">
        <v>23947</v>
      </c>
      <c r="B8232" s="528" t="s">
        <v>23948</v>
      </c>
      <c r="C8232" s="528" t="s">
        <v>23949</v>
      </c>
      <c r="D8232" s="528" t="s">
        <v>264</v>
      </c>
      <c r="E8232" s="528"/>
      <c r="F8232" s="528"/>
      <c r="G8232" s="528" t="s">
        <v>214</v>
      </c>
    </row>
    <row r="8233" spans="1:7" x14ac:dyDescent="0.35">
      <c r="A8233" s="528" t="s">
        <v>23950</v>
      </c>
      <c r="B8233" s="528" t="s">
        <v>23951</v>
      </c>
      <c r="C8233" s="528" t="s">
        <v>23952</v>
      </c>
      <c r="D8233" s="528" t="s">
        <v>264</v>
      </c>
      <c r="E8233" s="528"/>
      <c r="F8233" s="528"/>
      <c r="G8233" s="528" t="s">
        <v>205</v>
      </c>
    </row>
    <row r="8234" spans="1:7" x14ac:dyDescent="0.35">
      <c r="A8234" s="528" t="s">
        <v>23953</v>
      </c>
      <c r="B8234" s="528" t="s">
        <v>23954</v>
      </c>
      <c r="C8234" s="528" t="s">
        <v>23955</v>
      </c>
      <c r="D8234" s="528" t="s">
        <v>277</v>
      </c>
      <c r="E8234" s="528"/>
      <c r="F8234" s="528"/>
      <c r="G8234" s="528" t="s">
        <v>205</v>
      </c>
    </row>
    <row r="8235" spans="1:7" x14ac:dyDescent="0.35">
      <c r="A8235" s="528" t="s">
        <v>23956</v>
      </c>
      <c r="B8235" s="528" t="s">
        <v>23957</v>
      </c>
      <c r="C8235" s="528" t="s">
        <v>23958</v>
      </c>
      <c r="D8235" s="528" t="s">
        <v>264</v>
      </c>
      <c r="E8235" s="528"/>
      <c r="F8235" s="528"/>
      <c r="G8235" s="528" t="s">
        <v>205</v>
      </c>
    </row>
    <row r="8236" spans="1:7" x14ac:dyDescent="0.35">
      <c r="A8236" s="528" t="s">
        <v>23959</v>
      </c>
      <c r="B8236" s="528" t="s">
        <v>23960</v>
      </c>
      <c r="C8236" s="528" t="s">
        <v>23961</v>
      </c>
      <c r="D8236" s="528" t="s">
        <v>225</v>
      </c>
      <c r="E8236" s="528"/>
      <c r="F8236" s="528"/>
      <c r="G8236" s="528" t="s">
        <v>205</v>
      </c>
    </row>
    <row r="8237" spans="1:7" x14ac:dyDescent="0.35">
      <c r="A8237" s="528" t="s">
        <v>23962</v>
      </c>
      <c r="B8237" s="528" t="s">
        <v>23963</v>
      </c>
      <c r="C8237" s="528" t="s">
        <v>23964</v>
      </c>
      <c r="D8237" s="528" t="s">
        <v>225</v>
      </c>
      <c r="E8237" s="528"/>
      <c r="F8237" s="528"/>
      <c r="G8237" s="528" t="s">
        <v>205</v>
      </c>
    </row>
    <row r="8238" spans="1:7" x14ac:dyDescent="0.35">
      <c r="A8238" s="528" t="s">
        <v>23965</v>
      </c>
      <c r="B8238" s="528" t="s">
        <v>23966</v>
      </c>
      <c r="C8238" s="528" t="s">
        <v>23967</v>
      </c>
      <c r="D8238" s="528" t="s">
        <v>225</v>
      </c>
      <c r="E8238" s="528"/>
      <c r="F8238" s="528"/>
      <c r="G8238" s="528" t="s">
        <v>205</v>
      </c>
    </row>
    <row r="8239" spans="1:7" x14ac:dyDescent="0.35">
      <c r="A8239" s="528" t="s">
        <v>23968</v>
      </c>
      <c r="B8239" s="528" t="s">
        <v>23969</v>
      </c>
      <c r="C8239" s="528" t="s">
        <v>23970</v>
      </c>
      <c r="D8239" s="528" t="s">
        <v>225</v>
      </c>
      <c r="E8239" s="528"/>
      <c r="F8239" s="528"/>
      <c r="G8239" s="528" t="s">
        <v>205</v>
      </c>
    </row>
    <row r="8240" spans="1:7" x14ac:dyDescent="0.35">
      <c r="A8240" s="528" t="s">
        <v>23971</v>
      </c>
      <c r="B8240" s="528" t="s">
        <v>23972</v>
      </c>
      <c r="C8240" s="528" t="s">
        <v>23973</v>
      </c>
      <c r="D8240" s="528" t="s">
        <v>264</v>
      </c>
      <c r="E8240" s="528"/>
      <c r="F8240" s="528"/>
      <c r="G8240" s="528" t="s">
        <v>205</v>
      </c>
    </row>
    <row r="8241" spans="1:7" x14ac:dyDescent="0.35">
      <c r="A8241" s="528" t="s">
        <v>23974</v>
      </c>
      <c r="B8241" s="528" t="s">
        <v>23975</v>
      </c>
      <c r="C8241" s="528" t="s">
        <v>23976</v>
      </c>
      <c r="D8241" s="528" t="s">
        <v>225</v>
      </c>
      <c r="E8241" s="528"/>
      <c r="F8241" s="528"/>
      <c r="G8241" s="528" t="s">
        <v>208</v>
      </c>
    </row>
    <row r="8242" spans="1:7" x14ac:dyDescent="0.35">
      <c r="A8242" s="528" t="s">
        <v>23977</v>
      </c>
      <c r="B8242" s="528" t="s">
        <v>23978</v>
      </c>
      <c r="C8242" s="528" t="s">
        <v>23979</v>
      </c>
      <c r="D8242" s="528" t="s">
        <v>225</v>
      </c>
      <c r="E8242" s="528"/>
      <c r="F8242" s="528"/>
      <c r="G8242" s="528" t="s">
        <v>208</v>
      </c>
    </row>
    <row r="8243" spans="1:7" x14ac:dyDescent="0.35">
      <c r="A8243" s="528" t="s">
        <v>23980</v>
      </c>
      <c r="B8243" s="528" t="s">
        <v>23981</v>
      </c>
      <c r="C8243" s="528" t="s">
        <v>23982</v>
      </c>
      <c r="D8243" s="528" t="s">
        <v>225</v>
      </c>
      <c r="E8243" s="528"/>
      <c r="F8243" s="528"/>
      <c r="G8243" s="528" t="s">
        <v>208</v>
      </c>
    </row>
    <row r="8244" spans="1:7" x14ac:dyDescent="0.35">
      <c r="A8244" s="528" t="s">
        <v>23983</v>
      </c>
      <c r="B8244" s="528" t="s">
        <v>23984</v>
      </c>
      <c r="C8244" s="528" t="s">
        <v>23985</v>
      </c>
      <c r="D8244" s="528" t="s">
        <v>277</v>
      </c>
      <c r="E8244" s="528"/>
      <c r="F8244" s="528"/>
      <c r="G8244" s="528" t="s">
        <v>205</v>
      </c>
    </row>
    <row r="8245" spans="1:7" x14ac:dyDescent="0.35">
      <c r="A8245" s="528" t="s">
        <v>23986</v>
      </c>
      <c r="B8245" s="528" t="s">
        <v>23987</v>
      </c>
      <c r="C8245" s="528" t="s">
        <v>23988</v>
      </c>
      <c r="D8245" s="528" t="s">
        <v>238</v>
      </c>
      <c r="E8245" s="528"/>
      <c r="F8245" s="528"/>
      <c r="G8245" s="528" t="s">
        <v>205</v>
      </c>
    </row>
    <row r="8246" spans="1:7" x14ac:dyDescent="0.35">
      <c r="A8246" s="528" t="s">
        <v>23989</v>
      </c>
      <c r="B8246" s="528" t="s">
        <v>23990</v>
      </c>
      <c r="C8246" s="528" t="s">
        <v>23991</v>
      </c>
      <c r="D8246" s="528" t="s">
        <v>238</v>
      </c>
      <c r="E8246" s="528"/>
      <c r="F8246" s="528"/>
      <c r="G8246" s="528" t="s">
        <v>205</v>
      </c>
    </row>
    <row r="8247" spans="1:7" x14ac:dyDescent="0.35">
      <c r="A8247" s="528" t="s">
        <v>23992</v>
      </c>
      <c r="B8247" s="528" t="s">
        <v>23993</v>
      </c>
      <c r="C8247" s="528" t="s">
        <v>23994</v>
      </c>
      <c r="D8247" s="528" t="s">
        <v>238</v>
      </c>
      <c r="E8247" s="528"/>
      <c r="F8247" s="528"/>
      <c r="G8247" s="528" t="s">
        <v>205</v>
      </c>
    </row>
    <row r="8248" spans="1:7" x14ac:dyDescent="0.35">
      <c r="A8248" s="528" t="s">
        <v>23995</v>
      </c>
      <c r="B8248" s="528" t="s">
        <v>23996</v>
      </c>
      <c r="C8248" s="528" t="s">
        <v>23997</v>
      </c>
      <c r="D8248" s="528" t="s">
        <v>251</v>
      </c>
      <c r="E8248" s="528"/>
      <c r="F8248" s="528"/>
      <c r="G8248" s="528" t="s">
        <v>205</v>
      </c>
    </row>
    <row r="8249" spans="1:7" x14ac:dyDescent="0.35">
      <c r="A8249" s="528" t="s">
        <v>23998</v>
      </c>
      <c r="B8249" s="528" t="s">
        <v>23999</v>
      </c>
      <c r="C8249" s="528" t="s">
        <v>24000</v>
      </c>
      <c r="D8249" s="528" t="s">
        <v>251</v>
      </c>
      <c r="E8249" s="528"/>
      <c r="F8249" s="528"/>
      <c r="G8249" s="528" t="s">
        <v>205</v>
      </c>
    </row>
    <row r="8250" spans="1:7" x14ac:dyDescent="0.35">
      <c r="A8250" s="528" t="s">
        <v>24001</v>
      </c>
      <c r="B8250" s="528" t="s">
        <v>24002</v>
      </c>
      <c r="C8250" s="528" t="s">
        <v>24003</v>
      </c>
      <c r="D8250" s="528" t="s">
        <v>264</v>
      </c>
      <c r="E8250" s="528"/>
      <c r="F8250" s="528"/>
      <c r="G8250" s="528" t="s">
        <v>212</v>
      </c>
    </row>
    <row r="8251" spans="1:7" x14ac:dyDescent="0.35">
      <c r="A8251" s="528" t="s">
        <v>24004</v>
      </c>
      <c r="B8251" s="528" t="s">
        <v>24005</v>
      </c>
      <c r="C8251" s="528" t="s">
        <v>24006</v>
      </c>
      <c r="D8251" s="528" t="s">
        <v>264</v>
      </c>
      <c r="E8251" s="528"/>
      <c r="F8251" s="528"/>
      <c r="G8251" s="528" t="s">
        <v>212</v>
      </c>
    </row>
    <row r="8252" spans="1:7" x14ac:dyDescent="0.35">
      <c r="A8252" s="528" t="s">
        <v>24007</v>
      </c>
      <c r="B8252" s="528" t="s">
        <v>24008</v>
      </c>
      <c r="C8252" s="528" t="s">
        <v>24009</v>
      </c>
      <c r="D8252" s="528" t="s">
        <v>264</v>
      </c>
      <c r="E8252" s="528"/>
      <c r="F8252" s="528"/>
      <c r="G8252" s="528" t="s">
        <v>212</v>
      </c>
    </row>
    <row r="8253" spans="1:7" x14ac:dyDescent="0.35">
      <c r="A8253" s="528" t="s">
        <v>24010</v>
      </c>
      <c r="B8253" s="528" t="s">
        <v>24011</v>
      </c>
      <c r="C8253" s="528" t="s">
        <v>24012</v>
      </c>
      <c r="D8253" s="528" t="s">
        <v>264</v>
      </c>
      <c r="E8253" s="528" t="s">
        <v>277</v>
      </c>
      <c r="F8253" s="528"/>
      <c r="G8253" s="528" t="s">
        <v>212</v>
      </c>
    </row>
    <row r="8254" spans="1:7" x14ac:dyDescent="0.35">
      <c r="A8254" s="528" t="s">
        <v>24013</v>
      </c>
      <c r="B8254" s="528" t="s">
        <v>24014</v>
      </c>
      <c r="C8254" s="528" t="s">
        <v>24015</v>
      </c>
      <c r="D8254" s="528" t="s">
        <v>264</v>
      </c>
      <c r="E8254" s="528"/>
      <c r="F8254" s="528"/>
      <c r="G8254" s="528" t="s">
        <v>208</v>
      </c>
    </row>
    <row r="8255" spans="1:7" x14ac:dyDescent="0.35">
      <c r="A8255" s="528" t="s">
        <v>24016</v>
      </c>
      <c r="B8255" s="528" t="s">
        <v>24017</v>
      </c>
      <c r="C8255" s="528" t="s">
        <v>24018</v>
      </c>
      <c r="D8255" s="528" t="s">
        <v>277</v>
      </c>
      <c r="E8255" s="528"/>
      <c r="F8255" s="528"/>
      <c r="G8255" s="528" t="s">
        <v>208</v>
      </c>
    </row>
    <row r="8256" spans="1:7" x14ac:dyDescent="0.35">
      <c r="A8256" s="528" t="s">
        <v>24019</v>
      </c>
      <c r="B8256" s="528" t="s">
        <v>24020</v>
      </c>
      <c r="C8256" s="528" t="s">
        <v>24021</v>
      </c>
      <c r="D8256" s="528" t="s">
        <v>277</v>
      </c>
      <c r="E8256" s="528"/>
      <c r="F8256" s="528"/>
      <c r="G8256" s="528" t="s">
        <v>208</v>
      </c>
    </row>
    <row r="8257" spans="1:7" x14ac:dyDescent="0.35">
      <c r="A8257" s="528" t="s">
        <v>24022</v>
      </c>
      <c r="B8257" s="528" t="s">
        <v>24023</v>
      </c>
      <c r="C8257" s="528" t="s">
        <v>24024</v>
      </c>
      <c r="D8257" s="528" t="s">
        <v>277</v>
      </c>
      <c r="E8257" s="528"/>
      <c r="F8257" s="528"/>
      <c r="G8257" s="528" t="s">
        <v>208</v>
      </c>
    </row>
    <row r="8258" spans="1:7" x14ac:dyDescent="0.35">
      <c r="A8258" s="528" t="s">
        <v>24025</v>
      </c>
      <c r="B8258" s="528" t="s">
        <v>24026</v>
      </c>
      <c r="C8258" s="528" t="s">
        <v>24027</v>
      </c>
      <c r="D8258" s="528" t="s">
        <v>277</v>
      </c>
      <c r="E8258" s="528"/>
      <c r="F8258" s="528"/>
      <c r="G8258" s="528" t="s">
        <v>208</v>
      </c>
    </row>
    <row r="8259" spans="1:7" x14ac:dyDescent="0.35">
      <c r="A8259" s="528" t="s">
        <v>24028</v>
      </c>
      <c r="B8259" s="528" t="s">
        <v>24029</v>
      </c>
      <c r="C8259" s="528" t="s">
        <v>24030</v>
      </c>
      <c r="D8259" s="528" t="s">
        <v>238</v>
      </c>
      <c r="E8259" s="528"/>
      <c r="F8259" s="528"/>
      <c r="G8259" s="528" t="s">
        <v>208</v>
      </c>
    </row>
    <row r="8260" spans="1:7" x14ac:dyDescent="0.35">
      <c r="A8260" s="528" t="s">
        <v>24031</v>
      </c>
      <c r="B8260" s="528" t="s">
        <v>24032</v>
      </c>
      <c r="C8260" s="528" t="s">
        <v>24033</v>
      </c>
      <c r="D8260" s="528" t="s">
        <v>225</v>
      </c>
      <c r="E8260" s="528"/>
      <c r="F8260" s="528"/>
      <c r="G8260" s="528" t="s">
        <v>205</v>
      </c>
    </row>
    <row r="8261" spans="1:7" x14ac:dyDescent="0.35">
      <c r="A8261" s="528" t="s">
        <v>24034</v>
      </c>
      <c r="B8261" s="528" t="s">
        <v>24035</v>
      </c>
      <c r="C8261" s="528" t="s">
        <v>24036</v>
      </c>
      <c r="D8261" s="528" t="s">
        <v>277</v>
      </c>
      <c r="E8261" s="528"/>
      <c r="F8261" s="528"/>
      <c r="G8261" s="528" t="s">
        <v>208</v>
      </c>
    </row>
    <row r="8262" spans="1:7" x14ac:dyDescent="0.35">
      <c r="A8262" s="528" t="s">
        <v>24037</v>
      </c>
      <c r="B8262" s="528" t="s">
        <v>24038</v>
      </c>
      <c r="C8262" s="528" t="s">
        <v>24039</v>
      </c>
      <c r="D8262" s="528" t="s">
        <v>277</v>
      </c>
      <c r="E8262" s="528" t="s">
        <v>264</v>
      </c>
      <c r="F8262" s="528"/>
      <c r="G8262" s="528" t="s">
        <v>212</v>
      </c>
    </row>
    <row r="8263" spans="1:7" x14ac:dyDescent="0.35">
      <c r="A8263" s="528" t="s">
        <v>24040</v>
      </c>
      <c r="B8263" s="528" t="s">
        <v>24041</v>
      </c>
      <c r="C8263" s="528" t="s">
        <v>24042</v>
      </c>
      <c r="D8263" s="528" t="s">
        <v>264</v>
      </c>
      <c r="E8263" s="528"/>
      <c r="F8263" s="528"/>
      <c r="G8263" s="528" t="s">
        <v>212</v>
      </c>
    </row>
    <row r="8264" spans="1:7" x14ac:dyDescent="0.35">
      <c r="A8264" s="528" t="s">
        <v>24043</v>
      </c>
      <c r="B8264" s="528" t="s">
        <v>24044</v>
      </c>
      <c r="C8264" s="528" t="s">
        <v>24045</v>
      </c>
      <c r="D8264" s="528" t="s">
        <v>225</v>
      </c>
      <c r="E8264" s="528"/>
      <c r="F8264" s="528"/>
      <c r="G8264" s="528" t="s">
        <v>208</v>
      </c>
    </row>
    <row r="8265" spans="1:7" x14ac:dyDescent="0.35">
      <c r="A8265" s="528" t="s">
        <v>24046</v>
      </c>
      <c r="B8265" s="528" t="s">
        <v>24047</v>
      </c>
      <c r="C8265" s="528" t="s">
        <v>24048</v>
      </c>
      <c r="D8265" s="528" t="s">
        <v>238</v>
      </c>
      <c r="E8265" s="528"/>
      <c r="F8265" s="528"/>
      <c r="G8265" s="528" t="s">
        <v>212</v>
      </c>
    </row>
    <row r="8266" spans="1:7" x14ac:dyDescent="0.35">
      <c r="A8266" s="528" t="s">
        <v>24049</v>
      </c>
      <c r="B8266" s="528" t="s">
        <v>24050</v>
      </c>
      <c r="C8266" s="528" t="s">
        <v>24051</v>
      </c>
      <c r="D8266" s="528" t="s">
        <v>264</v>
      </c>
      <c r="E8266" s="528"/>
      <c r="F8266" s="528"/>
      <c r="G8266" s="528" t="s">
        <v>208</v>
      </c>
    </row>
    <row r="8267" spans="1:7" x14ac:dyDescent="0.35">
      <c r="A8267" s="528" t="s">
        <v>24052</v>
      </c>
      <c r="B8267" s="528" t="s">
        <v>24053</v>
      </c>
      <c r="C8267" s="528" t="s">
        <v>24054</v>
      </c>
      <c r="D8267" s="528" t="s">
        <v>264</v>
      </c>
      <c r="E8267" s="528"/>
      <c r="F8267" s="528"/>
      <c r="G8267" s="528" t="s">
        <v>208</v>
      </c>
    </row>
    <row r="8268" spans="1:7" x14ac:dyDescent="0.35">
      <c r="A8268" s="528" t="s">
        <v>24055</v>
      </c>
      <c r="B8268" s="528" t="s">
        <v>24056</v>
      </c>
      <c r="C8268" s="528" t="s">
        <v>24057</v>
      </c>
      <c r="D8268" s="528" t="s">
        <v>264</v>
      </c>
      <c r="E8268" s="528"/>
      <c r="F8268" s="528"/>
      <c r="G8268" s="528" t="s">
        <v>208</v>
      </c>
    </row>
    <row r="8269" spans="1:7" x14ac:dyDescent="0.35">
      <c r="A8269" s="528" t="s">
        <v>24058</v>
      </c>
      <c r="B8269" s="528" t="s">
        <v>24059</v>
      </c>
      <c r="C8269" s="528" t="s">
        <v>24060</v>
      </c>
      <c r="D8269" s="528" t="s">
        <v>264</v>
      </c>
      <c r="E8269" s="528"/>
      <c r="F8269" s="528"/>
      <c r="G8269" s="528" t="s">
        <v>208</v>
      </c>
    </row>
    <row r="8270" spans="1:7" x14ac:dyDescent="0.35">
      <c r="A8270" s="528" t="s">
        <v>24061</v>
      </c>
      <c r="B8270" s="528" t="s">
        <v>24062</v>
      </c>
      <c r="C8270" s="528" t="s">
        <v>24063</v>
      </c>
      <c r="D8270" s="528" t="s">
        <v>264</v>
      </c>
      <c r="E8270" s="528"/>
      <c r="F8270" s="528"/>
      <c r="G8270" s="528" t="s">
        <v>208</v>
      </c>
    </row>
    <row r="8271" spans="1:7" x14ac:dyDescent="0.35">
      <c r="A8271" s="528" t="s">
        <v>24064</v>
      </c>
      <c r="B8271" s="528" t="s">
        <v>24065</v>
      </c>
      <c r="C8271" s="528" t="s">
        <v>24066</v>
      </c>
      <c r="D8271" s="528" t="s">
        <v>251</v>
      </c>
      <c r="E8271" s="528"/>
      <c r="F8271" s="528"/>
      <c r="G8271" s="528" t="s">
        <v>208</v>
      </c>
    </row>
    <row r="8272" spans="1:7" x14ac:dyDescent="0.35">
      <c r="A8272" s="528" t="s">
        <v>24067</v>
      </c>
      <c r="B8272" s="528" t="s">
        <v>24068</v>
      </c>
      <c r="C8272" s="528" t="s">
        <v>24069</v>
      </c>
      <c r="D8272" s="528" t="s">
        <v>251</v>
      </c>
      <c r="E8272" s="528"/>
      <c r="F8272" s="528"/>
      <c r="G8272" s="528" t="s">
        <v>208</v>
      </c>
    </row>
    <row r="8273" spans="1:7" x14ac:dyDescent="0.35">
      <c r="A8273" s="528" t="s">
        <v>24070</v>
      </c>
      <c r="B8273" s="528" t="s">
        <v>24071</v>
      </c>
      <c r="C8273" s="528" t="s">
        <v>24072</v>
      </c>
      <c r="D8273" s="528" t="s">
        <v>251</v>
      </c>
      <c r="E8273" s="528"/>
      <c r="F8273" s="528"/>
      <c r="G8273" s="528" t="s">
        <v>205</v>
      </c>
    </row>
    <row r="8274" spans="1:7" x14ac:dyDescent="0.35">
      <c r="A8274" s="528" t="s">
        <v>24073</v>
      </c>
      <c r="B8274" s="528" t="s">
        <v>24074</v>
      </c>
      <c r="C8274" s="528" t="s">
        <v>24075</v>
      </c>
      <c r="D8274" s="528" t="s">
        <v>277</v>
      </c>
      <c r="E8274" s="528"/>
      <c r="F8274" s="528"/>
      <c r="G8274" s="528" t="s">
        <v>212</v>
      </c>
    </row>
    <row r="8275" spans="1:7" x14ac:dyDescent="0.35">
      <c r="A8275" s="528" t="s">
        <v>24076</v>
      </c>
      <c r="B8275" s="528" t="s">
        <v>24077</v>
      </c>
      <c r="C8275" s="528" t="s">
        <v>24078</v>
      </c>
      <c r="D8275" s="528" t="s">
        <v>264</v>
      </c>
      <c r="E8275" s="528"/>
      <c r="F8275" s="528"/>
      <c r="G8275" s="528" t="s">
        <v>205</v>
      </c>
    </row>
    <row r="8276" spans="1:7" x14ac:dyDescent="0.35">
      <c r="A8276" s="528" t="s">
        <v>24079</v>
      </c>
      <c r="B8276" s="528" t="s">
        <v>24080</v>
      </c>
      <c r="C8276" s="528" t="s">
        <v>24081</v>
      </c>
      <c r="D8276" s="528" t="s">
        <v>264</v>
      </c>
      <c r="E8276" s="528"/>
      <c r="F8276" s="528"/>
      <c r="G8276" s="528" t="s">
        <v>208</v>
      </c>
    </row>
    <row r="8277" spans="1:7" x14ac:dyDescent="0.35">
      <c r="A8277" s="528" t="s">
        <v>24082</v>
      </c>
      <c r="B8277" s="528" t="s">
        <v>24083</v>
      </c>
      <c r="C8277" s="528" t="s">
        <v>24084</v>
      </c>
      <c r="D8277" s="528" t="s">
        <v>277</v>
      </c>
      <c r="E8277" s="528"/>
      <c r="F8277" s="528"/>
      <c r="G8277" s="528" t="s">
        <v>208</v>
      </c>
    </row>
    <row r="8278" spans="1:7" x14ac:dyDescent="0.35">
      <c r="A8278" s="528" t="s">
        <v>24085</v>
      </c>
      <c r="B8278" s="528" t="s">
        <v>24086</v>
      </c>
      <c r="C8278" s="528" t="s">
        <v>24087</v>
      </c>
      <c r="D8278" s="528" t="s">
        <v>264</v>
      </c>
      <c r="E8278" s="528"/>
      <c r="F8278" s="528"/>
      <c r="G8278" s="528" t="s">
        <v>205</v>
      </c>
    </row>
    <row r="8279" spans="1:7" x14ac:dyDescent="0.35">
      <c r="A8279" s="528" t="s">
        <v>24088</v>
      </c>
      <c r="B8279" s="528" t="s">
        <v>24089</v>
      </c>
      <c r="C8279" s="528" t="s">
        <v>24090</v>
      </c>
      <c r="D8279" s="528" t="s">
        <v>251</v>
      </c>
      <c r="E8279" s="528"/>
      <c r="F8279" s="528"/>
      <c r="G8279" s="528" t="s">
        <v>205</v>
      </c>
    </row>
    <row r="8280" spans="1:7" x14ac:dyDescent="0.35">
      <c r="A8280" s="528" t="s">
        <v>24091</v>
      </c>
      <c r="B8280" s="528" t="s">
        <v>24092</v>
      </c>
      <c r="C8280" s="528" t="s">
        <v>24093</v>
      </c>
      <c r="D8280" s="528" t="s">
        <v>251</v>
      </c>
      <c r="E8280" s="528"/>
      <c r="F8280" s="528"/>
      <c r="G8280" s="528" t="s">
        <v>208</v>
      </c>
    </row>
    <row r="8281" spans="1:7" x14ac:dyDescent="0.35">
      <c r="A8281" s="528" t="s">
        <v>24094</v>
      </c>
      <c r="B8281" s="528" t="s">
        <v>24095</v>
      </c>
      <c r="C8281" s="528" t="s">
        <v>24096</v>
      </c>
      <c r="D8281" s="528" t="s">
        <v>277</v>
      </c>
      <c r="E8281" s="528"/>
      <c r="F8281" s="528"/>
      <c r="G8281" s="528" t="s">
        <v>205</v>
      </c>
    </row>
    <row r="8282" spans="1:7" x14ac:dyDescent="0.35">
      <c r="A8282" s="528" t="s">
        <v>24097</v>
      </c>
      <c r="B8282" s="528" t="s">
        <v>24098</v>
      </c>
      <c r="C8282" s="528" t="s">
        <v>24099</v>
      </c>
      <c r="D8282" s="528" t="s">
        <v>277</v>
      </c>
      <c r="E8282" s="528"/>
      <c r="F8282" s="528"/>
      <c r="G8282" s="528" t="s">
        <v>208</v>
      </c>
    </row>
    <row r="8283" spans="1:7" x14ac:dyDescent="0.35">
      <c r="A8283" s="528" t="s">
        <v>24100</v>
      </c>
      <c r="B8283" s="528" t="s">
        <v>24101</v>
      </c>
      <c r="C8283" s="528" t="s">
        <v>24102</v>
      </c>
      <c r="D8283" s="528" t="s">
        <v>277</v>
      </c>
      <c r="E8283" s="528"/>
      <c r="F8283" s="528"/>
      <c r="G8283" s="528" t="s">
        <v>208</v>
      </c>
    </row>
    <row r="8284" spans="1:7" x14ac:dyDescent="0.35">
      <c r="A8284" s="528" t="s">
        <v>24103</v>
      </c>
      <c r="B8284" s="528" t="s">
        <v>24104</v>
      </c>
      <c r="C8284" s="528" t="s">
        <v>24105</v>
      </c>
      <c r="D8284" s="528" t="s">
        <v>264</v>
      </c>
      <c r="E8284" s="528"/>
      <c r="F8284" s="528"/>
      <c r="G8284" s="528" t="s">
        <v>212</v>
      </c>
    </row>
    <row r="8285" spans="1:7" x14ac:dyDescent="0.35">
      <c r="A8285" s="528" t="s">
        <v>24106</v>
      </c>
      <c r="B8285" s="528" t="s">
        <v>24107</v>
      </c>
      <c r="C8285" s="528" t="s">
        <v>24108</v>
      </c>
      <c r="D8285" s="528" t="s">
        <v>264</v>
      </c>
      <c r="E8285" s="528"/>
      <c r="F8285" s="528"/>
      <c r="G8285" s="528" t="s">
        <v>212</v>
      </c>
    </row>
    <row r="8286" spans="1:7" x14ac:dyDescent="0.35">
      <c r="A8286" s="528" t="s">
        <v>24109</v>
      </c>
      <c r="B8286" s="528" t="s">
        <v>24110</v>
      </c>
      <c r="C8286" s="528" t="s">
        <v>24111</v>
      </c>
      <c r="D8286" s="528" t="s">
        <v>264</v>
      </c>
      <c r="E8286" s="528"/>
      <c r="F8286" s="528"/>
      <c r="G8286" s="528" t="s">
        <v>208</v>
      </c>
    </row>
    <row r="8287" spans="1:7" x14ac:dyDescent="0.35">
      <c r="A8287" s="528" t="s">
        <v>24112</v>
      </c>
      <c r="B8287" s="528" t="s">
        <v>24113</v>
      </c>
      <c r="C8287" s="528" t="s">
        <v>24114</v>
      </c>
      <c r="D8287" s="528" t="s">
        <v>264</v>
      </c>
      <c r="E8287" s="528"/>
      <c r="F8287" s="528"/>
      <c r="G8287" s="528" t="s">
        <v>212</v>
      </c>
    </row>
    <row r="8288" spans="1:7" x14ac:dyDescent="0.35">
      <c r="A8288" s="528" t="s">
        <v>24115</v>
      </c>
      <c r="B8288" s="528" t="s">
        <v>24116</v>
      </c>
      <c r="C8288" s="528" t="s">
        <v>24117</v>
      </c>
      <c r="D8288" s="528" t="s">
        <v>264</v>
      </c>
      <c r="E8288" s="528"/>
      <c r="F8288" s="528"/>
      <c r="G8288" s="528" t="s">
        <v>212</v>
      </c>
    </row>
    <row r="8289" spans="1:7" x14ac:dyDescent="0.35">
      <c r="A8289" s="528" t="s">
        <v>24118</v>
      </c>
      <c r="B8289" s="528" t="s">
        <v>24119</v>
      </c>
      <c r="C8289" s="528" t="s">
        <v>24120</v>
      </c>
      <c r="D8289" s="528" t="s">
        <v>264</v>
      </c>
      <c r="E8289" s="528"/>
      <c r="F8289" s="528"/>
      <c r="G8289" s="528" t="s">
        <v>212</v>
      </c>
    </row>
    <row r="8290" spans="1:7" x14ac:dyDescent="0.35">
      <c r="A8290" s="528" t="s">
        <v>24121</v>
      </c>
      <c r="B8290" s="528" t="s">
        <v>24122</v>
      </c>
      <c r="C8290" s="528" t="s">
        <v>24123</v>
      </c>
      <c r="D8290" s="528" t="s">
        <v>264</v>
      </c>
      <c r="E8290" s="528"/>
      <c r="F8290" s="528"/>
      <c r="G8290" s="528" t="s">
        <v>212</v>
      </c>
    </row>
    <row r="8291" spans="1:7" x14ac:dyDescent="0.35">
      <c r="A8291" s="528" t="s">
        <v>24124</v>
      </c>
      <c r="B8291" s="528" t="s">
        <v>24125</v>
      </c>
      <c r="C8291" s="528" t="s">
        <v>24126</v>
      </c>
      <c r="D8291" s="528" t="s">
        <v>264</v>
      </c>
      <c r="E8291" s="528"/>
      <c r="F8291" s="528"/>
      <c r="G8291" s="528" t="s">
        <v>212</v>
      </c>
    </row>
    <row r="8292" spans="1:7" x14ac:dyDescent="0.35">
      <c r="A8292" s="528" t="s">
        <v>24127</v>
      </c>
      <c r="B8292" s="528" t="s">
        <v>24128</v>
      </c>
      <c r="C8292" s="528" t="s">
        <v>24129</v>
      </c>
      <c r="D8292" s="528" t="s">
        <v>264</v>
      </c>
      <c r="E8292" s="528"/>
      <c r="F8292" s="528"/>
      <c r="G8292" s="528" t="s">
        <v>208</v>
      </c>
    </row>
    <row r="8293" spans="1:7" x14ac:dyDescent="0.35">
      <c r="A8293" s="528" t="s">
        <v>24130</v>
      </c>
      <c r="B8293" s="528" t="s">
        <v>24131</v>
      </c>
      <c r="C8293" s="528" t="s">
        <v>24132</v>
      </c>
      <c r="D8293" s="528" t="s">
        <v>264</v>
      </c>
      <c r="E8293" s="528"/>
      <c r="F8293" s="528"/>
      <c r="G8293" s="528" t="s">
        <v>208</v>
      </c>
    </row>
    <row r="8294" spans="1:7" x14ac:dyDescent="0.35">
      <c r="A8294" s="528" t="s">
        <v>24133</v>
      </c>
      <c r="B8294" s="528" t="s">
        <v>24134</v>
      </c>
      <c r="C8294" s="528" t="s">
        <v>24135</v>
      </c>
      <c r="D8294" s="528" t="s">
        <v>264</v>
      </c>
      <c r="E8294" s="528"/>
      <c r="F8294" s="528"/>
      <c r="G8294" s="528" t="s">
        <v>208</v>
      </c>
    </row>
    <row r="8295" spans="1:7" x14ac:dyDescent="0.35">
      <c r="A8295" s="528" t="s">
        <v>24136</v>
      </c>
      <c r="B8295" s="528" t="s">
        <v>24137</v>
      </c>
      <c r="C8295" s="528" t="s">
        <v>24138</v>
      </c>
      <c r="D8295" s="528" t="s">
        <v>264</v>
      </c>
      <c r="E8295" s="528"/>
      <c r="F8295" s="528"/>
      <c r="G8295" s="528" t="s">
        <v>208</v>
      </c>
    </row>
    <row r="8296" spans="1:7" x14ac:dyDescent="0.35">
      <c r="A8296" s="528" t="s">
        <v>24139</v>
      </c>
      <c r="B8296" s="528" t="s">
        <v>24140</v>
      </c>
      <c r="C8296" s="528" t="s">
        <v>24141</v>
      </c>
      <c r="D8296" s="528" t="s">
        <v>264</v>
      </c>
      <c r="E8296" s="528"/>
      <c r="F8296" s="528"/>
      <c r="G8296" s="528" t="s">
        <v>208</v>
      </c>
    </row>
    <row r="8297" spans="1:7" x14ac:dyDescent="0.35">
      <c r="A8297" s="528" t="s">
        <v>24142</v>
      </c>
      <c r="B8297" s="528" t="s">
        <v>24143</v>
      </c>
      <c r="C8297" s="528" t="s">
        <v>24144</v>
      </c>
      <c r="D8297" s="528" t="s">
        <v>264</v>
      </c>
      <c r="E8297" s="528"/>
      <c r="F8297" s="528"/>
      <c r="G8297" s="528" t="s">
        <v>208</v>
      </c>
    </row>
    <row r="8298" spans="1:7" x14ac:dyDescent="0.35">
      <c r="A8298" s="528" t="s">
        <v>24145</v>
      </c>
      <c r="B8298" s="528" t="s">
        <v>24146</v>
      </c>
      <c r="C8298" s="528" t="s">
        <v>24147</v>
      </c>
      <c r="D8298" s="528" t="s">
        <v>264</v>
      </c>
      <c r="E8298" s="528"/>
      <c r="F8298" s="528"/>
      <c r="G8298" s="528" t="s">
        <v>208</v>
      </c>
    </row>
    <row r="8299" spans="1:7" x14ac:dyDescent="0.35">
      <c r="A8299" s="528" t="s">
        <v>24148</v>
      </c>
      <c r="B8299" s="528" t="s">
        <v>24149</v>
      </c>
      <c r="C8299" s="528" t="s">
        <v>24150</v>
      </c>
      <c r="D8299" s="528" t="s">
        <v>277</v>
      </c>
      <c r="E8299" s="528"/>
      <c r="F8299" s="528"/>
      <c r="G8299" s="528" t="s">
        <v>208</v>
      </c>
    </row>
    <row r="8300" spans="1:7" x14ac:dyDescent="0.35">
      <c r="A8300" s="528" t="s">
        <v>24151</v>
      </c>
      <c r="B8300" s="528" t="s">
        <v>24152</v>
      </c>
      <c r="C8300" s="528" t="s">
        <v>24153</v>
      </c>
      <c r="D8300" s="528" t="s">
        <v>277</v>
      </c>
      <c r="E8300" s="528"/>
      <c r="F8300" s="528"/>
      <c r="G8300" s="528" t="s">
        <v>214</v>
      </c>
    </row>
    <row r="8301" spans="1:7" x14ac:dyDescent="0.35">
      <c r="A8301" s="528" t="s">
        <v>24154</v>
      </c>
      <c r="B8301" s="528" t="s">
        <v>24155</v>
      </c>
      <c r="C8301" s="528" t="s">
        <v>24156</v>
      </c>
      <c r="D8301" s="528" t="s">
        <v>225</v>
      </c>
      <c r="E8301" s="528"/>
      <c r="F8301" s="528"/>
      <c r="G8301" s="528" t="s">
        <v>205</v>
      </c>
    </row>
    <row r="8302" spans="1:7" x14ac:dyDescent="0.35">
      <c r="A8302" s="528" t="s">
        <v>24157</v>
      </c>
      <c r="B8302" s="528" t="s">
        <v>24158</v>
      </c>
      <c r="C8302" s="528" t="s">
        <v>24159</v>
      </c>
      <c r="D8302" s="528" t="s">
        <v>225</v>
      </c>
      <c r="E8302" s="528"/>
      <c r="F8302" s="528"/>
      <c r="G8302" s="528" t="s">
        <v>208</v>
      </c>
    </row>
    <row r="8303" spans="1:7" x14ac:dyDescent="0.35">
      <c r="A8303" s="528" t="s">
        <v>24160</v>
      </c>
      <c r="B8303" s="528" t="s">
        <v>24161</v>
      </c>
      <c r="C8303" s="528" t="s">
        <v>24162</v>
      </c>
      <c r="D8303" s="528" t="s">
        <v>277</v>
      </c>
      <c r="E8303" s="528"/>
      <c r="F8303" s="528"/>
      <c r="G8303" s="528" t="s">
        <v>205</v>
      </c>
    </row>
    <row r="8304" spans="1:7" x14ac:dyDescent="0.35">
      <c r="A8304" s="528" t="s">
        <v>24163</v>
      </c>
      <c r="B8304" s="528" t="s">
        <v>24164</v>
      </c>
      <c r="C8304" s="528" t="s">
        <v>24165</v>
      </c>
      <c r="D8304" s="528" t="s">
        <v>277</v>
      </c>
      <c r="E8304" s="528"/>
      <c r="F8304" s="528"/>
      <c r="G8304" s="528" t="s">
        <v>208</v>
      </c>
    </row>
    <row r="8305" spans="1:7" x14ac:dyDescent="0.35">
      <c r="A8305" s="528" t="s">
        <v>24166</v>
      </c>
      <c r="B8305" s="528" t="s">
        <v>24167</v>
      </c>
      <c r="C8305" s="528" t="s">
        <v>24168</v>
      </c>
      <c r="D8305" s="528" t="s">
        <v>277</v>
      </c>
      <c r="E8305" s="528"/>
      <c r="F8305" s="528"/>
      <c r="G8305" s="528" t="s">
        <v>205</v>
      </c>
    </row>
    <row r="8306" spans="1:7" x14ac:dyDescent="0.35">
      <c r="A8306" s="528" t="s">
        <v>24169</v>
      </c>
      <c r="B8306" s="528" t="s">
        <v>24170</v>
      </c>
      <c r="C8306" s="528" t="s">
        <v>24171</v>
      </c>
      <c r="D8306" s="528" t="s">
        <v>277</v>
      </c>
      <c r="E8306" s="528"/>
      <c r="F8306" s="528"/>
      <c r="G8306" s="528" t="s">
        <v>208</v>
      </c>
    </row>
    <row r="8307" spans="1:7" x14ac:dyDescent="0.35">
      <c r="A8307" s="528" t="s">
        <v>24172</v>
      </c>
      <c r="B8307" s="528" t="s">
        <v>24173</v>
      </c>
      <c r="C8307" s="528" t="s">
        <v>24174</v>
      </c>
      <c r="D8307" s="528" t="s">
        <v>225</v>
      </c>
      <c r="E8307" s="528"/>
      <c r="F8307" s="528"/>
      <c r="G8307" s="528" t="s">
        <v>208</v>
      </c>
    </row>
    <row r="8308" spans="1:7" x14ac:dyDescent="0.35">
      <c r="A8308" s="528" t="s">
        <v>24175</v>
      </c>
      <c r="B8308" s="528" t="s">
        <v>24176</v>
      </c>
      <c r="C8308" s="528" t="s">
        <v>28356</v>
      </c>
      <c r="D8308" s="528" t="s">
        <v>251</v>
      </c>
      <c r="E8308" s="528"/>
      <c r="F8308" s="528"/>
      <c r="G8308" s="528" t="s">
        <v>208</v>
      </c>
    </row>
    <row r="8309" spans="1:7" x14ac:dyDescent="0.35">
      <c r="A8309" s="528" t="s">
        <v>24177</v>
      </c>
      <c r="B8309" s="528" t="s">
        <v>24178</v>
      </c>
      <c r="C8309" s="528" t="s">
        <v>24179</v>
      </c>
      <c r="D8309" s="528" t="s">
        <v>264</v>
      </c>
      <c r="E8309" s="528" t="s">
        <v>225</v>
      </c>
      <c r="F8309" s="528"/>
      <c r="G8309" s="528" t="s">
        <v>212</v>
      </c>
    </row>
    <row r="8310" spans="1:7" x14ac:dyDescent="0.35">
      <c r="A8310" s="528" t="s">
        <v>24180</v>
      </c>
      <c r="B8310" s="528" t="s">
        <v>24181</v>
      </c>
      <c r="C8310" s="528" t="s">
        <v>24182</v>
      </c>
      <c r="D8310" s="528" t="s">
        <v>277</v>
      </c>
      <c r="E8310" s="528"/>
      <c r="F8310" s="528"/>
      <c r="G8310" s="528" t="s">
        <v>208</v>
      </c>
    </row>
    <row r="8311" spans="1:7" x14ac:dyDescent="0.35">
      <c r="A8311" s="528" t="s">
        <v>24183</v>
      </c>
      <c r="B8311" s="528" t="s">
        <v>24184</v>
      </c>
      <c r="C8311" s="528" t="s">
        <v>24185</v>
      </c>
      <c r="D8311" s="528" t="s">
        <v>251</v>
      </c>
      <c r="E8311" s="528"/>
      <c r="F8311" s="528"/>
      <c r="G8311" s="528" t="s">
        <v>208</v>
      </c>
    </row>
    <row r="8312" spans="1:7" x14ac:dyDescent="0.35">
      <c r="A8312" s="528" t="s">
        <v>24186</v>
      </c>
      <c r="B8312" s="528" t="s">
        <v>24187</v>
      </c>
      <c r="C8312" s="528" t="s">
        <v>24188</v>
      </c>
      <c r="D8312" s="528" t="s">
        <v>251</v>
      </c>
      <c r="E8312" s="528"/>
      <c r="F8312" s="528"/>
      <c r="G8312" s="528" t="s">
        <v>208</v>
      </c>
    </row>
    <row r="8313" spans="1:7" x14ac:dyDescent="0.35">
      <c r="A8313" s="528" t="s">
        <v>24189</v>
      </c>
      <c r="B8313" s="528" t="s">
        <v>24190</v>
      </c>
      <c r="C8313" s="528" t="s">
        <v>24191</v>
      </c>
      <c r="D8313" s="528" t="s">
        <v>277</v>
      </c>
      <c r="E8313" s="528"/>
      <c r="F8313" s="528"/>
      <c r="G8313" s="528" t="s">
        <v>208</v>
      </c>
    </row>
    <row r="8314" spans="1:7" x14ac:dyDescent="0.35">
      <c r="A8314" s="528" t="s">
        <v>24192</v>
      </c>
      <c r="B8314" s="528" t="s">
        <v>24193</v>
      </c>
      <c r="C8314" s="528" t="s">
        <v>24194</v>
      </c>
      <c r="D8314" s="528" t="s">
        <v>251</v>
      </c>
      <c r="E8314" s="528"/>
      <c r="F8314" s="528"/>
      <c r="G8314" s="528" t="s">
        <v>208</v>
      </c>
    </row>
    <row r="8315" spans="1:7" x14ac:dyDescent="0.35">
      <c r="A8315" s="528" t="s">
        <v>24195</v>
      </c>
      <c r="B8315" s="528" t="s">
        <v>24196</v>
      </c>
      <c r="C8315" s="528" t="s">
        <v>24197</v>
      </c>
      <c r="D8315" s="528" t="s">
        <v>251</v>
      </c>
      <c r="E8315" s="528" t="s">
        <v>264</v>
      </c>
      <c r="F8315" s="528"/>
      <c r="G8315" s="528" t="s">
        <v>208</v>
      </c>
    </row>
    <row r="8316" spans="1:7" x14ac:dyDescent="0.35">
      <c r="A8316" s="528" t="s">
        <v>24198</v>
      </c>
      <c r="B8316" s="528" t="s">
        <v>24199</v>
      </c>
      <c r="C8316" s="528" t="s">
        <v>24200</v>
      </c>
      <c r="D8316" s="528" t="s">
        <v>251</v>
      </c>
      <c r="E8316" s="528"/>
      <c r="F8316" s="528"/>
      <c r="G8316" s="528" t="s">
        <v>208</v>
      </c>
    </row>
    <row r="8317" spans="1:7" x14ac:dyDescent="0.35">
      <c r="A8317" s="528" t="s">
        <v>24201</v>
      </c>
      <c r="B8317" s="528" t="s">
        <v>24202</v>
      </c>
      <c r="C8317" s="528" t="s">
        <v>24203</v>
      </c>
      <c r="D8317" s="528" t="s">
        <v>251</v>
      </c>
      <c r="E8317" s="528"/>
      <c r="F8317" s="528"/>
      <c r="G8317" s="528" t="s">
        <v>208</v>
      </c>
    </row>
    <row r="8318" spans="1:7" x14ac:dyDescent="0.35">
      <c r="A8318" s="528" t="s">
        <v>24204</v>
      </c>
      <c r="B8318" s="528" t="s">
        <v>24205</v>
      </c>
      <c r="C8318" s="528" t="s">
        <v>24206</v>
      </c>
      <c r="D8318" s="528" t="s">
        <v>251</v>
      </c>
      <c r="E8318" s="528"/>
      <c r="F8318" s="528"/>
      <c r="G8318" s="528" t="s">
        <v>208</v>
      </c>
    </row>
    <row r="8319" spans="1:7" x14ac:dyDescent="0.35">
      <c r="A8319" s="528" t="s">
        <v>24207</v>
      </c>
      <c r="B8319" s="528" t="s">
        <v>24208</v>
      </c>
      <c r="C8319" s="528" t="s">
        <v>24209</v>
      </c>
      <c r="D8319" s="528" t="s">
        <v>251</v>
      </c>
      <c r="E8319" s="528"/>
      <c r="F8319" s="528"/>
      <c r="G8319" s="528" t="s">
        <v>208</v>
      </c>
    </row>
    <row r="8320" spans="1:7" x14ac:dyDescent="0.35">
      <c r="A8320" s="528" t="s">
        <v>24210</v>
      </c>
      <c r="B8320" s="528" t="s">
        <v>24211</v>
      </c>
      <c r="C8320" s="528" t="s">
        <v>24212</v>
      </c>
      <c r="D8320" s="528" t="s">
        <v>251</v>
      </c>
      <c r="E8320" s="528"/>
      <c r="F8320" s="528"/>
      <c r="G8320" s="528" t="s">
        <v>208</v>
      </c>
    </row>
    <row r="8321" spans="1:7" x14ac:dyDescent="0.35">
      <c r="A8321" s="528" t="s">
        <v>24213</v>
      </c>
      <c r="B8321" s="528" t="s">
        <v>24214</v>
      </c>
      <c r="C8321" s="528" t="s">
        <v>24215</v>
      </c>
      <c r="D8321" s="528" t="s">
        <v>251</v>
      </c>
      <c r="E8321" s="528"/>
      <c r="F8321" s="528"/>
      <c r="G8321" s="528" t="s">
        <v>208</v>
      </c>
    </row>
    <row r="8322" spans="1:7" x14ac:dyDescent="0.35">
      <c r="A8322" s="528" t="s">
        <v>24216</v>
      </c>
      <c r="B8322" s="528" t="s">
        <v>24217</v>
      </c>
      <c r="C8322" s="528" t="s">
        <v>24218</v>
      </c>
      <c r="D8322" s="528" t="s">
        <v>251</v>
      </c>
      <c r="E8322" s="528"/>
      <c r="F8322" s="528"/>
      <c r="G8322" s="528" t="s">
        <v>208</v>
      </c>
    </row>
    <row r="8323" spans="1:7" x14ac:dyDescent="0.35">
      <c r="A8323" s="528" t="s">
        <v>24219</v>
      </c>
      <c r="B8323" s="528" t="s">
        <v>24220</v>
      </c>
      <c r="C8323" s="528" t="s">
        <v>24221</v>
      </c>
      <c r="D8323" s="528" t="s">
        <v>251</v>
      </c>
      <c r="E8323" s="528"/>
      <c r="F8323" s="528"/>
      <c r="G8323" s="528" t="s">
        <v>208</v>
      </c>
    </row>
    <row r="8324" spans="1:7" x14ac:dyDescent="0.35">
      <c r="A8324" s="528" t="s">
        <v>24222</v>
      </c>
      <c r="B8324" s="528" t="s">
        <v>24223</v>
      </c>
      <c r="C8324" s="528" t="s">
        <v>24224</v>
      </c>
      <c r="D8324" s="528" t="s">
        <v>251</v>
      </c>
      <c r="E8324" s="528"/>
      <c r="F8324" s="528"/>
      <c r="G8324" s="528" t="s">
        <v>208</v>
      </c>
    </row>
    <row r="8325" spans="1:7" x14ac:dyDescent="0.35">
      <c r="A8325" s="528" t="s">
        <v>24225</v>
      </c>
      <c r="B8325" s="528" t="s">
        <v>24226</v>
      </c>
      <c r="C8325" s="528" t="s">
        <v>24227</v>
      </c>
      <c r="D8325" s="528" t="s">
        <v>251</v>
      </c>
      <c r="E8325" s="528"/>
      <c r="F8325" s="528"/>
      <c r="G8325" s="528" t="s">
        <v>208</v>
      </c>
    </row>
    <row r="8326" spans="1:7" x14ac:dyDescent="0.35">
      <c r="A8326" s="528" t="s">
        <v>24228</v>
      </c>
      <c r="B8326" s="528" t="s">
        <v>24229</v>
      </c>
      <c r="C8326" s="528" t="s">
        <v>24230</v>
      </c>
      <c r="D8326" s="528" t="s">
        <v>251</v>
      </c>
      <c r="E8326" s="528"/>
      <c r="F8326" s="528"/>
      <c r="G8326" s="528" t="s">
        <v>208</v>
      </c>
    </row>
    <row r="8327" spans="1:7" x14ac:dyDescent="0.35">
      <c r="A8327" s="528" t="s">
        <v>24231</v>
      </c>
      <c r="B8327" s="528" t="s">
        <v>24232</v>
      </c>
      <c r="C8327" s="528" t="s">
        <v>24233</v>
      </c>
      <c r="D8327" s="528" t="s">
        <v>251</v>
      </c>
      <c r="E8327" s="528"/>
      <c r="F8327" s="528"/>
      <c r="G8327" s="528" t="s">
        <v>208</v>
      </c>
    </row>
    <row r="8328" spans="1:7" x14ac:dyDescent="0.35">
      <c r="A8328" s="528" t="s">
        <v>24234</v>
      </c>
      <c r="B8328" s="528" t="s">
        <v>24235</v>
      </c>
      <c r="C8328" s="528" t="s">
        <v>24236</v>
      </c>
      <c r="D8328" s="528" t="s">
        <v>264</v>
      </c>
      <c r="E8328" s="528"/>
      <c r="F8328" s="528"/>
      <c r="G8328" s="528" t="s">
        <v>208</v>
      </c>
    </row>
    <row r="8329" spans="1:7" x14ac:dyDescent="0.35">
      <c r="A8329" s="528" t="s">
        <v>24237</v>
      </c>
      <c r="B8329" s="528" t="s">
        <v>24238</v>
      </c>
      <c r="C8329" s="528" t="s">
        <v>24239</v>
      </c>
      <c r="D8329" s="528" t="s">
        <v>225</v>
      </c>
      <c r="E8329" s="528"/>
      <c r="F8329" s="528"/>
      <c r="G8329" s="528" t="s">
        <v>208</v>
      </c>
    </row>
    <row r="8330" spans="1:7" x14ac:dyDescent="0.35">
      <c r="A8330" s="528" t="s">
        <v>24240</v>
      </c>
      <c r="B8330" s="528" t="s">
        <v>24241</v>
      </c>
      <c r="C8330" s="528" t="s">
        <v>24242</v>
      </c>
      <c r="D8330" s="528" t="s">
        <v>264</v>
      </c>
      <c r="E8330" s="528"/>
      <c r="F8330" s="528"/>
      <c r="G8330" s="528" t="s">
        <v>208</v>
      </c>
    </row>
    <row r="8331" spans="1:7" x14ac:dyDescent="0.35">
      <c r="A8331" s="528" t="s">
        <v>24243</v>
      </c>
      <c r="B8331" s="528" t="s">
        <v>24244</v>
      </c>
      <c r="C8331" s="528" t="s">
        <v>24245</v>
      </c>
      <c r="D8331" s="528" t="s">
        <v>225</v>
      </c>
      <c r="E8331" s="528"/>
      <c r="F8331" s="528"/>
      <c r="G8331" s="528" t="s">
        <v>208</v>
      </c>
    </row>
    <row r="8332" spans="1:7" x14ac:dyDescent="0.35">
      <c r="A8332" s="528" t="s">
        <v>24246</v>
      </c>
      <c r="B8332" s="528" t="s">
        <v>24247</v>
      </c>
      <c r="C8332" s="528" t="s">
        <v>24248</v>
      </c>
      <c r="D8332" s="528" t="s">
        <v>225</v>
      </c>
      <c r="E8332" s="528"/>
      <c r="F8332" s="528"/>
      <c r="G8332" s="528" t="s">
        <v>208</v>
      </c>
    </row>
    <row r="8333" spans="1:7" x14ac:dyDescent="0.35">
      <c r="A8333" s="528" t="s">
        <v>24249</v>
      </c>
      <c r="B8333" s="528" t="s">
        <v>24250</v>
      </c>
      <c r="C8333" s="528" t="s">
        <v>24251</v>
      </c>
      <c r="D8333" s="528" t="s">
        <v>264</v>
      </c>
      <c r="E8333" s="528"/>
      <c r="F8333" s="528"/>
      <c r="G8333" s="528" t="s">
        <v>208</v>
      </c>
    </row>
    <row r="8334" spans="1:7" x14ac:dyDescent="0.35">
      <c r="A8334" s="528" t="s">
        <v>24252</v>
      </c>
      <c r="B8334" s="528" t="s">
        <v>24253</v>
      </c>
      <c r="C8334" s="528" t="s">
        <v>24254</v>
      </c>
      <c r="D8334" s="528" t="s">
        <v>251</v>
      </c>
      <c r="E8334" s="528"/>
      <c r="F8334" s="528"/>
      <c r="G8334" s="528" t="s">
        <v>208</v>
      </c>
    </row>
    <row r="8335" spans="1:7" x14ac:dyDescent="0.35">
      <c r="A8335" s="528" t="s">
        <v>24255</v>
      </c>
      <c r="B8335" s="528" t="s">
        <v>24256</v>
      </c>
      <c r="C8335" s="528" t="s">
        <v>24257</v>
      </c>
      <c r="D8335" s="528" t="s">
        <v>238</v>
      </c>
      <c r="E8335" s="528"/>
      <c r="F8335" s="528"/>
      <c r="G8335" s="528" t="s">
        <v>212</v>
      </c>
    </row>
    <row r="8336" spans="1:7" x14ac:dyDescent="0.35">
      <c r="A8336" s="528" t="s">
        <v>24258</v>
      </c>
      <c r="B8336" s="528" t="s">
        <v>24259</v>
      </c>
      <c r="C8336" s="528" t="s">
        <v>24260</v>
      </c>
      <c r="D8336" s="528" t="s">
        <v>264</v>
      </c>
      <c r="E8336" s="528"/>
      <c r="F8336" s="528"/>
      <c r="G8336" s="528" t="s">
        <v>205</v>
      </c>
    </row>
    <row r="8337" spans="1:7" x14ac:dyDescent="0.35">
      <c r="A8337" s="528" t="s">
        <v>24261</v>
      </c>
      <c r="B8337" s="528" t="s">
        <v>24262</v>
      </c>
      <c r="C8337" s="528" t="s">
        <v>24263</v>
      </c>
      <c r="D8337" s="528" t="s">
        <v>264</v>
      </c>
      <c r="E8337" s="528"/>
      <c r="F8337" s="528"/>
      <c r="G8337" s="528" t="s">
        <v>208</v>
      </c>
    </row>
    <row r="8338" spans="1:7" x14ac:dyDescent="0.35">
      <c r="A8338" s="528" t="s">
        <v>24264</v>
      </c>
      <c r="B8338" s="528" t="s">
        <v>24265</v>
      </c>
      <c r="C8338" s="528" t="s">
        <v>24266</v>
      </c>
      <c r="D8338" s="528" t="s">
        <v>264</v>
      </c>
      <c r="E8338" s="528"/>
      <c r="F8338" s="528"/>
      <c r="G8338" s="528" t="s">
        <v>208</v>
      </c>
    </row>
    <row r="8339" spans="1:7" x14ac:dyDescent="0.35">
      <c r="A8339" s="528" t="s">
        <v>24267</v>
      </c>
      <c r="B8339" s="528" t="s">
        <v>24268</v>
      </c>
      <c r="C8339" s="528" t="s">
        <v>24269</v>
      </c>
      <c r="D8339" s="528" t="s">
        <v>264</v>
      </c>
      <c r="E8339" s="528"/>
      <c r="F8339" s="528"/>
      <c r="G8339" s="528" t="s">
        <v>208</v>
      </c>
    </row>
    <row r="8340" spans="1:7" x14ac:dyDescent="0.35">
      <c r="A8340" s="528" t="s">
        <v>24270</v>
      </c>
      <c r="B8340" s="528" t="s">
        <v>24271</v>
      </c>
      <c r="C8340" s="528" t="s">
        <v>24272</v>
      </c>
      <c r="D8340" s="528" t="s">
        <v>264</v>
      </c>
      <c r="E8340" s="528"/>
      <c r="F8340" s="528"/>
      <c r="G8340" s="528" t="s">
        <v>208</v>
      </c>
    </row>
    <row r="8341" spans="1:7" x14ac:dyDescent="0.35">
      <c r="A8341" s="528" t="s">
        <v>24273</v>
      </c>
      <c r="B8341" s="528" t="s">
        <v>24274</v>
      </c>
      <c r="C8341" s="528" t="s">
        <v>24275</v>
      </c>
      <c r="D8341" s="528" t="s">
        <v>264</v>
      </c>
      <c r="E8341" s="528"/>
      <c r="F8341" s="528"/>
      <c r="G8341" s="528" t="s">
        <v>208</v>
      </c>
    </row>
    <row r="8342" spans="1:7" x14ac:dyDescent="0.35">
      <c r="A8342" s="528" t="s">
        <v>24276</v>
      </c>
      <c r="B8342" s="528" t="s">
        <v>24277</v>
      </c>
      <c r="C8342" s="528" t="s">
        <v>24278</v>
      </c>
      <c r="D8342" s="528" t="s">
        <v>277</v>
      </c>
      <c r="E8342" s="528"/>
      <c r="F8342" s="528"/>
      <c r="G8342" s="528" t="s">
        <v>208</v>
      </c>
    </row>
    <row r="8343" spans="1:7" x14ac:dyDescent="0.35">
      <c r="A8343" s="528" t="s">
        <v>24279</v>
      </c>
      <c r="B8343" s="528" t="s">
        <v>24280</v>
      </c>
      <c r="C8343" s="528" t="s">
        <v>24281</v>
      </c>
      <c r="D8343" s="528" t="s">
        <v>264</v>
      </c>
      <c r="E8343" s="528"/>
      <c r="F8343" s="528"/>
      <c r="G8343" s="528" t="s">
        <v>212</v>
      </c>
    </row>
    <row r="8344" spans="1:7" x14ac:dyDescent="0.35">
      <c r="A8344" s="528" t="s">
        <v>24282</v>
      </c>
      <c r="B8344" s="528" t="s">
        <v>24283</v>
      </c>
      <c r="C8344" s="528" t="s">
        <v>24284</v>
      </c>
      <c r="D8344" s="528" t="s">
        <v>277</v>
      </c>
      <c r="E8344" s="528"/>
      <c r="F8344" s="528"/>
      <c r="G8344" s="528" t="s">
        <v>208</v>
      </c>
    </row>
    <row r="8345" spans="1:7" x14ac:dyDescent="0.35">
      <c r="A8345" s="528" t="s">
        <v>24285</v>
      </c>
      <c r="B8345" s="528" t="s">
        <v>24286</v>
      </c>
      <c r="C8345" s="528" t="s">
        <v>24287</v>
      </c>
      <c r="D8345" s="528" t="s">
        <v>264</v>
      </c>
      <c r="E8345" s="528"/>
      <c r="F8345" s="528"/>
      <c r="G8345" s="528" t="s">
        <v>208</v>
      </c>
    </row>
    <row r="8346" spans="1:7" x14ac:dyDescent="0.35">
      <c r="A8346" s="528" t="s">
        <v>24288</v>
      </c>
      <c r="B8346" s="528" t="s">
        <v>24289</v>
      </c>
      <c r="C8346" s="528" t="s">
        <v>24290</v>
      </c>
      <c r="D8346" s="528" t="s">
        <v>264</v>
      </c>
      <c r="E8346" s="528"/>
      <c r="F8346" s="528"/>
      <c r="G8346" s="528" t="s">
        <v>208</v>
      </c>
    </row>
    <row r="8347" spans="1:7" x14ac:dyDescent="0.35">
      <c r="A8347" s="528" t="s">
        <v>24291</v>
      </c>
      <c r="B8347" s="528" t="s">
        <v>24292</v>
      </c>
      <c r="C8347" s="528" t="s">
        <v>24293</v>
      </c>
      <c r="D8347" s="528" t="s">
        <v>264</v>
      </c>
      <c r="E8347" s="528"/>
      <c r="F8347" s="528"/>
      <c r="G8347" s="528" t="s">
        <v>208</v>
      </c>
    </row>
    <row r="8348" spans="1:7" x14ac:dyDescent="0.35">
      <c r="A8348" s="528" t="s">
        <v>24294</v>
      </c>
      <c r="B8348" s="528" t="s">
        <v>24295</v>
      </c>
      <c r="C8348" s="528" t="s">
        <v>24296</v>
      </c>
      <c r="D8348" s="528" t="s">
        <v>264</v>
      </c>
      <c r="E8348" s="528"/>
      <c r="F8348" s="528"/>
      <c r="G8348" s="528" t="s">
        <v>208</v>
      </c>
    </row>
    <row r="8349" spans="1:7" x14ac:dyDescent="0.35">
      <c r="A8349" s="528" t="s">
        <v>24297</v>
      </c>
      <c r="B8349" s="528" t="s">
        <v>24298</v>
      </c>
      <c r="C8349" s="528" t="s">
        <v>24299</v>
      </c>
      <c r="D8349" s="528" t="s">
        <v>264</v>
      </c>
      <c r="E8349" s="528"/>
      <c r="F8349" s="528"/>
      <c r="G8349" s="528" t="s">
        <v>205</v>
      </c>
    </row>
    <row r="8350" spans="1:7" x14ac:dyDescent="0.35">
      <c r="A8350" s="528" t="s">
        <v>24300</v>
      </c>
      <c r="B8350" s="528" t="s">
        <v>24301</v>
      </c>
      <c r="C8350" s="528" t="s">
        <v>24302</v>
      </c>
      <c r="D8350" s="528" t="s">
        <v>264</v>
      </c>
      <c r="E8350" s="528"/>
      <c r="F8350" s="528"/>
      <c r="G8350" s="528" t="s">
        <v>205</v>
      </c>
    </row>
    <row r="8351" spans="1:7" x14ac:dyDescent="0.35">
      <c r="A8351" s="528" t="s">
        <v>24303</v>
      </c>
      <c r="B8351" s="528" t="s">
        <v>24304</v>
      </c>
      <c r="C8351" s="528" t="s">
        <v>24305</v>
      </c>
      <c r="D8351" s="528" t="s">
        <v>225</v>
      </c>
      <c r="E8351" s="528"/>
      <c r="F8351" s="528"/>
      <c r="G8351" s="528" t="s">
        <v>205</v>
      </c>
    </row>
    <row r="8352" spans="1:7" x14ac:dyDescent="0.35">
      <c r="A8352" s="528" t="s">
        <v>24306</v>
      </c>
      <c r="B8352" s="528" t="s">
        <v>24307</v>
      </c>
      <c r="C8352" s="528" t="s">
        <v>24308</v>
      </c>
      <c r="D8352" s="528" t="s">
        <v>251</v>
      </c>
      <c r="E8352" s="528"/>
      <c r="F8352" s="528"/>
      <c r="G8352" s="528" t="s">
        <v>208</v>
      </c>
    </row>
    <row r="8353" spans="1:7" x14ac:dyDescent="0.35">
      <c r="A8353" s="528" t="s">
        <v>24309</v>
      </c>
      <c r="B8353" s="528" t="s">
        <v>24310</v>
      </c>
      <c r="C8353" s="528" t="s">
        <v>24311</v>
      </c>
      <c r="D8353" s="528" t="s">
        <v>277</v>
      </c>
      <c r="E8353" s="528"/>
      <c r="F8353" s="528"/>
      <c r="G8353" s="528" t="s">
        <v>205</v>
      </c>
    </row>
    <row r="8354" spans="1:7" x14ac:dyDescent="0.35">
      <c r="A8354" s="528" t="s">
        <v>24312</v>
      </c>
      <c r="B8354" s="528" t="s">
        <v>24313</v>
      </c>
      <c r="C8354" s="528" t="s">
        <v>24314</v>
      </c>
      <c r="D8354" s="528" t="s">
        <v>277</v>
      </c>
      <c r="E8354" s="528"/>
      <c r="F8354" s="528"/>
      <c r="G8354" s="528" t="s">
        <v>208</v>
      </c>
    </row>
    <row r="8355" spans="1:7" x14ac:dyDescent="0.35">
      <c r="A8355" s="528" t="s">
        <v>24315</v>
      </c>
      <c r="B8355" s="528" t="s">
        <v>24316</v>
      </c>
      <c r="C8355" s="528" t="s">
        <v>24317</v>
      </c>
      <c r="D8355" s="528" t="s">
        <v>264</v>
      </c>
      <c r="E8355" s="528" t="s">
        <v>225</v>
      </c>
      <c r="F8355" s="528"/>
      <c r="G8355" s="528" t="s">
        <v>212</v>
      </c>
    </row>
    <row r="8356" spans="1:7" x14ac:dyDescent="0.35">
      <c r="A8356" s="528" t="s">
        <v>24318</v>
      </c>
      <c r="B8356" s="528" t="s">
        <v>24319</v>
      </c>
      <c r="C8356" s="528" t="s">
        <v>24320</v>
      </c>
      <c r="D8356" s="528" t="s">
        <v>264</v>
      </c>
      <c r="E8356" s="528"/>
      <c r="F8356" s="528"/>
      <c r="G8356" s="528" t="s">
        <v>205</v>
      </c>
    </row>
    <row r="8357" spans="1:7" x14ac:dyDescent="0.35">
      <c r="A8357" s="528" t="s">
        <v>24321</v>
      </c>
      <c r="B8357" s="528" t="s">
        <v>24322</v>
      </c>
      <c r="C8357" s="528" t="s">
        <v>24323</v>
      </c>
      <c r="D8357" s="528" t="s">
        <v>225</v>
      </c>
      <c r="E8357" s="528"/>
      <c r="F8357" s="528"/>
      <c r="G8357" s="528" t="s">
        <v>205</v>
      </c>
    </row>
    <row r="8358" spans="1:7" x14ac:dyDescent="0.35">
      <c r="A8358" s="528" t="s">
        <v>24324</v>
      </c>
      <c r="B8358" s="528" t="s">
        <v>24325</v>
      </c>
      <c r="C8358" s="528" t="s">
        <v>24326</v>
      </c>
      <c r="D8358" s="528" t="s">
        <v>264</v>
      </c>
      <c r="E8358" s="528"/>
      <c r="F8358" s="528"/>
      <c r="G8358" s="528" t="s">
        <v>205</v>
      </c>
    </row>
    <row r="8359" spans="1:7" x14ac:dyDescent="0.35">
      <c r="A8359" s="528" t="s">
        <v>24327</v>
      </c>
      <c r="B8359" s="528" t="s">
        <v>24328</v>
      </c>
      <c r="C8359" s="528" t="s">
        <v>24329</v>
      </c>
      <c r="D8359" s="528" t="s">
        <v>238</v>
      </c>
      <c r="E8359" s="528" t="s">
        <v>277</v>
      </c>
      <c r="F8359" s="528"/>
      <c r="G8359" s="528" t="s">
        <v>205</v>
      </c>
    </row>
    <row r="8360" spans="1:7" x14ac:dyDescent="0.35">
      <c r="A8360" s="528" t="s">
        <v>24330</v>
      </c>
      <c r="B8360" s="528" t="s">
        <v>24331</v>
      </c>
      <c r="C8360" s="528" t="s">
        <v>24332</v>
      </c>
      <c r="D8360" s="528" t="s">
        <v>264</v>
      </c>
      <c r="E8360" s="528"/>
      <c r="F8360" s="528"/>
      <c r="G8360" s="528" t="s">
        <v>205</v>
      </c>
    </row>
    <row r="8361" spans="1:7" x14ac:dyDescent="0.35">
      <c r="A8361" s="528" t="s">
        <v>24333</v>
      </c>
      <c r="B8361" s="528" t="s">
        <v>24334</v>
      </c>
      <c r="C8361" s="528" t="s">
        <v>24335</v>
      </c>
      <c r="D8361" s="528" t="s">
        <v>225</v>
      </c>
      <c r="E8361" s="528" t="s">
        <v>238</v>
      </c>
      <c r="F8361" s="528"/>
      <c r="G8361" s="528" t="s">
        <v>205</v>
      </c>
    </row>
    <row r="8362" spans="1:7" x14ac:dyDescent="0.35">
      <c r="A8362" s="528" t="s">
        <v>24336</v>
      </c>
      <c r="B8362" s="528" t="s">
        <v>24337</v>
      </c>
      <c r="C8362" s="528" t="s">
        <v>24338</v>
      </c>
      <c r="D8362" s="528" t="s">
        <v>251</v>
      </c>
      <c r="E8362" s="528" t="s">
        <v>238</v>
      </c>
      <c r="F8362" s="528"/>
      <c r="G8362" s="528" t="s">
        <v>208</v>
      </c>
    </row>
    <row r="8363" spans="1:7" x14ac:dyDescent="0.35">
      <c r="A8363" s="528" t="s">
        <v>24339</v>
      </c>
      <c r="B8363" s="528" t="s">
        <v>24340</v>
      </c>
      <c r="C8363" s="528" t="s">
        <v>24341</v>
      </c>
      <c r="D8363" s="528" t="s">
        <v>277</v>
      </c>
      <c r="E8363" s="528"/>
      <c r="F8363" s="528"/>
      <c r="G8363" s="528" t="s">
        <v>208</v>
      </c>
    </row>
    <row r="8364" spans="1:7" x14ac:dyDescent="0.35">
      <c r="A8364" s="528" t="s">
        <v>24342</v>
      </c>
      <c r="B8364" s="528" t="s">
        <v>24343</v>
      </c>
      <c r="C8364" s="528" t="s">
        <v>24344</v>
      </c>
      <c r="D8364" s="528" t="s">
        <v>264</v>
      </c>
      <c r="E8364" s="528"/>
      <c r="F8364" s="528"/>
      <c r="G8364" s="528" t="s">
        <v>208</v>
      </c>
    </row>
    <row r="8365" spans="1:7" x14ac:dyDescent="0.35">
      <c r="A8365" s="528" t="s">
        <v>24345</v>
      </c>
      <c r="B8365" s="528" t="s">
        <v>24346</v>
      </c>
      <c r="C8365" s="528" t="s">
        <v>24347</v>
      </c>
      <c r="D8365" s="528" t="s">
        <v>277</v>
      </c>
      <c r="E8365" s="528"/>
      <c r="F8365" s="528"/>
      <c r="G8365" s="528" t="s">
        <v>208</v>
      </c>
    </row>
    <row r="8366" spans="1:7" x14ac:dyDescent="0.35">
      <c r="A8366" s="528" t="s">
        <v>24348</v>
      </c>
      <c r="B8366" s="528" t="s">
        <v>24349</v>
      </c>
      <c r="C8366" s="528" t="s">
        <v>24350</v>
      </c>
      <c r="D8366" s="528" t="s">
        <v>225</v>
      </c>
      <c r="E8366" s="528"/>
      <c r="F8366" s="528"/>
      <c r="G8366" s="528" t="s">
        <v>208</v>
      </c>
    </row>
    <row r="8367" spans="1:7" x14ac:dyDescent="0.35">
      <c r="A8367" s="528" t="s">
        <v>24351</v>
      </c>
      <c r="B8367" s="528" t="s">
        <v>24352</v>
      </c>
      <c r="C8367" s="528" t="s">
        <v>24353</v>
      </c>
      <c r="D8367" s="528" t="s">
        <v>251</v>
      </c>
      <c r="E8367" s="528"/>
      <c r="F8367" s="528"/>
      <c r="G8367" s="528" t="s">
        <v>212</v>
      </c>
    </row>
    <row r="8368" spans="1:7" x14ac:dyDescent="0.35">
      <c r="A8368" s="528" t="s">
        <v>24354</v>
      </c>
      <c r="B8368" s="528" t="s">
        <v>24355</v>
      </c>
      <c r="C8368" s="528" t="s">
        <v>24356</v>
      </c>
      <c r="D8368" s="528" t="s">
        <v>277</v>
      </c>
      <c r="E8368" s="528"/>
      <c r="F8368" s="528"/>
      <c r="G8368" s="528" t="s">
        <v>212</v>
      </c>
    </row>
    <row r="8369" spans="1:7" x14ac:dyDescent="0.35">
      <c r="A8369" s="528" t="s">
        <v>24357</v>
      </c>
      <c r="B8369" s="528" t="s">
        <v>24358</v>
      </c>
      <c r="C8369" s="528" t="s">
        <v>24359</v>
      </c>
      <c r="D8369" s="528" t="s">
        <v>264</v>
      </c>
      <c r="E8369" s="528"/>
      <c r="F8369" s="528"/>
      <c r="G8369" s="528" t="s">
        <v>208</v>
      </c>
    </row>
    <row r="8370" spans="1:7" x14ac:dyDescent="0.35">
      <c r="A8370" s="528" t="s">
        <v>24360</v>
      </c>
      <c r="B8370" s="528" t="s">
        <v>24361</v>
      </c>
      <c r="C8370" s="528" t="s">
        <v>24362</v>
      </c>
      <c r="D8370" s="528" t="s">
        <v>264</v>
      </c>
      <c r="E8370" s="528"/>
      <c r="F8370" s="528"/>
      <c r="G8370" s="528" t="s">
        <v>208</v>
      </c>
    </row>
    <row r="8371" spans="1:7" x14ac:dyDescent="0.35">
      <c r="A8371" s="528" t="s">
        <v>24363</v>
      </c>
      <c r="B8371" s="528" t="s">
        <v>24364</v>
      </c>
      <c r="C8371" s="528" t="s">
        <v>24365</v>
      </c>
      <c r="D8371" s="528" t="s">
        <v>277</v>
      </c>
      <c r="E8371" s="528"/>
      <c r="F8371" s="528"/>
      <c r="G8371" s="528" t="s">
        <v>214</v>
      </c>
    </row>
    <row r="8372" spans="1:7" x14ac:dyDescent="0.35">
      <c r="A8372" s="528" t="s">
        <v>24366</v>
      </c>
      <c r="B8372" s="528" t="s">
        <v>24367</v>
      </c>
      <c r="C8372" s="528" t="s">
        <v>24368</v>
      </c>
      <c r="D8372" s="528" t="s">
        <v>264</v>
      </c>
      <c r="E8372" s="528"/>
      <c r="F8372" s="528"/>
      <c r="G8372" s="528" t="s">
        <v>208</v>
      </c>
    </row>
    <row r="8373" spans="1:7" x14ac:dyDescent="0.35">
      <c r="A8373" s="528" t="s">
        <v>24369</v>
      </c>
      <c r="B8373" s="528" t="s">
        <v>24370</v>
      </c>
      <c r="C8373" s="528" t="s">
        <v>24371</v>
      </c>
      <c r="D8373" s="528" t="s">
        <v>277</v>
      </c>
      <c r="E8373" s="528"/>
      <c r="F8373" s="528"/>
      <c r="G8373" s="528" t="s">
        <v>208</v>
      </c>
    </row>
    <row r="8374" spans="1:7" x14ac:dyDescent="0.35">
      <c r="A8374" s="528" t="s">
        <v>24372</v>
      </c>
      <c r="B8374" s="528" t="s">
        <v>24373</v>
      </c>
      <c r="C8374" s="528" t="s">
        <v>24374</v>
      </c>
      <c r="D8374" s="528" t="s">
        <v>277</v>
      </c>
      <c r="E8374" s="528"/>
      <c r="F8374" s="528"/>
      <c r="G8374" s="528" t="s">
        <v>208</v>
      </c>
    </row>
    <row r="8375" spans="1:7" x14ac:dyDescent="0.35">
      <c r="A8375" s="528" t="s">
        <v>24375</v>
      </c>
      <c r="B8375" s="528" t="s">
        <v>24376</v>
      </c>
      <c r="C8375" s="528" t="s">
        <v>24377</v>
      </c>
      <c r="D8375" s="528" t="s">
        <v>277</v>
      </c>
      <c r="E8375" s="528"/>
      <c r="F8375" s="528"/>
      <c r="G8375" s="528" t="s">
        <v>212</v>
      </c>
    </row>
    <row r="8376" spans="1:7" x14ac:dyDescent="0.35">
      <c r="A8376" s="528" t="s">
        <v>24378</v>
      </c>
      <c r="B8376" s="528" t="s">
        <v>24379</v>
      </c>
      <c r="C8376" s="528" t="s">
        <v>24380</v>
      </c>
      <c r="D8376" s="528" t="s">
        <v>277</v>
      </c>
      <c r="E8376" s="528"/>
      <c r="F8376" s="528"/>
      <c r="G8376" s="528" t="s">
        <v>208</v>
      </c>
    </row>
    <row r="8377" spans="1:7" x14ac:dyDescent="0.35">
      <c r="A8377" s="528" t="s">
        <v>24381</v>
      </c>
      <c r="B8377" s="528" t="s">
        <v>24382</v>
      </c>
      <c r="C8377" s="528" t="s">
        <v>24383</v>
      </c>
      <c r="D8377" s="528" t="s">
        <v>264</v>
      </c>
      <c r="E8377" s="528"/>
      <c r="F8377" s="528"/>
      <c r="G8377" s="528" t="s">
        <v>208</v>
      </c>
    </row>
    <row r="8378" spans="1:7" x14ac:dyDescent="0.35">
      <c r="A8378" s="528" t="s">
        <v>24384</v>
      </c>
      <c r="B8378" s="528" t="s">
        <v>24385</v>
      </c>
      <c r="C8378" s="528" t="s">
        <v>24386</v>
      </c>
      <c r="D8378" s="528" t="s">
        <v>277</v>
      </c>
      <c r="E8378" s="528"/>
      <c r="F8378" s="528"/>
      <c r="G8378" s="528" t="s">
        <v>208</v>
      </c>
    </row>
    <row r="8379" spans="1:7" x14ac:dyDescent="0.35">
      <c r="A8379" s="528" t="s">
        <v>24387</v>
      </c>
      <c r="B8379" s="528" t="s">
        <v>24388</v>
      </c>
      <c r="C8379" s="528" t="s">
        <v>24389</v>
      </c>
      <c r="D8379" s="528" t="s">
        <v>264</v>
      </c>
      <c r="E8379" s="528"/>
      <c r="F8379" s="528"/>
      <c r="G8379" s="528" t="s">
        <v>212</v>
      </c>
    </row>
    <row r="8380" spans="1:7" x14ac:dyDescent="0.35">
      <c r="A8380" s="528" t="s">
        <v>24390</v>
      </c>
      <c r="B8380" s="528" t="s">
        <v>24391</v>
      </c>
      <c r="C8380" s="528" t="s">
        <v>24392</v>
      </c>
      <c r="D8380" s="528" t="s">
        <v>264</v>
      </c>
      <c r="E8380" s="528"/>
      <c r="F8380" s="528"/>
      <c r="G8380" s="528" t="s">
        <v>208</v>
      </c>
    </row>
    <row r="8381" spans="1:7" x14ac:dyDescent="0.35">
      <c r="A8381" s="528" t="s">
        <v>24393</v>
      </c>
      <c r="B8381" s="528" t="s">
        <v>24394</v>
      </c>
      <c r="C8381" s="528" t="s">
        <v>24395</v>
      </c>
      <c r="D8381" s="528" t="s">
        <v>264</v>
      </c>
      <c r="E8381" s="528"/>
      <c r="F8381" s="528"/>
      <c r="G8381" s="528" t="s">
        <v>208</v>
      </c>
    </row>
    <row r="8382" spans="1:7" x14ac:dyDescent="0.35">
      <c r="A8382" s="528" t="s">
        <v>24396</v>
      </c>
      <c r="B8382" s="528" t="s">
        <v>24397</v>
      </c>
      <c r="C8382" s="528" t="s">
        <v>24398</v>
      </c>
      <c r="D8382" s="528" t="s">
        <v>264</v>
      </c>
      <c r="E8382" s="528" t="s">
        <v>277</v>
      </c>
      <c r="F8382" s="528"/>
      <c r="G8382" s="528" t="s">
        <v>208</v>
      </c>
    </row>
    <row r="8383" spans="1:7" x14ac:dyDescent="0.35">
      <c r="A8383" s="528" t="s">
        <v>24399</v>
      </c>
      <c r="B8383" s="528" t="s">
        <v>24400</v>
      </c>
      <c r="C8383" s="528" t="s">
        <v>24401</v>
      </c>
      <c r="D8383" s="528" t="s">
        <v>277</v>
      </c>
      <c r="E8383" s="528"/>
      <c r="F8383" s="528"/>
      <c r="G8383" s="528" t="s">
        <v>212</v>
      </c>
    </row>
    <row r="8384" spans="1:7" x14ac:dyDescent="0.35">
      <c r="A8384" s="528" t="s">
        <v>24402</v>
      </c>
      <c r="B8384" s="528" t="s">
        <v>24403</v>
      </c>
      <c r="C8384" s="528" t="s">
        <v>24404</v>
      </c>
      <c r="D8384" s="528" t="s">
        <v>251</v>
      </c>
      <c r="E8384" s="528"/>
      <c r="F8384" s="528"/>
      <c r="G8384" s="528" t="s">
        <v>205</v>
      </c>
    </row>
    <row r="8385" spans="1:7" x14ac:dyDescent="0.35">
      <c r="A8385" s="528" t="s">
        <v>24405</v>
      </c>
      <c r="B8385" s="528" t="s">
        <v>24406</v>
      </c>
      <c r="C8385" s="528" t="s">
        <v>24407</v>
      </c>
      <c r="D8385" s="528" t="s">
        <v>251</v>
      </c>
      <c r="E8385" s="528"/>
      <c r="F8385" s="528"/>
      <c r="G8385" s="528" t="s">
        <v>208</v>
      </c>
    </row>
    <row r="8386" spans="1:7" x14ac:dyDescent="0.35">
      <c r="A8386" s="528" t="s">
        <v>24408</v>
      </c>
      <c r="B8386" s="528" t="s">
        <v>24409</v>
      </c>
      <c r="C8386" s="528" t="s">
        <v>24410</v>
      </c>
      <c r="D8386" s="528" t="s">
        <v>277</v>
      </c>
      <c r="E8386" s="528"/>
      <c r="F8386" s="528"/>
      <c r="G8386" s="528" t="s">
        <v>208</v>
      </c>
    </row>
    <row r="8387" spans="1:7" x14ac:dyDescent="0.35">
      <c r="A8387" s="528" t="s">
        <v>24411</v>
      </c>
      <c r="B8387" s="528" t="s">
        <v>24412</v>
      </c>
      <c r="C8387" s="528" t="s">
        <v>24413</v>
      </c>
      <c r="D8387" s="528" t="s">
        <v>277</v>
      </c>
      <c r="E8387" s="528"/>
      <c r="F8387" s="528"/>
      <c r="G8387" s="528" t="s">
        <v>205</v>
      </c>
    </row>
    <row r="8388" spans="1:7" x14ac:dyDescent="0.35">
      <c r="A8388" s="528" t="s">
        <v>24414</v>
      </c>
      <c r="B8388" s="528" t="s">
        <v>24415</v>
      </c>
      <c r="C8388" s="528" t="s">
        <v>24416</v>
      </c>
      <c r="D8388" s="528" t="s">
        <v>277</v>
      </c>
      <c r="E8388" s="528"/>
      <c r="F8388" s="528"/>
      <c r="G8388" s="528" t="s">
        <v>208</v>
      </c>
    </row>
    <row r="8389" spans="1:7" x14ac:dyDescent="0.35">
      <c r="A8389" s="528" t="s">
        <v>24417</v>
      </c>
      <c r="B8389" s="528" t="s">
        <v>24418</v>
      </c>
      <c r="C8389" s="528" t="s">
        <v>24419</v>
      </c>
      <c r="D8389" s="528" t="s">
        <v>264</v>
      </c>
      <c r="E8389" s="528"/>
      <c r="F8389" s="528"/>
      <c r="G8389" s="528" t="s">
        <v>214</v>
      </c>
    </row>
    <row r="8390" spans="1:7" x14ac:dyDescent="0.35">
      <c r="A8390" s="528" t="s">
        <v>24420</v>
      </c>
      <c r="B8390" s="528" t="s">
        <v>24421</v>
      </c>
      <c r="C8390" s="528" t="s">
        <v>24422</v>
      </c>
      <c r="D8390" s="528" t="s">
        <v>264</v>
      </c>
      <c r="E8390" s="528"/>
      <c r="F8390" s="528"/>
      <c r="G8390" s="528" t="s">
        <v>214</v>
      </c>
    </row>
    <row r="8391" spans="1:7" x14ac:dyDescent="0.35">
      <c r="A8391" s="528" t="s">
        <v>24423</v>
      </c>
      <c r="B8391" s="528" t="s">
        <v>24424</v>
      </c>
      <c r="C8391" s="528" t="s">
        <v>24425</v>
      </c>
      <c r="D8391" s="528" t="s">
        <v>225</v>
      </c>
      <c r="E8391" s="528"/>
      <c r="F8391" s="528"/>
      <c r="G8391" s="528" t="s">
        <v>208</v>
      </c>
    </row>
    <row r="8392" spans="1:7" x14ac:dyDescent="0.35">
      <c r="A8392" s="528" t="s">
        <v>24426</v>
      </c>
      <c r="B8392" s="528" t="s">
        <v>24427</v>
      </c>
      <c r="C8392" s="528" t="s">
        <v>24428</v>
      </c>
      <c r="D8392" s="528" t="s">
        <v>264</v>
      </c>
      <c r="E8392" s="528"/>
      <c r="F8392" s="528"/>
      <c r="G8392" s="528" t="s">
        <v>205</v>
      </c>
    </row>
    <row r="8393" spans="1:7" x14ac:dyDescent="0.35">
      <c r="A8393" s="528" t="s">
        <v>24429</v>
      </c>
      <c r="B8393" s="528" t="s">
        <v>24430</v>
      </c>
      <c r="C8393" s="528" t="s">
        <v>24431</v>
      </c>
      <c r="D8393" s="528" t="s">
        <v>264</v>
      </c>
      <c r="E8393" s="528"/>
      <c r="F8393" s="528"/>
      <c r="G8393" s="528" t="s">
        <v>212</v>
      </c>
    </row>
    <row r="8394" spans="1:7" x14ac:dyDescent="0.35">
      <c r="A8394" s="528" t="s">
        <v>24432</v>
      </c>
      <c r="B8394" s="528" t="s">
        <v>24433</v>
      </c>
      <c r="C8394" s="528" t="s">
        <v>24434</v>
      </c>
      <c r="D8394" s="528" t="s">
        <v>264</v>
      </c>
      <c r="E8394" s="528"/>
      <c r="F8394" s="528"/>
      <c r="G8394" s="528" t="s">
        <v>212</v>
      </c>
    </row>
    <row r="8395" spans="1:7" x14ac:dyDescent="0.35">
      <c r="A8395" s="528" t="s">
        <v>24435</v>
      </c>
      <c r="B8395" s="528" t="s">
        <v>24436</v>
      </c>
      <c r="C8395" s="528" t="s">
        <v>24437</v>
      </c>
      <c r="D8395" s="528" t="s">
        <v>264</v>
      </c>
      <c r="E8395" s="528"/>
      <c r="F8395" s="528"/>
      <c r="G8395" s="528" t="s">
        <v>212</v>
      </c>
    </row>
    <row r="8396" spans="1:7" x14ac:dyDescent="0.35">
      <c r="A8396" s="528" t="s">
        <v>24438</v>
      </c>
      <c r="B8396" s="528" t="s">
        <v>24439</v>
      </c>
      <c r="C8396" s="528" t="s">
        <v>24440</v>
      </c>
      <c r="D8396" s="528" t="s">
        <v>264</v>
      </c>
      <c r="E8396" s="528"/>
      <c r="F8396" s="528"/>
      <c r="G8396" s="528" t="s">
        <v>208</v>
      </c>
    </row>
    <row r="8397" spans="1:7" x14ac:dyDescent="0.35">
      <c r="A8397" s="528" t="s">
        <v>24441</v>
      </c>
      <c r="B8397" s="528" t="s">
        <v>24442</v>
      </c>
      <c r="C8397" s="528" t="s">
        <v>24443</v>
      </c>
      <c r="D8397" s="528" t="s">
        <v>264</v>
      </c>
      <c r="E8397" s="528"/>
      <c r="F8397" s="528"/>
      <c r="G8397" s="528" t="s">
        <v>208</v>
      </c>
    </row>
    <row r="8398" spans="1:7" x14ac:dyDescent="0.35">
      <c r="A8398" s="528" t="s">
        <v>24444</v>
      </c>
      <c r="B8398" s="528" t="s">
        <v>24445</v>
      </c>
      <c r="C8398" s="528" t="s">
        <v>24446</v>
      </c>
      <c r="D8398" s="528" t="s">
        <v>264</v>
      </c>
      <c r="E8398" s="528"/>
      <c r="F8398" s="528"/>
      <c r="G8398" s="528" t="s">
        <v>208</v>
      </c>
    </row>
    <row r="8399" spans="1:7" x14ac:dyDescent="0.35">
      <c r="A8399" s="528" t="s">
        <v>24447</v>
      </c>
      <c r="B8399" s="528" t="s">
        <v>24448</v>
      </c>
      <c r="C8399" s="528" t="s">
        <v>24449</v>
      </c>
      <c r="D8399" s="528" t="s">
        <v>225</v>
      </c>
      <c r="E8399" s="528"/>
      <c r="F8399" s="528"/>
      <c r="G8399" s="528" t="s">
        <v>205</v>
      </c>
    </row>
    <row r="8400" spans="1:7" x14ac:dyDescent="0.35">
      <c r="A8400" s="528" t="s">
        <v>24450</v>
      </c>
      <c r="B8400" s="528" t="s">
        <v>24451</v>
      </c>
      <c r="C8400" s="528" t="s">
        <v>24452</v>
      </c>
      <c r="D8400" s="528" t="s">
        <v>264</v>
      </c>
      <c r="E8400" s="528"/>
      <c r="F8400" s="528"/>
      <c r="G8400" s="528" t="s">
        <v>208</v>
      </c>
    </row>
    <row r="8401" spans="1:7" x14ac:dyDescent="0.35">
      <c r="A8401" s="528" t="s">
        <v>24453</v>
      </c>
      <c r="B8401" s="528" t="s">
        <v>24454</v>
      </c>
      <c r="C8401" s="528" t="s">
        <v>24455</v>
      </c>
      <c r="D8401" s="528" t="s">
        <v>277</v>
      </c>
      <c r="E8401" s="528"/>
      <c r="F8401" s="528"/>
      <c r="G8401" s="528" t="s">
        <v>208</v>
      </c>
    </row>
    <row r="8402" spans="1:7" x14ac:dyDescent="0.35">
      <c r="A8402" s="528" t="s">
        <v>24456</v>
      </c>
      <c r="B8402" s="528" t="s">
        <v>24457</v>
      </c>
      <c r="C8402" s="528" t="s">
        <v>24458</v>
      </c>
      <c r="D8402" s="528" t="s">
        <v>251</v>
      </c>
      <c r="E8402" s="528"/>
      <c r="F8402" s="528"/>
      <c r="G8402" s="528" t="s">
        <v>208</v>
      </c>
    </row>
    <row r="8403" spans="1:7" x14ac:dyDescent="0.35">
      <c r="A8403" s="528" t="s">
        <v>24459</v>
      </c>
      <c r="B8403" s="528" t="s">
        <v>24460</v>
      </c>
      <c r="C8403" s="528" t="s">
        <v>24461</v>
      </c>
      <c r="D8403" s="528" t="s">
        <v>251</v>
      </c>
      <c r="E8403" s="528"/>
      <c r="F8403" s="528"/>
      <c r="G8403" s="528" t="s">
        <v>205</v>
      </c>
    </row>
    <row r="8404" spans="1:7" x14ac:dyDescent="0.35">
      <c r="A8404" s="528" t="s">
        <v>24462</v>
      </c>
      <c r="B8404" s="528" t="s">
        <v>24463</v>
      </c>
      <c r="C8404" s="528" t="s">
        <v>24464</v>
      </c>
      <c r="D8404" s="528" t="s">
        <v>251</v>
      </c>
      <c r="E8404" s="528" t="s">
        <v>225</v>
      </c>
      <c r="F8404" s="528"/>
      <c r="G8404" s="528" t="s">
        <v>205</v>
      </c>
    </row>
    <row r="8405" spans="1:7" x14ac:dyDescent="0.35">
      <c r="A8405" s="528" t="s">
        <v>24465</v>
      </c>
      <c r="B8405" s="528" t="s">
        <v>24466</v>
      </c>
      <c r="C8405" s="528" t="s">
        <v>24467</v>
      </c>
      <c r="D8405" s="528" t="s">
        <v>251</v>
      </c>
      <c r="E8405" s="528" t="s">
        <v>225</v>
      </c>
      <c r="F8405" s="528"/>
      <c r="G8405" s="528" t="s">
        <v>208</v>
      </c>
    </row>
    <row r="8406" spans="1:7" x14ac:dyDescent="0.35">
      <c r="A8406" s="528" t="s">
        <v>24468</v>
      </c>
      <c r="B8406" s="528" t="s">
        <v>24469</v>
      </c>
      <c r="C8406" s="528" t="s">
        <v>24470</v>
      </c>
      <c r="D8406" s="528" t="s">
        <v>251</v>
      </c>
      <c r="E8406" s="528"/>
      <c r="F8406" s="528"/>
      <c r="G8406" s="528" t="s">
        <v>208</v>
      </c>
    </row>
    <row r="8407" spans="1:7" x14ac:dyDescent="0.35">
      <c r="A8407" s="528" t="s">
        <v>24471</v>
      </c>
      <c r="B8407" s="528" t="s">
        <v>24472</v>
      </c>
      <c r="C8407" s="528" t="s">
        <v>24473</v>
      </c>
      <c r="D8407" s="528" t="s">
        <v>277</v>
      </c>
      <c r="E8407" s="528"/>
      <c r="F8407" s="528"/>
      <c r="G8407" s="528" t="s">
        <v>208</v>
      </c>
    </row>
    <row r="8408" spans="1:7" x14ac:dyDescent="0.35">
      <c r="A8408" s="528" t="s">
        <v>24474</v>
      </c>
      <c r="B8408" s="528" t="s">
        <v>24475</v>
      </c>
      <c r="C8408" s="528" t="s">
        <v>24476</v>
      </c>
      <c r="D8408" s="528" t="s">
        <v>251</v>
      </c>
      <c r="E8408" s="528"/>
      <c r="F8408" s="528"/>
      <c r="G8408" s="528" t="s">
        <v>208</v>
      </c>
    </row>
    <row r="8409" spans="1:7" x14ac:dyDescent="0.35">
      <c r="A8409" s="528" t="s">
        <v>24477</v>
      </c>
      <c r="B8409" s="528" t="s">
        <v>24478</v>
      </c>
      <c r="C8409" s="528" t="s">
        <v>29201</v>
      </c>
      <c r="D8409" s="528" t="s">
        <v>238</v>
      </c>
      <c r="E8409" s="528"/>
      <c r="F8409" s="528"/>
      <c r="G8409" s="528" t="s">
        <v>205</v>
      </c>
    </row>
    <row r="8410" spans="1:7" x14ac:dyDescent="0.35">
      <c r="A8410" s="528" t="s">
        <v>24479</v>
      </c>
      <c r="B8410" s="528" t="s">
        <v>24480</v>
      </c>
      <c r="C8410" s="528" t="s">
        <v>24481</v>
      </c>
      <c r="D8410" s="528" t="s">
        <v>264</v>
      </c>
      <c r="E8410" s="528"/>
      <c r="F8410" s="528"/>
      <c r="G8410" s="528" t="s">
        <v>205</v>
      </c>
    </row>
    <row r="8411" spans="1:7" x14ac:dyDescent="0.35">
      <c r="A8411" s="528" t="s">
        <v>24482</v>
      </c>
      <c r="B8411" s="528" t="s">
        <v>24483</v>
      </c>
      <c r="C8411" s="528" t="s">
        <v>444</v>
      </c>
      <c r="D8411" s="528" t="s">
        <v>238</v>
      </c>
      <c r="E8411" s="528"/>
      <c r="F8411" s="528"/>
      <c r="G8411" s="528" t="s">
        <v>205</v>
      </c>
    </row>
    <row r="8412" spans="1:7" x14ac:dyDescent="0.35">
      <c r="A8412" s="528" t="s">
        <v>24484</v>
      </c>
      <c r="B8412" s="528" t="s">
        <v>24485</v>
      </c>
      <c r="C8412" s="528" t="s">
        <v>24486</v>
      </c>
      <c r="D8412" s="528" t="s">
        <v>251</v>
      </c>
      <c r="E8412" s="528"/>
      <c r="F8412" s="528"/>
      <c r="G8412" s="528" t="s">
        <v>205</v>
      </c>
    </row>
    <row r="8413" spans="1:7" x14ac:dyDescent="0.35">
      <c r="A8413" s="528" t="s">
        <v>24487</v>
      </c>
      <c r="B8413" s="528" t="s">
        <v>24488</v>
      </c>
      <c r="C8413" s="528" t="s">
        <v>24489</v>
      </c>
      <c r="D8413" s="528" t="s">
        <v>251</v>
      </c>
      <c r="E8413" s="528"/>
      <c r="F8413" s="528"/>
      <c r="G8413" s="528" t="s">
        <v>205</v>
      </c>
    </row>
    <row r="8414" spans="1:7" x14ac:dyDescent="0.35">
      <c r="A8414" s="528" t="s">
        <v>24490</v>
      </c>
      <c r="B8414" s="528" t="s">
        <v>24491</v>
      </c>
      <c r="C8414" s="528" t="s">
        <v>24492</v>
      </c>
      <c r="D8414" s="528" t="s">
        <v>277</v>
      </c>
      <c r="E8414" s="528"/>
      <c r="F8414" s="528"/>
      <c r="G8414" s="528" t="s">
        <v>208</v>
      </c>
    </row>
    <row r="8415" spans="1:7" x14ac:dyDescent="0.35">
      <c r="A8415" s="528" t="s">
        <v>24493</v>
      </c>
      <c r="B8415" s="528" t="s">
        <v>24494</v>
      </c>
      <c r="C8415" s="528" t="s">
        <v>24495</v>
      </c>
      <c r="D8415" s="528" t="s">
        <v>264</v>
      </c>
      <c r="E8415" s="528" t="s">
        <v>225</v>
      </c>
      <c r="F8415" s="528"/>
      <c r="G8415" s="528" t="s">
        <v>208</v>
      </c>
    </row>
    <row r="8416" spans="1:7" x14ac:dyDescent="0.35">
      <c r="A8416" s="528" t="s">
        <v>24496</v>
      </c>
      <c r="B8416" s="528" t="s">
        <v>24497</v>
      </c>
      <c r="C8416" s="528" t="s">
        <v>24498</v>
      </c>
      <c r="D8416" s="528" t="s">
        <v>264</v>
      </c>
      <c r="E8416" s="528" t="s">
        <v>225</v>
      </c>
      <c r="F8416" s="528"/>
      <c r="G8416" s="528" t="s">
        <v>208</v>
      </c>
    </row>
    <row r="8417" spans="1:7" x14ac:dyDescent="0.35">
      <c r="A8417" s="528" t="s">
        <v>24499</v>
      </c>
      <c r="B8417" s="528" t="s">
        <v>24500</v>
      </c>
      <c r="C8417" s="528" t="s">
        <v>24501</v>
      </c>
      <c r="D8417" s="528" t="s">
        <v>264</v>
      </c>
      <c r="E8417" s="528"/>
      <c r="F8417" s="528"/>
      <c r="G8417" s="528" t="s">
        <v>208</v>
      </c>
    </row>
    <row r="8418" spans="1:7" x14ac:dyDescent="0.35">
      <c r="A8418" s="528" t="s">
        <v>24502</v>
      </c>
      <c r="B8418" s="528" t="s">
        <v>24503</v>
      </c>
      <c r="C8418" s="528" t="s">
        <v>28357</v>
      </c>
      <c r="D8418" s="528" t="s">
        <v>225</v>
      </c>
      <c r="E8418" s="528"/>
      <c r="F8418" s="528"/>
      <c r="G8418" s="528" t="s">
        <v>212</v>
      </c>
    </row>
    <row r="8419" spans="1:7" x14ac:dyDescent="0.35">
      <c r="A8419" s="528" t="s">
        <v>24504</v>
      </c>
      <c r="B8419" s="528" t="s">
        <v>24505</v>
      </c>
      <c r="C8419" s="528" t="s">
        <v>24506</v>
      </c>
      <c r="D8419" s="528" t="s">
        <v>264</v>
      </c>
      <c r="E8419" s="528"/>
      <c r="F8419" s="528"/>
      <c r="G8419" s="528" t="s">
        <v>208</v>
      </c>
    </row>
    <row r="8420" spans="1:7" x14ac:dyDescent="0.35">
      <c r="A8420" s="528" t="s">
        <v>24507</v>
      </c>
      <c r="B8420" s="528" t="s">
        <v>24508</v>
      </c>
      <c r="C8420" s="528" t="s">
        <v>24509</v>
      </c>
      <c r="D8420" s="528" t="s">
        <v>264</v>
      </c>
      <c r="E8420" s="528"/>
      <c r="F8420" s="528"/>
      <c r="G8420" s="528" t="s">
        <v>208</v>
      </c>
    </row>
    <row r="8421" spans="1:7" x14ac:dyDescent="0.35">
      <c r="A8421" s="528" t="s">
        <v>24510</v>
      </c>
      <c r="B8421" s="528" t="s">
        <v>24511</v>
      </c>
      <c r="C8421" s="528" t="s">
        <v>24512</v>
      </c>
      <c r="D8421" s="528" t="s">
        <v>264</v>
      </c>
      <c r="E8421" s="528"/>
      <c r="F8421" s="528"/>
      <c r="G8421" s="528" t="s">
        <v>208</v>
      </c>
    </row>
    <row r="8422" spans="1:7" x14ac:dyDescent="0.35">
      <c r="A8422" s="528" t="s">
        <v>24513</v>
      </c>
      <c r="B8422" s="528" t="s">
        <v>24514</v>
      </c>
      <c r="C8422" s="528" t="s">
        <v>24515</v>
      </c>
      <c r="D8422" s="528" t="s">
        <v>264</v>
      </c>
      <c r="E8422" s="528"/>
      <c r="F8422" s="528"/>
      <c r="G8422" s="528" t="s">
        <v>205</v>
      </c>
    </row>
    <row r="8423" spans="1:7" x14ac:dyDescent="0.35">
      <c r="A8423" s="528" t="s">
        <v>24516</v>
      </c>
      <c r="B8423" s="528" t="s">
        <v>24517</v>
      </c>
      <c r="C8423" s="528" t="s">
        <v>24518</v>
      </c>
      <c r="D8423" s="528" t="s">
        <v>251</v>
      </c>
      <c r="E8423" s="528"/>
      <c r="F8423" s="528"/>
      <c r="G8423" s="528" t="s">
        <v>208</v>
      </c>
    </row>
    <row r="8424" spans="1:7" x14ac:dyDescent="0.35">
      <c r="A8424" s="528" t="s">
        <v>24519</v>
      </c>
      <c r="B8424" s="528" t="s">
        <v>24520</v>
      </c>
      <c r="C8424" s="528" t="s">
        <v>24521</v>
      </c>
      <c r="D8424" s="528" t="s">
        <v>251</v>
      </c>
      <c r="E8424" s="528"/>
      <c r="F8424" s="528"/>
      <c r="G8424" s="528" t="s">
        <v>205</v>
      </c>
    </row>
    <row r="8425" spans="1:7" x14ac:dyDescent="0.35">
      <c r="A8425" s="528" t="s">
        <v>24522</v>
      </c>
      <c r="B8425" s="528" t="s">
        <v>24523</v>
      </c>
      <c r="C8425" s="528" t="s">
        <v>24524</v>
      </c>
      <c r="D8425" s="528" t="s">
        <v>264</v>
      </c>
      <c r="E8425" s="528"/>
      <c r="F8425" s="528"/>
      <c r="G8425" s="528" t="s">
        <v>208</v>
      </c>
    </row>
    <row r="8426" spans="1:7" x14ac:dyDescent="0.35">
      <c r="A8426" s="528" t="s">
        <v>24525</v>
      </c>
      <c r="B8426" s="528" t="s">
        <v>24526</v>
      </c>
      <c r="C8426" s="528" t="s">
        <v>24527</v>
      </c>
      <c r="D8426" s="528" t="s">
        <v>264</v>
      </c>
      <c r="E8426" s="528"/>
      <c r="F8426" s="528"/>
      <c r="G8426" s="528" t="s">
        <v>208</v>
      </c>
    </row>
    <row r="8427" spans="1:7" x14ac:dyDescent="0.35">
      <c r="A8427" s="528" t="s">
        <v>24528</v>
      </c>
      <c r="B8427" s="528" t="s">
        <v>24529</v>
      </c>
      <c r="C8427" s="528" t="s">
        <v>24530</v>
      </c>
      <c r="D8427" s="528" t="s">
        <v>225</v>
      </c>
      <c r="E8427" s="528"/>
      <c r="F8427" s="528"/>
      <c r="G8427" s="528" t="s">
        <v>205</v>
      </c>
    </row>
    <row r="8428" spans="1:7" x14ac:dyDescent="0.35">
      <c r="A8428" s="528" t="s">
        <v>24531</v>
      </c>
      <c r="B8428" s="528" t="s">
        <v>24532</v>
      </c>
      <c r="C8428" s="528" t="s">
        <v>24533</v>
      </c>
      <c r="D8428" s="528" t="s">
        <v>251</v>
      </c>
      <c r="E8428" s="528"/>
      <c r="F8428" s="528"/>
      <c r="G8428" s="528" t="s">
        <v>205</v>
      </c>
    </row>
    <row r="8429" spans="1:7" x14ac:dyDescent="0.35">
      <c r="A8429" s="528" t="s">
        <v>24534</v>
      </c>
      <c r="B8429" s="528" t="s">
        <v>24535</v>
      </c>
      <c r="C8429" s="528" t="s">
        <v>24536</v>
      </c>
      <c r="D8429" s="528" t="s">
        <v>251</v>
      </c>
      <c r="E8429" s="528"/>
      <c r="F8429" s="528"/>
      <c r="G8429" s="528" t="s">
        <v>205</v>
      </c>
    </row>
    <row r="8430" spans="1:7" x14ac:dyDescent="0.35">
      <c r="A8430" s="528" t="s">
        <v>24537</v>
      </c>
      <c r="B8430" s="528" t="s">
        <v>24538</v>
      </c>
      <c r="C8430" s="528" t="s">
        <v>24539</v>
      </c>
      <c r="D8430" s="528" t="s">
        <v>238</v>
      </c>
      <c r="E8430" s="528"/>
      <c r="F8430" s="528"/>
      <c r="G8430" s="528" t="s">
        <v>205</v>
      </c>
    </row>
    <row r="8431" spans="1:7" x14ac:dyDescent="0.35">
      <c r="A8431" s="528" t="s">
        <v>24540</v>
      </c>
      <c r="B8431" s="528" t="s">
        <v>24541</v>
      </c>
      <c r="C8431" s="528" t="s">
        <v>24542</v>
      </c>
      <c r="D8431" s="528" t="s">
        <v>238</v>
      </c>
      <c r="E8431" s="528"/>
      <c r="F8431" s="528"/>
      <c r="G8431" s="528" t="s">
        <v>205</v>
      </c>
    </row>
    <row r="8432" spans="1:7" x14ac:dyDescent="0.35">
      <c r="A8432" s="528" t="s">
        <v>24543</v>
      </c>
      <c r="B8432" s="528" t="s">
        <v>24544</v>
      </c>
      <c r="C8432" s="528" t="s">
        <v>24545</v>
      </c>
      <c r="D8432" s="528" t="s">
        <v>238</v>
      </c>
      <c r="E8432" s="528"/>
      <c r="F8432" s="528"/>
      <c r="G8432" s="528" t="s">
        <v>205</v>
      </c>
    </row>
    <row r="8433" spans="1:7" x14ac:dyDescent="0.35">
      <c r="A8433" s="528" t="s">
        <v>24546</v>
      </c>
      <c r="B8433" s="528" t="s">
        <v>24547</v>
      </c>
      <c r="C8433" s="528" t="s">
        <v>24548</v>
      </c>
      <c r="D8433" s="528" t="s">
        <v>238</v>
      </c>
      <c r="E8433" s="528"/>
      <c r="F8433" s="528"/>
      <c r="G8433" s="528" t="s">
        <v>205</v>
      </c>
    </row>
    <row r="8434" spans="1:7" x14ac:dyDescent="0.35">
      <c r="A8434" s="528" t="s">
        <v>24549</v>
      </c>
      <c r="B8434" s="528" t="s">
        <v>24550</v>
      </c>
      <c r="C8434" s="528" t="s">
        <v>24551</v>
      </c>
      <c r="D8434" s="528" t="s">
        <v>238</v>
      </c>
      <c r="E8434" s="528"/>
      <c r="F8434" s="528"/>
      <c r="G8434" s="528" t="s">
        <v>205</v>
      </c>
    </row>
    <row r="8435" spans="1:7" x14ac:dyDescent="0.35">
      <c r="A8435" s="528" t="s">
        <v>24552</v>
      </c>
      <c r="B8435" s="528" t="s">
        <v>24553</v>
      </c>
      <c r="C8435" s="528" t="s">
        <v>24554</v>
      </c>
      <c r="D8435" s="528" t="s">
        <v>238</v>
      </c>
      <c r="E8435" s="528"/>
      <c r="F8435" s="528"/>
      <c r="G8435" s="528" t="s">
        <v>205</v>
      </c>
    </row>
    <row r="8436" spans="1:7" x14ac:dyDescent="0.35">
      <c r="A8436" s="528" t="s">
        <v>24555</v>
      </c>
      <c r="B8436" s="528" t="s">
        <v>24556</v>
      </c>
      <c r="C8436" s="528" t="s">
        <v>24557</v>
      </c>
      <c r="D8436" s="528" t="s">
        <v>238</v>
      </c>
      <c r="E8436" s="528"/>
      <c r="F8436" s="528"/>
      <c r="G8436" s="528" t="s">
        <v>205</v>
      </c>
    </row>
    <row r="8437" spans="1:7" x14ac:dyDescent="0.35">
      <c r="A8437" s="528" t="s">
        <v>24558</v>
      </c>
      <c r="B8437" s="528" t="s">
        <v>24559</v>
      </c>
      <c r="C8437" s="528" t="s">
        <v>24560</v>
      </c>
      <c r="D8437" s="528" t="s">
        <v>238</v>
      </c>
      <c r="E8437" s="528"/>
      <c r="F8437" s="528"/>
      <c r="G8437" s="528" t="s">
        <v>205</v>
      </c>
    </row>
    <row r="8438" spans="1:7" x14ac:dyDescent="0.35">
      <c r="A8438" s="528" t="s">
        <v>24561</v>
      </c>
      <c r="B8438" s="528" t="s">
        <v>24562</v>
      </c>
      <c r="C8438" s="528" t="s">
        <v>24563</v>
      </c>
      <c r="D8438" s="528" t="s">
        <v>238</v>
      </c>
      <c r="E8438" s="528"/>
      <c r="F8438" s="528"/>
      <c r="G8438" s="528" t="s">
        <v>205</v>
      </c>
    </row>
    <row r="8439" spans="1:7" x14ac:dyDescent="0.35">
      <c r="A8439" s="528" t="s">
        <v>24564</v>
      </c>
      <c r="B8439" s="528" t="s">
        <v>24565</v>
      </c>
      <c r="C8439" s="528" t="s">
        <v>24566</v>
      </c>
      <c r="D8439" s="528" t="s">
        <v>238</v>
      </c>
      <c r="E8439" s="528"/>
      <c r="F8439" s="528"/>
      <c r="G8439" s="528" t="s">
        <v>205</v>
      </c>
    </row>
    <row r="8440" spans="1:7" x14ac:dyDescent="0.35">
      <c r="A8440" s="528" t="s">
        <v>24567</v>
      </c>
      <c r="B8440" s="528" t="s">
        <v>24568</v>
      </c>
      <c r="C8440" s="528" t="s">
        <v>24569</v>
      </c>
      <c r="D8440" s="528" t="s">
        <v>238</v>
      </c>
      <c r="E8440" s="528"/>
      <c r="F8440" s="528"/>
      <c r="G8440" s="528" t="s">
        <v>205</v>
      </c>
    </row>
    <row r="8441" spans="1:7" x14ac:dyDescent="0.35">
      <c r="A8441" s="528" t="s">
        <v>24570</v>
      </c>
      <c r="B8441" s="528" t="s">
        <v>24571</v>
      </c>
      <c r="C8441" s="528" t="s">
        <v>24572</v>
      </c>
      <c r="D8441" s="528" t="s">
        <v>238</v>
      </c>
      <c r="E8441" s="528"/>
      <c r="F8441" s="528"/>
      <c r="G8441" s="528" t="s">
        <v>205</v>
      </c>
    </row>
    <row r="8442" spans="1:7" x14ac:dyDescent="0.35">
      <c r="A8442" s="528" t="s">
        <v>24573</v>
      </c>
      <c r="B8442" s="528" t="s">
        <v>24574</v>
      </c>
      <c r="C8442" s="528" t="s">
        <v>24575</v>
      </c>
      <c r="D8442" s="528" t="s">
        <v>238</v>
      </c>
      <c r="E8442" s="528"/>
      <c r="F8442" s="528"/>
      <c r="G8442" s="528" t="s">
        <v>205</v>
      </c>
    </row>
    <row r="8443" spans="1:7" x14ac:dyDescent="0.35">
      <c r="A8443" s="528" t="s">
        <v>24576</v>
      </c>
      <c r="B8443" s="528" t="s">
        <v>24577</v>
      </c>
      <c r="C8443" s="528" t="s">
        <v>24578</v>
      </c>
      <c r="D8443" s="528" t="s">
        <v>238</v>
      </c>
      <c r="E8443" s="528"/>
      <c r="F8443" s="528"/>
      <c r="G8443" s="528" t="s">
        <v>205</v>
      </c>
    </row>
    <row r="8444" spans="1:7" x14ac:dyDescent="0.35">
      <c r="A8444" s="528" t="s">
        <v>24579</v>
      </c>
      <c r="B8444" s="528" t="s">
        <v>24580</v>
      </c>
      <c r="C8444" s="528" t="s">
        <v>24581</v>
      </c>
      <c r="D8444" s="528" t="s">
        <v>238</v>
      </c>
      <c r="E8444" s="528"/>
      <c r="F8444" s="528"/>
      <c r="G8444" s="528" t="s">
        <v>205</v>
      </c>
    </row>
    <row r="8445" spans="1:7" x14ac:dyDescent="0.35">
      <c r="A8445" s="528" t="s">
        <v>24582</v>
      </c>
      <c r="B8445" s="528" t="s">
        <v>24583</v>
      </c>
      <c r="C8445" s="528" t="s">
        <v>24584</v>
      </c>
      <c r="D8445" s="528" t="s">
        <v>251</v>
      </c>
      <c r="E8445" s="528"/>
      <c r="F8445" s="528"/>
      <c r="G8445" s="528" t="s">
        <v>205</v>
      </c>
    </row>
    <row r="8446" spans="1:7" x14ac:dyDescent="0.35">
      <c r="A8446" s="528" t="s">
        <v>24585</v>
      </c>
      <c r="B8446" s="528" t="s">
        <v>24586</v>
      </c>
      <c r="C8446" s="528" t="s">
        <v>24587</v>
      </c>
      <c r="D8446" s="528" t="s">
        <v>238</v>
      </c>
      <c r="E8446" s="528"/>
      <c r="F8446" s="528"/>
      <c r="G8446" s="528" t="s">
        <v>205</v>
      </c>
    </row>
    <row r="8447" spans="1:7" x14ac:dyDescent="0.35">
      <c r="A8447" s="528" t="s">
        <v>24588</v>
      </c>
      <c r="B8447" s="528" t="s">
        <v>24589</v>
      </c>
      <c r="C8447" s="528" t="s">
        <v>24590</v>
      </c>
      <c r="D8447" s="528" t="s">
        <v>251</v>
      </c>
      <c r="E8447" s="528"/>
      <c r="F8447" s="528"/>
      <c r="G8447" s="528" t="s">
        <v>205</v>
      </c>
    </row>
    <row r="8448" spans="1:7" x14ac:dyDescent="0.35">
      <c r="A8448" s="528" t="s">
        <v>24591</v>
      </c>
      <c r="B8448" s="528" t="s">
        <v>24592</v>
      </c>
      <c r="C8448" s="528" t="s">
        <v>24593</v>
      </c>
      <c r="D8448" s="528" t="s">
        <v>251</v>
      </c>
      <c r="E8448" s="528"/>
      <c r="F8448" s="528"/>
      <c r="G8448" s="528" t="s">
        <v>205</v>
      </c>
    </row>
    <row r="8449" spans="1:7" x14ac:dyDescent="0.35">
      <c r="A8449" s="528" t="s">
        <v>24594</v>
      </c>
      <c r="B8449" s="528" t="s">
        <v>24595</v>
      </c>
      <c r="C8449" s="528" t="s">
        <v>24596</v>
      </c>
      <c r="D8449" s="528" t="s">
        <v>251</v>
      </c>
      <c r="E8449" s="528"/>
      <c r="F8449" s="528"/>
      <c r="G8449" s="528" t="s">
        <v>205</v>
      </c>
    </row>
    <row r="8450" spans="1:7" x14ac:dyDescent="0.35">
      <c r="A8450" s="528" t="s">
        <v>24597</v>
      </c>
      <c r="B8450" s="528" t="s">
        <v>24598</v>
      </c>
      <c r="C8450" s="528" t="s">
        <v>24599</v>
      </c>
      <c r="D8450" s="528" t="s">
        <v>225</v>
      </c>
      <c r="E8450" s="528" t="s">
        <v>251</v>
      </c>
      <c r="F8450" s="528"/>
      <c r="G8450" s="528" t="s">
        <v>205</v>
      </c>
    </row>
    <row r="8451" spans="1:7" x14ac:dyDescent="0.35">
      <c r="A8451" s="528" t="s">
        <v>24600</v>
      </c>
      <c r="B8451" s="528" t="s">
        <v>24601</v>
      </c>
      <c r="C8451" s="528" t="s">
        <v>24602</v>
      </c>
      <c r="D8451" s="528" t="s">
        <v>225</v>
      </c>
      <c r="E8451" s="528" t="s">
        <v>251</v>
      </c>
      <c r="F8451" s="528"/>
      <c r="G8451" s="528" t="s">
        <v>205</v>
      </c>
    </row>
    <row r="8452" spans="1:7" x14ac:dyDescent="0.35">
      <c r="A8452" s="528" t="s">
        <v>24603</v>
      </c>
      <c r="B8452" s="528" t="s">
        <v>24604</v>
      </c>
      <c r="C8452" s="528" t="s">
        <v>24605</v>
      </c>
      <c r="D8452" s="528" t="s">
        <v>238</v>
      </c>
      <c r="E8452" s="528"/>
      <c r="F8452" s="528"/>
      <c r="G8452" s="528" t="s">
        <v>208</v>
      </c>
    </row>
    <row r="8453" spans="1:7" x14ac:dyDescent="0.35">
      <c r="A8453" s="528" t="s">
        <v>24606</v>
      </c>
      <c r="B8453" s="528" t="s">
        <v>24607</v>
      </c>
      <c r="C8453" s="528" t="s">
        <v>24608</v>
      </c>
      <c r="D8453" s="528" t="s">
        <v>277</v>
      </c>
      <c r="E8453" s="528"/>
      <c r="F8453" s="528"/>
      <c r="G8453" s="528" t="s">
        <v>205</v>
      </c>
    </row>
    <row r="8454" spans="1:7" x14ac:dyDescent="0.35">
      <c r="A8454" s="528" t="s">
        <v>24609</v>
      </c>
      <c r="B8454" s="528" t="s">
        <v>24610</v>
      </c>
      <c r="C8454" s="528" t="s">
        <v>24611</v>
      </c>
      <c r="D8454" s="528" t="s">
        <v>264</v>
      </c>
      <c r="E8454" s="528"/>
      <c r="F8454" s="528"/>
      <c r="G8454" s="528" t="s">
        <v>205</v>
      </c>
    </row>
    <row r="8455" spans="1:7" x14ac:dyDescent="0.35">
      <c r="A8455" s="528" t="s">
        <v>24612</v>
      </c>
      <c r="B8455" s="528" t="s">
        <v>24613</v>
      </c>
      <c r="C8455" s="528" t="s">
        <v>24614</v>
      </c>
      <c r="D8455" s="528" t="s">
        <v>277</v>
      </c>
      <c r="E8455" s="528"/>
      <c r="F8455" s="528"/>
      <c r="G8455" s="528" t="s">
        <v>205</v>
      </c>
    </row>
    <row r="8456" spans="1:7" x14ac:dyDescent="0.35">
      <c r="A8456" s="528" t="s">
        <v>24615</v>
      </c>
      <c r="B8456" s="528" t="s">
        <v>24616</v>
      </c>
      <c r="C8456" s="528" t="s">
        <v>24617</v>
      </c>
      <c r="D8456" s="528" t="s">
        <v>277</v>
      </c>
      <c r="E8456" s="528"/>
      <c r="F8456" s="528"/>
      <c r="G8456" s="528" t="s">
        <v>208</v>
      </c>
    </row>
    <row r="8457" spans="1:7" x14ac:dyDescent="0.35">
      <c r="A8457" s="528" t="s">
        <v>24618</v>
      </c>
      <c r="B8457" s="528" t="s">
        <v>24619</v>
      </c>
      <c r="C8457" s="528" t="s">
        <v>21049</v>
      </c>
      <c r="D8457" s="528" t="s">
        <v>251</v>
      </c>
      <c r="E8457" s="528"/>
      <c r="F8457" s="528"/>
      <c r="G8457" s="528" t="s">
        <v>208</v>
      </c>
    </row>
    <row r="8458" spans="1:7" x14ac:dyDescent="0.35">
      <c r="A8458" s="528" t="s">
        <v>24620</v>
      </c>
      <c r="B8458" s="528" t="s">
        <v>24621</v>
      </c>
      <c r="C8458" s="528" t="s">
        <v>24622</v>
      </c>
      <c r="D8458" s="528" t="s">
        <v>251</v>
      </c>
      <c r="E8458" s="528"/>
      <c r="F8458" s="528"/>
      <c r="G8458" s="528" t="s">
        <v>208</v>
      </c>
    </row>
    <row r="8459" spans="1:7" x14ac:dyDescent="0.35">
      <c r="A8459" s="528" t="s">
        <v>24623</v>
      </c>
      <c r="B8459" s="528" t="s">
        <v>24624</v>
      </c>
      <c r="C8459" s="528" t="s">
        <v>24625</v>
      </c>
      <c r="D8459" s="528" t="s">
        <v>264</v>
      </c>
      <c r="E8459" s="528"/>
      <c r="F8459" s="528"/>
      <c r="G8459" s="528" t="s">
        <v>208</v>
      </c>
    </row>
    <row r="8460" spans="1:7" x14ac:dyDescent="0.35">
      <c r="A8460" s="528" t="s">
        <v>24626</v>
      </c>
      <c r="B8460" s="528" t="s">
        <v>24627</v>
      </c>
      <c r="C8460" s="528" t="s">
        <v>24628</v>
      </c>
      <c r="D8460" s="528" t="s">
        <v>277</v>
      </c>
      <c r="E8460" s="528"/>
      <c r="F8460" s="528"/>
      <c r="G8460" s="528" t="s">
        <v>205</v>
      </c>
    </row>
    <row r="8461" spans="1:7" x14ac:dyDescent="0.35">
      <c r="A8461" s="528" t="s">
        <v>24629</v>
      </c>
      <c r="B8461" s="528" t="s">
        <v>24630</v>
      </c>
      <c r="C8461" s="528" t="s">
        <v>24631</v>
      </c>
      <c r="D8461" s="528" t="s">
        <v>277</v>
      </c>
      <c r="E8461" s="528"/>
      <c r="F8461" s="528"/>
      <c r="G8461" s="528" t="s">
        <v>208</v>
      </c>
    </row>
    <row r="8462" spans="1:7" x14ac:dyDescent="0.35">
      <c r="A8462" s="528" t="s">
        <v>24632</v>
      </c>
      <c r="B8462" s="528" t="s">
        <v>24633</v>
      </c>
      <c r="C8462" s="528" t="s">
        <v>24634</v>
      </c>
      <c r="D8462" s="528" t="s">
        <v>277</v>
      </c>
      <c r="E8462" s="528"/>
      <c r="F8462" s="528"/>
      <c r="G8462" s="528" t="s">
        <v>208</v>
      </c>
    </row>
    <row r="8463" spans="1:7" x14ac:dyDescent="0.35">
      <c r="A8463" s="528" t="s">
        <v>24635</v>
      </c>
      <c r="B8463" s="528" t="s">
        <v>24636</v>
      </c>
      <c r="C8463" s="528" t="s">
        <v>24637</v>
      </c>
      <c r="D8463" s="528" t="s">
        <v>277</v>
      </c>
      <c r="E8463" s="528"/>
      <c r="F8463" s="528"/>
      <c r="G8463" s="528" t="s">
        <v>212</v>
      </c>
    </row>
    <row r="8464" spans="1:7" x14ac:dyDescent="0.35">
      <c r="A8464" s="528" t="s">
        <v>24638</v>
      </c>
      <c r="B8464" s="528" t="s">
        <v>24639</v>
      </c>
      <c r="C8464" s="528" t="s">
        <v>24640</v>
      </c>
      <c r="D8464" s="528" t="s">
        <v>225</v>
      </c>
      <c r="E8464" s="528"/>
      <c r="F8464" s="528"/>
      <c r="G8464" s="528" t="s">
        <v>212</v>
      </c>
    </row>
    <row r="8465" spans="1:7" x14ac:dyDescent="0.35">
      <c r="A8465" s="528" t="s">
        <v>24641</v>
      </c>
      <c r="B8465" s="528" t="s">
        <v>24642</v>
      </c>
      <c r="C8465" s="528" t="s">
        <v>24643</v>
      </c>
      <c r="D8465" s="528" t="s">
        <v>225</v>
      </c>
      <c r="E8465" s="528"/>
      <c r="F8465" s="528"/>
      <c r="G8465" s="528" t="s">
        <v>205</v>
      </c>
    </row>
    <row r="8466" spans="1:7" x14ac:dyDescent="0.35">
      <c r="A8466" s="528" t="s">
        <v>24644</v>
      </c>
      <c r="B8466" s="528" t="s">
        <v>24645</v>
      </c>
      <c r="C8466" s="528" t="s">
        <v>24646</v>
      </c>
      <c r="D8466" s="528" t="s">
        <v>225</v>
      </c>
      <c r="E8466" s="528"/>
      <c r="F8466" s="528"/>
      <c r="G8466" s="528" t="s">
        <v>205</v>
      </c>
    </row>
    <row r="8467" spans="1:7" x14ac:dyDescent="0.35">
      <c r="A8467" s="528" t="s">
        <v>24647</v>
      </c>
      <c r="B8467" s="528" t="s">
        <v>24648</v>
      </c>
      <c r="C8467" s="528" t="s">
        <v>24649</v>
      </c>
      <c r="D8467" s="528" t="s">
        <v>225</v>
      </c>
      <c r="E8467" s="528"/>
      <c r="F8467" s="528"/>
      <c r="G8467" s="528" t="s">
        <v>205</v>
      </c>
    </row>
    <row r="8468" spans="1:7" x14ac:dyDescent="0.35">
      <c r="A8468" s="528" t="s">
        <v>24650</v>
      </c>
      <c r="B8468" s="528" t="s">
        <v>24651</v>
      </c>
      <c r="C8468" s="528" t="s">
        <v>24652</v>
      </c>
      <c r="D8468" s="528" t="s">
        <v>225</v>
      </c>
      <c r="E8468" s="528"/>
      <c r="F8468" s="528"/>
      <c r="G8468" s="528" t="s">
        <v>205</v>
      </c>
    </row>
    <row r="8469" spans="1:7" x14ac:dyDescent="0.35">
      <c r="A8469" s="528" t="s">
        <v>24653</v>
      </c>
      <c r="B8469" s="528" t="s">
        <v>24654</v>
      </c>
      <c r="C8469" s="528" t="s">
        <v>24655</v>
      </c>
      <c r="D8469" s="528" t="s">
        <v>225</v>
      </c>
      <c r="E8469" s="528"/>
      <c r="F8469" s="528"/>
      <c r="G8469" s="528" t="s">
        <v>205</v>
      </c>
    </row>
    <row r="8470" spans="1:7" x14ac:dyDescent="0.35">
      <c r="A8470" s="528" t="s">
        <v>24656</v>
      </c>
      <c r="B8470" s="528" t="s">
        <v>24657</v>
      </c>
      <c r="C8470" s="528" t="s">
        <v>24658</v>
      </c>
      <c r="D8470" s="528" t="s">
        <v>225</v>
      </c>
      <c r="E8470" s="528"/>
      <c r="F8470" s="528"/>
      <c r="G8470" s="528" t="s">
        <v>205</v>
      </c>
    </row>
    <row r="8471" spans="1:7" x14ac:dyDescent="0.35">
      <c r="A8471" s="528" t="s">
        <v>24659</v>
      </c>
      <c r="B8471" s="528" t="s">
        <v>24660</v>
      </c>
      <c r="C8471" s="528" t="s">
        <v>24661</v>
      </c>
      <c r="D8471" s="528" t="s">
        <v>264</v>
      </c>
      <c r="E8471" s="528"/>
      <c r="F8471" s="528"/>
      <c r="G8471" s="528" t="s">
        <v>208</v>
      </c>
    </row>
    <row r="8472" spans="1:7" x14ac:dyDescent="0.35">
      <c r="A8472" s="528" t="s">
        <v>24662</v>
      </c>
      <c r="B8472" s="528" t="s">
        <v>24663</v>
      </c>
      <c r="C8472" s="528" t="s">
        <v>24664</v>
      </c>
      <c r="D8472" s="528" t="s">
        <v>277</v>
      </c>
      <c r="E8472" s="528"/>
      <c r="F8472" s="528"/>
      <c r="G8472" s="528" t="s">
        <v>208</v>
      </c>
    </row>
    <row r="8473" spans="1:7" x14ac:dyDescent="0.35">
      <c r="A8473" s="528" t="s">
        <v>24665</v>
      </c>
      <c r="B8473" s="528" t="s">
        <v>24666</v>
      </c>
      <c r="C8473" s="528" t="s">
        <v>24667</v>
      </c>
      <c r="D8473" s="528" t="s">
        <v>251</v>
      </c>
      <c r="E8473" s="528"/>
      <c r="F8473" s="528"/>
      <c r="G8473" s="528" t="s">
        <v>205</v>
      </c>
    </row>
    <row r="8474" spans="1:7" x14ac:dyDescent="0.35">
      <c r="A8474" s="528" t="s">
        <v>24668</v>
      </c>
      <c r="B8474" s="528" t="s">
        <v>24669</v>
      </c>
      <c r="C8474" s="528" t="s">
        <v>24670</v>
      </c>
      <c r="D8474" s="528" t="s">
        <v>264</v>
      </c>
      <c r="E8474" s="528"/>
      <c r="F8474" s="528"/>
      <c r="G8474" s="528" t="s">
        <v>208</v>
      </c>
    </row>
    <row r="8475" spans="1:7" x14ac:dyDescent="0.35">
      <c r="A8475" s="528" t="s">
        <v>24671</v>
      </c>
      <c r="B8475" s="528" t="s">
        <v>24672</v>
      </c>
      <c r="C8475" s="528" t="s">
        <v>24673</v>
      </c>
      <c r="D8475" s="528" t="s">
        <v>264</v>
      </c>
      <c r="E8475" s="528"/>
      <c r="F8475" s="528"/>
      <c r="G8475" s="528" t="s">
        <v>208</v>
      </c>
    </row>
    <row r="8476" spans="1:7" x14ac:dyDescent="0.35">
      <c r="A8476" s="528" t="s">
        <v>24674</v>
      </c>
      <c r="B8476" s="528" t="s">
        <v>24675</v>
      </c>
      <c r="C8476" s="528" t="s">
        <v>24676</v>
      </c>
      <c r="D8476" s="528" t="s">
        <v>277</v>
      </c>
      <c r="E8476" s="528"/>
      <c r="F8476" s="528"/>
      <c r="G8476" s="528" t="s">
        <v>212</v>
      </c>
    </row>
    <row r="8477" spans="1:7" x14ac:dyDescent="0.35">
      <c r="A8477" s="528" t="s">
        <v>24677</v>
      </c>
      <c r="B8477" s="528" t="s">
        <v>24678</v>
      </c>
      <c r="C8477" s="528" t="s">
        <v>24679</v>
      </c>
      <c r="D8477" s="528" t="s">
        <v>264</v>
      </c>
      <c r="E8477" s="528"/>
      <c r="F8477" s="528"/>
      <c r="G8477" s="528" t="s">
        <v>208</v>
      </c>
    </row>
    <row r="8478" spans="1:7" x14ac:dyDescent="0.35">
      <c r="A8478" s="528" t="s">
        <v>24680</v>
      </c>
      <c r="B8478" s="528" t="s">
        <v>24681</v>
      </c>
      <c r="C8478" s="528" t="s">
        <v>24682</v>
      </c>
      <c r="D8478" s="528" t="s">
        <v>264</v>
      </c>
      <c r="E8478" s="528"/>
      <c r="F8478" s="528"/>
      <c r="G8478" s="528" t="s">
        <v>208</v>
      </c>
    </row>
    <row r="8479" spans="1:7" x14ac:dyDescent="0.35">
      <c r="A8479" s="528" t="s">
        <v>24683</v>
      </c>
      <c r="B8479" s="528" t="s">
        <v>24684</v>
      </c>
      <c r="C8479" s="528" t="s">
        <v>24685</v>
      </c>
      <c r="D8479" s="528" t="s">
        <v>264</v>
      </c>
      <c r="E8479" s="528"/>
      <c r="F8479" s="528"/>
      <c r="G8479" s="528" t="s">
        <v>208</v>
      </c>
    </row>
    <row r="8480" spans="1:7" x14ac:dyDescent="0.35">
      <c r="A8480" s="528" t="s">
        <v>24686</v>
      </c>
      <c r="B8480" s="528" t="s">
        <v>24687</v>
      </c>
      <c r="C8480" s="528" t="s">
        <v>24688</v>
      </c>
      <c r="D8480" s="528" t="s">
        <v>264</v>
      </c>
      <c r="E8480" s="528"/>
      <c r="F8480" s="528"/>
      <c r="G8480" s="528" t="s">
        <v>212</v>
      </c>
    </row>
    <row r="8481" spans="1:7" x14ac:dyDescent="0.35">
      <c r="A8481" s="528" t="s">
        <v>24689</v>
      </c>
      <c r="B8481" s="528" t="s">
        <v>24690</v>
      </c>
      <c r="C8481" s="528" t="s">
        <v>24691</v>
      </c>
      <c r="D8481" s="528" t="s">
        <v>277</v>
      </c>
      <c r="E8481" s="528"/>
      <c r="F8481" s="528"/>
      <c r="G8481" s="528" t="s">
        <v>208</v>
      </c>
    </row>
    <row r="8482" spans="1:7" x14ac:dyDescent="0.35">
      <c r="A8482" s="528" t="s">
        <v>24692</v>
      </c>
      <c r="B8482" s="528" t="s">
        <v>24693</v>
      </c>
      <c r="C8482" s="528" t="s">
        <v>24694</v>
      </c>
      <c r="D8482" s="528" t="s">
        <v>264</v>
      </c>
      <c r="E8482" s="528"/>
      <c r="F8482" s="528"/>
      <c r="G8482" s="528" t="s">
        <v>208</v>
      </c>
    </row>
    <row r="8483" spans="1:7" x14ac:dyDescent="0.35">
      <c r="A8483" s="528" t="s">
        <v>24695</v>
      </c>
      <c r="B8483" s="528" t="s">
        <v>24696</v>
      </c>
      <c r="C8483" s="528" t="s">
        <v>24697</v>
      </c>
      <c r="D8483" s="528" t="s">
        <v>264</v>
      </c>
      <c r="E8483" s="528"/>
      <c r="F8483" s="528"/>
      <c r="G8483" s="528" t="s">
        <v>208</v>
      </c>
    </row>
    <row r="8484" spans="1:7" x14ac:dyDescent="0.35">
      <c r="A8484" s="528" t="s">
        <v>24698</v>
      </c>
      <c r="B8484" s="528" t="s">
        <v>24699</v>
      </c>
      <c r="C8484" s="528" t="s">
        <v>24700</v>
      </c>
      <c r="D8484" s="528" t="s">
        <v>264</v>
      </c>
      <c r="E8484" s="528"/>
      <c r="F8484" s="528"/>
      <c r="G8484" s="528" t="s">
        <v>208</v>
      </c>
    </row>
    <row r="8485" spans="1:7" x14ac:dyDescent="0.35">
      <c r="A8485" s="528" t="s">
        <v>24701</v>
      </c>
      <c r="B8485" s="528" t="s">
        <v>24702</v>
      </c>
      <c r="C8485" s="528" t="s">
        <v>24703</v>
      </c>
      <c r="D8485" s="528" t="s">
        <v>277</v>
      </c>
      <c r="E8485" s="528"/>
      <c r="F8485" s="528"/>
      <c r="G8485" s="528" t="s">
        <v>208</v>
      </c>
    </row>
    <row r="8486" spans="1:7" x14ac:dyDescent="0.35">
      <c r="A8486" s="528" t="s">
        <v>24704</v>
      </c>
      <c r="B8486" s="528" t="s">
        <v>24705</v>
      </c>
      <c r="C8486" s="528" t="s">
        <v>24706</v>
      </c>
      <c r="D8486" s="528" t="s">
        <v>277</v>
      </c>
      <c r="E8486" s="528"/>
      <c r="F8486" s="528"/>
      <c r="G8486" s="528" t="s">
        <v>205</v>
      </c>
    </row>
    <row r="8487" spans="1:7" x14ac:dyDescent="0.35">
      <c r="A8487" s="528" t="s">
        <v>24707</v>
      </c>
      <c r="B8487" s="528" t="s">
        <v>24708</v>
      </c>
      <c r="C8487" s="528" t="s">
        <v>24709</v>
      </c>
      <c r="D8487" s="528" t="s">
        <v>264</v>
      </c>
      <c r="E8487" s="528"/>
      <c r="F8487" s="528"/>
      <c r="G8487" s="528" t="s">
        <v>205</v>
      </c>
    </row>
    <row r="8488" spans="1:7" x14ac:dyDescent="0.35">
      <c r="A8488" s="528" t="s">
        <v>24710</v>
      </c>
      <c r="B8488" s="528" t="s">
        <v>24711</v>
      </c>
      <c r="C8488" s="528" t="s">
        <v>24712</v>
      </c>
      <c r="D8488" s="528" t="s">
        <v>264</v>
      </c>
      <c r="E8488" s="528"/>
      <c r="F8488" s="528"/>
      <c r="G8488" s="528" t="s">
        <v>208</v>
      </c>
    </row>
    <row r="8489" spans="1:7" x14ac:dyDescent="0.35">
      <c r="A8489" s="528" t="s">
        <v>24713</v>
      </c>
      <c r="B8489" s="528" t="s">
        <v>24714</v>
      </c>
      <c r="C8489" s="528" t="s">
        <v>24715</v>
      </c>
      <c r="D8489" s="528" t="s">
        <v>225</v>
      </c>
      <c r="E8489" s="528"/>
      <c r="F8489" s="528"/>
      <c r="G8489" s="528" t="s">
        <v>212</v>
      </c>
    </row>
    <row r="8490" spans="1:7" x14ac:dyDescent="0.35">
      <c r="A8490" s="528" t="s">
        <v>24716</v>
      </c>
      <c r="B8490" s="528" t="s">
        <v>24717</v>
      </c>
      <c r="C8490" s="528" t="s">
        <v>24718</v>
      </c>
      <c r="D8490" s="528" t="s">
        <v>225</v>
      </c>
      <c r="E8490" s="528"/>
      <c r="F8490" s="528"/>
      <c r="G8490" s="528" t="s">
        <v>208</v>
      </c>
    </row>
    <row r="8491" spans="1:7" x14ac:dyDescent="0.35">
      <c r="A8491" s="528" t="s">
        <v>24719</v>
      </c>
      <c r="B8491" s="528" t="s">
        <v>24720</v>
      </c>
      <c r="C8491" s="528" t="s">
        <v>24721</v>
      </c>
      <c r="D8491" s="528" t="s">
        <v>251</v>
      </c>
      <c r="E8491" s="528"/>
      <c r="F8491" s="528"/>
      <c r="G8491" s="528" t="s">
        <v>208</v>
      </c>
    </row>
    <row r="8492" spans="1:7" x14ac:dyDescent="0.35">
      <c r="A8492" s="528" t="s">
        <v>24722</v>
      </c>
      <c r="B8492" s="528" t="s">
        <v>24723</v>
      </c>
      <c r="C8492" s="528" t="s">
        <v>24724</v>
      </c>
      <c r="D8492" s="528" t="s">
        <v>277</v>
      </c>
      <c r="E8492" s="528"/>
      <c r="F8492" s="528"/>
      <c r="G8492" s="528" t="s">
        <v>208</v>
      </c>
    </row>
    <row r="8493" spans="1:7" x14ac:dyDescent="0.35">
      <c r="A8493" s="528" t="s">
        <v>24725</v>
      </c>
      <c r="B8493" s="528" t="s">
        <v>24726</v>
      </c>
      <c r="C8493" s="528" t="s">
        <v>24727</v>
      </c>
      <c r="D8493" s="528" t="s">
        <v>238</v>
      </c>
      <c r="E8493" s="528"/>
      <c r="F8493" s="528"/>
      <c r="G8493" s="528" t="s">
        <v>208</v>
      </c>
    </row>
    <row r="8494" spans="1:7" x14ac:dyDescent="0.35">
      <c r="A8494" s="528" t="s">
        <v>24728</v>
      </c>
      <c r="B8494" s="528" t="s">
        <v>24729</v>
      </c>
      <c r="C8494" s="528" t="s">
        <v>24730</v>
      </c>
      <c r="D8494" s="528" t="s">
        <v>238</v>
      </c>
      <c r="E8494" s="528"/>
      <c r="F8494" s="528"/>
      <c r="G8494" s="528" t="s">
        <v>205</v>
      </c>
    </row>
    <row r="8495" spans="1:7" x14ac:dyDescent="0.35">
      <c r="A8495" s="528" t="s">
        <v>24731</v>
      </c>
      <c r="B8495" s="528" t="s">
        <v>24732</v>
      </c>
      <c r="C8495" s="528" t="s">
        <v>24733</v>
      </c>
      <c r="D8495" s="528" t="s">
        <v>238</v>
      </c>
      <c r="E8495" s="528"/>
      <c r="F8495" s="528"/>
      <c r="G8495" s="528" t="s">
        <v>205</v>
      </c>
    </row>
    <row r="8496" spans="1:7" x14ac:dyDescent="0.35">
      <c r="A8496" s="528" t="s">
        <v>24734</v>
      </c>
      <c r="B8496" s="528" t="s">
        <v>24735</v>
      </c>
      <c r="C8496" s="528" t="s">
        <v>24736</v>
      </c>
      <c r="D8496" s="528" t="s">
        <v>277</v>
      </c>
      <c r="E8496" s="528"/>
      <c r="F8496" s="528"/>
      <c r="G8496" s="528" t="s">
        <v>205</v>
      </c>
    </row>
    <row r="8497" spans="1:7" x14ac:dyDescent="0.35">
      <c r="A8497" s="528" t="s">
        <v>24737</v>
      </c>
      <c r="B8497" s="528" t="s">
        <v>24738</v>
      </c>
      <c r="C8497" s="528" t="s">
        <v>24739</v>
      </c>
      <c r="D8497" s="528" t="s">
        <v>251</v>
      </c>
      <c r="E8497" s="528"/>
      <c r="F8497" s="528"/>
      <c r="G8497" s="528" t="s">
        <v>208</v>
      </c>
    </row>
    <row r="8498" spans="1:7" x14ac:dyDescent="0.35">
      <c r="A8498" s="528" t="s">
        <v>24740</v>
      </c>
      <c r="B8498" s="528" t="s">
        <v>24741</v>
      </c>
      <c r="C8498" s="528" t="s">
        <v>24742</v>
      </c>
      <c r="D8498" s="528" t="s">
        <v>264</v>
      </c>
      <c r="E8498" s="528"/>
      <c r="F8498" s="528"/>
      <c r="G8498" s="528" t="s">
        <v>208</v>
      </c>
    </row>
    <row r="8499" spans="1:7" x14ac:dyDescent="0.35">
      <c r="A8499" s="528" t="s">
        <v>24743</v>
      </c>
      <c r="B8499" s="528" t="s">
        <v>24744</v>
      </c>
      <c r="C8499" s="528" t="s">
        <v>24745</v>
      </c>
      <c r="D8499" s="528" t="s">
        <v>277</v>
      </c>
      <c r="E8499" s="528"/>
      <c r="F8499" s="528"/>
      <c r="G8499" s="528" t="s">
        <v>212</v>
      </c>
    </row>
    <row r="8500" spans="1:7" x14ac:dyDescent="0.35">
      <c r="A8500" s="528" t="s">
        <v>24746</v>
      </c>
      <c r="B8500" s="528" t="s">
        <v>24747</v>
      </c>
      <c r="C8500" s="528" t="s">
        <v>24748</v>
      </c>
      <c r="D8500" s="528" t="s">
        <v>264</v>
      </c>
      <c r="E8500" s="528"/>
      <c r="F8500" s="528"/>
      <c r="G8500" s="528" t="s">
        <v>205</v>
      </c>
    </row>
    <row r="8501" spans="1:7" x14ac:dyDescent="0.35">
      <c r="A8501" s="528" t="s">
        <v>24749</v>
      </c>
      <c r="B8501" s="528" t="s">
        <v>24750</v>
      </c>
      <c r="C8501" s="528" t="s">
        <v>24751</v>
      </c>
      <c r="D8501" s="528" t="s">
        <v>225</v>
      </c>
      <c r="E8501" s="528"/>
      <c r="F8501" s="528"/>
      <c r="G8501" s="528" t="s">
        <v>208</v>
      </c>
    </row>
    <row r="8502" spans="1:7" x14ac:dyDescent="0.35">
      <c r="A8502" s="528" t="s">
        <v>24752</v>
      </c>
      <c r="B8502" s="528" t="s">
        <v>24753</v>
      </c>
      <c r="C8502" s="528" t="s">
        <v>27986</v>
      </c>
      <c r="D8502" s="528" t="s">
        <v>238</v>
      </c>
      <c r="E8502" s="528"/>
      <c r="F8502" s="528"/>
      <c r="G8502" s="528" t="s">
        <v>208</v>
      </c>
    </row>
    <row r="8503" spans="1:7" x14ac:dyDescent="0.35">
      <c r="A8503" s="528" t="s">
        <v>24754</v>
      </c>
      <c r="B8503" s="528" t="s">
        <v>24755</v>
      </c>
      <c r="C8503" s="528" t="s">
        <v>24756</v>
      </c>
      <c r="D8503" s="528" t="s">
        <v>264</v>
      </c>
      <c r="E8503" s="528"/>
      <c r="F8503" s="528"/>
      <c r="G8503" s="528" t="s">
        <v>205</v>
      </c>
    </row>
    <row r="8504" spans="1:7" x14ac:dyDescent="0.35">
      <c r="A8504" s="528" t="s">
        <v>24757</v>
      </c>
      <c r="B8504" s="528" t="s">
        <v>24758</v>
      </c>
      <c r="C8504" s="528" t="s">
        <v>24759</v>
      </c>
      <c r="D8504" s="528" t="s">
        <v>264</v>
      </c>
      <c r="E8504" s="528"/>
      <c r="F8504" s="528"/>
      <c r="G8504" s="528" t="s">
        <v>205</v>
      </c>
    </row>
    <row r="8505" spans="1:7" x14ac:dyDescent="0.35">
      <c r="A8505" s="528" t="s">
        <v>24760</v>
      </c>
      <c r="B8505" s="528" t="s">
        <v>24761</v>
      </c>
      <c r="C8505" s="528" t="s">
        <v>24762</v>
      </c>
      <c r="D8505" s="528" t="s">
        <v>277</v>
      </c>
      <c r="E8505" s="528"/>
      <c r="F8505" s="528"/>
      <c r="G8505" s="528" t="s">
        <v>208</v>
      </c>
    </row>
    <row r="8506" spans="1:7" x14ac:dyDescent="0.35">
      <c r="A8506" s="528" t="s">
        <v>24763</v>
      </c>
      <c r="B8506" s="528" t="s">
        <v>24764</v>
      </c>
      <c r="C8506" s="528" t="s">
        <v>24765</v>
      </c>
      <c r="D8506" s="528" t="s">
        <v>251</v>
      </c>
      <c r="E8506" s="528"/>
      <c r="F8506" s="528"/>
      <c r="G8506" s="528" t="s">
        <v>208</v>
      </c>
    </row>
    <row r="8507" spans="1:7" x14ac:dyDescent="0.35">
      <c r="A8507" s="528" t="s">
        <v>24766</v>
      </c>
      <c r="B8507" s="528" t="s">
        <v>24767</v>
      </c>
      <c r="C8507" s="528" t="s">
        <v>24768</v>
      </c>
      <c r="D8507" s="528" t="s">
        <v>277</v>
      </c>
      <c r="E8507" s="528"/>
      <c r="F8507" s="528"/>
      <c r="G8507" s="528" t="s">
        <v>212</v>
      </c>
    </row>
    <row r="8508" spans="1:7" x14ac:dyDescent="0.35">
      <c r="A8508" s="528" t="s">
        <v>24769</v>
      </c>
      <c r="B8508" s="528" t="s">
        <v>24770</v>
      </c>
      <c r="C8508" s="528" t="s">
        <v>24771</v>
      </c>
      <c r="D8508" s="528" t="s">
        <v>264</v>
      </c>
      <c r="E8508" s="528"/>
      <c r="F8508" s="528"/>
      <c r="G8508" s="528" t="s">
        <v>208</v>
      </c>
    </row>
    <row r="8509" spans="1:7" x14ac:dyDescent="0.35">
      <c r="A8509" s="528" t="s">
        <v>24772</v>
      </c>
      <c r="B8509" s="528" t="s">
        <v>24773</v>
      </c>
      <c r="C8509" s="528" t="s">
        <v>24774</v>
      </c>
      <c r="D8509" s="528" t="s">
        <v>264</v>
      </c>
      <c r="E8509" s="528"/>
      <c r="F8509" s="528"/>
      <c r="G8509" s="528" t="s">
        <v>208</v>
      </c>
    </row>
    <row r="8510" spans="1:7" x14ac:dyDescent="0.35">
      <c r="A8510" s="528" t="s">
        <v>24775</v>
      </c>
      <c r="B8510" s="528" t="s">
        <v>24776</v>
      </c>
      <c r="C8510" s="528" t="s">
        <v>24777</v>
      </c>
      <c r="D8510" s="528" t="s">
        <v>264</v>
      </c>
      <c r="E8510" s="528"/>
      <c r="F8510" s="528"/>
      <c r="G8510" s="528" t="s">
        <v>214</v>
      </c>
    </row>
    <row r="8511" spans="1:7" x14ac:dyDescent="0.35">
      <c r="A8511" s="528" t="s">
        <v>24778</v>
      </c>
      <c r="B8511" s="528" t="s">
        <v>24779</v>
      </c>
      <c r="C8511" s="528" t="s">
        <v>24780</v>
      </c>
      <c r="D8511" s="528" t="s">
        <v>264</v>
      </c>
      <c r="E8511" s="528"/>
      <c r="F8511" s="528"/>
      <c r="G8511" s="528" t="s">
        <v>208</v>
      </c>
    </row>
    <row r="8512" spans="1:7" x14ac:dyDescent="0.35">
      <c r="A8512" s="528" t="s">
        <v>24781</v>
      </c>
      <c r="B8512" s="528" t="s">
        <v>24782</v>
      </c>
      <c r="C8512" s="528" t="s">
        <v>24783</v>
      </c>
      <c r="D8512" s="528" t="s">
        <v>264</v>
      </c>
      <c r="E8512" s="528"/>
      <c r="F8512" s="528"/>
      <c r="G8512" s="528" t="s">
        <v>210</v>
      </c>
    </row>
    <row r="8513" spans="1:7" x14ac:dyDescent="0.35">
      <c r="A8513" s="528" t="s">
        <v>24784</v>
      </c>
      <c r="B8513" s="528" t="s">
        <v>24785</v>
      </c>
      <c r="C8513" s="528" t="s">
        <v>24786</v>
      </c>
      <c r="D8513" s="528" t="s">
        <v>264</v>
      </c>
      <c r="E8513" s="528"/>
      <c r="F8513" s="528"/>
      <c r="G8513" s="528" t="s">
        <v>212</v>
      </c>
    </row>
    <row r="8514" spans="1:7" x14ac:dyDescent="0.35">
      <c r="A8514" s="528" t="s">
        <v>24787</v>
      </c>
      <c r="B8514" s="528" t="s">
        <v>24788</v>
      </c>
      <c r="C8514" s="528" t="s">
        <v>24789</v>
      </c>
      <c r="D8514" s="528" t="s">
        <v>264</v>
      </c>
      <c r="E8514" s="528"/>
      <c r="F8514" s="528"/>
      <c r="G8514" s="528" t="s">
        <v>212</v>
      </c>
    </row>
    <row r="8515" spans="1:7" x14ac:dyDescent="0.35">
      <c r="A8515" s="528" t="s">
        <v>24790</v>
      </c>
      <c r="B8515" s="528" t="s">
        <v>24791</v>
      </c>
      <c r="C8515" s="528" t="s">
        <v>24792</v>
      </c>
      <c r="D8515" s="528" t="s">
        <v>264</v>
      </c>
      <c r="E8515" s="528"/>
      <c r="F8515" s="528"/>
      <c r="G8515" s="528" t="s">
        <v>212</v>
      </c>
    </row>
    <row r="8516" spans="1:7" x14ac:dyDescent="0.35">
      <c r="A8516" s="528" t="s">
        <v>24793</v>
      </c>
      <c r="B8516" s="528" t="s">
        <v>24794</v>
      </c>
      <c r="C8516" s="528" t="s">
        <v>24795</v>
      </c>
      <c r="D8516" s="528" t="s">
        <v>264</v>
      </c>
      <c r="E8516" s="528" t="s">
        <v>277</v>
      </c>
      <c r="F8516" s="528"/>
      <c r="G8516" s="528" t="s">
        <v>212</v>
      </c>
    </row>
    <row r="8517" spans="1:7" x14ac:dyDescent="0.35">
      <c r="A8517" s="528" t="s">
        <v>24796</v>
      </c>
      <c r="B8517" s="528" t="s">
        <v>24797</v>
      </c>
      <c r="C8517" s="528" t="s">
        <v>24798</v>
      </c>
      <c r="D8517" s="528" t="s">
        <v>238</v>
      </c>
      <c r="E8517" s="528"/>
      <c r="F8517" s="528"/>
      <c r="G8517" s="528" t="s">
        <v>212</v>
      </c>
    </row>
    <row r="8518" spans="1:7" x14ac:dyDescent="0.35">
      <c r="A8518" s="528" t="s">
        <v>24799</v>
      </c>
      <c r="B8518" s="528" t="s">
        <v>24800</v>
      </c>
      <c r="C8518" s="528" t="s">
        <v>24801</v>
      </c>
      <c r="D8518" s="528" t="s">
        <v>277</v>
      </c>
      <c r="E8518" s="528"/>
      <c r="F8518" s="528"/>
      <c r="G8518" s="528" t="s">
        <v>208</v>
      </c>
    </row>
    <row r="8519" spans="1:7" x14ac:dyDescent="0.35">
      <c r="A8519" s="528" t="s">
        <v>24802</v>
      </c>
      <c r="B8519" s="528" t="s">
        <v>24803</v>
      </c>
      <c r="C8519" s="528" t="s">
        <v>24804</v>
      </c>
      <c r="D8519" s="528" t="s">
        <v>238</v>
      </c>
      <c r="E8519" s="528"/>
      <c r="F8519" s="528"/>
      <c r="G8519" s="528" t="s">
        <v>208</v>
      </c>
    </row>
    <row r="8520" spans="1:7" x14ac:dyDescent="0.35">
      <c r="A8520" s="528" t="s">
        <v>24805</v>
      </c>
      <c r="B8520" s="528" t="s">
        <v>24806</v>
      </c>
      <c r="C8520" s="528" t="s">
        <v>24807</v>
      </c>
      <c r="D8520" s="528" t="s">
        <v>238</v>
      </c>
      <c r="E8520" s="528"/>
      <c r="F8520" s="528"/>
      <c r="G8520" s="528" t="s">
        <v>208</v>
      </c>
    </row>
    <row r="8521" spans="1:7" x14ac:dyDescent="0.35">
      <c r="A8521" s="528" t="s">
        <v>24808</v>
      </c>
      <c r="B8521" s="528" t="s">
        <v>24809</v>
      </c>
      <c r="C8521" s="528" t="s">
        <v>24810</v>
      </c>
      <c r="D8521" s="528" t="s">
        <v>225</v>
      </c>
      <c r="E8521" s="528"/>
      <c r="F8521" s="528"/>
      <c r="G8521" s="528" t="s">
        <v>208</v>
      </c>
    </row>
    <row r="8522" spans="1:7" x14ac:dyDescent="0.35">
      <c r="A8522" s="528" t="s">
        <v>24811</v>
      </c>
      <c r="B8522" s="528" t="s">
        <v>24812</v>
      </c>
      <c r="C8522" s="528" t="s">
        <v>24813</v>
      </c>
      <c r="D8522" s="528" t="s">
        <v>238</v>
      </c>
      <c r="E8522" s="528"/>
      <c r="F8522" s="528"/>
      <c r="G8522" s="528" t="s">
        <v>208</v>
      </c>
    </row>
    <row r="8523" spans="1:7" x14ac:dyDescent="0.35">
      <c r="A8523" s="528" t="s">
        <v>24814</v>
      </c>
      <c r="B8523" s="528" t="s">
        <v>24815</v>
      </c>
      <c r="C8523" s="528" t="s">
        <v>24816</v>
      </c>
      <c r="D8523" s="528" t="s">
        <v>277</v>
      </c>
      <c r="E8523" s="528"/>
      <c r="F8523" s="528"/>
      <c r="G8523" s="528" t="s">
        <v>205</v>
      </c>
    </row>
    <row r="8524" spans="1:7" x14ac:dyDescent="0.35">
      <c r="A8524" s="528" t="s">
        <v>24817</v>
      </c>
      <c r="B8524" s="528" t="s">
        <v>24818</v>
      </c>
      <c r="C8524" s="528" t="s">
        <v>24819</v>
      </c>
      <c r="D8524" s="528" t="s">
        <v>277</v>
      </c>
      <c r="E8524" s="528"/>
      <c r="F8524" s="528"/>
      <c r="G8524" s="528" t="s">
        <v>205</v>
      </c>
    </row>
    <row r="8525" spans="1:7" x14ac:dyDescent="0.35">
      <c r="A8525" s="528" t="s">
        <v>24820</v>
      </c>
      <c r="B8525" s="528" t="s">
        <v>24821</v>
      </c>
      <c r="C8525" s="528" t="s">
        <v>24822</v>
      </c>
      <c r="D8525" s="528" t="s">
        <v>264</v>
      </c>
      <c r="E8525" s="528"/>
      <c r="F8525" s="528"/>
      <c r="G8525" s="528" t="s">
        <v>205</v>
      </c>
    </row>
    <row r="8526" spans="1:7" x14ac:dyDescent="0.35">
      <c r="A8526" s="528" t="s">
        <v>24823</v>
      </c>
      <c r="B8526" s="528" t="s">
        <v>24824</v>
      </c>
      <c r="C8526" s="528" t="s">
        <v>24825</v>
      </c>
      <c r="D8526" s="528" t="s">
        <v>264</v>
      </c>
      <c r="E8526" s="528"/>
      <c r="F8526" s="528"/>
      <c r="G8526" s="528" t="s">
        <v>205</v>
      </c>
    </row>
    <row r="8527" spans="1:7" x14ac:dyDescent="0.35">
      <c r="A8527" s="528" t="s">
        <v>24826</v>
      </c>
      <c r="B8527" s="528" t="s">
        <v>24827</v>
      </c>
      <c r="C8527" s="528" t="s">
        <v>24828</v>
      </c>
      <c r="D8527" s="528" t="s">
        <v>277</v>
      </c>
      <c r="E8527" s="528" t="s">
        <v>264</v>
      </c>
      <c r="F8527" s="528"/>
      <c r="G8527" s="528" t="s">
        <v>205</v>
      </c>
    </row>
    <row r="8528" spans="1:7" x14ac:dyDescent="0.35">
      <c r="A8528" s="528" t="s">
        <v>24829</v>
      </c>
      <c r="B8528" s="528" t="s">
        <v>24830</v>
      </c>
      <c r="C8528" s="528" t="s">
        <v>24831</v>
      </c>
      <c r="D8528" s="528" t="s">
        <v>277</v>
      </c>
      <c r="E8528" s="528" t="s">
        <v>264</v>
      </c>
      <c r="F8528" s="528"/>
      <c r="G8528" s="528" t="s">
        <v>205</v>
      </c>
    </row>
    <row r="8529" spans="1:7" x14ac:dyDescent="0.35">
      <c r="A8529" s="528" t="s">
        <v>24832</v>
      </c>
      <c r="B8529" s="528" t="s">
        <v>24833</v>
      </c>
      <c r="C8529" s="528" t="s">
        <v>24834</v>
      </c>
      <c r="D8529" s="528" t="s">
        <v>238</v>
      </c>
      <c r="E8529" s="528"/>
      <c r="F8529" s="528"/>
      <c r="G8529" s="528" t="s">
        <v>212</v>
      </c>
    </row>
    <row r="8530" spans="1:7" x14ac:dyDescent="0.35">
      <c r="A8530" s="528" t="s">
        <v>24835</v>
      </c>
      <c r="B8530" s="528" t="s">
        <v>24836</v>
      </c>
      <c r="C8530" s="528" t="s">
        <v>24837</v>
      </c>
      <c r="D8530" s="528" t="s">
        <v>264</v>
      </c>
      <c r="E8530" s="528"/>
      <c r="F8530" s="528"/>
      <c r="G8530" s="528" t="s">
        <v>205</v>
      </c>
    </row>
    <row r="8531" spans="1:7" x14ac:dyDescent="0.35">
      <c r="A8531" s="528" t="s">
        <v>24838</v>
      </c>
      <c r="B8531" s="528" t="s">
        <v>24839</v>
      </c>
      <c r="C8531" s="528" t="s">
        <v>24840</v>
      </c>
      <c r="D8531" s="528" t="s">
        <v>264</v>
      </c>
      <c r="E8531" s="528"/>
      <c r="F8531" s="528"/>
      <c r="G8531" s="528" t="s">
        <v>205</v>
      </c>
    </row>
    <row r="8532" spans="1:7" x14ac:dyDescent="0.35">
      <c r="A8532" s="528" t="s">
        <v>24841</v>
      </c>
      <c r="B8532" s="528" t="s">
        <v>24842</v>
      </c>
      <c r="C8532" s="528" t="s">
        <v>24843</v>
      </c>
      <c r="D8532" s="528" t="s">
        <v>277</v>
      </c>
      <c r="E8532" s="528"/>
      <c r="F8532" s="528"/>
      <c r="G8532" s="528" t="s">
        <v>205</v>
      </c>
    </row>
    <row r="8533" spans="1:7" x14ac:dyDescent="0.35">
      <c r="A8533" s="528" t="s">
        <v>24844</v>
      </c>
      <c r="B8533" s="528" t="s">
        <v>24845</v>
      </c>
      <c r="C8533" s="528" t="s">
        <v>24846</v>
      </c>
      <c r="D8533" s="528" t="s">
        <v>277</v>
      </c>
      <c r="E8533" s="528"/>
      <c r="F8533" s="528"/>
      <c r="G8533" s="528" t="s">
        <v>205</v>
      </c>
    </row>
    <row r="8534" spans="1:7" x14ac:dyDescent="0.35">
      <c r="A8534" s="528" t="s">
        <v>24847</v>
      </c>
      <c r="B8534" s="528" t="s">
        <v>24848</v>
      </c>
      <c r="C8534" s="528" t="s">
        <v>24849</v>
      </c>
      <c r="D8534" s="528" t="s">
        <v>277</v>
      </c>
      <c r="E8534" s="528"/>
      <c r="F8534" s="528"/>
      <c r="G8534" s="528" t="s">
        <v>208</v>
      </c>
    </row>
    <row r="8535" spans="1:7" x14ac:dyDescent="0.35">
      <c r="A8535" s="528" t="s">
        <v>24850</v>
      </c>
      <c r="B8535" s="528" t="s">
        <v>24851</v>
      </c>
      <c r="C8535" s="528" t="s">
        <v>24852</v>
      </c>
      <c r="D8535" s="528" t="s">
        <v>238</v>
      </c>
      <c r="E8535" s="528"/>
      <c r="F8535" s="528"/>
      <c r="G8535" s="528" t="s">
        <v>208</v>
      </c>
    </row>
    <row r="8536" spans="1:7" x14ac:dyDescent="0.35">
      <c r="A8536" s="528" t="s">
        <v>24853</v>
      </c>
      <c r="B8536" s="528" t="s">
        <v>24854</v>
      </c>
      <c r="C8536" s="528" t="s">
        <v>24855</v>
      </c>
      <c r="D8536" s="528" t="s">
        <v>238</v>
      </c>
      <c r="E8536" s="528"/>
      <c r="F8536" s="528"/>
      <c r="G8536" s="528" t="s">
        <v>208</v>
      </c>
    </row>
    <row r="8537" spans="1:7" x14ac:dyDescent="0.35">
      <c r="A8537" s="528" t="s">
        <v>24856</v>
      </c>
      <c r="B8537" s="528" t="s">
        <v>24857</v>
      </c>
      <c r="C8537" s="528" t="s">
        <v>24858</v>
      </c>
      <c r="D8537" s="528" t="s">
        <v>264</v>
      </c>
      <c r="E8537" s="528"/>
      <c r="F8537" s="528"/>
      <c r="G8537" s="528" t="s">
        <v>208</v>
      </c>
    </row>
    <row r="8538" spans="1:7" x14ac:dyDescent="0.35">
      <c r="A8538" s="528" t="s">
        <v>24859</v>
      </c>
      <c r="B8538" s="528" t="s">
        <v>24860</v>
      </c>
      <c r="C8538" s="528" t="s">
        <v>24861</v>
      </c>
      <c r="D8538" s="528" t="s">
        <v>264</v>
      </c>
      <c r="E8538" s="528"/>
      <c r="F8538" s="528"/>
      <c r="G8538" s="528" t="s">
        <v>208</v>
      </c>
    </row>
    <row r="8539" spans="1:7" x14ac:dyDescent="0.35">
      <c r="A8539" s="528" t="s">
        <v>24862</v>
      </c>
      <c r="B8539" s="528" t="s">
        <v>24863</v>
      </c>
      <c r="C8539" s="528" t="s">
        <v>24864</v>
      </c>
      <c r="D8539" s="528" t="s">
        <v>264</v>
      </c>
      <c r="E8539" s="528"/>
      <c r="F8539" s="528"/>
      <c r="G8539" s="528" t="s">
        <v>208</v>
      </c>
    </row>
    <row r="8540" spans="1:7" x14ac:dyDescent="0.35">
      <c r="A8540" s="528" t="s">
        <v>24865</v>
      </c>
      <c r="B8540" s="528" t="s">
        <v>24866</v>
      </c>
      <c r="C8540" s="528" t="s">
        <v>24867</v>
      </c>
      <c r="D8540" s="528" t="s">
        <v>264</v>
      </c>
      <c r="E8540" s="528" t="s">
        <v>277</v>
      </c>
      <c r="F8540" s="528"/>
      <c r="G8540" s="528" t="s">
        <v>208</v>
      </c>
    </row>
    <row r="8541" spans="1:7" x14ac:dyDescent="0.35">
      <c r="A8541" s="528" t="s">
        <v>24868</v>
      </c>
      <c r="B8541" s="528" t="s">
        <v>24869</v>
      </c>
      <c r="C8541" s="528" t="s">
        <v>24870</v>
      </c>
      <c r="D8541" s="528" t="s">
        <v>264</v>
      </c>
      <c r="E8541" s="528"/>
      <c r="F8541" s="528"/>
      <c r="G8541" s="528" t="s">
        <v>212</v>
      </c>
    </row>
    <row r="8542" spans="1:7" x14ac:dyDescent="0.35">
      <c r="A8542" s="528" t="s">
        <v>24871</v>
      </c>
      <c r="B8542" s="528" t="s">
        <v>24872</v>
      </c>
      <c r="C8542" s="528" t="s">
        <v>24873</v>
      </c>
      <c r="D8542" s="528" t="s">
        <v>264</v>
      </c>
      <c r="E8542" s="528" t="s">
        <v>277</v>
      </c>
      <c r="F8542" s="528"/>
      <c r="G8542" s="528" t="s">
        <v>205</v>
      </c>
    </row>
    <row r="8543" spans="1:7" x14ac:dyDescent="0.35">
      <c r="A8543" s="528" t="s">
        <v>24874</v>
      </c>
      <c r="B8543" s="528" t="s">
        <v>24875</v>
      </c>
      <c r="C8543" s="528" t="s">
        <v>24876</v>
      </c>
      <c r="D8543" s="528" t="s">
        <v>264</v>
      </c>
      <c r="E8543" s="528" t="s">
        <v>277</v>
      </c>
      <c r="F8543" s="528"/>
      <c r="G8543" s="528" t="s">
        <v>205</v>
      </c>
    </row>
    <row r="8544" spans="1:7" x14ac:dyDescent="0.35">
      <c r="A8544" s="528" t="s">
        <v>24877</v>
      </c>
      <c r="B8544" s="528" t="s">
        <v>24878</v>
      </c>
      <c r="C8544" s="528" t="s">
        <v>24879</v>
      </c>
      <c r="D8544" s="528" t="s">
        <v>264</v>
      </c>
      <c r="E8544" s="528"/>
      <c r="F8544" s="528"/>
      <c r="G8544" s="528" t="s">
        <v>212</v>
      </c>
    </row>
    <row r="8545" spans="1:7" x14ac:dyDescent="0.35">
      <c r="A8545" s="528" t="s">
        <v>24880</v>
      </c>
      <c r="B8545" s="528" t="s">
        <v>24881</v>
      </c>
      <c r="C8545" s="528" t="s">
        <v>24882</v>
      </c>
      <c r="D8545" s="528" t="s">
        <v>264</v>
      </c>
      <c r="E8545" s="528"/>
      <c r="F8545" s="528"/>
      <c r="G8545" s="528" t="s">
        <v>205</v>
      </c>
    </row>
    <row r="8546" spans="1:7" x14ac:dyDescent="0.35">
      <c r="A8546" s="528" t="s">
        <v>24883</v>
      </c>
      <c r="B8546" s="528" t="s">
        <v>24884</v>
      </c>
      <c r="C8546" s="528" t="s">
        <v>24885</v>
      </c>
      <c r="D8546" s="528" t="s">
        <v>264</v>
      </c>
      <c r="E8546" s="528"/>
      <c r="F8546" s="528"/>
      <c r="G8546" s="528" t="s">
        <v>205</v>
      </c>
    </row>
    <row r="8547" spans="1:7" x14ac:dyDescent="0.35">
      <c r="A8547" s="528" t="s">
        <v>24886</v>
      </c>
      <c r="B8547" s="528" t="s">
        <v>24887</v>
      </c>
      <c r="C8547" s="528" t="s">
        <v>24888</v>
      </c>
      <c r="D8547" s="528" t="s">
        <v>264</v>
      </c>
      <c r="E8547" s="528"/>
      <c r="F8547" s="528"/>
      <c r="G8547" s="528" t="s">
        <v>208</v>
      </c>
    </row>
    <row r="8548" spans="1:7" x14ac:dyDescent="0.35">
      <c r="A8548" s="528" t="s">
        <v>24889</v>
      </c>
      <c r="B8548" s="528" t="s">
        <v>24890</v>
      </c>
      <c r="C8548" s="528" t="s">
        <v>24891</v>
      </c>
      <c r="D8548" s="528" t="s">
        <v>264</v>
      </c>
      <c r="E8548" s="528"/>
      <c r="F8548" s="528"/>
      <c r="G8548" s="528" t="s">
        <v>208</v>
      </c>
    </row>
    <row r="8549" spans="1:7" x14ac:dyDescent="0.35">
      <c r="A8549" s="528" t="s">
        <v>24892</v>
      </c>
      <c r="B8549" s="528" t="s">
        <v>24893</v>
      </c>
      <c r="C8549" s="528" t="s">
        <v>24894</v>
      </c>
      <c r="D8549" s="528" t="s">
        <v>238</v>
      </c>
      <c r="E8549" s="528"/>
      <c r="F8549" s="528"/>
      <c r="G8549" s="528" t="s">
        <v>208</v>
      </c>
    </row>
    <row r="8550" spans="1:7" x14ac:dyDescent="0.35">
      <c r="A8550" s="528" t="s">
        <v>24895</v>
      </c>
      <c r="B8550" s="528" t="s">
        <v>24896</v>
      </c>
      <c r="C8550" s="528" t="s">
        <v>24897</v>
      </c>
      <c r="D8550" s="528" t="s">
        <v>264</v>
      </c>
      <c r="E8550" s="528"/>
      <c r="F8550" s="528"/>
      <c r="G8550" s="528" t="s">
        <v>208</v>
      </c>
    </row>
    <row r="8551" spans="1:7" x14ac:dyDescent="0.35">
      <c r="A8551" s="528" t="s">
        <v>24898</v>
      </c>
      <c r="B8551" s="528" t="s">
        <v>24899</v>
      </c>
      <c r="C8551" s="528" t="s">
        <v>24900</v>
      </c>
      <c r="D8551" s="528" t="s">
        <v>277</v>
      </c>
      <c r="E8551" s="528"/>
      <c r="F8551" s="528"/>
      <c r="G8551" s="528" t="s">
        <v>208</v>
      </c>
    </row>
    <row r="8552" spans="1:7" x14ac:dyDescent="0.35">
      <c r="A8552" s="528" t="s">
        <v>24901</v>
      </c>
      <c r="B8552" s="528" t="s">
        <v>24902</v>
      </c>
      <c r="C8552" s="528" t="s">
        <v>24903</v>
      </c>
      <c r="D8552" s="528" t="s">
        <v>238</v>
      </c>
      <c r="E8552" s="528"/>
      <c r="F8552" s="528"/>
      <c r="G8552" s="528" t="s">
        <v>205</v>
      </c>
    </row>
    <row r="8553" spans="1:7" x14ac:dyDescent="0.35">
      <c r="A8553" s="528" t="s">
        <v>24904</v>
      </c>
      <c r="B8553" s="528" t="s">
        <v>24905</v>
      </c>
      <c r="C8553" s="528" t="s">
        <v>24906</v>
      </c>
      <c r="D8553" s="528" t="s">
        <v>238</v>
      </c>
      <c r="E8553" s="528"/>
      <c r="F8553" s="528"/>
      <c r="G8553" s="528" t="s">
        <v>208</v>
      </c>
    </row>
    <row r="8554" spans="1:7" x14ac:dyDescent="0.35">
      <c r="A8554" s="528" t="s">
        <v>24907</v>
      </c>
      <c r="B8554" s="528" t="s">
        <v>24908</v>
      </c>
      <c r="C8554" s="528" t="s">
        <v>24909</v>
      </c>
      <c r="D8554" s="528" t="s">
        <v>264</v>
      </c>
      <c r="E8554" s="528"/>
      <c r="F8554" s="528"/>
      <c r="G8554" s="528" t="s">
        <v>212</v>
      </c>
    </row>
    <row r="8555" spans="1:7" x14ac:dyDescent="0.35">
      <c r="A8555" s="528" t="s">
        <v>24910</v>
      </c>
      <c r="B8555" s="528" t="s">
        <v>24911</v>
      </c>
      <c r="C8555" s="528" t="s">
        <v>24912</v>
      </c>
      <c r="D8555" s="528" t="s">
        <v>264</v>
      </c>
      <c r="E8555" s="528"/>
      <c r="F8555" s="528"/>
      <c r="G8555" s="528" t="s">
        <v>205</v>
      </c>
    </row>
    <row r="8556" spans="1:7" x14ac:dyDescent="0.35">
      <c r="A8556" s="528" t="s">
        <v>24913</v>
      </c>
      <c r="B8556" s="528" t="s">
        <v>24914</v>
      </c>
      <c r="C8556" s="528" t="s">
        <v>24915</v>
      </c>
      <c r="D8556" s="528" t="s">
        <v>264</v>
      </c>
      <c r="E8556" s="528"/>
      <c r="F8556" s="528"/>
      <c r="G8556" s="528" t="s">
        <v>208</v>
      </c>
    </row>
    <row r="8557" spans="1:7" x14ac:dyDescent="0.35">
      <c r="A8557" s="528" t="s">
        <v>24916</v>
      </c>
      <c r="B8557" s="528" t="s">
        <v>24917</v>
      </c>
      <c r="C8557" s="528" t="s">
        <v>24918</v>
      </c>
      <c r="D8557" s="528" t="s">
        <v>238</v>
      </c>
      <c r="E8557" s="528"/>
      <c r="F8557" s="528"/>
      <c r="G8557" s="528" t="s">
        <v>208</v>
      </c>
    </row>
    <row r="8558" spans="1:7" x14ac:dyDescent="0.35">
      <c r="A8558" s="528" t="s">
        <v>24919</v>
      </c>
      <c r="B8558" s="528" t="s">
        <v>24920</v>
      </c>
      <c r="C8558" s="528" t="s">
        <v>24921</v>
      </c>
      <c r="D8558" s="528" t="s">
        <v>238</v>
      </c>
      <c r="E8558" s="528"/>
      <c r="F8558" s="528"/>
      <c r="G8558" s="528" t="s">
        <v>208</v>
      </c>
    </row>
    <row r="8559" spans="1:7" x14ac:dyDescent="0.35">
      <c r="A8559" s="528" t="s">
        <v>24922</v>
      </c>
      <c r="B8559" s="528" t="s">
        <v>24923</v>
      </c>
      <c r="C8559" s="528" t="s">
        <v>24924</v>
      </c>
      <c r="D8559" s="528" t="s">
        <v>277</v>
      </c>
      <c r="E8559" s="528"/>
      <c r="F8559" s="528"/>
      <c r="G8559" s="528" t="s">
        <v>205</v>
      </c>
    </row>
    <row r="8560" spans="1:7" x14ac:dyDescent="0.35">
      <c r="A8560" s="528" t="s">
        <v>24925</v>
      </c>
      <c r="B8560" s="528" t="s">
        <v>24926</v>
      </c>
      <c r="C8560" s="528" t="s">
        <v>24927</v>
      </c>
      <c r="D8560" s="528" t="s">
        <v>264</v>
      </c>
      <c r="E8560" s="528" t="s">
        <v>277</v>
      </c>
      <c r="F8560" s="528"/>
      <c r="G8560" s="528" t="s">
        <v>208</v>
      </c>
    </row>
    <row r="8561" spans="1:7" x14ac:dyDescent="0.35">
      <c r="A8561" s="528" t="s">
        <v>24928</v>
      </c>
      <c r="B8561" s="528" t="s">
        <v>24929</v>
      </c>
      <c r="C8561" s="528" t="s">
        <v>24930</v>
      </c>
      <c r="D8561" s="528" t="s">
        <v>277</v>
      </c>
      <c r="E8561" s="528"/>
      <c r="F8561" s="528"/>
      <c r="G8561" s="528" t="s">
        <v>208</v>
      </c>
    </row>
    <row r="8562" spans="1:7" x14ac:dyDescent="0.35">
      <c r="A8562" s="528" t="s">
        <v>24931</v>
      </c>
      <c r="B8562" s="528" t="s">
        <v>24932</v>
      </c>
      <c r="C8562" s="528" t="s">
        <v>24933</v>
      </c>
      <c r="D8562" s="528" t="s">
        <v>277</v>
      </c>
      <c r="E8562" s="528"/>
      <c r="F8562" s="528"/>
      <c r="G8562" s="528" t="s">
        <v>208</v>
      </c>
    </row>
    <row r="8563" spans="1:7" x14ac:dyDescent="0.35">
      <c r="A8563" s="528" t="s">
        <v>24934</v>
      </c>
      <c r="B8563" s="528" t="s">
        <v>24935</v>
      </c>
      <c r="C8563" s="528" t="s">
        <v>24936</v>
      </c>
      <c r="D8563" s="528" t="s">
        <v>264</v>
      </c>
      <c r="E8563" s="528"/>
      <c r="F8563" s="528"/>
      <c r="G8563" s="528" t="s">
        <v>208</v>
      </c>
    </row>
    <row r="8564" spans="1:7" x14ac:dyDescent="0.35">
      <c r="A8564" s="528" t="s">
        <v>24937</v>
      </c>
      <c r="B8564" s="528" t="s">
        <v>24938</v>
      </c>
      <c r="C8564" s="528" t="s">
        <v>24939</v>
      </c>
      <c r="D8564" s="528" t="s">
        <v>277</v>
      </c>
      <c r="E8564" s="528"/>
      <c r="F8564" s="528"/>
      <c r="G8564" s="528" t="s">
        <v>208</v>
      </c>
    </row>
    <row r="8565" spans="1:7" x14ac:dyDescent="0.35">
      <c r="A8565" s="528" t="s">
        <v>24940</v>
      </c>
      <c r="B8565" s="528" t="s">
        <v>24941</v>
      </c>
      <c r="C8565" s="528" t="s">
        <v>24942</v>
      </c>
      <c r="D8565" s="528" t="s">
        <v>251</v>
      </c>
      <c r="E8565" s="528"/>
      <c r="F8565" s="528"/>
      <c r="G8565" s="528" t="s">
        <v>208</v>
      </c>
    </row>
    <row r="8566" spans="1:7" x14ac:dyDescent="0.35">
      <c r="A8566" s="528" t="s">
        <v>24943</v>
      </c>
      <c r="B8566" s="528" t="s">
        <v>24944</v>
      </c>
      <c r="C8566" s="528" t="s">
        <v>24945</v>
      </c>
      <c r="D8566" s="528" t="s">
        <v>264</v>
      </c>
      <c r="E8566" s="528"/>
      <c r="F8566" s="528"/>
      <c r="G8566" s="528" t="s">
        <v>214</v>
      </c>
    </row>
    <row r="8567" spans="1:7" x14ac:dyDescent="0.35">
      <c r="A8567" s="528" t="s">
        <v>24946</v>
      </c>
      <c r="B8567" s="528" t="s">
        <v>24947</v>
      </c>
      <c r="C8567" s="528" t="s">
        <v>24948</v>
      </c>
      <c r="D8567" s="528" t="s">
        <v>277</v>
      </c>
      <c r="E8567" s="528"/>
      <c r="F8567" s="528"/>
      <c r="G8567" s="528" t="s">
        <v>208</v>
      </c>
    </row>
    <row r="8568" spans="1:7" x14ac:dyDescent="0.35">
      <c r="A8568" s="528" t="s">
        <v>24949</v>
      </c>
      <c r="B8568" s="528" t="s">
        <v>24950</v>
      </c>
      <c r="C8568" s="528" t="s">
        <v>24951</v>
      </c>
      <c r="D8568" s="528" t="s">
        <v>277</v>
      </c>
      <c r="E8568" s="528"/>
      <c r="F8568" s="528"/>
      <c r="G8568" s="528" t="s">
        <v>208</v>
      </c>
    </row>
    <row r="8569" spans="1:7" x14ac:dyDescent="0.35">
      <c r="A8569" s="528" t="s">
        <v>24952</v>
      </c>
      <c r="B8569" s="528" t="s">
        <v>24953</v>
      </c>
      <c r="C8569" s="528" t="s">
        <v>24954</v>
      </c>
      <c r="D8569" s="528" t="s">
        <v>277</v>
      </c>
      <c r="E8569" s="528"/>
      <c r="F8569" s="528"/>
      <c r="G8569" s="528" t="s">
        <v>208</v>
      </c>
    </row>
    <row r="8570" spans="1:7" x14ac:dyDescent="0.35">
      <c r="A8570" s="528" t="s">
        <v>24955</v>
      </c>
      <c r="B8570" s="528" t="s">
        <v>24956</v>
      </c>
      <c r="C8570" s="528" t="s">
        <v>24957</v>
      </c>
      <c r="D8570" s="528" t="s">
        <v>225</v>
      </c>
      <c r="E8570" s="528"/>
      <c r="F8570" s="528"/>
      <c r="G8570" s="528" t="s">
        <v>208</v>
      </c>
    </row>
    <row r="8571" spans="1:7" x14ac:dyDescent="0.35">
      <c r="A8571" s="528" t="s">
        <v>24958</v>
      </c>
      <c r="B8571" s="528" t="s">
        <v>24959</v>
      </c>
      <c r="C8571" s="528" t="s">
        <v>24960</v>
      </c>
      <c r="D8571" s="528" t="s">
        <v>251</v>
      </c>
      <c r="E8571" s="528"/>
      <c r="F8571" s="528"/>
      <c r="G8571" s="528" t="s">
        <v>208</v>
      </c>
    </row>
    <row r="8572" spans="1:7" x14ac:dyDescent="0.35">
      <c r="A8572" s="528" t="s">
        <v>24961</v>
      </c>
      <c r="B8572" s="528" t="s">
        <v>24962</v>
      </c>
      <c r="C8572" s="528" t="s">
        <v>24963</v>
      </c>
      <c r="D8572" s="528" t="s">
        <v>251</v>
      </c>
      <c r="E8572" s="528"/>
      <c r="F8572" s="528"/>
      <c r="G8572" s="528" t="s">
        <v>205</v>
      </c>
    </row>
    <row r="8573" spans="1:7" x14ac:dyDescent="0.35">
      <c r="A8573" s="528" t="s">
        <v>24964</v>
      </c>
      <c r="B8573" s="528" t="s">
        <v>24965</v>
      </c>
      <c r="C8573" s="528" t="s">
        <v>24966</v>
      </c>
      <c r="D8573" s="528" t="s">
        <v>251</v>
      </c>
      <c r="E8573" s="528"/>
      <c r="F8573" s="528"/>
      <c r="G8573" s="528" t="s">
        <v>205</v>
      </c>
    </row>
    <row r="8574" spans="1:7" x14ac:dyDescent="0.35">
      <c r="A8574" s="528" t="s">
        <v>24967</v>
      </c>
      <c r="B8574" s="528" t="s">
        <v>24968</v>
      </c>
      <c r="C8574" s="528" t="s">
        <v>24969</v>
      </c>
      <c r="D8574" s="528" t="s">
        <v>277</v>
      </c>
      <c r="E8574" s="528"/>
      <c r="F8574" s="528"/>
      <c r="G8574" s="528" t="s">
        <v>205</v>
      </c>
    </row>
    <row r="8575" spans="1:7" x14ac:dyDescent="0.35">
      <c r="A8575" s="528" t="s">
        <v>24970</v>
      </c>
      <c r="B8575" s="528" t="s">
        <v>24971</v>
      </c>
      <c r="C8575" s="528" t="s">
        <v>24972</v>
      </c>
      <c r="D8575" s="528" t="s">
        <v>277</v>
      </c>
      <c r="E8575" s="528"/>
      <c r="F8575" s="528"/>
      <c r="G8575" s="528" t="s">
        <v>214</v>
      </c>
    </row>
    <row r="8576" spans="1:7" x14ac:dyDescent="0.35">
      <c r="A8576" s="528" t="s">
        <v>24973</v>
      </c>
      <c r="B8576" s="528" t="s">
        <v>24974</v>
      </c>
      <c r="C8576" s="528" t="s">
        <v>24975</v>
      </c>
      <c r="D8576" s="528" t="s">
        <v>264</v>
      </c>
      <c r="E8576" s="528"/>
      <c r="F8576" s="528"/>
      <c r="G8576" s="528" t="s">
        <v>205</v>
      </c>
    </row>
    <row r="8577" spans="1:7" x14ac:dyDescent="0.35">
      <c r="A8577" s="528" t="s">
        <v>24976</v>
      </c>
      <c r="B8577" s="528" t="s">
        <v>24977</v>
      </c>
      <c r="C8577" s="528" t="s">
        <v>24978</v>
      </c>
      <c r="D8577" s="528" t="s">
        <v>277</v>
      </c>
      <c r="E8577" s="528"/>
      <c r="F8577" s="528"/>
      <c r="G8577" s="528" t="s">
        <v>208</v>
      </c>
    </row>
    <row r="8578" spans="1:7" x14ac:dyDescent="0.35">
      <c r="A8578" s="528" t="s">
        <v>24979</v>
      </c>
      <c r="B8578" s="528" t="s">
        <v>24980</v>
      </c>
      <c r="C8578" s="528" t="s">
        <v>24981</v>
      </c>
      <c r="D8578" s="528" t="s">
        <v>264</v>
      </c>
      <c r="E8578" s="528"/>
      <c r="F8578" s="528"/>
      <c r="G8578" s="528" t="s">
        <v>208</v>
      </c>
    </row>
    <row r="8579" spans="1:7" x14ac:dyDescent="0.35">
      <c r="A8579" s="528" t="s">
        <v>24982</v>
      </c>
      <c r="B8579" s="528" t="s">
        <v>24983</v>
      </c>
      <c r="C8579" s="528" t="s">
        <v>24984</v>
      </c>
      <c r="D8579" s="528" t="s">
        <v>264</v>
      </c>
      <c r="E8579" s="528"/>
      <c r="F8579" s="528"/>
      <c r="G8579" s="528" t="s">
        <v>208</v>
      </c>
    </row>
    <row r="8580" spans="1:7" x14ac:dyDescent="0.35">
      <c r="A8580" s="528" t="s">
        <v>24985</v>
      </c>
      <c r="B8580" s="528" t="s">
        <v>24986</v>
      </c>
      <c r="C8580" s="528" t="s">
        <v>24987</v>
      </c>
      <c r="D8580" s="528" t="s">
        <v>264</v>
      </c>
      <c r="E8580" s="528"/>
      <c r="F8580" s="528"/>
      <c r="G8580" s="528" t="s">
        <v>208</v>
      </c>
    </row>
    <row r="8581" spans="1:7" x14ac:dyDescent="0.35">
      <c r="A8581" s="528" t="s">
        <v>24988</v>
      </c>
      <c r="B8581" s="528" t="s">
        <v>24989</v>
      </c>
      <c r="C8581" s="528" t="s">
        <v>24990</v>
      </c>
      <c r="D8581" s="528" t="s">
        <v>264</v>
      </c>
      <c r="E8581" s="528"/>
      <c r="F8581" s="528"/>
      <c r="G8581" s="528" t="s">
        <v>212</v>
      </c>
    </row>
    <row r="8582" spans="1:7" x14ac:dyDescent="0.35">
      <c r="A8582" s="528" t="s">
        <v>24991</v>
      </c>
      <c r="B8582" s="528" t="s">
        <v>24992</v>
      </c>
      <c r="C8582" s="528" t="s">
        <v>24993</v>
      </c>
      <c r="D8582" s="528" t="s">
        <v>277</v>
      </c>
      <c r="E8582" s="528"/>
      <c r="F8582" s="528"/>
      <c r="G8582" s="528" t="s">
        <v>208</v>
      </c>
    </row>
    <row r="8583" spans="1:7" x14ac:dyDescent="0.35">
      <c r="A8583" s="528" t="s">
        <v>24994</v>
      </c>
      <c r="B8583" s="528" t="s">
        <v>24995</v>
      </c>
      <c r="C8583" s="528" t="s">
        <v>24996</v>
      </c>
      <c r="D8583" s="528" t="s">
        <v>277</v>
      </c>
      <c r="E8583" s="528"/>
      <c r="F8583" s="528"/>
      <c r="G8583" s="528" t="s">
        <v>208</v>
      </c>
    </row>
    <row r="8584" spans="1:7" x14ac:dyDescent="0.35">
      <c r="A8584" s="528" t="s">
        <v>24997</v>
      </c>
      <c r="B8584" s="528" t="s">
        <v>24998</v>
      </c>
      <c r="C8584" s="528" t="s">
        <v>24999</v>
      </c>
      <c r="D8584" s="528" t="s">
        <v>277</v>
      </c>
      <c r="E8584" s="528"/>
      <c r="F8584" s="528"/>
      <c r="G8584" s="528" t="s">
        <v>208</v>
      </c>
    </row>
    <row r="8585" spans="1:7" x14ac:dyDescent="0.35">
      <c r="A8585" s="528" t="s">
        <v>25000</v>
      </c>
      <c r="B8585" s="528" t="s">
        <v>25001</v>
      </c>
      <c r="C8585" s="528" t="s">
        <v>25002</v>
      </c>
      <c r="D8585" s="528" t="s">
        <v>277</v>
      </c>
      <c r="E8585" s="528"/>
      <c r="F8585" s="528"/>
      <c r="G8585" s="528" t="s">
        <v>205</v>
      </c>
    </row>
    <row r="8586" spans="1:7" x14ac:dyDescent="0.35">
      <c r="A8586" s="528" t="s">
        <v>25003</v>
      </c>
      <c r="B8586" s="528" t="s">
        <v>25004</v>
      </c>
      <c r="C8586" s="528" t="s">
        <v>25005</v>
      </c>
      <c r="D8586" s="528" t="s">
        <v>277</v>
      </c>
      <c r="E8586" s="528"/>
      <c r="F8586" s="528"/>
      <c r="G8586" s="528" t="s">
        <v>205</v>
      </c>
    </row>
    <row r="8587" spans="1:7" x14ac:dyDescent="0.35">
      <c r="A8587" s="528" t="s">
        <v>25006</v>
      </c>
      <c r="B8587" s="528" t="s">
        <v>25007</v>
      </c>
      <c r="C8587" s="528" t="s">
        <v>25008</v>
      </c>
      <c r="D8587" s="528" t="s">
        <v>264</v>
      </c>
      <c r="E8587" s="528"/>
      <c r="F8587" s="528"/>
      <c r="G8587" s="528" t="s">
        <v>208</v>
      </c>
    </row>
    <row r="8588" spans="1:7" x14ac:dyDescent="0.35">
      <c r="A8588" s="528" t="s">
        <v>25009</v>
      </c>
      <c r="B8588" s="528" t="s">
        <v>25010</v>
      </c>
      <c r="C8588" s="528" t="s">
        <v>25011</v>
      </c>
      <c r="D8588" s="528" t="s">
        <v>264</v>
      </c>
      <c r="E8588" s="528"/>
      <c r="F8588" s="528"/>
      <c r="G8588" s="528" t="s">
        <v>208</v>
      </c>
    </row>
    <row r="8589" spans="1:7" x14ac:dyDescent="0.35">
      <c r="A8589" s="528" t="s">
        <v>25012</v>
      </c>
      <c r="B8589" s="528" t="s">
        <v>25013</v>
      </c>
      <c r="C8589" s="528" t="s">
        <v>25014</v>
      </c>
      <c r="D8589" s="528" t="s">
        <v>264</v>
      </c>
      <c r="E8589" s="528" t="s">
        <v>277</v>
      </c>
      <c r="F8589" s="528"/>
      <c r="G8589" s="528" t="s">
        <v>208</v>
      </c>
    </row>
    <row r="8590" spans="1:7" x14ac:dyDescent="0.35">
      <c r="A8590" s="528" t="s">
        <v>25015</v>
      </c>
      <c r="B8590" s="528" t="s">
        <v>25016</v>
      </c>
      <c r="C8590" s="528" t="s">
        <v>25017</v>
      </c>
      <c r="D8590" s="528" t="s">
        <v>264</v>
      </c>
      <c r="E8590" s="528" t="s">
        <v>277</v>
      </c>
      <c r="F8590" s="528"/>
      <c r="G8590" s="528" t="s">
        <v>208</v>
      </c>
    </row>
    <row r="8591" spans="1:7" x14ac:dyDescent="0.35">
      <c r="A8591" s="528" t="s">
        <v>25018</v>
      </c>
      <c r="B8591" s="528" t="s">
        <v>25019</v>
      </c>
      <c r="C8591" s="528" t="s">
        <v>25020</v>
      </c>
      <c r="D8591" s="528" t="s">
        <v>264</v>
      </c>
      <c r="E8591" s="528"/>
      <c r="F8591" s="528"/>
      <c r="G8591" s="528" t="s">
        <v>208</v>
      </c>
    </row>
    <row r="8592" spans="1:7" x14ac:dyDescent="0.35">
      <c r="A8592" s="528" t="s">
        <v>25021</v>
      </c>
      <c r="B8592" s="528" t="s">
        <v>25022</v>
      </c>
      <c r="C8592" s="528" t="s">
        <v>25023</v>
      </c>
      <c r="D8592" s="528" t="s">
        <v>264</v>
      </c>
      <c r="E8592" s="528"/>
      <c r="F8592" s="528"/>
      <c r="G8592" s="528" t="s">
        <v>208</v>
      </c>
    </row>
    <row r="8593" spans="1:7" x14ac:dyDescent="0.35">
      <c r="A8593" s="528" t="s">
        <v>25024</v>
      </c>
      <c r="B8593" s="528" t="s">
        <v>25025</v>
      </c>
      <c r="C8593" s="528" t="s">
        <v>25026</v>
      </c>
      <c r="D8593" s="528" t="s">
        <v>277</v>
      </c>
      <c r="E8593" s="528" t="s">
        <v>264</v>
      </c>
      <c r="F8593" s="528"/>
      <c r="G8593" s="528" t="s">
        <v>208</v>
      </c>
    </row>
    <row r="8594" spans="1:7" x14ac:dyDescent="0.35">
      <c r="A8594" s="528" t="s">
        <v>25027</v>
      </c>
      <c r="B8594" s="528" t="s">
        <v>25028</v>
      </c>
      <c r="C8594" s="528" t="s">
        <v>25029</v>
      </c>
      <c r="D8594" s="528" t="s">
        <v>238</v>
      </c>
      <c r="E8594" s="528"/>
      <c r="F8594" s="528"/>
      <c r="G8594" s="528" t="s">
        <v>205</v>
      </c>
    </row>
    <row r="8595" spans="1:7" x14ac:dyDescent="0.35">
      <c r="A8595" s="528" t="s">
        <v>25030</v>
      </c>
      <c r="B8595" s="528" t="s">
        <v>25031</v>
      </c>
      <c r="C8595" s="528" t="s">
        <v>25032</v>
      </c>
      <c r="D8595" s="528" t="s">
        <v>238</v>
      </c>
      <c r="E8595" s="528"/>
      <c r="F8595" s="528"/>
      <c r="G8595" s="528" t="s">
        <v>208</v>
      </c>
    </row>
    <row r="8596" spans="1:7" x14ac:dyDescent="0.35">
      <c r="A8596" s="528" t="s">
        <v>25033</v>
      </c>
      <c r="B8596" s="528" t="s">
        <v>25034</v>
      </c>
      <c r="C8596" s="528" t="s">
        <v>25035</v>
      </c>
      <c r="D8596" s="528" t="s">
        <v>264</v>
      </c>
      <c r="E8596" s="528"/>
      <c r="F8596" s="528"/>
      <c r="G8596" s="528" t="s">
        <v>208</v>
      </c>
    </row>
    <row r="8597" spans="1:7" x14ac:dyDescent="0.35">
      <c r="A8597" s="528" t="s">
        <v>25036</v>
      </c>
      <c r="B8597" s="528" t="s">
        <v>25037</v>
      </c>
      <c r="C8597" s="528" t="s">
        <v>25038</v>
      </c>
      <c r="D8597" s="528" t="s">
        <v>277</v>
      </c>
      <c r="E8597" s="528"/>
      <c r="F8597" s="528"/>
      <c r="G8597" s="528" t="s">
        <v>208</v>
      </c>
    </row>
    <row r="8598" spans="1:7" x14ac:dyDescent="0.35">
      <c r="A8598" s="528" t="s">
        <v>25039</v>
      </c>
      <c r="B8598" s="528" t="s">
        <v>25040</v>
      </c>
      <c r="C8598" s="528" t="s">
        <v>25041</v>
      </c>
      <c r="D8598" s="528" t="s">
        <v>264</v>
      </c>
      <c r="E8598" s="528"/>
      <c r="F8598" s="528"/>
      <c r="G8598" s="528" t="s">
        <v>212</v>
      </c>
    </row>
    <row r="8599" spans="1:7" x14ac:dyDescent="0.35">
      <c r="A8599" s="528" t="s">
        <v>25042</v>
      </c>
      <c r="B8599" s="528" t="s">
        <v>25043</v>
      </c>
      <c r="C8599" s="528" t="s">
        <v>25044</v>
      </c>
      <c r="D8599" s="528" t="s">
        <v>264</v>
      </c>
      <c r="E8599" s="528"/>
      <c r="F8599" s="528"/>
      <c r="G8599" s="528" t="s">
        <v>208</v>
      </c>
    </row>
    <row r="8600" spans="1:7" x14ac:dyDescent="0.35">
      <c r="A8600" s="528" t="s">
        <v>25045</v>
      </c>
      <c r="B8600" s="528" t="s">
        <v>25046</v>
      </c>
      <c r="C8600" s="528" t="s">
        <v>25047</v>
      </c>
      <c r="D8600" s="528" t="s">
        <v>238</v>
      </c>
      <c r="E8600" s="528"/>
      <c r="F8600" s="528"/>
      <c r="G8600" s="528" t="s">
        <v>205</v>
      </c>
    </row>
    <row r="8601" spans="1:7" x14ac:dyDescent="0.35">
      <c r="A8601" s="528" t="s">
        <v>25048</v>
      </c>
      <c r="B8601" s="528" t="s">
        <v>25049</v>
      </c>
      <c r="C8601" s="528" t="s">
        <v>25050</v>
      </c>
      <c r="D8601" s="528" t="s">
        <v>251</v>
      </c>
      <c r="E8601" s="528"/>
      <c r="F8601" s="528"/>
      <c r="G8601" s="528" t="s">
        <v>205</v>
      </c>
    </row>
    <row r="8602" spans="1:7" x14ac:dyDescent="0.35">
      <c r="A8602" s="528" t="s">
        <v>25051</v>
      </c>
      <c r="B8602" s="528" t="s">
        <v>25052</v>
      </c>
      <c r="C8602" s="528" t="s">
        <v>25053</v>
      </c>
      <c r="D8602" s="528" t="s">
        <v>277</v>
      </c>
      <c r="E8602" s="528"/>
      <c r="F8602" s="528"/>
      <c r="G8602" s="528" t="s">
        <v>208</v>
      </c>
    </row>
    <row r="8603" spans="1:7" x14ac:dyDescent="0.35">
      <c r="A8603" s="528" t="s">
        <v>25054</v>
      </c>
      <c r="B8603" s="528" t="s">
        <v>25055</v>
      </c>
      <c r="C8603" s="528" t="s">
        <v>25056</v>
      </c>
      <c r="D8603" s="528" t="s">
        <v>264</v>
      </c>
      <c r="E8603" s="528"/>
      <c r="F8603" s="528"/>
      <c r="G8603" s="528" t="s">
        <v>208</v>
      </c>
    </row>
    <row r="8604" spans="1:7" x14ac:dyDescent="0.35">
      <c r="A8604" s="528" t="s">
        <v>25057</v>
      </c>
      <c r="B8604" s="528" t="s">
        <v>25058</v>
      </c>
      <c r="C8604" s="528" t="s">
        <v>25059</v>
      </c>
      <c r="D8604" s="528" t="s">
        <v>251</v>
      </c>
      <c r="E8604" s="528"/>
      <c r="F8604" s="528"/>
      <c r="G8604" s="528" t="s">
        <v>205</v>
      </c>
    </row>
    <row r="8605" spans="1:7" x14ac:dyDescent="0.35">
      <c r="A8605" s="528" t="s">
        <v>25060</v>
      </c>
      <c r="B8605" s="528" t="s">
        <v>25061</v>
      </c>
      <c r="C8605" s="528" t="s">
        <v>25062</v>
      </c>
      <c r="D8605" s="528" t="s">
        <v>277</v>
      </c>
      <c r="E8605" s="528"/>
      <c r="F8605" s="528"/>
      <c r="G8605" s="528" t="s">
        <v>205</v>
      </c>
    </row>
    <row r="8606" spans="1:7" x14ac:dyDescent="0.35">
      <c r="A8606" s="528" t="s">
        <v>25063</v>
      </c>
      <c r="B8606" s="528" t="s">
        <v>25064</v>
      </c>
      <c r="C8606" s="528" t="s">
        <v>25065</v>
      </c>
      <c r="D8606" s="528" t="s">
        <v>264</v>
      </c>
      <c r="E8606" s="528"/>
      <c r="F8606" s="528"/>
      <c r="G8606" s="528" t="s">
        <v>205</v>
      </c>
    </row>
    <row r="8607" spans="1:7" x14ac:dyDescent="0.35">
      <c r="A8607" s="528" t="s">
        <v>25066</v>
      </c>
      <c r="B8607" s="528" t="s">
        <v>25067</v>
      </c>
      <c r="C8607" s="528" t="s">
        <v>25068</v>
      </c>
      <c r="D8607" s="528" t="s">
        <v>225</v>
      </c>
      <c r="E8607" s="528"/>
      <c r="F8607" s="528"/>
      <c r="G8607" s="528" t="s">
        <v>208</v>
      </c>
    </row>
    <row r="8608" spans="1:7" x14ac:dyDescent="0.35">
      <c r="A8608" s="528" t="s">
        <v>25069</v>
      </c>
      <c r="B8608" s="528" t="s">
        <v>25070</v>
      </c>
      <c r="C8608" s="528" t="s">
        <v>25071</v>
      </c>
      <c r="D8608" s="528" t="s">
        <v>277</v>
      </c>
      <c r="E8608" s="528"/>
      <c r="F8608" s="528"/>
      <c r="G8608" s="528" t="s">
        <v>205</v>
      </c>
    </row>
    <row r="8609" spans="1:7" x14ac:dyDescent="0.35">
      <c r="A8609" s="528" t="s">
        <v>25072</v>
      </c>
      <c r="B8609" s="528" t="s">
        <v>25073</v>
      </c>
      <c r="C8609" s="528" t="s">
        <v>25074</v>
      </c>
      <c r="D8609" s="528" t="s">
        <v>264</v>
      </c>
      <c r="E8609" s="528"/>
      <c r="F8609" s="528"/>
      <c r="G8609" s="528" t="s">
        <v>214</v>
      </c>
    </row>
    <row r="8610" spans="1:7" x14ac:dyDescent="0.35">
      <c r="A8610" s="528" t="s">
        <v>25075</v>
      </c>
      <c r="B8610" s="528" t="s">
        <v>25076</v>
      </c>
      <c r="C8610" s="528" t="s">
        <v>25077</v>
      </c>
      <c r="D8610" s="528" t="s">
        <v>264</v>
      </c>
      <c r="E8610" s="528"/>
      <c r="F8610" s="528"/>
      <c r="G8610" s="528" t="s">
        <v>208</v>
      </c>
    </row>
    <row r="8611" spans="1:7" x14ac:dyDescent="0.35">
      <c r="A8611" s="528" t="s">
        <v>25078</v>
      </c>
      <c r="B8611" s="528" t="s">
        <v>25079</v>
      </c>
      <c r="C8611" s="528" t="s">
        <v>25080</v>
      </c>
      <c r="D8611" s="528" t="s">
        <v>264</v>
      </c>
      <c r="E8611" s="528" t="s">
        <v>225</v>
      </c>
      <c r="F8611" s="528"/>
      <c r="G8611" s="528" t="s">
        <v>212</v>
      </c>
    </row>
    <row r="8612" spans="1:7" x14ac:dyDescent="0.35">
      <c r="A8612" s="528" t="s">
        <v>25081</v>
      </c>
      <c r="B8612" s="528" t="s">
        <v>25082</v>
      </c>
      <c r="C8612" s="528" t="s">
        <v>25083</v>
      </c>
      <c r="D8612" s="528" t="s">
        <v>264</v>
      </c>
      <c r="E8612" s="528"/>
      <c r="F8612" s="528"/>
      <c r="G8612" s="528" t="s">
        <v>212</v>
      </c>
    </row>
    <row r="8613" spans="1:7" x14ac:dyDescent="0.35">
      <c r="A8613" s="528" t="s">
        <v>25084</v>
      </c>
      <c r="B8613" s="528" t="s">
        <v>25085</v>
      </c>
      <c r="C8613" s="528" t="s">
        <v>25086</v>
      </c>
      <c r="D8613" s="528" t="s">
        <v>277</v>
      </c>
      <c r="E8613" s="528"/>
      <c r="F8613" s="528"/>
      <c r="G8613" s="528" t="s">
        <v>208</v>
      </c>
    </row>
    <row r="8614" spans="1:7" x14ac:dyDescent="0.35">
      <c r="A8614" s="528" t="s">
        <v>25087</v>
      </c>
      <c r="B8614" s="528" t="s">
        <v>25088</v>
      </c>
      <c r="C8614" s="528" t="s">
        <v>25089</v>
      </c>
      <c r="D8614" s="528" t="s">
        <v>264</v>
      </c>
      <c r="E8614" s="528"/>
      <c r="F8614" s="528"/>
      <c r="G8614" s="528" t="s">
        <v>208</v>
      </c>
    </row>
    <row r="8615" spans="1:7" x14ac:dyDescent="0.35">
      <c r="A8615" s="528" t="s">
        <v>25090</v>
      </c>
      <c r="B8615" s="528" t="s">
        <v>25091</v>
      </c>
      <c r="C8615" s="528" t="s">
        <v>25092</v>
      </c>
      <c r="D8615" s="528" t="s">
        <v>264</v>
      </c>
      <c r="E8615" s="528"/>
      <c r="F8615" s="528"/>
      <c r="G8615" s="528" t="s">
        <v>208</v>
      </c>
    </row>
    <row r="8616" spans="1:7" x14ac:dyDescent="0.35">
      <c r="A8616" s="528" t="s">
        <v>25093</v>
      </c>
      <c r="B8616" s="528" t="s">
        <v>25094</v>
      </c>
      <c r="C8616" s="528" t="s">
        <v>25095</v>
      </c>
      <c r="D8616" s="528" t="s">
        <v>225</v>
      </c>
      <c r="E8616" s="528"/>
      <c r="F8616" s="528"/>
      <c r="G8616" s="528" t="s">
        <v>208</v>
      </c>
    </row>
    <row r="8617" spans="1:7" x14ac:dyDescent="0.35">
      <c r="A8617" s="528" t="s">
        <v>25096</v>
      </c>
      <c r="B8617" s="528" t="s">
        <v>25097</v>
      </c>
      <c r="C8617" s="528" t="s">
        <v>25098</v>
      </c>
      <c r="D8617" s="528" t="s">
        <v>225</v>
      </c>
      <c r="E8617" s="528"/>
      <c r="F8617" s="528"/>
      <c r="G8617" s="528" t="s">
        <v>212</v>
      </c>
    </row>
    <row r="8618" spans="1:7" x14ac:dyDescent="0.35">
      <c r="A8618" s="528" t="s">
        <v>25099</v>
      </c>
      <c r="B8618" s="528" t="s">
        <v>25100</v>
      </c>
      <c r="C8618" s="528" t="s">
        <v>25101</v>
      </c>
      <c r="D8618" s="528" t="s">
        <v>264</v>
      </c>
      <c r="E8618" s="528"/>
      <c r="F8618" s="528"/>
      <c r="G8618" s="528" t="s">
        <v>214</v>
      </c>
    </row>
    <row r="8619" spans="1:7" x14ac:dyDescent="0.35">
      <c r="A8619" s="528" t="s">
        <v>25102</v>
      </c>
      <c r="B8619" s="528" t="s">
        <v>25103</v>
      </c>
      <c r="C8619" s="528" t="s">
        <v>25104</v>
      </c>
      <c r="D8619" s="528" t="s">
        <v>264</v>
      </c>
      <c r="E8619" s="528"/>
      <c r="F8619" s="528"/>
      <c r="G8619" s="528" t="s">
        <v>208</v>
      </c>
    </row>
    <row r="8620" spans="1:7" x14ac:dyDescent="0.35">
      <c r="A8620" s="528" t="s">
        <v>25105</v>
      </c>
      <c r="B8620" s="528" t="s">
        <v>25106</v>
      </c>
      <c r="C8620" s="528" t="s">
        <v>25107</v>
      </c>
      <c r="D8620" s="528" t="s">
        <v>264</v>
      </c>
      <c r="E8620" s="528"/>
      <c r="F8620" s="528"/>
      <c r="G8620" s="528" t="s">
        <v>214</v>
      </c>
    </row>
    <row r="8621" spans="1:7" x14ac:dyDescent="0.35">
      <c r="A8621" s="528" t="s">
        <v>25108</v>
      </c>
      <c r="B8621" s="528" t="s">
        <v>25109</v>
      </c>
      <c r="C8621" s="528" t="s">
        <v>25110</v>
      </c>
      <c r="D8621" s="528" t="s">
        <v>225</v>
      </c>
      <c r="E8621" s="528"/>
      <c r="F8621" s="528"/>
      <c r="G8621" s="528" t="s">
        <v>214</v>
      </c>
    </row>
    <row r="8622" spans="1:7" x14ac:dyDescent="0.35">
      <c r="A8622" s="528" t="s">
        <v>25111</v>
      </c>
      <c r="B8622" s="528" t="s">
        <v>25112</v>
      </c>
      <c r="C8622" s="528" t="s">
        <v>25113</v>
      </c>
      <c r="D8622" s="528" t="s">
        <v>225</v>
      </c>
      <c r="E8622" s="528"/>
      <c r="F8622" s="528"/>
      <c r="G8622" s="528" t="s">
        <v>214</v>
      </c>
    </row>
    <row r="8623" spans="1:7" x14ac:dyDescent="0.35">
      <c r="A8623" s="528" t="s">
        <v>25114</v>
      </c>
      <c r="B8623" s="528" t="s">
        <v>25115</v>
      </c>
      <c r="C8623" s="528" t="s">
        <v>25116</v>
      </c>
      <c r="D8623" s="528" t="s">
        <v>277</v>
      </c>
      <c r="E8623" s="528"/>
      <c r="F8623" s="528"/>
      <c r="G8623" s="528" t="s">
        <v>205</v>
      </c>
    </row>
    <row r="8624" spans="1:7" x14ac:dyDescent="0.35">
      <c r="A8624" s="528" t="s">
        <v>25117</v>
      </c>
      <c r="B8624" s="528" t="s">
        <v>25118</v>
      </c>
      <c r="C8624" s="528" t="s">
        <v>25119</v>
      </c>
      <c r="D8624" s="528" t="s">
        <v>277</v>
      </c>
      <c r="E8624" s="528"/>
      <c r="F8624" s="528"/>
      <c r="G8624" s="528" t="s">
        <v>214</v>
      </c>
    </row>
    <row r="8625" spans="1:7" x14ac:dyDescent="0.35">
      <c r="A8625" s="528" t="s">
        <v>25120</v>
      </c>
      <c r="B8625" s="528" t="s">
        <v>25121</v>
      </c>
      <c r="C8625" s="528" t="s">
        <v>25122</v>
      </c>
      <c r="D8625" s="528" t="s">
        <v>225</v>
      </c>
      <c r="E8625" s="528"/>
      <c r="F8625" s="528"/>
      <c r="G8625" s="528" t="s">
        <v>208</v>
      </c>
    </row>
    <row r="8626" spans="1:7" x14ac:dyDescent="0.35">
      <c r="A8626" s="528" t="s">
        <v>25123</v>
      </c>
      <c r="B8626" s="528" t="s">
        <v>25124</v>
      </c>
      <c r="C8626" s="528" t="s">
        <v>25125</v>
      </c>
      <c r="D8626" s="528" t="s">
        <v>225</v>
      </c>
      <c r="E8626" s="528"/>
      <c r="F8626" s="528"/>
      <c r="G8626" s="528" t="s">
        <v>205</v>
      </c>
    </row>
    <row r="8627" spans="1:7" x14ac:dyDescent="0.35">
      <c r="A8627" s="528" t="s">
        <v>25126</v>
      </c>
      <c r="B8627" s="528" t="s">
        <v>25127</v>
      </c>
      <c r="C8627" s="528" t="s">
        <v>25128</v>
      </c>
      <c r="D8627" s="528" t="s">
        <v>277</v>
      </c>
      <c r="E8627" s="528"/>
      <c r="F8627" s="528"/>
      <c r="G8627" s="528" t="s">
        <v>214</v>
      </c>
    </row>
    <row r="8628" spans="1:7" x14ac:dyDescent="0.35">
      <c r="A8628" s="528" t="s">
        <v>25129</v>
      </c>
      <c r="B8628" s="528" t="s">
        <v>25130</v>
      </c>
      <c r="C8628" s="528" t="s">
        <v>25131</v>
      </c>
      <c r="D8628" s="528" t="s">
        <v>225</v>
      </c>
      <c r="E8628" s="528"/>
      <c r="F8628" s="528"/>
      <c r="G8628" s="528" t="s">
        <v>208</v>
      </c>
    </row>
    <row r="8629" spans="1:7" x14ac:dyDescent="0.35">
      <c r="A8629" s="528" t="s">
        <v>25132</v>
      </c>
      <c r="B8629" s="528" t="s">
        <v>25133</v>
      </c>
      <c r="C8629" s="528" t="s">
        <v>25134</v>
      </c>
      <c r="D8629" s="528" t="s">
        <v>264</v>
      </c>
      <c r="E8629" s="528"/>
      <c r="F8629" s="528"/>
      <c r="G8629" s="528" t="s">
        <v>208</v>
      </c>
    </row>
    <row r="8630" spans="1:7" x14ac:dyDescent="0.35">
      <c r="A8630" s="528" t="s">
        <v>25135</v>
      </c>
      <c r="B8630" s="528" t="s">
        <v>25136</v>
      </c>
      <c r="C8630" s="528" t="s">
        <v>25137</v>
      </c>
      <c r="D8630" s="528" t="s">
        <v>264</v>
      </c>
      <c r="E8630" s="528"/>
      <c r="F8630" s="528"/>
      <c r="G8630" s="528" t="s">
        <v>208</v>
      </c>
    </row>
    <row r="8631" spans="1:7" x14ac:dyDescent="0.35">
      <c r="A8631" s="528" t="s">
        <v>25138</v>
      </c>
      <c r="B8631" s="528" t="s">
        <v>25139</v>
      </c>
      <c r="C8631" s="528" t="s">
        <v>14375</v>
      </c>
      <c r="D8631" s="528" t="s">
        <v>225</v>
      </c>
      <c r="E8631" s="528"/>
      <c r="F8631" s="528"/>
      <c r="G8631" s="528" t="s">
        <v>208</v>
      </c>
    </row>
    <row r="8632" spans="1:7" x14ac:dyDescent="0.35">
      <c r="A8632" s="528" t="s">
        <v>25140</v>
      </c>
      <c r="B8632" s="528" t="s">
        <v>25141</v>
      </c>
      <c r="C8632" s="528" t="s">
        <v>25142</v>
      </c>
      <c r="D8632" s="528" t="s">
        <v>277</v>
      </c>
      <c r="E8632" s="528"/>
      <c r="F8632" s="528"/>
      <c r="G8632" s="528" t="s">
        <v>214</v>
      </c>
    </row>
    <row r="8633" spans="1:7" x14ac:dyDescent="0.35">
      <c r="A8633" s="528" t="s">
        <v>25143</v>
      </c>
      <c r="B8633" s="528" t="s">
        <v>25144</v>
      </c>
      <c r="C8633" s="528" t="s">
        <v>25145</v>
      </c>
      <c r="D8633" s="528" t="s">
        <v>277</v>
      </c>
      <c r="E8633" s="528"/>
      <c r="F8633" s="528"/>
      <c r="G8633" s="528" t="s">
        <v>208</v>
      </c>
    </row>
    <row r="8634" spans="1:7" x14ac:dyDescent="0.35">
      <c r="A8634" s="528" t="s">
        <v>25146</v>
      </c>
      <c r="B8634" s="528" t="s">
        <v>25147</v>
      </c>
      <c r="C8634" s="528" t="s">
        <v>25148</v>
      </c>
      <c r="D8634" s="528" t="s">
        <v>277</v>
      </c>
      <c r="E8634" s="528"/>
      <c r="F8634" s="528"/>
      <c r="G8634" s="528" t="s">
        <v>208</v>
      </c>
    </row>
    <row r="8635" spans="1:7" x14ac:dyDescent="0.35">
      <c r="A8635" s="528" t="s">
        <v>25149</v>
      </c>
      <c r="B8635" s="528" t="s">
        <v>25150</v>
      </c>
      <c r="C8635" s="528" t="s">
        <v>25151</v>
      </c>
      <c r="D8635" s="528" t="s">
        <v>238</v>
      </c>
      <c r="E8635" s="528"/>
      <c r="F8635" s="528"/>
      <c r="G8635" s="528" t="s">
        <v>208</v>
      </c>
    </row>
    <row r="8636" spans="1:7" x14ac:dyDescent="0.35">
      <c r="A8636" s="528" t="s">
        <v>25152</v>
      </c>
      <c r="B8636" s="528" t="s">
        <v>25153</v>
      </c>
      <c r="C8636" s="528" t="s">
        <v>25154</v>
      </c>
      <c r="D8636" s="528" t="s">
        <v>264</v>
      </c>
      <c r="E8636" s="528"/>
      <c r="F8636" s="528"/>
      <c r="G8636" s="528" t="s">
        <v>208</v>
      </c>
    </row>
    <row r="8637" spans="1:7" x14ac:dyDescent="0.35">
      <c r="A8637" s="528" t="s">
        <v>25155</v>
      </c>
      <c r="B8637" s="528" t="s">
        <v>25156</v>
      </c>
      <c r="C8637" s="528" t="s">
        <v>25157</v>
      </c>
      <c r="D8637" s="528" t="s">
        <v>264</v>
      </c>
      <c r="E8637" s="528"/>
      <c r="F8637" s="528"/>
      <c r="G8637" s="528" t="s">
        <v>205</v>
      </c>
    </row>
    <row r="8638" spans="1:7" x14ac:dyDescent="0.35">
      <c r="A8638" s="528" t="s">
        <v>25158</v>
      </c>
      <c r="B8638" s="528" t="s">
        <v>25159</v>
      </c>
      <c r="C8638" s="528" t="s">
        <v>25160</v>
      </c>
      <c r="D8638" s="528" t="s">
        <v>251</v>
      </c>
      <c r="E8638" s="528"/>
      <c r="F8638" s="528"/>
      <c r="G8638" s="528" t="s">
        <v>208</v>
      </c>
    </row>
    <row r="8639" spans="1:7" x14ac:dyDescent="0.35">
      <c r="A8639" s="528" t="s">
        <v>25161</v>
      </c>
      <c r="B8639" s="528" t="s">
        <v>25162</v>
      </c>
      <c r="C8639" s="528" t="s">
        <v>25163</v>
      </c>
      <c r="D8639" s="528" t="s">
        <v>251</v>
      </c>
      <c r="E8639" s="528"/>
      <c r="F8639" s="528"/>
      <c r="G8639" s="528" t="s">
        <v>205</v>
      </c>
    </row>
    <row r="8640" spans="1:7" x14ac:dyDescent="0.35">
      <c r="A8640" s="528" t="s">
        <v>25164</v>
      </c>
      <c r="B8640" s="528" t="s">
        <v>25165</v>
      </c>
      <c r="C8640" s="528" t="s">
        <v>25166</v>
      </c>
      <c r="D8640" s="528" t="s">
        <v>225</v>
      </c>
      <c r="E8640" s="528"/>
      <c r="F8640" s="528"/>
      <c r="G8640" s="528" t="s">
        <v>208</v>
      </c>
    </row>
    <row r="8641" spans="1:7" x14ac:dyDescent="0.35">
      <c r="A8641" s="528" t="s">
        <v>25167</v>
      </c>
      <c r="B8641" s="528" t="s">
        <v>25168</v>
      </c>
      <c r="C8641" s="528" t="s">
        <v>25169</v>
      </c>
      <c r="D8641" s="528" t="s">
        <v>277</v>
      </c>
      <c r="E8641" s="528"/>
      <c r="F8641" s="528"/>
      <c r="G8641" s="528" t="s">
        <v>212</v>
      </c>
    </row>
    <row r="8642" spans="1:7" x14ac:dyDescent="0.35">
      <c r="A8642" s="528" t="s">
        <v>25170</v>
      </c>
      <c r="B8642" s="528" t="s">
        <v>25171</v>
      </c>
      <c r="C8642" s="528" t="s">
        <v>25172</v>
      </c>
      <c r="D8642" s="528" t="s">
        <v>277</v>
      </c>
      <c r="E8642" s="528"/>
      <c r="F8642" s="528"/>
      <c r="G8642" s="528" t="s">
        <v>205</v>
      </c>
    </row>
    <row r="8643" spans="1:7" x14ac:dyDescent="0.35">
      <c r="A8643" s="528" t="s">
        <v>25173</v>
      </c>
      <c r="B8643" s="528" t="s">
        <v>25174</v>
      </c>
      <c r="C8643" s="528" t="s">
        <v>25175</v>
      </c>
      <c r="D8643" s="528" t="s">
        <v>264</v>
      </c>
      <c r="E8643" s="528"/>
      <c r="F8643" s="528"/>
      <c r="G8643" s="528" t="s">
        <v>208</v>
      </c>
    </row>
    <row r="8644" spans="1:7" x14ac:dyDescent="0.35">
      <c r="A8644" s="528" t="s">
        <v>25176</v>
      </c>
      <c r="B8644" s="528" t="s">
        <v>25177</v>
      </c>
      <c r="C8644" s="528" t="s">
        <v>25178</v>
      </c>
      <c r="D8644" s="528" t="s">
        <v>264</v>
      </c>
      <c r="E8644" s="528" t="s">
        <v>277</v>
      </c>
      <c r="F8644" s="528"/>
      <c r="G8644" s="528" t="s">
        <v>208</v>
      </c>
    </row>
    <row r="8645" spans="1:7" x14ac:dyDescent="0.35">
      <c r="A8645" s="528" t="s">
        <v>25179</v>
      </c>
      <c r="B8645" s="528" t="s">
        <v>25180</v>
      </c>
      <c r="C8645" s="528" t="s">
        <v>25181</v>
      </c>
      <c r="D8645" s="528" t="s">
        <v>277</v>
      </c>
      <c r="E8645" s="528"/>
      <c r="F8645" s="528"/>
      <c r="G8645" s="528" t="s">
        <v>208</v>
      </c>
    </row>
    <row r="8646" spans="1:7" x14ac:dyDescent="0.35">
      <c r="A8646" s="528" t="s">
        <v>25182</v>
      </c>
      <c r="B8646" s="528" t="s">
        <v>25183</v>
      </c>
      <c r="C8646" s="528" t="s">
        <v>25184</v>
      </c>
      <c r="D8646" s="528" t="s">
        <v>277</v>
      </c>
      <c r="E8646" s="528" t="s">
        <v>264</v>
      </c>
      <c r="F8646" s="528"/>
      <c r="G8646" s="528" t="s">
        <v>208</v>
      </c>
    </row>
    <row r="8647" spans="1:7" x14ac:dyDescent="0.35">
      <c r="A8647" s="528" t="s">
        <v>25185</v>
      </c>
      <c r="B8647" s="528" t="s">
        <v>25186</v>
      </c>
      <c r="C8647" s="528" t="s">
        <v>25187</v>
      </c>
      <c r="D8647" s="528" t="s">
        <v>277</v>
      </c>
      <c r="E8647" s="528"/>
      <c r="F8647" s="528"/>
      <c r="G8647" s="528" t="s">
        <v>208</v>
      </c>
    </row>
    <row r="8648" spans="1:7" x14ac:dyDescent="0.35">
      <c r="A8648" s="528" t="s">
        <v>25188</v>
      </c>
      <c r="B8648" s="528" t="s">
        <v>25189</v>
      </c>
      <c r="C8648" s="528" t="s">
        <v>25190</v>
      </c>
      <c r="D8648" s="528" t="s">
        <v>264</v>
      </c>
      <c r="E8648" s="528"/>
      <c r="F8648" s="528"/>
      <c r="G8648" s="528" t="s">
        <v>208</v>
      </c>
    </row>
    <row r="8649" spans="1:7" x14ac:dyDescent="0.35">
      <c r="A8649" s="528" t="s">
        <v>25191</v>
      </c>
      <c r="B8649" s="528" t="s">
        <v>25192</v>
      </c>
      <c r="C8649" s="528" t="s">
        <v>25193</v>
      </c>
      <c r="D8649" s="528" t="s">
        <v>264</v>
      </c>
      <c r="E8649" s="528"/>
      <c r="F8649" s="528"/>
      <c r="G8649" s="528" t="s">
        <v>208</v>
      </c>
    </row>
    <row r="8650" spans="1:7" x14ac:dyDescent="0.35">
      <c r="A8650" s="528" t="s">
        <v>25194</v>
      </c>
      <c r="B8650" s="528" t="s">
        <v>25195</v>
      </c>
      <c r="C8650" s="528" t="s">
        <v>25196</v>
      </c>
      <c r="D8650" s="528" t="s">
        <v>264</v>
      </c>
      <c r="E8650" s="528"/>
      <c r="F8650" s="528"/>
      <c r="G8650" s="528" t="s">
        <v>208</v>
      </c>
    </row>
    <row r="8651" spans="1:7" x14ac:dyDescent="0.35">
      <c r="A8651" s="528" t="s">
        <v>25197</v>
      </c>
      <c r="B8651" s="528" t="s">
        <v>25198</v>
      </c>
      <c r="C8651" s="528" t="s">
        <v>25199</v>
      </c>
      <c r="D8651" s="528" t="s">
        <v>264</v>
      </c>
      <c r="E8651" s="528"/>
      <c r="F8651" s="528"/>
      <c r="G8651" s="528" t="s">
        <v>214</v>
      </c>
    </row>
    <row r="8652" spans="1:7" x14ac:dyDescent="0.35">
      <c r="A8652" s="528" t="s">
        <v>25200</v>
      </c>
      <c r="B8652" s="528" t="s">
        <v>25201</v>
      </c>
      <c r="C8652" s="528" t="s">
        <v>25202</v>
      </c>
      <c r="D8652" s="528" t="s">
        <v>264</v>
      </c>
      <c r="E8652" s="528"/>
      <c r="F8652" s="528"/>
      <c r="G8652" s="528" t="s">
        <v>214</v>
      </c>
    </row>
    <row r="8653" spans="1:7" x14ac:dyDescent="0.35">
      <c r="A8653" s="528" t="s">
        <v>25203</v>
      </c>
      <c r="B8653" s="528" t="s">
        <v>25204</v>
      </c>
      <c r="C8653" s="528" t="s">
        <v>25205</v>
      </c>
      <c r="D8653" s="528" t="s">
        <v>225</v>
      </c>
      <c r="E8653" s="528"/>
      <c r="F8653" s="528"/>
      <c r="G8653" s="528" t="s">
        <v>205</v>
      </c>
    </row>
    <row r="8654" spans="1:7" x14ac:dyDescent="0.35">
      <c r="A8654" s="528" t="s">
        <v>25206</v>
      </c>
      <c r="B8654" s="528" t="s">
        <v>25207</v>
      </c>
      <c r="C8654" s="528" t="s">
        <v>25208</v>
      </c>
      <c r="D8654" s="528" t="s">
        <v>225</v>
      </c>
      <c r="E8654" s="528"/>
      <c r="F8654" s="528"/>
      <c r="G8654" s="528" t="s">
        <v>205</v>
      </c>
    </row>
    <row r="8655" spans="1:7" x14ac:dyDescent="0.35">
      <c r="A8655" s="528" t="s">
        <v>25209</v>
      </c>
      <c r="B8655" s="528" t="s">
        <v>25210</v>
      </c>
      <c r="C8655" s="528" t="s">
        <v>25211</v>
      </c>
      <c r="D8655" s="528" t="s">
        <v>251</v>
      </c>
      <c r="E8655" s="528"/>
      <c r="F8655" s="528"/>
      <c r="G8655" s="528" t="s">
        <v>208</v>
      </c>
    </row>
    <row r="8656" spans="1:7" x14ac:dyDescent="0.35">
      <c r="A8656" s="528" t="s">
        <v>25212</v>
      </c>
      <c r="B8656" s="528" t="s">
        <v>25213</v>
      </c>
      <c r="C8656" s="528" t="s">
        <v>25214</v>
      </c>
      <c r="D8656" s="528" t="s">
        <v>264</v>
      </c>
      <c r="E8656" s="528"/>
      <c r="F8656" s="528"/>
      <c r="G8656" s="528" t="s">
        <v>205</v>
      </c>
    </row>
    <row r="8657" spans="1:7" x14ac:dyDescent="0.35">
      <c r="A8657" s="528" t="s">
        <v>28358</v>
      </c>
      <c r="B8657" s="528" t="s">
        <v>28359</v>
      </c>
      <c r="C8657" s="528" t="s">
        <v>28360</v>
      </c>
      <c r="D8657" s="528" t="s">
        <v>264</v>
      </c>
      <c r="E8657" s="528"/>
      <c r="F8657" s="528"/>
      <c r="G8657" s="528" t="s">
        <v>208</v>
      </c>
    </row>
    <row r="8658" spans="1:7" x14ac:dyDescent="0.35">
      <c r="A8658" s="528" t="s">
        <v>25215</v>
      </c>
      <c r="B8658" s="528" t="s">
        <v>25216</v>
      </c>
      <c r="C8658" s="528" t="s">
        <v>25217</v>
      </c>
      <c r="D8658" s="528" t="s">
        <v>277</v>
      </c>
      <c r="E8658" s="528"/>
      <c r="F8658" s="528"/>
      <c r="G8658" s="528" t="s">
        <v>205</v>
      </c>
    </row>
    <row r="8659" spans="1:7" x14ac:dyDescent="0.35">
      <c r="A8659" s="528" t="s">
        <v>25218</v>
      </c>
      <c r="B8659" s="528" t="s">
        <v>25219</v>
      </c>
      <c r="C8659" s="528" t="s">
        <v>25220</v>
      </c>
      <c r="D8659" s="528" t="s">
        <v>225</v>
      </c>
      <c r="E8659" s="528"/>
      <c r="F8659" s="528"/>
      <c r="G8659" s="528" t="s">
        <v>205</v>
      </c>
    </row>
    <row r="8660" spans="1:7" x14ac:dyDescent="0.35">
      <c r="A8660" s="528" t="s">
        <v>25221</v>
      </c>
      <c r="B8660" s="528" t="s">
        <v>25222</v>
      </c>
      <c r="C8660" s="528" t="s">
        <v>25223</v>
      </c>
      <c r="D8660" s="528" t="s">
        <v>264</v>
      </c>
      <c r="E8660" s="528"/>
      <c r="F8660" s="528"/>
      <c r="G8660" s="528" t="s">
        <v>205</v>
      </c>
    </row>
    <row r="8661" spans="1:7" x14ac:dyDescent="0.35">
      <c r="A8661" s="528" t="s">
        <v>25224</v>
      </c>
      <c r="B8661" s="528" t="s">
        <v>25225</v>
      </c>
      <c r="C8661" s="528" t="s">
        <v>25226</v>
      </c>
      <c r="D8661" s="528" t="s">
        <v>251</v>
      </c>
      <c r="E8661" s="528"/>
      <c r="F8661" s="528"/>
      <c r="G8661" s="528" t="s">
        <v>205</v>
      </c>
    </row>
    <row r="8662" spans="1:7" x14ac:dyDescent="0.35">
      <c r="A8662" s="528" t="s">
        <v>25227</v>
      </c>
      <c r="B8662" s="528" t="s">
        <v>25228</v>
      </c>
      <c r="C8662" s="528" t="s">
        <v>25229</v>
      </c>
      <c r="D8662" s="528" t="s">
        <v>238</v>
      </c>
      <c r="E8662" s="528"/>
      <c r="F8662" s="528"/>
      <c r="G8662" s="528" t="s">
        <v>208</v>
      </c>
    </row>
    <row r="8663" spans="1:7" x14ac:dyDescent="0.35">
      <c r="A8663" s="528" t="s">
        <v>25230</v>
      </c>
      <c r="B8663" s="528" t="s">
        <v>25231</v>
      </c>
      <c r="C8663" s="528" t="s">
        <v>25232</v>
      </c>
      <c r="D8663" s="528" t="s">
        <v>277</v>
      </c>
      <c r="E8663" s="528"/>
      <c r="F8663" s="528"/>
      <c r="G8663" s="528" t="s">
        <v>212</v>
      </c>
    </row>
    <row r="8664" spans="1:7" x14ac:dyDescent="0.35">
      <c r="A8664" s="528" t="s">
        <v>25233</v>
      </c>
      <c r="B8664" s="528" t="s">
        <v>25234</v>
      </c>
      <c r="C8664" s="528" t="s">
        <v>25235</v>
      </c>
      <c r="D8664" s="528" t="s">
        <v>277</v>
      </c>
      <c r="E8664" s="528"/>
      <c r="F8664" s="528"/>
      <c r="G8664" s="528" t="s">
        <v>208</v>
      </c>
    </row>
    <row r="8665" spans="1:7" x14ac:dyDescent="0.35">
      <c r="A8665" s="528" t="s">
        <v>25236</v>
      </c>
      <c r="B8665" s="528" t="s">
        <v>25237</v>
      </c>
      <c r="C8665" s="528" t="s">
        <v>25238</v>
      </c>
      <c r="D8665" s="528" t="s">
        <v>264</v>
      </c>
      <c r="E8665" s="528"/>
      <c r="F8665" s="528"/>
      <c r="G8665" s="528" t="s">
        <v>208</v>
      </c>
    </row>
    <row r="8666" spans="1:7" x14ac:dyDescent="0.35">
      <c r="A8666" s="528" t="s">
        <v>25239</v>
      </c>
      <c r="B8666" s="528" t="s">
        <v>25240</v>
      </c>
      <c r="C8666" s="528" t="s">
        <v>25241</v>
      </c>
      <c r="D8666" s="528" t="s">
        <v>277</v>
      </c>
      <c r="E8666" s="528"/>
      <c r="F8666" s="528"/>
      <c r="G8666" s="528" t="s">
        <v>205</v>
      </c>
    </row>
    <row r="8667" spans="1:7" x14ac:dyDescent="0.35">
      <c r="A8667" s="528" t="s">
        <v>25242</v>
      </c>
      <c r="B8667" s="528" t="s">
        <v>25243</v>
      </c>
      <c r="C8667" s="528" t="s">
        <v>25244</v>
      </c>
      <c r="D8667" s="528" t="s">
        <v>277</v>
      </c>
      <c r="E8667" s="528"/>
      <c r="F8667" s="528"/>
      <c r="G8667" s="528" t="s">
        <v>208</v>
      </c>
    </row>
    <row r="8668" spans="1:7" x14ac:dyDescent="0.35">
      <c r="A8668" s="528" t="s">
        <v>25245</v>
      </c>
      <c r="B8668" s="528" t="s">
        <v>25246</v>
      </c>
      <c r="C8668" s="528" t="s">
        <v>25247</v>
      </c>
      <c r="D8668" s="528" t="s">
        <v>225</v>
      </c>
      <c r="E8668" s="528" t="s">
        <v>251</v>
      </c>
      <c r="F8668" s="528"/>
      <c r="G8668" s="528" t="s">
        <v>208</v>
      </c>
    </row>
    <row r="8669" spans="1:7" x14ac:dyDescent="0.35">
      <c r="A8669" s="528" t="s">
        <v>25248</v>
      </c>
      <c r="B8669" s="528" t="s">
        <v>25249</v>
      </c>
      <c r="C8669" s="528" t="s">
        <v>25250</v>
      </c>
      <c r="D8669" s="528" t="s">
        <v>251</v>
      </c>
      <c r="E8669" s="528"/>
      <c r="F8669" s="528"/>
      <c r="G8669" s="528" t="s">
        <v>205</v>
      </c>
    </row>
    <row r="8670" spans="1:7" x14ac:dyDescent="0.35">
      <c r="A8670" s="528" t="s">
        <v>25251</v>
      </c>
      <c r="B8670" s="528" t="s">
        <v>25252</v>
      </c>
      <c r="C8670" s="528" t="s">
        <v>25253</v>
      </c>
      <c r="D8670" s="528" t="s">
        <v>251</v>
      </c>
      <c r="E8670" s="528"/>
      <c r="F8670" s="528"/>
      <c r="G8670" s="528" t="s">
        <v>208</v>
      </c>
    </row>
    <row r="8671" spans="1:7" x14ac:dyDescent="0.35">
      <c r="A8671" s="528" t="s">
        <v>25254</v>
      </c>
      <c r="B8671" s="528" t="s">
        <v>25255</v>
      </c>
      <c r="C8671" s="528" t="s">
        <v>25256</v>
      </c>
      <c r="D8671" s="528" t="s">
        <v>264</v>
      </c>
      <c r="E8671" s="528"/>
      <c r="F8671" s="528"/>
      <c r="G8671" s="528" t="s">
        <v>208</v>
      </c>
    </row>
    <row r="8672" spans="1:7" x14ac:dyDescent="0.35">
      <c r="A8672" s="528" t="s">
        <v>25257</v>
      </c>
      <c r="B8672" s="528" t="s">
        <v>25258</v>
      </c>
      <c r="C8672" s="528" t="s">
        <v>25259</v>
      </c>
      <c r="D8672" s="528" t="s">
        <v>277</v>
      </c>
      <c r="E8672" s="528"/>
      <c r="F8672" s="528"/>
      <c r="G8672" s="528" t="s">
        <v>205</v>
      </c>
    </row>
    <row r="8673" spans="1:7" x14ac:dyDescent="0.35">
      <c r="A8673" s="528" t="s">
        <v>25260</v>
      </c>
      <c r="B8673" s="528" t="s">
        <v>25261</v>
      </c>
      <c r="C8673" s="528" t="s">
        <v>25262</v>
      </c>
      <c r="D8673" s="528" t="s">
        <v>277</v>
      </c>
      <c r="E8673" s="528"/>
      <c r="F8673" s="528"/>
      <c r="G8673" s="528" t="s">
        <v>208</v>
      </c>
    </row>
    <row r="8674" spans="1:7" x14ac:dyDescent="0.35">
      <c r="A8674" s="528" t="s">
        <v>25263</v>
      </c>
      <c r="B8674" s="528" t="s">
        <v>25264</v>
      </c>
      <c r="C8674" s="528" t="s">
        <v>25265</v>
      </c>
      <c r="D8674" s="528" t="s">
        <v>277</v>
      </c>
      <c r="E8674" s="528"/>
      <c r="F8674" s="528"/>
      <c r="G8674" s="528" t="s">
        <v>214</v>
      </c>
    </row>
    <row r="8675" spans="1:7" x14ac:dyDescent="0.35">
      <c r="A8675" s="528" t="s">
        <v>25266</v>
      </c>
      <c r="B8675" s="528" t="s">
        <v>25267</v>
      </c>
      <c r="C8675" s="528" t="s">
        <v>25268</v>
      </c>
      <c r="D8675" s="528" t="s">
        <v>277</v>
      </c>
      <c r="E8675" s="528" t="s">
        <v>264</v>
      </c>
      <c r="F8675" s="528"/>
      <c r="G8675" s="528" t="s">
        <v>214</v>
      </c>
    </row>
    <row r="8676" spans="1:7" x14ac:dyDescent="0.35">
      <c r="A8676" s="528" t="s">
        <v>25269</v>
      </c>
      <c r="B8676" s="528" t="s">
        <v>25270</v>
      </c>
      <c r="C8676" s="528" t="s">
        <v>25271</v>
      </c>
      <c r="D8676" s="528" t="s">
        <v>277</v>
      </c>
      <c r="E8676" s="528"/>
      <c r="F8676" s="528"/>
      <c r="G8676" s="528" t="s">
        <v>208</v>
      </c>
    </row>
    <row r="8677" spans="1:7" x14ac:dyDescent="0.35">
      <c r="A8677" s="528" t="s">
        <v>25272</v>
      </c>
      <c r="B8677" s="528" t="s">
        <v>25273</v>
      </c>
      <c r="C8677" s="528" t="s">
        <v>25274</v>
      </c>
      <c r="D8677" s="528" t="s">
        <v>225</v>
      </c>
      <c r="E8677" s="528"/>
      <c r="F8677" s="528"/>
      <c r="G8677" s="528" t="s">
        <v>212</v>
      </c>
    </row>
    <row r="8678" spans="1:7" x14ac:dyDescent="0.35">
      <c r="A8678" s="528" t="s">
        <v>25275</v>
      </c>
      <c r="B8678" s="528" t="s">
        <v>25276</v>
      </c>
      <c r="C8678" s="528" t="s">
        <v>25277</v>
      </c>
      <c r="D8678" s="528" t="s">
        <v>225</v>
      </c>
      <c r="E8678" s="528"/>
      <c r="F8678" s="528"/>
      <c r="G8678" s="528" t="s">
        <v>208</v>
      </c>
    </row>
    <row r="8679" spans="1:7" x14ac:dyDescent="0.35">
      <c r="A8679" s="528" t="s">
        <v>25278</v>
      </c>
      <c r="B8679" s="528" t="s">
        <v>25279</v>
      </c>
      <c r="C8679" s="528" t="s">
        <v>25280</v>
      </c>
      <c r="D8679" s="528" t="s">
        <v>225</v>
      </c>
      <c r="E8679" s="528"/>
      <c r="F8679" s="528"/>
      <c r="G8679" s="528" t="s">
        <v>208</v>
      </c>
    </row>
    <row r="8680" spans="1:7" x14ac:dyDescent="0.35">
      <c r="A8680" s="528" t="s">
        <v>25281</v>
      </c>
      <c r="B8680" s="528" t="s">
        <v>25282</v>
      </c>
      <c r="C8680" s="528" t="s">
        <v>25283</v>
      </c>
      <c r="D8680" s="528" t="s">
        <v>277</v>
      </c>
      <c r="E8680" s="528"/>
      <c r="F8680" s="528"/>
      <c r="G8680" s="528" t="s">
        <v>214</v>
      </c>
    </row>
    <row r="8681" spans="1:7" x14ac:dyDescent="0.35">
      <c r="A8681" s="528" t="s">
        <v>25284</v>
      </c>
      <c r="B8681" s="528" t="s">
        <v>25285</v>
      </c>
      <c r="C8681" s="528" t="s">
        <v>25286</v>
      </c>
      <c r="D8681" s="528" t="s">
        <v>264</v>
      </c>
      <c r="E8681" s="528"/>
      <c r="F8681" s="528"/>
      <c r="G8681" s="528" t="s">
        <v>214</v>
      </c>
    </row>
    <row r="8682" spans="1:7" x14ac:dyDescent="0.35">
      <c r="A8682" s="528" t="s">
        <v>25287</v>
      </c>
      <c r="B8682" s="528" t="s">
        <v>25288</v>
      </c>
      <c r="C8682" s="528" t="s">
        <v>25289</v>
      </c>
      <c r="D8682" s="528" t="s">
        <v>277</v>
      </c>
      <c r="E8682" s="528"/>
      <c r="F8682" s="528"/>
      <c r="G8682" s="528" t="s">
        <v>214</v>
      </c>
    </row>
    <row r="8683" spans="1:7" x14ac:dyDescent="0.35">
      <c r="A8683" s="528" t="s">
        <v>25290</v>
      </c>
      <c r="B8683" s="528" t="s">
        <v>25291</v>
      </c>
      <c r="C8683" s="528" t="s">
        <v>25292</v>
      </c>
      <c r="D8683" s="528" t="s">
        <v>277</v>
      </c>
      <c r="E8683" s="528"/>
      <c r="F8683" s="528"/>
      <c r="G8683" s="528" t="s">
        <v>214</v>
      </c>
    </row>
    <row r="8684" spans="1:7" x14ac:dyDescent="0.35">
      <c r="A8684" s="528" t="s">
        <v>25293</v>
      </c>
      <c r="B8684" s="528" t="s">
        <v>25294</v>
      </c>
      <c r="C8684" s="528" t="s">
        <v>25295</v>
      </c>
      <c r="D8684" s="528" t="s">
        <v>264</v>
      </c>
      <c r="E8684" s="528"/>
      <c r="F8684" s="528"/>
      <c r="G8684" s="528" t="s">
        <v>208</v>
      </c>
    </row>
    <row r="8685" spans="1:7" x14ac:dyDescent="0.35">
      <c r="A8685" s="528" t="s">
        <v>25296</v>
      </c>
      <c r="B8685" s="528" t="s">
        <v>25297</v>
      </c>
      <c r="C8685" s="528" t="s">
        <v>25298</v>
      </c>
      <c r="D8685" s="528" t="s">
        <v>251</v>
      </c>
      <c r="E8685" s="528"/>
      <c r="F8685" s="528"/>
      <c r="G8685" s="528" t="s">
        <v>208</v>
      </c>
    </row>
    <row r="8686" spans="1:7" x14ac:dyDescent="0.35">
      <c r="A8686" s="528" t="s">
        <v>25299</v>
      </c>
      <c r="B8686" s="528" t="s">
        <v>25300</v>
      </c>
      <c r="C8686" s="528" t="s">
        <v>25301</v>
      </c>
      <c r="D8686" s="528" t="s">
        <v>225</v>
      </c>
      <c r="E8686" s="528"/>
      <c r="F8686" s="528"/>
      <c r="G8686" s="528" t="s">
        <v>208</v>
      </c>
    </row>
    <row r="8687" spans="1:7" x14ac:dyDescent="0.35">
      <c r="A8687" s="528" t="s">
        <v>25302</v>
      </c>
      <c r="B8687" s="528" t="s">
        <v>25303</v>
      </c>
      <c r="C8687" s="528" t="s">
        <v>25304</v>
      </c>
      <c r="D8687" s="528" t="s">
        <v>264</v>
      </c>
      <c r="E8687" s="528"/>
      <c r="F8687" s="528"/>
      <c r="G8687" s="528" t="s">
        <v>214</v>
      </c>
    </row>
    <row r="8688" spans="1:7" x14ac:dyDescent="0.35">
      <c r="A8688" s="528" t="s">
        <v>25305</v>
      </c>
      <c r="B8688" s="528" t="s">
        <v>25306</v>
      </c>
      <c r="C8688" s="528" t="s">
        <v>25307</v>
      </c>
      <c r="D8688" s="528" t="s">
        <v>264</v>
      </c>
      <c r="E8688" s="528"/>
      <c r="F8688" s="528"/>
      <c r="G8688" s="528" t="s">
        <v>214</v>
      </c>
    </row>
    <row r="8689" spans="1:7" x14ac:dyDescent="0.35">
      <c r="A8689" s="528" t="s">
        <v>25308</v>
      </c>
      <c r="B8689" s="528" t="s">
        <v>25309</v>
      </c>
      <c r="C8689" s="528" t="s">
        <v>25310</v>
      </c>
      <c r="D8689" s="528" t="s">
        <v>264</v>
      </c>
      <c r="E8689" s="528"/>
      <c r="F8689" s="528"/>
      <c r="G8689" s="528" t="s">
        <v>212</v>
      </c>
    </row>
    <row r="8690" spans="1:7" x14ac:dyDescent="0.35">
      <c r="A8690" s="528" t="s">
        <v>25311</v>
      </c>
      <c r="B8690" s="528" t="s">
        <v>25312</v>
      </c>
      <c r="C8690" s="528" t="s">
        <v>25313</v>
      </c>
      <c r="D8690" s="528" t="s">
        <v>225</v>
      </c>
      <c r="E8690" s="528"/>
      <c r="F8690" s="528"/>
      <c r="G8690" s="528" t="s">
        <v>212</v>
      </c>
    </row>
    <row r="8691" spans="1:7" x14ac:dyDescent="0.35">
      <c r="A8691" s="528" t="s">
        <v>25314</v>
      </c>
      <c r="B8691" s="528" t="s">
        <v>25315</v>
      </c>
      <c r="C8691" s="528" t="s">
        <v>25316</v>
      </c>
      <c r="D8691" s="528" t="s">
        <v>264</v>
      </c>
      <c r="E8691" s="528"/>
      <c r="F8691" s="528"/>
      <c r="G8691" s="528" t="s">
        <v>208</v>
      </c>
    </row>
    <row r="8692" spans="1:7" x14ac:dyDescent="0.35">
      <c r="A8692" s="528" t="s">
        <v>25317</v>
      </c>
      <c r="B8692" s="528" t="s">
        <v>25318</v>
      </c>
      <c r="C8692" s="528" t="s">
        <v>25319</v>
      </c>
      <c r="D8692" s="528" t="s">
        <v>225</v>
      </c>
      <c r="E8692" s="528" t="s">
        <v>264</v>
      </c>
      <c r="F8692" s="528"/>
      <c r="G8692" s="528" t="s">
        <v>208</v>
      </c>
    </row>
    <row r="8693" spans="1:7" x14ac:dyDescent="0.35">
      <c r="A8693" s="528" t="s">
        <v>25320</v>
      </c>
      <c r="B8693" s="528" t="s">
        <v>25321</v>
      </c>
      <c r="C8693" s="528" t="s">
        <v>25322</v>
      </c>
      <c r="D8693" s="528" t="s">
        <v>225</v>
      </c>
      <c r="E8693" s="528" t="s">
        <v>264</v>
      </c>
      <c r="F8693" s="528"/>
      <c r="G8693" s="528" t="s">
        <v>208</v>
      </c>
    </row>
    <row r="8694" spans="1:7" x14ac:dyDescent="0.35">
      <c r="A8694" s="528" t="s">
        <v>25323</v>
      </c>
      <c r="B8694" s="528" t="s">
        <v>25324</v>
      </c>
      <c r="C8694" s="528" t="s">
        <v>25325</v>
      </c>
      <c r="D8694" s="528" t="s">
        <v>264</v>
      </c>
      <c r="E8694" s="528"/>
      <c r="F8694" s="528"/>
      <c r="G8694" s="528" t="s">
        <v>208</v>
      </c>
    </row>
    <row r="8695" spans="1:7" x14ac:dyDescent="0.35">
      <c r="A8695" s="528" t="s">
        <v>25326</v>
      </c>
      <c r="B8695" s="528" t="s">
        <v>25327</v>
      </c>
      <c r="C8695" s="528" t="s">
        <v>25328</v>
      </c>
      <c r="D8695" s="528" t="s">
        <v>277</v>
      </c>
      <c r="E8695" s="528"/>
      <c r="F8695" s="528"/>
      <c r="G8695" s="528" t="s">
        <v>205</v>
      </c>
    </row>
    <row r="8696" spans="1:7" x14ac:dyDescent="0.35">
      <c r="A8696" s="528" t="s">
        <v>25329</v>
      </c>
      <c r="B8696" s="528" t="s">
        <v>25330</v>
      </c>
      <c r="C8696" s="528" t="s">
        <v>25331</v>
      </c>
      <c r="D8696" s="528" t="s">
        <v>277</v>
      </c>
      <c r="E8696" s="528"/>
      <c r="F8696" s="528"/>
      <c r="G8696" s="528" t="s">
        <v>208</v>
      </c>
    </row>
    <row r="8697" spans="1:7" x14ac:dyDescent="0.35">
      <c r="A8697" s="528" t="s">
        <v>25332</v>
      </c>
      <c r="B8697" s="528" t="s">
        <v>25333</v>
      </c>
      <c r="C8697" s="528" t="s">
        <v>27987</v>
      </c>
      <c r="D8697" s="528" t="s">
        <v>225</v>
      </c>
      <c r="E8697" s="528"/>
      <c r="F8697" s="528"/>
      <c r="G8697" s="528" t="s">
        <v>205</v>
      </c>
    </row>
    <row r="8698" spans="1:7" x14ac:dyDescent="0.35">
      <c r="A8698" s="528" t="s">
        <v>25334</v>
      </c>
      <c r="B8698" s="528" t="s">
        <v>25335</v>
      </c>
      <c r="C8698" s="528" t="s">
        <v>25336</v>
      </c>
      <c r="D8698" s="528" t="s">
        <v>238</v>
      </c>
      <c r="E8698" s="528"/>
      <c r="F8698" s="528"/>
      <c r="G8698" s="528" t="s">
        <v>205</v>
      </c>
    </row>
    <row r="8699" spans="1:7" x14ac:dyDescent="0.35">
      <c r="A8699" s="528" t="s">
        <v>25337</v>
      </c>
      <c r="B8699" s="528" t="s">
        <v>25338</v>
      </c>
      <c r="C8699" s="528" t="s">
        <v>25339</v>
      </c>
      <c r="D8699" s="528" t="s">
        <v>225</v>
      </c>
      <c r="E8699" s="528"/>
      <c r="F8699" s="528"/>
      <c r="G8699" s="528" t="s">
        <v>205</v>
      </c>
    </row>
    <row r="8700" spans="1:7" x14ac:dyDescent="0.35">
      <c r="A8700" s="528" t="s">
        <v>25340</v>
      </c>
      <c r="B8700" s="528" t="s">
        <v>25341</v>
      </c>
      <c r="C8700" s="528" t="s">
        <v>25342</v>
      </c>
      <c r="D8700" s="528" t="s">
        <v>225</v>
      </c>
      <c r="E8700" s="528"/>
      <c r="F8700" s="528"/>
      <c r="G8700" s="528" t="s">
        <v>205</v>
      </c>
    </row>
    <row r="8701" spans="1:7" x14ac:dyDescent="0.35">
      <c r="A8701" s="528" t="s">
        <v>25343</v>
      </c>
      <c r="B8701" s="528" t="s">
        <v>25344</v>
      </c>
      <c r="C8701" s="528" t="s">
        <v>25345</v>
      </c>
      <c r="D8701" s="528" t="s">
        <v>238</v>
      </c>
      <c r="E8701" s="528"/>
      <c r="F8701" s="528"/>
      <c r="G8701" s="528" t="s">
        <v>208</v>
      </c>
    </row>
    <row r="8702" spans="1:7" x14ac:dyDescent="0.35">
      <c r="A8702" s="528" t="s">
        <v>25346</v>
      </c>
      <c r="B8702" s="528" t="s">
        <v>25347</v>
      </c>
      <c r="C8702" s="528" t="s">
        <v>25348</v>
      </c>
      <c r="D8702" s="528" t="s">
        <v>251</v>
      </c>
      <c r="E8702" s="528"/>
      <c r="F8702" s="528"/>
      <c r="G8702" s="528" t="s">
        <v>208</v>
      </c>
    </row>
    <row r="8703" spans="1:7" x14ac:dyDescent="0.35">
      <c r="A8703" s="528" t="s">
        <v>25349</v>
      </c>
      <c r="B8703" s="528" t="s">
        <v>25350</v>
      </c>
      <c r="C8703" s="528" t="s">
        <v>25351</v>
      </c>
      <c r="D8703" s="528" t="s">
        <v>277</v>
      </c>
      <c r="E8703" s="528"/>
      <c r="F8703" s="528"/>
      <c r="G8703" s="528" t="s">
        <v>205</v>
      </c>
    </row>
    <row r="8704" spans="1:7" x14ac:dyDescent="0.35">
      <c r="A8704" s="528" t="s">
        <v>25352</v>
      </c>
      <c r="B8704" s="528" t="s">
        <v>25353</v>
      </c>
      <c r="C8704" s="528" t="s">
        <v>25354</v>
      </c>
      <c r="D8704" s="528" t="s">
        <v>277</v>
      </c>
      <c r="E8704" s="528"/>
      <c r="F8704" s="528"/>
      <c r="G8704" s="528" t="s">
        <v>208</v>
      </c>
    </row>
    <row r="8705" spans="1:7" x14ac:dyDescent="0.35">
      <c r="A8705" s="528" t="s">
        <v>25355</v>
      </c>
      <c r="B8705" s="528" t="s">
        <v>25356</v>
      </c>
      <c r="C8705" s="528" t="s">
        <v>25357</v>
      </c>
      <c r="D8705" s="528" t="s">
        <v>238</v>
      </c>
      <c r="E8705" s="528"/>
      <c r="F8705" s="528"/>
      <c r="G8705" s="528" t="s">
        <v>208</v>
      </c>
    </row>
    <row r="8706" spans="1:7" x14ac:dyDescent="0.35">
      <c r="A8706" s="528" t="s">
        <v>25358</v>
      </c>
      <c r="B8706" s="528" t="s">
        <v>25359</v>
      </c>
      <c r="C8706" s="528" t="s">
        <v>25360</v>
      </c>
      <c r="D8706" s="528" t="s">
        <v>238</v>
      </c>
      <c r="E8706" s="528"/>
      <c r="F8706" s="528"/>
      <c r="G8706" s="528" t="s">
        <v>208</v>
      </c>
    </row>
    <row r="8707" spans="1:7" x14ac:dyDescent="0.35">
      <c r="A8707" s="528" t="s">
        <v>25361</v>
      </c>
      <c r="B8707" s="528" t="s">
        <v>25362</v>
      </c>
      <c r="C8707" s="528" t="s">
        <v>25363</v>
      </c>
      <c r="D8707" s="528" t="s">
        <v>251</v>
      </c>
      <c r="E8707" s="528"/>
      <c r="F8707" s="528"/>
      <c r="G8707" s="528" t="s">
        <v>208</v>
      </c>
    </row>
    <row r="8708" spans="1:7" x14ac:dyDescent="0.35">
      <c r="A8708" s="528" t="s">
        <v>25364</v>
      </c>
      <c r="B8708" s="528" t="s">
        <v>25365</v>
      </c>
      <c r="C8708" s="528" t="s">
        <v>25366</v>
      </c>
      <c r="D8708" s="528" t="s">
        <v>277</v>
      </c>
      <c r="E8708" s="528"/>
      <c r="F8708" s="528"/>
      <c r="G8708" s="528" t="s">
        <v>205</v>
      </c>
    </row>
    <row r="8709" spans="1:7" x14ac:dyDescent="0.35">
      <c r="A8709" s="528" t="s">
        <v>25367</v>
      </c>
      <c r="B8709" s="528" t="s">
        <v>25368</v>
      </c>
      <c r="C8709" s="528" t="s">
        <v>25369</v>
      </c>
      <c r="D8709" s="528" t="s">
        <v>264</v>
      </c>
      <c r="E8709" s="528"/>
      <c r="F8709" s="528"/>
      <c r="G8709" s="528" t="s">
        <v>205</v>
      </c>
    </row>
    <row r="8710" spans="1:7" x14ac:dyDescent="0.35">
      <c r="A8710" s="528" t="s">
        <v>25370</v>
      </c>
      <c r="B8710" s="528" t="s">
        <v>25371</v>
      </c>
      <c r="C8710" s="528" t="s">
        <v>25372</v>
      </c>
      <c r="D8710" s="528" t="s">
        <v>264</v>
      </c>
      <c r="E8710" s="528" t="s">
        <v>277</v>
      </c>
      <c r="F8710" s="528"/>
      <c r="G8710" s="528" t="s">
        <v>205</v>
      </c>
    </row>
    <row r="8711" spans="1:7" x14ac:dyDescent="0.35">
      <c r="A8711" s="528" t="s">
        <v>25373</v>
      </c>
      <c r="B8711" s="528" t="s">
        <v>25374</v>
      </c>
      <c r="C8711" s="528" t="s">
        <v>25375</v>
      </c>
      <c r="D8711" s="528" t="s">
        <v>264</v>
      </c>
      <c r="E8711" s="528"/>
      <c r="F8711" s="528"/>
      <c r="G8711" s="528" t="s">
        <v>205</v>
      </c>
    </row>
    <row r="8712" spans="1:7" x14ac:dyDescent="0.35">
      <c r="A8712" s="528" t="s">
        <v>25376</v>
      </c>
      <c r="B8712" s="528" t="s">
        <v>25377</v>
      </c>
      <c r="C8712" s="528" t="s">
        <v>25378</v>
      </c>
      <c r="D8712" s="528" t="s">
        <v>277</v>
      </c>
      <c r="E8712" s="528"/>
      <c r="F8712" s="528"/>
      <c r="G8712" s="528" t="s">
        <v>208</v>
      </c>
    </row>
    <row r="8713" spans="1:7" x14ac:dyDescent="0.35">
      <c r="A8713" s="528" t="s">
        <v>25379</v>
      </c>
      <c r="B8713" s="528" t="s">
        <v>25380</v>
      </c>
      <c r="C8713" s="528" t="s">
        <v>25381</v>
      </c>
      <c r="D8713" s="528" t="s">
        <v>277</v>
      </c>
      <c r="E8713" s="528"/>
      <c r="F8713" s="528"/>
      <c r="G8713" s="528" t="s">
        <v>205</v>
      </c>
    </row>
    <row r="8714" spans="1:7" x14ac:dyDescent="0.35">
      <c r="A8714" s="528" t="s">
        <v>25382</v>
      </c>
      <c r="B8714" s="528" t="s">
        <v>25383</v>
      </c>
      <c r="C8714" s="528" t="s">
        <v>25384</v>
      </c>
      <c r="D8714" s="528" t="s">
        <v>238</v>
      </c>
      <c r="E8714" s="528"/>
      <c r="F8714" s="528"/>
      <c r="G8714" s="528" t="s">
        <v>208</v>
      </c>
    </row>
    <row r="8715" spans="1:7" x14ac:dyDescent="0.35">
      <c r="A8715" s="528" t="s">
        <v>25385</v>
      </c>
      <c r="B8715" s="528" t="s">
        <v>25386</v>
      </c>
      <c r="C8715" s="528" t="s">
        <v>25387</v>
      </c>
      <c r="D8715" s="528" t="s">
        <v>238</v>
      </c>
      <c r="E8715" s="528"/>
      <c r="F8715" s="528"/>
      <c r="G8715" s="528" t="s">
        <v>208</v>
      </c>
    </row>
    <row r="8716" spans="1:7" x14ac:dyDescent="0.35">
      <c r="A8716" s="528" t="s">
        <v>25388</v>
      </c>
      <c r="B8716" s="528" t="s">
        <v>25389</v>
      </c>
      <c r="C8716" s="528" t="s">
        <v>25390</v>
      </c>
      <c r="D8716" s="528" t="s">
        <v>264</v>
      </c>
      <c r="E8716" s="528"/>
      <c r="F8716" s="528"/>
      <c r="G8716" s="528" t="s">
        <v>205</v>
      </c>
    </row>
    <row r="8717" spans="1:7" x14ac:dyDescent="0.35">
      <c r="A8717" s="528" t="s">
        <v>28361</v>
      </c>
      <c r="B8717" s="528" t="s">
        <v>28362</v>
      </c>
      <c r="C8717" s="528" t="s">
        <v>28363</v>
      </c>
      <c r="D8717" s="528" t="s">
        <v>264</v>
      </c>
      <c r="E8717" s="528"/>
      <c r="F8717" s="528"/>
      <c r="G8717" s="528" t="s">
        <v>208</v>
      </c>
    </row>
    <row r="8718" spans="1:7" x14ac:dyDescent="0.35">
      <c r="A8718" s="528" t="s">
        <v>25391</v>
      </c>
      <c r="B8718" s="528" t="s">
        <v>25392</v>
      </c>
      <c r="C8718" s="528" t="s">
        <v>25393</v>
      </c>
      <c r="D8718" s="528" t="s">
        <v>264</v>
      </c>
      <c r="E8718" s="528"/>
      <c r="F8718" s="528"/>
      <c r="G8718" s="528" t="s">
        <v>208</v>
      </c>
    </row>
    <row r="8719" spans="1:7" x14ac:dyDescent="0.35">
      <c r="A8719" s="528" t="s">
        <v>25394</v>
      </c>
      <c r="B8719" s="528" t="s">
        <v>25395</v>
      </c>
      <c r="C8719" s="528" t="s">
        <v>25396</v>
      </c>
      <c r="D8719" s="528" t="s">
        <v>277</v>
      </c>
      <c r="E8719" s="528"/>
      <c r="F8719" s="528"/>
      <c r="G8719" s="528" t="s">
        <v>208</v>
      </c>
    </row>
    <row r="8720" spans="1:7" x14ac:dyDescent="0.35">
      <c r="A8720" s="528" t="s">
        <v>25397</v>
      </c>
      <c r="B8720" s="528" t="s">
        <v>25398</v>
      </c>
      <c r="C8720" s="528" t="s">
        <v>25399</v>
      </c>
      <c r="D8720" s="528" t="s">
        <v>277</v>
      </c>
      <c r="E8720" s="528"/>
      <c r="F8720" s="528"/>
      <c r="G8720" s="528" t="s">
        <v>205</v>
      </c>
    </row>
    <row r="8721" spans="1:7" x14ac:dyDescent="0.35">
      <c r="A8721" s="528" t="s">
        <v>25400</v>
      </c>
      <c r="B8721" s="528" t="s">
        <v>25401</v>
      </c>
      <c r="C8721" s="528" t="s">
        <v>25402</v>
      </c>
      <c r="D8721" s="528" t="s">
        <v>264</v>
      </c>
      <c r="E8721" s="528"/>
      <c r="F8721" s="528"/>
      <c r="G8721" s="528" t="s">
        <v>212</v>
      </c>
    </row>
    <row r="8722" spans="1:7" x14ac:dyDescent="0.35">
      <c r="A8722" s="528" t="s">
        <v>25403</v>
      </c>
      <c r="B8722" s="528" t="s">
        <v>25404</v>
      </c>
      <c r="C8722" s="528" t="s">
        <v>25405</v>
      </c>
      <c r="D8722" s="528" t="s">
        <v>264</v>
      </c>
      <c r="E8722" s="528"/>
      <c r="F8722" s="528"/>
      <c r="G8722" s="528" t="s">
        <v>205</v>
      </c>
    </row>
    <row r="8723" spans="1:7" x14ac:dyDescent="0.35">
      <c r="A8723" s="528" t="s">
        <v>25406</v>
      </c>
      <c r="B8723" s="528" t="s">
        <v>25407</v>
      </c>
      <c r="C8723" s="528" t="s">
        <v>25408</v>
      </c>
      <c r="D8723" s="528" t="s">
        <v>264</v>
      </c>
      <c r="E8723" s="528"/>
      <c r="F8723" s="528"/>
      <c r="G8723" s="528" t="s">
        <v>205</v>
      </c>
    </row>
    <row r="8724" spans="1:7" x14ac:dyDescent="0.35">
      <c r="A8724" s="528" t="s">
        <v>25409</v>
      </c>
      <c r="B8724" s="528" t="s">
        <v>25410</v>
      </c>
      <c r="C8724" s="528" t="s">
        <v>25411</v>
      </c>
      <c r="D8724" s="528" t="s">
        <v>264</v>
      </c>
      <c r="E8724" s="528"/>
      <c r="F8724" s="528"/>
      <c r="G8724" s="528" t="s">
        <v>212</v>
      </c>
    </row>
    <row r="8725" spans="1:7" x14ac:dyDescent="0.35">
      <c r="A8725" s="528" t="s">
        <v>25412</v>
      </c>
      <c r="B8725" s="528" t="s">
        <v>25413</v>
      </c>
      <c r="C8725" s="528" t="s">
        <v>25414</v>
      </c>
      <c r="D8725" s="528" t="s">
        <v>251</v>
      </c>
      <c r="E8725" s="528"/>
      <c r="F8725" s="528"/>
      <c r="G8725" s="528" t="s">
        <v>205</v>
      </c>
    </row>
    <row r="8726" spans="1:7" x14ac:dyDescent="0.35">
      <c r="A8726" s="528" t="s">
        <v>25415</v>
      </c>
      <c r="B8726" s="528" t="s">
        <v>25416</v>
      </c>
      <c r="C8726" s="528" t="s">
        <v>25417</v>
      </c>
      <c r="D8726" s="528" t="s">
        <v>277</v>
      </c>
      <c r="E8726" s="528"/>
      <c r="F8726" s="528"/>
      <c r="G8726" s="528" t="s">
        <v>214</v>
      </c>
    </row>
    <row r="8727" spans="1:7" x14ac:dyDescent="0.35">
      <c r="A8727" s="528" t="s">
        <v>25418</v>
      </c>
      <c r="B8727" s="528" t="s">
        <v>25419</v>
      </c>
      <c r="C8727" s="528" t="s">
        <v>25420</v>
      </c>
      <c r="D8727" s="528" t="s">
        <v>251</v>
      </c>
      <c r="E8727" s="528"/>
      <c r="F8727" s="528"/>
      <c r="G8727" s="528" t="s">
        <v>208</v>
      </c>
    </row>
    <row r="8728" spans="1:7" x14ac:dyDescent="0.35">
      <c r="A8728" s="528" t="s">
        <v>25421</v>
      </c>
      <c r="B8728" s="528" t="s">
        <v>25422</v>
      </c>
      <c r="C8728" s="528" t="s">
        <v>25423</v>
      </c>
      <c r="D8728" s="528" t="s">
        <v>264</v>
      </c>
      <c r="E8728" s="528"/>
      <c r="F8728" s="528"/>
      <c r="G8728" s="528" t="s">
        <v>208</v>
      </c>
    </row>
    <row r="8729" spans="1:7" x14ac:dyDescent="0.35">
      <c r="A8729" s="528" t="s">
        <v>25424</v>
      </c>
      <c r="B8729" s="528" t="s">
        <v>25425</v>
      </c>
      <c r="C8729" s="528" t="s">
        <v>25426</v>
      </c>
      <c r="D8729" s="528" t="s">
        <v>251</v>
      </c>
      <c r="E8729" s="528" t="s">
        <v>238</v>
      </c>
      <c r="F8729" s="528"/>
      <c r="G8729" s="528" t="s">
        <v>208</v>
      </c>
    </row>
    <row r="8730" spans="1:7" x14ac:dyDescent="0.35">
      <c r="A8730" s="528" t="s">
        <v>25427</v>
      </c>
      <c r="B8730" s="528" t="s">
        <v>25428</v>
      </c>
      <c r="C8730" s="528" t="s">
        <v>25429</v>
      </c>
      <c r="D8730" s="528" t="s">
        <v>277</v>
      </c>
      <c r="E8730" s="528"/>
      <c r="F8730" s="528"/>
      <c r="G8730" s="528" t="s">
        <v>208</v>
      </c>
    </row>
    <row r="8731" spans="1:7" x14ac:dyDescent="0.35">
      <c r="A8731" s="528" t="s">
        <v>25430</v>
      </c>
      <c r="B8731" s="528" t="s">
        <v>25431</v>
      </c>
      <c r="C8731" s="528" t="s">
        <v>25432</v>
      </c>
      <c r="D8731" s="528" t="s">
        <v>277</v>
      </c>
      <c r="E8731" s="528"/>
      <c r="F8731" s="528"/>
      <c r="G8731" s="528" t="s">
        <v>208</v>
      </c>
    </row>
    <row r="8732" spans="1:7" x14ac:dyDescent="0.35">
      <c r="A8732" s="528" t="s">
        <v>25433</v>
      </c>
      <c r="B8732" s="528" t="s">
        <v>25434</v>
      </c>
      <c r="C8732" s="528" t="s">
        <v>25435</v>
      </c>
      <c r="D8732" s="528" t="s">
        <v>238</v>
      </c>
      <c r="E8732" s="528"/>
      <c r="F8732" s="528"/>
      <c r="G8732" s="528" t="s">
        <v>208</v>
      </c>
    </row>
    <row r="8733" spans="1:7" x14ac:dyDescent="0.35">
      <c r="A8733" s="528" t="s">
        <v>25436</v>
      </c>
      <c r="B8733" s="528" t="s">
        <v>25437</v>
      </c>
      <c r="C8733" s="528" t="s">
        <v>25438</v>
      </c>
      <c r="D8733" s="528" t="s">
        <v>264</v>
      </c>
      <c r="E8733" s="528"/>
      <c r="F8733" s="528"/>
      <c r="G8733" s="528" t="s">
        <v>208</v>
      </c>
    </row>
    <row r="8734" spans="1:7" x14ac:dyDescent="0.35">
      <c r="A8734" s="528" t="s">
        <v>25439</v>
      </c>
      <c r="B8734" s="528" t="s">
        <v>25440</v>
      </c>
      <c r="C8734" s="528" t="s">
        <v>25441</v>
      </c>
      <c r="D8734" s="528" t="s">
        <v>264</v>
      </c>
      <c r="E8734" s="528" t="s">
        <v>277</v>
      </c>
      <c r="F8734" s="528"/>
      <c r="G8734" s="528" t="s">
        <v>208</v>
      </c>
    </row>
    <row r="8735" spans="1:7" x14ac:dyDescent="0.35">
      <c r="A8735" s="528" t="s">
        <v>25442</v>
      </c>
      <c r="B8735" s="528" t="s">
        <v>25443</v>
      </c>
      <c r="C8735" s="528" t="s">
        <v>25444</v>
      </c>
      <c r="D8735" s="528" t="s">
        <v>277</v>
      </c>
      <c r="E8735" s="528"/>
      <c r="F8735" s="528"/>
      <c r="G8735" s="528" t="s">
        <v>208</v>
      </c>
    </row>
    <row r="8736" spans="1:7" x14ac:dyDescent="0.35">
      <c r="A8736" s="528" t="s">
        <v>25445</v>
      </c>
      <c r="B8736" s="528" t="s">
        <v>25446</v>
      </c>
      <c r="C8736" s="528" t="s">
        <v>25447</v>
      </c>
      <c r="D8736" s="528" t="s">
        <v>277</v>
      </c>
      <c r="E8736" s="528"/>
      <c r="F8736" s="528"/>
      <c r="G8736" s="528" t="s">
        <v>208</v>
      </c>
    </row>
    <row r="8737" spans="1:7" x14ac:dyDescent="0.35">
      <c r="A8737" s="528" t="s">
        <v>25448</v>
      </c>
      <c r="B8737" s="528" t="s">
        <v>25449</v>
      </c>
      <c r="C8737" s="528" t="s">
        <v>25450</v>
      </c>
      <c r="D8737" s="528" t="s">
        <v>264</v>
      </c>
      <c r="E8737" s="528"/>
      <c r="F8737" s="528"/>
      <c r="G8737" s="528" t="s">
        <v>208</v>
      </c>
    </row>
    <row r="8738" spans="1:7" x14ac:dyDescent="0.35">
      <c r="A8738" s="528" t="s">
        <v>25451</v>
      </c>
      <c r="B8738" s="528" t="s">
        <v>25452</v>
      </c>
      <c r="C8738" s="528" t="s">
        <v>28364</v>
      </c>
      <c r="D8738" s="528" t="s">
        <v>225</v>
      </c>
      <c r="E8738" s="528"/>
      <c r="F8738" s="528"/>
      <c r="G8738" s="528" t="s">
        <v>208</v>
      </c>
    </row>
    <row r="8739" spans="1:7" x14ac:dyDescent="0.35">
      <c r="A8739" s="528" t="s">
        <v>25453</v>
      </c>
      <c r="B8739" s="528" t="s">
        <v>25454</v>
      </c>
      <c r="C8739" s="528" t="s">
        <v>28365</v>
      </c>
      <c r="D8739" s="528" t="s">
        <v>264</v>
      </c>
      <c r="E8739" s="528"/>
      <c r="F8739" s="528"/>
      <c r="G8739" s="528" t="s">
        <v>208</v>
      </c>
    </row>
    <row r="8740" spans="1:7" x14ac:dyDescent="0.35">
      <c r="A8740" s="528" t="s">
        <v>25455</v>
      </c>
      <c r="B8740" s="528" t="s">
        <v>25456</v>
      </c>
      <c r="C8740" s="528" t="s">
        <v>25457</v>
      </c>
      <c r="D8740" s="528" t="s">
        <v>225</v>
      </c>
      <c r="E8740" s="528"/>
      <c r="F8740" s="528"/>
      <c r="G8740" s="528" t="s">
        <v>205</v>
      </c>
    </row>
    <row r="8741" spans="1:7" x14ac:dyDescent="0.35">
      <c r="A8741" s="528" t="s">
        <v>25458</v>
      </c>
      <c r="B8741" s="528" t="s">
        <v>25459</v>
      </c>
      <c r="C8741" s="528" t="s">
        <v>25460</v>
      </c>
      <c r="D8741" s="528" t="s">
        <v>225</v>
      </c>
      <c r="E8741" s="528"/>
      <c r="F8741" s="528"/>
      <c r="G8741" s="528" t="s">
        <v>205</v>
      </c>
    </row>
    <row r="8742" spans="1:7" x14ac:dyDescent="0.35">
      <c r="A8742" s="528" t="s">
        <v>25461</v>
      </c>
      <c r="B8742" s="528" t="s">
        <v>25462</v>
      </c>
      <c r="C8742" s="528" t="s">
        <v>25463</v>
      </c>
      <c r="D8742" s="528" t="s">
        <v>225</v>
      </c>
      <c r="E8742" s="528"/>
      <c r="F8742" s="528"/>
      <c r="G8742" s="528" t="s">
        <v>205</v>
      </c>
    </row>
    <row r="8743" spans="1:7" x14ac:dyDescent="0.35">
      <c r="A8743" s="528" t="s">
        <v>25464</v>
      </c>
      <c r="B8743" s="528" t="s">
        <v>25465</v>
      </c>
      <c r="C8743" s="528" t="s">
        <v>25466</v>
      </c>
      <c r="D8743" s="528" t="s">
        <v>225</v>
      </c>
      <c r="E8743" s="528"/>
      <c r="F8743" s="528"/>
      <c r="G8743" s="528" t="s">
        <v>205</v>
      </c>
    </row>
    <row r="8744" spans="1:7" x14ac:dyDescent="0.35">
      <c r="A8744" s="528" t="s">
        <v>25467</v>
      </c>
      <c r="B8744" s="528" t="s">
        <v>25468</v>
      </c>
      <c r="C8744" s="528" t="s">
        <v>25469</v>
      </c>
      <c r="D8744" s="528" t="s">
        <v>225</v>
      </c>
      <c r="E8744" s="528"/>
      <c r="F8744" s="528"/>
      <c r="G8744" s="528" t="s">
        <v>205</v>
      </c>
    </row>
    <row r="8745" spans="1:7" x14ac:dyDescent="0.35">
      <c r="A8745" s="528" t="s">
        <v>25470</v>
      </c>
      <c r="B8745" s="528" t="s">
        <v>25471</v>
      </c>
      <c r="C8745" s="528" t="s">
        <v>25472</v>
      </c>
      <c r="D8745" s="528" t="s">
        <v>225</v>
      </c>
      <c r="E8745" s="528"/>
      <c r="F8745" s="528"/>
      <c r="G8745" s="528" t="s">
        <v>205</v>
      </c>
    </row>
    <row r="8746" spans="1:7" x14ac:dyDescent="0.35">
      <c r="A8746" s="528" t="s">
        <v>25473</v>
      </c>
      <c r="B8746" s="528" t="s">
        <v>25474</v>
      </c>
      <c r="C8746" s="528" t="s">
        <v>25475</v>
      </c>
      <c r="D8746" s="528" t="s">
        <v>264</v>
      </c>
      <c r="E8746" s="528"/>
      <c r="F8746" s="528"/>
      <c r="G8746" s="528" t="s">
        <v>205</v>
      </c>
    </row>
    <row r="8747" spans="1:7" x14ac:dyDescent="0.35">
      <c r="A8747" s="528" t="s">
        <v>25476</v>
      </c>
      <c r="B8747" s="528" t="s">
        <v>25477</v>
      </c>
      <c r="C8747" s="528" t="s">
        <v>25478</v>
      </c>
      <c r="D8747" s="528" t="s">
        <v>264</v>
      </c>
      <c r="E8747" s="528"/>
      <c r="F8747" s="528"/>
      <c r="G8747" s="528" t="s">
        <v>208</v>
      </c>
    </row>
    <row r="8748" spans="1:7" x14ac:dyDescent="0.35">
      <c r="A8748" s="528" t="s">
        <v>25479</v>
      </c>
      <c r="B8748" s="528" t="s">
        <v>25480</v>
      </c>
      <c r="C8748" s="528" t="s">
        <v>28366</v>
      </c>
      <c r="D8748" s="528" t="s">
        <v>264</v>
      </c>
      <c r="E8748" s="528"/>
      <c r="F8748" s="528"/>
      <c r="G8748" s="528" t="s">
        <v>210</v>
      </c>
    </row>
    <row r="8749" spans="1:7" x14ac:dyDescent="0.35">
      <c r="A8749" s="528" t="s">
        <v>25481</v>
      </c>
      <c r="B8749" s="528" t="s">
        <v>25482</v>
      </c>
      <c r="C8749" s="528" t="s">
        <v>25483</v>
      </c>
      <c r="D8749" s="528" t="s">
        <v>264</v>
      </c>
      <c r="E8749" s="528"/>
      <c r="F8749" s="528"/>
      <c r="G8749" s="528" t="s">
        <v>205</v>
      </c>
    </row>
    <row r="8750" spans="1:7" x14ac:dyDescent="0.35">
      <c r="A8750" s="528" t="s">
        <v>25484</v>
      </c>
      <c r="B8750" s="528" t="s">
        <v>25485</v>
      </c>
      <c r="C8750" s="528" t="s">
        <v>25486</v>
      </c>
      <c r="D8750" s="528" t="s">
        <v>251</v>
      </c>
      <c r="E8750" s="528"/>
      <c r="F8750" s="528"/>
      <c r="G8750" s="528" t="s">
        <v>208</v>
      </c>
    </row>
    <row r="8751" spans="1:7" x14ac:dyDescent="0.35">
      <c r="A8751" s="528" t="s">
        <v>25487</v>
      </c>
      <c r="B8751" s="528" t="s">
        <v>25488</v>
      </c>
      <c r="C8751" s="528" t="s">
        <v>25489</v>
      </c>
      <c r="D8751" s="528" t="s">
        <v>277</v>
      </c>
      <c r="E8751" s="528"/>
      <c r="F8751" s="528"/>
      <c r="G8751" s="528" t="s">
        <v>208</v>
      </c>
    </row>
    <row r="8752" spans="1:7" x14ac:dyDescent="0.35">
      <c r="A8752" s="528" t="s">
        <v>25490</v>
      </c>
      <c r="B8752" s="528" t="s">
        <v>25491</v>
      </c>
      <c r="C8752" s="528" t="s">
        <v>25492</v>
      </c>
      <c r="D8752" s="528" t="s">
        <v>277</v>
      </c>
      <c r="E8752" s="528"/>
      <c r="F8752" s="528"/>
      <c r="G8752" s="528" t="s">
        <v>208</v>
      </c>
    </row>
    <row r="8753" spans="1:7" x14ac:dyDescent="0.35">
      <c r="A8753" s="528" t="s">
        <v>25493</v>
      </c>
      <c r="B8753" s="528" t="s">
        <v>25494</v>
      </c>
      <c r="C8753" s="528" t="s">
        <v>25495</v>
      </c>
      <c r="D8753" s="528" t="s">
        <v>277</v>
      </c>
      <c r="E8753" s="528"/>
      <c r="F8753" s="528"/>
      <c r="G8753" s="528" t="s">
        <v>208</v>
      </c>
    </row>
    <row r="8754" spans="1:7" x14ac:dyDescent="0.35">
      <c r="A8754" s="528" t="s">
        <v>25496</v>
      </c>
      <c r="B8754" s="528" t="s">
        <v>25497</v>
      </c>
      <c r="C8754" s="528" t="s">
        <v>25498</v>
      </c>
      <c r="D8754" s="528" t="s">
        <v>225</v>
      </c>
      <c r="E8754" s="528"/>
      <c r="F8754" s="528"/>
      <c r="G8754" s="528" t="s">
        <v>208</v>
      </c>
    </row>
    <row r="8755" spans="1:7" x14ac:dyDescent="0.35">
      <c r="A8755" s="528" t="s">
        <v>25499</v>
      </c>
      <c r="B8755" s="528" t="s">
        <v>25500</v>
      </c>
      <c r="C8755" s="528" t="s">
        <v>25501</v>
      </c>
      <c r="D8755" s="528" t="s">
        <v>264</v>
      </c>
      <c r="E8755" s="528"/>
      <c r="F8755" s="528"/>
      <c r="G8755" s="528" t="s">
        <v>208</v>
      </c>
    </row>
    <row r="8756" spans="1:7" x14ac:dyDescent="0.35">
      <c r="A8756" s="528" t="s">
        <v>25502</v>
      </c>
      <c r="B8756" s="528" t="s">
        <v>25503</v>
      </c>
      <c r="C8756" s="528" t="s">
        <v>25504</v>
      </c>
      <c r="D8756" s="528" t="s">
        <v>264</v>
      </c>
      <c r="E8756" s="528"/>
      <c r="F8756" s="528"/>
      <c r="G8756" s="528" t="s">
        <v>208</v>
      </c>
    </row>
    <row r="8757" spans="1:7" x14ac:dyDescent="0.35">
      <c r="A8757" s="528" t="s">
        <v>25505</v>
      </c>
      <c r="B8757" s="528" t="s">
        <v>25506</v>
      </c>
      <c r="C8757" s="528" t="s">
        <v>25507</v>
      </c>
      <c r="D8757" s="528" t="s">
        <v>264</v>
      </c>
      <c r="E8757" s="528"/>
      <c r="F8757" s="528"/>
      <c r="G8757" s="528" t="s">
        <v>208</v>
      </c>
    </row>
    <row r="8758" spans="1:7" x14ac:dyDescent="0.35">
      <c r="A8758" s="528" t="s">
        <v>25508</v>
      </c>
      <c r="B8758" s="528" t="s">
        <v>25509</v>
      </c>
      <c r="C8758" s="528" t="s">
        <v>27988</v>
      </c>
      <c r="D8758" s="528" t="s">
        <v>225</v>
      </c>
      <c r="E8758" s="528"/>
      <c r="F8758" s="528"/>
      <c r="G8758" s="528" t="s">
        <v>208</v>
      </c>
    </row>
    <row r="8759" spans="1:7" x14ac:dyDescent="0.35">
      <c r="A8759" s="528" t="s">
        <v>25510</v>
      </c>
      <c r="B8759" s="528" t="s">
        <v>25511</v>
      </c>
      <c r="C8759" s="528" t="s">
        <v>25512</v>
      </c>
      <c r="D8759" s="528" t="s">
        <v>277</v>
      </c>
      <c r="E8759" s="528"/>
      <c r="F8759" s="528"/>
      <c r="G8759" s="528" t="s">
        <v>214</v>
      </c>
    </row>
    <row r="8760" spans="1:7" x14ac:dyDescent="0.35">
      <c r="A8760" s="528" t="s">
        <v>25513</v>
      </c>
      <c r="B8760" s="528" t="s">
        <v>25514</v>
      </c>
      <c r="C8760" s="528" t="s">
        <v>25515</v>
      </c>
      <c r="D8760" s="528" t="s">
        <v>277</v>
      </c>
      <c r="E8760" s="528"/>
      <c r="F8760" s="528"/>
      <c r="G8760" s="528" t="s">
        <v>205</v>
      </c>
    </row>
    <row r="8761" spans="1:7" x14ac:dyDescent="0.35">
      <c r="A8761" s="528" t="s">
        <v>25516</v>
      </c>
      <c r="B8761" s="528" t="s">
        <v>25517</v>
      </c>
      <c r="C8761" s="528" t="s">
        <v>25518</v>
      </c>
      <c r="D8761" s="528" t="s">
        <v>277</v>
      </c>
      <c r="E8761" s="528"/>
      <c r="F8761" s="528"/>
      <c r="G8761" s="528" t="s">
        <v>208</v>
      </c>
    </row>
    <row r="8762" spans="1:7" x14ac:dyDescent="0.35">
      <c r="A8762" s="528" t="s">
        <v>25519</v>
      </c>
      <c r="B8762" s="528" t="s">
        <v>25520</v>
      </c>
      <c r="C8762" s="528" t="s">
        <v>25521</v>
      </c>
      <c r="D8762" s="528" t="s">
        <v>238</v>
      </c>
      <c r="E8762" s="528"/>
      <c r="F8762" s="528"/>
      <c r="G8762" s="528" t="s">
        <v>208</v>
      </c>
    </row>
    <row r="8763" spans="1:7" x14ac:dyDescent="0.35">
      <c r="A8763" s="528" t="s">
        <v>25522</v>
      </c>
      <c r="B8763" s="528" t="s">
        <v>25523</v>
      </c>
      <c r="C8763" s="528" t="s">
        <v>25524</v>
      </c>
      <c r="D8763" s="528" t="s">
        <v>238</v>
      </c>
      <c r="E8763" s="528"/>
      <c r="F8763" s="528"/>
      <c r="G8763" s="528" t="s">
        <v>208</v>
      </c>
    </row>
    <row r="8764" spans="1:7" x14ac:dyDescent="0.35">
      <c r="A8764" s="528" t="s">
        <v>25525</v>
      </c>
      <c r="B8764" s="528" t="s">
        <v>25526</v>
      </c>
      <c r="C8764" s="528" t="s">
        <v>25527</v>
      </c>
      <c r="D8764" s="528" t="s">
        <v>238</v>
      </c>
      <c r="E8764" s="528"/>
      <c r="F8764" s="528"/>
      <c r="G8764" s="528" t="s">
        <v>208</v>
      </c>
    </row>
    <row r="8765" spans="1:7" x14ac:dyDescent="0.35">
      <c r="A8765" s="528" t="s">
        <v>25528</v>
      </c>
      <c r="B8765" s="528" t="s">
        <v>25529</v>
      </c>
      <c r="C8765" s="528" t="s">
        <v>25530</v>
      </c>
      <c r="D8765" s="528" t="s">
        <v>277</v>
      </c>
      <c r="E8765" s="528"/>
      <c r="F8765" s="528"/>
      <c r="G8765" s="528" t="s">
        <v>205</v>
      </c>
    </row>
    <row r="8766" spans="1:7" x14ac:dyDescent="0.35">
      <c r="A8766" s="528" t="s">
        <v>25531</v>
      </c>
      <c r="B8766" s="528" t="s">
        <v>25532</v>
      </c>
      <c r="C8766" s="528" t="s">
        <v>25533</v>
      </c>
      <c r="D8766" s="528" t="s">
        <v>238</v>
      </c>
      <c r="E8766" s="528"/>
      <c r="F8766" s="528"/>
      <c r="G8766" s="528" t="s">
        <v>205</v>
      </c>
    </row>
    <row r="8767" spans="1:7" x14ac:dyDescent="0.35">
      <c r="A8767" s="528" t="s">
        <v>25534</v>
      </c>
      <c r="B8767" s="528" t="s">
        <v>25535</v>
      </c>
      <c r="C8767" s="528" t="s">
        <v>25536</v>
      </c>
      <c r="D8767" s="528" t="s">
        <v>251</v>
      </c>
      <c r="E8767" s="528"/>
      <c r="F8767" s="528"/>
      <c r="G8767" s="528" t="s">
        <v>205</v>
      </c>
    </row>
    <row r="8768" spans="1:7" x14ac:dyDescent="0.35">
      <c r="A8768" s="528" t="s">
        <v>25537</v>
      </c>
      <c r="B8768" s="528" t="s">
        <v>25538</v>
      </c>
      <c r="C8768" s="528" t="s">
        <v>25539</v>
      </c>
      <c r="D8768" s="528" t="s">
        <v>225</v>
      </c>
      <c r="E8768" s="528"/>
      <c r="F8768" s="528"/>
      <c r="G8768" s="528" t="s">
        <v>208</v>
      </c>
    </row>
    <row r="8769" spans="1:7" x14ac:dyDescent="0.35">
      <c r="A8769" s="528" t="s">
        <v>25540</v>
      </c>
      <c r="B8769" s="528" t="s">
        <v>25541</v>
      </c>
      <c r="C8769" s="528" t="s">
        <v>25542</v>
      </c>
      <c r="D8769" s="528" t="s">
        <v>225</v>
      </c>
      <c r="E8769" s="528"/>
      <c r="F8769" s="528"/>
      <c r="G8769" s="528" t="s">
        <v>208</v>
      </c>
    </row>
    <row r="8770" spans="1:7" x14ac:dyDescent="0.35">
      <c r="A8770" s="528" t="s">
        <v>25543</v>
      </c>
      <c r="B8770" s="528" t="s">
        <v>25544</v>
      </c>
      <c r="C8770" s="528" t="s">
        <v>25545</v>
      </c>
      <c r="D8770" s="528" t="s">
        <v>225</v>
      </c>
      <c r="E8770" s="528"/>
      <c r="F8770" s="528"/>
      <c r="G8770" s="528" t="s">
        <v>208</v>
      </c>
    </row>
    <row r="8771" spans="1:7" x14ac:dyDescent="0.35">
      <c r="A8771" s="528" t="s">
        <v>25546</v>
      </c>
      <c r="B8771" s="528" t="s">
        <v>25547</v>
      </c>
      <c r="C8771" s="528" t="s">
        <v>25548</v>
      </c>
      <c r="D8771" s="528" t="s">
        <v>238</v>
      </c>
      <c r="E8771" s="528"/>
      <c r="F8771" s="528"/>
      <c r="G8771" s="528" t="s">
        <v>205</v>
      </c>
    </row>
    <row r="8772" spans="1:7" x14ac:dyDescent="0.35">
      <c r="A8772" s="528" t="s">
        <v>25549</v>
      </c>
      <c r="B8772" s="528" t="s">
        <v>25550</v>
      </c>
      <c r="C8772" s="528" t="s">
        <v>20156</v>
      </c>
      <c r="D8772" s="528" t="s">
        <v>238</v>
      </c>
      <c r="E8772" s="528"/>
      <c r="F8772" s="528"/>
      <c r="G8772" s="528" t="s">
        <v>208</v>
      </c>
    </row>
    <row r="8773" spans="1:7" x14ac:dyDescent="0.35">
      <c r="A8773" s="528" t="s">
        <v>25551</v>
      </c>
      <c r="B8773" s="528" t="s">
        <v>25552</v>
      </c>
      <c r="C8773" s="528" t="s">
        <v>25553</v>
      </c>
      <c r="D8773" s="528" t="s">
        <v>251</v>
      </c>
      <c r="E8773" s="528"/>
      <c r="F8773" s="528"/>
      <c r="G8773" s="528" t="s">
        <v>205</v>
      </c>
    </row>
    <row r="8774" spans="1:7" x14ac:dyDescent="0.35">
      <c r="A8774" s="528" t="s">
        <v>25554</v>
      </c>
      <c r="B8774" s="528" t="s">
        <v>25555</v>
      </c>
      <c r="C8774" s="528" t="s">
        <v>20269</v>
      </c>
      <c r="D8774" s="528" t="s">
        <v>251</v>
      </c>
      <c r="E8774" s="528"/>
      <c r="F8774" s="528"/>
      <c r="G8774" s="528" t="s">
        <v>208</v>
      </c>
    </row>
    <row r="8775" spans="1:7" x14ac:dyDescent="0.35">
      <c r="A8775" s="528" t="s">
        <v>25556</v>
      </c>
      <c r="B8775" s="528" t="s">
        <v>25557</v>
      </c>
      <c r="C8775" s="528" t="s">
        <v>25558</v>
      </c>
      <c r="D8775" s="528" t="s">
        <v>277</v>
      </c>
      <c r="E8775" s="528"/>
      <c r="F8775" s="528"/>
      <c r="G8775" s="528" t="s">
        <v>205</v>
      </c>
    </row>
    <row r="8776" spans="1:7" x14ac:dyDescent="0.35">
      <c r="A8776" s="528" t="s">
        <v>25559</v>
      </c>
      <c r="B8776" s="528" t="s">
        <v>25560</v>
      </c>
      <c r="C8776" s="528" t="s">
        <v>25561</v>
      </c>
      <c r="D8776" s="528" t="s">
        <v>277</v>
      </c>
      <c r="E8776" s="528"/>
      <c r="F8776" s="528"/>
      <c r="G8776" s="528" t="s">
        <v>208</v>
      </c>
    </row>
    <row r="8777" spans="1:7" x14ac:dyDescent="0.35">
      <c r="A8777" s="528" t="s">
        <v>25562</v>
      </c>
      <c r="B8777" s="528" t="s">
        <v>25563</v>
      </c>
      <c r="C8777" s="528" t="s">
        <v>25564</v>
      </c>
      <c r="D8777" s="528" t="s">
        <v>264</v>
      </c>
      <c r="E8777" s="528"/>
      <c r="F8777" s="528"/>
      <c r="G8777" s="528" t="s">
        <v>205</v>
      </c>
    </row>
    <row r="8778" spans="1:7" x14ac:dyDescent="0.35">
      <c r="A8778" s="528" t="s">
        <v>25565</v>
      </c>
      <c r="B8778" s="528" t="s">
        <v>25566</v>
      </c>
      <c r="C8778" s="528" t="s">
        <v>25567</v>
      </c>
      <c r="D8778" s="528" t="s">
        <v>264</v>
      </c>
      <c r="E8778" s="528"/>
      <c r="F8778" s="528"/>
      <c r="G8778" s="528" t="s">
        <v>208</v>
      </c>
    </row>
    <row r="8779" spans="1:7" x14ac:dyDescent="0.35">
      <c r="A8779" s="528" t="s">
        <v>25568</v>
      </c>
      <c r="B8779" s="528" t="s">
        <v>25569</v>
      </c>
      <c r="C8779" s="528" t="s">
        <v>25570</v>
      </c>
      <c r="D8779" s="528" t="s">
        <v>238</v>
      </c>
      <c r="E8779" s="528"/>
      <c r="F8779" s="528"/>
      <c r="G8779" s="528" t="s">
        <v>205</v>
      </c>
    </row>
    <row r="8780" spans="1:7" x14ac:dyDescent="0.35">
      <c r="A8780" s="528" t="s">
        <v>25571</v>
      </c>
      <c r="B8780" s="528" t="s">
        <v>25572</v>
      </c>
      <c r="C8780" s="528" t="s">
        <v>25573</v>
      </c>
      <c r="D8780" s="528" t="s">
        <v>238</v>
      </c>
      <c r="E8780" s="528"/>
      <c r="F8780" s="528"/>
      <c r="G8780" s="528" t="s">
        <v>208</v>
      </c>
    </row>
    <row r="8781" spans="1:7" x14ac:dyDescent="0.35">
      <c r="A8781" s="528" t="s">
        <v>25574</v>
      </c>
      <c r="B8781" s="528" t="s">
        <v>25575</v>
      </c>
      <c r="C8781" s="528" t="s">
        <v>25576</v>
      </c>
      <c r="D8781" s="528" t="s">
        <v>277</v>
      </c>
      <c r="E8781" s="528" t="s">
        <v>264</v>
      </c>
      <c r="F8781" s="528"/>
      <c r="G8781" s="528" t="s">
        <v>214</v>
      </c>
    </row>
    <row r="8782" spans="1:7" x14ac:dyDescent="0.35">
      <c r="A8782" s="528" t="s">
        <v>25577</v>
      </c>
      <c r="B8782" s="528" t="s">
        <v>25578</v>
      </c>
      <c r="C8782" s="528" t="s">
        <v>25579</v>
      </c>
      <c r="D8782" s="528" t="s">
        <v>251</v>
      </c>
      <c r="E8782" s="528"/>
      <c r="F8782" s="528"/>
      <c r="G8782" s="528" t="s">
        <v>205</v>
      </c>
    </row>
    <row r="8783" spans="1:7" x14ac:dyDescent="0.35">
      <c r="A8783" s="528" t="s">
        <v>25580</v>
      </c>
      <c r="B8783" s="528" t="s">
        <v>25581</v>
      </c>
      <c r="C8783" s="528" t="s">
        <v>25582</v>
      </c>
      <c r="D8783" s="528" t="s">
        <v>251</v>
      </c>
      <c r="E8783" s="528"/>
      <c r="F8783" s="528"/>
      <c r="G8783" s="528" t="s">
        <v>205</v>
      </c>
    </row>
    <row r="8784" spans="1:7" x14ac:dyDescent="0.35">
      <c r="A8784" s="528" t="s">
        <v>25583</v>
      </c>
      <c r="B8784" s="528" t="s">
        <v>25584</v>
      </c>
      <c r="C8784" s="528" t="s">
        <v>25585</v>
      </c>
      <c r="D8784" s="528" t="s">
        <v>251</v>
      </c>
      <c r="E8784" s="528"/>
      <c r="F8784" s="528"/>
      <c r="G8784" s="528" t="s">
        <v>205</v>
      </c>
    </row>
    <row r="8785" spans="1:7" x14ac:dyDescent="0.35">
      <c r="A8785" s="528" t="s">
        <v>25586</v>
      </c>
      <c r="B8785" s="528" t="s">
        <v>25587</v>
      </c>
      <c r="C8785" s="528" t="s">
        <v>25588</v>
      </c>
      <c r="D8785" s="528" t="s">
        <v>277</v>
      </c>
      <c r="E8785" s="528"/>
      <c r="F8785" s="528"/>
      <c r="G8785" s="528" t="s">
        <v>214</v>
      </c>
    </row>
    <row r="8786" spans="1:7" x14ac:dyDescent="0.35">
      <c r="A8786" s="528" t="s">
        <v>25589</v>
      </c>
      <c r="B8786" s="528" t="s">
        <v>25590</v>
      </c>
      <c r="C8786" s="528" t="s">
        <v>25591</v>
      </c>
      <c r="D8786" s="528" t="s">
        <v>264</v>
      </c>
      <c r="E8786" s="528"/>
      <c r="F8786" s="528"/>
      <c r="G8786" s="528" t="s">
        <v>208</v>
      </c>
    </row>
    <row r="8787" spans="1:7" x14ac:dyDescent="0.35">
      <c r="A8787" s="528" t="s">
        <v>25592</v>
      </c>
      <c r="B8787" s="528" t="s">
        <v>25593</v>
      </c>
      <c r="C8787" s="528" t="s">
        <v>25594</v>
      </c>
      <c r="D8787" s="528" t="s">
        <v>277</v>
      </c>
      <c r="E8787" s="528"/>
      <c r="F8787" s="528"/>
      <c r="G8787" s="528" t="s">
        <v>208</v>
      </c>
    </row>
    <row r="8788" spans="1:7" x14ac:dyDescent="0.35">
      <c r="A8788" s="528" t="s">
        <v>25595</v>
      </c>
      <c r="B8788" s="528" t="s">
        <v>25596</v>
      </c>
      <c r="C8788" s="528" t="s">
        <v>25597</v>
      </c>
      <c r="D8788" s="528" t="s">
        <v>225</v>
      </c>
      <c r="E8788" s="528"/>
      <c r="F8788" s="528"/>
      <c r="G8788" s="528" t="s">
        <v>208</v>
      </c>
    </row>
    <row r="8789" spans="1:7" x14ac:dyDescent="0.35">
      <c r="A8789" s="528" t="s">
        <v>25598</v>
      </c>
      <c r="B8789" s="528" t="s">
        <v>25599</v>
      </c>
      <c r="C8789" s="528" t="s">
        <v>25600</v>
      </c>
      <c r="D8789" s="528" t="s">
        <v>264</v>
      </c>
      <c r="E8789" s="528" t="s">
        <v>225</v>
      </c>
      <c r="F8789" s="528"/>
      <c r="G8789" s="528" t="s">
        <v>205</v>
      </c>
    </row>
    <row r="8790" spans="1:7" x14ac:dyDescent="0.35">
      <c r="A8790" s="528" t="s">
        <v>25601</v>
      </c>
      <c r="B8790" s="528" t="s">
        <v>25602</v>
      </c>
      <c r="C8790" s="528" t="s">
        <v>25603</v>
      </c>
      <c r="D8790" s="528" t="s">
        <v>264</v>
      </c>
      <c r="E8790" s="528" t="s">
        <v>225</v>
      </c>
      <c r="F8790" s="528"/>
      <c r="G8790" s="528" t="s">
        <v>208</v>
      </c>
    </row>
    <row r="8791" spans="1:7" x14ac:dyDescent="0.35">
      <c r="A8791" s="528" t="s">
        <v>25604</v>
      </c>
      <c r="B8791" s="528" t="s">
        <v>25605</v>
      </c>
      <c r="C8791" s="528" t="s">
        <v>25606</v>
      </c>
      <c r="D8791" s="528" t="s">
        <v>264</v>
      </c>
      <c r="E8791" s="528" t="s">
        <v>225</v>
      </c>
      <c r="F8791" s="528"/>
      <c r="G8791" s="528" t="s">
        <v>208</v>
      </c>
    </row>
    <row r="8792" spans="1:7" x14ac:dyDescent="0.35">
      <c r="A8792" s="528" t="s">
        <v>25607</v>
      </c>
      <c r="B8792" s="528" t="s">
        <v>25608</v>
      </c>
      <c r="C8792" s="528" t="s">
        <v>25609</v>
      </c>
      <c r="D8792" s="528" t="s">
        <v>225</v>
      </c>
      <c r="E8792" s="528"/>
      <c r="F8792" s="528"/>
      <c r="G8792" s="528" t="s">
        <v>205</v>
      </c>
    </row>
    <row r="8793" spans="1:7" x14ac:dyDescent="0.35">
      <c r="A8793" s="528" t="s">
        <v>25610</v>
      </c>
      <c r="B8793" s="528" t="s">
        <v>25611</v>
      </c>
      <c r="C8793" s="528" t="s">
        <v>25612</v>
      </c>
      <c r="D8793" s="528" t="s">
        <v>225</v>
      </c>
      <c r="E8793" s="528"/>
      <c r="F8793" s="528"/>
      <c r="G8793" s="528" t="s">
        <v>208</v>
      </c>
    </row>
    <row r="8794" spans="1:7" x14ac:dyDescent="0.35">
      <c r="A8794" s="528" t="s">
        <v>25613</v>
      </c>
      <c r="B8794" s="528" t="s">
        <v>25614</v>
      </c>
      <c r="C8794" s="528" t="s">
        <v>25615</v>
      </c>
      <c r="D8794" s="528" t="s">
        <v>264</v>
      </c>
      <c r="E8794" s="528"/>
      <c r="F8794" s="528"/>
      <c r="G8794" s="528" t="s">
        <v>208</v>
      </c>
    </row>
    <row r="8795" spans="1:7" x14ac:dyDescent="0.35">
      <c r="A8795" s="528" t="s">
        <v>25616</v>
      </c>
      <c r="B8795" s="528" t="s">
        <v>25617</v>
      </c>
      <c r="C8795" s="528" t="s">
        <v>25618</v>
      </c>
      <c r="D8795" s="528" t="s">
        <v>264</v>
      </c>
      <c r="E8795" s="528"/>
      <c r="F8795" s="528"/>
      <c r="G8795" s="528" t="s">
        <v>208</v>
      </c>
    </row>
    <row r="8796" spans="1:7" x14ac:dyDescent="0.35">
      <c r="A8796" s="528" t="s">
        <v>25619</v>
      </c>
      <c r="B8796" s="528" t="s">
        <v>25620</v>
      </c>
      <c r="C8796" s="528" t="s">
        <v>25621</v>
      </c>
      <c r="D8796" s="528" t="s">
        <v>251</v>
      </c>
      <c r="E8796" s="528"/>
      <c r="F8796" s="528"/>
      <c r="G8796" s="528" t="s">
        <v>208</v>
      </c>
    </row>
    <row r="8797" spans="1:7" x14ac:dyDescent="0.35">
      <c r="A8797" s="528" t="s">
        <v>25622</v>
      </c>
      <c r="B8797" s="528" t="s">
        <v>25623</v>
      </c>
      <c r="C8797" s="528" t="s">
        <v>25624</v>
      </c>
      <c r="D8797" s="528" t="s">
        <v>238</v>
      </c>
      <c r="E8797" s="528"/>
      <c r="F8797" s="528"/>
      <c r="G8797" s="528" t="s">
        <v>208</v>
      </c>
    </row>
    <row r="8798" spans="1:7" x14ac:dyDescent="0.35">
      <c r="A8798" s="528" t="s">
        <v>25625</v>
      </c>
      <c r="B8798" s="528" t="s">
        <v>25626</v>
      </c>
      <c r="C8798" s="528" t="s">
        <v>25627</v>
      </c>
      <c r="D8798" s="528" t="s">
        <v>251</v>
      </c>
      <c r="E8798" s="528"/>
      <c r="F8798" s="528"/>
      <c r="G8798" s="528" t="s">
        <v>208</v>
      </c>
    </row>
    <row r="8799" spans="1:7" x14ac:dyDescent="0.35">
      <c r="A8799" s="528" t="s">
        <v>25628</v>
      </c>
      <c r="B8799" s="528" t="s">
        <v>25629</v>
      </c>
      <c r="C8799" s="528" t="s">
        <v>25630</v>
      </c>
      <c r="D8799" s="528" t="s">
        <v>251</v>
      </c>
      <c r="E8799" s="528"/>
      <c r="F8799" s="528"/>
      <c r="G8799" s="528" t="s">
        <v>208</v>
      </c>
    </row>
    <row r="8800" spans="1:7" x14ac:dyDescent="0.35">
      <c r="A8800" s="528" t="s">
        <v>25631</v>
      </c>
      <c r="B8800" s="528" t="s">
        <v>25632</v>
      </c>
      <c r="C8800" s="528" t="s">
        <v>25633</v>
      </c>
      <c r="D8800" s="528" t="s">
        <v>264</v>
      </c>
      <c r="E8800" s="528"/>
      <c r="F8800" s="528"/>
      <c r="G8800" s="528" t="s">
        <v>205</v>
      </c>
    </row>
    <row r="8801" spans="1:7" x14ac:dyDescent="0.35">
      <c r="A8801" s="528" t="s">
        <v>25634</v>
      </c>
      <c r="B8801" s="528" t="s">
        <v>25635</v>
      </c>
      <c r="C8801" s="528" t="s">
        <v>25636</v>
      </c>
      <c r="D8801" s="528" t="s">
        <v>264</v>
      </c>
      <c r="E8801" s="528"/>
      <c r="F8801" s="528"/>
      <c r="G8801" s="528" t="s">
        <v>208</v>
      </c>
    </row>
    <row r="8802" spans="1:7" x14ac:dyDescent="0.35">
      <c r="A8802" s="528" t="s">
        <v>25637</v>
      </c>
      <c r="B8802" s="528" t="s">
        <v>25638</v>
      </c>
      <c r="C8802" s="528" t="s">
        <v>25639</v>
      </c>
      <c r="D8802" s="528" t="s">
        <v>264</v>
      </c>
      <c r="E8802" s="528"/>
      <c r="F8802" s="528"/>
      <c r="G8802" s="528" t="s">
        <v>214</v>
      </c>
    </row>
    <row r="8803" spans="1:7" x14ac:dyDescent="0.35">
      <c r="A8803" s="528" t="s">
        <v>25640</v>
      </c>
      <c r="B8803" s="528" t="s">
        <v>25641</v>
      </c>
      <c r="C8803" s="528" t="s">
        <v>25642</v>
      </c>
      <c r="D8803" s="528" t="s">
        <v>264</v>
      </c>
      <c r="E8803" s="528"/>
      <c r="F8803" s="528"/>
      <c r="G8803" s="528" t="s">
        <v>212</v>
      </c>
    </row>
    <row r="8804" spans="1:7" x14ac:dyDescent="0.35">
      <c r="A8804" s="528" t="s">
        <v>25643</v>
      </c>
      <c r="B8804" s="528" t="s">
        <v>25644</v>
      </c>
      <c r="C8804" s="528" t="s">
        <v>25645</v>
      </c>
      <c r="D8804" s="528" t="s">
        <v>264</v>
      </c>
      <c r="E8804" s="528"/>
      <c r="F8804" s="528"/>
      <c r="G8804" s="528" t="s">
        <v>212</v>
      </c>
    </row>
    <row r="8805" spans="1:7" x14ac:dyDescent="0.35">
      <c r="A8805" s="528" t="s">
        <v>25646</v>
      </c>
      <c r="B8805" s="528" t="s">
        <v>25647</v>
      </c>
      <c r="C8805" s="528" t="s">
        <v>25648</v>
      </c>
      <c r="D8805" s="528" t="s">
        <v>264</v>
      </c>
      <c r="E8805" s="528"/>
      <c r="F8805" s="528"/>
      <c r="G8805" s="528" t="s">
        <v>208</v>
      </c>
    </row>
    <row r="8806" spans="1:7" x14ac:dyDescent="0.35">
      <c r="A8806" s="528" t="s">
        <v>25649</v>
      </c>
      <c r="B8806" s="528" t="s">
        <v>25650</v>
      </c>
      <c r="C8806" s="528" t="s">
        <v>25651</v>
      </c>
      <c r="D8806" s="528" t="s">
        <v>238</v>
      </c>
      <c r="E8806" s="528"/>
      <c r="F8806" s="528"/>
      <c r="G8806" s="528" t="s">
        <v>212</v>
      </c>
    </row>
    <row r="8807" spans="1:7" x14ac:dyDescent="0.35">
      <c r="A8807" s="528" t="s">
        <v>25652</v>
      </c>
      <c r="B8807" s="528" t="s">
        <v>25653</v>
      </c>
      <c r="C8807" s="528" t="s">
        <v>25654</v>
      </c>
      <c r="D8807" s="528" t="s">
        <v>277</v>
      </c>
      <c r="E8807" s="528"/>
      <c r="F8807" s="528"/>
      <c r="G8807" s="528" t="s">
        <v>214</v>
      </c>
    </row>
    <row r="8808" spans="1:7" x14ac:dyDescent="0.35">
      <c r="A8808" s="528" t="s">
        <v>25655</v>
      </c>
      <c r="B8808" s="528" t="s">
        <v>25656</v>
      </c>
      <c r="C8808" s="528" t="s">
        <v>25657</v>
      </c>
      <c r="D8808" s="528" t="s">
        <v>264</v>
      </c>
      <c r="E8808" s="528"/>
      <c r="F8808" s="528"/>
      <c r="G8808" s="528" t="s">
        <v>208</v>
      </c>
    </row>
    <row r="8809" spans="1:7" x14ac:dyDescent="0.35">
      <c r="A8809" s="528" t="s">
        <v>25658</v>
      </c>
      <c r="B8809" s="528" t="s">
        <v>25659</v>
      </c>
      <c r="C8809" s="528" t="s">
        <v>25660</v>
      </c>
      <c r="D8809" s="528" t="s">
        <v>277</v>
      </c>
      <c r="E8809" s="528"/>
      <c r="F8809" s="528"/>
      <c r="G8809" s="528" t="s">
        <v>208</v>
      </c>
    </row>
    <row r="8810" spans="1:7" x14ac:dyDescent="0.35">
      <c r="A8810" s="528" t="s">
        <v>25661</v>
      </c>
      <c r="B8810" s="528" t="s">
        <v>25662</v>
      </c>
      <c r="C8810" s="528" t="s">
        <v>25663</v>
      </c>
      <c r="D8810" s="528" t="s">
        <v>277</v>
      </c>
      <c r="E8810" s="528"/>
      <c r="F8810" s="528"/>
      <c r="G8810" s="528" t="s">
        <v>212</v>
      </c>
    </row>
    <row r="8811" spans="1:7" x14ac:dyDescent="0.35">
      <c r="A8811" s="528" t="s">
        <v>25664</v>
      </c>
      <c r="B8811" s="528" t="s">
        <v>25665</v>
      </c>
      <c r="C8811" s="528" t="s">
        <v>25666</v>
      </c>
      <c r="D8811" s="528" t="s">
        <v>277</v>
      </c>
      <c r="E8811" s="528"/>
      <c r="F8811" s="528"/>
      <c r="G8811" s="528" t="s">
        <v>214</v>
      </c>
    </row>
    <row r="8812" spans="1:7" x14ac:dyDescent="0.35">
      <c r="A8812" s="528" t="s">
        <v>25667</v>
      </c>
      <c r="B8812" s="528" t="s">
        <v>25668</v>
      </c>
      <c r="C8812" s="528" t="s">
        <v>25669</v>
      </c>
      <c r="D8812" s="528" t="s">
        <v>277</v>
      </c>
      <c r="E8812" s="528"/>
      <c r="F8812" s="528"/>
      <c r="G8812" s="528" t="s">
        <v>214</v>
      </c>
    </row>
    <row r="8813" spans="1:7" x14ac:dyDescent="0.35">
      <c r="A8813" s="528" t="s">
        <v>25670</v>
      </c>
      <c r="B8813" s="528" t="s">
        <v>25671</v>
      </c>
      <c r="C8813" s="528" t="s">
        <v>25672</v>
      </c>
      <c r="D8813" s="528" t="s">
        <v>277</v>
      </c>
      <c r="E8813" s="528" t="s">
        <v>264</v>
      </c>
      <c r="F8813" s="528"/>
      <c r="G8813" s="528" t="s">
        <v>214</v>
      </c>
    </row>
    <row r="8814" spans="1:7" x14ac:dyDescent="0.35">
      <c r="A8814" s="528" t="s">
        <v>25673</v>
      </c>
      <c r="B8814" s="528" t="s">
        <v>25674</v>
      </c>
      <c r="C8814" s="528" t="s">
        <v>25675</v>
      </c>
      <c r="D8814" s="528" t="s">
        <v>225</v>
      </c>
      <c r="E8814" s="528"/>
      <c r="F8814" s="528"/>
      <c r="G8814" s="528" t="s">
        <v>205</v>
      </c>
    </row>
    <row r="8815" spans="1:7" x14ac:dyDescent="0.35">
      <c r="A8815" s="528" t="s">
        <v>25676</v>
      </c>
      <c r="B8815" s="528" t="s">
        <v>25677</v>
      </c>
      <c r="C8815" s="528" t="s">
        <v>25678</v>
      </c>
      <c r="D8815" s="528" t="s">
        <v>277</v>
      </c>
      <c r="E8815" s="528"/>
      <c r="F8815" s="528"/>
      <c r="G8815" s="528" t="s">
        <v>205</v>
      </c>
    </row>
    <row r="8816" spans="1:7" x14ac:dyDescent="0.35">
      <c r="A8816" s="528" t="s">
        <v>25679</v>
      </c>
      <c r="B8816" s="528" t="s">
        <v>25680</v>
      </c>
      <c r="C8816" s="528" t="s">
        <v>25681</v>
      </c>
      <c r="D8816" s="528" t="s">
        <v>277</v>
      </c>
      <c r="E8816" s="528"/>
      <c r="F8816" s="528"/>
      <c r="G8816" s="528" t="s">
        <v>208</v>
      </c>
    </row>
    <row r="8817" spans="1:7" x14ac:dyDescent="0.35">
      <c r="A8817" s="528" t="s">
        <v>25682</v>
      </c>
      <c r="B8817" s="528" t="s">
        <v>25683</v>
      </c>
      <c r="C8817" s="528" t="s">
        <v>25684</v>
      </c>
      <c r="D8817" s="528" t="s">
        <v>277</v>
      </c>
      <c r="E8817" s="528"/>
      <c r="F8817" s="528"/>
      <c r="G8817" s="528" t="s">
        <v>205</v>
      </c>
    </row>
    <row r="8818" spans="1:7" x14ac:dyDescent="0.35">
      <c r="A8818" s="528" t="s">
        <v>25685</v>
      </c>
      <c r="B8818" s="528" t="s">
        <v>25686</v>
      </c>
      <c r="C8818" s="528" t="s">
        <v>25687</v>
      </c>
      <c r="D8818" s="528" t="s">
        <v>277</v>
      </c>
      <c r="E8818" s="528"/>
      <c r="F8818" s="528"/>
      <c r="G8818" s="528" t="s">
        <v>208</v>
      </c>
    </row>
    <row r="8819" spans="1:7" x14ac:dyDescent="0.35">
      <c r="A8819" s="528" t="s">
        <v>25688</v>
      </c>
      <c r="B8819" s="528" t="s">
        <v>25689</v>
      </c>
      <c r="C8819" s="528" t="s">
        <v>25690</v>
      </c>
      <c r="D8819" s="528" t="s">
        <v>264</v>
      </c>
      <c r="E8819" s="528"/>
      <c r="F8819" s="528"/>
      <c r="G8819" s="528" t="s">
        <v>208</v>
      </c>
    </row>
    <row r="8820" spans="1:7" x14ac:dyDescent="0.35">
      <c r="A8820" s="528" t="s">
        <v>25691</v>
      </c>
      <c r="B8820" s="528" t="s">
        <v>25692</v>
      </c>
      <c r="C8820" s="528" t="s">
        <v>25693</v>
      </c>
      <c r="D8820" s="528" t="s">
        <v>225</v>
      </c>
      <c r="E8820" s="528"/>
      <c r="F8820" s="528"/>
      <c r="G8820" s="528" t="s">
        <v>208</v>
      </c>
    </row>
    <row r="8821" spans="1:7" x14ac:dyDescent="0.35">
      <c r="A8821" s="528" t="s">
        <v>25694</v>
      </c>
      <c r="B8821" s="528" t="s">
        <v>25695</v>
      </c>
      <c r="C8821" s="528" t="s">
        <v>25696</v>
      </c>
      <c r="D8821" s="528" t="s">
        <v>277</v>
      </c>
      <c r="E8821" s="528"/>
      <c r="F8821" s="528"/>
      <c r="G8821" s="528" t="s">
        <v>205</v>
      </c>
    </row>
    <row r="8822" spans="1:7" x14ac:dyDescent="0.35">
      <c r="A8822" s="528" t="s">
        <v>25697</v>
      </c>
      <c r="B8822" s="528" t="s">
        <v>25698</v>
      </c>
      <c r="C8822" s="528" t="s">
        <v>25699</v>
      </c>
      <c r="D8822" s="528" t="s">
        <v>277</v>
      </c>
      <c r="E8822" s="528"/>
      <c r="F8822" s="528"/>
      <c r="G8822" s="528" t="s">
        <v>214</v>
      </c>
    </row>
    <row r="8823" spans="1:7" x14ac:dyDescent="0.35">
      <c r="A8823" s="528" t="s">
        <v>25700</v>
      </c>
      <c r="B8823" s="528" t="s">
        <v>25701</v>
      </c>
      <c r="C8823" s="528" t="s">
        <v>25702</v>
      </c>
      <c r="D8823" s="528" t="s">
        <v>264</v>
      </c>
      <c r="E8823" s="528"/>
      <c r="F8823" s="528"/>
      <c r="G8823" s="528" t="s">
        <v>208</v>
      </c>
    </row>
    <row r="8824" spans="1:7" x14ac:dyDescent="0.35">
      <c r="A8824" s="528" t="s">
        <v>25703</v>
      </c>
      <c r="B8824" s="528" t="s">
        <v>25704</v>
      </c>
      <c r="C8824" s="528" t="s">
        <v>25705</v>
      </c>
      <c r="D8824" s="528" t="s">
        <v>225</v>
      </c>
      <c r="E8824" s="528"/>
      <c r="F8824" s="528"/>
      <c r="G8824" s="528" t="s">
        <v>205</v>
      </c>
    </row>
    <row r="8825" spans="1:7" x14ac:dyDescent="0.35">
      <c r="A8825" s="528" t="s">
        <v>25706</v>
      </c>
      <c r="B8825" s="528" t="s">
        <v>25707</v>
      </c>
      <c r="C8825" s="528" t="s">
        <v>25708</v>
      </c>
      <c r="D8825" s="528" t="s">
        <v>225</v>
      </c>
      <c r="E8825" s="528"/>
      <c r="F8825" s="528"/>
      <c r="G8825" s="528" t="s">
        <v>208</v>
      </c>
    </row>
    <row r="8826" spans="1:7" x14ac:dyDescent="0.35">
      <c r="A8826" s="528" t="s">
        <v>25709</v>
      </c>
      <c r="B8826" s="528" t="s">
        <v>25710</v>
      </c>
      <c r="C8826" s="528" t="s">
        <v>25711</v>
      </c>
      <c r="D8826" s="528" t="s">
        <v>277</v>
      </c>
      <c r="E8826" s="528"/>
      <c r="F8826" s="528"/>
      <c r="G8826" s="528" t="s">
        <v>205</v>
      </c>
    </row>
    <row r="8827" spans="1:7" x14ac:dyDescent="0.35">
      <c r="A8827" s="528" t="s">
        <v>25712</v>
      </c>
      <c r="B8827" s="528" t="s">
        <v>25713</v>
      </c>
      <c r="C8827" s="528" t="s">
        <v>25714</v>
      </c>
      <c r="D8827" s="528" t="s">
        <v>251</v>
      </c>
      <c r="E8827" s="528" t="s">
        <v>225</v>
      </c>
      <c r="F8827" s="528"/>
      <c r="G8827" s="528" t="s">
        <v>205</v>
      </c>
    </row>
    <row r="8828" spans="1:7" x14ac:dyDescent="0.35">
      <c r="A8828" s="528" t="s">
        <v>25715</v>
      </c>
      <c r="B8828" s="528" t="s">
        <v>25716</v>
      </c>
      <c r="C8828" s="528" t="s">
        <v>25717</v>
      </c>
      <c r="D8828" s="528" t="s">
        <v>225</v>
      </c>
      <c r="E8828" s="528"/>
      <c r="F8828" s="528"/>
      <c r="G8828" s="528" t="s">
        <v>208</v>
      </c>
    </row>
    <row r="8829" spans="1:7" x14ac:dyDescent="0.35">
      <c r="A8829" s="528" t="s">
        <v>25718</v>
      </c>
      <c r="B8829" s="528" t="s">
        <v>25719</v>
      </c>
      <c r="C8829" s="528" t="s">
        <v>25720</v>
      </c>
      <c r="D8829" s="528" t="s">
        <v>264</v>
      </c>
      <c r="E8829" s="528" t="s">
        <v>251</v>
      </c>
      <c r="F8829" s="528" t="s">
        <v>277</v>
      </c>
      <c r="G8829" s="528" t="s">
        <v>205</v>
      </c>
    </row>
    <row r="8830" spans="1:7" x14ac:dyDescent="0.35">
      <c r="A8830" s="528" t="s">
        <v>25721</v>
      </c>
      <c r="B8830" s="528" t="s">
        <v>25722</v>
      </c>
      <c r="C8830" s="528" t="s">
        <v>25723</v>
      </c>
      <c r="D8830" s="528" t="s">
        <v>251</v>
      </c>
      <c r="E8830" s="528"/>
      <c r="F8830" s="528"/>
      <c r="G8830" s="528" t="s">
        <v>208</v>
      </c>
    </row>
    <row r="8831" spans="1:7" x14ac:dyDescent="0.35">
      <c r="A8831" s="528" t="s">
        <v>25724</v>
      </c>
      <c r="B8831" s="528" t="s">
        <v>25725</v>
      </c>
      <c r="C8831" s="528" t="s">
        <v>25726</v>
      </c>
      <c r="D8831" s="528" t="s">
        <v>251</v>
      </c>
      <c r="E8831" s="528"/>
      <c r="F8831" s="528"/>
      <c r="G8831" s="528" t="s">
        <v>205</v>
      </c>
    </row>
    <row r="8832" spans="1:7" x14ac:dyDescent="0.35">
      <c r="A8832" s="528" t="s">
        <v>25727</v>
      </c>
      <c r="B8832" s="528" t="s">
        <v>25728</v>
      </c>
      <c r="C8832" s="528" t="s">
        <v>25729</v>
      </c>
      <c r="D8832" s="528" t="s">
        <v>238</v>
      </c>
      <c r="E8832" s="528" t="s">
        <v>251</v>
      </c>
      <c r="F8832" s="528"/>
      <c r="G8832" s="528" t="s">
        <v>208</v>
      </c>
    </row>
    <row r="8833" spans="1:7" x14ac:dyDescent="0.35">
      <c r="A8833" s="528" t="s">
        <v>25730</v>
      </c>
      <c r="B8833" s="528" t="s">
        <v>25731</v>
      </c>
      <c r="C8833" s="528" t="s">
        <v>25732</v>
      </c>
      <c r="D8833" s="528" t="s">
        <v>264</v>
      </c>
      <c r="E8833" s="528"/>
      <c r="F8833" s="528"/>
      <c r="G8833" s="528" t="s">
        <v>205</v>
      </c>
    </row>
    <row r="8834" spans="1:7" x14ac:dyDescent="0.35">
      <c r="A8834" s="528" t="s">
        <v>25733</v>
      </c>
      <c r="B8834" s="528" t="s">
        <v>25734</v>
      </c>
      <c r="C8834" s="528" t="s">
        <v>25735</v>
      </c>
      <c r="D8834" s="528" t="s">
        <v>277</v>
      </c>
      <c r="E8834" s="528"/>
      <c r="F8834" s="528"/>
      <c r="G8834" s="528" t="s">
        <v>205</v>
      </c>
    </row>
    <row r="8835" spans="1:7" x14ac:dyDescent="0.35">
      <c r="A8835" s="528" t="s">
        <v>25736</v>
      </c>
      <c r="B8835" s="528" t="s">
        <v>25737</v>
      </c>
      <c r="C8835" s="528" t="s">
        <v>25738</v>
      </c>
      <c r="D8835" s="528" t="s">
        <v>264</v>
      </c>
      <c r="E8835" s="528"/>
      <c r="F8835" s="528"/>
      <c r="G8835" s="528" t="s">
        <v>208</v>
      </c>
    </row>
    <row r="8836" spans="1:7" x14ac:dyDescent="0.35">
      <c r="A8836" s="528" t="s">
        <v>25739</v>
      </c>
      <c r="B8836" s="528" t="s">
        <v>25740</v>
      </c>
      <c r="C8836" s="528" t="s">
        <v>25741</v>
      </c>
      <c r="D8836" s="528" t="s">
        <v>264</v>
      </c>
      <c r="E8836" s="528"/>
      <c r="F8836" s="528"/>
      <c r="G8836" s="528" t="s">
        <v>208</v>
      </c>
    </row>
    <row r="8837" spans="1:7" x14ac:dyDescent="0.35">
      <c r="A8837" s="528" t="s">
        <v>25742</v>
      </c>
      <c r="B8837" s="528" t="s">
        <v>25743</v>
      </c>
      <c r="C8837" s="528" t="s">
        <v>25744</v>
      </c>
      <c r="D8837" s="528" t="s">
        <v>264</v>
      </c>
      <c r="E8837" s="528"/>
      <c r="F8837" s="528"/>
      <c r="G8837" s="528" t="s">
        <v>208</v>
      </c>
    </row>
    <row r="8838" spans="1:7" x14ac:dyDescent="0.35">
      <c r="A8838" s="528" t="s">
        <v>25745</v>
      </c>
      <c r="B8838" s="528" t="s">
        <v>25746</v>
      </c>
      <c r="C8838" s="528" t="s">
        <v>25747</v>
      </c>
      <c r="D8838" s="528" t="s">
        <v>277</v>
      </c>
      <c r="E8838" s="528"/>
      <c r="F8838" s="528"/>
      <c r="G8838" s="528" t="s">
        <v>205</v>
      </c>
    </row>
    <row r="8839" spans="1:7" x14ac:dyDescent="0.35">
      <c r="A8839" s="528" t="s">
        <v>25748</v>
      </c>
      <c r="B8839" s="528" t="s">
        <v>25749</v>
      </c>
      <c r="C8839" s="528" t="s">
        <v>25750</v>
      </c>
      <c r="D8839" s="528" t="s">
        <v>225</v>
      </c>
      <c r="E8839" s="528"/>
      <c r="F8839" s="528"/>
      <c r="G8839" s="528" t="s">
        <v>208</v>
      </c>
    </row>
    <row r="8840" spans="1:7" x14ac:dyDescent="0.35">
      <c r="A8840" s="528" t="s">
        <v>25751</v>
      </c>
      <c r="B8840" s="528" t="s">
        <v>25752</v>
      </c>
      <c r="C8840" s="528" t="s">
        <v>25753</v>
      </c>
      <c r="D8840" s="528" t="s">
        <v>225</v>
      </c>
      <c r="E8840" s="528"/>
      <c r="F8840" s="528"/>
      <c r="G8840" s="528" t="s">
        <v>212</v>
      </c>
    </row>
    <row r="8841" spans="1:7" x14ac:dyDescent="0.35">
      <c r="A8841" s="528" t="s">
        <v>25754</v>
      </c>
      <c r="B8841" s="528" t="s">
        <v>25755</v>
      </c>
      <c r="C8841" s="528" t="s">
        <v>25756</v>
      </c>
      <c r="D8841" s="528" t="s">
        <v>264</v>
      </c>
      <c r="E8841" s="528"/>
      <c r="F8841" s="528"/>
      <c r="G8841" s="528" t="s">
        <v>208</v>
      </c>
    </row>
    <row r="8842" spans="1:7" x14ac:dyDescent="0.35">
      <c r="A8842" s="528" t="s">
        <v>25757</v>
      </c>
      <c r="B8842" s="528" t="s">
        <v>25758</v>
      </c>
      <c r="C8842" s="528" t="s">
        <v>25759</v>
      </c>
      <c r="D8842" s="528" t="s">
        <v>264</v>
      </c>
      <c r="E8842" s="528"/>
      <c r="F8842" s="528"/>
      <c r="G8842" s="528" t="s">
        <v>208</v>
      </c>
    </row>
    <row r="8843" spans="1:7" x14ac:dyDescent="0.35">
      <c r="A8843" s="528" t="s">
        <v>25760</v>
      </c>
      <c r="B8843" s="528" t="s">
        <v>25761</v>
      </c>
      <c r="C8843" s="528" t="s">
        <v>25762</v>
      </c>
      <c r="D8843" s="528" t="s">
        <v>264</v>
      </c>
      <c r="E8843" s="528"/>
      <c r="F8843" s="528"/>
      <c r="G8843" s="528" t="s">
        <v>208</v>
      </c>
    </row>
    <row r="8844" spans="1:7" x14ac:dyDescent="0.35">
      <c r="A8844" s="528" t="s">
        <v>25763</v>
      </c>
      <c r="B8844" s="528" t="s">
        <v>25764</v>
      </c>
      <c r="C8844" s="528" t="s">
        <v>25765</v>
      </c>
      <c r="D8844" s="528" t="s">
        <v>264</v>
      </c>
      <c r="E8844" s="528"/>
      <c r="F8844" s="528"/>
      <c r="G8844" s="528" t="s">
        <v>205</v>
      </c>
    </row>
    <row r="8845" spans="1:7" x14ac:dyDescent="0.35">
      <c r="A8845" s="528" t="s">
        <v>25766</v>
      </c>
      <c r="B8845" s="528" t="s">
        <v>25767</v>
      </c>
      <c r="C8845" s="528" t="s">
        <v>25768</v>
      </c>
      <c r="D8845" s="528" t="s">
        <v>277</v>
      </c>
      <c r="E8845" s="528"/>
      <c r="F8845" s="528"/>
      <c r="G8845" s="528" t="s">
        <v>208</v>
      </c>
    </row>
    <row r="8846" spans="1:7" x14ac:dyDescent="0.35">
      <c r="A8846" s="528" t="s">
        <v>25769</v>
      </c>
      <c r="B8846" s="528" t="s">
        <v>25770</v>
      </c>
      <c r="C8846" s="528" t="s">
        <v>25771</v>
      </c>
      <c r="D8846" s="528" t="s">
        <v>238</v>
      </c>
      <c r="E8846" s="528"/>
      <c r="F8846" s="528"/>
      <c r="G8846" s="528" t="s">
        <v>205</v>
      </c>
    </row>
    <row r="8847" spans="1:7" x14ac:dyDescent="0.35">
      <c r="A8847" s="528" t="s">
        <v>25772</v>
      </c>
      <c r="B8847" s="528" t="s">
        <v>25773</v>
      </c>
      <c r="C8847" s="528" t="s">
        <v>25774</v>
      </c>
      <c r="D8847" s="528" t="s">
        <v>238</v>
      </c>
      <c r="E8847" s="528"/>
      <c r="F8847" s="528"/>
      <c r="G8847" s="528" t="s">
        <v>205</v>
      </c>
    </row>
    <row r="8848" spans="1:7" x14ac:dyDescent="0.35">
      <c r="A8848" s="528" t="s">
        <v>25775</v>
      </c>
      <c r="B8848" s="528" t="s">
        <v>25776</v>
      </c>
      <c r="C8848" s="528" t="s">
        <v>28367</v>
      </c>
      <c r="D8848" s="528" t="s">
        <v>225</v>
      </c>
      <c r="E8848" s="528"/>
      <c r="F8848" s="528"/>
      <c r="G8848" s="528" t="s">
        <v>205</v>
      </c>
    </row>
    <row r="8849" spans="1:7" x14ac:dyDescent="0.35">
      <c r="A8849" s="528" t="s">
        <v>25777</v>
      </c>
      <c r="B8849" s="528" t="s">
        <v>25778</v>
      </c>
      <c r="C8849" s="528" t="s">
        <v>28368</v>
      </c>
      <c r="D8849" s="528" t="s">
        <v>225</v>
      </c>
      <c r="E8849" s="528"/>
      <c r="F8849" s="528"/>
      <c r="G8849" s="528" t="s">
        <v>205</v>
      </c>
    </row>
    <row r="8850" spans="1:7" x14ac:dyDescent="0.35">
      <c r="A8850" s="528" t="s">
        <v>25779</v>
      </c>
      <c r="B8850" s="528" t="s">
        <v>25780</v>
      </c>
      <c r="C8850" s="528" t="s">
        <v>25781</v>
      </c>
      <c r="D8850" s="528" t="s">
        <v>264</v>
      </c>
      <c r="E8850" s="528"/>
      <c r="F8850" s="528"/>
      <c r="G8850" s="528" t="s">
        <v>205</v>
      </c>
    </row>
    <row r="8851" spans="1:7" x14ac:dyDescent="0.35">
      <c r="A8851" s="528" t="s">
        <v>25782</v>
      </c>
      <c r="B8851" s="528" t="s">
        <v>25783</v>
      </c>
      <c r="C8851" s="528" t="s">
        <v>25784</v>
      </c>
      <c r="D8851" s="528" t="s">
        <v>264</v>
      </c>
      <c r="E8851" s="528"/>
      <c r="F8851" s="528"/>
      <c r="G8851" s="528" t="s">
        <v>205</v>
      </c>
    </row>
    <row r="8852" spans="1:7" x14ac:dyDescent="0.35">
      <c r="A8852" s="528" t="s">
        <v>25785</v>
      </c>
      <c r="B8852" s="528" t="s">
        <v>25786</v>
      </c>
      <c r="C8852" s="528" t="s">
        <v>25787</v>
      </c>
      <c r="D8852" s="528" t="s">
        <v>264</v>
      </c>
      <c r="E8852" s="528"/>
      <c r="F8852" s="528"/>
      <c r="G8852" s="528" t="s">
        <v>205</v>
      </c>
    </row>
    <row r="8853" spans="1:7" x14ac:dyDescent="0.35">
      <c r="A8853" s="528" t="s">
        <v>25788</v>
      </c>
      <c r="B8853" s="528" t="s">
        <v>25789</v>
      </c>
      <c r="C8853" s="528" t="s">
        <v>25790</v>
      </c>
      <c r="D8853" s="528" t="s">
        <v>264</v>
      </c>
      <c r="E8853" s="528"/>
      <c r="F8853" s="528"/>
      <c r="G8853" s="528" t="s">
        <v>205</v>
      </c>
    </row>
    <row r="8854" spans="1:7" x14ac:dyDescent="0.35">
      <c r="A8854" s="528" t="s">
        <v>25791</v>
      </c>
      <c r="B8854" s="528" t="s">
        <v>25792</v>
      </c>
      <c r="C8854" s="528" t="s">
        <v>25793</v>
      </c>
      <c r="D8854" s="528" t="s">
        <v>277</v>
      </c>
      <c r="E8854" s="528"/>
      <c r="F8854" s="528"/>
      <c r="G8854" s="528" t="s">
        <v>205</v>
      </c>
    </row>
    <row r="8855" spans="1:7" x14ac:dyDescent="0.35">
      <c r="A8855" s="528" t="s">
        <v>25794</v>
      </c>
      <c r="B8855" s="528" t="s">
        <v>25795</v>
      </c>
      <c r="C8855" s="528" t="s">
        <v>25796</v>
      </c>
      <c r="D8855" s="528" t="s">
        <v>277</v>
      </c>
      <c r="E8855" s="528"/>
      <c r="F8855" s="528"/>
      <c r="G8855" s="528" t="s">
        <v>205</v>
      </c>
    </row>
    <row r="8856" spans="1:7" x14ac:dyDescent="0.35">
      <c r="A8856" s="528" t="s">
        <v>25797</v>
      </c>
      <c r="B8856" s="528" t="s">
        <v>25798</v>
      </c>
      <c r="C8856" s="528" t="s">
        <v>25799</v>
      </c>
      <c r="D8856" s="528" t="s">
        <v>251</v>
      </c>
      <c r="E8856" s="528"/>
      <c r="F8856" s="528"/>
      <c r="G8856" s="528" t="s">
        <v>208</v>
      </c>
    </row>
    <row r="8857" spans="1:7" x14ac:dyDescent="0.35">
      <c r="A8857" s="528" t="s">
        <v>25800</v>
      </c>
      <c r="B8857" s="528" t="s">
        <v>25801</v>
      </c>
      <c r="C8857" s="528" t="s">
        <v>25802</v>
      </c>
      <c r="D8857" s="528" t="s">
        <v>251</v>
      </c>
      <c r="E8857" s="528"/>
      <c r="F8857" s="528"/>
      <c r="G8857" s="528" t="s">
        <v>208</v>
      </c>
    </row>
    <row r="8858" spans="1:7" x14ac:dyDescent="0.35">
      <c r="A8858" s="528" t="s">
        <v>25803</v>
      </c>
      <c r="B8858" s="528" t="s">
        <v>25804</v>
      </c>
      <c r="C8858" s="528" t="s">
        <v>25805</v>
      </c>
      <c r="D8858" s="528" t="s">
        <v>251</v>
      </c>
      <c r="E8858" s="528"/>
      <c r="F8858" s="528"/>
      <c r="G8858" s="528" t="s">
        <v>208</v>
      </c>
    </row>
    <row r="8859" spans="1:7" x14ac:dyDescent="0.35">
      <c r="A8859" s="528" t="s">
        <v>25806</v>
      </c>
      <c r="B8859" s="528" t="s">
        <v>25807</v>
      </c>
      <c r="C8859" s="528" t="s">
        <v>25808</v>
      </c>
      <c r="D8859" s="528" t="s">
        <v>264</v>
      </c>
      <c r="E8859" s="528"/>
      <c r="F8859" s="528"/>
      <c r="G8859" s="528" t="s">
        <v>208</v>
      </c>
    </row>
    <row r="8860" spans="1:7" x14ac:dyDescent="0.35">
      <c r="A8860" s="528" t="s">
        <v>25809</v>
      </c>
      <c r="B8860" s="528" t="s">
        <v>25810</v>
      </c>
      <c r="C8860" s="528" t="s">
        <v>25811</v>
      </c>
      <c r="D8860" s="528" t="s">
        <v>264</v>
      </c>
      <c r="E8860" s="528"/>
      <c r="F8860" s="528"/>
      <c r="G8860" s="528" t="s">
        <v>208</v>
      </c>
    </row>
    <row r="8861" spans="1:7" x14ac:dyDescent="0.35">
      <c r="A8861" s="528" t="s">
        <v>25812</v>
      </c>
      <c r="B8861" s="528" t="s">
        <v>25813</v>
      </c>
      <c r="C8861" s="528" t="s">
        <v>25814</v>
      </c>
      <c r="D8861" s="528" t="s">
        <v>251</v>
      </c>
      <c r="E8861" s="528"/>
      <c r="F8861" s="528"/>
      <c r="G8861" s="528" t="s">
        <v>205</v>
      </c>
    </row>
    <row r="8862" spans="1:7" x14ac:dyDescent="0.35">
      <c r="A8862" s="528" t="s">
        <v>25815</v>
      </c>
      <c r="B8862" s="528" t="s">
        <v>25816</v>
      </c>
      <c r="C8862" s="528" t="s">
        <v>25817</v>
      </c>
      <c r="D8862" s="528" t="s">
        <v>277</v>
      </c>
      <c r="E8862" s="528"/>
      <c r="F8862" s="528"/>
      <c r="G8862" s="528" t="s">
        <v>208</v>
      </c>
    </row>
    <row r="8863" spans="1:7" x14ac:dyDescent="0.35">
      <c r="A8863" s="528" t="s">
        <v>25818</v>
      </c>
      <c r="B8863" s="528" t="s">
        <v>25819</v>
      </c>
      <c r="C8863" s="528" t="s">
        <v>25820</v>
      </c>
      <c r="D8863" s="528" t="s">
        <v>225</v>
      </c>
      <c r="E8863" s="528"/>
      <c r="F8863" s="528"/>
      <c r="G8863" s="528" t="s">
        <v>212</v>
      </c>
    </row>
    <row r="8864" spans="1:7" x14ac:dyDescent="0.35">
      <c r="A8864" s="528" t="s">
        <v>25821</v>
      </c>
      <c r="B8864" s="528" t="s">
        <v>25822</v>
      </c>
      <c r="C8864" s="528" t="s">
        <v>25823</v>
      </c>
      <c r="D8864" s="528" t="s">
        <v>264</v>
      </c>
      <c r="E8864" s="528"/>
      <c r="F8864" s="528"/>
      <c r="G8864" s="528" t="s">
        <v>210</v>
      </c>
    </row>
    <row r="8865" spans="1:7" x14ac:dyDescent="0.35">
      <c r="A8865" s="528" t="s">
        <v>25824</v>
      </c>
      <c r="B8865" s="528" t="s">
        <v>25825</v>
      </c>
      <c r="C8865" s="528" t="s">
        <v>25826</v>
      </c>
      <c r="D8865" s="528" t="s">
        <v>251</v>
      </c>
      <c r="E8865" s="528"/>
      <c r="F8865" s="528"/>
      <c r="G8865" s="528" t="s">
        <v>205</v>
      </c>
    </row>
    <row r="8866" spans="1:7" x14ac:dyDescent="0.35">
      <c r="A8866" s="528" t="s">
        <v>25827</v>
      </c>
      <c r="B8866" s="528" t="s">
        <v>25828</v>
      </c>
      <c r="C8866" s="528" t="s">
        <v>25829</v>
      </c>
      <c r="D8866" s="528" t="s">
        <v>264</v>
      </c>
      <c r="E8866" s="528" t="s">
        <v>277</v>
      </c>
      <c r="F8866" s="528"/>
      <c r="G8866" s="528" t="s">
        <v>205</v>
      </c>
    </row>
    <row r="8867" spans="1:7" x14ac:dyDescent="0.35">
      <c r="A8867" s="528" t="s">
        <v>25830</v>
      </c>
      <c r="B8867" s="528" t="s">
        <v>25831</v>
      </c>
      <c r="C8867" s="528" t="s">
        <v>25832</v>
      </c>
      <c r="D8867" s="528" t="s">
        <v>264</v>
      </c>
      <c r="E8867" s="528" t="s">
        <v>277</v>
      </c>
      <c r="F8867" s="528"/>
      <c r="G8867" s="528" t="s">
        <v>208</v>
      </c>
    </row>
    <row r="8868" spans="1:7" x14ac:dyDescent="0.35">
      <c r="A8868" s="528" t="s">
        <v>25833</v>
      </c>
      <c r="B8868" s="528" t="s">
        <v>25834</v>
      </c>
      <c r="C8868" s="528" t="s">
        <v>25835</v>
      </c>
      <c r="D8868" s="528" t="s">
        <v>277</v>
      </c>
      <c r="E8868" s="528"/>
      <c r="F8868" s="528"/>
      <c r="G8868" s="528" t="s">
        <v>208</v>
      </c>
    </row>
    <row r="8869" spans="1:7" x14ac:dyDescent="0.35">
      <c r="A8869" s="528" t="s">
        <v>25836</v>
      </c>
      <c r="B8869" s="528" t="s">
        <v>25837</v>
      </c>
      <c r="C8869" s="528" t="s">
        <v>25838</v>
      </c>
      <c r="D8869" s="528" t="s">
        <v>277</v>
      </c>
      <c r="E8869" s="528"/>
      <c r="F8869" s="528"/>
      <c r="G8869" s="528" t="s">
        <v>205</v>
      </c>
    </row>
    <row r="8870" spans="1:7" x14ac:dyDescent="0.35">
      <c r="A8870" s="528" t="s">
        <v>25839</v>
      </c>
      <c r="B8870" s="528" t="s">
        <v>25840</v>
      </c>
      <c r="C8870" s="528" t="s">
        <v>25841</v>
      </c>
      <c r="D8870" s="528" t="s">
        <v>277</v>
      </c>
      <c r="E8870" s="528"/>
      <c r="F8870" s="528"/>
      <c r="G8870" s="528" t="s">
        <v>205</v>
      </c>
    </row>
    <row r="8871" spans="1:7" x14ac:dyDescent="0.35">
      <c r="A8871" s="528" t="s">
        <v>25842</v>
      </c>
      <c r="B8871" s="528" t="s">
        <v>25843</v>
      </c>
      <c r="C8871" s="528" t="s">
        <v>25844</v>
      </c>
      <c r="D8871" s="528" t="s">
        <v>277</v>
      </c>
      <c r="E8871" s="528"/>
      <c r="F8871" s="528"/>
      <c r="G8871" s="528" t="s">
        <v>205</v>
      </c>
    </row>
    <row r="8872" spans="1:7" x14ac:dyDescent="0.35">
      <c r="A8872" s="528" t="s">
        <v>25845</v>
      </c>
      <c r="B8872" s="528" t="s">
        <v>25846</v>
      </c>
      <c r="C8872" s="528" t="s">
        <v>25847</v>
      </c>
      <c r="D8872" s="528" t="s">
        <v>251</v>
      </c>
      <c r="E8872" s="528"/>
      <c r="F8872" s="528"/>
      <c r="G8872" s="528" t="s">
        <v>205</v>
      </c>
    </row>
    <row r="8873" spans="1:7" x14ac:dyDescent="0.35">
      <c r="A8873" s="528" t="s">
        <v>25848</v>
      </c>
      <c r="B8873" s="528" t="s">
        <v>25849</v>
      </c>
      <c r="C8873" s="528" t="s">
        <v>25850</v>
      </c>
      <c r="D8873" s="528" t="s">
        <v>277</v>
      </c>
      <c r="E8873" s="528"/>
      <c r="F8873" s="528"/>
      <c r="G8873" s="528" t="s">
        <v>205</v>
      </c>
    </row>
    <row r="8874" spans="1:7" x14ac:dyDescent="0.35">
      <c r="A8874" s="528" t="s">
        <v>25851</v>
      </c>
      <c r="B8874" s="528" t="s">
        <v>25852</v>
      </c>
      <c r="C8874" s="528" t="s">
        <v>25853</v>
      </c>
      <c r="D8874" s="528" t="s">
        <v>251</v>
      </c>
      <c r="E8874" s="528"/>
      <c r="F8874" s="528"/>
      <c r="G8874" s="528" t="s">
        <v>208</v>
      </c>
    </row>
    <row r="8875" spans="1:7" x14ac:dyDescent="0.35">
      <c r="A8875" s="528" t="s">
        <v>25854</v>
      </c>
      <c r="B8875" s="528" t="s">
        <v>25855</v>
      </c>
      <c r="C8875" s="528" t="s">
        <v>25856</v>
      </c>
      <c r="D8875" s="528" t="s">
        <v>251</v>
      </c>
      <c r="E8875" s="528"/>
      <c r="F8875" s="528"/>
      <c r="G8875" s="528" t="s">
        <v>212</v>
      </c>
    </row>
    <row r="8876" spans="1:7" x14ac:dyDescent="0.35">
      <c r="A8876" s="528" t="s">
        <v>25857</v>
      </c>
      <c r="B8876" s="528" t="s">
        <v>25858</v>
      </c>
      <c r="C8876" s="528" t="s">
        <v>25859</v>
      </c>
      <c r="D8876" s="528" t="s">
        <v>264</v>
      </c>
      <c r="E8876" s="528"/>
      <c r="F8876" s="528"/>
      <c r="G8876" s="528" t="s">
        <v>208</v>
      </c>
    </row>
    <row r="8877" spans="1:7" x14ac:dyDescent="0.35">
      <c r="A8877" s="528" t="s">
        <v>25860</v>
      </c>
      <c r="B8877" s="528" t="s">
        <v>25861</v>
      </c>
      <c r="C8877" s="528" t="s">
        <v>25862</v>
      </c>
      <c r="D8877" s="528" t="s">
        <v>277</v>
      </c>
      <c r="E8877" s="528"/>
      <c r="F8877" s="528"/>
      <c r="G8877" s="528" t="s">
        <v>205</v>
      </c>
    </row>
    <row r="8878" spans="1:7" x14ac:dyDescent="0.35">
      <c r="A8878" s="528" t="s">
        <v>25863</v>
      </c>
      <c r="B8878" s="528" t="s">
        <v>25864</v>
      </c>
      <c r="C8878" s="528" t="s">
        <v>25865</v>
      </c>
      <c r="D8878" s="528" t="s">
        <v>264</v>
      </c>
      <c r="E8878" s="528"/>
      <c r="F8878" s="528"/>
      <c r="G8878" s="528" t="s">
        <v>205</v>
      </c>
    </row>
    <row r="8879" spans="1:7" x14ac:dyDescent="0.35">
      <c r="A8879" s="528" t="s">
        <v>25866</v>
      </c>
      <c r="B8879" s="528" t="s">
        <v>25867</v>
      </c>
      <c r="C8879" s="528" t="s">
        <v>25868</v>
      </c>
      <c r="D8879" s="528" t="s">
        <v>251</v>
      </c>
      <c r="E8879" s="528"/>
      <c r="F8879" s="528"/>
      <c r="G8879" s="528" t="s">
        <v>208</v>
      </c>
    </row>
    <row r="8880" spans="1:7" x14ac:dyDescent="0.35">
      <c r="A8880" s="528" t="s">
        <v>25869</v>
      </c>
      <c r="B8880" s="528" t="s">
        <v>25870</v>
      </c>
      <c r="C8880" s="528" t="s">
        <v>25871</v>
      </c>
      <c r="D8880" s="528" t="s">
        <v>251</v>
      </c>
      <c r="E8880" s="528"/>
      <c r="F8880" s="528"/>
      <c r="G8880" s="528" t="s">
        <v>208</v>
      </c>
    </row>
    <row r="8881" spans="1:7" x14ac:dyDescent="0.35">
      <c r="A8881" s="528" t="s">
        <v>25872</v>
      </c>
      <c r="B8881" s="528" t="s">
        <v>25873</v>
      </c>
      <c r="C8881" s="528" t="s">
        <v>25874</v>
      </c>
      <c r="D8881" s="528" t="s">
        <v>225</v>
      </c>
      <c r="E8881" s="528"/>
      <c r="F8881" s="528"/>
      <c r="G8881" s="528" t="s">
        <v>208</v>
      </c>
    </row>
    <row r="8882" spans="1:7" x14ac:dyDescent="0.35">
      <c r="A8882" s="528" t="s">
        <v>25875</v>
      </c>
      <c r="B8882" s="528" t="s">
        <v>25876</v>
      </c>
      <c r="C8882" s="528" t="s">
        <v>25877</v>
      </c>
      <c r="D8882" s="528" t="s">
        <v>225</v>
      </c>
      <c r="E8882" s="528"/>
      <c r="F8882" s="528"/>
      <c r="G8882" s="528" t="s">
        <v>208</v>
      </c>
    </row>
    <row r="8883" spans="1:7" x14ac:dyDescent="0.35">
      <c r="A8883" s="528" t="s">
        <v>25878</v>
      </c>
      <c r="B8883" s="528" t="s">
        <v>25879</v>
      </c>
      <c r="C8883" s="528" t="s">
        <v>25880</v>
      </c>
      <c r="D8883" s="528" t="s">
        <v>277</v>
      </c>
      <c r="E8883" s="528"/>
      <c r="F8883" s="528"/>
      <c r="G8883" s="528" t="s">
        <v>208</v>
      </c>
    </row>
    <row r="8884" spans="1:7" x14ac:dyDescent="0.35">
      <c r="A8884" s="528" t="s">
        <v>25881</v>
      </c>
      <c r="B8884" s="528" t="s">
        <v>25882</v>
      </c>
      <c r="C8884" s="528" t="s">
        <v>25883</v>
      </c>
      <c r="D8884" s="528" t="s">
        <v>238</v>
      </c>
      <c r="E8884" s="528"/>
      <c r="F8884" s="528"/>
      <c r="G8884" s="528" t="s">
        <v>205</v>
      </c>
    </row>
    <row r="8885" spans="1:7" x14ac:dyDescent="0.35">
      <c r="A8885" s="528" t="s">
        <v>25884</v>
      </c>
      <c r="B8885" s="528" t="s">
        <v>25885</v>
      </c>
      <c r="C8885" s="528" t="s">
        <v>25886</v>
      </c>
      <c r="D8885" s="528" t="s">
        <v>238</v>
      </c>
      <c r="E8885" s="528"/>
      <c r="F8885" s="528"/>
      <c r="G8885" s="528" t="s">
        <v>205</v>
      </c>
    </row>
    <row r="8886" spans="1:7" x14ac:dyDescent="0.35">
      <c r="A8886" s="528" t="s">
        <v>25887</v>
      </c>
      <c r="B8886" s="528" t="s">
        <v>25888</v>
      </c>
      <c r="C8886" s="528" t="s">
        <v>25889</v>
      </c>
      <c r="D8886" s="528" t="s">
        <v>251</v>
      </c>
      <c r="E8886" s="528"/>
      <c r="F8886" s="528"/>
      <c r="G8886" s="528" t="s">
        <v>208</v>
      </c>
    </row>
    <row r="8887" spans="1:7" x14ac:dyDescent="0.35">
      <c r="A8887" s="528" t="s">
        <v>25890</v>
      </c>
      <c r="B8887" s="528" t="s">
        <v>25891</v>
      </c>
      <c r="C8887" s="528" t="s">
        <v>25892</v>
      </c>
      <c r="D8887" s="528" t="s">
        <v>277</v>
      </c>
      <c r="E8887" s="528" t="s">
        <v>264</v>
      </c>
      <c r="F8887" s="528"/>
      <c r="G8887" s="528" t="s">
        <v>208</v>
      </c>
    </row>
    <row r="8888" spans="1:7" x14ac:dyDescent="0.35">
      <c r="A8888" s="528" t="s">
        <v>25893</v>
      </c>
      <c r="B8888" s="528" t="s">
        <v>25894</v>
      </c>
      <c r="C8888" s="528" t="s">
        <v>25895</v>
      </c>
      <c r="D8888" s="528" t="s">
        <v>277</v>
      </c>
      <c r="E8888" s="528"/>
      <c r="F8888" s="528"/>
      <c r="G8888" s="528" t="s">
        <v>208</v>
      </c>
    </row>
    <row r="8889" spans="1:7" x14ac:dyDescent="0.35">
      <c r="A8889" s="528" t="s">
        <v>25896</v>
      </c>
      <c r="B8889" s="528" t="s">
        <v>25897</v>
      </c>
      <c r="C8889" s="528" t="s">
        <v>25898</v>
      </c>
      <c r="D8889" s="528" t="s">
        <v>251</v>
      </c>
      <c r="E8889" s="528"/>
      <c r="F8889" s="528"/>
      <c r="G8889" s="528" t="s">
        <v>208</v>
      </c>
    </row>
    <row r="8890" spans="1:7" x14ac:dyDescent="0.35">
      <c r="A8890" s="528" t="s">
        <v>25899</v>
      </c>
      <c r="B8890" s="528" t="s">
        <v>25900</v>
      </c>
      <c r="C8890" s="528" t="s">
        <v>25901</v>
      </c>
      <c r="D8890" s="528" t="s">
        <v>251</v>
      </c>
      <c r="E8890" s="528"/>
      <c r="F8890" s="528"/>
      <c r="G8890" s="528" t="s">
        <v>208</v>
      </c>
    </row>
    <row r="8891" spans="1:7" x14ac:dyDescent="0.35">
      <c r="A8891" s="528" t="s">
        <v>25902</v>
      </c>
      <c r="B8891" s="528" t="s">
        <v>25903</v>
      </c>
      <c r="C8891" s="528" t="s">
        <v>25904</v>
      </c>
      <c r="D8891" s="528" t="s">
        <v>277</v>
      </c>
      <c r="E8891" s="528"/>
      <c r="F8891" s="528"/>
      <c r="G8891" s="528" t="s">
        <v>208</v>
      </c>
    </row>
    <row r="8892" spans="1:7" x14ac:dyDescent="0.35">
      <c r="A8892" s="528" t="s">
        <v>25905</v>
      </c>
      <c r="B8892" s="528" t="s">
        <v>25906</v>
      </c>
      <c r="C8892" s="528" t="s">
        <v>25907</v>
      </c>
      <c r="D8892" s="528" t="s">
        <v>238</v>
      </c>
      <c r="E8892" s="528"/>
      <c r="F8892" s="528"/>
      <c r="G8892" s="528" t="s">
        <v>208</v>
      </c>
    </row>
    <row r="8893" spans="1:7" x14ac:dyDescent="0.35">
      <c r="A8893" s="528" t="s">
        <v>25908</v>
      </c>
      <c r="B8893" s="528" t="s">
        <v>25909</v>
      </c>
      <c r="C8893" s="528" t="s">
        <v>25910</v>
      </c>
      <c r="D8893" s="528" t="s">
        <v>251</v>
      </c>
      <c r="E8893" s="528"/>
      <c r="F8893" s="528"/>
      <c r="G8893" s="528" t="s">
        <v>205</v>
      </c>
    </row>
    <row r="8894" spans="1:7" x14ac:dyDescent="0.35">
      <c r="A8894" s="528" t="s">
        <v>25911</v>
      </c>
      <c r="B8894" s="528" t="s">
        <v>25912</v>
      </c>
      <c r="C8894" s="528" t="s">
        <v>27989</v>
      </c>
      <c r="D8894" s="528" t="s">
        <v>277</v>
      </c>
      <c r="E8894" s="528"/>
      <c r="F8894" s="528"/>
      <c r="G8894" s="528" t="s">
        <v>205</v>
      </c>
    </row>
    <row r="8895" spans="1:7" x14ac:dyDescent="0.35">
      <c r="A8895" s="528" t="s">
        <v>25913</v>
      </c>
      <c r="B8895" s="528" t="s">
        <v>25914</v>
      </c>
      <c r="C8895" s="528" t="s">
        <v>25915</v>
      </c>
      <c r="D8895" s="528" t="s">
        <v>277</v>
      </c>
      <c r="E8895" s="528"/>
      <c r="F8895" s="528"/>
      <c r="G8895" s="528" t="s">
        <v>205</v>
      </c>
    </row>
    <row r="8896" spans="1:7" x14ac:dyDescent="0.35">
      <c r="A8896" s="528" t="s">
        <v>25916</v>
      </c>
      <c r="B8896" s="528" t="s">
        <v>25917</v>
      </c>
      <c r="C8896" s="528" t="s">
        <v>25918</v>
      </c>
      <c r="D8896" s="528" t="s">
        <v>277</v>
      </c>
      <c r="E8896" s="528"/>
      <c r="F8896" s="528"/>
      <c r="G8896" s="528" t="s">
        <v>208</v>
      </c>
    </row>
    <row r="8897" spans="1:7" x14ac:dyDescent="0.35">
      <c r="A8897" s="528" t="s">
        <v>25919</v>
      </c>
      <c r="B8897" s="528" t="s">
        <v>25920</v>
      </c>
      <c r="C8897" s="528" t="s">
        <v>25921</v>
      </c>
      <c r="D8897" s="528" t="s">
        <v>277</v>
      </c>
      <c r="E8897" s="528"/>
      <c r="F8897" s="528"/>
      <c r="G8897" s="528" t="s">
        <v>214</v>
      </c>
    </row>
    <row r="8898" spans="1:7" x14ac:dyDescent="0.35">
      <c r="A8898" s="528" t="s">
        <v>25922</v>
      </c>
      <c r="B8898" s="528" t="s">
        <v>25923</v>
      </c>
      <c r="C8898" s="528" t="s">
        <v>25924</v>
      </c>
      <c r="D8898" s="528" t="s">
        <v>277</v>
      </c>
      <c r="E8898" s="528"/>
      <c r="F8898" s="528"/>
      <c r="G8898" s="528" t="s">
        <v>212</v>
      </c>
    </row>
    <row r="8899" spans="1:7" x14ac:dyDescent="0.35">
      <c r="A8899" s="528" t="s">
        <v>25925</v>
      </c>
      <c r="B8899" s="528" t="s">
        <v>25926</v>
      </c>
      <c r="C8899" s="528" t="s">
        <v>25927</v>
      </c>
      <c r="D8899" s="528" t="s">
        <v>277</v>
      </c>
      <c r="E8899" s="528"/>
      <c r="F8899" s="528"/>
      <c r="G8899" s="528" t="s">
        <v>208</v>
      </c>
    </row>
    <row r="8900" spans="1:7" x14ac:dyDescent="0.35">
      <c r="A8900" s="528" t="s">
        <v>25928</v>
      </c>
      <c r="B8900" s="528" t="s">
        <v>25929</v>
      </c>
      <c r="C8900" s="528" t="s">
        <v>25930</v>
      </c>
      <c r="D8900" s="528" t="s">
        <v>251</v>
      </c>
      <c r="E8900" s="528"/>
      <c r="F8900" s="528"/>
      <c r="G8900" s="528" t="s">
        <v>205</v>
      </c>
    </row>
    <row r="8901" spans="1:7" x14ac:dyDescent="0.35">
      <c r="A8901" s="528" t="s">
        <v>25931</v>
      </c>
      <c r="B8901" s="528" t="s">
        <v>25932</v>
      </c>
      <c r="C8901" s="528" t="s">
        <v>25933</v>
      </c>
      <c r="D8901" s="528" t="s">
        <v>264</v>
      </c>
      <c r="E8901" s="528"/>
      <c r="F8901" s="528"/>
      <c r="G8901" s="528" t="s">
        <v>205</v>
      </c>
    </row>
    <row r="8902" spans="1:7" x14ac:dyDescent="0.35">
      <c r="A8902" s="528" t="s">
        <v>25934</v>
      </c>
      <c r="B8902" s="528" t="s">
        <v>25935</v>
      </c>
      <c r="C8902" s="528" t="s">
        <v>25936</v>
      </c>
      <c r="D8902" s="528" t="s">
        <v>225</v>
      </c>
      <c r="E8902" s="528"/>
      <c r="F8902" s="528"/>
      <c r="G8902" s="528" t="s">
        <v>205</v>
      </c>
    </row>
    <row r="8903" spans="1:7" x14ac:dyDescent="0.35">
      <c r="A8903" s="528" t="s">
        <v>25937</v>
      </c>
      <c r="B8903" s="528" t="s">
        <v>25938</v>
      </c>
      <c r="C8903" s="528" t="s">
        <v>25939</v>
      </c>
      <c r="D8903" s="528" t="s">
        <v>238</v>
      </c>
      <c r="E8903" s="528"/>
      <c r="F8903" s="528"/>
      <c r="G8903" s="528" t="s">
        <v>205</v>
      </c>
    </row>
    <row r="8904" spans="1:7" x14ac:dyDescent="0.35">
      <c r="A8904" s="528" t="s">
        <v>25940</v>
      </c>
      <c r="B8904" s="528" t="s">
        <v>25941</v>
      </c>
      <c r="C8904" s="528" t="s">
        <v>25942</v>
      </c>
      <c r="D8904" s="528" t="s">
        <v>251</v>
      </c>
      <c r="E8904" s="528"/>
      <c r="F8904" s="528"/>
      <c r="G8904" s="528" t="s">
        <v>208</v>
      </c>
    </row>
    <row r="8905" spans="1:7" x14ac:dyDescent="0.35">
      <c r="A8905" s="528" t="s">
        <v>25943</v>
      </c>
      <c r="B8905" s="528" t="s">
        <v>25944</v>
      </c>
      <c r="C8905" s="528" t="s">
        <v>25945</v>
      </c>
      <c r="D8905" s="528" t="s">
        <v>238</v>
      </c>
      <c r="E8905" s="528"/>
      <c r="F8905" s="528"/>
      <c r="G8905" s="528" t="s">
        <v>205</v>
      </c>
    </row>
    <row r="8906" spans="1:7" x14ac:dyDescent="0.35">
      <c r="A8906" s="528" t="s">
        <v>25946</v>
      </c>
      <c r="B8906" s="528" t="s">
        <v>25947</v>
      </c>
      <c r="C8906" s="528" t="s">
        <v>25948</v>
      </c>
      <c r="D8906" s="528" t="s">
        <v>264</v>
      </c>
      <c r="E8906" s="528"/>
      <c r="F8906" s="528"/>
      <c r="G8906" s="528" t="s">
        <v>208</v>
      </c>
    </row>
    <row r="8907" spans="1:7" x14ac:dyDescent="0.35">
      <c r="A8907" s="528" t="s">
        <v>25949</v>
      </c>
      <c r="B8907" s="528" t="s">
        <v>25950</v>
      </c>
      <c r="C8907" s="528" t="s">
        <v>25951</v>
      </c>
      <c r="D8907" s="528" t="s">
        <v>238</v>
      </c>
      <c r="E8907" s="528"/>
      <c r="F8907" s="528"/>
      <c r="G8907" s="528" t="s">
        <v>208</v>
      </c>
    </row>
    <row r="8908" spans="1:7" x14ac:dyDescent="0.35">
      <c r="A8908" s="528" t="s">
        <v>25952</v>
      </c>
      <c r="B8908" s="528" t="s">
        <v>25953</v>
      </c>
      <c r="C8908" s="528" t="s">
        <v>25954</v>
      </c>
      <c r="D8908" s="528" t="s">
        <v>277</v>
      </c>
      <c r="E8908" s="528" t="s">
        <v>264</v>
      </c>
      <c r="F8908" s="528"/>
      <c r="G8908" s="528" t="s">
        <v>205</v>
      </c>
    </row>
    <row r="8909" spans="1:7" x14ac:dyDescent="0.35">
      <c r="A8909" s="528" t="s">
        <v>25955</v>
      </c>
      <c r="B8909" s="528" t="s">
        <v>25956</v>
      </c>
      <c r="C8909" s="528" t="s">
        <v>25957</v>
      </c>
      <c r="D8909" s="528" t="s">
        <v>277</v>
      </c>
      <c r="E8909" s="528" t="s">
        <v>264</v>
      </c>
      <c r="F8909" s="528"/>
      <c r="G8909" s="528" t="s">
        <v>205</v>
      </c>
    </row>
    <row r="8910" spans="1:7" x14ac:dyDescent="0.35">
      <c r="A8910" s="528" t="s">
        <v>25958</v>
      </c>
      <c r="B8910" s="528" t="s">
        <v>25959</v>
      </c>
      <c r="C8910" s="528" t="s">
        <v>25960</v>
      </c>
      <c r="D8910" s="528" t="s">
        <v>264</v>
      </c>
      <c r="E8910" s="528"/>
      <c r="F8910" s="528"/>
      <c r="G8910" s="528" t="s">
        <v>205</v>
      </c>
    </row>
    <row r="8911" spans="1:7" x14ac:dyDescent="0.35">
      <c r="A8911" s="528" t="s">
        <v>25961</v>
      </c>
      <c r="B8911" s="528" t="s">
        <v>25962</v>
      </c>
      <c r="C8911" s="528" t="s">
        <v>25963</v>
      </c>
      <c r="D8911" s="528" t="s">
        <v>277</v>
      </c>
      <c r="E8911" s="528"/>
      <c r="F8911" s="528"/>
      <c r="G8911" s="528" t="s">
        <v>205</v>
      </c>
    </row>
    <row r="8912" spans="1:7" x14ac:dyDescent="0.35">
      <c r="A8912" s="528" t="s">
        <v>25964</v>
      </c>
      <c r="B8912" s="528" t="s">
        <v>25965</v>
      </c>
      <c r="C8912" s="528" t="s">
        <v>25966</v>
      </c>
      <c r="D8912" s="528" t="s">
        <v>264</v>
      </c>
      <c r="E8912" s="528"/>
      <c r="F8912" s="528"/>
      <c r="G8912" s="528" t="s">
        <v>210</v>
      </c>
    </row>
    <row r="8913" spans="1:7" x14ac:dyDescent="0.35">
      <c r="A8913" s="528" t="s">
        <v>25967</v>
      </c>
      <c r="B8913" s="528" t="s">
        <v>25968</v>
      </c>
      <c r="C8913" s="528" t="s">
        <v>25969</v>
      </c>
      <c r="D8913" s="528" t="s">
        <v>225</v>
      </c>
      <c r="E8913" s="528"/>
      <c r="F8913" s="528"/>
      <c r="G8913" s="528" t="s">
        <v>208</v>
      </c>
    </row>
    <row r="8914" spans="1:7" x14ac:dyDescent="0.35">
      <c r="A8914" s="528" t="s">
        <v>25970</v>
      </c>
      <c r="B8914" s="528" t="s">
        <v>25971</v>
      </c>
      <c r="C8914" s="528" t="s">
        <v>25972</v>
      </c>
      <c r="D8914" s="528" t="s">
        <v>225</v>
      </c>
      <c r="E8914" s="528"/>
      <c r="F8914" s="528"/>
      <c r="G8914" s="528" t="s">
        <v>208</v>
      </c>
    </row>
    <row r="8915" spans="1:7" x14ac:dyDescent="0.35">
      <c r="A8915" s="528" t="s">
        <v>25973</v>
      </c>
      <c r="B8915" s="528" t="s">
        <v>25974</v>
      </c>
      <c r="C8915" s="528" t="s">
        <v>25975</v>
      </c>
      <c r="D8915" s="528" t="s">
        <v>225</v>
      </c>
      <c r="E8915" s="528"/>
      <c r="F8915" s="528"/>
      <c r="G8915" s="528" t="s">
        <v>208</v>
      </c>
    </row>
    <row r="8916" spans="1:7" x14ac:dyDescent="0.35">
      <c r="A8916" s="528" t="s">
        <v>25976</v>
      </c>
      <c r="B8916" s="528" t="s">
        <v>25977</v>
      </c>
      <c r="C8916" s="528" t="s">
        <v>22065</v>
      </c>
      <c r="D8916" s="528" t="s">
        <v>225</v>
      </c>
      <c r="E8916" s="528"/>
      <c r="F8916" s="528"/>
      <c r="G8916" s="528" t="s">
        <v>208</v>
      </c>
    </row>
    <row r="8917" spans="1:7" x14ac:dyDescent="0.35">
      <c r="A8917" s="528" t="s">
        <v>25978</v>
      </c>
      <c r="B8917" s="528" t="s">
        <v>25979</v>
      </c>
      <c r="C8917" s="528" t="s">
        <v>25980</v>
      </c>
      <c r="D8917" s="528" t="s">
        <v>225</v>
      </c>
      <c r="E8917" s="528"/>
      <c r="F8917" s="528"/>
      <c r="G8917" s="528" t="s">
        <v>208</v>
      </c>
    </row>
    <row r="8918" spans="1:7" x14ac:dyDescent="0.35">
      <c r="A8918" s="528" t="s">
        <v>25981</v>
      </c>
      <c r="B8918" s="528" t="s">
        <v>25982</v>
      </c>
      <c r="C8918" s="528" t="s">
        <v>22074</v>
      </c>
      <c r="D8918" s="528" t="s">
        <v>225</v>
      </c>
      <c r="E8918" s="528"/>
      <c r="F8918" s="528"/>
      <c r="G8918" s="528" t="s">
        <v>208</v>
      </c>
    </row>
    <row r="8919" spans="1:7" x14ac:dyDescent="0.35">
      <c r="A8919" s="528" t="s">
        <v>25983</v>
      </c>
      <c r="B8919" s="528" t="s">
        <v>25984</v>
      </c>
      <c r="C8919" s="528" t="s">
        <v>25985</v>
      </c>
      <c r="D8919" s="528" t="s">
        <v>225</v>
      </c>
      <c r="E8919" s="528"/>
      <c r="F8919" s="528"/>
      <c r="G8919" s="528" t="s">
        <v>205</v>
      </c>
    </row>
    <row r="8920" spans="1:7" x14ac:dyDescent="0.35">
      <c r="A8920" s="528" t="s">
        <v>25986</v>
      </c>
      <c r="B8920" s="528" t="s">
        <v>25987</v>
      </c>
      <c r="C8920" s="528" t="s">
        <v>25988</v>
      </c>
      <c r="D8920" s="528" t="s">
        <v>225</v>
      </c>
      <c r="E8920" s="528"/>
      <c r="F8920" s="528"/>
      <c r="G8920" s="528" t="s">
        <v>205</v>
      </c>
    </row>
    <row r="8921" spans="1:7" x14ac:dyDescent="0.35">
      <c r="A8921" s="528" t="s">
        <v>25989</v>
      </c>
      <c r="B8921" s="528" t="s">
        <v>25990</v>
      </c>
      <c r="C8921" s="528" t="s">
        <v>25991</v>
      </c>
      <c r="D8921" s="528" t="s">
        <v>277</v>
      </c>
      <c r="E8921" s="528"/>
      <c r="F8921" s="528"/>
      <c r="G8921" s="528" t="s">
        <v>205</v>
      </c>
    </row>
    <row r="8922" spans="1:7" x14ac:dyDescent="0.35">
      <c r="A8922" s="528" t="s">
        <v>25992</v>
      </c>
      <c r="B8922" s="528" t="s">
        <v>25993</v>
      </c>
      <c r="C8922" s="528" t="s">
        <v>25994</v>
      </c>
      <c r="D8922" s="528" t="s">
        <v>264</v>
      </c>
      <c r="E8922" s="528"/>
      <c r="F8922" s="528"/>
      <c r="G8922" s="528" t="s">
        <v>208</v>
      </c>
    </row>
    <row r="8923" spans="1:7" x14ac:dyDescent="0.35">
      <c r="A8923" s="528" t="s">
        <v>25995</v>
      </c>
      <c r="B8923" s="528" t="s">
        <v>25996</v>
      </c>
      <c r="C8923" s="528" t="s">
        <v>25997</v>
      </c>
      <c r="D8923" s="528" t="s">
        <v>264</v>
      </c>
      <c r="E8923" s="528"/>
      <c r="F8923" s="528"/>
      <c r="G8923" s="528" t="s">
        <v>208</v>
      </c>
    </row>
    <row r="8924" spans="1:7" x14ac:dyDescent="0.35">
      <c r="A8924" s="528" t="s">
        <v>25998</v>
      </c>
      <c r="B8924" s="528" t="s">
        <v>25999</v>
      </c>
      <c r="C8924" s="528" t="s">
        <v>26000</v>
      </c>
      <c r="D8924" s="528" t="s">
        <v>264</v>
      </c>
      <c r="E8924" s="528"/>
      <c r="F8924" s="528"/>
      <c r="G8924" s="528" t="s">
        <v>205</v>
      </c>
    </row>
    <row r="8925" spans="1:7" x14ac:dyDescent="0.35">
      <c r="A8925" s="528" t="s">
        <v>26001</v>
      </c>
      <c r="B8925" s="528" t="s">
        <v>26002</v>
      </c>
      <c r="C8925" s="528" t="s">
        <v>26003</v>
      </c>
      <c r="D8925" s="528" t="s">
        <v>264</v>
      </c>
      <c r="E8925" s="528"/>
      <c r="F8925" s="528"/>
      <c r="G8925" s="528" t="s">
        <v>205</v>
      </c>
    </row>
    <row r="8926" spans="1:7" x14ac:dyDescent="0.35">
      <c r="A8926" s="528" t="s">
        <v>26004</v>
      </c>
      <c r="B8926" s="528" t="s">
        <v>26005</v>
      </c>
      <c r="C8926" s="528" t="s">
        <v>26006</v>
      </c>
      <c r="D8926" s="528" t="s">
        <v>277</v>
      </c>
      <c r="E8926" s="528"/>
      <c r="F8926" s="528"/>
      <c r="G8926" s="528" t="s">
        <v>205</v>
      </c>
    </row>
    <row r="8927" spans="1:7" x14ac:dyDescent="0.35">
      <c r="A8927" s="528" t="s">
        <v>26007</v>
      </c>
      <c r="B8927" s="528" t="s">
        <v>26008</v>
      </c>
      <c r="C8927" s="528" t="s">
        <v>26009</v>
      </c>
      <c r="D8927" s="528" t="s">
        <v>251</v>
      </c>
      <c r="E8927" s="528" t="s">
        <v>277</v>
      </c>
      <c r="F8927" s="528"/>
      <c r="G8927" s="528" t="s">
        <v>208</v>
      </c>
    </row>
    <row r="8928" spans="1:7" x14ac:dyDescent="0.35">
      <c r="A8928" s="528" t="s">
        <v>26010</v>
      </c>
      <c r="B8928" s="528" t="s">
        <v>26011</v>
      </c>
      <c r="C8928" s="528" t="s">
        <v>26012</v>
      </c>
      <c r="D8928" s="528" t="s">
        <v>225</v>
      </c>
      <c r="E8928" s="528" t="s">
        <v>277</v>
      </c>
      <c r="F8928" s="528" t="s">
        <v>264</v>
      </c>
      <c r="G8928" s="528" t="s">
        <v>214</v>
      </c>
    </row>
    <row r="8929" spans="1:7" x14ac:dyDescent="0.35">
      <c r="A8929" s="528" t="s">
        <v>26013</v>
      </c>
      <c r="B8929" s="528" t="s">
        <v>26014</v>
      </c>
      <c r="C8929" s="528" t="s">
        <v>26015</v>
      </c>
      <c r="D8929" s="528" t="s">
        <v>225</v>
      </c>
      <c r="E8929" s="528" t="s">
        <v>277</v>
      </c>
      <c r="F8929" s="528" t="s">
        <v>264</v>
      </c>
      <c r="G8929" s="528" t="s">
        <v>214</v>
      </c>
    </row>
    <row r="8930" spans="1:7" x14ac:dyDescent="0.35">
      <c r="A8930" s="528" t="s">
        <v>26016</v>
      </c>
      <c r="B8930" s="528" t="s">
        <v>26017</v>
      </c>
      <c r="C8930" s="528" t="s">
        <v>26018</v>
      </c>
      <c r="D8930" s="528" t="s">
        <v>277</v>
      </c>
      <c r="E8930" s="528"/>
      <c r="F8930" s="528"/>
      <c r="G8930" s="528" t="s">
        <v>214</v>
      </c>
    </row>
    <row r="8931" spans="1:7" x14ac:dyDescent="0.35">
      <c r="A8931" s="528" t="s">
        <v>26019</v>
      </c>
      <c r="B8931" s="528" t="s">
        <v>26020</v>
      </c>
      <c r="C8931" s="528" t="s">
        <v>26021</v>
      </c>
      <c r="D8931" s="528" t="s">
        <v>277</v>
      </c>
      <c r="E8931" s="528"/>
      <c r="F8931" s="528"/>
      <c r="G8931" s="528" t="s">
        <v>214</v>
      </c>
    </row>
    <row r="8932" spans="1:7" x14ac:dyDescent="0.35">
      <c r="A8932" s="528" t="s">
        <v>26022</v>
      </c>
      <c r="B8932" s="528" t="s">
        <v>26023</v>
      </c>
      <c r="C8932" s="528" t="s">
        <v>26024</v>
      </c>
      <c r="D8932" s="528" t="s">
        <v>251</v>
      </c>
      <c r="E8932" s="528"/>
      <c r="F8932" s="528"/>
      <c r="G8932" s="528" t="s">
        <v>205</v>
      </c>
    </row>
    <row r="8933" spans="1:7" x14ac:dyDescent="0.35">
      <c r="A8933" s="528" t="s">
        <v>26025</v>
      </c>
      <c r="B8933" s="528" t="s">
        <v>26026</v>
      </c>
      <c r="C8933" s="528" t="s">
        <v>26027</v>
      </c>
      <c r="D8933" s="528" t="s">
        <v>251</v>
      </c>
      <c r="E8933" s="528"/>
      <c r="F8933" s="528"/>
      <c r="G8933" s="528" t="s">
        <v>208</v>
      </c>
    </row>
    <row r="8934" spans="1:7" x14ac:dyDescent="0.35">
      <c r="A8934" s="528" t="s">
        <v>26028</v>
      </c>
      <c r="B8934" s="528" t="s">
        <v>26029</v>
      </c>
      <c r="C8934" s="528" t="s">
        <v>26030</v>
      </c>
      <c r="D8934" s="528" t="s">
        <v>264</v>
      </c>
      <c r="E8934" s="528"/>
      <c r="F8934" s="528"/>
      <c r="G8934" s="528" t="s">
        <v>208</v>
      </c>
    </row>
    <row r="8935" spans="1:7" x14ac:dyDescent="0.35">
      <c r="A8935" s="528" t="s">
        <v>26031</v>
      </c>
      <c r="B8935" s="528" t="s">
        <v>26032</v>
      </c>
      <c r="C8935" s="528" t="s">
        <v>26033</v>
      </c>
      <c r="D8935" s="528" t="s">
        <v>225</v>
      </c>
      <c r="E8935" s="528"/>
      <c r="F8935" s="528"/>
      <c r="G8935" s="528" t="s">
        <v>208</v>
      </c>
    </row>
    <row r="8936" spans="1:7" x14ac:dyDescent="0.35">
      <c r="A8936" s="528" t="s">
        <v>26034</v>
      </c>
      <c r="B8936" s="528" t="s">
        <v>26035</v>
      </c>
      <c r="C8936" s="528" t="s">
        <v>26036</v>
      </c>
      <c r="D8936" s="528" t="s">
        <v>225</v>
      </c>
      <c r="E8936" s="528"/>
      <c r="F8936" s="528"/>
      <c r="G8936" s="528" t="s">
        <v>205</v>
      </c>
    </row>
    <row r="8937" spans="1:7" x14ac:dyDescent="0.35">
      <c r="A8937" s="528" t="s">
        <v>26037</v>
      </c>
      <c r="B8937" s="528" t="s">
        <v>26038</v>
      </c>
      <c r="C8937" s="528" t="s">
        <v>26039</v>
      </c>
      <c r="D8937" s="528" t="s">
        <v>251</v>
      </c>
      <c r="E8937" s="528"/>
      <c r="F8937" s="528"/>
      <c r="G8937" s="528" t="s">
        <v>208</v>
      </c>
    </row>
    <row r="8938" spans="1:7" x14ac:dyDescent="0.35">
      <c r="A8938" s="528" t="s">
        <v>26040</v>
      </c>
      <c r="B8938" s="528" t="s">
        <v>26041</v>
      </c>
      <c r="C8938" s="528" t="s">
        <v>26042</v>
      </c>
      <c r="D8938" s="528" t="s">
        <v>277</v>
      </c>
      <c r="E8938" s="528"/>
      <c r="F8938" s="528"/>
      <c r="G8938" s="528" t="s">
        <v>214</v>
      </c>
    </row>
    <row r="8939" spans="1:7" x14ac:dyDescent="0.35">
      <c r="A8939" s="528" t="s">
        <v>26043</v>
      </c>
      <c r="B8939" s="528" t="s">
        <v>26044</v>
      </c>
      <c r="C8939" s="528" t="s">
        <v>26045</v>
      </c>
      <c r="D8939" s="528" t="s">
        <v>277</v>
      </c>
      <c r="E8939" s="528"/>
      <c r="F8939" s="528"/>
      <c r="G8939" s="528" t="s">
        <v>214</v>
      </c>
    </row>
    <row r="8940" spans="1:7" x14ac:dyDescent="0.35">
      <c r="A8940" s="528" t="s">
        <v>26046</v>
      </c>
      <c r="B8940" s="528" t="s">
        <v>26047</v>
      </c>
      <c r="C8940" s="528" t="s">
        <v>26048</v>
      </c>
      <c r="D8940" s="528" t="s">
        <v>277</v>
      </c>
      <c r="E8940" s="528"/>
      <c r="F8940" s="528"/>
      <c r="G8940" s="528" t="s">
        <v>214</v>
      </c>
    </row>
    <row r="8941" spans="1:7" x14ac:dyDescent="0.35">
      <c r="A8941" s="528" t="s">
        <v>26049</v>
      </c>
      <c r="B8941" s="528" t="s">
        <v>26050</v>
      </c>
      <c r="C8941" s="528" t="s">
        <v>26051</v>
      </c>
      <c r="D8941" s="528" t="s">
        <v>277</v>
      </c>
      <c r="E8941" s="528" t="s">
        <v>264</v>
      </c>
      <c r="F8941" s="528"/>
      <c r="G8941" s="528" t="s">
        <v>214</v>
      </c>
    </row>
    <row r="8942" spans="1:7" x14ac:dyDescent="0.35">
      <c r="A8942" s="528" t="s">
        <v>26052</v>
      </c>
      <c r="B8942" s="528" t="s">
        <v>26053</v>
      </c>
      <c r="C8942" s="528" t="s">
        <v>26054</v>
      </c>
      <c r="D8942" s="528" t="s">
        <v>277</v>
      </c>
      <c r="E8942" s="528"/>
      <c r="F8942" s="528"/>
      <c r="G8942" s="528" t="s">
        <v>214</v>
      </c>
    </row>
    <row r="8943" spans="1:7" x14ac:dyDescent="0.35">
      <c r="A8943" s="528" t="s">
        <v>26055</v>
      </c>
      <c r="B8943" s="528" t="s">
        <v>26056</v>
      </c>
      <c r="C8943" s="528" t="s">
        <v>26057</v>
      </c>
      <c r="D8943" s="528" t="s">
        <v>264</v>
      </c>
      <c r="E8943" s="528"/>
      <c r="F8943" s="528"/>
      <c r="G8943" s="528" t="s">
        <v>205</v>
      </c>
    </row>
    <row r="8944" spans="1:7" x14ac:dyDescent="0.35">
      <c r="A8944" s="528" t="s">
        <v>26058</v>
      </c>
      <c r="B8944" s="528" t="s">
        <v>26059</v>
      </c>
      <c r="C8944" s="528" t="s">
        <v>26060</v>
      </c>
      <c r="D8944" s="528" t="s">
        <v>264</v>
      </c>
      <c r="E8944" s="528" t="s">
        <v>251</v>
      </c>
      <c r="F8944" s="528"/>
      <c r="G8944" s="528" t="s">
        <v>208</v>
      </c>
    </row>
    <row r="8945" spans="1:7" x14ac:dyDescent="0.35">
      <c r="A8945" s="528" t="s">
        <v>26061</v>
      </c>
      <c r="B8945" s="528" t="s">
        <v>26062</v>
      </c>
      <c r="C8945" s="528" t="s">
        <v>26063</v>
      </c>
      <c r="D8945" s="528" t="s">
        <v>264</v>
      </c>
      <c r="E8945" s="528" t="s">
        <v>251</v>
      </c>
      <c r="F8945" s="528"/>
      <c r="G8945" s="528" t="s">
        <v>205</v>
      </c>
    </row>
    <row r="8946" spans="1:7" x14ac:dyDescent="0.35">
      <c r="A8946" s="528" t="s">
        <v>26064</v>
      </c>
      <c r="B8946" s="528" t="s">
        <v>26065</v>
      </c>
      <c r="C8946" s="528" t="s">
        <v>26066</v>
      </c>
      <c r="D8946" s="528" t="s">
        <v>238</v>
      </c>
      <c r="E8946" s="528"/>
      <c r="F8946" s="528"/>
      <c r="G8946" s="528" t="s">
        <v>205</v>
      </c>
    </row>
    <row r="8947" spans="1:7" x14ac:dyDescent="0.35">
      <c r="A8947" s="528" t="s">
        <v>26067</v>
      </c>
      <c r="B8947" s="528" t="s">
        <v>26068</v>
      </c>
      <c r="C8947" s="528" t="s">
        <v>26069</v>
      </c>
      <c r="D8947" s="528" t="s">
        <v>251</v>
      </c>
      <c r="E8947" s="528"/>
      <c r="F8947" s="528"/>
      <c r="G8947" s="528" t="s">
        <v>208</v>
      </c>
    </row>
    <row r="8948" spans="1:7" x14ac:dyDescent="0.35">
      <c r="A8948" s="528" t="s">
        <v>26070</v>
      </c>
      <c r="B8948" s="528" t="s">
        <v>26071</v>
      </c>
      <c r="C8948" s="528" t="s">
        <v>26072</v>
      </c>
      <c r="D8948" s="528" t="s">
        <v>251</v>
      </c>
      <c r="E8948" s="528"/>
      <c r="F8948" s="528"/>
      <c r="G8948" s="528" t="s">
        <v>208</v>
      </c>
    </row>
    <row r="8949" spans="1:7" x14ac:dyDescent="0.35">
      <c r="A8949" s="528" t="s">
        <v>26073</v>
      </c>
      <c r="B8949" s="528" t="s">
        <v>26074</v>
      </c>
      <c r="C8949" s="528" t="s">
        <v>26075</v>
      </c>
      <c r="D8949" s="528" t="s">
        <v>251</v>
      </c>
      <c r="E8949" s="528"/>
      <c r="F8949" s="528"/>
      <c r="G8949" s="528" t="s">
        <v>208</v>
      </c>
    </row>
    <row r="8950" spans="1:7" x14ac:dyDescent="0.35">
      <c r="A8950" s="528" t="s">
        <v>26076</v>
      </c>
      <c r="B8950" s="528" t="s">
        <v>26077</v>
      </c>
      <c r="C8950" s="528" t="s">
        <v>26078</v>
      </c>
      <c r="D8950" s="528" t="s">
        <v>277</v>
      </c>
      <c r="E8950" s="528"/>
      <c r="F8950" s="528"/>
      <c r="G8950" s="528" t="s">
        <v>208</v>
      </c>
    </row>
    <row r="8951" spans="1:7" x14ac:dyDescent="0.35">
      <c r="A8951" s="528" t="s">
        <v>26079</v>
      </c>
      <c r="B8951" s="528" t="s">
        <v>26080</v>
      </c>
      <c r="C8951" s="528" t="s">
        <v>26081</v>
      </c>
      <c r="D8951" s="528" t="s">
        <v>251</v>
      </c>
      <c r="E8951" s="528"/>
      <c r="F8951" s="528"/>
      <c r="G8951" s="528" t="s">
        <v>208</v>
      </c>
    </row>
    <row r="8952" spans="1:7" x14ac:dyDescent="0.35">
      <c r="A8952" s="528" t="s">
        <v>26082</v>
      </c>
      <c r="B8952" s="528" t="s">
        <v>26083</v>
      </c>
      <c r="C8952" s="528" t="s">
        <v>26084</v>
      </c>
      <c r="D8952" s="528" t="s">
        <v>277</v>
      </c>
      <c r="E8952" s="528"/>
      <c r="F8952" s="528"/>
      <c r="G8952" s="528" t="s">
        <v>205</v>
      </c>
    </row>
    <row r="8953" spans="1:7" x14ac:dyDescent="0.35">
      <c r="A8953" s="528" t="s">
        <v>26085</v>
      </c>
      <c r="B8953" s="528" t="s">
        <v>26086</v>
      </c>
      <c r="C8953" s="528" t="s">
        <v>26087</v>
      </c>
      <c r="D8953" s="528" t="s">
        <v>264</v>
      </c>
      <c r="E8953" s="528"/>
      <c r="F8953" s="528"/>
      <c r="G8953" s="528" t="s">
        <v>205</v>
      </c>
    </row>
    <row r="8954" spans="1:7" x14ac:dyDescent="0.35">
      <c r="A8954" s="528" t="s">
        <v>26088</v>
      </c>
      <c r="B8954" s="528" t="s">
        <v>26089</v>
      </c>
      <c r="C8954" s="528" t="s">
        <v>26090</v>
      </c>
      <c r="D8954" s="528" t="s">
        <v>238</v>
      </c>
      <c r="E8954" s="528"/>
      <c r="F8954" s="528"/>
      <c r="G8954" s="528" t="s">
        <v>212</v>
      </c>
    </row>
    <row r="8955" spans="1:7" x14ac:dyDescent="0.35">
      <c r="A8955" s="528" t="s">
        <v>26091</v>
      </c>
      <c r="B8955" s="528" t="s">
        <v>26092</v>
      </c>
      <c r="C8955" s="528" t="s">
        <v>26093</v>
      </c>
      <c r="D8955" s="528" t="s">
        <v>238</v>
      </c>
      <c r="E8955" s="528"/>
      <c r="F8955" s="528"/>
      <c r="G8955" s="528" t="s">
        <v>208</v>
      </c>
    </row>
    <row r="8956" spans="1:7" x14ac:dyDescent="0.35">
      <c r="A8956" s="528" t="s">
        <v>26094</v>
      </c>
      <c r="B8956" s="528" t="s">
        <v>26095</v>
      </c>
      <c r="C8956" s="528" t="s">
        <v>26096</v>
      </c>
      <c r="D8956" s="528" t="s">
        <v>225</v>
      </c>
      <c r="E8956" s="528"/>
      <c r="F8956" s="528"/>
      <c r="G8956" s="528" t="s">
        <v>208</v>
      </c>
    </row>
    <row r="8957" spans="1:7" x14ac:dyDescent="0.35">
      <c r="A8957" s="528" t="s">
        <v>26097</v>
      </c>
      <c r="B8957" s="528" t="s">
        <v>26098</v>
      </c>
      <c r="C8957" s="528" t="s">
        <v>26099</v>
      </c>
      <c r="D8957" s="528" t="s">
        <v>264</v>
      </c>
      <c r="E8957" s="528"/>
      <c r="F8957" s="528"/>
      <c r="G8957" s="528" t="s">
        <v>205</v>
      </c>
    </row>
    <row r="8958" spans="1:7" x14ac:dyDescent="0.35">
      <c r="A8958" s="528" t="s">
        <v>26100</v>
      </c>
      <c r="B8958" s="528" t="s">
        <v>26101</v>
      </c>
      <c r="C8958" s="528" t="s">
        <v>26102</v>
      </c>
      <c r="D8958" s="528" t="s">
        <v>251</v>
      </c>
      <c r="E8958" s="528"/>
      <c r="F8958" s="528"/>
      <c r="G8958" s="528" t="s">
        <v>208</v>
      </c>
    </row>
    <row r="8959" spans="1:7" x14ac:dyDescent="0.35">
      <c r="A8959" s="528" t="s">
        <v>26103</v>
      </c>
      <c r="B8959" s="528" t="s">
        <v>26104</v>
      </c>
      <c r="C8959" s="528" t="s">
        <v>26105</v>
      </c>
      <c r="D8959" s="528" t="s">
        <v>277</v>
      </c>
      <c r="E8959" s="528"/>
      <c r="F8959" s="528"/>
      <c r="G8959" s="528" t="s">
        <v>208</v>
      </c>
    </row>
    <row r="8960" spans="1:7" x14ac:dyDescent="0.35">
      <c r="A8960" s="528" t="s">
        <v>26106</v>
      </c>
      <c r="B8960" s="528" t="s">
        <v>26107</v>
      </c>
      <c r="C8960" s="528" t="s">
        <v>26108</v>
      </c>
      <c r="D8960" s="528" t="s">
        <v>277</v>
      </c>
      <c r="E8960" s="528"/>
      <c r="F8960" s="528"/>
      <c r="G8960" s="528" t="s">
        <v>208</v>
      </c>
    </row>
    <row r="8961" spans="1:7" x14ac:dyDescent="0.35">
      <c r="A8961" s="528" t="s">
        <v>26109</v>
      </c>
      <c r="B8961" s="528" t="s">
        <v>26110</v>
      </c>
      <c r="C8961" s="528" t="s">
        <v>26111</v>
      </c>
      <c r="D8961" s="528" t="s">
        <v>225</v>
      </c>
      <c r="E8961" s="528"/>
      <c r="F8961" s="528"/>
      <c r="G8961" s="528" t="s">
        <v>208</v>
      </c>
    </row>
    <row r="8962" spans="1:7" x14ac:dyDescent="0.35">
      <c r="A8962" s="528" t="s">
        <v>26112</v>
      </c>
      <c r="B8962" s="528" t="s">
        <v>26113</v>
      </c>
      <c r="C8962" s="528" t="s">
        <v>26114</v>
      </c>
      <c r="D8962" s="528" t="s">
        <v>264</v>
      </c>
      <c r="E8962" s="528"/>
      <c r="F8962" s="528"/>
      <c r="G8962" s="528" t="s">
        <v>205</v>
      </c>
    </row>
    <row r="8963" spans="1:7" x14ac:dyDescent="0.35">
      <c r="A8963" s="528" t="s">
        <v>26115</v>
      </c>
      <c r="B8963" s="528" t="s">
        <v>26116</v>
      </c>
      <c r="C8963" s="528" t="s">
        <v>26117</v>
      </c>
      <c r="D8963" s="528" t="s">
        <v>251</v>
      </c>
      <c r="E8963" s="528"/>
      <c r="F8963" s="528"/>
      <c r="G8963" s="528" t="s">
        <v>205</v>
      </c>
    </row>
    <row r="8964" spans="1:7" x14ac:dyDescent="0.35">
      <c r="A8964" s="528" t="s">
        <v>26118</v>
      </c>
      <c r="B8964" s="528" t="s">
        <v>26119</v>
      </c>
      <c r="C8964" s="528" t="s">
        <v>26120</v>
      </c>
      <c r="D8964" s="528" t="s">
        <v>225</v>
      </c>
      <c r="E8964" s="528"/>
      <c r="F8964" s="528"/>
      <c r="G8964" s="528" t="s">
        <v>208</v>
      </c>
    </row>
    <row r="8965" spans="1:7" x14ac:dyDescent="0.35">
      <c r="A8965" s="528" t="s">
        <v>26121</v>
      </c>
      <c r="B8965" s="528" t="s">
        <v>26122</v>
      </c>
      <c r="C8965" s="528" t="s">
        <v>26123</v>
      </c>
      <c r="D8965" s="528" t="s">
        <v>264</v>
      </c>
      <c r="E8965" s="528" t="s">
        <v>277</v>
      </c>
      <c r="F8965" s="528"/>
      <c r="G8965" s="528" t="s">
        <v>205</v>
      </c>
    </row>
    <row r="8966" spans="1:7" x14ac:dyDescent="0.35">
      <c r="A8966" s="528" t="s">
        <v>26124</v>
      </c>
      <c r="B8966" s="528" t="s">
        <v>26125</v>
      </c>
      <c r="C8966" s="528" t="s">
        <v>26126</v>
      </c>
      <c r="D8966" s="528" t="s">
        <v>264</v>
      </c>
      <c r="E8966" s="528" t="s">
        <v>277</v>
      </c>
      <c r="F8966" s="528"/>
      <c r="G8966" s="528" t="s">
        <v>205</v>
      </c>
    </row>
    <row r="8967" spans="1:7" x14ac:dyDescent="0.35">
      <c r="A8967" s="528" t="s">
        <v>26127</v>
      </c>
      <c r="B8967" s="528" t="s">
        <v>26128</v>
      </c>
      <c r="C8967" s="528" t="s">
        <v>26129</v>
      </c>
      <c r="D8967" s="528" t="s">
        <v>264</v>
      </c>
      <c r="E8967" s="528"/>
      <c r="F8967" s="528"/>
      <c r="G8967" s="528" t="s">
        <v>212</v>
      </c>
    </row>
    <row r="8968" spans="1:7" x14ac:dyDescent="0.35">
      <c r="A8968" s="528" t="s">
        <v>26130</v>
      </c>
      <c r="B8968" s="528" t="s">
        <v>26131</v>
      </c>
      <c r="C8968" s="528" t="s">
        <v>26132</v>
      </c>
      <c r="D8968" s="528" t="s">
        <v>264</v>
      </c>
      <c r="E8968" s="528"/>
      <c r="F8968" s="528"/>
      <c r="G8968" s="528" t="s">
        <v>208</v>
      </c>
    </row>
    <row r="8969" spans="1:7" x14ac:dyDescent="0.35">
      <c r="A8969" s="528" t="s">
        <v>26133</v>
      </c>
      <c r="B8969" s="528" t="s">
        <v>26134</v>
      </c>
      <c r="C8969" s="528" t="s">
        <v>26135</v>
      </c>
      <c r="D8969" s="528" t="s">
        <v>225</v>
      </c>
      <c r="E8969" s="528" t="s">
        <v>264</v>
      </c>
      <c r="F8969" s="528"/>
      <c r="G8969" s="528" t="s">
        <v>208</v>
      </c>
    </row>
    <row r="8970" spans="1:7" x14ac:dyDescent="0.35">
      <c r="A8970" s="528" t="s">
        <v>26136</v>
      </c>
      <c r="B8970" s="528" t="s">
        <v>26137</v>
      </c>
      <c r="C8970" s="528" t="s">
        <v>26138</v>
      </c>
      <c r="D8970" s="528" t="s">
        <v>264</v>
      </c>
      <c r="E8970" s="528"/>
      <c r="F8970" s="528"/>
      <c r="G8970" s="528" t="s">
        <v>208</v>
      </c>
    </row>
    <row r="8971" spans="1:7" x14ac:dyDescent="0.35">
      <c r="A8971" s="528" t="s">
        <v>26139</v>
      </c>
      <c r="B8971" s="528" t="s">
        <v>26140</v>
      </c>
      <c r="C8971" s="528" t="s">
        <v>26141</v>
      </c>
      <c r="D8971" s="528" t="s">
        <v>264</v>
      </c>
      <c r="E8971" s="528"/>
      <c r="F8971" s="528"/>
      <c r="G8971" s="528" t="s">
        <v>208</v>
      </c>
    </row>
    <row r="8972" spans="1:7" x14ac:dyDescent="0.35">
      <c r="A8972" s="528" t="s">
        <v>26142</v>
      </c>
      <c r="B8972" s="528" t="s">
        <v>26143</v>
      </c>
      <c r="C8972" s="528" t="s">
        <v>26144</v>
      </c>
      <c r="D8972" s="528" t="s">
        <v>264</v>
      </c>
      <c r="E8972" s="528"/>
      <c r="F8972" s="528"/>
      <c r="G8972" s="528" t="s">
        <v>208</v>
      </c>
    </row>
    <row r="8973" spans="1:7" x14ac:dyDescent="0.35">
      <c r="A8973" s="528" t="s">
        <v>26145</v>
      </c>
      <c r="B8973" s="528" t="s">
        <v>26146</v>
      </c>
      <c r="C8973" s="528" t="s">
        <v>26147</v>
      </c>
      <c r="D8973" s="528" t="s">
        <v>251</v>
      </c>
      <c r="E8973" s="528"/>
      <c r="F8973" s="528"/>
      <c r="G8973" s="528" t="s">
        <v>212</v>
      </c>
    </row>
    <row r="8974" spans="1:7" x14ac:dyDescent="0.35">
      <c r="A8974" s="528" t="s">
        <v>26148</v>
      </c>
      <c r="B8974" s="528" t="s">
        <v>26149</v>
      </c>
      <c r="C8974" s="528" t="s">
        <v>26150</v>
      </c>
      <c r="D8974" s="528" t="s">
        <v>225</v>
      </c>
      <c r="E8974" s="528"/>
      <c r="F8974" s="528"/>
      <c r="G8974" s="528" t="s">
        <v>208</v>
      </c>
    </row>
    <row r="8975" spans="1:7" x14ac:dyDescent="0.35">
      <c r="A8975" s="528" t="s">
        <v>26151</v>
      </c>
      <c r="B8975" s="528" t="s">
        <v>26152</v>
      </c>
      <c r="C8975" s="528" t="s">
        <v>22041</v>
      </c>
      <c r="D8975" s="528" t="s">
        <v>225</v>
      </c>
      <c r="E8975" s="528"/>
      <c r="F8975" s="528"/>
      <c r="G8975" s="528" t="s">
        <v>205</v>
      </c>
    </row>
    <row r="8976" spans="1:7" x14ac:dyDescent="0.35">
      <c r="A8976" s="528" t="s">
        <v>26153</v>
      </c>
      <c r="B8976" s="528" t="s">
        <v>26154</v>
      </c>
      <c r="C8976" s="528" t="s">
        <v>22044</v>
      </c>
      <c r="D8976" s="528" t="s">
        <v>225</v>
      </c>
      <c r="E8976" s="528"/>
      <c r="F8976" s="528"/>
      <c r="G8976" s="528" t="s">
        <v>205</v>
      </c>
    </row>
    <row r="8977" spans="1:7" x14ac:dyDescent="0.35">
      <c r="A8977" s="528" t="s">
        <v>26155</v>
      </c>
      <c r="B8977" s="528" t="s">
        <v>26156</v>
      </c>
      <c r="C8977" s="528" t="s">
        <v>26157</v>
      </c>
      <c r="D8977" s="528" t="s">
        <v>251</v>
      </c>
      <c r="E8977" s="528"/>
      <c r="F8977" s="528"/>
      <c r="G8977" s="528" t="s">
        <v>205</v>
      </c>
    </row>
    <row r="8978" spans="1:7" x14ac:dyDescent="0.35">
      <c r="A8978" s="528" t="s">
        <v>26158</v>
      </c>
      <c r="B8978" s="528" t="s">
        <v>26159</v>
      </c>
      <c r="C8978" s="528" t="s">
        <v>26160</v>
      </c>
      <c r="D8978" s="528" t="s">
        <v>277</v>
      </c>
      <c r="E8978" s="528"/>
      <c r="F8978" s="528"/>
      <c r="G8978" s="528" t="s">
        <v>214</v>
      </c>
    </row>
    <row r="8979" spans="1:7" x14ac:dyDescent="0.35">
      <c r="A8979" s="528" t="s">
        <v>26161</v>
      </c>
      <c r="B8979" s="528" t="s">
        <v>26162</v>
      </c>
      <c r="C8979" s="528" t="s">
        <v>26163</v>
      </c>
      <c r="D8979" s="528" t="s">
        <v>238</v>
      </c>
      <c r="E8979" s="528"/>
      <c r="F8979" s="528"/>
      <c r="G8979" s="528" t="s">
        <v>205</v>
      </c>
    </row>
    <row r="8980" spans="1:7" x14ac:dyDescent="0.35">
      <c r="A8980" s="528" t="s">
        <v>26164</v>
      </c>
      <c r="B8980" s="528" t="s">
        <v>26165</v>
      </c>
      <c r="C8980" s="528" t="s">
        <v>26166</v>
      </c>
      <c r="D8980" s="528" t="s">
        <v>251</v>
      </c>
      <c r="E8980" s="528"/>
      <c r="F8980" s="528"/>
      <c r="G8980" s="528" t="s">
        <v>208</v>
      </c>
    </row>
    <row r="8981" spans="1:7" x14ac:dyDescent="0.35">
      <c r="A8981" s="528" t="s">
        <v>26167</v>
      </c>
      <c r="B8981" s="528" t="s">
        <v>26168</v>
      </c>
      <c r="C8981" s="528" t="s">
        <v>26169</v>
      </c>
      <c r="D8981" s="528" t="s">
        <v>251</v>
      </c>
      <c r="E8981" s="528"/>
      <c r="F8981" s="528"/>
      <c r="G8981" s="528" t="s">
        <v>205</v>
      </c>
    </row>
    <row r="8982" spans="1:7" x14ac:dyDescent="0.35">
      <c r="A8982" s="528" t="s">
        <v>26170</v>
      </c>
      <c r="B8982" s="528" t="s">
        <v>26171</v>
      </c>
      <c r="C8982" s="528" t="s">
        <v>26172</v>
      </c>
      <c r="D8982" s="528" t="s">
        <v>277</v>
      </c>
      <c r="E8982" s="528"/>
      <c r="F8982" s="528"/>
      <c r="G8982" s="528" t="s">
        <v>208</v>
      </c>
    </row>
    <row r="8983" spans="1:7" x14ac:dyDescent="0.35">
      <c r="A8983" s="528" t="s">
        <v>26173</v>
      </c>
      <c r="B8983" s="528" t="s">
        <v>26174</v>
      </c>
      <c r="C8983" s="528" t="s">
        <v>26175</v>
      </c>
      <c r="D8983" s="528" t="s">
        <v>264</v>
      </c>
      <c r="E8983" s="528"/>
      <c r="F8983" s="528"/>
      <c r="G8983" s="528" t="s">
        <v>210</v>
      </c>
    </row>
    <row r="8984" spans="1:7" x14ac:dyDescent="0.35">
      <c r="A8984" s="528" t="s">
        <v>26176</v>
      </c>
      <c r="B8984" s="528" t="s">
        <v>26177</v>
      </c>
      <c r="C8984" s="528" t="s">
        <v>26178</v>
      </c>
      <c r="D8984" s="528" t="s">
        <v>264</v>
      </c>
      <c r="E8984" s="528"/>
      <c r="F8984" s="528"/>
      <c r="G8984" s="528" t="s">
        <v>210</v>
      </c>
    </row>
    <row r="8985" spans="1:7" x14ac:dyDescent="0.35">
      <c r="A8985" s="528" t="s">
        <v>26179</v>
      </c>
      <c r="B8985" s="528" t="s">
        <v>26180</v>
      </c>
      <c r="C8985" s="528" t="s">
        <v>26181</v>
      </c>
      <c r="D8985" s="528" t="s">
        <v>277</v>
      </c>
      <c r="E8985" s="528"/>
      <c r="F8985" s="528"/>
      <c r="G8985" s="528" t="s">
        <v>212</v>
      </c>
    </row>
    <row r="8986" spans="1:7" x14ac:dyDescent="0.35">
      <c r="A8986" s="528" t="s">
        <v>26182</v>
      </c>
      <c r="B8986" s="528" t="s">
        <v>26183</v>
      </c>
      <c r="C8986" s="528" t="s">
        <v>26184</v>
      </c>
      <c r="D8986" s="528" t="s">
        <v>277</v>
      </c>
      <c r="E8986" s="528"/>
      <c r="F8986" s="528"/>
      <c r="G8986" s="528" t="s">
        <v>208</v>
      </c>
    </row>
    <row r="8987" spans="1:7" x14ac:dyDescent="0.35">
      <c r="A8987" s="528" t="s">
        <v>26185</v>
      </c>
      <c r="B8987" s="528" t="s">
        <v>26186</v>
      </c>
      <c r="C8987" s="528" t="s">
        <v>26187</v>
      </c>
      <c r="D8987" s="528" t="s">
        <v>238</v>
      </c>
      <c r="E8987" s="528"/>
      <c r="F8987" s="528"/>
      <c r="G8987" s="528" t="s">
        <v>208</v>
      </c>
    </row>
    <row r="8988" spans="1:7" x14ac:dyDescent="0.35">
      <c r="A8988" s="528" t="s">
        <v>26188</v>
      </c>
      <c r="B8988" s="528" t="s">
        <v>26189</v>
      </c>
      <c r="C8988" s="528" t="s">
        <v>26190</v>
      </c>
      <c r="D8988" s="528" t="s">
        <v>238</v>
      </c>
      <c r="E8988" s="528"/>
      <c r="F8988" s="528"/>
      <c r="G8988" s="528" t="s">
        <v>208</v>
      </c>
    </row>
    <row r="8989" spans="1:7" x14ac:dyDescent="0.35">
      <c r="A8989" s="528" t="s">
        <v>26191</v>
      </c>
      <c r="B8989" s="528" t="s">
        <v>26192</v>
      </c>
      <c r="C8989" s="528" t="s">
        <v>26193</v>
      </c>
      <c r="D8989" s="528" t="s">
        <v>277</v>
      </c>
      <c r="E8989" s="528"/>
      <c r="F8989" s="528"/>
      <c r="G8989" s="528" t="s">
        <v>214</v>
      </c>
    </row>
    <row r="8990" spans="1:7" x14ac:dyDescent="0.35">
      <c r="A8990" s="528" t="s">
        <v>26194</v>
      </c>
      <c r="B8990" s="528" t="s">
        <v>26195</v>
      </c>
      <c r="C8990" s="528" t="s">
        <v>26196</v>
      </c>
      <c r="D8990" s="528" t="s">
        <v>264</v>
      </c>
      <c r="E8990" s="528"/>
      <c r="F8990" s="528"/>
      <c r="G8990" s="528" t="s">
        <v>208</v>
      </c>
    </row>
    <row r="8991" spans="1:7" x14ac:dyDescent="0.35">
      <c r="A8991" s="528" t="s">
        <v>26197</v>
      </c>
      <c r="B8991" s="528" t="s">
        <v>26198</v>
      </c>
      <c r="C8991" s="528" t="s">
        <v>26199</v>
      </c>
      <c r="D8991" s="528" t="s">
        <v>264</v>
      </c>
      <c r="E8991" s="528"/>
      <c r="F8991" s="528"/>
      <c r="G8991" s="528" t="s">
        <v>205</v>
      </c>
    </row>
    <row r="8992" spans="1:7" x14ac:dyDescent="0.35">
      <c r="A8992" s="528" t="s">
        <v>26200</v>
      </c>
      <c r="B8992" s="528" t="s">
        <v>26201</v>
      </c>
      <c r="C8992" s="528" t="s">
        <v>26202</v>
      </c>
      <c r="D8992" s="528" t="s">
        <v>264</v>
      </c>
      <c r="E8992" s="528"/>
      <c r="F8992" s="528"/>
      <c r="G8992" s="528" t="s">
        <v>208</v>
      </c>
    </row>
    <row r="8993" spans="1:7" x14ac:dyDescent="0.35">
      <c r="A8993" s="528" t="s">
        <v>26203</v>
      </c>
      <c r="B8993" s="528" t="s">
        <v>26204</v>
      </c>
      <c r="C8993" s="528" t="s">
        <v>26205</v>
      </c>
      <c r="D8993" s="528" t="s">
        <v>264</v>
      </c>
      <c r="E8993" s="528"/>
      <c r="F8993" s="528"/>
      <c r="G8993" s="528" t="s">
        <v>208</v>
      </c>
    </row>
    <row r="8994" spans="1:7" x14ac:dyDescent="0.35">
      <c r="A8994" s="528" t="s">
        <v>26206</v>
      </c>
      <c r="B8994" s="528" t="s">
        <v>26207</v>
      </c>
      <c r="C8994" s="528" t="s">
        <v>26208</v>
      </c>
      <c r="D8994" s="528" t="s">
        <v>225</v>
      </c>
      <c r="E8994" s="528"/>
      <c r="F8994" s="528"/>
      <c r="G8994" s="528" t="s">
        <v>208</v>
      </c>
    </row>
    <row r="8995" spans="1:7" x14ac:dyDescent="0.35">
      <c r="A8995" s="528" t="s">
        <v>26209</v>
      </c>
      <c r="B8995" s="528" t="s">
        <v>26210</v>
      </c>
      <c r="C8995" s="528" t="s">
        <v>26211</v>
      </c>
      <c r="D8995" s="528" t="s">
        <v>264</v>
      </c>
      <c r="E8995" s="528"/>
      <c r="F8995" s="528"/>
      <c r="G8995" s="528" t="s">
        <v>212</v>
      </c>
    </row>
    <row r="8996" spans="1:7" x14ac:dyDescent="0.35">
      <c r="A8996" s="528" t="s">
        <v>26212</v>
      </c>
      <c r="B8996" s="528" t="s">
        <v>26213</v>
      </c>
      <c r="C8996" s="528" t="s">
        <v>26214</v>
      </c>
      <c r="D8996" s="528" t="s">
        <v>277</v>
      </c>
      <c r="E8996" s="528"/>
      <c r="F8996" s="528"/>
      <c r="G8996" s="528" t="s">
        <v>205</v>
      </c>
    </row>
    <row r="8997" spans="1:7" x14ac:dyDescent="0.35">
      <c r="A8997" s="528" t="s">
        <v>26215</v>
      </c>
      <c r="B8997" s="528" t="s">
        <v>26216</v>
      </c>
      <c r="C8997" s="528" t="s">
        <v>26217</v>
      </c>
      <c r="D8997" s="528" t="s">
        <v>277</v>
      </c>
      <c r="E8997" s="528"/>
      <c r="F8997" s="528"/>
      <c r="G8997" s="528" t="s">
        <v>205</v>
      </c>
    </row>
    <row r="8998" spans="1:7" x14ac:dyDescent="0.35">
      <c r="A8998" s="528" t="s">
        <v>26218</v>
      </c>
      <c r="B8998" s="528" t="s">
        <v>26219</v>
      </c>
      <c r="C8998" s="528" t="s">
        <v>26220</v>
      </c>
      <c r="D8998" s="528" t="s">
        <v>264</v>
      </c>
      <c r="E8998" s="528"/>
      <c r="F8998" s="528"/>
      <c r="G8998" s="528" t="s">
        <v>205</v>
      </c>
    </row>
    <row r="8999" spans="1:7" x14ac:dyDescent="0.35">
      <c r="A8999" s="528" t="s">
        <v>26221</v>
      </c>
      <c r="B8999" s="528" t="s">
        <v>26222</v>
      </c>
      <c r="C8999" s="528" t="s">
        <v>26223</v>
      </c>
      <c r="D8999" s="528" t="s">
        <v>264</v>
      </c>
      <c r="E8999" s="528"/>
      <c r="F8999" s="528"/>
      <c r="G8999" s="528" t="s">
        <v>205</v>
      </c>
    </row>
    <row r="9000" spans="1:7" x14ac:dyDescent="0.35">
      <c r="A9000" s="528" t="s">
        <v>26224</v>
      </c>
      <c r="B9000" s="528" t="s">
        <v>26225</v>
      </c>
      <c r="C9000" s="528" t="s">
        <v>26226</v>
      </c>
      <c r="D9000" s="528" t="s">
        <v>264</v>
      </c>
      <c r="E9000" s="528"/>
      <c r="F9000" s="528"/>
      <c r="G9000" s="528" t="s">
        <v>205</v>
      </c>
    </row>
    <row r="9001" spans="1:7" x14ac:dyDescent="0.35">
      <c r="A9001" s="528" t="s">
        <v>26227</v>
      </c>
      <c r="B9001" s="528" t="s">
        <v>26228</v>
      </c>
      <c r="C9001" s="528" t="s">
        <v>26229</v>
      </c>
      <c r="D9001" s="528" t="s">
        <v>277</v>
      </c>
      <c r="E9001" s="528"/>
      <c r="F9001" s="528"/>
      <c r="G9001" s="528" t="s">
        <v>214</v>
      </c>
    </row>
    <row r="9002" spans="1:7" x14ac:dyDescent="0.35">
      <c r="A9002" s="528" t="s">
        <v>26230</v>
      </c>
      <c r="B9002" s="528" t="s">
        <v>26231</v>
      </c>
      <c r="C9002" s="528" t="s">
        <v>26232</v>
      </c>
      <c r="D9002" s="528" t="s">
        <v>277</v>
      </c>
      <c r="E9002" s="528"/>
      <c r="F9002" s="528"/>
      <c r="G9002" s="528" t="s">
        <v>208</v>
      </c>
    </row>
    <row r="9003" spans="1:7" x14ac:dyDescent="0.35">
      <c r="A9003" s="528" t="s">
        <v>26233</v>
      </c>
      <c r="B9003" s="528" t="s">
        <v>26234</v>
      </c>
      <c r="C9003" s="528" t="s">
        <v>26235</v>
      </c>
      <c r="D9003" s="528" t="s">
        <v>225</v>
      </c>
      <c r="E9003" s="528" t="s">
        <v>277</v>
      </c>
      <c r="F9003" s="528"/>
      <c r="G9003" s="528" t="s">
        <v>208</v>
      </c>
    </row>
    <row r="9004" spans="1:7" x14ac:dyDescent="0.35">
      <c r="A9004" s="528" t="s">
        <v>26236</v>
      </c>
      <c r="B9004" s="528" t="s">
        <v>26237</v>
      </c>
      <c r="C9004" s="528" t="s">
        <v>26238</v>
      </c>
      <c r="D9004" s="528" t="s">
        <v>264</v>
      </c>
      <c r="E9004" s="528"/>
      <c r="F9004" s="528"/>
      <c r="G9004" s="528" t="s">
        <v>205</v>
      </c>
    </row>
    <row r="9005" spans="1:7" x14ac:dyDescent="0.35">
      <c r="A9005" s="528" t="s">
        <v>26239</v>
      </c>
      <c r="B9005" s="528" t="s">
        <v>26240</v>
      </c>
      <c r="C9005" s="528" t="s">
        <v>26241</v>
      </c>
      <c r="D9005" s="528" t="s">
        <v>264</v>
      </c>
      <c r="E9005" s="528"/>
      <c r="F9005" s="528"/>
      <c r="G9005" s="528" t="s">
        <v>208</v>
      </c>
    </row>
    <row r="9006" spans="1:7" x14ac:dyDescent="0.35">
      <c r="A9006" s="528" t="s">
        <v>26242</v>
      </c>
      <c r="B9006" s="528" t="s">
        <v>26243</v>
      </c>
      <c r="C9006" s="528" t="s">
        <v>26244</v>
      </c>
      <c r="D9006" s="528" t="s">
        <v>225</v>
      </c>
      <c r="E9006" s="528"/>
      <c r="F9006" s="528"/>
      <c r="G9006" s="528" t="s">
        <v>208</v>
      </c>
    </row>
    <row r="9007" spans="1:7" x14ac:dyDescent="0.35">
      <c r="A9007" s="528" t="s">
        <v>26245</v>
      </c>
      <c r="B9007" s="528" t="s">
        <v>26246</v>
      </c>
      <c r="C9007" s="528" t="s">
        <v>26247</v>
      </c>
      <c r="D9007" s="528" t="s">
        <v>264</v>
      </c>
      <c r="E9007" s="528"/>
      <c r="F9007" s="528"/>
      <c r="G9007" s="528" t="s">
        <v>208</v>
      </c>
    </row>
    <row r="9008" spans="1:7" x14ac:dyDescent="0.35">
      <c r="A9008" s="528" t="s">
        <v>26248</v>
      </c>
      <c r="B9008" s="528" t="s">
        <v>26249</v>
      </c>
      <c r="C9008" s="528" t="s">
        <v>26250</v>
      </c>
      <c r="D9008" s="528" t="s">
        <v>277</v>
      </c>
      <c r="E9008" s="528"/>
      <c r="F9008" s="528"/>
      <c r="G9008" s="528" t="s">
        <v>214</v>
      </c>
    </row>
    <row r="9009" spans="1:7" x14ac:dyDescent="0.35">
      <c r="A9009" s="528" t="s">
        <v>26251</v>
      </c>
      <c r="B9009" s="528" t="s">
        <v>26252</v>
      </c>
      <c r="C9009" s="528" t="s">
        <v>26253</v>
      </c>
      <c r="D9009" s="528" t="s">
        <v>225</v>
      </c>
      <c r="E9009" s="528"/>
      <c r="F9009" s="528"/>
      <c r="G9009" s="528" t="s">
        <v>208</v>
      </c>
    </row>
    <row r="9010" spans="1:7" x14ac:dyDescent="0.35">
      <c r="A9010" s="528" t="s">
        <v>26254</v>
      </c>
      <c r="B9010" s="528" t="s">
        <v>26255</v>
      </c>
      <c r="C9010" s="528" t="s">
        <v>26256</v>
      </c>
      <c r="D9010" s="528" t="s">
        <v>238</v>
      </c>
      <c r="E9010" s="528"/>
      <c r="F9010" s="528"/>
      <c r="G9010" s="528" t="s">
        <v>208</v>
      </c>
    </row>
    <row r="9011" spans="1:7" x14ac:dyDescent="0.35">
      <c r="A9011" s="528" t="s">
        <v>26257</v>
      </c>
      <c r="B9011" s="528" t="s">
        <v>26258</v>
      </c>
      <c r="C9011" s="528" t="s">
        <v>26259</v>
      </c>
      <c r="D9011" s="528" t="s">
        <v>264</v>
      </c>
      <c r="E9011" s="528"/>
      <c r="F9011" s="528"/>
      <c r="G9011" s="528" t="s">
        <v>212</v>
      </c>
    </row>
    <row r="9012" spans="1:7" x14ac:dyDescent="0.35">
      <c r="A9012" s="528" t="s">
        <v>26260</v>
      </c>
      <c r="B9012" s="528" t="s">
        <v>26261</v>
      </c>
      <c r="C9012" s="528" t="s">
        <v>26262</v>
      </c>
      <c r="D9012" s="528" t="s">
        <v>277</v>
      </c>
      <c r="E9012" s="528"/>
      <c r="F9012" s="528"/>
      <c r="G9012" s="528" t="s">
        <v>214</v>
      </c>
    </row>
    <row r="9013" spans="1:7" x14ac:dyDescent="0.35">
      <c r="A9013" s="528" t="s">
        <v>26263</v>
      </c>
      <c r="B9013" s="528" t="s">
        <v>26264</v>
      </c>
      <c r="C9013" s="528" t="s">
        <v>26265</v>
      </c>
      <c r="D9013" s="528" t="s">
        <v>264</v>
      </c>
      <c r="E9013" s="528"/>
      <c r="F9013" s="528"/>
      <c r="G9013" s="528" t="s">
        <v>205</v>
      </c>
    </row>
    <row r="9014" spans="1:7" x14ac:dyDescent="0.35">
      <c r="A9014" s="528" t="s">
        <v>26266</v>
      </c>
      <c r="B9014" s="528" t="s">
        <v>26267</v>
      </c>
      <c r="C9014" s="528" t="s">
        <v>26268</v>
      </c>
      <c r="D9014" s="528" t="s">
        <v>277</v>
      </c>
      <c r="E9014" s="528"/>
      <c r="F9014" s="528"/>
      <c r="G9014" s="528" t="s">
        <v>208</v>
      </c>
    </row>
    <row r="9015" spans="1:7" x14ac:dyDescent="0.35">
      <c r="A9015" s="528" t="s">
        <v>26269</v>
      </c>
      <c r="B9015" s="528" t="s">
        <v>26270</v>
      </c>
      <c r="C9015" s="528" t="s">
        <v>26199</v>
      </c>
      <c r="D9015" s="528" t="s">
        <v>264</v>
      </c>
      <c r="E9015" s="528"/>
      <c r="F9015" s="528"/>
      <c r="G9015" s="528" t="s">
        <v>205</v>
      </c>
    </row>
    <row r="9016" spans="1:7" x14ac:dyDescent="0.35">
      <c r="A9016" s="528" t="s">
        <v>26271</v>
      </c>
      <c r="B9016" s="528" t="s">
        <v>26272</v>
      </c>
      <c r="C9016" s="528" t="s">
        <v>26273</v>
      </c>
      <c r="D9016" s="528" t="s">
        <v>251</v>
      </c>
      <c r="E9016" s="528"/>
      <c r="F9016" s="528"/>
      <c r="G9016" s="528" t="s">
        <v>205</v>
      </c>
    </row>
    <row r="9017" spans="1:7" x14ac:dyDescent="0.35">
      <c r="A9017" s="528" t="s">
        <v>26274</v>
      </c>
      <c r="B9017" s="528" t="s">
        <v>26275</v>
      </c>
      <c r="C9017" s="528" t="s">
        <v>26276</v>
      </c>
      <c r="D9017" s="528" t="s">
        <v>225</v>
      </c>
      <c r="E9017" s="528"/>
      <c r="F9017" s="528"/>
      <c r="G9017" s="528" t="s">
        <v>208</v>
      </c>
    </row>
    <row r="9018" spans="1:7" x14ac:dyDescent="0.35">
      <c r="A9018" s="528" t="s">
        <v>26277</v>
      </c>
      <c r="B9018" s="528" t="s">
        <v>26278</v>
      </c>
      <c r="C9018" s="528" t="s">
        <v>26279</v>
      </c>
      <c r="D9018" s="528" t="s">
        <v>264</v>
      </c>
      <c r="E9018" s="528"/>
      <c r="F9018" s="528"/>
      <c r="G9018" s="528" t="s">
        <v>205</v>
      </c>
    </row>
    <row r="9019" spans="1:7" x14ac:dyDescent="0.35">
      <c r="A9019" s="528" t="s">
        <v>26280</v>
      </c>
      <c r="B9019" s="528" t="s">
        <v>26281</v>
      </c>
      <c r="C9019" s="528" t="s">
        <v>26282</v>
      </c>
      <c r="D9019" s="528" t="s">
        <v>277</v>
      </c>
      <c r="E9019" s="528"/>
      <c r="F9019" s="528"/>
      <c r="G9019" s="528" t="s">
        <v>205</v>
      </c>
    </row>
    <row r="9020" spans="1:7" x14ac:dyDescent="0.35">
      <c r="A9020" s="528" t="s">
        <v>26283</v>
      </c>
      <c r="B9020" s="528" t="s">
        <v>26284</v>
      </c>
      <c r="C9020" s="528" t="s">
        <v>26285</v>
      </c>
      <c r="D9020" s="528" t="s">
        <v>225</v>
      </c>
      <c r="E9020" s="528"/>
      <c r="F9020" s="528"/>
      <c r="G9020" s="528" t="s">
        <v>208</v>
      </c>
    </row>
    <row r="9021" spans="1:7" x14ac:dyDescent="0.35">
      <c r="A9021" s="528" t="s">
        <v>26286</v>
      </c>
      <c r="B9021" s="528" t="s">
        <v>26287</v>
      </c>
      <c r="C9021" s="528" t="s">
        <v>26288</v>
      </c>
      <c r="D9021" s="528" t="s">
        <v>277</v>
      </c>
      <c r="E9021" s="528"/>
      <c r="F9021" s="528"/>
      <c r="G9021" s="528" t="s">
        <v>214</v>
      </c>
    </row>
    <row r="9022" spans="1:7" x14ac:dyDescent="0.35">
      <c r="A9022" s="528" t="s">
        <v>26289</v>
      </c>
      <c r="B9022" s="528" t="s">
        <v>26290</v>
      </c>
      <c r="C9022" s="528" t="s">
        <v>26291</v>
      </c>
      <c r="D9022" s="528" t="s">
        <v>277</v>
      </c>
      <c r="E9022" s="528"/>
      <c r="F9022" s="528"/>
      <c r="G9022" s="528" t="s">
        <v>214</v>
      </c>
    </row>
    <row r="9023" spans="1:7" x14ac:dyDescent="0.35">
      <c r="A9023" s="528" t="s">
        <v>26292</v>
      </c>
      <c r="B9023" s="528" t="s">
        <v>26293</v>
      </c>
      <c r="C9023" s="528" t="s">
        <v>26294</v>
      </c>
      <c r="D9023" s="528" t="s">
        <v>277</v>
      </c>
      <c r="E9023" s="528"/>
      <c r="F9023" s="528"/>
      <c r="G9023" s="528" t="s">
        <v>214</v>
      </c>
    </row>
    <row r="9024" spans="1:7" x14ac:dyDescent="0.35">
      <c r="A9024" s="528" t="s">
        <v>26295</v>
      </c>
      <c r="B9024" s="528" t="s">
        <v>26296</v>
      </c>
      <c r="C9024" s="528" t="s">
        <v>26297</v>
      </c>
      <c r="D9024" s="528" t="s">
        <v>277</v>
      </c>
      <c r="E9024" s="528"/>
      <c r="F9024" s="528"/>
      <c r="G9024" s="528" t="s">
        <v>214</v>
      </c>
    </row>
    <row r="9025" spans="1:7" x14ac:dyDescent="0.35">
      <c r="A9025" s="528" t="s">
        <v>26298</v>
      </c>
      <c r="B9025" s="528" t="s">
        <v>26299</v>
      </c>
      <c r="C9025" s="528" t="s">
        <v>26300</v>
      </c>
      <c r="D9025" s="528" t="s">
        <v>225</v>
      </c>
      <c r="E9025" s="528"/>
      <c r="F9025" s="528"/>
      <c r="G9025" s="528" t="s">
        <v>205</v>
      </c>
    </row>
    <row r="9026" spans="1:7" x14ac:dyDescent="0.35">
      <c r="A9026" s="528" t="s">
        <v>26301</v>
      </c>
      <c r="B9026" s="528" t="s">
        <v>26302</v>
      </c>
      <c r="C9026" s="528" t="s">
        <v>26303</v>
      </c>
      <c r="D9026" s="528" t="s">
        <v>277</v>
      </c>
      <c r="E9026" s="528"/>
      <c r="F9026" s="528"/>
      <c r="G9026" s="528" t="s">
        <v>205</v>
      </c>
    </row>
    <row r="9027" spans="1:7" x14ac:dyDescent="0.35">
      <c r="A9027" s="528" t="s">
        <v>26304</v>
      </c>
      <c r="B9027" s="528" t="s">
        <v>26305</v>
      </c>
      <c r="C9027" s="528" t="s">
        <v>26306</v>
      </c>
      <c r="D9027" s="528" t="s">
        <v>277</v>
      </c>
      <c r="E9027" s="528"/>
      <c r="F9027" s="528"/>
      <c r="G9027" s="528" t="s">
        <v>208</v>
      </c>
    </row>
    <row r="9028" spans="1:7" x14ac:dyDescent="0.35">
      <c r="A9028" s="528" t="s">
        <v>26307</v>
      </c>
      <c r="B9028" s="528" t="s">
        <v>26308</v>
      </c>
      <c r="C9028" s="528" t="s">
        <v>26309</v>
      </c>
      <c r="D9028" s="528" t="s">
        <v>277</v>
      </c>
      <c r="E9028" s="528"/>
      <c r="F9028" s="528"/>
      <c r="G9028" s="528" t="s">
        <v>208</v>
      </c>
    </row>
    <row r="9029" spans="1:7" x14ac:dyDescent="0.35">
      <c r="A9029" s="528" t="s">
        <v>26310</v>
      </c>
      <c r="B9029" s="528" t="s">
        <v>26311</v>
      </c>
      <c r="C9029" s="528" t="s">
        <v>26312</v>
      </c>
      <c r="D9029" s="528" t="s">
        <v>264</v>
      </c>
      <c r="E9029" s="528"/>
      <c r="F9029" s="528"/>
      <c r="G9029" s="528" t="s">
        <v>205</v>
      </c>
    </row>
    <row r="9030" spans="1:7" x14ac:dyDescent="0.35">
      <c r="A9030" s="528" t="s">
        <v>26313</v>
      </c>
      <c r="B9030" s="528" t="s">
        <v>26314</v>
      </c>
      <c r="C9030" s="528" t="s">
        <v>26315</v>
      </c>
      <c r="D9030" s="528" t="s">
        <v>277</v>
      </c>
      <c r="E9030" s="528"/>
      <c r="F9030" s="528"/>
      <c r="G9030" s="528" t="s">
        <v>205</v>
      </c>
    </row>
    <row r="9031" spans="1:7" x14ac:dyDescent="0.35">
      <c r="A9031" s="528" t="s">
        <v>26316</v>
      </c>
      <c r="B9031" s="528" t="s">
        <v>26317</v>
      </c>
      <c r="C9031" s="528" t="s">
        <v>26318</v>
      </c>
      <c r="D9031" s="528" t="s">
        <v>264</v>
      </c>
      <c r="E9031" s="528"/>
      <c r="F9031" s="528"/>
      <c r="G9031" s="528" t="s">
        <v>208</v>
      </c>
    </row>
    <row r="9032" spans="1:7" x14ac:dyDescent="0.35">
      <c r="A9032" s="528" t="s">
        <v>26319</v>
      </c>
      <c r="B9032" s="528" t="s">
        <v>26320</v>
      </c>
      <c r="C9032" s="528" t="s">
        <v>26321</v>
      </c>
      <c r="D9032" s="528" t="s">
        <v>251</v>
      </c>
      <c r="E9032" s="528" t="s">
        <v>277</v>
      </c>
      <c r="F9032" s="528"/>
      <c r="G9032" s="528" t="s">
        <v>208</v>
      </c>
    </row>
    <row r="9033" spans="1:7" x14ac:dyDescent="0.35">
      <c r="A9033" s="528" t="s">
        <v>26322</v>
      </c>
      <c r="B9033" s="528" t="s">
        <v>26323</v>
      </c>
      <c r="C9033" s="528" t="s">
        <v>26324</v>
      </c>
      <c r="D9033" s="528" t="s">
        <v>238</v>
      </c>
      <c r="E9033" s="528"/>
      <c r="F9033" s="528"/>
      <c r="G9033" s="528" t="s">
        <v>208</v>
      </c>
    </row>
    <row r="9034" spans="1:7" x14ac:dyDescent="0.35">
      <c r="A9034" s="528" t="s">
        <v>26325</v>
      </c>
      <c r="B9034" s="528" t="s">
        <v>26326</v>
      </c>
      <c r="C9034" s="528" t="s">
        <v>26327</v>
      </c>
      <c r="D9034" s="528" t="s">
        <v>277</v>
      </c>
      <c r="E9034" s="528"/>
      <c r="F9034" s="528"/>
      <c r="G9034" s="528" t="s">
        <v>208</v>
      </c>
    </row>
    <row r="9035" spans="1:7" x14ac:dyDescent="0.35">
      <c r="A9035" s="528" t="s">
        <v>26328</v>
      </c>
      <c r="B9035" s="528" t="s">
        <v>26329</v>
      </c>
      <c r="C9035" s="528" t="s">
        <v>26330</v>
      </c>
      <c r="D9035" s="528" t="s">
        <v>264</v>
      </c>
      <c r="E9035" s="528"/>
      <c r="F9035" s="528"/>
      <c r="G9035" s="528" t="s">
        <v>208</v>
      </c>
    </row>
    <row r="9036" spans="1:7" x14ac:dyDescent="0.35">
      <c r="A9036" s="528" t="s">
        <v>26331</v>
      </c>
      <c r="B9036" s="528" t="s">
        <v>26332</v>
      </c>
      <c r="C9036" s="528" t="s">
        <v>26333</v>
      </c>
      <c r="D9036" s="528" t="s">
        <v>277</v>
      </c>
      <c r="E9036" s="528"/>
      <c r="F9036" s="528"/>
      <c r="G9036" s="528" t="s">
        <v>214</v>
      </c>
    </row>
    <row r="9037" spans="1:7" x14ac:dyDescent="0.35">
      <c r="A9037" s="528" t="s">
        <v>26334</v>
      </c>
      <c r="B9037" s="528" t="s">
        <v>26335</v>
      </c>
      <c r="C9037" s="528" t="s">
        <v>26336</v>
      </c>
      <c r="D9037" s="528" t="s">
        <v>238</v>
      </c>
      <c r="E9037" s="528"/>
      <c r="F9037" s="528"/>
      <c r="G9037" s="528" t="s">
        <v>205</v>
      </c>
    </row>
    <row r="9038" spans="1:7" x14ac:dyDescent="0.35">
      <c r="A9038" s="528" t="s">
        <v>26337</v>
      </c>
      <c r="B9038" s="528" t="s">
        <v>26338</v>
      </c>
      <c r="C9038" s="528" t="s">
        <v>26339</v>
      </c>
      <c r="D9038" s="528" t="s">
        <v>238</v>
      </c>
      <c r="E9038" s="528"/>
      <c r="F9038" s="528"/>
      <c r="G9038" s="528" t="s">
        <v>208</v>
      </c>
    </row>
    <row r="9039" spans="1:7" x14ac:dyDescent="0.35">
      <c r="A9039" s="528" t="s">
        <v>26340</v>
      </c>
      <c r="B9039" s="528" t="s">
        <v>26341</v>
      </c>
      <c r="C9039" s="528" t="s">
        <v>26342</v>
      </c>
      <c r="D9039" s="528" t="s">
        <v>277</v>
      </c>
      <c r="E9039" s="528"/>
      <c r="F9039" s="528"/>
      <c r="G9039" s="528" t="s">
        <v>208</v>
      </c>
    </row>
    <row r="9040" spans="1:7" x14ac:dyDescent="0.35">
      <c r="A9040" s="528" t="s">
        <v>26343</v>
      </c>
      <c r="B9040" s="528" t="s">
        <v>26344</v>
      </c>
      <c r="C9040" s="528" t="s">
        <v>26345</v>
      </c>
      <c r="D9040" s="528" t="s">
        <v>238</v>
      </c>
      <c r="E9040" s="528"/>
      <c r="F9040" s="528"/>
      <c r="G9040" s="528" t="s">
        <v>212</v>
      </c>
    </row>
    <row r="9041" spans="1:7" x14ac:dyDescent="0.35">
      <c r="A9041" s="528" t="s">
        <v>26346</v>
      </c>
      <c r="B9041" s="528" t="s">
        <v>26347</v>
      </c>
      <c r="C9041" s="528" t="s">
        <v>26348</v>
      </c>
      <c r="D9041" s="528" t="s">
        <v>277</v>
      </c>
      <c r="E9041" s="528"/>
      <c r="F9041" s="528"/>
      <c r="G9041" s="528" t="s">
        <v>208</v>
      </c>
    </row>
    <row r="9042" spans="1:7" x14ac:dyDescent="0.35">
      <c r="A9042" s="528" t="s">
        <v>26349</v>
      </c>
      <c r="B9042" s="528" t="s">
        <v>26350</v>
      </c>
      <c r="C9042" s="528" t="s">
        <v>26351</v>
      </c>
      <c r="D9042" s="528" t="s">
        <v>277</v>
      </c>
      <c r="E9042" s="528"/>
      <c r="F9042" s="528"/>
      <c r="G9042" s="528" t="s">
        <v>208</v>
      </c>
    </row>
    <row r="9043" spans="1:7" x14ac:dyDescent="0.35">
      <c r="A9043" s="528" t="s">
        <v>26352</v>
      </c>
      <c r="B9043" s="528" t="s">
        <v>26353</v>
      </c>
      <c r="C9043" s="528" t="s">
        <v>26354</v>
      </c>
      <c r="D9043" s="528" t="s">
        <v>251</v>
      </c>
      <c r="E9043" s="528"/>
      <c r="F9043" s="528"/>
      <c r="G9043" s="528" t="s">
        <v>208</v>
      </c>
    </row>
    <row r="9044" spans="1:7" x14ac:dyDescent="0.35">
      <c r="A9044" s="528" t="s">
        <v>26355</v>
      </c>
      <c r="B9044" s="528" t="s">
        <v>26356</v>
      </c>
      <c r="C9044" s="528" t="s">
        <v>26357</v>
      </c>
      <c r="D9044" s="528" t="s">
        <v>277</v>
      </c>
      <c r="E9044" s="528"/>
      <c r="F9044" s="528"/>
      <c r="G9044" s="528" t="s">
        <v>208</v>
      </c>
    </row>
    <row r="9045" spans="1:7" x14ac:dyDescent="0.35">
      <c r="A9045" s="528" t="s">
        <v>26358</v>
      </c>
      <c r="B9045" s="528" t="s">
        <v>26359</v>
      </c>
      <c r="C9045" s="528" t="s">
        <v>26360</v>
      </c>
      <c r="D9045" s="528" t="s">
        <v>277</v>
      </c>
      <c r="E9045" s="528"/>
      <c r="F9045" s="528"/>
      <c r="G9045" s="528" t="s">
        <v>214</v>
      </c>
    </row>
    <row r="9046" spans="1:7" x14ac:dyDescent="0.35">
      <c r="A9046" s="528" t="s">
        <v>26361</v>
      </c>
      <c r="B9046" s="528" t="s">
        <v>26362</v>
      </c>
      <c r="C9046" s="528" t="s">
        <v>26363</v>
      </c>
      <c r="D9046" s="528" t="s">
        <v>277</v>
      </c>
      <c r="E9046" s="528"/>
      <c r="F9046" s="528"/>
      <c r="G9046" s="528" t="s">
        <v>214</v>
      </c>
    </row>
    <row r="9047" spans="1:7" x14ac:dyDescent="0.35">
      <c r="A9047" s="528" t="s">
        <v>26364</v>
      </c>
      <c r="B9047" s="528" t="s">
        <v>26365</v>
      </c>
      <c r="C9047" s="528" t="s">
        <v>26366</v>
      </c>
      <c r="D9047" s="528" t="s">
        <v>277</v>
      </c>
      <c r="E9047" s="528"/>
      <c r="F9047" s="528"/>
      <c r="G9047" s="528" t="s">
        <v>214</v>
      </c>
    </row>
    <row r="9048" spans="1:7" x14ac:dyDescent="0.35">
      <c r="A9048" s="528" t="s">
        <v>26367</v>
      </c>
      <c r="B9048" s="528" t="s">
        <v>26368</v>
      </c>
      <c r="C9048" s="528" t="s">
        <v>26369</v>
      </c>
      <c r="D9048" s="528" t="s">
        <v>225</v>
      </c>
      <c r="E9048" s="528"/>
      <c r="F9048" s="528"/>
      <c r="G9048" s="528" t="s">
        <v>208</v>
      </c>
    </row>
    <row r="9049" spans="1:7" x14ac:dyDescent="0.35">
      <c r="A9049" s="528" t="s">
        <v>26370</v>
      </c>
      <c r="B9049" s="528" t="s">
        <v>26371</v>
      </c>
      <c r="C9049" s="528" t="s">
        <v>26372</v>
      </c>
      <c r="D9049" s="528" t="s">
        <v>225</v>
      </c>
      <c r="E9049" s="528"/>
      <c r="F9049" s="528"/>
      <c r="G9049" s="528" t="s">
        <v>208</v>
      </c>
    </row>
    <row r="9050" spans="1:7" x14ac:dyDescent="0.35">
      <c r="A9050" s="528" t="s">
        <v>26373</v>
      </c>
      <c r="B9050" s="528" t="s">
        <v>26374</v>
      </c>
      <c r="C9050" s="528" t="s">
        <v>26375</v>
      </c>
      <c r="D9050" s="528" t="s">
        <v>225</v>
      </c>
      <c r="E9050" s="528"/>
      <c r="F9050" s="528"/>
      <c r="G9050" s="528" t="s">
        <v>208</v>
      </c>
    </row>
    <row r="9051" spans="1:7" x14ac:dyDescent="0.35">
      <c r="A9051" s="528" t="s">
        <v>26376</v>
      </c>
      <c r="B9051" s="528" t="s">
        <v>26377</v>
      </c>
      <c r="C9051" s="528" t="s">
        <v>26378</v>
      </c>
      <c r="D9051" s="528" t="s">
        <v>225</v>
      </c>
      <c r="E9051" s="528"/>
      <c r="F9051" s="528"/>
      <c r="G9051" s="528" t="s">
        <v>208</v>
      </c>
    </row>
    <row r="9052" spans="1:7" x14ac:dyDescent="0.35">
      <c r="A9052" s="528" t="s">
        <v>26379</v>
      </c>
      <c r="B9052" s="528" t="s">
        <v>26380</v>
      </c>
      <c r="C9052" s="528" t="s">
        <v>26381</v>
      </c>
      <c r="D9052" s="528" t="s">
        <v>277</v>
      </c>
      <c r="E9052" s="528"/>
      <c r="F9052" s="528"/>
      <c r="G9052" s="528" t="s">
        <v>214</v>
      </c>
    </row>
    <row r="9053" spans="1:7" x14ac:dyDescent="0.35">
      <c r="A9053" s="528" t="s">
        <v>26382</v>
      </c>
      <c r="B9053" s="528" t="s">
        <v>26383</v>
      </c>
      <c r="C9053" s="528" t="s">
        <v>26384</v>
      </c>
      <c r="D9053" s="528" t="s">
        <v>238</v>
      </c>
      <c r="E9053" s="528"/>
      <c r="F9053" s="528"/>
      <c r="G9053" s="528" t="s">
        <v>208</v>
      </c>
    </row>
    <row r="9054" spans="1:7" x14ac:dyDescent="0.35">
      <c r="A9054" s="528" t="s">
        <v>26385</v>
      </c>
      <c r="B9054" s="528" t="s">
        <v>26386</v>
      </c>
      <c r="C9054" s="528" t="s">
        <v>26387</v>
      </c>
      <c r="D9054" s="528" t="s">
        <v>238</v>
      </c>
      <c r="E9054" s="528"/>
      <c r="F9054" s="528"/>
      <c r="G9054" s="528" t="s">
        <v>212</v>
      </c>
    </row>
    <row r="9055" spans="1:7" x14ac:dyDescent="0.35">
      <c r="A9055" s="528" t="s">
        <v>26388</v>
      </c>
      <c r="B9055" s="528" t="s">
        <v>26389</v>
      </c>
      <c r="C9055" s="528" t="s">
        <v>26390</v>
      </c>
      <c r="D9055" s="528" t="s">
        <v>277</v>
      </c>
      <c r="E9055" s="528"/>
      <c r="F9055" s="528"/>
      <c r="G9055" s="528" t="s">
        <v>212</v>
      </c>
    </row>
    <row r="9056" spans="1:7" x14ac:dyDescent="0.35">
      <c r="A9056" s="528" t="s">
        <v>26391</v>
      </c>
      <c r="B9056" s="528" t="s">
        <v>26392</v>
      </c>
      <c r="C9056" s="528" t="s">
        <v>26393</v>
      </c>
      <c r="D9056" s="528" t="s">
        <v>264</v>
      </c>
      <c r="E9056" s="528"/>
      <c r="F9056" s="528"/>
      <c r="G9056" s="528" t="s">
        <v>205</v>
      </c>
    </row>
    <row r="9057" spans="1:7" x14ac:dyDescent="0.35">
      <c r="A9057" s="528" t="s">
        <v>26394</v>
      </c>
      <c r="B9057" s="528" t="s">
        <v>26395</v>
      </c>
      <c r="C9057" s="528" t="s">
        <v>26396</v>
      </c>
      <c r="D9057" s="528" t="s">
        <v>251</v>
      </c>
      <c r="E9057" s="528"/>
      <c r="F9057" s="528"/>
      <c r="G9057" s="528" t="s">
        <v>208</v>
      </c>
    </row>
    <row r="9058" spans="1:7" x14ac:dyDescent="0.35">
      <c r="A9058" s="528" t="s">
        <v>26397</v>
      </c>
      <c r="B9058" s="528" t="s">
        <v>26398</v>
      </c>
      <c r="C9058" s="528" t="s">
        <v>26399</v>
      </c>
      <c r="D9058" s="528" t="s">
        <v>277</v>
      </c>
      <c r="E9058" s="528"/>
      <c r="F9058" s="528"/>
      <c r="G9058" s="528" t="s">
        <v>208</v>
      </c>
    </row>
    <row r="9059" spans="1:7" x14ac:dyDescent="0.35">
      <c r="A9059" s="528" t="s">
        <v>26400</v>
      </c>
      <c r="B9059" s="528" t="s">
        <v>26401</v>
      </c>
      <c r="C9059" s="528" t="s">
        <v>26402</v>
      </c>
      <c r="D9059" s="528" t="s">
        <v>264</v>
      </c>
      <c r="E9059" s="528"/>
      <c r="F9059" s="528"/>
      <c r="G9059" s="528" t="s">
        <v>208</v>
      </c>
    </row>
    <row r="9060" spans="1:7" x14ac:dyDescent="0.35">
      <c r="A9060" s="528" t="s">
        <v>26403</v>
      </c>
      <c r="B9060" s="528" t="s">
        <v>26404</v>
      </c>
      <c r="C9060" s="528" t="s">
        <v>26405</v>
      </c>
      <c r="D9060" s="528" t="s">
        <v>251</v>
      </c>
      <c r="E9060" s="528"/>
      <c r="F9060" s="528"/>
      <c r="G9060" s="528" t="s">
        <v>205</v>
      </c>
    </row>
    <row r="9061" spans="1:7" x14ac:dyDescent="0.35">
      <c r="A9061" s="528" t="s">
        <v>26406</v>
      </c>
      <c r="B9061" s="528" t="s">
        <v>26407</v>
      </c>
      <c r="C9061" s="528" t="s">
        <v>26408</v>
      </c>
      <c r="D9061" s="528" t="s">
        <v>277</v>
      </c>
      <c r="E9061" s="528"/>
      <c r="F9061" s="528"/>
      <c r="G9061" s="528" t="s">
        <v>212</v>
      </c>
    </row>
    <row r="9062" spans="1:7" x14ac:dyDescent="0.35">
      <c r="A9062" s="528" t="s">
        <v>26409</v>
      </c>
      <c r="B9062" s="528" t="s">
        <v>26410</v>
      </c>
      <c r="C9062" s="528" t="s">
        <v>26411</v>
      </c>
      <c r="D9062" s="528" t="s">
        <v>264</v>
      </c>
      <c r="E9062" s="528"/>
      <c r="F9062" s="528"/>
      <c r="G9062" s="528" t="s">
        <v>208</v>
      </c>
    </row>
    <row r="9063" spans="1:7" x14ac:dyDescent="0.35">
      <c r="A9063" s="528" t="s">
        <v>26412</v>
      </c>
      <c r="B9063" s="528" t="s">
        <v>26413</v>
      </c>
      <c r="C9063" s="528" t="s">
        <v>26414</v>
      </c>
      <c r="D9063" s="528" t="s">
        <v>264</v>
      </c>
      <c r="E9063" s="528"/>
      <c r="F9063" s="528"/>
      <c r="G9063" s="528" t="s">
        <v>214</v>
      </c>
    </row>
    <row r="9064" spans="1:7" x14ac:dyDescent="0.35">
      <c r="A9064" s="528" t="s">
        <v>26415</v>
      </c>
      <c r="B9064" s="528" t="s">
        <v>26416</v>
      </c>
      <c r="C9064" s="528" t="s">
        <v>26417</v>
      </c>
      <c r="D9064" s="528" t="s">
        <v>277</v>
      </c>
      <c r="E9064" s="528" t="s">
        <v>264</v>
      </c>
      <c r="F9064" s="528"/>
      <c r="G9064" s="528" t="s">
        <v>214</v>
      </c>
    </row>
    <row r="9065" spans="1:7" x14ac:dyDescent="0.35">
      <c r="A9065" s="528" t="s">
        <v>26418</v>
      </c>
      <c r="B9065" s="528" t="s">
        <v>26419</v>
      </c>
      <c r="C9065" s="528" t="s">
        <v>26420</v>
      </c>
      <c r="D9065" s="528" t="s">
        <v>277</v>
      </c>
      <c r="E9065" s="528" t="s">
        <v>264</v>
      </c>
      <c r="F9065" s="528"/>
      <c r="G9065" s="528" t="s">
        <v>208</v>
      </c>
    </row>
    <row r="9066" spans="1:7" x14ac:dyDescent="0.35">
      <c r="A9066" s="528" t="s">
        <v>26421</v>
      </c>
      <c r="B9066" s="528" t="s">
        <v>26422</v>
      </c>
      <c r="C9066" s="528" t="s">
        <v>14976</v>
      </c>
      <c r="D9066" s="528" t="s">
        <v>277</v>
      </c>
      <c r="E9066" s="528"/>
      <c r="F9066" s="528"/>
      <c r="G9066" s="528" t="s">
        <v>208</v>
      </c>
    </row>
    <row r="9067" spans="1:7" x14ac:dyDescent="0.35">
      <c r="A9067" s="528" t="s">
        <v>26423</v>
      </c>
      <c r="B9067" s="528" t="s">
        <v>26424</v>
      </c>
      <c r="C9067" s="528" t="s">
        <v>26425</v>
      </c>
      <c r="D9067" s="528" t="s">
        <v>277</v>
      </c>
      <c r="E9067" s="528"/>
      <c r="F9067" s="528"/>
      <c r="G9067" s="528" t="s">
        <v>205</v>
      </c>
    </row>
    <row r="9068" spans="1:7" x14ac:dyDescent="0.35">
      <c r="A9068" s="528" t="s">
        <v>26426</v>
      </c>
      <c r="B9068" s="528" t="s">
        <v>26427</v>
      </c>
      <c r="C9068" s="528" t="s">
        <v>26428</v>
      </c>
      <c r="D9068" s="528" t="s">
        <v>277</v>
      </c>
      <c r="E9068" s="528"/>
      <c r="F9068" s="528"/>
      <c r="G9068" s="528" t="s">
        <v>205</v>
      </c>
    </row>
    <row r="9069" spans="1:7" x14ac:dyDescent="0.35">
      <c r="A9069" s="528" t="s">
        <v>26429</v>
      </c>
      <c r="B9069" s="528" t="s">
        <v>26430</v>
      </c>
      <c r="C9069" s="528" t="s">
        <v>26431</v>
      </c>
      <c r="D9069" s="528" t="s">
        <v>264</v>
      </c>
      <c r="E9069" s="528"/>
      <c r="F9069" s="528"/>
      <c r="G9069" s="528" t="s">
        <v>205</v>
      </c>
    </row>
    <row r="9070" spans="1:7" x14ac:dyDescent="0.35">
      <c r="A9070" s="528" t="s">
        <v>26432</v>
      </c>
      <c r="B9070" s="528" t="s">
        <v>26433</v>
      </c>
      <c r="C9070" s="528" t="s">
        <v>26434</v>
      </c>
      <c r="D9070" s="528" t="s">
        <v>264</v>
      </c>
      <c r="E9070" s="528"/>
      <c r="F9070" s="528"/>
      <c r="G9070" s="528" t="s">
        <v>205</v>
      </c>
    </row>
    <row r="9071" spans="1:7" x14ac:dyDescent="0.35">
      <c r="A9071" s="528" t="s">
        <v>26435</v>
      </c>
      <c r="B9071" s="528" t="s">
        <v>26436</v>
      </c>
      <c r="C9071" s="528" t="s">
        <v>26437</v>
      </c>
      <c r="D9071" s="528" t="s">
        <v>264</v>
      </c>
      <c r="E9071" s="528"/>
      <c r="F9071" s="528"/>
      <c r="G9071" s="528" t="s">
        <v>208</v>
      </c>
    </row>
    <row r="9072" spans="1:7" x14ac:dyDescent="0.35">
      <c r="A9072" s="528" t="s">
        <v>26438</v>
      </c>
      <c r="B9072" s="528" t="s">
        <v>26439</v>
      </c>
      <c r="C9072" s="528" t="s">
        <v>28369</v>
      </c>
      <c r="D9072" s="528" t="s">
        <v>277</v>
      </c>
      <c r="E9072" s="528"/>
      <c r="F9072" s="528"/>
      <c r="G9072" s="528" t="s">
        <v>205</v>
      </c>
    </row>
    <row r="9073" spans="1:7" x14ac:dyDescent="0.35">
      <c r="A9073" s="528" t="s">
        <v>26440</v>
      </c>
      <c r="B9073" s="528" t="s">
        <v>26441</v>
      </c>
      <c r="C9073" s="528" t="s">
        <v>28370</v>
      </c>
      <c r="D9073" s="528" t="s">
        <v>277</v>
      </c>
      <c r="E9073" s="528"/>
      <c r="F9073" s="528"/>
      <c r="G9073" s="528" t="s">
        <v>208</v>
      </c>
    </row>
    <row r="9074" spans="1:7" x14ac:dyDescent="0.35">
      <c r="A9074" s="528" t="s">
        <v>26442</v>
      </c>
      <c r="B9074" s="528" t="s">
        <v>26443</v>
      </c>
      <c r="C9074" s="528" t="s">
        <v>26444</v>
      </c>
      <c r="D9074" s="528" t="s">
        <v>264</v>
      </c>
      <c r="E9074" s="528"/>
      <c r="F9074" s="528"/>
      <c r="G9074" s="528" t="s">
        <v>205</v>
      </c>
    </row>
    <row r="9075" spans="1:7" x14ac:dyDescent="0.35">
      <c r="A9075" s="528" t="s">
        <v>26445</v>
      </c>
      <c r="B9075" s="528" t="s">
        <v>26446</v>
      </c>
      <c r="C9075" s="528" t="s">
        <v>26447</v>
      </c>
      <c r="D9075" s="528" t="s">
        <v>251</v>
      </c>
      <c r="E9075" s="528"/>
      <c r="F9075" s="528"/>
      <c r="G9075" s="528" t="s">
        <v>205</v>
      </c>
    </row>
    <row r="9076" spans="1:7" x14ac:dyDescent="0.35">
      <c r="A9076" s="528" t="s">
        <v>26448</v>
      </c>
      <c r="B9076" s="528" t="s">
        <v>26449</v>
      </c>
      <c r="C9076" s="528" t="s">
        <v>26450</v>
      </c>
      <c r="D9076" s="528" t="s">
        <v>238</v>
      </c>
      <c r="E9076" s="528"/>
      <c r="F9076" s="528"/>
      <c r="G9076" s="528" t="s">
        <v>208</v>
      </c>
    </row>
    <row r="9077" spans="1:7" x14ac:dyDescent="0.35">
      <c r="A9077" s="528" t="s">
        <v>26451</v>
      </c>
      <c r="B9077" s="528" t="s">
        <v>26452</v>
      </c>
      <c r="C9077" s="528" t="s">
        <v>26453</v>
      </c>
      <c r="D9077" s="528" t="s">
        <v>277</v>
      </c>
      <c r="E9077" s="528"/>
      <c r="F9077" s="528"/>
      <c r="G9077" s="528" t="s">
        <v>214</v>
      </c>
    </row>
    <row r="9078" spans="1:7" x14ac:dyDescent="0.35">
      <c r="A9078" s="528" t="s">
        <v>26454</v>
      </c>
      <c r="B9078" s="528" t="s">
        <v>26455</v>
      </c>
      <c r="C9078" s="528" t="s">
        <v>26456</v>
      </c>
      <c r="D9078" s="528" t="s">
        <v>277</v>
      </c>
      <c r="E9078" s="528"/>
      <c r="F9078" s="528"/>
      <c r="G9078" s="528" t="s">
        <v>212</v>
      </c>
    </row>
    <row r="9079" spans="1:7" x14ac:dyDescent="0.35">
      <c r="A9079" s="528" t="s">
        <v>26457</v>
      </c>
      <c r="B9079" s="528" t="s">
        <v>26458</v>
      </c>
      <c r="C9079" s="528" t="s">
        <v>28371</v>
      </c>
      <c r="D9079" s="528" t="s">
        <v>277</v>
      </c>
      <c r="E9079" s="528"/>
      <c r="F9079" s="528"/>
      <c r="G9079" s="528" t="s">
        <v>214</v>
      </c>
    </row>
    <row r="9080" spans="1:7" x14ac:dyDescent="0.35">
      <c r="A9080" s="528" t="s">
        <v>26459</v>
      </c>
      <c r="B9080" s="528" t="s">
        <v>26460</v>
      </c>
      <c r="C9080" s="528" t="s">
        <v>26461</v>
      </c>
      <c r="D9080" s="528" t="s">
        <v>264</v>
      </c>
      <c r="E9080" s="528"/>
      <c r="F9080" s="528"/>
      <c r="G9080" s="528" t="s">
        <v>212</v>
      </c>
    </row>
    <row r="9081" spans="1:7" x14ac:dyDescent="0.35">
      <c r="A9081" s="528" t="s">
        <v>26462</v>
      </c>
      <c r="B9081" s="528" t="s">
        <v>26463</v>
      </c>
      <c r="C9081" s="528" t="s">
        <v>26464</v>
      </c>
      <c r="D9081" s="528" t="s">
        <v>264</v>
      </c>
      <c r="E9081" s="528"/>
      <c r="F9081" s="528"/>
      <c r="G9081" s="528" t="s">
        <v>208</v>
      </c>
    </row>
    <row r="9082" spans="1:7" x14ac:dyDescent="0.35">
      <c r="A9082" s="528" t="s">
        <v>26465</v>
      </c>
      <c r="B9082" s="528" t="s">
        <v>26466</v>
      </c>
      <c r="C9082" s="528" t="s">
        <v>26467</v>
      </c>
      <c r="D9082" s="528" t="s">
        <v>225</v>
      </c>
      <c r="E9082" s="528"/>
      <c r="F9082" s="528"/>
      <c r="G9082" s="528" t="s">
        <v>208</v>
      </c>
    </row>
    <row r="9083" spans="1:7" x14ac:dyDescent="0.35">
      <c r="A9083" s="528" t="s">
        <v>26468</v>
      </c>
      <c r="B9083" s="528" t="s">
        <v>26469</v>
      </c>
      <c r="C9083" s="528" t="s">
        <v>26470</v>
      </c>
      <c r="D9083" s="528" t="s">
        <v>264</v>
      </c>
      <c r="E9083" s="528"/>
      <c r="F9083" s="528"/>
      <c r="G9083" s="528" t="s">
        <v>208</v>
      </c>
    </row>
    <row r="9084" spans="1:7" x14ac:dyDescent="0.35">
      <c r="A9084" s="528" t="s">
        <v>26471</v>
      </c>
      <c r="B9084" s="528" t="s">
        <v>26472</v>
      </c>
      <c r="C9084" s="528" t="s">
        <v>26473</v>
      </c>
      <c r="D9084" s="528" t="s">
        <v>264</v>
      </c>
      <c r="E9084" s="528"/>
      <c r="F9084" s="528"/>
      <c r="G9084" s="528" t="s">
        <v>208</v>
      </c>
    </row>
    <row r="9085" spans="1:7" x14ac:dyDescent="0.35">
      <c r="A9085" s="528" t="s">
        <v>26474</v>
      </c>
      <c r="B9085" s="528" t="s">
        <v>26475</v>
      </c>
      <c r="C9085" s="528" t="s">
        <v>26476</v>
      </c>
      <c r="D9085" s="528" t="s">
        <v>225</v>
      </c>
      <c r="E9085" s="528"/>
      <c r="F9085" s="528"/>
      <c r="G9085" s="528" t="s">
        <v>212</v>
      </c>
    </row>
    <row r="9086" spans="1:7" x14ac:dyDescent="0.35">
      <c r="A9086" s="528" t="s">
        <v>26477</v>
      </c>
      <c r="B9086" s="528" t="s">
        <v>26478</v>
      </c>
      <c r="C9086" s="528" t="s">
        <v>26479</v>
      </c>
      <c r="D9086" s="528" t="s">
        <v>264</v>
      </c>
      <c r="E9086" s="528"/>
      <c r="F9086" s="528"/>
      <c r="G9086" s="528" t="s">
        <v>214</v>
      </c>
    </row>
    <row r="9087" spans="1:7" x14ac:dyDescent="0.35">
      <c r="A9087" s="528" t="s">
        <v>26480</v>
      </c>
      <c r="B9087" s="528" t="s">
        <v>26481</v>
      </c>
      <c r="C9087" s="528" t="s">
        <v>26482</v>
      </c>
      <c r="D9087" s="528" t="s">
        <v>264</v>
      </c>
      <c r="E9087" s="528"/>
      <c r="F9087" s="528"/>
      <c r="G9087" s="528" t="s">
        <v>212</v>
      </c>
    </row>
    <row r="9088" spans="1:7" x14ac:dyDescent="0.35">
      <c r="A9088" s="528" t="s">
        <v>26483</v>
      </c>
      <c r="B9088" s="528" t="s">
        <v>26484</v>
      </c>
      <c r="C9088" s="528" t="s">
        <v>26485</v>
      </c>
      <c r="D9088" s="528" t="s">
        <v>225</v>
      </c>
      <c r="E9088" s="528"/>
      <c r="F9088" s="528"/>
      <c r="G9088" s="528" t="s">
        <v>212</v>
      </c>
    </row>
    <row r="9089" spans="1:7" x14ac:dyDescent="0.35">
      <c r="A9089" s="528" t="s">
        <v>26486</v>
      </c>
      <c r="B9089" s="528" t="s">
        <v>26487</v>
      </c>
      <c r="C9089" s="528" t="s">
        <v>26488</v>
      </c>
      <c r="D9089" s="528" t="s">
        <v>264</v>
      </c>
      <c r="E9089" s="528"/>
      <c r="F9089" s="528"/>
      <c r="G9089" s="528" t="s">
        <v>214</v>
      </c>
    </row>
    <row r="9090" spans="1:7" x14ac:dyDescent="0.35">
      <c r="A9090" s="528" t="s">
        <v>26489</v>
      </c>
      <c r="B9090" s="528" t="s">
        <v>26490</v>
      </c>
      <c r="C9090" s="528" t="s">
        <v>26491</v>
      </c>
      <c r="D9090" s="528" t="s">
        <v>264</v>
      </c>
      <c r="E9090" s="528"/>
      <c r="F9090" s="528"/>
      <c r="G9090" s="528" t="s">
        <v>205</v>
      </c>
    </row>
    <row r="9091" spans="1:7" x14ac:dyDescent="0.35">
      <c r="A9091" s="528" t="s">
        <v>26492</v>
      </c>
      <c r="B9091" s="528" t="s">
        <v>26493</v>
      </c>
      <c r="C9091" s="528" t="s">
        <v>26494</v>
      </c>
      <c r="D9091" s="528" t="s">
        <v>277</v>
      </c>
      <c r="E9091" s="528"/>
      <c r="F9091" s="528"/>
      <c r="G9091" s="528" t="s">
        <v>212</v>
      </c>
    </row>
    <row r="9092" spans="1:7" x14ac:dyDescent="0.35">
      <c r="A9092" s="528" t="s">
        <v>26495</v>
      </c>
      <c r="B9092" s="528" t="s">
        <v>26496</v>
      </c>
      <c r="C9092" s="528" t="s">
        <v>26497</v>
      </c>
      <c r="D9092" s="528" t="s">
        <v>277</v>
      </c>
      <c r="E9092" s="528"/>
      <c r="F9092" s="528"/>
      <c r="G9092" s="528" t="s">
        <v>212</v>
      </c>
    </row>
    <row r="9093" spans="1:7" x14ac:dyDescent="0.35">
      <c r="A9093" s="528" t="s">
        <v>26498</v>
      </c>
      <c r="B9093" s="528" t="s">
        <v>26499</v>
      </c>
      <c r="C9093" s="528" t="s">
        <v>26500</v>
      </c>
      <c r="D9093" s="528" t="s">
        <v>277</v>
      </c>
      <c r="E9093" s="528"/>
      <c r="F9093" s="528"/>
      <c r="G9093" s="528" t="s">
        <v>212</v>
      </c>
    </row>
    <row r="9094" spans="1:7" x14ac:dyDescent="0.35">
      <c r="A9094" s="528" t="s">
        <v>26501</v>
      </c>
      <c r="B9094" s="528" t="s">
        <v>26502</v>
      </c>
      <c r="C9094" s="528" t="s">
        <v>26503</v>
      </c>
      <c r="D9094" s="528" t="s">
        <v>264</v>
      </c>
      <c r="E9094" s="528"/>
      <c r="F9094" s="528"/>
      <c r="G9094" s="528" t="s">
        <v>212</v>
      </c>
    </row>
    <row r="9095" spans="1:7" x14ac:dyDescent="0.35">
      <c r="A9095" s="528" t="s">
        <v>26504</v>
      </c>
      <c r="B9095" s="528" t="s">
        <v>26505</v>
      </c>
      <c r="C9095" s="528" t="s">
        <v>26506</v>
      </c>
      <c r="D9095" s="528" t="s">
        <v>264</v>
      </c>
      <c r="E9095" s="528"/>
      <c r="F9095" s="528"/>
      <c r="G9095" s="528" t="s">
        <v>212</v>
      </c>
    </row>
    <row r="9096" spans="1:7" x14ac:dyDescent="0.35">
      <c r="A9096" s="528" t="s">
        <v>26507</v>
      </c>
      <c r="B9096" s="528" t="s">
        <v>26508</v>
      </c>
      <c r="C9096" s="528" t="s">
        <v>26509</v>
      </c>
      <c r="D9096" s="528" t="s">
        <v>264</v>
      </c>
      <c r="E9096" s="528"/>
      <c r="F9096" s="528"/>
      <c r="G9096" s="528" t="s">
        <v>212</v>
      </c>
    </row>
    <row r="9097" spans="1:7" x14ac:dyDescent="0.35">
      <c r="A9097" s="528" t="s">
        <v>26510</v>
      </c>
      <c r="B9097" s="528" t="s">
        <v>26511</v>
      </c>
      <c r="C9097" s="528" t="s">
        <v>26512</v>
      </c>
      <c r="D9097" s="528" t="s">
        <v>264</v>
      </c>
      <c r="E9097" s="528"/>
      <c r="F9097" s="528"/>
      <c r="G9097" s="528" t="s">
        <v>212</v>
      </c>
    </row>
    <row r="9098" spans="1:7" x14ac:dyDescent="0.35">
      <c r="A9098" s="528" t="s">
        <v>26513</v>
      </c>
      <c r="B9098" s="528" t="s">
        <v>26514</v>
      </c>
      <c r="C9098" s="528" t="s">
        <v>26515</v>
      </c>
      <c r="D9098" s="528" t="s">
        <v>277</v>
      </c>
      <c r="E9098" s="528"/>
      <c r="F9098" s="528"/>
      <c r="G9098" s="528" t="s">
        <v>214</v>
      </c>
    </row>
    <row r="9099" spans="1:7" x14ac:dyDescent="0.35">
      <c r="A9099" s="528" t="s">
        <v>26516</v>
      </c>
      <c r="B9099" s="528" t="s">
        <v>26517</v>
      </c>
      <c r="C9099" s="528" t="s">
        <v>28372</v>
      </c>
      <c r="D9099" s="528" t="s">
        <v>225</v>
      </c>
      <c r="E9099" s="528"/>
      <c r="F9099" s="528"/>
      <c r="G9099" s="528" t="s">
        <v>208</v>
      </c>
    </row>
    <row r="9100" spans="1:7" x14ac:dyDescent="0.35">
      <c r="A9100" s="528" t="s">
        <v>26518</v>
      </c>
      <c r="B9100" s="528" t="s">
        <v>26519</v>
      </c>
      <c r="C9100" s="528" t="s">
        <v>26520</v>
      </c>
      <c r="D9100" s="528" t="s">
        <v>238</v>
      </c>
      <c r="E9100" s="528"/>
      <c r="F9100" s="528"/>
      <c r="G9100" s="528" t="s">
        <v>212</v>
      </c>
    </row>
    <row r="9101" spans="1:7" x14ac:dyDescent="0.35">
      <c r="A9101" s="528" t="s">
        <v>26521</v>
      </c>
      <c r="B9101" s="528" t="s">
        <v>26522</v>
      </c>
      <c r="C9101" s="528" t="s">
        <v>26523</v>
      </c>
      <c r="D9101" s="528" t="s">
        <v>238</v>
      </c>
      <c r="E9101" s="528"/>
      <c r="F9101" s="528"/>
      <c r="G9101" s="528" t="s">
        <v>212</v>
      </c>
    </row>
    <row r="9102" spans="1:7" x14ac:dyDescent="0.35">
      <c r="A9102" s="528" t="s">
        <v>26524</v>
      </c>
      <c r="B9102" s="528" t="s">
        <v>26525</v>
      </c>
      <c r="C9102" s="528" t="s">
        <v>26526</v>
      </c>
      <c r="D9102" s="528" t="s">
        <v>238</v>
      </c>
      <c r="E9102" s="528"/>
      <c r="F9102" s="528"/>
      <c r="G9102" s="528" t="s">
        <v>212</v>
      </c>
    </row>
    <row r="9103" spans="1:7" x14ac:dyDescent="0.35">
      <c r="A9103" s="528" t="s">
        <v>26527</v>
      </c>
      <c r="B9103" s="528" t="s">
        <v>26528</v>
      </c>
      <c r="C9103" s="528" t="s">
        <v>26529</v>
      </c>
      <c r="D9103" s="528" t="s">
        <v>238</v>
      </c>
      <c r="E9103" s="528"/>
      <c r="F9103" s="528"/>
      <c r="G9103" s="528" t="s">
        <v>212</v>
      </c>
    </row>
    <row r="9104" spans="1:7" x14ac:dyDescent="0.35">
      <c r="A9104" s="528" t="s">
        <v>26530</v>
      </c>
      <c r="B9104" s="528" t="s">
        <v>26531</v>
      </c>
      <c r="C9104" s="528" t="s">
        <v>26532</v>
      </c>
      <c r="D9104" s="528" t="s">
        <v>238</v>
      </c>
      <c r="E9104" s="528"/>
      <c r="F9104" s="528"/>
      <c r="G9104" s="528" t="s">
        <v>212</v>
      </c>
    </row>
    <row r="9105" spans="1:7" x14ac:dyDescent="0.35">
      <c r="A9105" s="528" t="s">
        <v>26533</v>
      </c>
      <c r="B9105" s="528" t="s">
        <v>26534</v>
      </c>
      <c r="C9105" s="528" t="s">
        <v>26535</v>
      </c>
      <c r="D9105" s="528" t="s">
        <v>238</v>
      </c>
      <c r="E9105" s="528"/>
      <c r="F9105" s="528"/>
      <c r="G9105" s="528" t="s">
        <v>212</v>
      </c>
    </row>
    <row r="9106" spans="1:7" x14ac:dyDescent="0.35">
      <c r="A9106" s="528" t="s">
        <v>26536</v>
      </c>
      <c r="B9106" s="528" t="s">
        <v>26537</v>
      </c>
      <c r="C9106" s="528" t="s">
        <v>26538</v>
      </c>
      <c r="D9106" s="528" t="s">
        <v>277</v>
      </c>
      <c r="E9106" s="528"/>
      <c r="F9106" s="528"/>
      <c r="G9106" s="528" t="s">
        <v>208</v>
      </c>
    </row>
    <row r="9107" spans="1:7" x14ac:dyDescent="0.35">
      <c r="A9107" s="528" t="s">
        <v>26539</v>
      </c>
      <c r="B9107" s="528" t="s">
        <v>26540</v>
      </c>
      <c r="C9107" s="528" t="s">
        <v>26541</v>
      </c>
      <c r="D9107" s="528" t="s">
        <v>238</v>
      </c>
      <c r="E9107" s="528"/>
      <c r="F9107" s="528"/>
      <c r="G9107" s="528" t="s">
        <v>208</v>
      </c>
    </row>
    <row r="9108" spans="1:7" x14ac:dyDescent="0.35">
      <c r="A9108" s="528" t="s">
        <v>26542</v>
      </c>
      <c r="B9108" s="528" t="s">
        <v>26543</v>
      </c>
      <c r="C9108" s="528" t="s">
        <v>26544</v>
      </c>
      <c r="D9108" s="528" t="s">
        <v>238</v>
      </c>
      <c r="E9108" s="528"/>
      <c r="F9108" s="528"/>
      <c r="G9108" s="528" t="s">
        <v>208</v>
      </c>
    </row>
    <row r="9109" spans="1:7" x14ac:dyDescent="0.35">
      <c r="A9109" s="528" t="s">
        <v>26545</v>
      </c>
      <c r="B9109" s="528" t="s">
        <v>26546</v>
      </c>
      <c r="C9109" s="528" t="s">
        <v>26547</v>
      </c>
      <c r="D9109" s="528" t="s">
        <v>264</v>
      </c>
      <c r="E9109" s="528"/>
      <c r="F9109" s="528"/>
      <c r="G9109" s="528" t="s">
        <v>208</v>
      </c>
    </row>
    <row r="9110" spans="1:7" x14ac:dyDescent="0.35">
      <c r="A9110" s="528" t="s">
        <v>26548</v>
      </c>
      <c r="B9110" s="528" t="s">
        <v>26549</v>
      </c>
      <c r="C9110" s="528" t="s">
        <v>26550</v>
      </c>
      <c r="D9110" s="528" t="s">
        <v>225</v>
      </c>
      <c r="E9110" s="528"/>
      <c r="F9110" s="528"/>
      <c r="G9110" s="528" t="s">
        <v>214</v>
      </c>
    </row>
    <row r="9111" spans="1:7" x14ac:dyDescent="0.35">
      <c r="A9111" s="528" t="s">
        <v>26551</v>
      </c>
      <c r="B9111" s="528" t="s">
        <v>26552</v>
      </c>
      <c r="C9111" s="528" t="s">
        <v>26553</v>
      </c>
      <c r="D9111" s="528" t="s">
        <v>251</v>
      </c>
      <c r="E9111" s="528"/>
      <c r="F9111" s="528"/>
      <c r="G9111" s="528" t="s">
        <v>212</v>
      </c>
    </row>
    <row r="9112" spans="1:7" x14ac:dyDescent="0.35">
      <c r="A9112" s="528" t="s">
        <v>26554</v>
      </c>
      <c r="B9112" s="528" t="s">
        <v>26555</v>
      </c>
      <c r="C9112" s="528" t="s">
        <v>26556</v>
      </c>
      <c r="D9112" s="528" t="s">
        <v>277</v>
      </c>
      <c r="E9112" s="528"/>
      <c r="F9112" s="528"/>
      <c r="G9112" s="528" t="s">
        <v>205</v>
      </c>
    </row>
    <row r="9113" spans="1:7" x14ac:dyDescent="0.35">
      <c r="A9113" s="528" t="s">
        <v>26557</v>
      </c>
      <c r="B9113" s="528" t="s">
        <v>26558</v>
      </c>
      <c r="C9113" s="528" t="s">
        <v>26559</v>
      </c>
      <c r="D9113" s="528" t="s">
        <v>238</v>
      </c>
      <c r="E9113" s="528"/>
      <c r="F9113" s="528"/>
      <c r="G9113" s="528" t="s">
        <v>205</v>
      </c>
    </row>
    <row r="9114" spans="1:7" x14ac:dyDescent="0.35">
      <c r="A9114" s="528" t="s">
        <v>26560</v>
      </c>
      <c r="B9114" s="528" t="s">
        <v>26561</v>
      </c>
      <c r="C9114" s="528" t="s">
        <v>26562</v>
      </c>
      <c r="D9114" s="528" t="s">
        <v>277</v>
      </c>
      <c r="E9114" s="528"/>
      <c r="F9114" s="528"/>
      <c r="G9114" s="528" t="s">
        <v>214</v>
      </c>
    </row>
    <row r="9115" spans="1:7" x14ac:dyDescent="0.35">
      <c r="A9115" s="528" t="s">
        <v>26563</v>
      </c>
      <c r="B9115" s="528" t="s">
        <v>26564</v>
      </c>
      <c r="C9115" s="528" t="s">
        <v>26565</v>
      </c>
      <c r="D9115" s="528" t="s">
        <v>277</v>
      </c>
      <c r="E9115" s="528"/>
      <c r="F9115" s="528"/>
      <c r="G9115" s="528" t="s">
        <v>214</v>
      </c>
    </row>
    <row r="9116" spans="1:7" x14ac:dyDescent="0.35">
      <c r="A9116" s="528" t="s">
        <v>26566</v>
      </c>
      <c r="B9116" s="528" t="s">
        <v>26567</v>
      </c>
      <c r="C9116" s="528" t="s">
        <v>26568</v>
      </c>
      <c r="D9116" s="528" t="s">
        <v>264</v>
      </c>
      <c r="E9116" s="528"/>
      <c r="F9116" s="528"/>
      <c r="G9116" s="528" t="s">
        <v>208</v>
      </c>
    </row>
    <row r="9117" spans="1:7" x14ac:dyDescent="0.35">
      <c r="A9117" s="528" t="s">
        <v>26569</v>
      </c>
      <c r="B9117" s="528" t="s">
        <v>26570</v>
      </c>
      <c r="C9117" s="528" t="s">
        <v>26571</v>
      </c>
      <c r="D9117" s="528" t="s">
        <v>277</v>
      </c>
      <c r="E9117" s="528"/>
      <c r="F9117" s="528"/>
      <c r="G9117" s="528" t="s">
        <v>208</v>
      </c>
    </row>
    <row r="9118" spans="1:7" x14ac:dyDescent="0.35">
      <c r="A9118" s="528" t="s">
        <v>26572</v>
      </c>
      <c r="B9118" s="528" t="s">
        <v>26573</v>
      </c>
      <c r="C9118" s="528" t="s">
        <v>26574</v>
      </c>
      <c r="D9118" s="528" t="s">
        <v>277</v>
      </c>
      <c r="E9118" s="528"/>
      <c r="F9118" s="528"/>
      <c r="G9118" s="528" t="s">
        <v>208</v>
      </c>
    </row>
    <row r="9119" spans="1:7" x14ac:dyDescent="0.35">
      <c r="A9119" s="528" t="s">
        <v>26575</v>
      </c>
      <c r="B9119" s="528" t="s">
        <v>26576</v>
      </c>
      <c r="C9119" s="528" t="s">
        <v>26577</v>
      </c>
      <c r="D9119" s="528" t="s">
        <v>277</v>
      </c>
      <c r="E9119" s="528"/>
      <c r="F9119" s="528"/>
      <c r="G9119" s="528" t="s">
        <v>205</v>
      </c>
    </row>
    <row r="9120" spans="1:7" x14ac:dyDescent="0.35">
      <c r="A9120" s="528" t="s">
        <v>26578</v>
      </c>
      <c r="B9120" s="528" t="s">
        <v>26579</v>
      </c>
      <c r="C9120" s="528" t="s">
        <v>26580</v>
      </c>
      <c r="D9120" s="528" t="s">
        <v>225</v>
      </c>
      <c r="E9120" s="528"/>
      <c r="F9120" s="528"/>
      <c r="G9120" s="528" t="s">
        <v>208</v>
      </c>
    </row>
    <row r="9121" spans="1:7" x14ac:dyDescent="0.35">
      <c r="A9121" s="528" t="s">
        <v>26581</v>
      </c>
      <c r="B9121" s="528" t="s">
        <v>26582</v>
      </c>
      <c r="C9121" s="528" t="s">
        <v>26583</v>
      </c>
      <c r="D9121" s="528" t="s">
        <v>264</v>
      </c>
      <c r="E9121" s="528"/>
      <c r="F9121" s="528"/>
      <c r="G9121" s="528" t="s">
        <v>208</v>
      </c>
    </row>
    <row r="9122" spans="1:7" x14ac:dyDescent="0.35">
      <c r="A9122" s="528" t="s">
        <v>26584</v>
      </c>
      <c r="B9122" s="528" t="s">
        <v>26585</v>
      </c>
      <c r="C9122" s="528" t="s">
        <v>26586</v>
      </c>
      <c r="D9122" s="528" t="s">
        <v>277</v>
      </c>
      <c r="E9122" s="528"/>
      <c r="F9122" s="528"/>
      <c r="G9122" s="528" t="s">
        <v>212</v>
      </c>
    </row>
    <row r="9123" spans="1:7" x14ac:dyDescent="0.35">
      <c r="A9123" s="528" t="s">
        <v>26587</v>
      </c>
      <c r="B9123" s="528" t="s">
        <v>26588</v>
      </c>
      <c r="C9123" s="528" t="s">
        <v>26589</v>
      </c>
      <c r="D9123" s="528" t="s">
        <v>277</v>
      </c>
      <c r="E9123" s="528"/>
      <c r="F9123" s="528"/>
      <c r="G9123" s="528" t="s">
        <v>212</v>
      </c>
    </row>
    <row r="9124" spans="1:7" x14ac:dyDescent="0.35">
      <c r="A9124" s="77">
        <v>305796</v>
      </c>
      <c r="B9124" s="75" t="s">
        <v>26590</v>
      </c>
      <c r="C9124" s="75" t="s">
        <v>26591</v>
      </c>
      <c r="D9124" s="75" t="s">
        <v>264</v>
      </c>
      <c r="G9124" s="75" t="s">
        <v>210</v>
      </c>
    </row>
    <row r="9125" spans="1:7" x14ac:dyDescent="0.35">
      <c r="A9125" s="77">
        <v>305797</v>
      </c>
      <c r="B9125" s="75" t="s">
        <v>26592</v>
      </c>
      <c r="C9125" s="75" t="s">
        <v>26593</v>
      </c>
      <c r="D9125" s="75" t="s">
        <v>264</v>
      </c>
      <c r="G9125" s="75" t="s">
        <v>208</v>
      </c>
    </row>
    <row r="9126" spans="1:7" x14ac:dyDescent="0.35">
      <c r="A9126" s="77">
        <v>305798</v>
      </c>
      <c r="B9126" s="75" t="s">
        <v>26594</v>
      </c>
      <c r="C9126" s="75" t="s">
        <v>26595</v>
      </c>
      <c r="D9126" s="75" t="s">
        <v>277</v>
      </c>
      <c r="G9126" s="75" t="s">
        <v>205</v>
      </c>
    </row>
    <row r="9127" spans="1:7" x14ac:dyDescent="0.35">
      <c r="A9127" s="77">
        <v>305799</v>
      </c>
      <c r="B9127" s="75" t="s">
        <v>26596</v>
      </c>
      <c r="C9127" s="75" t="s">
        <v>26597</v>
      </c>
      <c r="D9127" s="75" t="s">
        <v>225</v>
      </c>
      <c r="G9127" s="75" t="s">
        <v>205</v>
      </c>
    </row>
    <row r="9128" spans="1:7" x14ac:dyDescent="0.35">
      <c r="A9128" s="77">
        <v>305800</v>
      </c>
      <c r="B9128" s="75" t="s">
        <v>26598</v>
      </c>
      <c r="C9128" s="75" t="s">
        <v>26599</v>
      </c>
      <c r="D9128" s="75" t="s">
        <v>264</v>
      </c>
      <c r="G9128" s="75" t="s">
        <v>205</v>
      </c>
    </row>
    <row r="9129" spans="1:7" x14ac:dyDescent="0.35">
      <c r="A9129" s="77">
        <v>305801</v>
      </c>
      <c r="B9129" s="75" t="s">
        <v>26600</v>
      </c>
      <c r="C9129" s="75" t="s">
        <v>26601</v>
      </c>
      <c r="D9129" s="75" t="s">
        <v>225</v>
      </c>
      <c r="G9129" s="75" t="s">
        <v>205</v>
      </c>
    </row>
    <row r="9130" spans="1:7" x14ac:dyDescent="0.35">
      <c r="A9130" s="77">
        <v>305802</v>
      </c>
      <c r="B9130" s="75" t="s">
        <v>26602</v>
      </c>
      <c r="C9130" s="75" t="s">
        <v>26603</v>
      </c>
      <c r="D9130" s="75" t="s">
        <v>225</v>
      </c>
      <c r="G9130" s="75" t="s">
        <v>208</v>
      </c>
    </row>
    <row r="9131" spans="1:7" x14ac:dyDescent="0.35">
      <c r="A9131" s="77">
        <v>305803</v>
      </c>
      <c r="B9131" s="75" t="s">
        <v>26604</v>
      </c>
      <c r="C9131" s="75" t="s">
        <v>26605</v>
      </c>
      <c r="D9131" s="75" t="s">
        <v>264</v>
      </c>
      <c r="G9131" s="75" t="s">
        <v>208</v>
      </c>
    </row>
    <row r="9132" spans="1:7" x14ac:dyDescent="0.35">
      <c r="A9132" s="77">
        <v>305804</v>
      </c>
      <c r="B9132" s="75" t="s">
        <v>26606</v>
      </c>
      <c r="C9132" s="75" t="s">
        <v>26607</v>
      </c>
      <c r="D9132" s="75" t="s">
        <v>225</v>
      </c>
      <c r="G9132" s="75" t="s">
        <v>205</v>
      </c>
    </row>
    <row r="9133" spans="1:7" x14ac:dyDescent="0.35">
      <c r="A9133" s="77">
        <v>305805</v>
      </c>
      <c r="B9133" s="75" t="s">
        <v>26608</v>
      </c>
      <c r="C9133" s="75" t="s">
        <v>26609</v>
      </c>
      <c r="D9133" s="75" t="s">
        <v>225</v>
      </c>
      <c r="G9133" s="75" t="s">
        <v>208</v>
      </c>
    </row>
    <row r="9134" spans="1:7" x14ac:dyDescent="0.35">
      <c r="A9134" s="77">
        <v>305806</v>
      </c>
      <c r="B9134" s="75" t="s">
        <v>26610</v>
      </c>
      <c r="C9134" s="75" t="s">
        <v>26611</v>
      </c>
      <c r="D9134" s="75" t="s">
        <v>264</v>
      </c>
      <c r="G9134" s="75" t="s">
        <v>208</v>
      </c>
    </row>
    <row r="9135" spans="1:7" x14ac:dyDescent="0.35">
      <c r="A9135" s="77">
        <v>305807</v>
      </c>
      <c r="B9135" s="75" t="s">
        <v>26612</v>
      </c>
      <c r="C9135" s="75" t="s">
        <v>26613</v>
      </c>
      <c r="D9135" s="75" t="s">
        <v>264</v>
      </c>
      <c r="G9135" s="75" t="s">
        <v>208</v>
      </c>
    </row>
    <row r="9136" spans="1:7" x14ac:dyDescent="0.35">
      <c r="A9136" s="77">
        <v>305808</v>
      </c>
      <c r="B9136" s="75" t="s">
        <v>26614</v>
      </c>
      <c r="C9136" s="75" t="s">
        <v>26615</v>
      </c>
      <c r="D9136" s="75" t="s">
        <v>264</v>
      </c>
      <c r="G9136" s="75" t="s">
        <v>205</v>
      </c>
    </row>
    <row r="9137" spans="1:7" x14ac:dyDescent="0.35">
      <c r="A9137" s="77">
        <v>305809</v>
      </c>
      <c r="B9137" s="75" t="s">
        <v>26616</v>
      </c>
      <c r="C9137" s="75" t="s">
        <v>26617</v>
      </c>
      <c r="D9137" s="75" t="s">
        <v>264</v>
      </c>
      <c r="G9137" s="75" t="s">
        <v>210</v>
      </c>
    </row>
    <row r="9138" spans="1:7" x14ac:dyDescent="0.35">
      <c r="A9138" s="77">
        <v>305810</v>
      </c>
      <c r="B9138" s="75" t="s">
        <v>26618</v>
      </c>
      <c r="C9138" s="75" t="s">
        <v>26619</v>
      </c>
      <c r="D9138" s="75" t="s">
        <v>225</v>
      </c>
      <c r="G9138" s="75" t="s">
        <v>214</v>
      </c>
    </row>
    <row r="9139" spans="1:7" x14ac:dyDescent="0.35">
      <c r="A9139" s="77">
        <v>305811</v>
      </c>
      <c r="B9139" s="75" t="s">
        <v>26620</v>
      </c>
      <c r="C9139" s="75" t="s">
        <v>26621</v>
      </c>
      <c r="D9139" s="75" t="s">
        <v>225</v>
      </c>
      <c r="G9139" s="75" t="s">
        <v>214</v>
      </c>
    </row>
    <row r="9140" spans="1:7" x14ac:dyDescent="0.35">
      <c r="A9140" s="77">
        <v>305812</v>
      </c>
      <c r="B9140" s="75" t="s">
        <v>26622</v>
      </c>
      <c r="C9140" s="75" t="s">
        <v>26623</v>
      </c>
      <c r="D9140" s="75" t="s">
        <v>264</v>
      </c>
      <c r="G9140" s="75" t="s">
        <v>214</v>
      </c>
    </row>
    <row r="9141" spans="1:7" x14ac:dyDescent="0.35">
      <c r="A9141" s="77">
        <v>305813</v>
      </c>
      <c r="B9141" s="75" t="s">
        <v>26624</v>
      </c>
      <c r="C9141" s="75" t="s">
        <v>26625</v>
      </c>
      <c r="D9141" s="75" t="s">
        <v>264</v>
      </c>
      <c r="G9141" s="75" t="s">
        <v>214</v>
      </c>
    </row>
    <row r="9142" spans="1:7" x14ac:dyDescent="0.35">
      <c r="A9142" s="77">
        <v>305814</v>
      </c>
      <c r="B9142" s="75" t="s">
        <v>26626</v>
      </c>
      <c r="C9142" s="75" t="s">
        <v>26627</v>
      </c>
      <c r="D9142" s="75" t="s">
        <v>277</v>
      </c>
      <c r="G9142" s="75" t="s">
        <v>212</v>
      </c>
    </row>
    <row r="9143" spans="1:7" x14ac:dyDescent="0.35">
      <c r="A9143" s="77">
        <v>305815</v>
      </c>
      <c r="B9143" s="75" t="s">
        <v>26628</v>
      </c>
      <c r="C9143" s="75" t="s">
        <v>26629</v>
      </c>
      <c r="D9143" s="75" t="s">
        <v>264</v>
      </c>
      <c r="G9143" s="75" t="s">
        <v>208</v>
      </c>
    </row>
    <row r="9144" spans="1:7" x14ac:dyDescent="0.35">
      <c r="A9144" s="77">
        <v>305816</v>
      </c>
      <c r="B9144" s="75" t="s">
        <v>26630</v>
      </c>
      <c r="C9144" s="75" t="s">
        <v>26631</v>
      </c>
      <c r="D9144" s="75" t="s">
        <v>277</v>
      </c>
      <c r="G9144" s="75" t="s">
        <v>214</v>
      </c>
    </row>
    <row r="9145" spans="1:7" x14ac:dyDescent="0.35">
      <c r="A9145" s="77">
        <v>305817</v>
      </c>
      <c r="B9145" s="75" t="s">
        <v>26632</v>
      </c>
      <c r="C9145" s="75" t="s">
        <v>26633</v>
      </c>
      <c r="D9145" s="75" t="s">
        <v>277</v>
      </c>
      <c r="G9145" s="75" t="s">
        <v>205</v>
      </c>
    </row>
    <row r="9146" spans="1:7" x14ac:dyDescent="0.35">
      <c r="A9146" s="77">
        <v>305818</v>
      </c>
      <c r="B9146" s="75" t="s">
        <v>26634</v>
      </c>
      <c r="C9146" s="75" t="s">
        <v>26635</v>
      </c>
      <c r="D9146" s="75" t="s">
        <v>277</v>
      </c>
      <c r="G9146" s="75" t="s">
        <v>205</v>
      </c>
    </row>
    <row r="9147" spans="1:7" x14ac:dyDescent="0.35">
      <c r="A9147" s="77">
        <v>305819</v>
      </c>
      <c r="B9147" s="75" t="s">
        <v>26636</v>
      </c>
      <c r="C9147" s="75" t="s">
        <v>26637</v>
      </c>
      <c r="D9147" s="75" t="s">
        <v>277</v>
      </c>
      <c r="G9147" s="75" t="s">
        <v>205</v>
      </c>
    </row>
    <row r="9148" spans="1:7" x14ac:dyDescent="0.35">
      <c r="A9148" s="77">
        <v>305820</v>
      </c>
      <c r="B9148" s="75" t="s">
        <v>26638</v>
      </c>
      <c r="C9148" s="75" t="s">
        <v>26639</v>
      </c>
      <c r="D9148" s="75" t="s">
        <v>277</v>
      </c>
      <c r="G9148" s="75" t="s">
        <v>214</v>
      </c>
    </row>
    <row r="9149" spans="1:7" x14ac:dyDescent="0.35">
      <c r="A9149" s="77">
        <v>305821</v>
      </c>
      <c r="B9149" s="75" t="s">
        <v>26640</v>
      </c>
      <c r="C9149" s="75" t="s">
        <v>26641</v>
      </c>
      <c r="D9149" s="75" t="s">
        <v>264</v>
      </c>
      <c r="G9149" s="75" t="s">
        <v>208</v>
      </c>
    </row>
    <row r="9150" spans="1:7" x14ac:dyDescent="0.35">
      <c r="A9150" s="77">
        <v>305822</v>
      </c>
      <c r="B9150" s="75" t="s">
        <v>26642</v>
      </c>
      <c r="C9150" s="75" t="s">
        <v>26643</v>
      </c>
      <c r="D9150" s="75" t="s">
        <v>264</v>
      </c>
      <c r="G9150" s="75" t="s">
        <v>208</v>
      </c>
    </row>
    <row r="9151" spans="1:7" x14ac:dyDescent="0.35">
      <c r="A9151" s="77">
        <v>305823</v>
      </c>
      <c r="B9151" s="75" t="s">
        <v>26644</v>
      </c>
      <c r="C9151" s="75" t="s">
        <v>26645</v>
      </c>
      <c r="D9151" s="75" t="s">
        <v>277</v>
      </c>
      <c r="G9151" s="75" t="s">
        <v>214</v>
      </c>
    </row>
    <row r="9152" spans="1:7" x14ac:dyDescent="0.35">
      <c r="A9152" s="77">
        <v>305824</v>
      </c>
      <c r="B9152" s="75" t="s">
        <v>26646</v>
      </c>
      <c r="C9152" s="75" t="s">
        <v>26647</v>
      </c>
      <c r="D9152" s="75" t="s">
        <v>251</v>
      </c>
      <c r="G9152" s="75" t="s">
        <v>205</v>
      </c>
    </row>
    <row r="9153" spans="1:7" x14ac:dyDescent="0.35">
      <c r="A9153" s="77">
        <v>305825</v>
      </c>
      <c r="B9153" s="75" t="s">
        <v>26648</v>
      </c>
      <c r="C9153" s="75" t="s">
        <v>26649</v>
      </c>
      <c r="D9153" s="75" t="s">
        <v>225</v>
      </c>
      <c r="G9153" s="75" t="s">
        <v>208</v>
      </c>
    </row>
    <row r="9154" spans="1:7" x14ac:dyDescent="0.35">
      <c r="A9154" s="77">
        <v>305826</v>
      </c>
      <c r="B9154" s="75" t="s">
        <v>26650</v>
      </c>
      <c r="C9154" s="75" t="s">
        <v>26651</v>
      </c>
      <c r="D9154" s="75" t="s">
        <v>251</v>
      </c>
      <c r="G9154" s="75" t="s">
        <v>212</v>
      </c>
    </row>
    <row r="9155" spans="1:7" x14ac:dyDescent="0.35">
      <c r="A9155" s="77">
        <v>305827</v>
      </c>
      <c r="B9155" s="75" t="s">
        <v>26652</v>
      </c>
      <c r="C9155" s="75" t="s">
        <v>26653</v>
      </c>
      <c r="D9155" s="75" t="s">
        <v>251</v>
      </c>
      <c r="G9155" s="75" t="s">
        <v>212</v>
      </c>
    </row>
    <row r="9156" spans="1:7" x14ac:dyDescent="0.35">
      <c r="A9156" s="77">
        <v>305828</v>
      </c>
      <c r="B9156" s="75" t="s">
        <v>26654</v>
      </c>
      <c r="C9156" s="75" t="s">
        <v>26655</v>
      </c>
      <c r="D9156" s="75" t="s">
        <v>251</v>
      </c>
      <c r="G9156" s="75" t="s">
        <v>208</v>
      </c>
    </row>
    <row r="9157" spans="1:7" x14ac:dyDescent="0.35">
      <c r="A9157" s="77">
        <v>305829</v>
      </c>
      <c r="B9157" s="75" t="s">
        <v>26656</v>
      </c>
      <c r="C9157" s="75" t="s">
        <v>26657</v>
      </c>
      <c r="D9157" s="75" t="s">
        <v>251</v>
      </c>
      <c r="G9157" s="75" t="s">
        <v>208</v>
      </c>
    </row>
    <row r="9158" spans="1:7" x14ac:dyDescent="0.35">
      <c r="A9158" s="77">
        <v>305830</v>
      </c>
      <c r="B9158" s="75" t="s">
        <v>26658</v>
      </c>
      <c r="C9158" s="75" t="s">
        <v>26659</v>
      </c>
      <c r="D9158" s="75" t="s">
        <v>277</v>
      </c>
      <c r="G9158" s="75" t="s">
        <v>208</v>
      </c>
    </row>
    <row r="9159" spans="1:7" x14ac:dyDescent="0.35">
      <c r="A9159" s="77">
        <v>305831</v>
      </c>
      <c r="B9159" s="75" t="s">
        <v>26660</v>
      </c>
      <c r="C9159" s="75" t="s">
        <v>26661</v>
      </c>
      <c r="D9159" s="75" t="s">
        <v>277</v>
      </c>
      <c r="G9159" s="75" t="s">
        <v>208</v>
      </c>
    </row>
    <row r="9160" spans="1:7" x14ac:dyDescent="0.35">
      <c r="A9160" s="77">
        <v>305832</v>
      </c>
      <c r="B9160" s="75" t="s">
        <v>26662</v>
      </c>
      <c r="C9160" s="75" t="s">
        <v>26663</v>
      </c>
      <c r="D9160" s="75" t="s">
        <v>251</v>
      </c>
      <c r="G9160" s="75" t="s">
        <v>212</v>
      </c>
    </row>
    <row r="9161" spans="1:7" x14ac:dyDescent="0.35">
      <c r="A9161" s="77">
        <v>305833</v>
      </c>
      <c r="B9161" s="75" t="s">
        <v>26664</v>
      </c>
      <c r="C9161" s="75" t="s">
        <v>26665</v>
      </c>
      <c r="D9161" s="75" t="s">
        <v>264</v>
      </c>
      <c r="G9161" s="75" t="s">
        <v>205</v>
      </c>
    </row>
    <row r="9162" spans="1:7" x14ac:dyDescent="0.35">
      <c r="A9162" s="77">
        <v>305834</v>
      </c>
      <c r="B9162" s="75" t="s">
        <v>26666</v>
      </c>
      <c r="C9162" s="75" t="s">
        <v>26667</v>
      </c>
      <c r="D9162" s="75" t="s">
        <v>238</v>
      </c>
      <c r="G9162" s="75" t="s">
        <v>208</v>
      </c>
    </row>
    <row r="9163" spans="1:7" x14ac:dyDescent="0.35">
      <c r="A9163" s="77">
        <v>305835</v>
      </c>
      <c r="B9163" s="75" t="s">
        <v>26668</v>
      </c>
      <c r="C9163" s="75" t="s">
        <v>26669</v>
      </c>
      <c r="D9163" s="75" t="s">
        <v>225</v>
      </c>
      <c r="G9163" s="75" t="s">
        <v>208</v>
      </c>
    </row>
    <row r="9164" spans="1:7" x14ac:dyDescent="0.35">
      <c r="A9164" s="77">
        <v>305836</v>
      </c>
      <c r="B9164" s="75" t="s">
        <v>26670</v>
      </c>
      <c r="C9164" s="75" t="s">
        <v>28373</v>
      </c>
      <c r="D9164" s="75" t="s">
        <v>277</v>
      </c>
      <c r="G9164" s="75" t="s">
        <v>208</v>
      </c>
    </row>
    <row r="9165" spans="1:7" x14ac:dyDescent="0.35">
      <c r="A9165" s="77">
        <v>305837</v>
      </c>
      <c r="B9165" s="75" t="s">
        <v>26671</v>
      </c>
      <c r="C9165" s="75" t="s">
        <v>26672</v>
      </c>
      <c r="D9165" s="75" t="s">
        <v>277</v>
      </c>
      <c r="G9165" s="75" t="s">
        <v>208</v>
      </c>
    </row>
    <row r="9166" spans="1:7" x14ac:dyDescent="0.35">
      <c r="A9166" s="77">
        <v>305838</v>
      </c>
      <c r="B9166" s="75" t="s">
        <v>26673</v>
      </c>
      <c r="C9166" s="75" t="s">
        <v>26674</v>
      </c>
      <c r="D9166" s="75" t="s">
        <v>277</v>
      </c>
      <c r="G9166" s="75" t="s">
        <v>208</v>
      </c>
    </row>
    <row r="9167" spans="1:7" x14ac:dyDescent="0.35">
      <c r="A9167" s="77">
        <v>305839</v>
      </c>
      <c r="B9167" s="75" t="s">
        <v>26675</v>
      </c>
      <c r="C9167" s="75" t="s">
        <v>26676</v>
      </c>
      <c r="D9167" s="75" t="s">
        <v>264</v>
      </c>
      <c r="G9167" s="75" t="s">
        <v>208</v>
      </c>
    </row>
    <row r="9168" spans="1:7" x14ac:dyDescent="0.35">
      <c r="A9168" s="77">
        <v>305840</v>
      </c>
      <c r="B9168" s="75" t="s">
        <v>26677</v>
      </c>
      <c r="C9168" s="75" t="s">
        <v>26678</v>
      </c>
      <c r="D9168" s="75" t="s">
        <v>277</v>
      </c>
      <c r="G9168" s="75" t="s">
        <v>205</v>
      </c>
    </row>
    <row r="9169" spans="1:7" x14ac:dyDescent="0.35">
      <c r="A9169" s="77">
        <v>305841</v>
      </c>
      <c r="B9169" s="75" t="s">
        <v>26679</v>
      </c>
      <c r="C9169" s="75" t="s">
        <v>26680</v>
      </c>
      <c r="D9169" s="75" t="s">
        <v>264</v>
      </c>
      <c r="G9169" s="75" t="s">
        <v>208</v>
      </c>
    </row>
    <row r="9170" spans="1:7" x14ac:dyDescent="0.35">
      <c r="A9170" s="77">
        <v>305842</v>
      </c>
      <c r="B9170" s="75" t="s">
        <v>26681</v>
      </c>
      <c r="C9170" s="75" t="s">
        <v>26682</v>
      </c>
      <c r="D9170" s="75" t="s">
        <v>264</v>
      </c>
      <c r="G9170" s="75" t="s">
        <v>212</v>
      </c>
    </row>
    <row r="9171" spans="1:7" x14ac:dyDescent="0.35">
      <c r="A9171" s="77">
        <v>305843</v>
      </c>
      <c r="B9171" s="75" t="s">
        <v>26683</v>
      </c>
      <c r="C9171" s="75" t="s">
        <v>26684</v>
      </c>
      <c r="D9171" s="75" t="s">
        <v>264</v>
      </c>
      <c r="G9171" s="75" t="s">
        <v>208</v>
      </c>
    </row>
    <row r="9172" spans="1:7" x14ac:dyDescent="0.35">
      <c r="A9172" s="77">
        <v>305844</v>
      </c>
      <c r="B9172" s="75" t="s">
        <v>26685</v>
      </c>
      <c r="C9172" s="75" t="s">
        <v>26686</v>
      </c>
      <c r="D9172" s="75" t="s">
        <v>225</v>
      </c>
      <c r="G9172" s="75" t="s">
        <v>208</v>
      </c>
    </row>
    <row r="9173" spans="1:7" x14ac:dyDescent="0.35">
      <c r="A9173" s="77">
        <v>305845</v>
      </c>
      <c r="B9173" s="75" t="s">
        <v>26687</v>
      </c>
      <c r="C9173" s="75" t="s">
        <v>26688</v>
      </c>
      <c r="D9173" s="75" t="s">
        <v>264</v>
      </c>
      <c r="G9173" s="75" t="s">
        <v>205</v>
      </c>
    </row>
    <row r="9174" spans="1:7" x14ac:dyDescent="0.35">
      <c r="A9174" s="77">
        <v>305846</v>
      </c>
      <c r="B9174" s="75" t="s">
        <v>26689</v>
      </c>
      <c r="C9174" s="75" t="s">
        <v>26690</v>
      </c>
      <c r="D9174" s="75" t="s">
        <v>238</v>
      </c>
      <c r="G9174" s="75" t="s">
        <v>208</v>
      </c>
    </row>
    <row r="9175" spans="1:7" x14ac:dyDescent="0.35">
      <c r="A9175" s="77">
        <v>305847</v>
      </c>
      <c r="B9175" s="75" t="s">
        <v>26691</v>
      </c>
      <c r="C9175" s="75" t="s">
        <v>26692</v>
      </c>
      <c r="D9175" s="75" t="s">
        <v>251</v>
      </c>
      <c r="G9175" s="75" t="s">
        <v>208</v>
      </c>
    </row>
    <row r="9176" spans="1:7" x14ac:dyDescent="0.35">
      <c r="A9176" s="77">
        <v>305848</v>
      </c>
      <c r="B9176" s="75" t="s">
        <v>26693</v>
      </c>
      <c r="C9176" s="75" t="s">
        <v>26694</v>
      </c>
      <c r="D9176" s="75" t="s">
        <v>251</v>
      </c>
      <c r="G9176" s="75" t="s">
        <v>208</v>
      </c>
    </row>
    <row r="9177" spans="1:7" x14ac:dyDescent="0.35">
      <c r="A9177" s="77">
        <v>305849</v>
      </c>
      <c r="B9177" s="75" t="s">
        <v>26695</v>
      </c>
      <c r="C9177" s="75" t="s">
        <v>26696</v>
      </c>
      <c r="D9177" s="75" t="s">
        <v>225</v>
      </c>
      <c r="G9177" s="75" t="s">
        <v>208</v>
      </c>
    </row>
    <row r="9178" spans="1:7" x14ac:dyDescent="0.35">
      <c r="A9178" s="77">
        <v>305850</v>
      </c>
      <c r="B9178" s="75" t="s">
        <v>26697</v>
      </c>
      <c r="C9178" s="75" t="s">
        <v>26698</v>
      </c>
      <c r="D9178" s="75" t="s">
        <v>264</v>
      </c>
      <c r="G9178" s="75" t="s">
        <v>212</v>
      </c>
    </row>
    <row r="9179" spans="1:7" x14ac:dyDescent="0.35">
      <c r="A9179" s="77">
        <v>305851</v>
      </c>
      <c r="B9179" s="75" t="s">
        <v>26699</v>
      </c>
      <c r="C9179" s="75" t="s">
        <v>26700</v>
      </c>
      <c r="D9179" s="75" t="s">
        <v>277</v>
      </c>
      <c r="G9179" s="75" t="s">
        <v>208</v>
      </c>
    </row>
    <row r="9180" spans="1:7" x14ac:dyDescent="0.35">
      <c r="A9180" s="77">
        <v>305852</v>
      </c>
      <c r="B9180" s="75" t="s">
        <v>26701</v>
      </c>
      <c r="C9180" s="75" t="s">
        <v>26702</v>
      </c>
      <c r="D9180" s="75" t="s">
        <v>277</v>
      </c>
      <c r="G9180" s="75" t="s">
        <v>205</v>
      </c>
    </row>
    <row r="9181" spans="1:7" x14ac:dyDescent="0.35">
      <c r="A9181" s="77">
        <v>305853</v>
      </c>
      <c r="B9181" s="75" t="s">
        <v>26703</v>
      </c>
      <c r="C9181" s="75" t="s">
        <v>26704</v>
      </c>
      <c r="D9181" s="75" t="s">
        <v>225</v>
      </c>
      <c r="G9181" s="75" t="s">
        <v>205</v>
      </c>
    </row>
    <row r="9182" spans="1:7" x14ac:dyDescent="0.35">
      <c r="A9182" s="77">
        <v>305854</v>
      </c>
      <c r="B9182" s="75" t="s">
        <v>26705</v>
      </c>
      <c r="C9182" s="75" t="s">
        <v>26706</v>
      </c>
      <c r="D9182" s="75" t="s">
        <v>225</v>
      </c>
      <c r="G9182" s="75" t="s">
        <v>205</v>
      </c>
    </row>
    <row r="9183" spans="1:7" x14ac:dyDescent="0.35">
      <c r="A9183" s="77">
        <v>305855</v>
      </c>
      <c r="B9183" s="75" t="s">
        <v>26707</v>
      </c>
      <c r="C9183" s="75" t="s">
        <v>26708</v>
      </c>
      <c r="D9183" s="75" t="s">
        <v>225</v>
      </c>
      <c r="G9183" s="75" t="s">
        <v>205</v>
      </c>
    </row>
    <row r="9184" spans="1:7" x14ac:dyDescent="0.35">
      <c r="A9184" s="77">
        <v>305856</v>
      </c>
      <c r="B9184" s="75" t="s">
        <v>26709</v>
      </c>
      <c r="C9184" s="75" t="s">
        <v>26710</v>
      </c>
      <c r="D9184" s="75" t="s">
        <v>225</v>
      </c>
      <c r="G9184" s="75" t="s">
        <v>205</v>
      </c>
    </row>
    <row r="9185" spans="1:7" x14ac:dyDescent="0.35">
      <c r="A9185" s="77">
        <v>305857</v>
      </c>
      <c r="B9185" s="75" t="s">
        <v>26711</v>
      </c>
      <c r="C9185" s="75" t="s">
        <v>26712</v>
      </c>
      <c r="D9185" s="75" t="s">
        <v>225</v>
      </c>
      <c r="G9185" s="75" t="s">
        <v>205</v>
      </c>
    </row>
    <row r="9186" spans="1:7" x14ac:dyDescent="0.35">
      <c r="A9186" s="77">
        <v>305858</v>
      </c>
      <c r="B9186" s="75" t="s">
        <v>26713</v>
      </c>
      <c r="C9186" s="75" t="s">
        <v>26714</v>
      </c>
      <c r="D9186" s="75" t="s">
        <v>225</v>
      </c>
      <c r="G9186" s="75" t="s">
        <v>205</v>
      </c>
    </row>
    <row r="9187" spans="1:7" x14ac:dyDescent="0.35">
      <c r="A9187" s="77">
        <v>305859</v>
      </c>
      <c r="B9187" s="75" t="s">
        <v>26715</v>
      </c>
      <c r="C9187" s="75" t="s">
        <v>26716</v>
      </c>
      <c r="D9187" s="75" t="s">
        <v>225</v>
      </c>
      <c r="G9187" s="75" t="s">
        <v>205</v>
      </c>
    </row>
    <row r="9188" spans="1:7" x14ac:dyDescent="0.35">
      <c r="A9188" s="77">
        <v>305860</v>
      </c>
      <c r="B9188" s="75" t="s">
        <v>26717</v>
      </c>
      <c r="C9188" s="75" t="s">
        <v>26718</v>
      </c>
      <c r="D9188" s="75" t="s">
        <v>225</v>
      </c>
      <c r="G9188" s="75" t="s">
        <v>205</v>
      </c>
    </row>
    <row r="9189" spans="1:7" x14ac:dyDescent="0.35">
      <c r="A9189" s="77">
        <v>305861</v>
      </c>
      <c r="B9189" s="75" t="s">
        <v>26719</v>
      </c>
      <c r="C9189" s="75" t="s">
        <v>26720</v>
      </c>
      <c r="D9189" s="75" t="s">
        <v>225</v>
      </c>
      <c r="G9189" s="75" t="s">
        <v>205</v>
      </c>
    </row>
    <row r="9190" spans="1:7" x14ac:dyDescent="0.35">
      <c r="A9190" s="77">
        <v>305862</v>
      </c>
      <c r="B9190" s="75" t="s">
        <v>26721</v>
      </c>
      <c r="C9190" s="75" t="s">
        <v>26722</v>
      </c>
      <c r="D9190" s="75" t="s">
        <v>225</v>
      </c>
      <c r="G9190" s="75" t="s">
        <v>205</v>
      </c>
    </row>
    <row r="9191" spans="1:7" x14ac:dyDescent="0.35">
      <c r="A9191" s="77">
        <v>305863</v>
      </c>
      <c r="B9191" s="75" t="s">
        <v>26723</v>
      </c>
      <c r="C9191" s="75" t="s">
        <v>26724</v>
      </c>
      <c r="D9191" s="75" t="s">
        <v>225</v>
      </c>
      <c r="G9191" s="75" t="s">
        <v>205</v>
      </c>
    </row>
    <row r="9192" spans="1:7" x14ac:dyDescent="0.35">
      <c r="A9192" s="77">
        <v>305864</v>
      </c>
      <c r="B9192" s="75" t="s">
        <v>26725</v>
      </c>
      <c r="C9192" s="75" t="s">
        <v>26726</v>
      </c>
      <c r="D9192" s="75" t="s">
        <v>264</v>
      </c>
      <c r="G9192" s="75" t="s">
        <v>208</v>
      </c>
    </row>
    <row r="9193" spans="1:7" x14ac:dyDescent="0.35">
      <c r="A9193" s="77">
        <v>305865</v>
      </c>
      <c r="B9193" s="75" t="s">
        <v>26727</v>
      </c>
      <c r="C9193" s="75" t="s">
        <v>28374</v>
      </c>
      <c r="D9193" s="75" t="s">
        <v>277</v>
      </c>
      <c r="G9193" s="75" t="s">
        <v>208</v>
      </c>
    </row>
    <row r="9194" spans="1:7" x14ac:dyDescent="0.35">
      <c r="A9194" s="77">
        <v>305866</v>
      </c>
      <c r="B9194" s="75" t="s">
        <v>26728</v>
      </c>
      <c r="C9194" s="75" t="s">
        <v>26729</v>
      </c>
      <c r="D9194" s="75" t="s">
        <v>251</v>
      </c>
      <c r="G9194" s="75" t="s">
        <v>208</v>
      </c>
    </row>
    <row r="9195" spans="1:7" x14ac:dyDescent="0.35">
      <c r="A9195" s="77">
        <v>305867</v>
      </c>
      <c r="B9195" s="75" t="s">
        <v>26730</v>
      </c>
      <c r="C9195" s="75" t="s">
        <v>26731</v>
      </c>
      <c r="D9195" s="75" t="s">
        <v>264</v>
      </c>
      <c r="G9195" s="75" t="s">
        <v>212</v>
      </c>
    </row>
    <row r="9196" spans="1:7" x14ac:dyDescent="0.35">
      <c r="A9196" s="77">
        <v>305868</v>
      </c>
      <c r="B9196" s="75" t="s">
        <v>26732</v>
      </c>
      <c r="C9196" s="75" t="s">
        <v>28375</v>
      </c>
      <c r="D9196" s="75" t="s">
        <v>277</v>
      </c>
      <c r="G9196" s="75" t="s">
        <v>208</v>
      </c>
    </row>
    <row r="9197" spans="1:7" x14ac:dyDescent="0.35">
      <c r="A9197" s="77">
        <v>305869</v>
      </c>
      <c r="B9197" s="75" t="s">
        <v>26733</v>
      </c>
      <c r="C9197" s="75" t="s">
        <v>26734</v>
      </c>
      <c r="D9197" s="75" t="s">
        <v>277</v>
      </c>
      <c r="G9197" s="75" t="s">
        <v>208</v>
      </c>
    </row>
    <row r="9198" spans="1:7" x14ac:dyDescent="0.35">
      <c r="A9198" s="77">
        <v>305870</v>
      </c>
      <c r="B9198" s="75" t="s">
        <v>26735</v>
      </c>
      <c r="C9198" s="75" t="s">
        <v>26736</v>
      </c>
      <c r="D9198" s="75" t="s">
        <v>225</v>
      </c>
      <c r="G9198" s="75" t="s">
        <v>208</v>
      </c>
    </row>
    <row r="9199" spans="1:7" x14ac:dyDescent="0.35">
      <c r="A9199" s="77">
        <v>305871</v>
      </c>
      <c r="B9199" s="75" t="s">
        <v>26737</v>
      </c>
      <c r="C9199" s="75" t="s">
        <v>26738</v>
      </c>
      <c r="D9199" s="75" t="s">
        <v>225</v>
      </c>
      <c r="G9199" s="75" t="s">
        <v>208</v>
      </c>
    </row>
    <row r="9200" spans="1:7" x14ac:dyDescent="0.35">
      <c r="A9200" s="77">
        <v>305872</v>
      </c>
      <c r="B9200" s="75" t="s">
        <v>26739</v>
      </c>
      <c r="C9200" s="75" t="s">
        <v>26740</v>
      </c>
      <c r="D9200" s="75" t="s">
        <v>277</v>
      </c>
      <c r="G9200" s="75" t="s">
        <v>214</v>
      </c>
    </row>
    <row r="9201" spans="1:7" x14ac:dyDescent="0.35">
      <c r="A9201" s="77">
        <v>305873</v>
      </c>
      <c r="B9201" s="75" t="s">
        <v>26741</v>
      </c>
      <c r="C9201" s="75" t="s">
        <v>26742</v>
      </c>
      <c r="D9201" s="75" t="s">
        <v>225</v>
      </c>
      <c r="G9201" s="75" t="s">
        <v>205</v>
      </c>
    </row>
    <row r="9202" spans="1:7" x14ac:dyDescent="0.35">
      <c r="A9202" s="77">
        <v>305875</v>
      </c>
      <c r="B9202" s="75" t="s">
        <v>26743</v>
      </c>
      <c r="C9202" s="75" t="s">
        <v>26744</v>
      </c>
      <c r="D9202" s="75" t="s">
        <v>264</v>
      </c>
      <c r="G9202" s="75" t="s">
        <v>208</v>
      </c>
    </row>
    <row r="9203" spans="1:7" x14ac:dyDescent="0.35">
      <c r="A9203" s="77">
        <v>305876</v>
      </c>
      <c r="B9203" s="75" t="s">
        <v>26745</v>
      </c>
      <c r="C9203" s="75" t="s">
        <v>26746</v>
      </c>
      <c r="D9203" s="75" t="s">
        <v>264</v>
      </c>
      <c r="E9203" s="75" t="s">
        <v>225</v>
      </c>
      <c r="F9203" s="75" t="s">
        <v>277</v>
      </c>
      <c r="G9203" s="75" t="s">
        <v>205</v>
      </c>
    </row>
    <row r="9204" spans="1:7" x14ac:dyDescent="0.35">
      <c r="A9204" s="77">
        <v>305877</v>
      </c>
      <c r="B9204" s="75" t="s">
        <v>26747</v>
      </c>
      <c r="C9204" s="75" t="s">
        <v>26748</v>
      </c>
      <c r="D9204" s="75" t="s">
        <v>264</v>
      </c>
      <c r="G9204" s="75" t="s">
        <v>205</v>
      </c>
    </row>
    <row r="9205" spans="1:7" x14ac:dyDescent="0.35">
      <c r="A9205" s="77">
        <v>305878</v>
      </c>
      <c r="B9205" s="75" t="s">
        <v>26749</v>
      </c>
      <c r="C9205" s="75" t="s">
        <v>26750</v>
      </c>
      <c r="D9205" s="75" t="s">
        <v>264</v>
      </c>
      <c r="G9205" s="75" t="s">
        <v>205</v>
      </c>
    </row>
    <row r="9206" spans="1:7" x14ac:dyDescent="0.35">
      <c r="A9206" s="77">
        <v>305879</v>
      </c>
      <c r="B9206" s="75" t="s">
        <v>26751</v>
      </c>
      <c r="C9206" s="75" t="s">
        <v>26752</v>
      </c>
      <c r="D9206" s="75" t="s">
        <v>264</v>
      </c>
      <c r="G9206" s="75" t="s">
        <v>205</v>
      </c>
    </row>
    <row r="9207" spans="1:7" x14ac:dyDescent="0.35">
      <c r="A9207" s="77">
        <v>305880</v>
      </c>
      <c r="B9207" s="75" t="s">
        <v>26753</v>
      </c>
      <c r="C9207" s="75" t="s">
        <v>26754</v>
      </c>
      <c r="D9207" s="75" t="s">
        <v>264</v>
      </c>
      <c r="G9207" s="75" t="s">
        <v>208</v>
      </c>
    </row>
    <row r="9208" spans="1:7" x14ac:dyDescent="0.35">
      <c r="A9208" s="77">
        <v>305881</v>
      </c>
      <c r="B9208" s="75" t="s">
        <v>26755</v>
      </c>
      <c r="C9208" s="75" t="s">
        <v>26756</v>
      </c>
      <c r="D9208" s="75" t="s">
        <v>277</v>
      </c>
      <c r="G9208" s="75" t="s">
        <v>208</v>
      </c>
    </row>
    <row r="9209" spans="1:7" x14ac:dyDescent="0.35">
      <c r="A9209" s="77">
        <v>305882</v>
      </c>
      <c r="B9209" s="75" t="s">
        <v>26757</v>
      </c>
      <c r="C9209" s="75" t="s">
        <v>26758</v>
      </c>
      <c r="D9209" s="75" t="s">
        <v>277</v>
      </c>
      <c r="G9209" s="75" t="s">
        <v>208</v>
      </c>
    </row>
    <row r="9210" spans="1:7" x14ac:dyDescent="0.35">
      <c r="A9210" s="77">
        <v>305883</v>
      </c>
      <c r="B9210" s="75" t="s">
        <v>26759</v>
      </c>
      <c r="C9210" s="75" t="s">
        <v>26760</v>
      </c>
      <c r="D9210" s="75" t="s">
        <v>277</v>
      </c>
      <c r="G9210" s="75" t="s">
        <v>208</v>
      </c>
    </row>
    <row r="9211" spans="1:7" x14ac:dyDescent="0.35">
      <c r="A9211" s="77">
        <v>305884</v>
      </c>
      <c r="B9211" s="75" t="s">
        <v>26761</v>
      </c>
      <c r="C9211" s="75" t="s">
        <v>26762</v>
      </c>
      <c r="D9211" s="75" t="s">
        <v>277</v>
      </c>
      <c r="G9211" s="75" t="s">
        <v>205</v>
      </c>
    </row>
    <row r="9212" spans="1:7" x14ac:dyDescent="0.35">
      <c r="A9212" s="77">
        <v>305885</v>
      </c>
      <c r="B9212" s="75" t="s">
        <v>26763</v>
      </c>
      <c r="C9212" s="75" t="s">
        <v>26764</v>
      </c>
      <c r="D9212" s="75" t="s">
        <v>251</v>
      </c>
      <c r="G9212" s="75" t="s">
        <v>205</v>
      </c>
    </row>
    <row r="9213" spans="1:7" x14ac:dyDescent="0.35">
      <c r="A9213" s="77">
        <v>305886</v>
      </c>
      <c r="B9213" s="75" t="s">
        <v>26765</v>
      </c>
      <c r="C9213" s="75" t="s">
        <v>26766</v>
      </c>
      <c r="D9213" s="75" t="s">
        <v>251</v>
      </c>
      <c r="G9213" s="75" t="s">
        <v>205</v>
      </c>
    </row>
    <row r="9214" spans="1:7" x14ac:dyDescent="0.35">
      <c r="A9214" s="77">
        <v>305887</v>
      </c>
      <c r="B9214" s="75" t="s">
        <v>26767</v>
      </c>
      <c r="C9214" s="75" t="s">
        <v>26768</v>
      </c>
      <c r="D9214" s="75" t="s">
        <v>238</v>
      </c>
      <c r="G9214" s="75" t="s">
        <v>205</v>
      </c>
    </row>
    <row r="9215" spans="1:7" x14ac:dyDescent="0.35">
      <c r="A9215" s="77">
        <v>305888</v>
      </c>
      <c r="B9215" s="75" t="s">
        <v>26769</v>
      </c>
      <c r="C9215" s="75" t="s">
        <v>26770</v>
      </c>
      <c r="D9215" s="75" t="s">
        <v>238</v>
      </c>
      <c r="G9215" s="75" t="s">
        <v>205</v>
      </c>
    </row>
    <row r="9216" spans="1:7" x14ac:dyDescent="0.35">
      <c r="A9216" s="77">
        <v>305889</v>
      </c>
      <c r="B9216" s="75" t="s">
        <v>26771</v>
      </c>
      <c r="C9216" s="75" t="s">
        <v>26772</v>
      </c>
      <c r="D9216" s="75" t="s">
        <v>277</v>
      </c>
      <c r="G9216" s="75" t="s">
        <v>205</v>
      </c>
    </row>
    <row r="9217" spans="1:7" x14ac:dyDescent="0.35">
      <c r="A9217" s="77">
        <v>305890</v>
      </c>
      <c r="B9217" s="75" t="s">
        <v>26773</v>
      </c>
      <c r="C9217" s="75" t="s">
        <v>26774</v>
      </c>
      <c r="D9217" s="75" t="s">
        <v>277</v>
      </c>
      <c r="G9217" s="75" t="s">
        <v>205</v>
      </c>
    </row>
    <row r="9218" spans="1:7" x14ac:dyDescent="0.35">
      <c r="A9218" s="77">
        <v>305891</v>
      </c>
      <c r="B9218" s="75" t="s">
        <v>26775</v>
      </c>
      <c r="C9218" s="75" t="s">
        <v>26776</v>
      </c>
      <c r="D9218" s="75" t="s">
        <v>264</v>
      </c>
      <c r="G9218" s="75" t="s">
        <v>205</v>
      </c>
    </row>
    <row r="9219" spans="1:7" x14ac:dyDescent="0.35">
      <c r="A9219" s="77">
        <v>305892</v>
      </c>
      <c r="B9219" s="75" t="s">
        <v>26777</v>
      </c>
      <c r="C9219" s="75" t="s">
        <v>26778</v>
      </c>
      <c r="D9219" s="75" t="s">
        <v>264</v>
      </c>
      <c r="G9219" s="75" t="s">
        <v>205</v>
      </c>
    </row>
    <row r="9220" spans="1:7" x14ac:dyDescent="0.35">
      <c r="A9220" s="77">
        <v>305893</v>
      </c>
      <c r="B9220" s="75" t="s">
        <v>26779</v>
      </c>
      <c r="C9220" s="75" t="s">
        <v>26780</v>
      </c>
      <c r="D9220" s="75" t="s">
        <v>251</v>
      </c>
      <c r="G9220" s="75" t="s">
        <v>205</v>
      </c>
    </row>
    <row r="9221" spans="1:7" x14ac:dyDescent="0.35">
      <c r="A9221" s="77">
        <v>305894</v>
      </c>
      <c r="B9221" s="75" t="s">
        <v>26781</v>
      </c>
      <c r="C9221" s="75" t="s">
        <v>26782</v>
      </c>
      <c r="D9221" s="75" t="s">
        <v>251</v>
      </c>
      <c r="G9221" s="75" t="s">
        <v>205</v>
      </c>
    </row>
    <row r="9222" spans="1:7" x14ac:dyDescent="0.35">
      <c r="A9222" s="77">
        <v>305895</v>
      </c>
      <c r="B9222" s="75" t="s">
        <v>26783</v>
      </c>
      <c r="C9222" s="75" t="s">
        <v>26784</v>
      </c>
      <c r="D9222" s="75" t="s">
        <v>264</v>
      </c>
      <c r="G9222" s="75" t="s">
        <v>205</v>
      </c>
    </row>
    <row r="9223" spans="1:7" x14ac:dyDescent="0.35">
      <c r="A9223" s="77">
        <v>305896</v>
      </c>
      <c r="B9223" s="75" t="s">
        <v>26785</v>
      </c>
      <c r="C9223" s="75" t="s">
        <v>26786</v>
      </c>
      <c r="D9223" s="75" t="s">
        <v>225</v>
      </c>
      <c r="G9223" s="75" t="s">
        <v>205</v>
      </c>
    </row>
    <row r="9224" spans="1:7" x14ac:dyDescent="0.35">
      <c r="A9224" s="77">
        <v>305897</v>
      </c>
      <c r="B9224" s="75" t="s">
        <v>26787</v>
      </c>
      <c r="C9224" s="75" t="s">
        <v>26788</v>
      </c>
      <c r="D9224" s="75" t="s">
        <v>225</v>
      </c>
      <c r="G9224" s="75" t="s">
        <v>205</v>
      </c>
    </row>
    <row r="9225" spans="1:7" x14ac:dyDescent="0.35">
      <c r="A9225" s="77">
        <v>305898</v>
      </c>
      <c r="B9225" s="75" t="s">
        <v>26789</v>
      </c>
      <c r="C9225" s="75" t="s">
        <v>26790</v>
      </c>
      <c r="D9225" s="75" t="s">
        <v>251</v>
      </c>
      <c r="G9225" s="75" t="s">
        <v>205</v>
      </c>
    </row>
    <row r="9226" spans="1:7" x14ac:dyDescent="0.35">
      <c r="A9226" s="77">
        <v>305899</v>
      </c>
      <c r="B9226" s="75" t="s">
        <v>26791</v>
      </c>
      <c r="C9226" s="75" t="s">
        <v>26792</v>
      </c>
      <c r="D9226" s="75" t="s">
        <v>251</v>
      </c>
      <c r="G9226" s="75" t="s">
        <v>205</v>
      </c>
    </row>
    <row r="9227" spans="1:7" x14ac:dyDescent="0.35">
      <c r="A9227" s="77">
        <v>305900</v>
      </c>
      <c r="B9227" s="75" t="s">
        <v>26793</v>
      </c>
      <c r="C9227" s="75" t="s">
        <v>26794</v>
      </c>
      <c r="D9227" s="75" t="s">
        <v>251</v>
      </c>
      <c r="G9227" s="75" t="s">
        <v>205</v>
      </c>
    </row>
    <row r="9228" spans="1:7" x14ac:dyDescent="0.35">
      <c r="A9228" s="77">
        <v>305901</v>
      </c>
      <c r="B9228" s="75" t="s">
        <v>26795</v>
      </c>
      <c r="C9228" s="75" t="s">
        <v>26796</v>
      </c>
      <c r="D9228" s="75" t="s">
        <v>238</v>
      </c>
      <c r="G9228" s="75" t="s">
        <v>205</v>
      </c>
    </row>
    <row r="9229" spans="1:7" x14ac:dyDescent="0.35">
      <c r="A9229" s="77">
        <v>305902</v>
      </c>
      <c r="B9229" s="75" t="s">
        <v>26797</v>
      </c>
      <c r="C9229" s="75" t="s">
        <v>26798</v>
      </c>
      <c r="D9229" s="75" t="s">
        <v>238</v>
      </c>
      <c r="G9229" s="75" t="s">
        <v>205</v>
      </c>
    </row>
    <row r="9230" spans="1:7" x14ac:dyDescent="0.35">
      <c r="A9230" s="77">
        <v>305903</v>
      </c>
      <c r="B9230" s="75" t="s">
        <v>26799</v>
      </c>
      <c r="C9230" s="75" t="s">
        <v>26800</v>
      </c>
      <c r="D9230" s="75" t="s">
        <v>238</v>
      </c>
      <c r="G9230" s="75" t="s">
        <v>205</v>
      </c>
    </row>
    <row r="9231" spans="1:7" x14ac:dyDescent="0.35">
      <c r="A9231" s="77">
        <v>305904</v>
      </c>
      <c r="B9231" s="75" t="s">
        <v>26801</v>
      </c>
      <c r="C9231" s="75" t="s">
        <v>26802</v>
      </c>
      <c r="D9231" s="75" t="s">
        <v>238</v>
      </c>
      <c r="G9231" s="75" t="s">
        <v>205</v>
      </c>
    </row>
    <row r="9232" spans="1:7" x14ac:dyDescent="0.35">
      <c r="A9232" s="77">
        <v>305905</v>
      </c>
      <c r="B9232" s="75" t="s">
        <v>26803</v>
      </c>
      <c r="C9232" s="75" t="s">
        <v>26804</v>
      </c>
      <c r="D9232" s="75" t="s">
        <v>238</v>
      </c>
      <c r="G9232" s="75" t="s">
        <v>205</v>
      </c>
    </row>
    <row r="9233" spans="1:7" x14ac:dyDescent="0.35">
      <c r="A9233" s="77">
        <v>305906</v>
      </c>
      <c r="B9233" s="75" t="s">
        <v>26805</v>
      </c>
      <c r="C9233" s="75" t="s">
        <v>26806</v>
      </c>
      <c r="D9233" s="75" t="s">
        <v>264</v>
      </c>
      <c r="G9233" s="75" t="s">
        <v>205</v>
      </c>
    </row>
    <row r="9234" spans="1:7" x14ac:dyDescent="0.35">
      <c r="A9234" s="77">
        <v>305907</v>
      </c>
      <c r="B9234" s="75" t="s">
        <v>26807</v>
      </c>
      <c r="C9234" s="75" t="s">
        <v>26808</v>
      </c>
      <c r="D9234" s="75" t="s">
        <v>225</v>
      </c>
      <c r="G9234" s="75" t="s">
        <v>205</v>
      </c>
    </row>
    <row r="9235" spans="1:7" x14ac:dyDescent="0.35">
      <c r="A9235" s="77">
        <v>305908</v>
      </c>
      <c r="B9235" s="75" t="s">
        <v>26809</v>
      </c>
      <c r="C9235" s="75" t="s">
        <v>26810</v>
      </c>
      <c r="D9235" s="75" t="s">
        <v>225</v>
      </c>
      <c r="G9235" s="75" t="s">
        <v>205</v>
      </c>
    </row>
    <row r="9236" spans="1:7" x14ac:dyDescent="0.35">
      <c r="A9236" s="77">
        <v>305909</v>
      </c>
      <c r="B9236" s="75" t="s">
        <v>26811</v>
      </c>
      <c r="C9236" s="75" t="s">
        <v>26812</v>
      </c>
      <c r="D9236" s="75" t="s">
        <v>225</v>
      </c>
      <c r="G9236" s="75" t="s">
        <v>205</v>
      </c>
    </row>
    <row r="9237" spans="1:7" x14ac:dyDescent="0.35">
      <c r="A9237" s="77">
        <v>305910</v>
      </c>
      <c r="B9237" s="75" t="s">
        <v>26813</v>
      </c>
      <c r="C9237" s="75" t="s">
        <v>26814</v>
      </c>
      <c r="D9237" s="75" t="s">
        <v>225</v>
      </c>
      <c r="G9237" s="75" t="s">
        <v>205</v>
      </c>
    </row>
    <row r="9238" spans="1:7" x14ac:dyDescent="0.35">
      <c r="A9238" s="77">
        <v>305911</v>
      </c>
      <c r="B9238" s="75" t="s">
        <v>26815</v>
      </c>
      <c r="C9238" s="75" t="s">
        <v>26816</v>
      </c>
      <c r="D9238" s="75" t="s">
        <v>225</v>
      </c>
      <c r="G9238" s="75" t="s">
        <v>205</v>
      </c>
    </row>
    <row r="9239" spans="1:7" x14ac:dyDescent="0.35">
      <c r="A9239" s="77">
        <v>305912</v>
      </c>
      <c r="B9239" s="75" t="s">
        <v>26817</v>
      </c>
      <c r="C9239" s="75" t="s">
        <v>26818</v>
      </c>
      <c r="D9239" s="75" t="s">
        <v>225</v>
      </c>
      <c r="G9239" s="75" t="s">
        <v>205</v>
      </c>
    </row>
    <row r="9240" spans="1:7" x14ac:dyDescent="0.35">
      <c r="A9240" s="77">
        <v>305913</v>
      </c>
      <c r="B9240" s="75" t="s">
        <v>26819</v>
      </c>
      <c r="C9240" s="75" t="s">
        <v>26820</v>
      </c>
      <c r="D9240" s="75" t="s">
        <v>277</v>
      </c>
      <c r="G9240" s="75" t="s">
        <v>205</v>
      </c>
    </row>
    <row r="9241" spans="1:7" x14ac:dyDescent="0.35">
      <c r="A9241" s="77">
        <v>305914</v>
      </c>
      <c r="B9241" s="75" t="s">
        <v>26821</v>
      </c>
      <c r="C9241" s="75" t="s">
        <v>26822</v>
      </c>
      <c r="D9241" s="75" t="s">
        <v>277</v>
      </c>
      <c r="G9241" s="75" t="s">
        <v>205</v>
      </c>
    </row>
    <row r="9242" spans="1:7" x14ac:dyDescent="0.35">
      <c r="A9242" s="77">
        <v>305915</v>
      </c>
      <c r="B9242" s="75" t="s">
        <v>26823</v>
      </c>
      <c r="C9242" s="75" t="s">
        <v>26824</v>
      </c>
      <c r="D9242" s="75" t="s">
        <v>277</v>
      </c>
      <c r="G9242" s="75" t="s">
        <v>205</v>
      </c>
    </row>
    <row r="9243" spans="1:7" x14ac:dyDescent="0.35">
      <c r="A9243" s="77">
        <v>305916</v>
      </c>
      <c r="B9243" s="75" t="s">
        <v>26825</v>
      </c>
      <c r="C9243" s="75" t="s">
        <v>26826</v>
      </c>
      <c r="D9243" s="75" t="s">
        <v>264</v>
      </c>
      <c r="G9243" s="75" t="s">
        <v>205</v>
      </c>
    </row>
    <row r="9244" spans="1:7" x14ac:dyDescent="0.35">
      <c r="A9244" s="77">
        <v>305917</v>
      </c>
      <c r="B9244" s="75" t="s">
        <v>26827</v>
      </c>
      <c r="C9244" s="75" t="s">
        <v>26828</v>
      </c>
      <c r="D9244" s="75" t="s">
        <v>264</v>
      </c>
      <c r="G9244" s="75" t="s">
        <v>205</v>
      </c>
    </row>
    <row r="9245" spans="1:7" x14ac:dyDescent="0.35">
      <c r="A9245" s="77">
        <v>305918</v>
      </c>
      <c r="B9245" s="75" t="s">
        <v>26829</v>
      </c>
      <c r="C9245" s="75" t="s">
        <v>26830</v>
      </c>
      <c r="D9245" s="75" t="s">
        <v>225</v>
      </c>
      <c r="G9245" s="75" t="s">
        <v>205</v>
      </c>
    </row>
    <row r="9246" spans="1:7" x14ac:dyDescent="0.35">
      <c r="A9246" s="77">
        <v>305919</v>
      </c>
      <c r="B9246" s="75" t="s">
        <v>26831</v>
      </c>
      <c r="C9246" s="75" t="s">
        <v>26832</v>
      </c>
      <c r="D9246" s="75" t="s">
        <v>225</v>
      </c>
      <c r="G9246" s="75" t="s">
        <v>205</v>
      </c>
    </row>
    <row r="9247" spans="1:7" x14ac:dyDescent="0.35">
      <c r="A9247" s="77">
        <v>305920</v>
      </c>
      <c r="B9247" s="75" t="s">
        <v>26833</v>
      </c>
      <c r="C9247" s="75" t="s">
        <v>26834</v>
      </c>
      <c r="D9247" s="75" t="s">
        <v>251</v>
      </c>
      <c r="G9247" s="75" t="s">
        <v>205</v>
      </c>
    </row>
    <row r="9248" spans="1:7" x14ac:dyDescent="0.35">
      <c r="A9248" s="77">
        <v>305921</v>
      </c>
      <c r="B9248" s="75" t="s">
        <v>26835</v>
      </c>
      <c r="C9248" s="75" t="s">
        <v>26836</v>
      </c>
      <c r="D9248" s="75" t="s">
        <v>264</v>
      </c>
      <c r="G9248" s="75" t="s">
        <v>205</v>
      </c>
    </row>
    <row r="9249" spans="1:7" x14ac:dyDescent="0.35">
      <c r="A9249" s="77">
        <v>305922</v>
      </c>
      <c r="B9249" s="75" t="s">
        <v>26837</v>
      </c>
      <c r="C9249" s="75" t="s">
        <v>26838</v>
      </c>
      <c r="D9249" s="75" t="s">
        <v>225</v>
      </c>
      <c r="G9249" s="75" t="s">
        <v>205</v>
      </c>
    </row>
    <row r="9250" spans="1:7" x14ac:dyDescent="0.35">
      <c r="A9250" s="77">
        <v>305923</v>
      </c>
      <c r="B9250" s="75" t="s">
        <v>26839</v>
      </c>
      <c r="C9250" s="75" t="s">
        <v>26840</v>
      </c>
      <c r="D9250" s="75" t="s">
        <v>225</v>
      </c>
      <c r="G9250" s="75" t="s">
        <v>205</v>
      </c>
    </row>
    <row r="9251" spans="1:7" x14ac:dyDescent="0.35">
      <c r="A9251" s="77">
        <v>305924</v>
      </c>
      <c r="B9251" s="75" t="s">
        <v>26841</v>
      </c>
      <c r="C9251" s="75" t="s">
        <v>26842</v>
      </c>
      <c r="D9251" s="75" t="s">
        <v>264</v>
      </c>
      <c r="G9251" s="75" t="s">
        <v>205</v>
      </c>
    </row>
    <row r="9252" spans="1:7" x14ac:dyDescent="0.35">
      <c r="A9252" s="77">
        <v>305925</v>
      </c>
      <c r="B9252" s="75" t="s">
        <v>26843</v>
      </c>
      <c r="C9252" s="75" t="s">
        <v>26844</v>
      </c>
      <c r="D9252" s="75" t="s">
        <v>264</v>
      </c>
      <c r="G9252" s="75" t="s">
        <v>205</v>
      </c>
    </row>
    <row r="9253" spans="1:7" x14ac:dyDescent="0.35">
      <c r="A9253" s="77">
        <v>305926</v>
      </c>
      <c r="B9253" s="75" t="s">
        <v>26845</v>
      </c>
      <c r="C9253" s="75" t="s">
        <v>26846</v>
      </c>
      <c r="D9253" s="75" t="s">
        <v>264</v>
      </c>
      <c r="G9253" s="75" t="s">
        <v>205</v>
      </c>
    </row>
    <row r="9254" spans="1:7" x14ac:dyDescent="0.35">
      <c r="A9254" s="77">
        <v>305927</v>
      </c>
      <c r="B9254" s="75" t="s">
        <v>26847</v>
      </c>
      <c r="C9254" s="75" t="s">
        <v>26848</v>
      </c>
      <c r="D9254" s="75" t="s">
        <v>264</v>
      </c>
      <c r="G9254" s="75" t="s">
        <v>205</v>
      </c>
    </row>
    <row r="9255" spans="1:7" x14ac:dyDescent="0.35">
      <c r="A9255" s="77">
        <v>305928</v>
      </c>
      <c r="B9255" s="75" t="s">
        <v>26849</v>
      </c>
      <c r="C9255" s="75" t="s">
        <v>26850</v>
      </c>
      <c r="D9255" s="75" t="s">
        <v>277</v>
      </c>
      <c r="G9255" s="75" t="s">
        <v>205</v>
      </c>
    </row>
    <row r="9256" spans="1:7" x14ac:dyDescent="0.35">
      <c r="A9256" s="77">
        <v>305929</v>
      </c>
      <c r="B9256" s="75" t="s">
        <v>26851</v>
      </c>
      <c r="C9256" s="75" t="s">
        <v>26852</v>
      </c>
      <c r="D9256" s="75" t="s">
        <v>264</v>
      </c>
      <c r="G9256" s="75" t="s">
        <v>205</v>
      </c>
    </row>
    <row r="9257" spans="1:7" x14ac:dyDescent="0.35">
      <c r="A9257" s="77">
        <v>305930</v>
      </c>
      <c r="B9257" s="75" t="s">
        <v>26853</v>
      </c>
      <c r="C9257" s="75" t="s">
        <v>26854</v>
      </c>
      <c r="D9257" s="75" t="s">
        <v>277</v>
      </c>
      <c r="G9257" s="75" t="s">
        <v>205</v>
      </c>
    </row>
    <row r="9258" spans="1:7" x14ac:dyDescent="0.35">
      <c r="A9258" s="77">
        <v>305931</v>
      </c>
      <c r="B9258" s="75" t="s">
        <v>26855</v>
      </c>
      <c r="C9258" s="75" t="s">
        <v>26856</v>
      </c>
      <c r="D9258" s="75" t="s">
        <v>277</v>
      </c>
      <c r="G9258" s="75" t="s">
        <v>205</v>
      </c>
    </row>
    <row r="9259" spans="1:7" x14ac:dyDescent="0.35">
      <c r="A9259" s="77">
        <v>305932</v>
      </c>
      <c r="B9259" s="75" t="s">
        <v>26857</v>
      </c>
      <c r="C9259" s="75" t="s">
        <v>26858</v>
      </c>
      <c r="D9259" s="75" t="s">
        <v>251</v>
      </c>
      <c r="G9259" s="75" t="s">
        <v>205</v>
      </c>
    </row>
    <row r="9260" spans="1:7" x14ac:dyDescent="0.35">
      <c r="A9260" s="77">
        <v>305933</v>
      </c>
      <c r="B9260" s="75" t="s">
        <v>26859</v>
      </c>
      <c r="C9260" s="75" t="s">
        <v>26860</v>
      </c>
      <c r="D9260" s="75" t="s">
        <v>251</v>
      </c>
      <c r="G9260" s="75" t="s">
        <v>205</v>
      </c>
    </row>
    <row r="9261" spans="1:7" x14ac:dyDescent="0.35">
      <c r="A9261" s="77">
        <v>305934</v>
      </c>
      <c r="B9261" s="75" t="s">
        <v>26861</v>
      </c>
      <c r="C9261" s="75" t="s">
        <v>26862</v>
      </c>
      <c r="D9261" s="75" t="s">
        <v>225</v>
      </c>
      <c r="G9261" s="75" t="s">
        <v>208</v>
      </c>
    </row>
    <row r="9262" spans="1:7" x14ac:dyDescent="0.35">
      <c r="A9262" s="77">
        <v>305935</v>
      </c>
      <c r="B9262" s="75" t="s">
        <v>26863</v>
      </c>
      <c r="C9262" s="75" t="s">
        <v>28376</v>
      </c>
      <c r="D9262" s="75" t="s">
        <v>264</v>
      </c>
      <c r="G9262" s="75" t="s">
        <v>205</v>
      </c>
    </row>
    <row r="9263" spans="1:7" x14ac:dyDescent="0.35">
      <c r="A9263" s="77">
        <v>305936</v>
      </c>
      <c r="B9263" s="75" t="s">
        <v>26864</v>
      </c>
      <c r="C9263" s="75" t="s">
        <v>26865</v>
      </c>
      <c r="D9263" s="75" t="s">
        <v>225</v>
      </c>
      <c r="G9263" s="75" t="s">
        <v>205</v>
      </c>
    </row>
    <row r="9264" spans="1:7" x14ac:dyDescent="0.35">
      <c r="A9264" s="77">
        <v>305937</v>
      </c>
      <c r="B9264" s="75" t="s">
        <v>26866</v>
      </c>
      <c r="C9264" s="75" t="s">
        <v>26867</v>
      </c>
      <c r="D9264" s="75" t="s">
        <v>264</v>
      </c>
      <c r="G9264" s="75" t="s">
        <v>205</v>
      </c>
    </row>
    <row r="9265" spans="1:7" x14ac:dyDescent="0.35">
      <c r="A9265" s="77">
        <v>305938</v>
      </c>
      <c r="B9265" s="75" t="s">
        <v>26868</v>
      </c>
      <c r="C9265" s="75" t="s">
        <v>26869</v>
      </c>
      <c r="D9265" s="75" t="s">
        <v>264</v>
      </c>
      <c r="G9265" s="75" t="s">
        <v>205</v>
      </c>
    </row>
    <row r="9266" spans="1:7" x14ac:dyDescent="0.35">
      <c r="A9266" s="77">
        <v>305939</v>
      </c>
      <c r="B9266" s="75" t="s">
        <v>26870</v>
      </c>
      <c r="C9266" s="75" t="s">
        <v>26871</v>
      </c>
      <c r="D9266" s="75" t="s">
        <v>225</v>
      </c>
      <c r="G9266" s="75" t="s">
        <v>205</v>
      </c>
    </row>
    <row r="9267" spans="1:7" x14ac:dyDescent="0.35">
      <c r="A9267" s="77">
        <v>305940</v>
      </c>
      <c r="B9267" s="75" t="s">
        <v>26872</v>
      </c>
      <c r="C9267" s="75" t="s">
        <v>26873</v>
      </c>
      <c r="D9267" s="75" t="s">
        <v>264</v>
      </c>
      <c r="G9267" s="75" t="s">
        <v>208</v>
      </c>
    </row>
    <row r="9268" spans="1:7" x14ac:dyDescent="0.35">
      <c r="A9268" s="77">
        <v>305941</v>
      </c>
      <c r="B9268" s="75" t="s">
        <v>26874</v>
      </c>
      <c r="C9268" s="75" t="s">
        <v>26875</v>
      </c>
      <c r="D9268" s="75" t="s">
        <v>264</v>
      </c>
      <c r="G9268" s="75" t="s">
        <v>208</v>
      </c>
    </row>
    <row r="9269" spans="1:7" x14ac:dyDescent="0.35">
      <c r="A9269" s="77">
        <v>305942</v>
      </c>
      <c r="B9269" s="75" t="s">
        <v>26876</v>
      </c>
      <c r="C9269" s="75" t="s">
        <v>26877</v>
      </c>
      <c r="D9269" s="75" t="s">
        <v>264</v>
      </c>
      <c r="G9269" s="75" t="s">
        <v>205</v>
      </c>
    </row>
    <row r="9270" spans="1:7" x14ac:dyDescent="0.35">
      <c r="A9270" s="77">
        <v>305943</v>
      </c>
      <c r="B9270" s="75" t="s">
        <v>26878</v>
      </c>
      <c r="C9270" s="75" t="s">
        <v>26879</v>
      </c>
      <c r="D9270" s="75" t="s">
        <v>277</v>
      </c>
      <c r="G9270" s="75" t="s">
        <v>208</v>
      </c>
    </row>
    <row r="9271" spans="1:7" x14ac:dyDescent="0.35">
      <c r="A9271" s="77">
        <v>305944</v>
      </c>
      <c r="B9271" s="75" t="s">
        <v>26880</v>
      </c>
      <c r="C9271" s="75" t="s">
        <v>26881</v>
      </c>
      <c r="D9271" s="75" t="s">
        <v>277</v>
      </c>
      <c r="G9271" s="75" t="s">
        <v>208</v>
      </c>
    </row>
    <row r="9272" spans="1:7" x14ac:dyDescent="0.35">
      <c r="A9272" s="77">
        <v>305945</v>
      </c>
      <c r="B9272" s="75" t="s">
        <v>26882</v>
      </c>
      <c r="C9272" s="75" t="s">
        <v>26883</v>
      </c>
      <c r="D9272" s="75" t="s">
        <v>277</v>
      </c>
      <c r="G9272" s="75" t="s">
        <v>208</v>
      </c>
    </row>
    <row r="9273" spans="1:7" x14ac:dyDescent="0.35">
      <c r="A9273" s="77">
        <v>305946</v>
      </c>
      <c r="B9273" s="75" t="s">
        <v>26884</v>
      </c>
      <c r="C9273" s="75" t="s">
        <v>26885</v>
      </c>
      <c r="D9273" s="75" t="s">
        <v>238</v>
      </c>
      <c r="G9273" s="75" t="s">
        <v>205</v>
      </c>
    </row>
    <row r="9274" spans="1:7" x14ac:dyDescent="0.35">
      <c r="A9274" s="77">
        <v>305947</v>
      </c>
      <c r="B9274" s="75" t="s">
        <v>26886</v>
      </c>
      <c r="C9274" s="75" t="s">
        <v>26887</v>
      </c>
      <c r="D9274" s="75" t="s">
        <v>238</v>
      </c>
      <c r="G9274" s="75" t="s">
        <v>205</v>
      </c>
    </row>
    <row r="9275" spans="1:7" x14ac:dyDescent="0.35">
      <c r="A9275" s="77">
        <v>305948</v>
      </c>
      <c r="B9275" s="75" t="s">
        <v>26888</v>
      </c>
      <c r="C9275" s="75" t="s">
        <v>26889</v>
      </c>
      <c r="D9275" s="75" t="s">
        <v>238</v>
      </c>
      <c r="G9275" s="75" t="s">
        <v>205</v>
      </c>
    </row>
    <row r="9276" spans="1:7" x14ac:dyDescent="0.35">
      <c r="A9276" s="77">
        <v>305949</v>
      </c>
      <c r="B9276" s="75" t="s">
        <v>26890</v>
      </c>
      <c r="C9276" s="75" t="s">
        <v>26891</v>
      </c>
      <c r="D9276" s="75" t="s">
        <v>238</v>
      </c>
      <c r="G9276" s="75" t="s">
        <v>205</v>
      </c>
    </row>
    <row r="9277" spans="1:7" x14ac:dyDescent="0.35">
      <c r="A9277" s="77">
        <v>305950</v>
      </c>
      <c r="B9277" s="75" t="s">
        <v>26892</v>
      </c>
      <c r="C9277" s="75" t="s">
        <v>26893</v>
      </c>
      <c r="D9277" s="75" t="s">
        <v>238</v>
      </c>
      <c r="G9277" s="75" t="s">
        <v>205</v>
      </c>
    </row>
    <row r="9278" spans="1:7" x14ac:dyDescent="0.35">
      <c r="A9278" s="77">
        <v>305951</v>
      </c>
      <c r="B9278" s="75" t="s">
        <v>26894</v>
      </c>
      <c r="C9278" s="75" t="s">
        <v>26895</v>
      </c>
      <c r="D9278" s="75" t="s">
        <v>238</v>
      </c>
      <c r="G9278" s="75" t="s">
        <v>205</v>
      </c>
    </row>
    <row r="9279" spans="1:7" x14ac:dyDescent="0.35">
      <c r="A9279" s="77">
        <v>305952</v>
      </c>
      <c r="B9279" s="75" t="s">
        <v>26896</v>
      </c>
      <c r="C9279" s="75" t="s">
        <v>26897</v>
      </c>
      <c r="D9279" s="75" t="s">
        <v>264</v>
      </c>
      <c r="E9279" s="75" t="s">
        <v>277</v>
      </c>
      <c r="G9279" s="75" t="s">
        <v>208</v>
      </c>
    </row>
    <row r="9280" spans="1:7" x14ac:dyDescent="0.35">
      <c r="A9280" s="77">
        <v>305953</v>
      </c>
      <c r="B9280" s="75" t="s">
        <v>26898</v>
      </c>
      <c r="C9280" s="75" t="s">
        <v>26899</v>
      </c>
      <c r="D9280" s="75" t="s">
        <v>264</v>
      </c>
      <c r="G9280" s="75" t="s">
        <v>205</v>
      </c>
    </row>
    <row r="9281" spans="1:7" x14ac:dyDescent="0.35">
      <c r="A9281" s="77">
        <v>305954</v>
      </c>
      <c r="B9281" s="75" t="s">
        <v>26900</v>
      </c>
      <c r="C9281" s="75" t="s">
        <v>26901</v>
      </c>
      <c r="D9281" s="75" t="s">
        <v>264</v>
      </c>
      <c r="G9281" s="75" t="s">
        <v>208</v>
      </c>
    </row>
    <row r="9282" spans="1:7" x14ac:dyDescent="0.35">
      <c r="A9282" s="77">
        <v>305955</v>
      </c>
      <c r="B9282" s="75" t="s">
        <v>26902</v>
      </c>
      <c r="C9282" s="75" t="s">
        <v>26903</v>
      </c>
      <c r="D9282" s="75" t="s">
        <v>264</v>
      </c>
      <c r="G9282" s="75" t="s">
        <v>212</v>
      </c>
    </row>
    <row r="9283" spans="1:7" x14ac:dyDescent="0.35">
      <c r="A9283" s="77">
        <v>305956</v>
      </c>
      <c r="B9283" s="75" t="s">
        <v>26904</v>
      </c>
      <c r="C9283" s="75" t="s">
        <v>26905</v>
      </c>
      <c r="D9283" s="75" t="s">
        <v>264</v>
      </c>
      <c r="G9283" s="75" t="s">
        <v>208</v>
      </c>
    </row>
    <row r="9284" spans="1:7" x14ac:dyDescent="0.35">
      <c r="A9284" s="77">
        <v>305957</v>
      </c>
      <c r="B9284" s="75" t="s">
        <v>26906</v>
      </c>
      <c r="C9284" s="75" t="s">
        <v>26907</v>
      </c>
      <c r="D9284" s="75" t="s">
        <v>264</v>
      </c>
      <c r="G9284" s="75" t="s">
        <v>205</v>
      </c>
    </row>
    <row r="9285" spans="1:7" x14ac:dyDescent="0.35">
      <c r="A9285" s="77">
        <v>305958</v>
      </c>
      <c r="B9285" s="75" t="s">
        <v>26908</v>
      </c>
      <c r="C9285" s="75" t="s">
        <v>26909</v>
      </c>
      <c r="D9285" s="75" t="s">
        <v>277</v>
      </c>
      <c r="G9285" s="75" t="s">
        <v>208</v>
      </c>
    </row>
    <row r="9286" spans="1:7" x14ac:dyDescent="0.35">
      <c r="A9286" s="77">
        <v>305959</v>
      </c>
      <c r="B9286" s="75" t="s">
        <v>26910</v>
      </c>
      <c r="C9286" s="75" t="s">
        <v>26911</v>
      </c>
      <c r="D9286" s="75" t="s">
        <v>225</v>
      </c>
      <c r="E9286" s="75" t="s">
        <v>277</v>
      </c>
      <c r="G9286" s="75" t="s">
        <v>205</v>
      </c>
    </row>
    <row r="9287" spans="1:7" x14ac:dyDescent="0.35">
      <c r="A9287" s="77">
        <v>305960</v>
      </c>
      <c r="B9287" s="75" t="s">
        <v>26912</v>
      </c>
      <c r="C9287" s="75" t="s">
        <v>26913</v>
      </c>
      <c r="D9287" s="75" t="s">
        <v>264</v>
      </c>
      <c r="G9287" s="75" t="s">
        <v>205</v>
      </c>
    </row>
    <row r="9288" spans="1:7" x14ac:dyDescent="0.35">
      <c r="A9288" s="77">
        <v>305961</v>
      </c>
      <c r="B9288" s="75" t="s">
        <v>26914</v>
      </c>
      <c r="C9288" s="75" t="s">
        <v>26915</v>
      </c>
      <c r="D9288" s="75" t="s">
        <v>264</v>
      </c>
      <c r="G9288" s="75" t="s">
        <v>205</v>
      </c>
    </row>
    <row r="9289" spans="1:7" x14ac:dyDescent="0.35">
      <c r="A9289" s="77">
        <v>305962</v>
      </c>
      <c r="B9289" s="75" t="s">
        <v>26916</v>
      </c>
      <c r="C9289" s="75" t="s">
        <v>26917</v>
      </c>
      <c r="D9289" s="75" t="s">
        <v>225</v>
      </c>
      <c r="G9289" s="75" t="s">
        <v>205</v>
      </c>
    </row>
    <row r="9290" spans="1:7" x14ac:dyDescent="0.35">
      <c r="A9290" s="77">
        <v>305963</v>
      </c>
      <c r="B9290" s="75" t="s">
        <v>26918</v>
      </c>
      <c r="C9290" s="75" t="s">
        <v>26919</v>
      </c>
      <c r="D9290" s="75" t="s">
        <v>225</v>
      </c>
      <c r="E9290" s="75" t="s">
        <v>277</v>
      </c>
      <c r="G9290" s="75" t="s">
        <v>205</v>
      </c>
    </row>
    <row r="9291" spans="1:7" x14ac:dyDescent="0.35">
      <c r="A9291" s="77">
        <v>305964</v>
      </c>
      <c r="B9291" s="75" t="s">
        <v>26920</v>
      </c>
      <c r="C9291" s="75" t="s">
        <v>26921</v>
      </c>
      <c r="D9291" s="75" t="s">
        <v>264</v>
      </c>
      <c r="G9291" s="75" t="s">
        <v>205</v>
      </c>
    </row>
    <row r="9292" spans="1:7" x14ac:dyDescent="0.35">
      <c r="A9292" s="77">
        <v>305965</v>
      </c>
      <c r="B9292" s="75" t="s">
        <v>26922</v>
      </c>
      <c r="C9292" s="75" t="s">
        <v>26923</v>
      </c>
      <c r="D9292" s="75" t="s">
        <v>264</v>
      </c>
      <c r="G9292" s="75" t="s">
        <v>205</v>
      </c>
    </row>
    <row r="9293" spans="1:7" x14ac:dyDescent="0.35">
      <c r="A9293" s="77">
        <v>305966</v>
      </c>
      <c r="B9293" s="75" t="s">
        <v>26924</v>
      </c>
      <c r="C9293" s="75" t="s">
        <v>26925</v>
      </c>
      <c r="D9293" s="75" t="s">
        <v>225</v>
      </c>
      <c r="G9293" s="75" t="s">
        <v>205</v>
      </c>
    </row>
    <row r="9294" spans="1:7" x14ac:dyDescent="0.35">
      <c r="A9294" s="77">
        <v>305967</v>
      </c>
      <c r="B9294" s="75" t="s">
        <v>26926</v>
      </c>
      <c r="C9294" s="75" t="s">
        <v>26927</v>
      </c>
      <c r="D9294" s="75" t="s">
        <v>225</v>
      </c>
      <c r="E9294" s="75" t="s">
        <v>277</v>
      </c>
      <c r="G9294" s="75" t="s">
        <v>205</v>
      </c>
    </row>
    <row r="9295" spans="1:7" x14ac:dyDescent="0.35">
      <c r="A9295" s="77">
        <v>305968</v>
      </c>
      <c r="B9295" s="75" t="s">
        <v>26928</v>
      </c>
      <c r="C9295" s="75" t="s">
        <v>26929</v>
      </c>
      <c r="D9295" s="75" t="s">
        <v>264</v>
      </c>
      <c r="G9295" s="75" t="s">
        <v>205</v>
      </c>
    </row>
    <row r="9296" spans="1:7" x14ac:dyDescent="0.35">
      <c r="A9296" s="77">
        <v>305969</v>
      </c>
      <c r="B9296" s="75" t="s">
        <v>26930</v>
      </c>
      <c r="C9296" s="75" t="s">
        <v>26931</v>
      </c>
      <c r="D9296" s="75" t="s">
        <v>264</v>
      </c>
      <c r="G9296" s="75" t="s">
        <v>205</v>
      </c>
    </row>
    <row r="9297" spans="1:7" x14ac:dyDescent="0.35">
      <c r="A9297" s="77">
        <v>305970</v>
      </c>
      <c r="B9297" s="75" t="s">
        <v>26932</v>
      </c>
      <c r="C9297" s="75" t="s">
        <v>26933</v>
      </c>
      <c r="D9297" s="75" t="s">
        <v>225</v>
      </c>
      <c r="G9297" s="75" t="s">
        <v>205</v>
      </c>
    </row>
    <row r="9298" spans="1:7" x14ac:dyDescent="0.35">
      <c r="A9298" s="77">
        <v>305971</v>
      </c>
      <c r="B9298" s="75" t="s">
        <v>26934</v>
      </c>
      <c r="C9298" s="75" t="s">
        <v>26935</v>
      </c>
      <c r="D9298" s="75" t="s">
        <v>277</v>
      </c>
      <c r="G9298" s="75" t="s">
        <v>205</v>
      </c>
    </row>
    <row r="9299" spans="1:7" x14ac:dyDescent="0.35">
      <c r="A9299" s="77">
        <v>305972</v>
      </c>
      <c r="B9299" s="75" t="s">
        <v>26936</v>
      </c>
      <c r="C9299" s="75" t="s">
        <v>26937</v>
      </c>
      <c r="D9299" s="75" t="s">
        <v>277</v>
      </c>
      <c r="G9299" s="75" t="s">
        <v>212</v>
      </c>
    </row>
    <row r="9300" spans="1:7" x14ac:dyDescent="0.35">
      <c r="A9300" s="77">
        <v>305973</v>
      </c>
      <c r="B9300" s="75" t="s">
        <v>26938</v>
      </c>
      <c r="C9300" s="75" t="s">
        <v>26939</v>
      </c>
      <c r="D9300" s="75" t="s">
        <v>277</v>
      </c>
      <c r="G9300" s="75" t="s">
        <v>208</v>
      </c>
    </row>
    <row r="9301" spans="1:7" x14ac:dyDescent="0.35">
      <c r="A9301" s="77">
        <v>305974</v>
      </c>
      <c r="B9301" s="75" t="s">
        <v>26940</v>
      </c>
      <c r="C9301" s="75" t="s">
        <v>26941</v>
      </c>
      <c r="D9301" s="75" t="s">
        <v>277</v>
      </c>
      <c r="G9301" s="75" t="s">
        <v>214</v>
      </c>
    </row>
    <row r="9302" spans="1:7" x14ac:dyDescent="0.35">
      <c r="A9302" s="77">
        <v>305976</v>
      </c>
      <c r="B9302" s="75" t="s">
        <v>26942</v>
      </c>
      <c r="C9302" s="75" t="s">
        <v>26943</v>
      </c>
      <c r="D9302" s="75" t="s">
        <v>277</v>
      </c>
      <c r="G9302" s="75" t="s">
        <v>214</v>
      </c>
    </row>
    <row r="9303" spans="1:7" x14ac:dyDescent="0.35">
      <c r="A9303" s="77">
        <v>305977</v>
      </c>
      <c r="B9303" s="75" t="s">
        <v>26944</v>
      </c>
      <c r="C9303" s="75" t="s">
        <v>26945</v>
      </c>
      <c r="D9303" s="75" t="s">
        <v>225</v>
      </c>
      <c r="G9303" s="75" t="s">
        <v>205</v>
      </c>
    </row>
    <row r="9304" spans="1:7" x14ac:dyDescent="0.35">
      <c r="A9304" s="77">
        <v>305978</v>
      </c>
      <c r="B9304" s="75" t="s">
        <v>26946</v>
      </c>
      <c r="C9304" s="75" t="s">
        <v>26947</v>
      </c>
      <c r="D9304" s="75" t="s">
        <v>225</v>
      </c>
      <c r="G9304" s="75" t="s">
        <v>205</v>
      </c>
    </row>
    <row r="9305" spans="1:7" x14ac:dyDescent="0.35">
      <c r="A9305" s="77">
        <v>305979</v>
      </c>
      <c r="B9305" s="75" t="s">
        <v>26948</v>
      </c>
      <c r="C9305" s="75" t="s">
        <v>26949</v>
      </c>
      <c r="D9305" s="75" t="s">
        <v>251</v>
      </c>
      <c r="G9305" s="75" t="s">
        <v>205</v>
      </c>
    </row>
    <row r="9306" spans="1:7" x14ac:dyDescent="0.35">
      <c r="A9306" s="77">
        <v>305980</v>
      </c>
      <c r="B9306" s="75" t="s">
        <v>26950</v>
      </c>
      <c r="C9306" s="75" t="s">
        <v>26951</v>
      </c>
      <c r="D9306" s="75" t="s">
        <v>251</v>
      </c>
      <c r="G9306" s="75" t="s">
        <v>208</v>
      </c>
    </row>
    <row r="9307" spans="1:7" x14ac:dyDescent="0.35">
      <c r="A9307" s="77">
        <v>305981</v>
      </c>
      <c r="B9307" s="75" t="s">
        <v>26952</v>
      </c>
      <c r="C9307" s="75" t="s">
        <v>26953</v>
      </c>
      <c r="D9307" s="75" t="s">
        <v>277</v>
      </c>
      <c r="G9307" s="75" t="s">
        <v>208</v>
      </c>
    </row>
    <row r="9308" spans="1:7" x14ac:dyDescent="0.35">
      <c r="A9308" s="77">
        <v>305982</v>
      </c>
      <c r="B9308" s="75" t="s">
        <v>26954</v>
      </c>
      <c r="C9308" s="75" t="s">
        <v>26955</v>
      </c>
      <c r="D9308" s="75" t="s">
        <v>277</v>
      </c>
      <c r="G9308" s="75" t="s">
        <v>208</v>
      </c>
    </row>
    <row r="9309" spans="1:7" x14ac:dyDescent="0.35">
      <c r="A9309" s="77">
        <v>305983</v>
      </c>
      <c r="B9309" s="75" t="s">
        <v>26956</v>
      </c>
      <c r="C9309" s="75" t="s">
        <v>26957</v>
      </c>
      <c r="D9309" s="75" t="s">
        <v>264</v>
      </c>
      <c r="G9309" s="75" t="s">
        <v>208</v>
      </c>
    </row>
    <row r="9310" spans="1:7" x14ac:dyDescent="0.35">
      <c r="A9310" s="77">
        <v>305984</v>
      </c>
      <c r="B9310" s="75" t="s">
        <v>26958</v>
      </c>
      <c r="C9310" s="75" t="s">
        <v>26959</v>
      </c>
      <c r="D9310" s="75" t="s">
        <v>238</v>
      </c>
      <c r="G9310" s="75" t="s">
        <v>208</v>
      </c>
    </row>
    <row r="9311" spans="1:7" x14ac:dyDescent="0.35">
      <c r="A9311" s="77">
        <v>305985</v>
      </c>
      <c r="B9311" s="75" t="s">
        <v>26960</v>
      </c>
      <c r="C9311" s="75" t="s">
        <v>26961</v>
      </c>
      <c r="D9311" s="75" t="s">
        <v>238</v>
      </c>
      <c r="G9311" s="75" t="s">
        <v>205</v>
      </c>
    </row>
    <row r="9312" spans="1:7" x14ac:dyDescent="0.35">
      <c r="A9312" s="77">
        <v>305986</v>
      </c>
      <c r="B9312" s="75" t="s">
        <v>26962</v>
      </c>
      <c r="C9312" s="75" t="s">
        <v>26963</v>
      </c>
      <c r="D9312" s="75" t="s">
        <v>251</v>
      </c>
      <c r="G9312" s="75" t="s">
        <v>205</v>
      </c>
    </row>
    <row r="9313" spans="1:7" x14ac:dyDescent="0.35">
      <c r="A9313" s="77">
        <v>305987</v>
      </c>
      <c r="B9313" s="75" t="s">
        <v>26964</v>
      </c>
      <c r="C9313" s="75" t="s">
        <v>26965</v>
      </c>
      <c r="D9313" s="75" t="s">
        <v>251</v>
      </c>
      <c r="G9313" s="75" t="s">
        <v>208</v>
      </c>
    </row>
    <row r="9314" spans="1:7" x14ac:dyDescent="0.35">
      <c r="A9314" s="77">
        <v>305988</v>
      </c>
      <c r="B9314" s="75" t="s">
        <v>26966</v>
      </c>
      <c r="C9314" s="75" t="s">
        <v>26967</v>
      </c>
      <c r="D9314" s="75" t="s">
        <v>277</v>
      </c>
      <c r="G9314" s="75" t="s">
        <v>205</v>
      </c>
    </row>
    <row r="9315" spans="1:7" x14ac:dyDescent="0.35">
      <c r="A9315" s="77">
        <v>305989</v>
      </c>
      <c r="B9315" s="75" t="s">
        <v>26968</v>
      </c>
      <c r="C9315" s="75" t="s">
        <v>26969</v>
      </c>
      <c r="D9315" s="75" t="s">
        <v>277</v>
      </c>
      <c r="G9315" s="75" t="s">
        <v>208</v>
      </c>
    </row>
    <row r="9316" spans="1:7" x14ac:dyDescent="0.35">
      <c r="A9316" s="77">
        <v>305990</v>
      </c>
      <c r="B9316" s="75" t="s">
        <v>26970</v>
      </c>
      <c r="C9316" s="75" t="s">
        <v>26971</v>
      </c>
      <c r="D9316" s="75" t="s">
        <v>264</v>
      </c>
      <c r="G9316" s="75" t="s">
        <v>205</v>
      </c>
    </row>
    <row r="9317" spans="1:7" x14ac:dyDescent="0.35">
      <c r="A9317" s="77">
        <v>305991</v>
      </c>
      <c r="B9317" s="75" t="s">
        <v>26972</v>
      </c>
      <c r="C9317" s="75" t="s">
        <v>26973</v>
      </c>
      <c r="D9317" s="75" t="s">
        <v>277</v>
      </c>
      <c r="G9317" s="75" t="s">
        <v>205</v>
      </c>
    </row>
    <row r="9318" spans="1:7" x14ac:dyDescent="0.35">
      <c r="A9318" s="77">
        <v>305992</v>
      </c>
      <c r="B9318" s="75" t="s">
        <v>26974</v>
      </c>
      <c r="C9318" s="75" t="s">
        <v>26975</v>
      </c>
      <c r="D9318" s="75" t="s">
        <v>277</v>
      </c>
      <c r="G9318" s="75" t="s">
        <v>208</v>
      </c>
    </row>
    <row r="9319" spans="1:7" x14ac:dyDescent="0.35">
      <c r="A9319" s="77">
        <v>305993</v>
      </c>
      <c r="B9319" s="75" t="s">
        <v>26976</v>
      </c>
      <c r="C9319" s="75" t="s">
        <v>26977</v>
      </c>
      <c r="D9319" s="75" t="s">
        <v>277</v>
      </c>
      <c r="G9319" s="75" t="s">
        <v>208</v>
      </c>
    </row>
    <row r="9320" spans="1:7" x14ac:dyDescent="0.35">
      <c r="A9320" s="77">
        <v>305994</v>
      </c>
      <c r="B9320" s="75" t="s">
        <v>26978</v>
      </c>
      <c r="C9320" s="75" t="s">
        <v>26979</v>
      </c>
      <c r="D9320" s="75" t="s">
        <v>277</v>
      </c>
      <c r="G9320" s="75" t="s">
        <v>208</v>
      </c>
    </row>
    <row r="9321" spans="1:7" x14ac:dyDescent="0.35">
      <c r="A9321" s="77">
        <v>305995</v>
      </c>
      <c r="B9321" s="75" t="s">
        <v>26980</v>
      </c>
      <c r="C9321" s="75" t="s">
        <v>26981</v>
      </c>
      <c r="D9321" s="75" t="s">
        <v>264</v>
      </c>
      <c r="G9321" s="75" t="s">
        <v>212</v>
      </c>
    </row>
    <row r="9322" spans="1:7" x14ac:dyDescent="0.35">
      <c r="A9322" s="77">
        <v>305996</v>
      </c>
      <c r="B9322" s="75" t="s">
        <v>26982</v>
      </c>
      <c r="C9322" s="75" t="s">
        <v>26983</v>
      </c>
      <c r="D9322" s="75" t="s">
        <v>264</v>
      </c>
      <c r="G9322" s="75" t="s">
        <v>214</v>
      </c>
    </row>
    <row r="9323" spans="1:7" x14ac:dyDescent="0.35">
      <c r="A9323" s="77">
        <v>305997</v>
      </c>
      <c r="B9323" s="75" t="s">
        <v>26984</v>
      </c>
      <c r="C9323" s="75" t="s">
        <v>26985</v>
      </c>
      <c r="D9323" s="75" t="s">
        <v>264</v>
      </c>
      <c r="G9323" s="75" t="s">
        <v>214</v>
      </c>
    </row>
    <row r="9324" spans="1:7" x14ac:dyDescent="0.35">
      <c r="A9324" s="77">
        <v>305998</v>
      </c>
      <c r="B9324" s="75" t="s">
        <v>26986</v>
      </c>
      <c r="C9324" s="75" t="s">
        <v>26987</v>
      </c>
      <c r="D9324" s="75" t="s">
        <v>277</v>
      </c>
      <c r="G9324" s="75" t="s">
        <v>214</v>
      </c>
    </row>
    <row r="9325" spans="1:7" x14ac:dyDescent="0.35">
      <c r="A9325" s="77">
        <v>305999</v>
      </c>
      <c r="B9325" s="75" t="s">
        <v>26988</v>
      </c>
      <c r="C9325" s="75" t="s">
        <v>26989</v>
      </c>
      <c r="D9325" s="75" t="s">
        <v>277</v>
      </c>
      <c r="G9325" s="75" t="s">
        <v>214</v>
      </c>
    </row>
    <row r="9326" spans="1:7" x14ac:dyDescent="0.35">
      <c r="A9326" s="77">
        <v>306000</v>
      </c>
      <c r="B9326" s="75" t="s">
        <v>26990</v>
      </c>
      <c r="C9326" s="75" t="s">
        <v>26991</v>
      </c>
      <c r="D9326" s="75" t="s">
        <v>238</v>
      </c>
      <c r="G9326" s="75" t="s">
        <v>212</v>
      </c>
    </row>
    <row r="9327" spans="1:7" x14ac:dyDescent="0.35">
      <c r="A9327" s="77">
        <v>306001</v>
      </c>
      <c r="B9327" s="75" t="s">
        <v>26992</v>
      </c>
      <c r="C9327" s="75" t="s">
        <v>28377</v>
      </c>
      <c r="D9327" s="75" t="s">
        <v>264</v>
      </c>
      <c r="G9327" s="75" t="s">
        <v>214</v>
      </c>
    </row>
    <row r="9328" spans="1:7" x14ac:dyDescent="0.35">
      <c r="A9328" s="77">
        <v>306002</v>
      </c>
      <c r="B9328" s="75" t="s">
        <v>26993</v>
      </c>
      <c r="C9328" s="75" t="s">
        <v>28378</v>
      </c>
      <c r="D9328" s="75" t="s">
        <v>264</v>
      </c>
      <c r="G9328" s="75" t="s">
        <v>214</v>
      </c>
    </row>
    <row r="9329" spans="1:7" x14ac:dyDescent="0.35">
      <c r="A9329" s="77">
        <v>306003</v>
      </c>
      <c r="B9329" s="75" t="s">
        <v>26994</v>
      </c>
      <c r="C9329" s="75" t="s">
        <v>28379</v>
      </c>
      <c r="D9329" s="75" t="s">
        <v>264</v>
      </c>
      <c r="G9329" s="75" t="s">
        <v>214</v>
      </c>
    </row>
    <row r="9330" spans="1:7" x14ac:dyDescent="0.35">
      <c r="A9330" s="77">
        <v>306004</v>
      </c>
      <c r="B9330" s="75" t="s">
        <v>26995</v>
      </c>
      <c r="C9330" s="75" t="s">
        <v>26996</v>
      </c>
      <c r="D9330" s="75" t="s">
        <v>264</v>
      </c>
      <c r="G9330" s="75" t="s">
        <v>208</v>
      </c>
    </row>
    <row r="9331" spans="1:7" x14ac:dyDescent="0.35">
      <c r="A9331" s="77">
        <v>306005</v>
      </c>
      <c r="B9331" s="75" t="s">
        <v>26997</v>
      </c>
      <c r="C9331" s="75" t="s">
        <v>26998</v>
      </c>
      <c r="D9331" s="75" t="s">
        <v>264</v>
      </c>
      <c r="G9331" s="75" t="s">
        <v>208</v>
      </c>
    </row>
    <row r="9332" spans="1:7" x14ac:dyDescent="0.35">
      <c r="A9332" s="77">
        <v>306006</v>
      </c>
      <c r="B9332" s="75" t="s">
        <v>26999</v>
      </c>
      <c r="C9332" s="75" t="s">
        <v>27000</v>
      </c>
      <c r="D9332" s="75" t="s">
        <v>225</v>
      </c>
      <c r="G9332" s="75" t="s">
        <v>208</v>
      </c>
    </row>
    <row r="9333" spans="1:7" x14ac:dyDescent="0.35">
      <c r="A9333" s="77">
        <v>306007</v>
      </c>
      <c r="B9333" s="75" t="s">
        <v>27001</v>
      </c>
      <c r="C9333" s="75" t="s">
        <v>27002</v>
      </c>
      <c r="D9333" s="75" t="s">
        <v>225</v>
      </c>
      <c r="G9333" s="75" t="s">
        <v>208</v>
      </c>
    </row>
    <row r="9334" spans="1:7" x14ac:dyDescent="0.35">
      <c r="A9334" s="77">
        <v>306008</v>
      </c>
      <c r="B9334" s="75" t="s">
        <v>27003</v>
      </c>
      <c r="C9334" s="75" t="s">
        <v>27004</v>
      </c>
      <c r="D9334" s="75" t="s">
        <v>225</v>
      </c>
      <c r="E9334" s="75" t="s">
        <v>264</v>
      </c>
      <c r="G9334" s="75" t="s">
        <v>208</v>
      </c>
    </row>
    <row r="9335" spans="1:7" x14ac:dyDescent="0.35">
      <c r="A9335" s="77">
        <v>306009</v>
      </c>
      <c r="B9335" s="75" t="s">
        <v>27005</v>
      </c>
      <c r="C9335" s="75" t="s">
        <v>27006</v>
      </c>
      <c r="D9335" s="75" t="s">
        <v>277</v>
      </c>
      <c r="G9335" s="75" t="s">
        <v>205</v>
      </c>
    </row>
    <row r="9336" spans="1:7" x14ac:dyDescent="0.35">
      <c r="A9336" s="77">
        <v>306010</v>
      </c>
      <c r="B9336" s="75" t="s">
        <v>27007</v>
      </c>
      <c r="C9336" s="75" t="s">
        <v>27008</v>
      </c>
      <c r="D9336" s="75" t="s">
        <v>277</v>
      </c>
      <c r="G9336" s="75" t="s">
        <v>208</v>
      </c>
    </row>
    <row r="9337" spans="1:7" x14ac:dyDescent="0.35">
      <c r="A9337" s="77">
        <v>306011</v>
      </c>
      <c r="B9337" s="75" t="s">
        <v>27009</v>
      </c>
      <c r="C9337" s="75" t="s">
        <v>27010</v>
      </c>
      <c r="D9337" s="75" t="s">
        <v>238</v>
      </c>
      <c r="G9337" s="75" t="s">
        <v>205</v>
      </c>
    </row>
    <row r="9338" spans="1:7" x14ac:dyDescent="0.35">
      <c r="A9338" s="77">
        <v>306012</v>
      </c>
      <c r="B9338" s="75" t="s">
        <v>27011</v>
      </c>
      <c r="C9338" s="75" t="s">
        <v>27012</v>
      </c>
      <c r="D9338" s="75" t="s">
        <v>238</v>
      </c>
      <c r="G9338" s="75" t="s">
        <v>208</v>
      </c>
    </row>
    <row r="9339" spans="1:7" x14ac:dyDescent="0.35">
      <c r="A9339" s="77">
        <v>306013</v>
      </c>
      <c r="B9339" s="75" t="s">
        <v>27013</v>
      </c>
      <c r="C9339" s="75" t="s">
        <v>27014</v>
      </c>
      <c r="D9339" s="75" t="s">
        <v>277</v>
      </c>
      <c r="G9339" s="75" t="s">
        <v>205</v>
      </c>
    </row>
    <row r="9340" spans="1:7" x14ac:dyDescent="0.35">
      <c r="A9340" s="77">
        <v>306014</v>
      </c>
      <c r="B9340" s="75" t="s">
        <v>27015</v>
      </c>
      <c r="C9340" s="75" t="s">
        <v>27016</v>
      </c>
      <c r="D9340" s="75" t="s">
        <v>225</v>
      </c>
      <c r="G9340" s="75" t="s">
        <v>208</v>
      </c>
    </row>
    <row r="9341" spans="1:7" x14ac:dyDescent="0.35">
      <c r="A9341" s="77">
        <v>306015</v>
      </c>
      <c r="B9341" s="75" t="s">
        <v>27017</v>
      </c>
      <c r="C9341" s="75" t="s">
        <v>27018</v>
      </c>
      <c r="D9341" s="75" t="s">
        <v>277</v>
      </c>
      <c r="G9341" s="75" t="s">
        <v>205</v>
      </c>
    </row>
    <row r="9342" spans="1:7" x14ac:dyDescent="0.35">
      <c r="A9342" s="77">
        <v>306016</v>
      </c>
      <c r="B9342" s="75" t="s">
        <v>27019</v>
      </c>
      <c r="C9342" s="75" t="s">
        <v>27020</v>
      </c>
      <c r="D9342" s="75" t="s">
        <v>277</v>
      </c>
      <c r="G9342" s="75" t="s">
        <v>208</v>
      </c>
    </row>
    <row r="9343" spans="1:7" x14ac:dyDescent="0.35">
      <c r="A9343" s="77">
        <v>306017</v>
      </c>
      <c r="B9343" s="75" t="s">
        <v>27021</v>
      </c>
      <c r="C9343" s="75" t="s">
        <v>27022</v>
      </c>
      <c r="D9343" s="75" t="s">
        <v>277</v>
      </c>
      <c r="G9343" s="75" t="s">
        <v>208</v>
      </c>
    </row>
    <row r="9344" spans="1:7" x14ac:dyDescent="0.35">
      <c r="A9344" s="77">
        <v>306018</v>
      </c>
      <c r="B9344" s="75" t="s">
        <v>27023</v>
      </c>
      <c r="C9344" s="75" t="s">
        <v>27024</v>
      </c>
      <c r="D9344" s="75" t="s">
        <v>238</v>
      </c>
      <c r="G9344" s="75" t="s">
        <v>208</v>
      </c>
    </row>
    <row r="9345" spans="1:7" x14ac:dyDescent="0.35">
      <c r="A9345" s="77">
        <v>306019</v>
      </c>
      <c r="B9345" s="75" t="s">
        <v>27025</v>
      </c>
      <c r="C9345" s="75" t="s">
        <v>27026</v>
      </c>
      <c r="D9345" s="75" t="s">
        <v>238</v>
      </c>
      <c r="G9345" s="75" t="s">
        <v>208</v>
      </c>
    </row>
    <row r="9346" spans="1:7" x14ac:dyDescent="0.35">
      <c r="A9346" s="77">
        <v>306020</v>
      </c>
      <c r="B9346" s="75" t="s">
        <v>27027</v>
      </c>
      <c r="C9346" s="75" t="s">
        <v>27028</v>
      </c>
      <c r="D9346" s="75" t="s">
        <v>238</v>
      </c>
      <c r="G9346" s="75" t="s">
        <v>208</v>
      </c>
    </row>
    <row r="9347" spans="1:7" x14ac:dyDescent="0.35">
      <c r="A9347" s="77">
        <v>306021</v>
      </c>
      <c r="B9347" s="75" t="s">
        <v>27029</v>
      </c>
      <c r="C9347" s="75" t="s">
        <v>27030</v>
      </c>
      <c r="D9347" s="75" t="s">
        <v>238</v>
      </c>
      <c r="G9347" s="75" t="s">
        <v>208</v>
      </c>
    </row>
    <row r="9348" spans="1:7" x14ac:dyDescent="0.35">
      <c r="A9348" s="77">
        <v>306022</v>
      </c>
      <c r="B9348" s="75" t="s">
        <v>27031</v>
      </c>
      <c r="C9348" s="75" t="s">
        <v>27032</v>
      </c>
      <c r="D9348" s="75" t="s">
        <v>225</v>
      </c>
      <c r="G9348" s="75" t="s">
        <v>208</v>
      </c>
    </row>
    <row r="9349" spans="1:7" x14ac:dyDescent="0.35">
      <c r="A9349" s="77">
        <v>306023</v>
      </c>
      <c r="B9349" s="75" t="s">
        <v>27033</v>
      </c>
      <c r="C9349" s="75" t="s">
        <v>27034</v>
      </c>
      <c r="D9349" s="75" t="s">
        <v>225</v>
      </c>
      <c r="G9349" s="75" t="s">
        <v>208</v>
      </c>
    </row>
    <row r="9350" spans="1:7" x14ac:dyDescent="0.35">
      <c r="A9350" s="77">
        <v>306024</v>
      </c>
      <c r="B9350" s="75" t="s">
        <v>27035</v>
      </c>
      <c r="C9350" s="75" t="s">
        <v>27036</v>
      </c>
      <c r="D9350" s="75" t="s">
        <v>264</v>
      </c>
      <c r="G9350" s="75" t="s">
        <v>205</v>
      </c>
    </row>
    <row r="9351" spans="1:7" x14ac:dyDescent="0.35">
      <c r="A9351" s="77">
        <v>306025</v>
      </c>
      <c r="B9351" s="75" t="s">
        <v>27037</v>
      </c>
      <c r="C9351" s="75" t="s">
        <v>27038</v>
      </c>
      <c r="D9351" s="75" t="s">
        <v>264</v>
      </c>
      <c r="G9351" s="75" t="s">
        <v>210</v>
      </c>
    </row>
    <row r="9352" spans="1:7" x14ac:dyDescent="0.35">
      <c r="A9352" s="77">
        <v>306026</v>
      </c>
      <c r="B9352" s="75" t="s">
        <v>27039</v>
      </c>
      <c r="C9352" s="75" t="s">
        <v>27040</v>
      </c>
      <c r="D9352" s="75" t="s">
        <v>264</v>
      </c>
      <c r="G9352" s="75" t="s">
        <v>205</v>
      </c>
    </row>
    <row r="9353" spans="1:7" x14ac:dyDescent="0.35">
      <c r="A9353" s="77">
        <v>306027</v>
      </c>
      <c r="B9353" s="75" t="s">
        <v>27041</v>
      </c>
      <c r="C9353" s="75" t="s">
        <v>27042</v>
      </c>
      <c r="D9353" s="75" t="s">
        <v>264</v>
      </c>
      <c r="G9353" s="75" t="s">
        <v>210</v>
      </c>
    </row>
    <row r="9354" spans="1:7" x14ac:dyDescent="0.35">
      <c r="A9354" s="77">
        <v>306028</v>
      </c>
      <c r="B9354" s="75" t="s">
        <v>27043</v>
      </c>
      <c r="C9354" s="75" t="s">
        <v>27044</v>
      </c>
      <c r="D9354" s="75" t="s">
        <v>264</v>
      </c>
      <c r="G9354" s="75" t="s">
        <v>210</v>
      </c>
    </row>
    <row r="9355" spans="1:7" x14ac:dyDescent="0.35">
      <c r="A9355" s="77">
        <v>306029</v>
      </c>
      <c r="B9355" s="75" t="s">
        <v>27045</v>
      </c>
      <c r="C9355" s="75" t="s">
        <v>27046</v>
      </c>
      <c r="D9355" s="75" t="s">
        <v>264</v>
      </c>
      <c r="G9355" s="75" t="s">
        <v>205</v>
      </c>
    </row>
    <row r="9356" spans="1:7" x14ac:dyDescent="0.35">
      <c r="A9356" s="77">
        <v>306030</v>
      </c>
      <c r="B9356" s="75" t="s">
        <v>27047</v>
      </c>
      <c r="C9356" s="75" t="s">
        <v>27048</v>
      </c>
      <c r="D9356" s="75" t="s">
        <v>264</v>
      </c>
      <c r="G9356" s="75" t="s">
        <v>208</v>
      </c>
    </row>
    <row r="9357" spans="1:7" x14ac:dyDescent="0.35">
      <c r="A9357" s="77">
        <v>306031</v>
      </c>
      <c r="B9357" s="75" t="s">
        <v>27049</v>
      </c>
      <c r="C9357" s="75" t="s">
        <v>27050</v>
      </c>
      <c r="D9357" s="75" t="s">
        <v>264</v>
      </c>
      <c r="G9357" s="75" t="s">
        <v>208</v>
      </c>
    </row>
    <row r="9358" spans="1:7" x14ac:dyDescent="0.35">
      <c r="A9358" s="77">
        <v>306032</v>
      </c>
      <c r="B9358" s="75" t="s">
        <v>27051</v>
      </c>
      <c r="C9358" s="75" t="s">
        <v>27052</v>
      </c>
      <c r="D9358" s="75" t="s">
        <v>264</v>
      </c>
      <c r="G9358" s="75" t="s">
        <v>208</v>
      </c>
    </row>
    <row r="9359" spans="1:7" x14ac:dyDescent="0.35">
      <c r="A9359" s="77">
        <v>306033</v>
      </c>
      <c r="B9359" s="75" t="s">
        <v>27053</v>
      </c>
      <c r="C9359" s="75" t="s">
        <v>27054</v>
      </c>
      <c r="D9359" s="75" t="s">
        <v>264</v>
      </c>
      <c r="G9359" s="75" t="s">
        <v>208</v>
      </c>
    </row>
    <row r="9360" spans="1:7" x14ac:dyDescent="0.35">
      <c r="A9360" s="77">
        <v>306034</v>
      </c>
      <c r="B9360" s="75" t="s">
        <v>27055</v>
      </c>
      <c r="C9360" s="75" t="s">
        <v>27056</v>
      </c>
      <c r="D9360" s="75" t="s">
        <v>225</v>
      </c>
      <c r="G9360" s="75" t="s">
        <v>205</v>
      </c>
    </row>
    <row r="9361" spans="1:7" x14ac:dyDescent="0.35">
      <c r="A9361" s="77">
        <v>306035</v>
      </c>
      <c r="B9361" s="75" t="s">
        <v>27057</v>
      </c>
      <c r="C9361" s="75" t="s">
        <v>27058</v>
      </c>
      <c r="D9361" s="75" t="s">
        <v>225</v>
      </c>
      <c r="G9361" s="75" t="s">
        <v>205</v>
      </c>
    </row>
    <row r="9362" spans="1:7" x14ac:dyDescent="0.35">
      <c r="A9362" s="77">
        <v>306036</v>
      </c>
      <c r="B9362" s="75" t="s">
        <v>27059</v>
      </c>
      <c r="C9362" s="75" t="s">
        <v>27060</v>
      </c>
      <c r="D9362" s="75" t="s">
        <v>225</v>
      </c>
      <c r="G9362" s="75" t="s">
        <v>205</v>
      </c>
    </row>
    <row r="9363" spans="1:7" x14ac:dyDescent="0.35">
      <c r="A9363" s="77">
        <v>306037</v>
      </c>
      <c r="B9363" s="75" t="s">
        <v>27061</v>
      </c>
      <c r="C9363" s="75" t="s">
        <v>27062</v>
      </c>
      <c r="D9363" s="75" t="s">
        <v>225</v>
      </c>
      <c r="G9363" s="75" t="s">
        <v>205</v>
      </c>
    </row>
    <row r="9364" spans="1:7" x14ac:dyDescent="0.35">
      <c r="A9364" s="77">
        <v>306038</v>
      </c>
      <c r="B9364" s="75" t="s">
        <v>27063</v>
      </c>
      <c r="C9364" s="75" t="s">
        <v>27064</v>
      </c>
      <c r="D9364" s="75" t="s">
        <v>225</v>
      </c>
      <c r="G9364" s="75" t="s">
        <v>205</v>
      </c>
    </row>
    <row r="9365" spans="1:7" x14ac:dyDescent="0.35">
      <c r="A9365" s="77">
        <v>306039</v>
      </c>
      <c r="B9365" s="75" t="s">
        <v>27065</v>
      </c>
      <c r="C9365" s="75" t="s">
        <v>27066</v>
      </c>
      <c r="D9365" s="75" t="s">
        <v>225</v>
      </c>
      <c r="G9365" s="75" t="s">
        <v>205</v>
      </c>
    </row>
    <row r="9366" spans="1:7" x14ac:dyDescent="0.35">
      <c r="A9366" s="77">
        <v>306040</v>
      </c>
      <c r="B9366" s="75" t="s">
        <v>27067</v>
      </c>
      <c r="C9366" s="75" t="s">
        <v>27068</v>
      </c>
      <c r="D9366" s="75" t="s">
        <v>225</v>
      </c>
      <c r="G9366" s="75" t="s">
        <v>205</v>
      </c>
    </row>
    <row r="9367" spans="1:7" x14ac:dyDescent="0.35">
      <c r="A9367" s="77">
        <v>306041</v>
      </c>
      <c r="B9367" s="75" t="s">
        <v>27069</v>
      </c>
      <c r="C9367" s="75" t="s">
        <v>27070</v>
      </c>
      <c r="D9367" s="75" t="s">
        <v>225</v>
      </c>
      <c r="G9367" s="75" t="s">
        <v>205</v>
      </c>
    </row>
    <row r="9368" spans="1:7" x14ac:dyDescent="0.35">
      <c r="A9368" s="77">
        <v>306042</v>
      </c>
      <c r="B9368" s="75" t="s">
        <v>27071</v>
      </c>
      <c r="C9368" s="75" t="s">
        <v>27072</v>
      </c>
      <c r="D9368" s="75" t="s">
        <v>225</v>
      </c>
      <c r="G9368" s="75" t="s">
        <v>205</v>
      </c>
    </row>
    <row r="9369" spans="1:7" x14ac:dyDescent="0.35">
      <c r="A9369" s="77">
        <v>306043</v>
      </c>
      <c r="B9369" s="75" t="s">
        <v>27073</v>
      </c>
      <c r="C9369" s="75" t="s">
        <v>27074</v>
      </c>
      <c r="D9369" s="75" t="s">
        <v>225</v>
      </c>
      <c r="G9369" s="75" t="s">
        <v>205</v>
      </c>
    </row>
    <row r="9370" spans="1:7" x14ac:dyDescent="0.35">
      <c r="A9370" s="77">
        <v>306044</v>
      </c>
      <c r="B9370" s="75" t="s">
        <v>27075</v>
      </c>
      <c r="C9370" s="75" t="s">
        <v>27076</v>
      </c>
      <c r="D9370" s="75" t="s">
        <v>264</v>
      </c>
      <c r="E9370" s="75" t="s">
        <v>277</v>
      </c>
      <c r="G9370" s="75" t="s">
        <v>205</v>
      </c>
    </row>
    <row r="9371" spans="1:7" x14ac:dyDescent="0.35">
      <c r="A9371" s="77">
        <v>306045</v>
      </c>
      <c r="B9371" s="75" t="s">
        <v>27077</v>
      </c>
      <c r="C9371" s="75" t="s">
        <v>27078</v>
      </c>
      <c r="D9371" s="75" t="s">
        <v>277</v>
      </c>
      <c r="G9371" s="75" t="s">
        <v>205</v>
      </c>
    </row>
    <row r="9372" spans="1:7" x14ac:dyDescent="0.35">
      <c r="A9372" s="77">
        <v>306046</v>
      </c>
      <c r="B9372" s="75" t="s">
        <v>27079</v>
      </c>
      <c r="C9372" s="75" t="s">
        <v>27080</v>
      </c>
      <c r="D9372" s="75" t="s">
        <v>277</v>
      </c>
      <c r="E9372" s="75" t="s">
        <v>264</v>
      </c>
      <c r="G9372" s="75" t="s">
        <v>205</v>
      </c>
    </row>
    <row r="9373" spans="1:7" x14ac:dyDescent="0.35">
      <c r="A9373" s="77">
        <v>306047</v>
      </c>
      <c r="B9373" s="75" t="s">
        <v>27081</v>
      </c>
      <c r="C9373" s="75" t="s">
        <v>24739</v>
      </c>
      <c r="D9373" s="75" t="s">
        <v>251</v>
      </c>
      <c r="G9373" s="75" t="s">
        <v>208</v>
      </c>
    </row>
    <row r="9374" spans="1:7" x14ac:dyDescent="0.35">
      <c r="A9374" s="77">
        <v>306048</v>
      </c>
      <c r="B9374" s="75" t="s">
        <v>27082</v>
      </c>
      <c r="C9374" s="75" t="s">
        <v>27083</v>
      </c>
      <c r="D9374" s="75" t="s">
        <v>251</v>
      </c>
      <c r="G9374" s="75" t="s">
        <v>208</v>
      </c>
    </row>
    <row r="9375" spans="1:7" x14ac:dyDescent="0.35">
      <c r="A9375" s="77">
        <v>306049</v>
      </c>
      <c r="B9375" s="75" t="s">
        <v>27084</v>
      </c>
      <c r="C9375" s="75" t="s">
        <v>27085</v>
      </c>
      <c r="D9375" s="75" t="s">
        <v>264</v>
      </c>
      <c r="G9375" s="75" t="s">
        <v>208</v>
      </c>
    </row>
    <row r="9376" spans="1:7" x14ac:dyDescent="0.35">
      <c r="A9376" s="77">
        <v>306050</v>
      </c>
      <c r="B9376" s="75" t="s">
        <v>27086</v>
      </c>
      <c r="C9376" s="75" t="s">
        <v>27087</v>
      </c>
      <c r="D9376" s="75" t="s">
        <v>277</v>
      </c>
      <c r="G9376" s="75" t="s">
        <v>212</v>
      </c>
    </row>
    <row r="9377" spans="1:7" x14ac:dyDescent="0.35">
      <c r="A9377" s="77">
        <v>306051</v>
      </c>
      <c r="B9377" s="75" t="s">
        <v>27088</v>
      </c>
      <c r="C9377" s="75" t="s">
        <v>27089</v>
      </c>
      <c r="D9377" s="75" t="s">
        <v>277</v>
      </c>
      <c r="G9377" s="75" t="s">
        <v>214</v>
      </c>
    </row>
    <row r="9378" spans="1:7" x14ac:dyDescent="0.35">
      <c r="A9378" s="77">
        <v>306052</v>
      </c>
      <c r="B9378" s="75" t="s">
        <v>27090</v>
      </c>
      <c r="C9378" s="75" t="s">
        <v>27091</v>
      </c>
      <c r="D9378" s="75" t="s">
        <v>277</v>
      </c>
      <c r="G9378" s="75" t="s">
        <v>208</v>
      </c>
    </row>
    <row r="9379" spans="1:7" x14ac:dyDescent="0.35">
      <c r="A9379" s="77">
        <v>306053</v>
      </c>
      <c r="B9379" s="75" t="s">
        <v>27092</v>
      </c>
      <c r="C9379" s="75" t="s">
        <v>27093</v>
      </c>
      <c r="D9379" s="75" t="s">
        <v>277</v>
      </c>
      <c r="G9379" s="75" t="s">
        <v>212</v>
      </c>
    </row>
    <row r="9380" spans="1:7" x14ac:dyDescent="0.35">
      <c r="A9380" s="77">
        <v>306054</v>
      </c>
      <c r="B9380" s="75" t="s">
        <v>27094</v>
      </c>
      <c r="C9380" s="75" t="s">
        <v>27095</v>
      </c>
      <c r="D9380" s="75" t="s">
        <v>264</v>
      </c>
      <c r="G9380" s="75" t="s">
        <v>214</v>
      </c>
    </row>
    <row r="9381" spans="1:7" x14ac:dyDescent="0.35">
      <c r="A9381" s="77">
        <v>306055</v>
      </c>
      <c r="B9381" s="75" t="s">
        <v>27096</v>
      </c>
      <c r="C9381" s="75" t="s">
        <v>27097</v>
      </c>
      <c r="D9381" s="75" t="s">
        <v>264</v>
      </c>
      <c r="G9381" s="75" t="s">
        <v>205</v>
      </c>
    </row>
    <row r="9382" spans="1:7" x14ac:dyDescent="0.35">
      <c r="A9382" s="77">
        <v>306056</v>
      </c>
      <c r="B9382" s="75" t="s">
        <v>27098</v>
      </c>
      <c r="C9382" s="75" t="s">
        <v>27099</v>
      </c>
      <c r="D9382" s="75" t="s">
        <v>264</v>
      </c>
      <c r="G9382" s="75" t="s">
        <v>208</v>
      </c>
    </row>
    <row r="9383" spans="1:7" x14ac:dyDescent="0.35">
      <c r="A9383" s="77">
        <v>306057</v>
      </c>
      <c r="B9383" s="75" t="s">
        <v>27100</v>
      </c>
      <c r="C9383" s="75" t="s">
        <v>27101</v>
      </c>
      <c r="D9383" s="75" t="s">
        <v>264</v>
      </c>
      <c r="G9383" s="75" t="s">
        <v>208</v>
      </c>
    </row>
    <row r="9384" spans="1:7" x14ac:dyDescent="0.35">
      <c r="A9384" s="77">
        <v>306058</v>
      </c>
      <c r="B9384" s="75" t="s">
        <v>27102</v>
      </c>
      <c r="C9384" s="75" t="s">
        <v>27103</v>
      </c>
      <c r="D9384" s="75" t="s">
        <v>264</v>
      </c>
      <c r="G9384" s="75" t="s">
        <v>208</v>
      </c>
    </row>
    <row r="9385" spans="1:7" x14ac:dyDescent="0.35">
      <c r="A9385" s="77">
        <v>306059</v>
      </c>
      <c r="B9385" s="75" t="s">
        <v>27104</v>
      </c>
      <c r="C9385" s="75" t="s">
        <v>27105</v>
      </c>
      <c r="D9385" s="75" t="s">
        <v>251</v>
      </c>
      <c r="G9385" s="75" t="s">
        <v>208</v>
      </c>
    </row>
    <row r="9386" spans="1:7" x14ac:dyDescent="0.35">
      <c r="A9386" s="77">
        <v>306060</v>
      </c>
      <c r="B9386" s="75" t="s">
        <v>27106</v>
      </c>
      <c r="C9386" s="75" t="s">
        <v>27107</v>
      </c>
      <c r="D9386" s="75" t="s">
        <v>277</v>
      </c>
      <c r="G9386" s="75" t="s">
        <v>208</v>
      </c>
    </row>
    <row r="9387" spans="1:7" x14ac:dyDescent="0.35">
      <c r="A9387" s="77">
        <v>306061</v>
      </c>
      <c r="B9387" s="75" t="s">
        <v>27108</v>
      </c>
      <c r="C9387" s="75" t="s">
        <v>27109</v>
      </c>
      <c r="D9387" s="75" t="s">
        <v>277</v>
      </c>
      <c r="G9387" s="75" t="s">
        <v>214</v>
      </c>
    </row>
    <row r="9388" spans="1:7" x14ac:dyDescent="0.35">
      <c r="A9388" s="77">
        <v>306062</v>
      </c>
      <c r="B9388" s="75" t="s">
        <v>27110</v>
      </c>
      <c r="C9388" s="75" t="s">
        <v>27111</v>
      </c>
      <c r="D9388" s="75" t="s">
        <v>277</v>
      </c>
      <c r="E9388" s="75" t="s">
        <v>264</v>
      </c>
      <c r="G9388" s="75" t="s">
        <v>208</v>
      </c>
    </row>
    <row r="9389" spans="1:7" x14ac:dyDescent="0.35">
      <c r="A9389" s="77">
        <v>306064</v>
      </c>
      <c r="B9389" s="75" t="s">
        <v>27112</v>
      </c>
      <c r="C9389" s="75" t="s">
        <v>27113</v>
      </c>
      <c r="D9389" s="75" t="s">
        <v>264</v>
      </c>
      <c r="G9389" s="75" t="s">
        <v>210</v>
      </c>
    </row>
    <row r="9390" spans="1:7" x14ac:dyDescent="0.35">
      <c r="A9390" s="77">
        <v>306065</v>
      </c>
      <c r="B9390" s="75" t="s">
        <v>27114</v>
      </c>
      <c r="C9390" s="75" t="s">
        <v>27115</v>
      </c>
      <c r="D9390" s="75" t="s">
        <v>264</v>
      </c>
      <c r="G9390" s="75" t="s">
        <v>208</v>
      </c>
    </row>
    <row r="9391" spans="1:7" x14ac:dyDescent="0.35">
      <c r="A9391" s="77">
        <v>306066</v>
      </c>
      <c r="B9391" s="75" t="s">
        <v>27116</v>
      </c>
      <c r="C9391" s="75" t="s">
        <v>27117</v>
      </c>
      <c r="D9391" s="75" t="s">
        <v>264</v>
      </c>
      <c r="G9391" s="75" t="s">
        <v>208</v>
      </c>
    </row>
    <row r="9392" spans="1:7" x14ac:dyDescent="0.35">
      <c r="A9392" s="77">
        <v>306067</v>
      </c>
      <c r="B9392" s="75" t="s">
        <v>27118</v>
      </c>
      <c r="C9392" s="75" t="s">
        <v>27119</v>
      </c>
      <c r="D9392" s="75" t="s">
        <v>264</v>
      </c>
      <c r="G9392" s="75" t="s">
        <v>205</v>
      </c>
    </row>
    <row r="9393" spans="1:7" x14ac:dyDescent="0.35">
      <c r="A9393" s="77">
        <v>306068</v>
      </c>
      <c r="B9393" s="75" t="s">
        <v>27120</v>
      </c>
      <c r="C9393" s="75" t="s">
        <v>27121</v>
      </c>
      <c r="D9393" s="75" t="s">
        <v>264</v>
      </c>
      <c r="G9393" s="75" t="s">
        <v>208</v>
      </c>
    </row>
    <row r="9394" spans="1:7" x14ac:dyDescent="0.35">
      <c r="A9394" s="77">
        <v>306069</v>
      </c>
      <c r="B9394" s="75" t="s">
        <v>27122</v>
      </c>
      <c r="C9394" s="75" t="s">
        <v>27123</v>
      </c>
      <c r="D9394" s="75" t="s">
        <v>225</v>
      </c>
      <c r="G9394" s="75" t="s">
        <v>205</v>
      </c>
    </row>
    <row r="9395" spans="1:7" x14ac:dyDescent="0.35">
      <c r="A9395" s="77">
        <v>306070</v>
      </c>
      <c r="B9395" s="75" t="s">
        <v>27124</v>
      </c>
      <c r="C9395" s="75" t="s">
        <v>27125</v>
      </c>
      <c r="D9395" s="75" t="s">
        <v>225</v>
      </c>
      <c r="G9395" s="75" t="s">
        <v>208</v>
      </c>
    </row>
    <row r="9396" spans="1:7" x14ac:dyDescent="0.35">
      <c r="A9396" s="77">
        <v>306071</v>
      </c>
      <c r="B9396" s="75" t="s">
        <v>27126</v>
      </c>
      <c r="C9396" s="75" t="s">
        <v>27127</v>
      </c>
      <c r="D9396" s="75" t="s">
        <v>277</v>
      </c>
      <c r="G9396" s="75" t="s">
        <v>205</v>
      </c>
    </row>
    <row r="9397" spans="1:7" x14ac:dyDescent="0.35">
      <c r="A9397" s="77">
        <v>306072</v>
      </c>
      <c r="B9397" s="75" t="s">
        <v>27128</v>
      </c>
      <c r="C9397" s="75" t="s">
        <v>27129</v>
      </c>
      <c r="D9397" s="75" t="s">
        <v>264</v>
      </c>
      <c r="G9397" s="75" t="s">
        <v>208</v>
      </c>
    </row>
    <row r="9398" spans="1:7" x14ac:dyDescent="0.35">
      <c r="A9398" s="77">
        <v>306073</v>
      </c>
      <c r="B9398" s="75" t="s">
        <v>27130</v>
      </c>
      <c r="C9398" s="75" t="s">
        <v>27131</v>
      </c>
      <c r="D9398" s="75" t="s">
        <v>264</v>
      </c>
      <c r="G9398" s="75" t="s">
        <v>208</v>
      </c>
    </row>
    <row r="9399" spans="1:7" x14ac:dyDescent="0.35">
      <c r="A9399" s="77">
        <v>306074</v>
      </c>
      <c r="B9399" s="75" t="s">
        <v>27132</v>
      </c>
      <c r="C9399" s="75" t="s">
        <v>27133</v>
      </c>
      <c r="D9399" s="75" t="s">
        <v>225</v>
      </c>
      <c r="G9399" s="75" t="s">
        <v>205</v>
      </c>
    </row>
    <row r="9400" spans="1:7" x14ac:dyDescent="0.35">
      <c r="A9400" s="77">
        <v>306075</v>
      </c>
      <c r="B9400" s="75" t="s">
        <v>27134</v>
      </c>
      <c r="C9400" s="75" t="s">
        <v>27135</v>
      </c>
      <c r="D9400" s="75" t="s">
        <v>264</v>
      </c>
      <c r="G9400" s="75" t="s">
        <v>208</v>
      </c>
    </row>
    <row r="9401" spans="1:7" x14ac:dyDescent="0.35">
      <c r="A9401" s="77">
        <v>306076</v>
      </c>
      <c r="B9401" s="75" t="s">
        <v>27990</v>
      </c>
      <c r="C9401" s="75" t="s">
        <v>27991</v>
      </c>
      <c r="D9401" s="75" t="s">
        <v>277</v>
      </c>
      <c r="G9401" s="75" t="s">
        <v>208</v>
      </c>
    </row>
    <row r="9402" spans="1:7" x14ac:dyDescent="0.35">
      <c r="A9402" s="77">
        <v>306077</v>
      </c>
      <c r="B9402" s="75" t="s">
        <v>27992</v>
      </c>
      <c r="C9402" s="75" t="s">
        <v>27993</v>
      </c>
      <c r="D9402" s="75" t="s">
        <v>277</v>
      </c>
      <c r="G9402" s="75" t="s">
        <v>205</v>
      </c>
    </row>
    <row r="9403" spans="1:7" x14ac:dyDescent="0.35">
      <c r="A9403" s="77">
        <v>306078</v>
      </c>
      <c r="B9403" s="75" t="s">
        <v>27994</v>
      </c>
      <c r="C9403" s="75" t="s">
        <v>27995</v>
      </c>
      <c r="D9403" s="75" t="s">
        <v>225</v>
      </c>
      <c r="G9403" s="75" t="s">
        <v>208</v>
      </c>
    </row>
    <row r="9404" spans="1:7" x14ac:dyDescent="0.35">
      <c r="A9404" s="77">
        <v>306079</v>
      </c>
      <c r="B9404" s="75" t="s">
        <v>27996</v>
      </c>
      <c r="C9404" s="75" t="s">
        <v>27997</v>
      </c>
      <c r="D9404" s="75" t="s">
        <v>251</v>
      </c>
      <c r="G9404" s="75" t="s">
        <v>205</v>
      </c>
    </row>
    <row r="9405" spans="1:7" x14ac:dyDescent="0.35">
      <c r="A9405" s="77">
        <v>306080</v>
      </c>
      <c r="B9405" s="75" t="s">
        <v>27998</v>
      </c>
      <c r="C9405" s="75" t="s">
        <v>27999</v>
      </c>
      <c r="D9405" s="75" t="s">
        <v>264</v>
      </c>
      <c r="G9405" s="75" t="s">
        <v>212</v>
      </c>
    </row>
    <row r="9406" spans="1:7" x14ac:dyDescent="0.35">
      <c r="A9406" s="77">
        <v>306082</v>
      </c>
      <c r="B9406" s="75" t="s">
        <v>28000</v>
      </c>
      <c r="C9406" s="75" t="s">
        <v>28001</v>
      </c>
      <c r="D9406" s="75" t="s">
        <v>225</v>
      </c>
      <c r="G9406" s="75" t="s">
        <v>208</v>
      </c>
    </row>
    <row r="9407" spans="1:7" x14ac:dyDescent="0.35">
      <c r="A9407" s="77">
        <v>306083</v>
      </c>
      <c r="B9407" s="75" t="s">
        <v>28002</v>
      </c>
      <c r="C9407" s="75" t="s">
        <v>28003</v>
      </c>
      <c r="D9407" s="75" t="s">
        <v>264</v>
      </c>
      <c r="G9407" s="75" t="s">
        <v>208</v>
      </c>
    </row>
    <row r="9408" spans="1:7" x14ac:dyDescent="0.35">
      <c r="A9408" s="77">
        <v>306084</v>
      </c>
      <c r="B9408" s="75" t="s">
        <v>28004</v>
      </c>
      <c r="C9408" s="75" t="s">
        <v>28005</v>
      </c>
      <c r="D9408" s="75" t="s">
        <v>264</v>
      </c>
      <c r="G9408" s="75" t="s">
        <v>208</v>
      </c>
    </row>
    <row r="9409" spans="1:7" x14ac:dyDescent="0.35">
      <c r="A9409" s="77">
        <v>306085</v>
      </c>
      <c r="B9409" s="75" t="s">
        <v>28006</v>
      </c>
      <c r="C9409" s="75" t="s">
        <v>28007</v>
      </c>
      <c r="D9409" s="75" t="s">
        <v>225</v>
      </c>
      <c r="G9409" s="75" t="s">
        <v>208</v>
      </c>
    </row>
    <row r="9410" spans="1:7" x14ac:dyDescent="0.35">
      <c r="A9410" s="77">
        <v>306086</v>
      </c>
      <c r="B9410" s="75" t="s">
        <v>28008</v>
      </c>
      <c r="C9410" s="75" t="s">
        <v>28009</v>
      </c>
      <c r="D9410" s="75" t="s">
        <v>264</v>
      </c>
      <c r="G9410" s="75" t="s">
        <v>208</v>
      </c>
    </row>
    <row r="9411" spans="1:7" x14ac:dyDescent="0.35">
      <c r="A9411" s="77">
        <v>306087</v>
      </c>
      <c r="B9411" s="75" t="s">
        <v>28010</v>
      </c>
      <c r="C9411" s="75" t="s">
        <v>28011</v>
      </c>
      <c r="D9411" s="75" t="s">
        <v>264</v>
      </c>
      <c r="G9411" s="75" t="s">
        <v>208</v>
      </c>
    </row>
    <row r="9412" spans="1:7" x14ac:dyDescent="0.35">
      <c r="A9412" s="77">
        <v>306088</v>
      </c>
      <c r="B9412" s="75" t="s">
        <v>28012</v>
      </c>
      <c r="C9412" s="75" t="s">
        <v>28013</v>
      </c>
      <c r="D9412" s="75" t="s">
        <v>264</v>
      </c>
      <c r="G9412" s="75" t="s">
        <v>208</v>
      </c>
    </row>
    <row r="9413" spans="1:7" x14ac:dyDescent="0.35">
      <c r="A9413" s="77">
        <v>306089</v>
      </c>
      <c r="B9413" s="75" t="s">
        <v>28014</v>
      </c>
      <c r="C9413" s="75" t="s">
        <v>28015</v>
      </c>
      <c r="D9413" s="75" t="s">
        <v>225</v>
      </c>
      <c r="G9413" s="75" t="s">
        <v>208</v>
      </c>
    </row>
    <row r="9414" spans="1:7" x14ac:dyDescent="0.35">
      <c r="A9414" s="77">
        <v>306090</v>
      </c>
      <c r="B9414" s="75" t="s">
        <v>28016</v>
      </c>
      <c r="C9414" s="75" t="s">
        <v>28017</v>
      </c>
      <c r="D9414" s="75" t="s">
        <v>225</v>
      </c>
      <c r="G9414" s="75" t="s">
        <v>208</v>
      </c>
    </row>
    <row r="9415" spans="1:7" x14ac:dyDescent="0.35">
      <c r="A9415" s="77">
        <v>306091</v>
      </c>
      <c r="B9415" s="75" t="s">
        <v>28018</v>
      </c>
      <c r="C9415" s="75" t="s">
        <v>28019</v>
      </c>
      <c r="D9415" s="75" t="s">
        <v>277</v>
      </c>
      <c r="G9415" s="75" t="s">
        <v>208</v>
      </c>
    </row>
    <row r="9416" spans="1:7" x14ac:dyDescent="0.35">
      <c r="A9416" s="77">
        <v>306092</v>
      </c>
      <c r="B9416" s="75" t="s">
        <v>28020</v>
      </c>
      <c r="C9416" s="75" t="s">
        <v>28021</v>
      </c>
      <c r="D9416" s="75" t="s">
        <v>277</v>
      </c>
      <c r="G9416" s="75" t="s">
        <v>208</v>
      </c>
    </row>
    <row r="9417" spans="1:7" x14ac:dyDescent="0.35">
      <c r="A9417" s="77">
        <v>306093</v>
      </c>
      <c r="B9417" s="75" t="s">
        <v>28022</v>
      </c>
      <c r="C9417" s="75" t="s">
        <v>28023</v>
      </c>
      <c r="D9417" s="75" t="s">
        <v>225</v>
      </c>
      <c r="G9417" s="75" t="s">
        <v>208</v>
      </c>
    </row>
    <row r="9418" spans="1:7" x14ac:dyDescent="0.35">
      <c r="A9418" s="77">
        <v>306094</v>
      </c>
      <c r="B9418" s="75" t="s">
        <v>28024</v>
      </c>
      <c r="C9418" s="75" t="s">
        <v>28025</v>
      </c>
      <c r="D9418" s="75" t="s">
        <v>264</v>
      </c>
      <c r="G9418" s="75" t="s">
        <v>208</v>
      </c>
    </row>
    <row r="9419" spans="1:7" x14ac:dyDescent="0.35">
      <c r="A9419" s="77">
        <v>306095</v>
      </c>
      <c r="B9419" s="75" t="s">
        <v>28026</v>
      </c>
      <c r="C9419" s="75" t="s">
        <v>28027</v>
      </c>
      <c r="D9419" s="75" t="s">
        <v>264</v>
      </c>
      <c r="G9419" s="75" t="s">
        <v>214</v>
      </c>
    </row>
    <row r="9420" spans="1:7" x14ac:dyDescent="0.35">
      <c r="A9420" s="77">
        <v>306096</v>
      </c>
      <c r="B9420" s="75" t="s">
        <v>28028</v>
      </c>
      <c r="C9420" s="75" t="s">
        <v>28029</v>
      </c>
      <c r="D9420" s="75" t="s">
        <v>264</v>
      </c>
      <c r="G9420" s="75" t="s">
        <v>208</v>
      </c>
    </row>
    <row r="9421" spans="1:7" x14ac:dyDescent="0.35">
      <c r="A9421" s="77">
        <v>306097</v>
      </c>
      <c r="B9421" s="75" t="s">
        <v>28030</v>
      </c>
      <c r="C9421" s="75" t="s">
        <v>28031</v>
      </c>
      <c r="D9421" s="75" t="s">
        <v>264</v>
      </c>
      <c r="G9421" s="75" t="s">
        <v>214</v>
      </c>
    </row>
    <row r="9422" spans="1:7" x14ac:dyDescent="0.35">
      <c r="A9422" s="77">
        <v>306098</v>
      </c>
      <c r="B9422" s="75" t="s">
        <v>28032</v>
      </c>
      <c r="C9422" s="75" t="s">
        <v>28033</v>
      </c>
      <c r="D9422" s="75" t="s">
        <v>264</v>
      </c>
      <c r="G9422" s="75" t="s">
        <v>214</v>
      </c>
    </row>
    <row r="9423" spans="1:7" x14ac:dyDescent="0.35">
      <c r="A9423" s="77">
        <v>306099</v>
      </c>
      <c r="B9423" s="75" t="s">
        <v>28034</v>
      </c>
      <c r="C9423" s="75" t="s">
        <v>28035</v>
      </c>
      <c r="D9423" s="75" t="s">
        <v>264</v>
      </c>
      <c r="G9423" s="75" t="s">
        <v>214</v>
      </c>
    </row>
    <row r="9424" spans="1:7" x14ac:dyDescent="0.35">
      <c r="A9424" s="77">
        <v>306100</v>
      </c>
      <c r="B9424" s="75" t="s">
        <v>28036</v>
      </c>
      <c r="C9424" s="75" t="s">
        <v>28037</v>
      </c>
      <c r="D9424" s="75" t="s">
        <v>264</v>
      </c>
      <c r="G9424" s="75" t="s">
        <v>214</v>
      </c>
    </row>
    <row r="9425" spans="1:7" x14ac:dyDescent="0.35">
      <c r="A9425" s="77">
        <v>306101</v>
      </c>
      <c r="B9425" s="75" t="s">
        <v>28038</v>
      </c>
      <c r="C9425" s="75" t="s">
        <v>28039</v>
      </c>
      <c r="D9425" s="75" t="s">
        <v>264</v>
      </c>
      <c r="G9425" s="75" t="s">
        <v>205</v>
      </c>
    </row>
    <row r="9426" spans="1:7" x14ac:dyDescent="0.35">
      <c r="A9426" s="77">
        <v>306102</v>
      </c>
      <c r="B9426" s="75" t="s">
        <v>28380</v>
      </c>
      <c r="C9426" s="75" t="s">
        <v>28381</v>
      </c>
      <c r="D9426" s="75" t="s">
        <v>264</v>
      </c>
      <c r="G9426" s="75" t="s">
        <v>208</v>
      </c>
    </row>
    <row r="9427" spans="1:7" x14ac:dyDescent="0.35">
      <c r="A9427" s="77">
        <v>306103</v>
      </c>
      <c r="B9427" s="75" t="s">
        <v>28040</v>
      </c>
      <c r="C9427" s="75" t="s">
        <v>28041</v>
      </c>
      <c r="D9427" s="75" t="s">
        <v>277</v>
      </c>
      <c r="G9427" s="75" t="s">
        <v>208</v>
      </c>
    </row>
    <row r="9428" spans="1:7" x14ac:dyDescent="0.35">
      <c r="A9428" s="77">
        <v>306104</v>
      </c>
      <c r="B9428" s="75" t="s">
        <v>28042</v>
      </c>
      <c r="C9428" s="75" t="s">
        <v>28043</v>
      </c>
      <c r="D9428" s="75" t="s">
        <v>277</v>
      </c>
      <c r="G9428" s="75" t="s">
        <v>205</v>
      </c>
    </row>
    <row r="9429" spans="1:7" x14ac:dyDescent="0.35">
      <c r="A9429" s="77">
        <v>306105</v>
      </c>
      <c r="B9429" s="75" t="s">
        <v>28044</v>
      </c>
      <c r="C9429" s="75" t="s">
        <v>28045</v>
      </c>
      <c r="D9429" s="75" t="s">
        <v>277</v>
      </c>
      <c r="G9429" s="75" t="s">
        <v>208</v>
      </c>
    </row>
    <row r="9430" spans="1:7" x14ac:dyDescent="0.35">
      <c r="A9430" s="77">
        <v>306106</v>
      </c>
      <c r="B9430" s="75" t="s">
        <v>28046</v>
      </c>
      <c r="C9430" s="75" t="s">
        <v>28047</v>
      </c>
      <c r="D9430" s="75" t="s">
        <v>251</v>
      </c>
      <c r="G9430" s="75" t="s">
        <v>205</v>
      </c>
    </row>
    <row r="9431" spans="1:7" x14ac:dyDescent="0.35">
      <c r="A9431" s="77">
        <v>306107</v>
      </c>
      <c r="B9431" s="75" t="s">
        <v>28048</v>
      </c>
      <c r="C9431" s="75" t="s">
        <v>28049</v>
      </c>
      <c r="D9431" s="75" t="s">
        <v>251</v>
      </c>
      <c r="G9431" s="75" t="s">
        <v>208</v>
      </c>
    </row>
    <row r="9432" spans="1:7" x14ac:dyDescent="0.35">
      <c r="A9432" s="77">
        <v>306108</v>
      </c>
      <c r="B9432" s="75" t="s">
        <v>28050</v>
      </c>
      <c r="C9432" s="75" t="s">
        <v>28051</v>
      </c>
      <c r="D9432" s="75" t="s">
        <v>251</v>
      </c>
      <c r="G9432" s="75" t="s">
        <v>205</v>
      </c>
    </row>
    <row r="9433" spans="1:7" x14ac:dyDescent="0.35">
      <c r="A9433" s="77">
        <v>306109</v>
      </c>
      <c r="B9433" s="75" t="s">
        <v>28052</v>
      </c>
      <c r="C9433" s="75" t="s">
        <v>28053</v>
      </c>
      <c r="D9433" s="75" t="s">
        <v>251</v>
      </c>
      <c r="G9433" s="75" t="s">
        <v>208</v>
      </c>
    </row>
    <row r="9434" spans="1:7" x14ac:dyDescent="0.35">
      <c r="A9434" s="77">
        <v>306110</v>
      </c>
      <c r="B9434" s="75" t="s">
        <v>28054</v>
      </c>
      <c r="C9434" s="75" t="s">
        <v>28055</v>
      </c>
      <c r="D9434" s="75" t="s">
        <v>238</v>
      </c>
      <c r="G9434" s="75" t="s">
        <v>205</v>
      </c>
    </row>
    <row r="9435" spans="1:7" x14ac:dyDescent="0.35">
      <c r="A9435" s="77">
        <v>306111</v>
      </c>
      <c r="B9435" s="75" t="s">
        <v>28056</v>
      </c>
      <c r="C9435" s="75" t="s">
        <v>28057</v>
      </c>
      <c r="D9435" s="75" t="s">
        <v>277</v>
      </c>
      <c r="G9435" s="75" t="s">
        <v>214</v>
      </c>
    </row>
    <row r="9436" spans="1:7" x14ac:dyDescent="0.35">
      <c r="A9436" s="77">
        <v>306112</v>
      </c>
      <c r="B9436" s="75" t="s">
        <v>28058</v>
      </c>
      <c r="C9436" s="75" t="s">
        <v>28059</v>
      </c>
      <c r="D9436" s="75" t="s">
        <v>277</v>
      </c>
      <c r="G9436" s="75" t="s">
        <v>208</v>
      </c>
    </row>
    <row r="9437" spans="1:7" x14ac:dyDescent="0.35">
      <c r="A9437" s="77">
        <v>306113</v>
      </c>
      <c r="B9437" s="75" t="s">
        <v>28060</v>
      </c>
      <c r="C9437" s="75" t="s">
        <v>28061</v>
      </c>
      <c r="D9437" s="75" t="s">
        <v>264</v>
      </c>
      <c r="G9437" s="75" t="s">
        <v>205</v>
      </c>
    </row>
    <row r="9438" spans="1:7" x14ac:dyDescent="0.35">
      <c r="A9438" s="77">
        <v>306114</v>
      </c>
      <c r="B9438" s="75" t="s">
        <v>28062</v>
      </c>
      <c r="C9438" s="75" t="s">
        <v>28063</v>
      </c>
      <c r="D9438" s="75" t="s">
        <v>277</v>
      </c>
      <c r="G9438" s="75" t="s">
        <v>208</v>
      </c>
    </row>
    <row r="9439" spans="1:7" x14ac:dyDescent="0.35">
      <c r="A9439" s="77">
        <v>306115</v>
      </c>
      <c r="B9439" s="75" t="s">
        <v>28064</v>
      </c>
      <c r="C9439" s="75" t="s">
        <v>28065</v>
      </c>
      <c r="D9439" s="75" t="s">
        <v>264</v>
      </c>
      <c r="G9439" s="75" t="s">
        <v>210</v>
      </c>
    </row>
    <row r="9440" spans="1:7" x14ac:dyDescent="0.35">
      <c r="A9440" s="77">
        <v>306116</v>
      </c>
      <c r="B9440" s="75" t="s">
        <v>28066</v>
      </c>
      <c r="C9440" s="75" t="s">
        <v>28067</v>
      </c>
      <c r="D9440" s="75" t="s">
        <v>251</v>
      </c>
      <c r="G9440" s="75" t="s">
        <v>205</v>
      </c>
    </row>
    <row r="9441" spans="1:7" x14ac:dyDescent="0.35">
      <c r="A9441" s="77">
        <v>306117</v>
      </c>
      <c r="B9441" s="75" t="s">
        <v>28068</v>
      </c>
      <c r="C9441" s="75" t="s">
        <v>28069</v>
      </c>
      <c r="D9441" s="75" t="s">
        <v>251</v>
      </c>
      <c r="G9441" s="75" t="s">
        <v>208</v>
      </c>
    </row>
    <row r="9442" spans="1:7" x14ac:dyDescent="0.35">
      <c r="A9442" s="77">
        <v>306118</v>
      </c>
      <c r="B9442" s="75" t="s">
        <v>28070</v>
      </c>
      <c r="C9442" s="75" t="s">
        <v>28071</v>
      </c>
      <c r="D9442" s="75" t="s">
        <v>251</v>
      </c>
      <c r="G9442" s="75" t="s">
        <v>205</v>
      </c>
    </row>
    <row r="9443" spans="1:7" x14ac:dyDescent="0.35">
      <c r="A9443" s="77">
        <v>306119</v>
      </c>
      <c r="B9443" s="75" t="s">
        <v>28072</v>
      </c>
      <c r="C9443" s="75" t="s">
        <v>28073</v>
      </c>
      <c r="D9443" s="75" t="s">
        <v>251</v>
      </c>
      <c r="G9443" s="75" t="s">
        <v>208</v>
      </c>
    </row>
    <row r="9444" spans="1:7" x14ac:dyDescent="0.35">
      <c r="A9444" s="77">
        <v>306120</v>
      </c>
      <c r="B9444" s="75" t="s">
        <v>28074</v>
      </c>
      <c r="C9444" s="75" t="s">
        <v>28075</v>
      </c>
      <c r="D9444" s="75" t="s">
        <v>264</v>
      </c>
      <c r="G9444" s="75" t="s">
        <v>212</v>
      </c>
    </row>
    <row r="9445" spans="1:7" x14ac:dyDescent="0.35">
      <c r="A9445" s="77">
        <v>306121</v>
      </c>
      <c r="B9445" s="75" t="s">
        <v>28076</v>
      </c>
      <c r="C9445" s="75" t="s">
        <v>28077</v>
      </c>
      <c r="D9445" s="75" t="s">
        <v>277</v>
      </c>
      <c r="G9445" s="75" t="s">
        <v>214</v>
      </c>
    </row>
    <row r="9446" spans="1:7" x14ac:dyDescent="0.35">
      <c r="A9446" s="77">
        <v>306122</v>
      </c>
      <c r="B9446" s="75" t="s">
        <v>28078</v>
      </c>
      <c r="C9446" s="75" t="s">
        <v>28079</v>
      </c>
      <c r="D9446" s="75" t="s">
        <v>251</v>
      </c>
      <c r="G9446" s="75" t="s">
        <v>205</v>
      </c>
    </row>
    <row r="9447" spans="1:7" x14ac:dyDescent="0.35">
      <c r="A9447" s="77">
        <v>306123</v>
      </c>
      <c r="B9447" s="75" t="s">
        <v>28080</v>
      </c>
      <c r="C9447" s="75" t="s">
        <v>28081</v>
      </c>
      <c r="D9447" s="75" t="s">
        <v>264</v>
      </c>
      <c r="G9447" s="75" t="s">
        <v>205</v>
      </c>
    </row>
    <row r="9448" spans="1:7" x14ac:dyDescent="0.35">
      <c r="A9448" s="77">
        <v>306124</v>
      </c>
      <c r="B9448" s="75" t="s">
        <v>28082</v>
      </c>
      <c r="C9448" s="75" t="s">
        <v>28083</v>
      </c>
      <c r="D9448" s="75" t="s">
        <v>225</v>
      </c>
      <c r="G9448" s="75" t="s">
        <v>208</v>
      </c>
    </row>
    <row r="9449" spans="1:7" x14ac:dyDescent="0.35">
      <c r="A9449" s="77">
        <v>306125</v>
      </c>
      <c r="B9449" s="75" t="s">
        <v>28084</v>
      </c>
      <c r="C9449" s="75" t="s">
        <v>28085</v>
      </c>
      <c r="D9449" s="75" t="s">
        <v>264</v>
      </c>
      <c r="G9449" s="75" t="s">
        <v>208</v>
      </c>
    </row>
    <row r="9450" spans="1:7" x14ac:dyDescent="0.35">
      <c r="A9450" s="77">
        <v>306126</v>
      </c>
      <c r="B9450" s="75" t="s">
        <v>28086</v>
      </c>
      <c r="C9450" s="75" t="s">
        <v>28087</v>
      </c>
      <c r="D9450" s="75" t="s">
        <v>277</v>
      </c>
      <c r="G9450" s="75" t="s">
        <v>208</v>
      </c>
    </row>
    <row r="9451" spans="1:7" x14ac:dyDescent="0.35">
      <c r="A9451" s="77">
        <v>306127</v>
      </c>
      <c r="B9451" s="75" t="s">
        <v>28088</v>
      </c>
      <c r="C9451" s="75" t="s">
        <v>28089</v>
      </c>
      <c r="D9451" s="75" t="s">
        <v>277</v>
      </c>
      <c r="G9451" s="75" t="s">
        <v>208</v>
      </c>
    </row>
    <row r="9452" spans="1:7" x14ac:dyDescent="0.35">
      <c r="A9452" s="77">
        <v>306128</v>
      </c>
      <c r="B9452" s="75" t="s">
        <v>28090</v>
      </c>
      <c r="C9452" s="75" t="s">
        <v>28091</v>
      </c>
      <c r="D9452" s="75" t="s">
        <v>277</v>
      </c>
      <c r="G9452" s="75" t="s">
        <v>205</v>
      </c>
    </row>
    <row r="9453" spans="1:7" x14ac:dyDescent="0.35">
      <c r="A9453" s="77">
        <v>306129</v>
      </c>
      <c r="B9453" s="75" t="s">
        <v>28092</v>
      </c>
      <c r="C9453" s="75" t="s">
        <v>28093</v>
      </c>
      <c r="D9453" s="75" t="s">
        <v>225</v>
      </c>
      <c r="G9453" s="75" t="s">
        <v>205</v>
      </c>
    </row>
    <row r="9454" spans="1:7" x14ac:dyDescent="0.35">
      <c r="A9454" s="77">
        <v>306130</v>
      </c>
      <c r="B9454" s="75" t="s">
        <v>28094</v>
      </c>
      <c r="C9454" s="75" t="s">
        <v>28095</v>
      </c>
      <c r="D9454" s="75" t="s">
        <v>264</v>
      </c>
      <c r="G9454" s="75" t="s">
        <v>210</v>
      </c>
    </row>
    <row r="9455" spans="1:7" x14ac:dyDescent="0.35">
      <c r="A9455" s="77">
        <v>306131</v>
      </c>
      <c r="B9455" s="75" t="s">
        <v>28096</v>
      </c>
      <c r="C9455" s="75" t="s">
        <v>28097</v>
      </c>
      <c r="D9455" s="75" t="s">
        <v>264</v>
      </c>
      <c r="G9455" s="75" t="s">
        <v>208</v>
      </c>
    </row>
    <row r="9456" spans="1:7" x14ac:dyDescent="0.35">
      <c r="A9456" s="77">
        <v>306132</v>
      </c>
      <c r="B9456" s="75" t="s">
        <v>28098</v>
      </c>
      <c r="C9456" s="75" t="s">
        <v>28099</v>
      </c>
      <c r="D9456" s="75" t="s">
        <v>264</v>
      </c>
      <c r="G9456" s="75" t="s">
        <v>205</v>
      </c>
    </row>
    <row r="9457" spans="1:7" x14ac:dyDescent="0.35">
      <c r="A9457" s="77">
        <v>306133</v>
      </c>
      <c r="B9457" s="75" t="s">
        <v>28100</v>
      </c>
      <c r="C9457" s="75" t="s">
        <v>28101</v>
      </c>
      <c r="D9457" s="75" t="s">
        <v>264</v>
      </c>
      <c r="G9457" s="75" t="s">
        <v>205</v>
      </c>
    </row>
    <row r="9458" spans="1:7" x14ac:dyDescent="0.35">
      <c r="A9458" s="77">
        <v>306134</v>
      </c>
      <c r="B9458" s="75" t="s">
        <v>28102</v>
      </c>
      <c r="C9458" s="75" t="s">
        <v>28103</v>
      </c>
      <c r="D9458" s="75" t="s">
        <v>264</v>
      </c>
      <c r="G9458" s="75" t="s">
        <v>210</v>
      </c>
    </row>
    <row r="9459" spans="1:7" x14ac:dyDescent="0.35">
      <c r="A9459" s="77">
        <v>306135</v>
      </c>
      <c r="B9459" s="75" t="s">
        <v>28104</v>
      </c>
      <c r="C9459" s="75" t="s">
        <v>28105</v>
      </c>
      <c r="D9459" s="75" t="s">
        <v>251</v>
      </c>
      <c r="G9459" s="75" t="s">
        <v>208</v>
      </c>
    </row>
    <row r="9460" spans="1:7" x14ac:dyDescent="0.35">
      <c r="A9460" s="77">
        <v>306136</v>
      </c>
      <c r="B9460" s="75" t="s">
        <v>28106</v>
      </c>
      <c r="C9460" s="75" t="s">
        <v>28107</v>
      </c>
      <c r="D9460" s="75" t="s">
        <v>251</v>
      </c>
      <c r="G9460" s="75" t="s">
        <v>205</v>
      </c>
    </row>
    <row r="9461" spans="1:7" x14ac:dyDescent="0.35">
      <c r="A9461" s="77">
        <v>306137</v>
      </c>
      <c r="B9461" s="75" t="s">
        <v>28108</v>
      </c>
      <c r="C9461" s="75" t="s">
        <v>28109</v>
      </c>
      <c r="D9461" s="75" t="s">
        <v>264</v>
      </c>
      <c r="E9461" s="75" t="s">
        <v>277</v>
      </c>
      <c r="G9461" s="75" t="s">
        <v>205</v>
      </c>
    </row>
    <row r="9462" spans="1:7" x14ac:dyDescent="0.35">
      <c r="A9462" s="77">
        <v>306138</v>
      </c>
      <c r="B9462" s="75" t="s">
        <v>28110</v>
      </c>
      <c r="C9462" s="75" t="s">
        <v>28111</v>
      </c>
      <c r="D9462" s="75" t="s">
        <v>264</v>
      </c>
      <c r="G9462" s="75" t="s">
        <v>210</v>
      </c>
    </row>
    <row r="9463" spans="1:7" x14ac:dyDescent="0.35">
      <c r="A9463" s="77">
        <v>306139</v>
      </c>
      <c r="B9463" s="75" t="s">
        <v>28112</v>
      </c>
      <c r="C9463" s="75" t="s">
        <v>28114</v>
      </c>
      <c r="D9463" s="75" t="s">
        <v>264</v>
      </c>
      <c r="G9463" s="75" t="s">
        <v>210</v>
      </c>
    </row>
    <row r="9464" spans="1:7" x14ac:dyDescent="0.35">
      <c r="A9464" s="77">
        <v>306140</v>
      </c>
      <c r="B9464" s="75" t="s">
        <v>28113</v>
      </c>
      <c r="C9464" s="75" t="s">
        <v>28114</v>
      </c>
      <c r="D9464" s="75" t="s">
        <v>264</v>
      </c>
      <c r="G9464" s="75" t="s">
        <v>210</v>
      </c>
    </row>
    <row r="9465" spans="1:7" x14ac:dyDescent="0.35">
      <c r="A9465" s="77">
        <v>306141</v>
      </c>
      <c r="B9465" s="75" t="s">
        <v>28115</v>
      </c>
      <c r="C9465" s="75" t="s">
        <v>28116</v>
      </c>
      <c r="D9465" s="75" t="s">
        <v>225</v>
      </c>
      <c r="G9465" s="75" t="s">
        <v>212</v>
      </c>
    </row>
    <row r="9466" spans="1:7" x14ac:dyDescent="0.35">
      <c r="A9466" s="77">
        <v>306142</v>
      </c>
      <c r="B9466" s="75" t="s">
        <v>28117</v>
      </c>
      <c r="C9466" s="75" t="s">
        <v>28118</v>
      </c>
      <c r="D9466" s="75" t="s">
        <v>277</v>
      </c>
      <c r="G9466" s="75" t="s">
        <v>214</v>
      </c>
    </row>
    <row r="9467" spans="1:7" x14ac:dyDescent="0.35">
      <c r="A9467" s="77">
        <v>306143</v>
      </c>
      <c r="B9467" s="75" t="s">
        <v>28119</v>
      </c>
      <c r="C9467" s="75" t="s">
        <v>28120</v>
      </c>
      <c r="D9467" s="75" t="s">
        <v>225</v>
      </c>
      <c r="G9467" s="75" t="s">
        <v>208</v>
      </c>
    </row>
    <row r="9468" spans="1:7" x14ac:dyDescent="0.35">
      <c r="A9468" s="77">
        <v>306144</v>
      </c>
      <c r="B9468" s="75" t="s">
        <v>28121</v>
      </c>
      <c r="C9468" s="75" t="s">
        <v>28122</v>
      </c>
      <c r="D9468" s="75" t="s">
        <v>238</v>
      </c>
      <c r="G9468" s="75" t="s">
        <v>208</v>
      </c>
    </row>
    <row r="9469" spans="1:7" x14ac:dyDescent="0.35">
      <c r="A9469" s="77">
        <v>306145</v>
      </c>
      <c r="B9469" s="75" t="s">
        <v>28123</v>
      </c>
      <c r="C9469" s="75" t="s">
        <v>28124</v>
      </c>
      <c r="D9469" s="75" t="s">
        <v>251</v>
      </c>
      <c r="G9469" s="75" t="s">
        <v>208</v>
      </c>
    </row>
    <row r="9470" spans="1:7" x14ac:dyDescent="0.35">
      <c r="A9470" s="77">
        <v>306146</v>
      </c>
      <c r="B9470" s="75" t="s">
        <v>28125</v>
      </c>
      <c r="C9470" s="75" t="s">
        <v>28126</v>
      </c>
      <c r="D9470" s="75" t="s">
        <v>251</v>
      </c>
      <c r="G9470" s="75" t="s">
        <v>208</v>
      </c>
    </row>
    <row r="9471" spans="1:7" x14ac:dyDescent="0.35">
      <c r="A9471" s="77">
        <v>306147</v>
      </c>
      <c r="B9471" s="75" t="s">
        <v>28127</v>
      </c>
      <c r="C9471" s="75" t="s">
        <v>28128</v>
      </c>
      <c r="D9471" s="75" t="s">
        <v>238</v>
      </c>
      <c r="G9471" s="75" t="s">
        <v>208</v>
      </c>
    </row>
    <row r="9472" spans="1:7" x14ac:dyDescent="0.35">
      <c r="A9472" s="77">
        <v>306148</v>
      </c>
      <c r="B9472" s="75" t="s">
        <v>28129</v>
      </c>
      <c r="C9472" s="75" t="s">
        <v>28130</v>
      </c>
      <c r="D9472" s="75" t="s">
        <v>238</v>
      </c>
      <c r="G9472" s="75" t="s">
        <v>208</v>
      </c>
    </row>
    <row r="9473" spans="1:7" x14ac:dyDescent="0.35">
      <c r="A9473" s="77">
        <v>306149</v>
      </c>
      <c r="B9473" s="75" t="s">
        <v>28131</v>
      </c>
      <c r="C9473" s="75" t="s">
        <v>28132</v>
      </c>
      <c r="D9473" s="75" t="s">
        <v>238</v>
      </c>
      <c r="G9473" s="75" t="s">
        <v>208</v>
      </c>
    </row>
    <row r="9474" spans="1:7" x14ac:dyDescent="0.35">
      <c r="A9474" s="77">
        <v>306150</v>
      </c>
      <c r="B9474" s="75" t="s">
        <v>28133</v>
      </c>
      <c r="C9474" s="75" t="s">
        <v>28134</v>
      </c>
      <c r="D9474" s="75" t="s">
        <v>251</v>
      </c>
      <c r="G9474" s="75" t="s">
        <v>205</v>
      </c>
    </row>
    <row r="9475" spans="1:7" x14ac:dyDescent="0.35">
      <c r="A9475" s="77">
        <v>306151</v>
      </c>
      <c r="B9475" s="75" t="s">
        <v>28135</v>
      </c>
      <c r="C9475" s="75" t="s">
        <v>28136</v>
      </c>
      <c r="D9475" s="75" t="s">
        <v>238</v>
      </c>
      <c r="G9475" s="75" t="s">
        <v>208</v>
      </c>
    </row>
    <row r="9476" spans="1:7" x14ac:dyDescent="0.35">
      <c r="A9476" s="77">
        <v>306152</v>
      </c>
      <c r="B9476" s="75" t="s">
        <v>28137</v>
      </c>
      <c r="C9476" s="75" t="s">
        <v>28382</v>
      </c>
      <c r="D9476" s="75" t="s">
        <v>238</v>
      </c>
      <c r="G9476" s="75" t="s">
        <v>208</v>
      </c>
    </row>
    <row r="9477" spans="1:7" x14ac:dyDescent="0.35">
      <c r="A9477" s="77">
        <v>306153</v>
      </c>
      <c r="B9477" s="75" t="s">
        <v>28138</v>
      </c>
      <c r="C9477" s="75" t="s">
        <v>28139</v>
      </c>
      <c r="D9477" s="75" t="s">
        <v>277</v>
      </c>
      <c r="G9477" s="75" t="s">
        <v>205</v>
      </c>
    </row>
    <row r="9478" spans="1:7" x14ac:dyDescent="0.35">
      <c r="A9478" s="77">
        <v>306154</v>
      </c>
      <c r="B9478" s="75" t="s">
        <v>28140</v>
      </c>
      <c r="C9478" s="75" t="s">
        <v>28141</v>
      </c>
      <c r="D9478" s="75" t="s">
        <v>225</v>
      </c>
      <c r="G9478" s="75" t="s">
        <v>212</v>
      </c>
    </row>
    <row r="9479" spans="1:7" x14ac:dyDescent="0.35">
      <c r="A9479" s="77">
        <v>306155</v>
      </c>
      <c r="B9479" s="75" t="s">
        <v>28142</v>
      </c>
      <c r="C9479" s="75" t="s">
        <v>28143</v>
      </c>
      <c r="D9479" s="75" t="s">
        <v>264</v>
      </c>
      <c r="G9479" s="75" t="s">
        <v>208</v>
      </c>
    </row>
    <row r="9480" spans="1:7" x14ac:dyDescent="0.35">
      <c r="A9480" s="77">
        <v>306156</v>
      </c>
      <c r="B9480" s="75" t="s">
        <v>28144</v>
      </c>
      <c r="C9480" s="75" t="s">
        <v>28145</v>
      </c>
      <c r="D9480" s="75" t="s">
        <v>264</v>
      </c>
      <c r="G9480" s="75" t="s">
        <v>205</v>
      </c>
    </row>
    <row r="9481" spans="1:7" x14ac:dyDescent="0.35">
      <c r="A9481" s="77">
        <v>306157</v>
      </c>
      <c r="B9481" s="75" t="s">
        <v>28146</v>
      </c>
      <c r="C9481" s="75" t="s">
        <v>28147</v>
      </c>
      <c r="D9481" s="75" t="s">
        <v>277</v>
      </c>
      <c r="G9481" s="75" t="s">
        <v>208</v>
      </c>
    </row>
    <row r="9482" spans="1:7" x14ac:dyDescent="0.35">
      <c r="A9482" s="77">
        <v>306158</v>
      </c>
      <c r="B9482" s="75" t="s">
        <v>28148</v>
      </c>
      <c r="C9482" s="75" t="s">
        <v>28149</v>
      </c>
      <c r="D9482" s="75" t="s">
        <v>277</v>
      </c>
      <c r="G9482" s="75" t="s">
        <v>208</v>
      </c>
    </row>
    <row r="9483" spans="1:7" x14ac:dyDescent="0.35">
      <c r="A9483" s="77">
        <v>306159</v>
      </c>
      <c r="B9483" s="75" t="s">
        <v>28150</v>
      </c>
      <c r="C9483" s="75" t="s">
        <v>28151</v>
      </c>
      <c r="D9483" s="75" t="s">
        <v>225</v>
      </c>
      <c r="G9483" s="75" t="s">
        <v>205</v>
      </c>
    </row>
    <row r="9484" spans="1:7" x14ac:dyDescent="0.35">
      <c r="A9484" s="77">
        <v>306160</v>
      </c>
      <c r="B9484" s="75" t="s">
        <v>28152</v>
      </c>
      <c r="C9484" s="75" t="s">
        <v>28153</v>
      </c>
      <c r="D9484" s="75" t="s">
        <v>225</v>
      </c>
      <c r="G9484" s="75" t="s">
        <v>205</v>
      </c>
    </row>
    <row r="9485" spans="1:7" x14ac:dyDescent="0.35">
      <c r="A9485" s="77">
        <v>306161</v>
      </c>
      <c r="B9485" s="75" t="s">
        <v>28154</v>
      </c>
      <c r="C9485" s="75" t="s">
        <v>28155</v>
      </c>
      <c r="D9485" s="75" t="s">
        <v>225</v>
      </c>
      <c r="G9485" s="75" t="s">
        <v>205</v>
      </c>
    </row>
    <row r="9486" spans="1:7" x14ac:dyDescent="0.35">
      <c r="A9486" s="77">
        <v>306162</v>
      </c>
      <c r="B9486" s="75" t="s">
        <v>28156</v>
      </c>
      <c r="C9486" s="75" t="s">
        <v>28157</v>
      </c>
      <c r="D9486" s="75" t="s">
        <v>264</v>
      </c>
      <c r="G9486" s="75" t="s">
        <v>212</v>
      </c>
    </row>
    <row r="9487" spans="1:7" x14ac:dyDescent="0.35">
      <c r="A9487" s="77">
        <v>306163</v>
      </c>
      <c r="B9487" s="75" t="s">
        <v>28158</v>
      </c>
      <c r="C9487" s="75" t="s">
        <v>28159</v>
      </c>
      <c r="D9487" s="75" t="s">
        <v>264</v>
      </c>
      <c r="G9487" s="75" t="s">
        <v>212</v>
      </c>
    </row>
    <row r="9488" spans="1:7" x14ac:dyDescent="0.35">
      <c r="A9488" s="77">
        <v>306164</v>
      </c>
      <c r="B9488" s="75" t="s">
        <v>28160</v>
      </c>
      <c r="C9488" s="75" t="s">
        <v>28161</v>
      </c>
      <c r="D9488" s="75" t="s">
        <v>238</v>
      </c>
      <c r="G9488" s="75" t="s">
        <v>208</v>
      </c>
    </row>
    <row r="9489" spans="1:7" x14ac:dyDescent="0.35">
      <c r="A9489" s="77">
        <v>306165</v>
      </c>
      <c r="B9489" s="75" t="s">
        <v>28162</v>
      </c>
      <c r="C9489" s="75" t="s">
        <v>28163</v>
      </c>
      <c r="D9489" s="75" t="s">
        <v>277</v>
      </c>
      <c r="G9489" s="75" t="s">
        <v>208</v>
      </c>
    </row>
    <row r="9490" spans="1:7" x14ac:dyDescent="0.35">
      <c r="A9490" s="77">
        <v>306166</v>
      </c>
      <c r="B9490" s="75" t="s">
        <v>28164</v>
      </c>
      <c r="C9490" s="75" t="s">
        <v>28165</v>
      </c>
      <c r="D9490" s="75" t="s">
        <v>277</v>
      </c>
      <c r="G9490" s="75" t="s">
        <v>208</v>
      </c>
    </row>
    <row r="9491" spans="1:7" x14ac:dyDescent="0.35">
      <c r="A9491" s="77">
        <v>306167</v>
      </c>
      <c r="B9491" s="75" t="s">
        <v>28166</v>
      </c>
      <c r="C9491" s="75" t="s">
        <v>28167</v>
      </c>
      <c r="D9491" s="75" t="s">
        <v>277</v>
      </c>
      <c r="G9491" s="75" t="s">
        <v>205</v>
      </c>
    </row>
    <row r="9492" spans="1:7" x14ac:dyDescent="0.35">
      <c r="A9492" s="77">
        <v>306168</v>
      </c>
      <c r="B9492" s="75" t="s">
        <v>28168</v>
      </c>
      <c r="C9492" s="75" t="s">
        <v>28169</v>
      </c>
      <c r="D9492" s="75" t="s">
        <v>238</v>
      </c>
      <c r="G9492" s="75" t="s">
        <v>208</v>
      </c>
    </row>
    <row r="9493" spans="1:7" x14ac:dyDescent="0.35">
      <c r="A9493" s="77">
        <v>306170</v>
      </c>
      <c r="B9493" s="75" t="s">
        <v>28170</v>
      </c>
      <c r="C9493" s="75" t="s">
        <v>28171</v>
      </c>
      <c r="D9493" s="75" t="s">
        <v>225</v>
      </c>
      <c r="G9493" s="75" t="s">
        <v>208</v>
      </c>
    </row>
    <row r="9494" spans="1:7" x14ac:dyDescent="0.35">
      <c r="A9494" s="77">
        <v>306171</v>
      </c>
      <c r="B9494" s="75" t="s">
        <v>28172</v>
      </c>
      <c r="C9494" s="75" t="s">
        <v>28173</v>
      </c>
      <c r="D9494" s="75" t="s">
        <v>277</v>
      </c>
      <c r="G9494" s="75" t="s">
        <v>205</v>
      </c>
    </row>
    <row r="9495" spans="1:7" x14ac:dyDescent="0.35">
      <c r="A9495" s="77">
        <v>306172</v>
      </c>
      <c r="B9495" s="75" t="s">
        <v>28174</v>
      </c>
      <c r="C9495" s="75" t="s">
        <v>28175</v>
      </c>
      <c r="D9495" s="75" t="s">
        <v>277</v>
      </c>
      <c r="G9495" s="75" t="s">
        <v>205</v>
      </c>
    </row>
    <row r="9496" spans="1:7" x14ac:dyDescent="0.35">
      <c r="A9496" s="77">
        <v>306173</v>
      </c>
      <c r="B9496" s="75" t="s">
        <v>28176</v>
      </c>
      <c r="C9496" s="75" t="s">
        <v>28177</v>
      </c>
      <c r="D9496" s="75" t="s">
        <v>277</v>
      </c>
      <c r="G9496" s="75" t="s">
        <v>205</v>
      </c>
    </row>
    <row r="9497" spans="1:7" x14ac:dyDescent="0.35">
      <c r="A9497" s="77">
        <v>306174</v>
      </c>
      <c r="B9497" s="75" t="s">
        <v>28178</v>
      </c>
      <c r="C9497" s="75" t="s">
        <v>28179</v>
      </c>
      <c r="D9497" s="75" t="s">
        <v>264</v>
      </c>
      <c r="G9497" s="75" t="s">
        <v>208</v>
      </c>
    </row>
    <row r="9498" spans="1:7" x14ac:dyDescent="0.35">
      <c r="A9498" s="77">
        <v>306175</v>
      </c>
      <c r="B9498" s="75" t="s">
        <v>28180</v>
      </c>
      <c r="C9498" s="75" t="s">
        <v>28181</v>
      </c>
      <c r="D9498" s="75" t="s">
        <v>225</v>
      </c>
      <c r="G9498" s="75" t="s">
        <v>208</v>
      </c>
    </row>
    <row r="9499" spans="1:7" x14ac:dyDescent="0.35">
      <c r="A9499" s="77">
        <v>306176</v>
      </c>
      <c r="B9499" s="75" t="s">
        <v>28182</v>
      </c>
      <c r="C9499" s="75" t="s">
        <v>28183</v>
      </c>
      <c r="D9499" s="75" t="s">
        <v>277</v>
      </c>
      <c r="G9499" s="75" t="s">
        <v>208</v>
      </c>
    </row>
    <row r="9500" spans="1:7" x14ac:dyDescent="0.35">
      <c r="A9500" s="77">
        <v>306177</v>
      </c>
      <c r="B9500" s="75" t="s">
        <v>28184</v>
      </c>
      <c r="C9500" s="75" t="s">
        <v>28185</v>
      </c>
      <c r="D9500" s="75" t="s">
        <v>225</v>
      </c>
      <c r="G9500" s="75" t="s">
        <v>205</v>
      </c>
    </row>
    <row r="9501" spans="1:7" x14ac:dyDescent="0.35">
      <c r="A9501" s="77">
        <v>306178</v>
      </c>
      <c r="B9501" s="75" t="s">
        <v>28186</v>
      </c>
      <c r="C9501" s="75" t="s">
        <v>28187</v>
      </c>
      <c r="D9501" s="75" t="s">
        <v>225</v>
      </c>
      <c r="G9501" s="75" t="s">
        <v>208</v>
      </c>
    </row>
    <row r="9502" spans="1:7" x14ac:dyDescent="0.35">
      <c r="A9502" s="77">
        <v>306179</v>
      </c>
      <c r="B9502" s="75" t="s">
        <v>28188</v>
      </c>
      <c r="C9502" s="75" t="s">
        <v>28189</v>
      </c>
      <c r="D9502" s="75" t="s">
        <v>277</v>
      </c>
      <c r="G9502" s="75" t="s">
        <v>205</v>
      </c>
    </row>
    <row r="9503" spans="1:7" x14ac:dyDescent="0.35">
      <c r="A9503" s="77">
        <v>306180</v>
      </c>
      <c r="B9503" s="75" t="s">
        <v>28190</v>
      </c>
      <c r="C9503" s="75" t="s">
        <v>28191</v>
      </c>
      <c r="D9503" s="75" t="s">
        <v>277</v>
      </c>
      <c r="G9503" s="75" t="s">
        <v>208</v>
      </c>
    </row>
    <row r="9504" spans="1:7" x14ac:dyDescent="0.35">
      <c r="A9504" s="77">
        <v>306181</v>
      </c>
      <c r="B9504" s="75" t="s">
        <v>28192</v>
      </c>
      <c r="C9504" s="75" t="s">
        <v>28193</v>
      </c>
      <c r="D9504" s="75" t="s">
        <v>264</v>
      </c>
      <c r="G9504" s="75" t="s">
        <v>212</v>
      </c>
    </row>
    <row r="9505" spans="1:7" x14ac:dyDescent="0.35">
      <c r="A9505" s="77">
        <v>306182</v>
      </c>
      <c r="B9505" s="75" t="s">
        <v>28194</v>
      </c>
      <c r="C9505" s="75" t="s">
        <v>28195</v>
      </c>
      <c r="D9505" s="75" t="s">
        <v>277</v>
      </c>
      <c r="G9505" s="75" t="s">
        <v>208</v>
      </c>
    </row>
    <row r="9506" spans="1:7" x14ac:dyDescent="0.35">
      <c r="A9506" s="77">
        <v>306183</v>
      </c>
      <c r="B9506" s="75" t="s">
        <v>28196</v>
      </c>
      <c r="C9506" s="75" t="s">
        <v>28197</v>
      </c>
      <c r="D9506" s="75" t="s">
        <v>264</v>
      </c>
      <c r="G9506" s="75" t="s">
        <v>208</v>
      </c>
    </row>
    <row r="9507" spans="1:7" x14ac:dyDescent="0.35">
      <c r="A9507" s="77">
        <v>306184</v>
      </c>
      <c r="B9507" s="75" t="s">
        <v>28198</v>
      </c>
      <c r="C9507" s="75" t="s">
        <v>28199</v>
      </c>
      <c r="D9507" s="75" t="s">
        <v>277</v>
      </c>
      <c r="G9507" s="75" t="s">
        <v>212</v>
      </c>
    </row>
    <row r="9508" spans="1:7" x14ac:dyDescent="0.35">
      <c r="A9508" s="77">
        <v>306185</v>
      </c>
      <c r="B9508" s="75" t="s">
        <v>28200</v>
      </c>
      <c r="C9508" s="75" t="s">
        <v>28201</v>
      </c>
      <c r="D9508" s="75" t="s">
        <v>264</v>
      </c>
      <c r="G9508" s="75" t="s">
        <v>205</v>
      </c>
    </row>
    <row r="9509" spans="1:7" x14ac:dyDescent="0.35">
      <c r="A9509" s="77">
        <v>306186</v>
      </c>
      <c r="B9509" s="75" t="s">
        <v>28202</v>
      </c>
      <c r="C9509" s="75" t="s">
        <v>28203</v>
      </c>
      <c r="D9509" s="75" t="s">
        <v>264</v>
      </c>
      <c r="G9509" s="75" t="s">
        <v>205</v>
      </c>
    </row>
    <row r="9510" spans="1:7" x14ac:dyDescent="0.35">
      <c r="A9510" s="77">
        <v>306187</v>
      </c>
      <c r="B9510" s="75" t="s">
        <v>28204</v>
      </c>
      <c r="C9510" s="75" t="s">
        <v>28205</v>
      </c>
      <c r="D9510" s="75" t="s">
        <v>264</v>
      </c>
      <c r="G9510" s="75" t="s">
        <v>210</v>
      </c>
    </row>
    <row r="9511" spans="1:7" x14ac:dyDescent="0.35">
      <c r="A9511" s="77">
        <v>306188</v>
      </c>
      <c r="B9511" s="75" t="s">
        <v>28206</v>
      </c>
      <c r="C9511" s="75" t="s">
        <v>28207</v>
      </c>
      <c r="D9511" s="75" t="s">
        <v>264</v>
      </c>
      <c r="G9511" s="75" t="s">
        <v>210</v>
      </c>
    </row>
    <row r="9512" spans="1:7" x14ac:dyDescent="0.35">
      <c r="A9512" s="77">
        <v>306189</v>
      </c>
      <c r="B9512" s="75" t="s">
        <v>28208</v>
      </c>
      <c r="C9512" s="75" t="s">
        <v>28383</v>
      </c>
      <c r="D9512" s="75" t="s">
        <v>264</v>
      </c>
      <c r="G9512" s="75" t="s">
        <v>210</v>
      </c>
    </row>
    <row r="9513" spans="1:7" x14ac:dyDescent="0.35">
      <c r="A9513" s="77">
        <v>306190</v>
      </c>
      <c r="B9513" s="75" t="s">
        <v>28209</v>
      </c>
      <c r="C9513" s="75" t="s">
        <v>28384</v>
      </c>
      <c r="D9513" s="75" t="s">
        <v>264</v>
      </c>
      <c r="G9513" s="75" t="s">
        <v>210</v>
      </c>
    </row>
    <row r="9514" spans="1:7" x14ac:dyDescent="0.35">
      <c r="A9514" s="77">
        <v>306191</v>
      </c>
      <c r="B9514" s="75" t="s">
        <v>28210</v>
      </c>
      <c r="C9514" s="75" t="s">
        <v>28211</v>
      </c>
      <c r="D9514" s="75" t="s">
        <v>264</v>
      </c>
      <c r="G9514" s="75" t="s">
        <v>208</v>
      </c>
    </row>
    <row r="9515" spans="1:7" x14ac:dyDescent="0.35">
      <c r="A9515" s="77">
        <v>306192</v>
      </c>
      <c r="B9515" s="75" t="s">
        <v>28212</v>
      </c>
      <c r="C9515" s="75" t="s">
        <v>28213</v>
      </c>
      <c r="D9515" s="75" t="s">
        <v>225</v>
      </c>
      <c r="G9515" s="75" t="s">
        <v>208</v>
      </c>
    </row>
    <row r="9516" spans="1:7" x14ac:dyDescent="0.35">
      <c r="A9516" s="77">
        <v>306193</v>
      </c>
      <c r="B9516" s="75" t="s">
        <v>28214</v>
      </c>
      <c r="C9516" s="75" t="s">
        <v>28215</v>
      </c>
      <c r="D9516" s="75" t="s">
        <v>264</v>
      </c>
      <c r="G9516" s="75" t="s">
        <v>208</v>
      </c>
    </row>
    <row r="9517" spans="1:7" x14ac:dyDescent="0.35">
      <c r="A9517" s="77">
        <v>306194</v>
      </c>
      <c r="B9517" s="75" t="s">
        <v>28216</v>
      </c>
      <c r="C9517" s="75" t="s">
        <v>28217</v>
      </c>
      <c r="D9517" s="75" t="s">
        <v>225</v>
      </c>
      <c r="G9517" s="75" t="s">
        <v>208</v>
      </c>
    </row>
    <row r="9518" spans="1:7" x14ac:dyDescent="0.35">
      <c r="A9518" s="77">
        <v>306195</v>
      </c>
      <c r="B9518" s="75" t="s">
        <v>28218</v>
      </c>
      <c r="C9518" s="75" t="s">
        <v>28219</v>
      </c>
      <c r="D9518" s="75" t="s">
        <v>225</v>
      </c>
      <c r="G9518" s="75" t="s">
        <v>205</v>
      </c>
    </row>
    <row r="9519" spans="1:7" x14ac:dyDescent="0.35">
      <c r="A9519" s="77">
        <v>306196</v>
      </c>
      <c r="B9519" s="75" t="s">
        <v>28220</v>
      </c>
      <c r="C9519" s="75" t="s">
        <v>28221</v>
      </c>
      <c r="D9519" s="75" t="s">
        <v>251</v>
      </c>
      <c r="G9519" s="75" t="s">
        <v>205</v>
      </c>
    </row>
    <row r="9520" spans="1:7" x14ac:dyDescent="0.35">
      <c r="A9520" s="77">
        <v>306197</v>
      </c>
      <c r="B9520" s="75" t="s">
        <v>28385</v>
      </c>
      <c r="C9520" s="75" t="s">
        <v>28386</v>
      </c>
      <c r="D9520" s="75" t="s">
        <v>277</v>
      </c>
      <c r="G9520" s="75" t="s">
        <v>208</v>
      </c>
    </row>
    <row r="9521" spans="1:7" x14ac:dyDescent="0.35">
      <c r="A9521" s="77">
        <v>306198</v>
      </c>
      <c r="B9521" s="75" t="s">
        <v>28222</v>
      </c>
      <c r="C9521" s="75" t="s">
        <v>28223</v>
      </c>
      <c r="D9521" s="75" t="s">
        <v>277</v>
      </c>
      <c r="G9521" s="75" t="s">
        <v>205</v>
      </c>
    </row>
    <row r="9522" spans="1:7" x14ac:dyDescent="0.35">
      <c r="A9522" s="77">
        <v>306199</v>
      </c>
      <c r="B9522" s="75" t="s">
        <v>28224</v>
      </c>
      <c r="C9522" s="75" t="s">
        <v>28225</v>
      </c>
      <c r="D9522" s="75" t="s">
        <v>251</v>
      </c>
      <c r="G9522" s="75" t="s">
        <v>205</v>
      </c>
    </row>
    <row r="9523" spans="1:7" x14ac:dyDescent="0.35">
      <c r="A9523" s="77">
        <v>306200</v>
      </c>
      <c r="B9523" s="75" t="s">
        <v>28226</v>
      </c>
      <c r="C9523" s="75" t="s">
        <v>28227</v>
      </c>
      <c r="D9523" s="75" t="s">
        <v>251</v>
      </c>
      <c r="G9523" s="75" t="s">
        <v>205</v>
      </c>
    </row>
    <row r="9524" spans="1:7" x14ac:dyDescent="0.35">
      <c r="A9524" s="77">
        <v>306201</v>
      </c>
      <c r="B9524" s="75" t="s">
        <v>28228</v>
      </c>
      <c r="C9524" s="75" t="s">
        <v>28229</v>
      </c>
      <c r="D9524" s="75" t="s">
        <v>251</v>
      </c>
      <c r="G9524" s="75" t="s">
        <v>205</v>
      </c>
    </row>
    <row r="9525" spans="1:7" x14ac:dyDescent="0.35">
      <c r="A9525" s="77">
        <v>306202</v>
      </c>
      <c r="B9525" s="75" t="s">
        <v>28230</v>
      </c>
      <c r="C9525" s="75" t="s">
        <v>28231</v>
      </c>
      <c r="D9525" s="75" t="s">
        <v>251</v>
      </c>
      <c r="G9525" s="75" t="s">
        <v>205</v>
      </c>
    </row>
    <row r="9526" spans="1:7" x14ac:dyDescent="0.35">
      <c r="A9526" s="77">
        <v>306203</v>
      </c>
      <c r="B9526" s="75" t="s">
        <v>28232</v>
      </c>
      <c r="C9526" s="75" t="s">
        <v>28233</v>
      </c>
      <c r="D9526" s="75" t="s">
        <v>251</v>
      </c>
      <c r="G9526" s="75" t="s">
        <v>205</v>
      </c>
    </row>
    <row r="9527" spans="1:7" x14ac:dyDescent="0.35">
      <c r="A9527" s="77">
        <v>306204</v>
      </c>
      <c r="B9527" s="75" t="s">
        <v>28234</v>
      </c>
      <c r="C9527" s="75" t="s">
        <v>28235</v>
      </c>
      <c r="D9527" s="75" t="s">
        <v>251</v>
      </c>
      <c r="G9527" s="75" t="s">
        <v>205</v>
      </c>
    </row>
    <row r="9528" spans="1:7" x14ac:dyDescent="0.35">
      <c r="A9528" s="77">
        <v>306205</v>
      </c>
      <c r="B9528" s="75" t="s">
        <v>28387</v>
      </c>
      <c r="C9528" s="75" t="s">
        <v>28388</v>
      </c>
      <c r="D9528" s="75" t="s">
        <v>225</v>
      </c>
      <c r="G9528" s="75" t="s">
        <v>208</v>
      </c>
    </row>
    <row r="9529" spans="1:7" x14ac:dyDescent="0.35">
      <c r="A9529" s="77">
        <v>306206</v>
      </c>
      <c r="B9529" s="75" t="s">
        <v>28236</v>
      </c>
      <c r="C9529" s="75" t="s">
        <v>28237</v>
      </c>
      <c r="D9529" s="75" t="s">
        <v>264</v>
      </c>
      <c r="G9529" s="75" t="s">
        <v>205</v>
      </c>
    </row>
    <row r="9530" spans="1:7" x14ac:dyDescent="0.35">
      <c r="A9530" s="77">
        <v>306207</v>
      </c>
      <c r="B9530" s="75" t="s">
        <v>28238</v>
      </c>
      <c r="C9530" s="75" t="s">
        <v>28239</v>
      </c>
      <c r="D9530" s="75" t="s">
        <v>238</v>
      </c>
      <c r="E9530" s="75" t="s">
        <v>251</v>
      </c>
      <c r="G9530" s="75" t="s">
        <v>208</v>
      </c>
    </row>
    <row r="9531" spans="1:7" x14ac:dyDescent="0.35">
      <c r="A9531" s="77">
        <v>306208</v>
      </c>
      <c r="B9531" s="75" t="s">
        <v>28240</v>
      </c>
      <c r="C9531" s="75" t="s">
        <v>28241</v>
      </c>
      <c r="D9531" s="75" t="s">
        <v>238</v>
      </c>
      <c r="G9531" s="75" t="s">
        <v>208</v>
      </c>
    </row>
    <row r="9532" spans="1:7" x14ac:dyDescent="0.35">
      <c r="A9532" s="77">
        <v>306209</v>
      </c>
      <c r="B9532" s="75" t="s">
        <v>28242</v>
      </c>
      <c r="C9532" s="75" t="s">
        <v>28243</v>
      </c>
      <c r="D9532" s="75" t="s">
        <v>251</v>
      </c>
      <c r="G9532" s="75" t="s">
        <v>205</v>
      </c>
    </row>
    <row r="9533" spans="1:7" x14ac:dyDescent="0.35">
      <c r="A9533" s="77">
        <v>306210</v>
      </c>
      <c r="B9533" s="75" t="s">
        <v>28389</v>
      </c>
      <c r="C9533" s="75" t="s">
        <v>28390</v>
      </c>
      <c r="D9533" s="75" t="s">
        <v>264</v>
      </c>
      <c r="G9533" s="75" t="s">
        <v>205</v>
      </c>
    </row>
    <row r="9534" spans="1:7" x14ac:dyDescent="0.35">
      <c r="A9534" s="77">
        <v>306211</v>
      </c>
      <c r="B9534" s="75" t="s">
        <v>28391</v>
      </c>
      <c r="C9534" s="75" t="s">
        <v>28392</v>
      </c>
      <c r="D9534" s="75" t="s">
        <v>225</v>
      </c>
      <c r="G9534" s="75" t="s">
        <v>205</v>
      </c>
    </row>
    <row r="9535" spans="1:7" x14ac:dyDescent="0.35">
      <c r="A9535" s="77">
        <v>306212</v>
      </c>
      <c r="B9535" s="75" t="s">
        <v>28393</v>
      </c>
      <c r="C9535" s="75" t="s">
        <v>28394</v>
      </c>
      <c r="D9535" s="75" t="s">
        <v>225</v>
      </c>
      <c r="G9535" s="75" t="s">
        <v>205</v>
      </c>
    </row>
    <row r="9536" spans="1:7" x14ac:dyDescent="0.35">
      <c r="A9536" s="77">
        <v>306213</v>
      </c>
      <c r="B9536" s="75" t="s">
        <v>28395</v>
      </c>
      <c r="C9536" s="75" t="s">
        <v>28396</v>
      </c>
      <c r="D9536" s="75" t="s">
        <v>225</v>
      </c>
      <c r="G9536" s="75" t="s">
        <v>205</v>
      </c>
    </row>
    <row r="9537" spans="1:7" x14ac:dyDescent="0.35">
      <c r="A9537" s="77">
        <v>306214</v>
      </c>
      <c r="B9537" s="75" t="s">
        <v>28397</v>
      </c>
      <c r="C9537" s="75" t="s">
        <v>28398</v>
      </c>
      <c r="D9537" s="75" t="s">
        <v>225</v>
      </c>
      <c r="G9537" s="75" t="s">
        <v>208</v>
      </c>
    </row>
    <row r="9538" spans="1:7" x14ac:dyDescent="0.35">
      <c r="A9538" s="77">
        <v>306215</v>
      </c>
      <c r="B9538" s="75" t="s">
        <v>28399</v>
      </c>
      <c r="C9538" s="75" t="s">
        <v>28400</v>
      </c>
      <c r="D9538" s="75" t="s">
        <v>225</v>
      </c>
      <c r="G9538" s="75" t="s">
        <v>208</v>
      </c>
    </row>
    <row r="9539" spans="1:7" x14ac:dyDescent="0.35">
      <c r="A9539" s="77">
        <v>306216</v>
      </c>
      <c r="B9539" s="75" t="s">
        <v>28401</v>
      </c>
      <c r="C9539" s="75" t="s">
        <v>28402</v>
      </c>
      <c r="D9539" s="75" t="s">
        <v>277</v>
      </c>
      <c r="G9539" s="75" t="s">
        <v>208</v>
      </c>
    </row>
    <row r="9540" spans="1:7" x14ac:dyDescent="0.35">
      <c r="A9540" s="77">
        <v>306217</v>
      </c>
      <c r="B9540" s="75" t="s">
        <v>28403</v>
      </c>
      <c r="C9540" s="75" t="s">
        <v>28404</v>
      </c>
      <c r="D9540" s="75" t="s">
        <v>238</v>
      </c>
      <c r="G9540" s="75" t="s">
        <v>205</v>
      </c>
    </row>
    <row r="9541" spans="1:7" x14ac:dyDescent="0.35">
      <c r="A9541" s="77">
        <v>306218</v>
      </c>
      <c r="B9541" s="75" t="s">
        <v>28405</v>
      </c>
      <c r="C9541" s="75" t="s">
        <v>28406</v>
      </c>
      <c r="D9541" s="75" t="s">
        <v>238</v>
      </c>
      <c r="G9541" s="75" t="s">
        <v>205</v>
      </c>
    </row>
    <row r="9542" spans="1:7" x14ac:dyDescent="0.35">
      <c r="A9542" s="77">
        <v>306219</v>
      </c>
      <c r="B9542" s="75" t="s">
        <v>28407</v>
      </c>
      <c r="C9542" s="75" t="s">
        <v>28408</v>
      </c>
      <c r="D9542" s="75" t="s">
        <v>238</v>
      </c>
      <c r="G9542" s="75" t="s">
        <v>205</v>
      </c>
    </row>
    <row r="9543" spans="1:7" x14ac:dyDescent="0.35">
      <c r="A9543" s="77">
        <v>306220</v>
      </c>
      <c r="B9543" s="75" t="s">
        <v>28409</v>
      </c>
      <c r="C9543" s="75" t="s">
        <v>28410</v>
      </c>
      <c r="D9543" s="75" t="s">
        <v>277</v>
      </c>
      <c r="G9543" s="75" t="s">
        <v>208</v>
      </c>
    </row>
    <row r="9544" spans="1:7" x14ac:dyDescent="0.35">
      <c r="A9544" s="77">
        <v>306221</v>
      </c>
      <c r="B9544" s="75" t="s">
        <v>28411</v>
      </c>
      <c r="C9544" s="75" t="s">
        <v>28412</v>
      </c>
      <c r="D9544" s="75" t="s">
        <v>264</v>
      </c>
      <c r="G9544" s="75" t="s">
        <v>208</v>
      </c>
    </row>
    <row r="9545" spans="1:7" x14ac:dyDescent="0.35">
      <c r="A9545" s="77">
        <v>306222</v>
      </c>
      <c r="B9545" s="75" t="s">
        <v>28413</v>
      </c>
      <c r="C9545" s="75" t="s">
        <v>28414</v>
      </c>
      <c r="D9545" s="75" t="s">
        <v>277</v>
      </c>
      <c r="G9545" s="75" t="s">
        <v>205</v>
      </c>
    </row>
    <row r="9546" spans="1:7" x14ac:dyDescent="0.35">
      <c r="A9546" s="77">
        <v>306223</v>
      </c>
      <c r="B9546" s="75" t="s">
        <v>28415</v>
      </c>
      <c r="C9546" s="75" t="s">
        <v>28416</v>
      </c>
      <c r="D9546" s="75" t="s">
        <v>277</v>
      </c>
      <c r="G9546" s="75" t="s">
        <v>208</v>
      </c>
    </row>
    <row r="9547" spans="1:7" x14ac:dyDescent="0.35">
      <c r="A9547" s="77">
        <v>306224</v>
      </c>
      <c r="B9547" s="75" t="s">
        <v>28417</v>
      </c>
      <c r="C9547" s="75" t="s">
        <v>28418</v>
      </c>
      <c r="D9547" s="75" t="s">
        <v>277</v>
      </c>
      <c r="G9547" s="75" t="s">
        <v>208</v>
      </c>
    </row>
    <row r="9548" spans="1:7" x14ac:dyDescent="0.35">
      <c r="A9548" s="77">
        <v>306225</v>
      </c>
      <c r="B9548" s="75" t="s">
        <v>28419</v>
      </c>
      <c r="C9548" s="75" t="s">
        <v>28420</v>
      </c>
      <c r="D9548" s="75" t="s">
        <v>277</v>
      </c>
      <c r="G9548" s="75" t="s">
        <v>205</v>
      </c>
    </row>
    <row r="9549" spans="1:7" x14ac:dyDescent="0.35">
      <c r="A9549" s="77">
        <v>306226</v>
      </c>
      <c r="B9549" s="75" t="s">
        <v>28421</v>
      </c>
      <c r="C9549" s="75" t="s">
        <v>28422</v>
      </c>
      <c r="D9549" s="75" t="s">
        <v>251</v>
      </c>
      <c r="G9549" s="75" t="s">
        <v>205</v>
      </c>
    </row>
    <row r="9550" spans="1:7" x14ac:dyDescent="0.35">
      <c r="A9550" s="77">
        <v>306227</v>
      </c>
      <c r="B9550" s="75" t="s">
        <v>28423</v>
      </c>
      <c r="C9550" s="75" t="s">
        <v>28424</v>
      </c>
      <c r="D9550" s="75" t="s">
        <v>238</v>
      </c>
      <c r="G9550" s="75" t="s">
        <v>205</v>
      </c>
    </row>
    <row r="9551" spans="1:7" x14ac:dyDescent="0.35">
      <c r="A9551" s="77">
        <v>306228</v>
      </c>
      <c r="B9551" s="75" t="s">
        <v>28425</v>
      </c>
      <c r="C9551" s="75" t="s">
        <v>28426</v>
      </c>
      <c r="D9551" s="75" t="s">
        <v>277</v>
      </c>
      <c r="G9551" s="75" t="s">
        <v>205</v>
      </c>
    </row>
    <row r="9552" spans="1:7" x14ac:dyDescent="0.35">
      <c r="A9552" s="77">
        <v>306229</v>
      </c>
      <c r="B9552" s="75" t="s">
        <v>28427</v>
      </c>
      <c r="C9552" s="75" t="s">
        <v>28428</v>
      </c>
      <c r="D9552" s="75" t="s">
        <v>277</v>
      </c>
      <c r="G9552" s="75" t="s">
        <v>205</v>
      </c>
    </row>
    <row r="9553" spans="1:7" x14ac:dyDescent="0.35">
      <c r="A9553" s="77">
        <v>306230</v>
      </c>
      <c r="B9553" s="75" t="s">
        <v>28429</v>
      </c>
      <c r="C9553" s="75" t="s">
        <v>28430</v>
      </c>
      <c r="D9553" s="75" t="s">
        <v>251</v>
      </c>
      <c r="G9553" s="75" t="s">
        <v>205</v>
      </c>
    </row>
    <row r="9554" spans="1:7" x14ac:dyDescent="0.35">
      <c r="A9554" s="77">
        <v>306231</v>
      </c>
      <c r="B9554" s="75" t="s">
        <v>28431</v>
      </c>
      <c r="C9554" s="75" t="s">
        <v>28432</v>
      </c>
      <c r="D9554" s="75" t="s">
        <v>264</v>
      </c>
      <c r="G9554" s="75" t="s">
        <v>205</v>
      </c>
    </row>
    <row r="9555" spans="1:7" x14ac:dyDescent="0.35">
      <c r="A9555" s="77">
        <v>306232</v>
      </c>
      <c r="B9555" s="75" t="s">
        <v>28433</v>
      </c>
      <c r="C9555" s="75" t="s">
        <v>28434</v>
      </c>
      <c r="D9555" s="75" t="s">
        <v>277</v>
      </c>
      <c r="G9555" s="75" t="s">
        <v>205</v>
      </c>
    </row>
    <row r="9556" spans="1:7" x14ac:dyDescent="0.35">
      <c r="A9556" s="77">
        <v>306233</v>
      </c>
      <c r="B9556" s="75" t="s">
        <v>28435</v>
      </c>
      <c r="C9556" s="75" t="s">
        <v>28436</v>
      </c>
      <c r="D9556" s="75" t="s">
        <v>251</v>
      </c>
      <c r="G9556" s="75" t="s">
        <v>205</v>
      </c>
    </row>
    <row r="9557" spans="1:7" x14ac:dyDescent="0.35">
      <c r="A9557" s="77">
        <v>306234</v>
      </c>
      <c r="B9557" s="75" t="s">
        <v>28437</v>
      </c>
      <c r="C9557" s="75" t="s">
        <v>28438</v>
      </c>
      <c r="D9557" s="75" t="s">
        <v>251</v>
      </c>
      <c r="G9557" s="75" t="s">
        <v>205</v>
      </c>
    </row>
    <row r="9558" spans="1:7" x14ac:dyDescent="0.35">
      <c r="A9558" s="77">
        <v>306235</v>
      </c>
      <c r="B9558" s="75" t="s">
        <v>28439</v>
      </c>
      <c r="C9558" s="75" t="s">
        <v>28440</v>
      </c>
      <c r="D9558" s="75" t="s">
        <v>225</v>
      </c>
      <c r="G9558" s="75" t="s">
        <v>205</v>
      </c>
    </row>
    <row r="9559" spans="1:7" x14ac:dyDescent="0.35">
      <c r="A9559" s="77">
        <v>306236</v>
      </c>
      <c r="B9559" s="75" t="s">
        <v>28441</v>
      </c>
      <c r="C9559" s="75" t="s">
        <v>28442</v>
      </c>
      <c r="D9559" s="75" t="s">
        <v>277</v>
      </c>
      <c r="G9559" s="75" t="s">
        <v>205</v>
      </c>
    </row>
    <row r="9560" spans="1:7" x14ac:dyDescent="0.35">
      <c r="A9560" s="77">
        <v>306237</v>
      </c>
      <c r="B9560" s="75" t="s">
        <v>28443</v>
      </c>
      <c r="C9560" s="75" t="s">
        <v>28444</v>
      </c>
      <c r="D9560" s="75" t="s">
        <v>251</v>
      </c>
      <c r="G9560" s="75" t="s">
        <v>212</v>
      </c>
    </row>
    <row r="9561" spans="1:7" x14ac:dyDescent="0.35">
      <c r="A9561" s="77">
        <v>306238</v>
      </c>
      <c r="B9561" s="75" t="s">
        <v>28445</v>
      </c>
      <c r="C9561" s="75" t="s">
        <v>28446</v>
      </c>
      <c r="D9561" s="75" t="s">
        <v>251</v>
      </c>
      <c r="G9561" s="75" t="s">
        <v>212</v>
      </c>
    </row>
    <row r="9562" spans="1:7" x14ac:dyDescent="0.35">
      <c r="A9562" s="77">
        <v>306239</v>
      </c>
      <c r="B9562" s="75" t="s">
        <v>28447</v>
      </c>
      <c r="C9562" s="75" t="s">
        <v>28448</v>
      </c>
      <c r="D9562" s="75" t="s">
        <v>251</v>
      </c>
      <c r="G9562" s="75" t="s">
        <v>208</v>
      </c>
    </row>
    <row r="9563" spans="1:7" x14ac:dyDescent="0.35">
      <c r="A9563" s="77">
        <v>306240</v>
      </c>
      <c r="B9563" s="75" t="s">
        <v>28449</v>
      </c>
      <c r="C9563" s="75" t="s">
        <v>28450</v>
      </c>
      <c r="D9563" s="75" t="s">
        <v>264</v>
      </c>
      <c r="G9563" s="75" t="s">
        <v>208</v>
      </c>
    </row>
    <row r="9564" spans="1:7" x14ac:dyDescent="0.35">
      <c r="A9564" s="77">
        <v>306241</v>
      </c>
      <c r="B9564" s="75" t="s">
        <v>28451</v>
      </c>
      <c r="C9564" s="75" t="s">
        <v>28452</v>
      </c>
      <c r="D9564" s="75" t="s">
        <v>277</v>
      </c>
      <c r="G9564" s="75" t="s">
        <v>208</v>
      </c>
    </row>
    <row r="9565" spans="1:7" x14ac:dyDescent="0.35">
      <c r="A9565" s="77">
        <v>306242</v>
      </c>
      <c r="B9565" s="75" t="s">
        <v>28453</v>
      </c>
      <c r="C9565" s="75" t="s">
        <v>28454</v>
      </c>
      <c r="D9565" s="75" t="s">
        <v>277</v>
      </c>
      <c r="G9565" s="75" t="s">
        <v>208</v>
      </c>
    </row>
    <row r="9566" spans="1:7" x14ac:dyDescent="0.35">
      <c r="A9566" s="77">
        <v>306243</v>
      </c>
      <c r="B9566" s="75" t="s">
        <v>28455</v>
      </c>
      <c r="C9566" s="75" t="s">
        <v>28456</v>
      </c>
      <c r="D9566" s="75" t="s">
        <v>277</v>
      </c>
      <c r="G9566" s="75" t="s">
        <v>208</v>
      </c>
    </row>
    <row r="9567" spans="1:7" x14ac:dyDescent="0.35">
      <c r="A9567" s="77">
        <v>306244</v>
      </c>
      <c r="B9567" s="75" t="s">
        <v>28457</v>
      </c>
      <c r="C9567" s="75" t="s">
        <v>28458</v>
      </c>
      <c r="D9567" s="75" t="s">
        <v>277</v>
      </c>
      <c r="G9567" s="75" t="s">
        <v>208</v>
      </c>
    </row>
    <row r="9568" spans="1:7" x14ac:dyDescent="0.35">
      <c r="A9568" s="77">
        <v>306245</v>
      </c>
      <c r="B9568" s="75" t="s">
        <v>28459</v>
      </c>
      <c r="C9568" s="75" t="s">
        <v>28460</v>
      </c>
      <c r="D9568" s="75" t="s">
        <v>251</v>
      </c>
      <c r="G9568" s="75" t="s">
        <v>208</v>
      </c>
    </row>
    <row r="9569" spans="1:7" x14ac:dyDescent="0.35">
      <c r="A9569" s="77">
        <v>306246</v>
      </c>
      <c r="B9569" s="75" t="s">
        <v>28461</v>
      </c>
      <c r="C9569" s="75" t="s">
        <v>28462</v>
      </c>
      <c r="D9569" s="75" t="s">
        <v>251</v>
      </c>
      <c r="G9569" s="75" t="s">
        <v>208</v>
      </c>
    </row>
    <row r="9570" spans="1:7" x14ac:dyDescent="0.35">
      <c r="A9570" s="77">
        <v>306247</v>
      </c>
      <c r="B9570" s="75" t="s">
        <v>28463</v>
      </c>
      <c r="C9570" s="75" t="s">
        <v>25951</v>
      </c>
      <c r="D9570" s="75" t="s">
        <v>238</v>
      </c>
      <c r="G9570" s="75" t="s">
        <v>208</v>
      </c>
    </row>
    <row r="9571" spans="1:7" x14ac:dyDescent="0.35">
      <c r="A9571" s="77">
        <v>306248</v>
      </c>
      <c r="B9571" s="75" t="s">
        <v>28464</v>
      </c>
      <c r="C9571" s="75" t="s">
        <v>28465</v>
      </c>
      <c r="D9571" s="75" t="s">
        <v>225</v>
      </c>
      <c r="G9571" s="75" t="s">
        <v>208</v>
      </c>
    </row>
    <row r="9572" spans="1:7" x14ac:dyDescent="0.35">
      <c r="A9572" s="77">
        <v>306249</v>
      </c>
      <c r="B9572" s="75" t="s">
        <v>28466</v>
      </c>
      <c r="C9572" s="75" t="s">
        <v>28467</v>
      </c>
      <c r="D9572" s="75" t="s">
        <v>225</v>
      </c>
      <c r="G9572" s="75" t="s">
        <v>205</v>
      </c>
    </row>
    <row r="9573" spans="1:7" x14ac:dyDescent="0.35">
      <c r="A9573" s="77">
        <v>306250</v>
      </c>
      <c r="B9573" s="75" t="s">
        <v>28468</v>
      </c>
      <c r="C9573" s="75" t="s">
        <v>28469</v>
      </c>
      <c r="D9573" s="75" t="s">
        <v>251</v>
      </c>
      <c r="G9573" s="75" t="s">
        <v>205</v>
      </c>
    </row>
    <row r="9574" spans="1:7" x14ac:dyDescent="0.35">
      <c r="A9574" s="77">
        <v>306251</v>
      </c>
      <c r="B9574" s="75" t="s">
        <v>28470</v>
      </c>
      <c r="C9574" s="75" t="s">
        <v>28471</v>
      </c>
      <c r="D9574" s="75" t="s">
        <v>277</v>
      </c>
      <c r="G9574" s="75" t="s">
        <v>205</v>
      </c>
    </row>
    <row r="9575" spans="1:7" x14ac:dyDescent="0.35">
      <c r="A9575" s="77">
        <v>306252</v>
      </c>
      <c r="B9575" s="75" t="s">
        <v>28472</v>
      </c>
      <c r="C9575" s="75" t="s">
        <v>28473</v>
      </c>
      <c r="D9575" s="75" t="s">
        <v>264</v>
      </c>
      <c r="G9575" s="75" t="s">
        <v>208</v>
      </c>
    </row>
    <row r="9576" spans="1:7" x14ac:dyDescent="0.35">
      <c r="A9576" s="77">
        <v>306253</v>
      </c>
      <c r="B9576" s="75" t="s">
        <v>28474</v>
      </c>
      <c r="C9576" s="75" t="s">
        <v>28475</v>
      </c>
      <c r="D9576" s="75" t="s">
        <v>264</v>
      </c>
      <c r="G9576" s="75" t="s">
        <v>214</v>
      </c>
    </row>
    <row r="9577" spans="1:7" x14ac:dyDescent="0.35">
      <c r="A9577" s="77">
        <v>306254</v>
      </c>
      <c r="B9577" s="75" t="s">
        <v>28476</v>
      </c>
      <c r="C9577" s="75" t="s">
        <v>28477</v>
      </c>
      <c r="D9577" s="75" t="s">
        <v>238</v>
      </c>
      <c r="G9577" s="75" t="s">
        <v>205</v>
      </c>
    </row>
    <row r="9578" spans="1:7" x14ac:dyDescent="0.35">
      <c r="A9578" s="77">
        <v>306255</v>
      </c>
      <c r="B9578" s="75" t="s">
        <v>28478</v>
      </c>
      <c r="C9578" s="75" t="s">
        <v>28479</v>
      </c>
      <c r="D9578" s="75" t="s">
        <v>238</v>
      </c>
      <c r="G9578" s="75" t="s">
        <v>205</v>
      </c>
    </row>
    <row r="9579" spans="1:7" x14ac:dyDescent="0.35">
      <c r="A9579" s="77">
        <v>306256</v>
      </c>
      <c r="B9579" s="75" t="s">
        <v>28480</v>
      </c>
      <c r="C9579" s="75" t="s">
        <v>28481</v>
      </c>
      <c r="D9579" s="75" t="s">
        <v>251</v>
      </c>
      <c r="G9579" s="75" t="s">
        <v>205</v>
      </c>
    </row>
    <row r="9580" spans="1:7" x14ac:dyDescent="0.35">
      <c r="A9580" s="77">
        <v>306257</v>
      </c>
      <c r="B9580" s="75" t="s">
        <v>28482</v>
      </c>
      <c r="C9580" s="75" t="s">
        <v>28483</v>
      </c>
      <c r="D9580" s="75" t="s">
        <v>251</v>
      </c>
      <c r="G9580" s="75" t="s">
        <v>205</v>
      </c>
    </row>
    <row r="9581" spans="1:7" x14ac:dyDescent="0.35">
      <c r="A9581" s="77">
        <v>306258</v>
      </c>
      <c r="B9581" s="75" t="s">
        <v>28484</v>
      </c>
      <c r="C9581" s="75" t="s">
        <v>28485</v>
      </c>
      <c r="D9581" s="75" t="s">
        <v>225</v>
      </c>
      <c r="G9581" s="75" t="s">
        <v>205</v>
      </c>
    </row>
    <row r="9582" spans="1:7" x14ac:dyDescent="0.35">
      <c r="A9582" s="77">
        <v>306259</v>
      </c>
      <c r="B9582" s="75" t="s">
        <v>28486</v>
      </c>
      <c r="C9582" s="75" t="s">
        <v>28487</v>
      </c>
      <c r="D9582" s="75" t="s">
        <v>264</v>
      </c>
      <c r="G9582" s="75" t="s">
        <v>205</v>
      </c>
    </row>
    <row r="9583" spans="1:7" x14ac:dyDescent="0.35">
      <c r="A9583" s="77">
        <v>306260</v>
      </c>
      <c r="B9583" s="75" t="s">
        <v>28488</v>
      </c>
      <c r="C9583" s="75" t="s">
        <v>28489</v>
      </c>
      <c r="D9583" s="75" t="s">
        <v>238</v>
      </c>
      <c r="G9583" s="75" t="s">
        <v>205</v>
      </c>
    </row>
    <row r="9584" spans="1:7" x14ac:dyDescent="0.35">
      <c r="A9584" s="77">
        <v>306261</v>
      </c>
      <c r="B9584" s="75" t="s">
        <v>28490</v>
      </c>
      <c r="C9584" s="75" t="s">
        <v>28491</v>
      </c>
      <c r="D9584" s="75" t="s">
        <v>251</v>
      </c>
      <c r="G9584" s="75" t="s">
        <v>205</v>
      </c>
    </row>
    <row r="9585" spans="1:7" x14ac:dyDescent="0.35">
      <c r="A9585" s="77">
        <v>306262</v>
      </c>
      <c r="B9585" s="75" t="s">
        <v>28492</v>
      </c>
      <c r="C9585" s="75" t="s">
        <v>28493</v>
      </c>
      <c r="D9585" s="75" t="s">
        <v>251</v>
      </c>
      <c r="G9585" s="75" t="s">
        <v>205</v>
      </c>
    </row>
    <row r="9586" spans="1:7" x14ac:dyDescent="0.35">
      <c r="A9586" s="77">
        <v>306263</v>
      </c>
      <c r="B9586" s="75" t="s">
        <v>28494</v>
      </c>
      <c r="C9586" s="75" t="s">
        <v>28495</v>
      </c>
      <c r="D9586" s="75" t="s">
        <v>225</v>
      </c>
      <c r="G9586" s="75" t="s">
        <v>205</v>
      </c>
    </row>
    <row r="9587" spans="1:7" x14ac:dyDescent="0.35">
      <c r="A9587" s="77">
        <v>306264</v>
      </c>
      <c r="B9587" s="75" t="s">
        <v>28496</v>
      </c>
      <c r="C9587" s="75" t="s">
        <v>28497</v>
      </c>
      <c r="D9587" s="75" t="s">
        <v>225</v>
      </c>
      <c r="G9587" s="75" t="s">
        <v>205</v>
      </c>
    </row>
    <row r="9588" spans="1:7" x14ac:dyDescent="0.35">
      <c r="A9588" s="77">
        <v>306265</v>
      </c>
      <c r="B9588" s="75" t="s">
        <v>28498</v>
      </c>
      <c r="C9588" s="75" t="s">
        <v>28499</v>
      </c>
      <c r="D9588" s="75" t="s">
        <v>264</v>
      </c>
      <c r="G9588" s="75" t="s">
        <v>205</v>
      </c>
    </row>
    <row r="9589" spans="1:7" x14ac:dyDescent="0.35">
      <c r="A9589" s="77">
        <v>306266</v>
      </c>
      <c r="B9589" s="75" t="s">
        <v>28500</v>
      </c>
      <c r="C9589" s="75" t="s">
        <v>28501</v>
      </c>
      <c r="D9589" s="75" t="s">
        <v>264</v>
      </c>
      <c r="G9589" s="75" t="s">
        <v>212</v>
      </c>
    </row>
    <row r="9590" spans="1:7" x14ac:dyDescent="0.35">
      <c r="A9590" s="77">
        <v>306267</v>
      </c>
      <c r="B9590" s="75" t="s">
        <v>28502</v>
      </c>
      <c r="C9590" s="75" t="s">
        <v>28503</v>
      </c>
      <c r="D9590" s="75" t="s">
        <v>264</v>
      </c>
      <c r="G9590" s="75" t="s">
        <v>212</v>
      </c>
    </row>
    <row r="9591" spans="1:7" x14ac:dyDescent="0.35">
      <c r="A9591" s="77">
        <v>306268</v>
      </c>
      <c r="B9591" s="75" t="s">
        <v>28504</v>
      </c>
      <c r="C9591" s="75" t="s">
        <v>28505</v>
      </c>
      <c r="D9591" s="75" t="s">
        <v>264</v>
      </c>
      <c r="G9591" s="75" t="s">
        <v>212</v>
      </c>
    </row>
    <row r="9592" spans="1:7" x14ac:dyDescent="0.35">
      <c r="A9592" s="77">
        <v>306269</v>
      </c>
      <c r="B9592" s="75" t="s">
        <v>28506</v>
      </c>
      <c r="C9592" s="75" t="s">
        <v>28507</v>
      </c>
      <c r="D9592" s="75" t="s">
        <v>225</v>
      </c>
      <c r="G9592" s="75" t="s">
        <v>205</v>
      </c>
    </row>
    <row r="9593" spans="1:7" x14ac:dyDescent="0.35">
      <c r="A9593" s="77">
        <v>306270</v>
      </c>
      <c r="B9593" s="75" t="s">
        <v>28508</v>
      </c>
      <c r="C9593" s="75" t="s">
        <v>28509</v>
      </c>
      <c r="D9593" s="75" t="s">
        <v>225</v>
      </c>
      <c r="G9593" s="75" t="s">
        <v>205</v>
      </c>
    </row>
    <row r="9594" spans="1:7" x14ac:dyDescent="0.35">
      <c r="A9594" s="77">
        <v>306271</v>
      </c>
      <c r="B9594" s="75" t="s">
        <v>28510</v>
      </c>
      <c r="C9594" s="75" t="s">
        <v>28511</v>
      </c>
      <c r="D9594" s="75" t="s">
        <v>277</v>
      </c>
      <c r="G9594" s="75" t="s">
        <v>208</v>
      </c>
    </row>
    <row r="9595" spans="1:7" x14ac:dyDescent="0.35">
      <c r="A9595" s="77">
        <v>306272</v>
      </c>
      <c r="B9595" s="75" t="s">
        <v>28512</v>
      </c>
      <c r="C9595" s="75" t="s">
        <v>28513</v>
      </c>
      <c r="D9595" s="75" t="s">
        <v>225</v>
      </c>
      <c r="G9595" s="75" t="s">
        <v>208</v>
      </c>
    </row>
    <row r="9596" spans="1:7" x14ac:dyDescent="0.35">
      <c r="A9596" s="77">
        <v>306273</v>
      </c>
      <c r="B9596" s="75" t="s">
        <v>28514</v>
      </c>
      <c r="C9596" s="75" t="s">
        <v>28515</v>
      </c>
      <c r="D9596" s="75" t="s">
        <v>277</v>
      </c>
      <c r="G9596" s="75" t="s">
        <v>205</v>
      </c>
    </row>
    <row r="9597" spans="1:7" x14ac:dyDescent="0.35">
      <c r="A9597" s="77">
        <v>306274</v>
      </c>
      <c r="B9597" s="75" t="s">
        <v>28516</v>
      </c>
      <c r="C9597" s="75" t="s">
        <v>28517</v>
      </c>
      <c r="D9597" s="75" t="s">
        <v>264</v>
      </c>
      <c r="G9597" s="75" t="s">
        <v>210</v>
      </c>
    </row>
    <row r="9598" spans="1:7" x14ac:dyDescent="0.35">
      <c r="A9598" s="77">
        <v>306275</v>
      </c>
      <c r="B9598" s="75" t="s">
        <v>28518</v>
      </c>
      <c r="C9598" s="75" t="s">
        <v>28519</v>
      </c>
      <c r="D9598" s="75" t="s">
        <v>264</v>
      </c>
      <c r="E9598" s="75" t="s">
        <v>277</v>
      </c>
      <c r="G9598" s="75" t="s">
        <v>205</v>
      </c>
    </row>
    <row r="9599" spans="1:7" x14ac:dyDescent="0.35">
      <c r="A9599" s="77">
        <v>306276</v>
      </c>
      <c r="B9599" s="75" t="s">
        <v>28520</v>
      </c>
      <c r="C9599" s="75" t="s">
        <v>28521</v>
      </c>
      <c r="D9599" s="75" t="s">
        <v>277</v>
      </c>
      <c r="G9599" s="75" t="s">
        <v>208</v>
      </c>
    </row>
    <row r="9600" spans="1:7" x14ac:dyDescent="0.35">
      <c r="A9600" s="77">
        <v>306277</v>
      </c>
      <c r="B9600" s="75" t="s">
        <v>28522</v>
      </c>
      <c r="C9600" s="75" t="s">
        <v>28523</v>
      </c>
      <c r="D9600" s="75" t="s">
        <v>225</v>
      </c>
      <c r="G9600" s="75" t="s">
        <v>205</v>
      </c>
    </row>
    <row r="9601" spans="1:7" x14ac:dyDescent="0.35">
      <c r="A9601" s="77">
        <v>306278</v>
      </c>
      <c r="B9601" s="75" t="s">
        <v>28524</v>
      </c>
      <c r="C9601" s="75" t="s">
        <v>28525</v>
      </c>
      <c r="D9601" s="75" t="s">
        <v>225</v>
      </c>
      <c r="G9601" s="75" t="s">
        <v>208</v>
      </c>
    </row>
    <row r="9602" spans="1:7" x14ac:dyDescent="0.35">
      <c r="A9602" s="77">
        <v>306279</v>
      </c>
      <c r="B9602" s="75" t="s">
        <v>28526</v>
      </c>
      <c r="C9602" s="75" t="s">
        <v>28527</v>
      </c>
      <c r="D9602" s="75" t="s">
        <v>264</v>
      </c>
      <c r="G9602" s="75" t="s">
        <v>210</v>
      </c>
    </row>
    <row r="9603" spans="1:7" x14ac:dyDescent="0.35">
      <c r="A9603" s="77">
        <v>306280</v>
      </c>
      <c r="B9603" s="75" t="s">
        <v>28528</v>
      </c>
      <c r="C9603" s="75" t="s">
        <v>15936</v>
      </c>
      <c r="D9603" s="75" t="s">
        <v>277</v>
      </c>
      <c r="G9603" s="75" t="s">
        <v>205</v>
      </c>
    </row>
    <row r="9604" spans="1:7" x14ac:dyDescent="0.35">
      <c r="A9604" s="77">
        <v>306281</v>
      </c>
      <c r="B9604" s="75" t="s">
        <v>28529</v>
      </c>
      <c r="C9604" s="75" t="s">
        <v>28530</v>
      </c>
      <c r="D9604" s="75" t="s">
        <v>264</v>
      </c>
      <c r="G9604" s="75" t="s">
        <v>205</v>
      </c>
    </row>
    <row r="9605" spans="1:7" x14ac:dyDescent="0.35">
      <c r="A9605" s="77">
        <v>306282</v>
      </c>
      <c r="B9605" s="75" t="s">
        <v>28531</v>
      </c>
      <c r="C9605" s="75" t="s">
        <v>28532</v>
      </c>
      <c r="D9605" s="75" t="s">
        <v>264</v>
      </c>
      <c r="G9605" s="75" t="s">
        <v>205</v>
      </c>
    </row>
    <row r="9606" spans="1:7" x14ac:dyDescent="0.35">
      <c r="A9606" s="77">
        <v>306283</v>
      </c>
      <c r="B9606" s="75" t="s">
        <v>28533</v>
      </c>
      <c r="C9606" s="75" t="s">
        <v>28534</v>
      </c>
      <c r="D9606" s="75" t="s">
        <v>264</v>
      </c>
      <c r="E9606" s="75" t="s">
        <v>251</v>
      </c>
      <c r="G9606" s="75" t="s">
        <v>205</v>
      </c>
    </row>
    <row r="9607" spans="1:7" x14ac:dyDescent="0.35">
      <c r="A9607" s="77">
        <v>306284</v>
      </c>
      <c r="B9607" s="75" t="s">
        <v>28535</v>
      </c>
      <c r="C9607" s="75" t="s">
        <v>28536</v>
      </c>
      <c r="D9607" s="75" t="s">
        <v>264</v>
      </c>
      <c r="G9607" s="75" t="s">
        <v>205</v>
      </c>
    </row>
    <row r="9608" spans="1:7" x14ac:dyDescent="0.35">
      <c r="A9608" s="77">
        <v>306285</v>
      </c>
      <c r="B9608" s="75" t="s">
        <v>28537</v>
      </c>
      <c r="C9608" s="75" t="s">
        <v>28538</v>
      </c>
      <c r="D9608" s="75" t="s">
        <v>225</v>
      </c>
      <c r="G9608" s="75" t="s">
        <v>208</v>
      </c>
    </row>
    <row r="9609" spans="1:7" x14ac:dyDescent="0.35">
      <c r="A9609" s="77">
        <v>306286</v>
      </c>
      <c r="B9609" s="75" t="s">
        <v>28539</v>
      </c>
      <c r="C9609" s="75" t="s">
        <v>28540</v>
      </c>
      <c r="D9609" s="75" t="s">
        <v>277</v>
      </c>
      <c r="G9609" s="75" t="s">
        <v>208</v>
      </c>
    </row>
    <row r="9610" spans="1:7" x14ac:dyDescent="0.35">
      <c r="A9610" s="77">
        <v>306287</v>
      </c>
      <c r="B9610" s="75" t="s">
        <v>28541</v>
      </c>
      <c r="C9610" s="75" t="s">
        <v>28542</v>
      </c>
      <c r="D9610" s="75" t="s">
        <v>225</v>
      </c>
      <c r="G9610" s="75" t="s">
        <v>205</v>
      </c>
    </row>
    <row r="9611" spans="1:7" x14ac:dyDescent="0.35">
      <c r="A9611" s="77">
        <v>306288</v>
      </c>
      <c r="B9611" s="75" t="s">
        <v>28543</v>
      </c>
      <c r="C9611" s="75" t="s">
        <v>28544</v>
      </c>
      <c r="D9611" s="75" t="s">
        <v>225</v>
      </c>
      <c r="G9611" s="75" t="s">
        <v>205</v>
      </c>
    </row>
    <row r="9612" spans="1:7" x14ac:dyDescent="0.35">
      <c r="A9612" s="77">
        <v>306289</v>
      </c>
      <c r="B9612" s="75" t="s">
        <v>28545</v>
      </c>
      <c r="C9612" s="75" t="s">
        <v>28546</v>
      </c>
      <c r="D9612" s="75" t="s">
        <v>277</v>
      </c>
      <c r="G9612" s="75" t="s">
        <v>205</v>
      </c>
    </row>
    <row r="9613" spans="1:7" x14ac:dyDescent="0.35">
      <c r="A9613" s="77">
        <v>306290</v>
      </c>
      <c r="B9613" s="75" t="s">
        <v>28547</v>
      </c>
      <c r="C9613" s="75" t="s">
        <v>28548</v>
      </c>
      <c r="D9613" s="75" t="s">
        <v>264</v>
      </c>
      <c r="G9613" s="75" t="s">
        <v>208</v>
      </c>
    </row>
    <row r="9614" spans="1:7" x14ac:dyDescent="0.35">
      <c r="A9614" s="77">
        <v>306291</v>
      </c>
      <c r="B9614" s="75" t="s">
        <v>28549</v>
      </c>
      <c r="C9614" s="75" t="s">
        <v>28550</v>
      </c>
      <c r="D9614" s="75" t="s">
        <v>264</v>
      </c>
      <c r="G9614" s="75" t="s">
        <v>205</v>
      </c>
    </row>
    <row r="9615" spans="1:7" x14ac:dyDescent="0.35">
      <c r="A9615" s="77">
        <v>306292</v>
      </c>
      <c r="B9615" s="75" t="s">
        <v>28551</v>
      </c>
      <c r="C9615" s="75" t="s">
        <v>28552</v>
      </c>
      <c r="D9615" s="75" t="s">
        <v>264</v>
      </c>
      <c r="G9615" s="75" t="s">
        <v>208</v>
      </c>
    </row>
    <row r="9616" spans="1:7" x14ac:dyDescent="0.35">
      <c r="A9616" s="77">
        <v>306293</v>
      </c>
      <c r="B9616" s="75" t="s">
        <v>28553</v>
      </c>
      <c r="C9616" s="75" t="s">
        <v>28554</v>
      </c>
      <c r="D9616" s="75" t="s">
        <v>264</v>
      </c>
      <c r="G9616" s="75" t="s">
        <v>205</v>
      </c>
    </row>
    <row r="9617" spans="1:7" x14ac:dyDescent="0.35">
      <c r="A9617" s="77">
        <v>306294</v>
      </c>
      <c r="B9617" s="75" t="s">
        <v>28555</v>
      </c>
      <c r="C9617" s="75" t="s">
        <v>28556</v>
      </c>
      <c r="D9617" s="75" t="s">
        <v>264</v>
      </c>
      <c r="G9617" s="75" t="s">
        <v>205</v>
      </c>
    </row>
    <row r="9618" spans="1:7" x14ac:dyDescent="0.35">
      <c r="A9618" s="77">
        <v>306295</v>
      </c>
      <c r="B9618" s="75" t="s">
        <v>28557</v>
      </c>
      <c r="C9618" s="75" t="s">
        <v>28558</v>
      </c>
      <c r="D9618" s="75" t="s">
        <v>264</v>
      </c>
      <c r="G9618" s="75" t="s">
        <v>205</v>
      </c>
    </row>
    <row r="9619" spans="1:7" x14ac:dyDescent="0.35">
      <c r="A9619" s="77">
        <v>306296</v>
      </c>
      <c r="B9619" s="75" t="s">
        <v>28559</v>
      </c>
      <c r="C9619" s="75" t="s">
        <v>28560</v>
      </c>
      <c r="D9619" s="75" t="s">
        <v>264</v>
      </c>
      <c r="G9619" s="75" t="s">
        <v>205</v>
      </c>
    </row>
    <row r="9620" spans="1:7" x14ac:dyDescent="0.35">
      <c r="A9620" s="77">
        <v>306297</v>
      </c>
      <c r="B9620" s="75" t="s">
        <v>28561</v>
      </c>
      <c r="C9620" s="75" t="s">
        <v>28562</v>
      </c>
      <c r="D9620" s="75" t="s">
        <v>264</v>
      </c>
      <c r="G9620" s="75" t="s">
        <v>208</v>
      </c>
    </row>
    <row r="9621" spans="1:7" x14ac:dyDescent="0.35">
      <c r="A9621" s="77">
        <v>306298</v>
      </c>
      <c r="B9621" s="75" t="s">
        <v>28563</v>
      </c>
      <c r="C9621" s="75" t="s">
        <v>28564</v>
      </c>
      <c r="D9621" s="75" t="s">
        <v>225</v>
      </c>
      <c r="G9621" s="75" t="s">
        <v>208</v>
      </c>
    </row>
    <row r="9622" spans="1:7" x14ac:dyDescent="0.35">
      <c r="A9622" s="77">
        <v>306299</v>
      </c>
      <c r="B9622" s="75" t="s">
        <v>28565</v>
      </c>
      <c r="C9622" s="75" t="s">
        <v>28566</v>
      </c>
      <c r="D9622" s="75" t="s">
        <v>277</v>
      </c>
      <c r="G9622" s="75" t="s">
        <v>205</v>
      </c>
    </row>
    <row r="9623" spans="1:7" x14ac:dyDescent="0.35">
      <c r="A9623" s="77">
        <v>306300</v>
      </c>
      <c r="B9623" s="75" t="s">
        <v>28567</v>
      </c>
      <c r="C9623" s="75" t="s">
        <v>28568</v>
      </c>
      <c r="D9623" s="75" t="s">
        <v>225</v>
      </c>
      <c r="G9623" s="75" t="s">
        <v>205</v>
      </c>
    </row>
    <row r="9624" spans="1:7" x14ac:dyDescent="0.35">
      <c r="A9624" s="77">
        <v>306301</v>
      </c>
      <c r="B9624" s="75" t="s">
        <v>28569</v>
      </c>
      <c r="C9624" s="75" t="s">
        <v>28570</v>
      </c>
      <c r="D9624" s="75" t="s">
        <v>225</v>
      </c>
      <c r="G9624" s="75" t="s">
        <v>205</v>
      </c>
    </row>
    <row r="9625" spans="1:7" x14ac:dyDescent="0.35">
      <c r="A9625" s="77">
        <v>306302</v>
      </c>
      <c r="B9625" s="75" t="s">
        <v>28571</v>
      </c>
      <c r="C9625" s="75" t="s">
        <v>28572</v>
      </c>
      <c r="D9625" s="75" t="s">
        <v>225</v>
      </c>
      <c r="G9625" s="75" t="s">
        <v>205</v>
      </c>
    </row>
    <row r="9626" spans="1:7" x14ac:dyDescent="0.35">
      <c r="A9626" s="77">
        <v>306303</v>
      </c>
      <c r="B9626" s="75" t="s">
        <v>28573</v>
      </c>
      <c r="C9626" s="75" t="s">
        <v>28574</v>
      </c>
      <c r="D9626" s="75" t="s">
        <v>225</v>
      </c>
      <c r="G9626" s="75" t="s">
        <v>205</v>
      </c>
    </row>
    <row r="9627" spans="1:7" x14ac:dyDescent="0.35">
      <c r="A9627" s="77">
        <v>306304</v>
      </c>
      <c r="B9627" s="75" t="s">
        <v>28575</v>
      </c>
      <c r="C9627" s="75" t="s">
        <v>28576</v>
      </c>
      <c r="D9627" s="75" t="s">
        <v>225</v>
      </c>
      <c r="G9627" s="75" t="s">
        <v>205</v>
      </c>
    </row>
    <row r="9628" spans="1:7" x14ac:dyDescent="0.35">
      <c r="A9628" s="77">
        <v>306305</v>
      </c>
      <c r="B9628" s="75" t="s">
        <v>28577</v>
      </c>
      <c r="C9628" s="75" t="s">
        <v>28578</v>
      </c>
      <c r="D9628" s="75" t="s">
        <v>225</v>
      </c>
      <c r="G9628" s="75" t="s">
        <v>205</v>
      </c>
    </row>
    <row r="9629" spans="1:7" x14ac:dyDescent="0.35">
      <c r="A9629" s="77">
        <v>306306</v>
      </c>
      <c r="B9629" s="75" t="s">
        <v>28579</v>
      </c>
      <c r="C9629" s="75" t="s">
        <v>28580</v>
      </c>
      <c r="D9629" s="75" t="s">
        <v>277</v>
      </c>
      <c r="G9629" s="75" t="s">
        <v>208</v>
      </c>
    </row>
    <row r="9630" spans="1:7" x14ac:dyDescent="0.35">
      <c r="A9630" s="77">
        <v>306307</v>
      </c>
      <c r="B9630" s="75" t="s">
        <v>28581</v>
      </c>
      <c r="C9630" s="75" t="s">
        <v>28582</v>
      </c>
      <c r="D9630" s="75" t="s">
        <v>264</v>
      </c>
      <c r="G9630" s="75" t="s">
        <v>208</v>
      </c>
    </row>
    <row r="9631" spans="1:7" x14ac:dyDescent="0.35">
      <c r="A9631" s="77">
        <v>306308</v>
      </c>
      <c r="B9631" s="75" t="s">
        <v>28583</v>
      </c>
      <c r="C9631" s="75" t="s">
        <v>28584</v>
      </c>
      <c r="D9631" s="75" t="s">
        <v>277</v>
      </c>
      <c r="G9631" s="75" t="s">
        <v>205</v>
      </c>
    </row>
    <row r="9632" spans="1:7" x14ac:dyDescent="0.35">
      <c r="A9632" s="77">
        <v>306309</v>
      </c>
      <c r="B9632" s="75" t="s">
        <v>28585</v>
      </c>
      <c r="C9632" s="75" t="s">
        <v>28586</v>
      </c>
      <c r="D9632" s="75" t="s">
        <v>264</v>
      </c>
      <c r="G9632" s="75" t="s">
        <v>212</v>
      </c>
    </row>
    <row r="9633" spans="1:7" x14ac:dyDescent="0.35">
      <c r="A9633" s="77">
        <v>306310</v>
      </c>
      <c r="B9633" s="75" t="s">
        <v>28587</v>
      </c>
      <c r="C9633" s="75" t="s">
        <v>28588</v>
      </c>
      <c r="D9633" s="75" t="s">
        <v>264</v>
      </c>
      <c r="G9633" s="75" t="s">
        <v>208</v>
      </c>
    </row>
    <row r="9634" spans="1:7" x14ac:dyDescent="0.35">
      <c r="A9634" s="77">
        <v>306311</v>
      </c>
      <c r="B9634" s="75" t="s">
        <v>28589</v>
      </c>
      <c r="C9634" s="75" t="s">
        <v>28590</v>
      </c>
      <c r="D9634" s="75" t="s">
        <v>264</v>
      </c>
      <c r="G9634" s="75" t="s">
        <v>212</v>
      </c>
    </row>
    <row r="9635" spans="1:7" x14ac:dyDescent="0.35">
      <c r="A9635" s="77">
        <v>306312</v>
      </c>
      <c r="B9635" s="75" t="s">
        <v>28591</v>
      </c>
      <c r="C9635" s="75" t="s">
        <v>28592</v>
      </c>
      <c r="D9635" s="75" t="s">
        <v>264</v>
      </c>
      <c r="G9635" s="75" t="s">
        <v>212</v>
      </c>
    </row>
    <row r="9636" spans="1:7" x14ac:dyDescent="0.35">
      <c r="A9636" s="77">
        <v>306313</v>
      </c>
      <c r="B9636" s="75" t="s">
        <v>28593</v>
      </c>
      <c r="C9636" s="75" t="s">
        <v>28594</v>
      </c>
      <c r="D9636" s="75" t="s">
        <v>264</v>
      </c>
      <c r="G9636" s="75" t="s">
        <v>212</v>
      </c>
    </row>
    <row r="9637" spans="1:7" x14ac:dyDescent="0.35">
      <c r="A9637" s="77">
        <v>306314</v>
      </c>
      <c r="B9637" s="75" t="s">
        <v>28595</v>
      </c>
      <c r="C9637" s="75" t="s">
        <v>28596</v>
      </c>
      <c r="D9637" s="75" t="s">
        <v>277</v>
      </c>
      <c r="G9637" s="75" t="s">
        <v>205</v>
      </c>
    </row>
    <row r="9638" spans="1:7" x14ac:dyDescent="0.35">
      <c r="A9638" s="77">
        <v>306315</v>
      </c>
      <c r="B9638" s="75" t="s">
        <v>28597</v>
      </c>
      <c r="C9638" s="75" t="s">
        <v>28598</v>
      </c>
      <c r="D9638" s="75" t="s">
        <v>238</v>
      </c>
      <c r="G9638" s="75" t="s">
        <v>212</v>
      </c>
    </row>
    <row r="9639" spans="1:7" x14ac:dyDescent="0.35">
      <c r="A9639" s="77">
        <v>306316</v>
      </c>
      <c r="B9639" s="75" t="s">
        <v>28599</v>
      </c>
      <c r="C9639" s="75" t="s">
        <v>28600</v>
      </c>
      <c r="D9639" s="75" t="s">
        <v>238</v>
      </c>
      <c r="G9639" s="75" t="s">
        <v>212</v>
      </c>
    </row>
    <row r="9640" spans="1:7" x14ac:dyDescent="0.35">
      <c r="A9640" s="77">
        <v>306317</v>
      </c>
      <c r="B9640" s="75" t="s">
        <v>28601</v>
      </c>
      <c r="C9640" s="75" t="s">
        <v>28602</v>
      </c>
      <c r="D9640" s="75" t="s">
        <v>238</v>
      </c>
      <c r="G9640" s="75" t="s">
        <v>212</v>
      </c>
    </row>
    <row r="9641" spans="1:7" x14ac:dyDescent="0.35">
      <c r="A9641" s="77">
        <v>306318</v>
      </c>
      <c r="B9641" s="75" t="s">
        <v>28603</v>
      </c>
      <c r="C9641" s="75" t="s">
        <v>28604</v>
      </c>
      <c r="D9641" s="75" t="s">
        <v>225</v>
      </c>
      <c r="G9641" s="75" t="s">
        <v>208</v>
      </c>
    </row>
    <row r="9642" spans="1:7" x14ac:dyDescent="0.35">
      <c r="A9642" s="77">
        <v>306319</v>
      </c>
      <c r="B9642" s="75" t="s">
        <v>28605</v>
      </c>
      <c r="C9642" s="75" t="s">
        <v>28606</v>
      </c>
      <c r="D9642" s="75" t="s">
        <v>277</v>
      </c>
      <c r="G9642" s="75" t="s">
        <v>214</v>
      </c>
    </row>
    <row r="9643" spans="1:7" x14ac:dyDescent="0.35">
      <c r="A9643" s="77">
        <v>306320</v>
      </c>
      <c r="B9643" s="75" t="s">
        <v>28607</v>
      </c>
      <c r="C9643" s="75" t="s">
        <v>28608</v>
      </c>
      <c r="D9643" s="75" t="s">
        <v>277</v>
      </c>
      <c r="G9643" s="75" t="s">
        <v>214</v>
      </c>
    </row>
    <row r="9644" spans="1:7" x14ac:dyDescent="0.35">
      <c r="A9644" s="77">
        <v>306321</v>
      </c>
      <c r="B9644" s="75" t="s">
        <v>28609</v>
      </c>
      <c r="C9644" s="75" t="s">
        <v>28610</v>
      </c>
      <c r="D9644" s="75" t="s">
        <v>238</v>
      </c>
      <c r="G9644" s="75" t="s">
        <v>212</v>
      </c>
    </row>
    <row r="9645" spans="1:7" x14ac:dyDescent="0.35">
      <c r="A9645" s="77">
        <v>306322</v>
      </c>
      <c r="B9645" s="75" t="s">
        <v>28611</v>
      </c>
      <c r="C9645" s="75" t="s">
        <v>28612</v>
      </c>
      <c r="D9645" s="75" t="s">
        <v>225</v>
      </c>
      <c r="G9645" s="75" t="s">
        <v>208</v>
      </c>
    </row>
    <row r="9646" spans="1:7" x14ac:dyDescent="0.35">
      <c r="A9646" s="77">
        <v>306323</v>
      </c>
      <c r="B9646" s="75" t="s">
        <v>28613</v>
      </c>
      <c r="C9646" s="75" t="s">
        <v>28614</v>
      </c>
      <c r="D9646" s="75" t="s">
        <v>225</v>
      </c>
      <c r="G9646" s="75" t="s">
        <v>205</v>
      </c>
    </row>
    <row r="9647" spans="1:7" x14ac:dyDescent="0.35">
      <c r="A9647" s="77">
        <v>306324</v>
      </c>
      <c r="B9647" s="75" t="s">
        <v>28615</v>
      </c>
      <c r="C9647" s="75" t="s">
        <v>28616</v>
      </c>
      <c r="D9647" s="75" t="s">
        <v>225</v>
      </c>
      <c r="G9647" s="75" t="s">
        <v>205</v>
      </c>
    </row>
    <row r="9648" spans="1:7" x14ac:dyDescent="0.35">
      <c r="A9648" s="77">
        <v>306325</v>
      </c>
      <c r="B9648" s="75" t="s">
        <v>28617</v>
      </c>
      <c r="C9648" s="75" t="s">
        <v>28618</v>
      </c>
      <c r="D9648" s="75" t="s">
        <v>225</v>
      </c>
      <c r="G9648" s="75" t="s">
        <v>205</v>
      </c>
    </row>
    <row r="9649" spans="1:7" x14ac:dyDescent="0.35">
      <c r="A9649" s="77">
        <v>306326</v>
      </c>
      <c r="B9649" s="75" t="s">
        <v>28619</v>
      </c>
      <c r="C9649" s="75" t="s">
        <v>28620</v>
      </c>
      <c r="D9649" s="75" t="s">
        <v>277</v>
      </c>
      <c r="G9649" s="75" t="s">
        <v>205</v>
      </c>
    </row>
    <row r="9650" spans="1:7" x14ac:dyDescent="0.35">
      <c r="A9650" s="77">
        <v>306327</v>
      </c>
      <c r="B9650" s="75" t="s">
        <v>28621</v>
      </c>
      <c r="C9650" s="75" t="s">
        <v>28622</v>
      </c>
      <c r="D9650" s="75" t="s">
        <v>277</v>
      </c>
      <c r="G9650" s="75" t="s">
        <v>205</v>
      </c>
    </row>
    <row r="9651" spans="1:7" x14ac:dyDescent="0.35">
      <c r="A9651" s="77">
        <v>306328</v>
      </c>
      <c r="B9651" s="75" t="s">
        <v>28623</v>
      </c>
      <c r="C9651" s="75" t="s">
        <v>28624</v>
      </c>
      <c r="D9651" s="75" t="s">
        <v>277</v>
      </c>
      <c r="G9651" s="75" t="s">
        <v>205</v>
      </c>
    </row>
    <row r="9652" spans="1:7" x14ac:dyDescent="0.35">
      <c r="A9652" s="77">
        <v>306329</v>
      </c>
      <c r="B9652" s="75" t="s">
        <v>28625</v>
      </c>
      <c r="C9652" s="75" t="s">
        <v>28626</v>
      </c>
      <c r="D9652" s="75" t="s">
        <v>277</v>
      </c>
      <c r="G9652" s="75" t="s">
        <v>205</v>
      </c>
    </row>
    <row r="9653" spans="1:7" x14ac:dyDescent="0.35">
      <c r="A9653" s="77">
        <v>306330</v>
      </c>
      <c r="B9653" s="75" t="s">
        <v>28627</v>
      </c>
      <c r="C9653" s="75" t="s">
        <v>28628</v>
      </c>
      <c r="D9653" s="75" t="s">
        <v>277</v>
      </c>
      <c r="G9653" s="75" t="s">
        <v>205</v>
      </c>
    </row>
    <row r="9654" spans="1:7" x14ac:dyDescent="0.35">
      <c r="A9654" s="77">
        <v>306331</v>
      </c>
      <c r="B9654" s="75" t="s">
        <v>28629</v>
      </c>
      <c r="C9654" s="75" t="s">
        <v>28630</v>
      </c>
      <c r="D9654" s="75" t="s">
        <v>277</v>
      </c>
      <c r="G9654" s="75" t="s">
        <v>205</v>
      </c>
    </row>
    <row r="9655" spans="1:7" x14ac:dyDescent="0.35">
      <c r="A9655" s="77">
        <v>306332</v>
      </c>
      <c r="B9655" s="75" t="s">
        <v>28631</v>
      </c>
      <c r="C9655" s="75" t="s">
        <v>28632</v>
      </c>
      <c r="D9655" s="75" t="s">
        <v>277</v>
      </c>
      <c r="G9655" s="75" t="s">
        <v>205</v>
      </c>
    </row>
    <row r="9656" spans="1:7" x14ac:dyDescent="0.35">
      <c r="A9656" s="77">
        <v>306333</v>
      </c>
      <c r="B9656" s="75" t="s">
        <v>28633</v>
      </c>
      <c r="C9656" s="75" t="s">
        <v>28634</v>
      </c>
      <c r="D9656" s="75" t="s">
        <v>225</v>
      </c>
      <c r="G9656" s="75" t="s">
        <v>208</v>
      </c>
    </row>
    <row r="9657" spans="1:7" x14ac:dyDescent="0.35">
      <c r="A9657" s="77">
        <v>306334</v>
      </c>
      <c r="B9657" s="75" t="s">
        <v>28635</v>
      </c>
      <c r="C9657" s="75" t="s">
        <v>28636</v>
      </c>
      <c r="D9657" s="75" t="s">
        <v>277</v>
      </c>
      <c r="G9657" s="75" t="s">
        <v>212</v>
      </c>
    </row>
    <row r="9658" spans="1:7" x14ac:dyDescent="0.35">
      <c r="A9658" s="77">
        <v>306335</v>
      </c>
      <c r="B9658" s="75" t="s">
        <v>28637</v>
      </c>
      <c r="C9658" s="75" t="s">
        <v>28638</v>
      </c>
      <c r="D9658" s="75" t="s">
        <v>277</v>
      </c>
      <c r="G9658" s="75" t="s">
        <v>214</v>
      </c>
    </row>
    <row r="9659" spans="1:7" x14ac:dyDescent="0.35">
      <c r="A9659" s="77">
        <v>306336</v>
      </c>
      <c r="B9659" s="75" t="s">
        <v>28639</v>
      </c>
      <c r="C9659" s="75" t="s">
        <v>28640</v>
      </c>
      <c r="D9659" s="75" t="s">
        <v>251</v>
      </c>
      <c r="G9659" s="75" t="s">
        <v>205</v>
      </c>
    </row>
    <row r="9660" spans="1:7" x14ac:dyDescent="0.35">
      <c r="A9660" s="77">
        <v>306337</v>
      </c>
      <c r="B9660" s="75" t="s">
        <v>28641</v>
      </c>
      <c r="C9660" s="75" t="s">
        <v>28642</v>
      </c>
      <c r="D9660" s="75" t="s">
        <v>251</v>
      </c>
      <c r="G9660" s="75" t="s">
        <v>208</v>
      </c>
    </row>
    <row r="9661" spans="1:7" x14ac:dyDescent="0.35">
      <c r="A9661" s="77">
        <v>306338</v>
      </c>
      <c r="B9661" s="75" t="s">
        <v>28643</v>
      </c>
      <c r="C9661" s="75" t="s">
        <v>28644</v>
      </c>
      <c r="D9661" s="75" t="s">
        <v>225</v>
      </c>
      <c r="G9661" s="75" t="s">
        <v>212</v>
      </c>
    </row>
    <row r="9662" spans="1:7" x14ac:dyDescent="0.35">
      <c r="A9662" s="77">
        <v>306339</v>
      </c>
      <c r="B9662" s="75" t="s">
        <v>28645</v>
      </c>
      <c r="C9662" s="75" t="s">
        <v>28646</v>
      </c>
      <c r="D9662" s="75" t="s">
        <v>264</v>
      </c>
      <c r="G9662" s="75" t="s">
        <v>212</v>
      </c>
    </row>
    <row r="9663" spans="1:7" x14ac:dyDescent="0.35">
      <c r="A9663" s="77">
        <v>306340</v>
      </c>
      <c r="B9663" s="75" t="s">
        <v>28647</v>
      </c>
      <c r="C9663" s="75" t="s">
        <v>28648</v>
      </c>
      <c r="D9663" s="75" t="s">
        <v>264</v>
      </c>
      <c r="G9663" s="75" t="s">
        <v>212</v>
      </c>
    </row>
    <row r="9664" spans="1:7" x14ac:dyDescent="0.35">
      <c r="A9664" s="77">
        <v>306341</v>
      </c>
      <c r="B9664" s="75" t="s">
        <v>28649</v>
      </c>
      <c r="C9664" s="75" t="s">
        <v>28650</v>
      </c>
      <c r="D9664" s="75" t="s">
        <v>264</v>
      </c>
      <c r="G9664" s="75" t="s">
        <v>212</v>
      </c>
    </row>
    <row r="9665" spans="1:7" x14ac:dyDescent="0.35">
      <c r="A9665" s="77">
        <v>306342</v>
      </c>
      <c r="B9665" s="75" t="s">
        <v>28651</v>
      </c>
      <c r="C9665" s="75" t="s">
        <v>28652</v>
      </c>
      <c r="D9665" s="75" t="s">
        <v>264</v>
      </c>
      <c r="G9665" s="75" t="s">
        <v>212</v>
      </c>
    </row>
    <row r="9666" spans="1:7" x14ac:dyDescent="0.35">
      <c r="A9666" s="77">
        <v>306343</v>
      </c>
      <c r="B9666" s="75" t="s">
        <v>28653</v>
      </c>
      <c r="C9666" s="75" t="s">
        <v>28654</v>
      </c>
      <c r="D9666" s="75" t="s">
        <v>238</v>
      </c>
      <c r="G9666" s="75" t="s">
        <v>205</v>
      </c>
    </row>
    <row r="9667" spans="1:7" x14ac:dyDescent="0.35">
      <c r="A9667" s="77">
        <v>306344</v>
      </c>
      <c r="B9667" s="75" t="s">
        <v>28655</v>
      </c>
      <c r="C9667" s="75" t="s">
        <v>28656</v>
      </c>
      <c r="D9667" s="75" t="s">
        <v>264</v>
      </c>
      <c r="G9667" s="75" t="s">
        <v>205</v>
      </c>
    </row>
    <row r="9668" spans="1:7" x14ac:dyDescent="0.35">
      <c r="A9668" s="77">
        <v>306345</v>
      </c>
      <c r="B9668" s="75" t="s">
        <v>28657</v>
      </c>
      <c r="C9668" s="75" t="s">
        <v>28658</v>
      </c>
      <c r="D9668" s="75" t="s">
        <v>225</v>
      </c>
      <c r="G9668" s="75" t="s">
        <v>208</v>
      </c>
    </row>
    <row r="9669" spans="1:7" x14ac:dyDescent="0.35">
      <c r="A9669" s="77">
        <v>306346</v>
      </c>
      <c r="B9669" s="75" t="s">
        <v>28659</v>
      </c>
      <c r="C9669" s="75" t="s">
        <v>28660</v>
      </c>
      <c r="D9669" s="75" t="s">
        <v>225</v>
      </c>
      <c r="G9669" s="75" t="s">
        <v>205</v>
      </c>
    </row>
    <row r="9670" spans="1:7" x14ac:dyDescent="0.35">
      <c r="A9670" s="77">
        <v>306347</v>
      </c>
      <c r="B9670" s="75" t="s">
        <v>28661</v>
      </c>
      <c r="C9670" s="75" t="s">
        <v>28662</v>
      </c>
      <c r="D9670" s="75" t="s">
        <v>264</v>
      </c>
      <c r="G9670" s="75" t="s">
        <v>205</v>
      </c>
    </row>
    <row r="9671" spans="1:7" x14ac:dyDescent="0.35">
      <c r="A9671" s="77">
        <v>306348</v>
      </c>
      <c r="B9671" s="75" t="s">
        <v>28663</v>
      </c>
      <c r="C9671" s="75" t="s">
        <v>28664</v>
      </c>
      <c r="D9671" s="75" t="s">
        <v>264</v>
      </c>
      <c r="G9671" s="75" t="s">
        <v>210</v>
      </c>
    </row>
    <row r="9672" spans="1:7" x14ac:dyDescent="0.35">
      <c r="A9672" s="77">
        <v>306349</v>
      </c>
      <c r="B9672" s="75" t="s">
        <v>28665</v>
      </c>
      <c r="C9672" s="75" t="s">
        <v>28666</v>
      </c>
      <c r="D9672" s="75" t="s">
        <v>225</v>
      </c>
      <c r="G9672" s="75" t="s">
        <v>205</v>
      </c>
    </row>
    <row r="9673" spans="1:7" x14ac:dyDescent="0.35">
      <c r="A9673" s="77">
        <v>306350</v>
      </c>
      <c r="B9673" s="75" t="s">
        <v>28667</v>
      </c>
      <c r="C9673" s="75" t="s">
        <v>28668</v>
      </c>
      <c r="D9673" s="75" t="s">
        <v>225</v>
      </c>
      <c r="G9673" s="75" t="s">
        <v>208</v>
      </c>
    </row>
    <row r="9674" spans="1:7" x14ac:dyDescent="0.35">
      <c r="A9674" s="77">
        <v>306351</v>
      </c>
      <c r="B9674" s="75" t="s">
        <v>28669</v>
      </c>
      <c r="C9674" s="75" t="s">
        <v>28670</v>
      </c>
      <c r="D9674" s="75" t="s">
        <v>225</v>
      </c>
      <c r="G9674" s="75" t="s">
        <v>205</v>
      </c>
    </row>
    <row r="9675" spans="1:7" x14ac:dyDescent="0.35">
      <c r="A9675" s="77">
        <v>306352</v>
      </c>
      <c r="B9675" s="75" t="s">
        <v>28671</v>
      </c>
      <c r="C9675" s="75" t="s">
        <v>28672</v>
      </c>
      <c r="D9675" s="75" t="s">
        <v>225</v>
      </c>
      <c r="G9675" s="75" t="s">
        <v>208</v>
      </c>
    </row>
    <row r="9676" spans="1:7" x14ac:dyDescent="0.35">
      <c r="A9676" s="77">
        <v>306353</v>
      </c>
      <c r="B9676" s="75" t="s">
        <v>28673</v>
      </c>
      <c r="C9676" s="75" t="s">
        <v>28674</v>
      </c>
      <c r="D9676" s="75" t="s">
        <v>264</v>
      </c>
      <c r="G9676" s="75" t="s">
        <v>214</v>
      </c>
    </row>
    <row r="9677" spans="1:7" x14ac:dyDescent="0.35">
      <c r="A9677" s="77">
        <v>306354</v>
      </c>
      <c r="B9677" s="75" t="s">
        <v>28675</v>
      </c>
      <c r="C9677" s="75" t="s">
        <v>28676</v>
      </c>
      <c r="D9677" s="75" t="s">
        <v>277</v>
      </c>
      <c r="G9677" s="75" t="s">
        <v>205</v>
      </c>
    </row>
    <row r="9678" spans="1:7" x14ac:dyDescent="0.35">
      <c r="A9678" s="77">
        <v>306355</v>
      </c>
      <c r="B9678" s="75" t="s">
        <v>28677</v>
      </c>
      <c r="C9678" s="75" t="s">
        <v>28678</v>
      </c>
      <c r="D9678" s="75" t="s">
        <v>264</v>
      </c>
      <c r="G9678" s="75" t="s">
        <v>208</v>
      </c>
    </row>
    <row r="9679" spans="1:7" x14ac:dyDescent="0.35">
      <c r="A9679" s="77">
        <v>306356</v>
      </c>
      <c r="B9679" s="75" t="s">
        <v>28679</v>
      </c>
      <c r="C9679" s="75" t="s">
        <v>28680</v>
      </c>
      <c r="D9679" s="75" t="s">
        <v>264</v>
      </c>
      <c r="G9679" s="75" t="s">
        <v>208</v>
      </c>
    </row>
    <row r="9680" spans="1:7" x14ac:dyDescent="0.35">
      <c r="A9680" s="77">
        <v>306357</v>
      </c>
      <c r="B9680" s="75" t="s">
        <v>28681</v>
      </c>
      <c r="C9680" s="75" t="s">
        <v>28682</v>
      </c>
      <c r="D9680" s="75" t="s">
        <v>264</v>
      </c>
      <c r="G9680" s="75" t="s">
        <v>208</v>
      </c>
    </row>
    <row r="9681" spans="1:7" x14ac:dyDescent="0.35">
      <c r="A9681" s="77">
        <v>306358</v>
      </c>
      <c r="B9681" s="75" t="s">
        <v>28683</v>
      </c>
      <c r="C9681" s="75" t="s">
        <v>28684</v>
      </c>
      <c r="D9681" s="75" t="s">
        <v>264</v>
      </c>
      <c r="G9681" s="75" t="s">
        <v>208</v>
      </c>
    </row>
    <row r="9682" spans="1:7" x14ac:dyDescent="0.35">
      <c r="A9682" s="77">
        <v>306359</v>
      </c>
      <c r="B9682" s="75" t="s">
        <v>28685</v>
      </c>
      <c r="C9682" s="75" t="s">
        <v>28686</v>
      </c>
      <c r="D9682" s="75" t="s">
        <v>251</v>
      </c>
      <c r="G9682" s="75" t="s">
        <v>208</v>
      </c>
    </row>
    <row r="9683" spans="1:7" x14ac:dyDescent="0.35">
      <c r="A9683" s="77">
        <v>306360</v>
      </c>
      <c r="B9683" s="75" t="s">
        <v>28687</v>
      </c>
      <c r="C9683" s="75" t="s">
        <v>28688</v>
      </c>
      <c r="D9683" s="75" t="s">
        <v>277</v>
      </c>
      <c r="G9683" s="75" t="s">
        <v>208</v>
      </c>
    </row>
    <row r="9684" spans="1:7" x14ac:dyDescent="0.35">
      <c r="A9684" s="77">
        <v>306361</v>
      </c>
      <c r="B9684" s="75" t="s">
        <v>28689</v>
      </c>
      <c r="C9684" s="75" t="s">
        <v>28690</v>
      </c>
      <c r="D9684" s="75" t="s">
        <v>277</v>
      </c>
      <c r="G9684" s="75" t="s">
        <v>208</v>
      </c>
    </row>
    <row r="9685" spans="1:7" x14ac:dyDescent="0.35">
      <c r="A9685" s="77">
        <v>306362</v>
      </c>
      <c r="B9685" s="75" t="s">
        <v>28691</v>
      </c>
      <c r="C9685" s="75" t="s">
        <v>28692</v>
      </c>
      <c r="D9685" s="75" t="s">
        <v>251</v>
      </c>
      <c r="G9685" s="75" t="s">
        <v>208</v>
      </c>
    </row>
    <row r="9686" spans="1:7" x14ac:dyDescent="0.35">
      <c r="A9686" s="77">
        <v>306363</v>
      </c>
      <c r="B9686" s="75" t="s">
        <v>28693</v>
      </c>
      <c r="C9686" s="75" t="s">
        <v>28694</v>
      </c>
      <c r="D9686" s="75" t="s">
        <v>264</v>
      </c>
      <c r="G9686" s="75" t="s">
        <v>208</v>
      </c>
    </row>
    <row r="9687" spans="1:7" x14ac:dyDescent="0.35">
      <c r="A9687" s="77">
        <v>306364</v>
      </c>
      <c r="B9687" s="75" t="s">
        <v>28695</v>
      </c>
      <c r="C9687" s="75" t="s">
        <v>28696</v>
      </c>
      <c r="D9687" s="75" t="s">
        <v>225</v>
      </c>
      <c r="G9687" s="75" t="s">
        <v>208</v>
      </c>
    </row>
    <row r="9688" spans="1:7" x14ac:dyDescent="0.35">
      <c r="A9688" s="77">
        <v>306365</v>
      </c>
      <c r="B9688" s="75" t="s">
        <v>28697</v>
      </c>
      <c r="C9688" s="75" t="s">
        <v>28698</v>
      </c>
      <c r="D9688" s="75" t="s">
        <v>238</v>
      </c>
      <c r="G9688" s="75" t="s">
        <v>208</v>
      </c>
    </row>
    <row r="9689" spans="1:7" x14ac:dyDescent="0.35">
      <c r="A9689" s="77">
        <v>306366</v>
      </c>
      <c r="B9689" s="75" t="s">
        <v>28699</v>
      </c>
      <c r="C9689" s="75" t="s">
        <v>28700</v>
      </c>
      <c r="D9689" s="75" t="s">
        <v>225</v>
      </c>
      <c r="G9689" s="75" t="s">
        <v>208</v>
      </c>
    </row>
    <row r="9690" spans="1:7" x14ac:dyDescent="0.35">
      <c r="A9690" s="77">
        <v>306367</v>
      </c>
      <c r="B9690" s="75" t="s">
        <v>28701</v>
      </c>
      <c r="C9690" s="75" t="s">
        <v>28702</v>
      </c>
      <c r="D9690" s="75" t="s">
        <v>225</v>
      </c>
      <c r="G9690" s="75" t="s">
        <v>205</v>
      </c>
    </row>
    <row r="9691" spans="1:7" x14ac:dyDescent="0.35">
      <c r="A9691" s="77">
        <v>306368</v>
      </c>
      <c r="B9691" s="75" t="s">
        <v>28703</v>
      </c>
      <c r="C9691" s="75" t="s">
        <v>28704</v>
      </c>
      <c r="D9691" s="75" t="s">
        <v>277</v>
      </c>
      <c r="G9691" s="75" t="s">
        <v>205</v>
      </c>
    </row>
    <row r="9692" spans="1:7" x14ac:dyDescent="0.35">
      <c r="A9692" s="77">
        <v>306369</v>
      </c>
      <c r="B9692" s="75" t="s">
        <v>28705</v>
      </c>
      <c r="C9692" s="75" t="s">
        <v>28706</v>
      </c>
      <c r="D9692" s="75" t="s">
        <v>277</v>
      </c>
      <c r="G9692" s="75" t="s">
        <v>205</v>
      </c>
    </row>
    <row r="9693" spans="1:7" x14ac:dyDescent="0.35">
      <c r="A9693" s="77">
        <v>306370</v>
      </c>
      <c r="B9693" s="75" t="s">
        <v>28707</v>
      </c>
      <c r="C9693" s="75" t="s">
        <v>28708</v>
      </c>
      <c r="D9693" s="75" t="s">
        <v>277</v>
      </c>
      <c r="G9693" s="75" t="s">
        <v>205</v>
      </c>
    </row>
    <row r="9694" spans="1:7" x14ac:dyDescent="0.35">
      <c r="A9694" s="77">
        <v>306371</v>
      </c>
      <c r="B9694" s="75" t="s">
        <v>28709</v>
      </c>
      <c r="C9694" s="75" t="s">
        <v>28710</v>
      </c>
      <c r="D9694" s="75" t="s">
        <v>277</v>
      </c>
      <c r="G9694" s="75" t="s">
        <v>214</v>
      </c>
    </row>
    <row r="9695" spans="1:7" x14ac:dyDescent="0.35">
      <c r="A9695" s="77">
        <v>306372</v>
      </c>
      <c r="B9695" s="75" t="s">
        <v>28711</v>
      </c>
      <c r="C9695" s="75" t="s">
        <v>28712</v>
      </c>
      <c r="D9695" s="75" t="s">
        <v>238</v>
      </c>
      <c r="G9695" s="75" t="s">
        <v>212</v>
      </c>
    </row>
    <row r="9696" spans="1:7" x14ac:dyDescent="0.35">
      <c r="A9696" s="77">
        <v>306373</v>
      </c>
      <c r="B9696" s="75" t="s">
        <v>28713</v>
      </c>
      <c r="C9696" s="75" t="s">
        <v>28714</v>
      </c>
      <c r="D9696" s="75" t="s">
        <v>277</v>
      </c>
      <c r="G9696" s="75" t="s">
        <v>214</v>
      </c>
    </row>
    <row r="9697" spans="1:7" x14ac:dyDescent="0.35">
      <c r="A9697" s="77">
        <v>306374</v>
      </c>
      <c r="B9697" s="75" t="s">
        <v>28715</v>
      </c>
      <c r="C9697" s="75" t="s">
        <v>28716</v>
      </c>
      <c r="D9697" s="75" t="s">
        <v>277</v>
      </c>
      <c r="G9697" s="75" t="s">
        <v>214</v>
      </c>
    </row>
    <row r="9698" spans="1:7" x14ac:dyDescent="0.35">
      <c r="A9698" s="77">
        <v>306375</v>
      </c>
      <c r="B9698" s="75" t="s">
        <v>28717</v>
      </c>
      <c r="C9698" s="75" t="s">
        <v>28718</v>
      </c>
      <c r="D9698" s="75" t="s">
        <v>264</v>
      </c>
      <c r="G9698" s="75" t="s">
        <v>208</v>
      </c>
    </row>
    <row r="9699" spans="1:7" x14ac:dyDescent="0.35">
      <c r="A9699" s="77">
        <v>306376</v>
      </c>
      <c r="B9699" s="75" t="s">
        <v>28719</v>
      </c>
      <c r="C9699" s="75" t="s">
        <v>28720</v>
      </c>
      <c r="D9699" s="75" t="s">
        <v>264</v>
      </c>
      <c r="G9699" s="75" t="s">
        <v>208</v>
      </c>
    </row>
    <row r="9700" spans="1:7" x14ac:dyDescent="0.35">
      <c r="A9700" s="77">
        <v>306377</v>
      </c>
      <c r="B9700" s="75" t="s">
        <v>28721</v>
      </c>
      <c r="C9700" s="75" t="s">
        <v>28722</v>
      </c>
      <c r="D9700" s="75" t="s">
        <v>264</v>
      </c>
      <c r="G9700" s="75" t="s">
        <v>210</v>
      </c>
    </row>
    <row r="9701" spans="1:7" x14ac:dyDescent="0.35">
      <c r="A9701" s="77">
        <v>306378</v>
      </c>
      <c r="B9701" s="75" t="s">
        <v>28723</v>
      </c>
      <c r="C9701" s="75" t="s">
        <v>28724</v>
      </c>
      <c r="D9701" s="75" t="s">
        <v>264</v>
      </c>
      <c r="G9701" s="75" t="s">
        <v>210</v>
      </c>
    </row>
    <row r="9702" spans="1:7" x14ac:dyDescent="0.35">
      <c r="A9702" s="77">
        <v>306379</v>
      </c>
      <c r="B9702" s="75" t="s">
        <v>28725</v>
      </c>
      <c r="C9702" s="75" t="s">
        <v>28726</v>
      </c>
      <c r="D9702" s="75" t="s">
        <v>264</v>
      </c>
      <c r="G9702" s="75" t="s">
        <v>210</v>
      </c>
    </row>
    <row r="9703" spans="1:7" x14ac:dyDescent="0.35">
      <c r="A9703" s="77">
        <v>306380</v>
      </c>
      <c r="B9703" s="75" t="s">
        <v>28727</v>
      </c>
      <c r="C9703" s="75" t="s">
        <v>28728</v>
      </c>
      <c r="D9703" s="75" t="s">
        <v>264</v>
      </c>
      <c r="G9703" s="75" t="s">
        <v>210</v>
      </c>
    </row>
    <row r="9704" spans="1:7" x14ac:dyDescent="0.35">
      <c r="A9704" s="77">
        <v>306381</v>
      </c>
      <c r="B9704" s="75" t="s">
        <v>28729</v>
      </c>
      <c r="C9704" s="75" t="s">
        <v>28730</v>
      </c>
      <c r="D9704" s="75" t="s">
        <v>225</v>
      </c>
      <c r="G9704" s="75" t="s">
        <v>205</v>
      </c>
    </row>
    <row r="9705" spans="1:7" x14ac:dyDescent="0.35">
      <c r="A9705" s="77">
        <v>306382</v>
      </c>
      <c r="B9705" s="75" t="s">
        <v>28731</v>
      </c>
      <c r="C9705" s="75" t="s">
        <v>28732</v>
      </c>
      <c r="D9705" s="75" t="s">
        <v>264</v>
      </c>
      <c r="G9705" s="75" t="s">
        <v>205</v>
      </c>
    </row>
    <row r="9706" spans="1:7" x14ac:dyDescent="0.35">
      <c r="A9706" s="77">
        <v>306383</v>
      </c>
      <c r="B9706" s="75" t="s">
        <v>28733</v>
      </c>
      <c r="C9706" s="75" t="s">
        <v>28734</v>
      </c>
      <c r="D9706" s="75" t="s">
        <v>264</v>
      </c>
      <c r="G9706" s="75" t="s">
        <v>214</v>
      </c>
    </row>
    <row r="9707" spans="1:7" x14ac:dyDescent="0.35">
      <c r="A9707" s="77">
        <v>306384</v>
      </c>
      <c r="B9707" s="75" t="s">
        <v>28735</v>
      </c>
      <c r="C9707" s="75" t="s">
        <v>28736</v>
      </c>
      <c r="D9707" s="75" t="s">
        <v>264</v>
      </c>
      <c r="G9707" s="75" t="s">
        <v>205</v>
      </c>
    </row>
    <row r="9708" spans="1:7" x14ac:dyDescent="0.35">
      <c r="A9708" s="77">
        <v>306385</v>
      </c>
      <c r="B9708" s="75" t="s">
        <v>28737</v>
      </c>
      <c r="C9708" s="75" t="s">
        <v>28738</v>
      </c>
      <c r="D9708" s="75" t="s">
        <v>225</v>
      </c>
      <c r="G9708" s="75" t="s">
        <v>208</v>
      </c>
    </row>
    <row r="9709" spans="1:7" x14ac:dyDescent="0.35">
      <c r="A9709" s="77">
        <v>306386</v>
      </c>
      <c r="B9709" s="75" t="s">
        <v>28739</v>
      </c>
      <c r="C9709" s="75" t="s">
        <v>28740</v>
      </c>
      <c r="D9709" s="75" t="s">
        <v>225</v>
      </c>
      <c r="G9709" s="75" t="s">
        <v>208</v>
      </c>
    </row>
    <row r="9710" spans="1:7" x14ac:dyDescent="0.35">
      <c r="A9710" s="77">
        <v>306387</v>
      </c>
      <c r="B9710" s="75" t="s">
        <v>28741</v>
      </c>
      <c r="C9710" s="75" t="s">
        <v>28742</v>
      </c>
      <c r="D9710" s="75" t="s">
        <v>264</v>
      </c>
      <c r="G9710" s="75" t="s">
        <v>208</v>
      </c>
    </row>
    <row r="9711" spans="1:7" x14ac:dyDescent="0.35">
      <c r="A9711" s="77">
        <v>306388</v>
      </c>
      <c r="B9711" s="75" t="s">
        <v>28743</v>
      </c>
      <c r="C9711" s="75" t="s">
        <v>28744</v>
      </c>
      <c r="D9711" s="75" t="s">
        <v>251</v>
      </c>
      <c r="G9711" s="75" t="s">
        <v>208</v>
      </c>
    </row>
    <row r="9712" spans="1:7" x14ac:dyDescent="0.35">
      <c r="A9712" s="77">
        <v>306389</v>
      </c>
      <c r="B9712" s="75" t="s">
        <v>28745</v>
      </c>
      <c r="C9712" s="75" t="s">
        <v>28746</v>
      </c>
      <c r="D9712" s="75" t="s">
        <v>225</v>
      </c>
      <c r="G9712" s="75" t="s">
        <v>205</v>
      </c>
    </row>
    <row r="9713" spans="1:7" x14ac:dyDescent="0.35">
      <c r="A9713" s="77">
        <v>306390</v>
      </c>
      <c r="B9713" s="75" t="s">
        <v>28747</v>
      </c>
      <c r="C9713" s="75" t="s">
        <v>28748</v>
      </c>
      <c r="D9713" s="75" t="s">
        <v>225</v>
      </c>
      <c r="G9713" s="75" t="s">
        <v>208</v>
      </c>
    </row>
    <row r="9714" spans="1:7" x14ac:dyDescent="0.35">
      <c r="A9714" s="77">
        <v>306391</v>
      </c>
      <c r="B9714" s="75" t="s">
        <v>28749</v>
      </c>
      <c r="C9714" s="75" t="s">
        <v>28750</v>
      </c>
      <c r="D9714" s="75" t="s">
        <v>277</v>
      </c>
      <c r="G9714" s="75" t="s">
        <v>208</v>
      </c>
    </row>
    <row r="9715" spans="1:7" x14ac:dyDescent="0.35">
      <c r="A9715" s="77">
        <v>306392</v>
      </c>
      <c r="B9715" s="75" t="s">
        <v>28751</v>
      </c>
      <c r="C9715" s="75" t="s">
        <v>28752</v>
      </c>
      <c r="D9715" s="75" t="s">
        <v>264</v>
      </c>
      <c r="G9715" s="75" t="s">
        <v>205</v>
      </c>
    </row>
    <row r="9716" spans="1:7" x14ac:dyDescent="0.35">
      <c r="A9716" s="77">
        <v>306393</v>
      </c>
      <c r="B9716" s="75" t="s">
        <v>28753</v>
      </c>
      <c r="C9716" s="75" t="s">
        <v>28754</v>
      </c>
      <c r="D9716" s="75" t="s">
        <v>264</v>
      </c>
      <c r="G9716" s="75" t="s">
        <v>205</v>
      </c>
    </row>
    <row r="9717" spans="1:7" x14ac:dyDescent="0.35">
      <c r="A9717" s="77">
        <v>306394</v>
      </c>
      <c r="B9717" s="75" t="s">
        <v>28755</v>
      </c>
      <c r="C9717" s="75" t="s">
        <v>28756</v>
      </c>
      <c r="D9717" s="75" t="s">
        <v>264</v>
      </c>
      <c r="G9717" s="75" t="s">
        <v>205</v>
      </c>
    </row>
    <row r="9718" spans="1:7" x14ac:dyDescent="0.35">
      <c r="A9718" s="77">
        <v>306395</v>
      </c>
      <c r="B9718" s="75" t="s">
        <v>28757</v>
      </c>
      <c r="C9718" s="75" t="s">
        <v>28758</v>
      </c>
      <c r="D9718" s="75" t="s">
        <v>264</v>
      </c>
      <c r="G9718" s="75" t="s">
        <v>205</v>
      </c>
    </row>
    <row r="9719" spans="1:7" x14ac:dyDescent="0.35">
      <c r="A9719" s="77">
        <v>306396</v>
      </c>
      <c r="B9719" s="75" t="s">
        <v>28759</v>
      </c>
      <c r="C9719" s="75" t="s">
        <v>28760</v>
      </c>
      <c r="D9719" s="75" t="s">
        <v>277</v>
      </c>
      <c r="G9719" s="75" t="s">
        <v>208</v>
      </c>
    </row>
    <row r="9720" spans="1:7" x14ac:dyDescent="0.35">
      <c r="A9720" s="77">
        <v>306397</v>
      </c>
      <c r="B9720" s="75" t="s">
        <v>28761</v>
      </c>
      <c r="C9720" s="75" t="s">
        <v>28762</v>
      </c>
      <c r="D9720" s="75" t="s">
        <v>264</v>
      </c>
      <c r="G9720" s="75" t="s">
        <v>205</v>
      </c>
    </row>
    <row r="9721" spans="1:7" x14ac:dyDescent="0.35">
      <c r="A9721" s="77">
        <v>306398</v>
      </c>
      <c r="B9721" s="75" t="s">
        <v>28763</v>
      </c>
      <c r="C9721" s="75" t="s">
        <v>28764</v>
      </c>
      <c r="D9721" s="75" t="s">
        <v>264</v>
      </c>
      <c r="G9721" s="75" t="s">
        <v>210</v>
      </c>
    </row>
    <row r="9722" spans="1:7" x14ac:dyDescent="0.35">
      <c r="A9722" s="77">
        <v>306399</v>
      </c>
      <c r="B9722" s="75" t="s">
        <v>28765</v>
      </c>
      <c r="C9722" s="75" t="s">
        <v>28766</v>
      </c>
      <c r="D9722" s="75" t="s">
        <v>225</v>
      </c>
      <c r="G9722" s="75" t="s">
        <v>208</v>
      </c>
    </row>
    <row r="9723" spans="1:7" x14ac:dyDescent="0.35">
      <c r="A9723" s="77">
        <v>306400</v>
      </c>
      <c r="B9723" s="75" t="s">
        <v>28767</v>
      </c>
      <c r="C9723" s="75" t="s">
        <v>28768</v>
      </c>
      <c r="D9723" s="75" t="s">
        <v>225</v>
      </c>
      <c r="G9723" s="75" t="s">
        <v>205</v>
      </c>
    </row>
    <row r="9724" spans="1:7" x14ac:dyDescent="0.35">
      <c r="A9724" s="77">
        <v>306401</v>
      </c>
      <c r="B9724" s="75" t="s">
        <v>28769</v>
      </c>
      <c r="C9724" s="75" t="s">
        <v>28770</v>
      </c>
      <c r="D9724" s="75" t="s">
        <v>225</v>
      </c>
      <c r="E9724" s="75" t="s">
        <v>277</v>
      </c>
      <c r="G9724" s="75" t="s">
        <v>205</v>
      </c>
    </row>
    <row r="9725" spans="1:7" x14ac:dyDescent="0.35">
      <c r="A9725" s="77">
        <v>306402</v>
      </c>
      <c r="B9725" s="75" t="s">
        <v>28771</v>
      </c>
      <c r="C9725" s="75" t="s">
        <v>28772</v>
      </c>
      <c r="D9725" s="75" t="s">
        <v>264</v>
      </c>
      <c r="G9725" s="75" t="s">
        <v>205</v>
      </c>
    </row>
    <row r="9726" spans="1:7" x14ac:dyDescent="0.35">
      <c r="A9726" s="77">
        <v>306403</v>
      </c>
      <c r="B9726" s="75" t="s">
        <v>28773</v>
      </c>
      <c r="C9726" s="75" t="s">
        <v>28774</v>
      </c>
      <c r="D9726" s="75" t="s">
        <v>264</v>
      </c>
      <c r="G9726" s="75" t="s">
        <v>205</v>
      </c>
    </row>
    <row r="9727" spans="1:7" x14ac:dyDescent="0.35">
      <c r="A9727" s="77">
        <v>306404</v>
      </c>
      <c r="B9727" s="75" t="s">
        <v>28775</v>
      </c>
      <c r="C9727" s="75" t="s">
        <v>28776</v>
      </c>
      <c r="D9727" s="75" t="s">
        <v>277</v>
      </c>
      <c r="G9727" s="75" t="s">
        <v>205</v>
      </c>
    </row>
    <row r="9728" spans="1:7" x14ac:dyDescent="0.35">
      <c r="A9728" s="77">
        <v>306405</v>
      </c>
      <c r="B9728" s="75" t="s">
        <v>28777</v>
      </c>
      <c r="C9728" s="75" t="s">
        <v>28778</v>
      </c>
      <c r="D9728" s="75" t="s">
        <v>277</v>
      </c>
      <c r="G9728" s="75" t="s">
        <v>205</v>
      </c>
    </row>
    <row r="9729" spans="1:7" x14ac:dyDescent="0.35">
      <c r="A9729" s="77">
        <v>306406</v>
      </c>
      <c r="B9729" s="75" t="s">
        <v>28779</v>
      </c>
      <c r="C9729" s="75" t="s">
        <v>28780</v>
      </c>
      <c r="D9729" s="75" t="s">
        <v>277</v>
      </c>
      <c r="G9729" s="75" t="s">
        <v>208</v>
      </c>
    </row>
    <row r="9730" spans="1:7" x14ac:dyDescent="0.35">
      <c r="A9730" s="77">
        <v>306408</v>
      </c>
      <c r="B9730" s="75" t="s">
        <v>28781</v>
      </c>
      <c r="C9730" s="75" t="s">
        <v>28782</v>
      </c>
      <c r="D9730" s="75" t="s">
        <v>264</v>
      </c>
      <c r="G9730" s="75" t="s">
        <v>205</v>
      </c>
    </row>
    <row r="9731" spans="1:7" x14ac:dyDescent="0.35">
      <c r="A9731" s="77">
        <v>306409</v>
      </c>
      <c r="B9731" s="75" t="s">
        <v>28783</v>
      </c>
      <c r="C9731" s="75" t="s">
        <v>28784</v>
      </c>
      <c r="D9731" s="75" t="s">
        <v>225</v>
      </c>
      <c r="G9731" s="75" t="s">
        <v>208</v>
      </c>
    </row>
    <row r="9732" spans="1:7" x14ac:dyDescent="0.35">
      <c r="A9732" s="77">
        <v>306410</v>
      </c>
      <c r="B9732" s="75" t="s">
        <v>28785</v>
      </c>
      <c r="C9732" s="75" t="s">
        <v>28786</v>
      </c>
      <c r="D9732" s="75" t="s">
        <v>264</v>
      </c>
      <c r="G9732" s="75" t="s">
        <v>208</v>
      </c>
    </row>
    <row r="9733" spans="1:7" x14ac:dyDescent="0.35">
      <c r="A9733" s="77">
        <v>306411</v>
      </c>
      <c r="B9733" s="75" t="s">
        <v>28787</v>
      </c>
      <c r="C9733" s="75" t="s">
        <v>28788</v>
      </c>
      <c r="D9733" s="75" t="s">
        <v>277</v>
      </c>
      <c r="G9733" s="75" t="s">
        <v>214</v>
      </c>
    </row>
    <row r="9734" spans="1:7" x14ac:dyDescent="0.35">
      <c r="A9734" s="77">
        <v>306412</v>
      </c>
      <c r="B9734" s="75" t="s">
        <v>28789</v>
      </c>
      <c r="C9734" s="75" t="s">
        <v>28790</v>
      </c>
      <c r="D9734" s="75" t="s">
        <v>277</v>
      </c>
      <c r="G9734" s="75" t="s">
        <v>208</v>
      </c>
    </row>
    <row r="9735" spans="1:7" x14ac:dyDescent="0.35">
      <c r="A9735" s="77">
        <v>306413</v>
      </c>
      <c r="B9735" s="75" t="s">
        <v>28791</v>
      </c>
      <c r="C9735" s="75" t="s">
        <v>28792</v>
      </c>
      <c r="D9735" s="75" t="s">
        <v>264</v>
      </c>
      <c r="G9735" s="75" t="s">
        <v>208</v>
      </c>
    </row>
    <row r="9736" spans="1:7" x14ac:dyDescent="0.35">
      <c r="A9736" s="77">
        <v>306414</v>
      </c>
      <c r="B9736" s="75" t="s">
        <v>28793</v>
      </c>
      <c r="C9736" s="75" t="s">
        <v>28794</v>
      </c>
      <c r="D9736" s="75" t="s">
        <v>264</v>
      </c>
      <c r="G9736" s="75" t="s">
        <v>208</v>
      </c>
    </row>
    <row r="9737" spans="1:7" x14ac:dyDescent="0.35">
      <c r="A9737" s="77">
        <v>306415</v>
      </c>
      <c r="B9737" s="75" t="s">
        <v>28795</v>
      </c>
      <c r="C9737" s="75" t="s">
        <v>28796</v>
      </c>
      <c r="D9737" s="75" t="s">
        <v>277</v>
      </c>
      <c r="G9737" s="75" t="s">
        <v>208</v>
      </c>
    </row>
    <row r="9738" spans="1:7" x14ac:dyDescent="0.35">
      <c r="A9738" s="77">
        <v>306416</v>
      </c>
      <c r="B9738" s="75" t="s">
        <v>28797</v>
      </c>
      <c r="C9738" s="75" t="s">
        <v>28798</v>
      </c>
      <c r="D9738" s="75" t="s">
        <v>277</v>
      </c>
      <c r="G9738" s="75" t="s">
        <v>212</v>
      </c>
    </row>
    <row r="9739" spans="1:7" x14ac:dyDescent="0.35">
      <c r="A9739" s="77">
        <v>306417</v>
      </c>
      <c r="B9739" s="75" t="s">
        <v>28799</v>
      </c>
      <c r="C9739" s="75" t="s">
        <v>28800</v>
      </c>
      <c r="D9739" s="75" t="s">
        <v>277</v>
      </c>
      <c r="G9739" s="75" t="s">
        <v>214</v>
      </c>
    </row>
    <row r="9740" spans="1:7" x14ac:dyDescent="0.35">
      <c r="A9740" s="77">
        <v>306418</v>
      </c>
      <c r="B9740" s="75" t="s">
        <v>28801</v>
      </c>
      <c r="C9740" s="75" t="s">
        <v>28802</v>
      </c>
      <c r="D9740" s="75" t="s">
        <v>277</v>
      </c>
      <c r="G9740" s="75" t="s">
        <v>212</v>
      </c>
    </row>
    <row r="9741" spans="1:7" x14ac:dyDescent="0.35">
      <c r="A9741" s="77">
        <v>306419</v>
      </c>
      <c r="B9741" s="75" t="s">
        <v>28803</v>
      </c>
      <c r="C9741" s="75" t="s">
        <v>28792</v>
      </c>
      <c r="D9741" s="75" t="s">
        <v>264</v>
      </c>
      <c r="G9741" s="75" t="s">
        <v>208</v>
      </c>
    </row>
    <row r="9742" spans="1:7" x14ac:dyDescent="0.35">
      <c r="A9742" s="77">
        <v>306420</v>
      </c>
      <c r="B9742" s="75" t="s">
        <v>28804</v>
      </c>
      <c r="C9742" s="75" t="s">
        <v>28805</v>
      </c>
      <c r="D9742" s="75" t="s">
        <v>238</v>
      </c>
      <c r="G9742" s="75" t="s">
        <v>208</v>
      </c>
    </row>
    <row r="9743" spans="1:7" x14ac:dyDescent="0.35">
      <c r="A9743" s="77">
        <v>306421</v>
      </c>
      <c r="B9743" s="75" t="s">
        <v>28806</v>
      </c>
      <c r="C9743" s="75" t="s">
        <v>28807</v>
      </c>
      <c r="D9743" s="75" t="s">
        <v>277</v>
      </c>
      <c r="G9743" s="75" t="s">
        <v>205</v>
      </c>
    </row>
    <row r="9744" spans="1:7" x14ac:dyDescent="0.35">
      <c r="A9744" s="77">
        <v>306422</v>
      </c>
      <c r="B9744" s="75" t="s">
        <v>28808</v>
      </c>
      <c r="C9744" s="75" t="s">
        <v>28809</v>
      </c>
      <c r="D9744" s="75" t="s">
        <v>277</v>
      </c>
      <c r="G9744" s="75" t="s">
        <v>205</v>
      </c>
    </row>
    <row r="9745" spans="1:7" x14ac:dyDescent="0.35">
      <c r="A9745" s="77">
        <v>306423</v>
      </c>
      <c r="B9745" s="75" t="s">
        <v>28810</v>
      </c>
      <c r="C9745" s="75" t="s">
        <v>28811</v>
      </c>
      <c r="D9745" s="75" t="s">
        <v>277</v>
      </c>
      <c r="G9745" s="75" t="s">
        <v>208</v>
      </c>
    </row>
    <row r="9746" spans="1:7" x14ac:dyDescent="0.35">
      <c r="A9746" s="77">
        <v>306424</v>
      </c>
      <c r="B9746" s="75" t="s">
        <v>28812</v>
      </c>
      <c r="C9746" s="75" t="s">
        <v>28813</v>
      </c>
      <c r="D9746" s="75" t="s">
        <v>225</v>
      </c>
      <c r="G9746" s="75" t="s">
        <v>205</v>
      </c>
    </row>
    <row r="9747" spans="1:7" x14ac:dyDescent="0.35">
      <c r="A9747" s="77">
        <v>306425</v>
      </c>
      <c r="B9747" s="75" t="s">
        <v>28814</v>
      </c>
      <c r="C9747" s="75" t="s">
        <v>28815</v>
      </c>
      <c r="D9747" s="75" t="s">
        <v>264</v>
      </c>
      <c r="G9747" s="75" t="s">
        <v>208</v>
      </c>
    </row>
    <row r="9748" spans="1:7" x14ac:dyDescent="0.35">
      <c r="A9748" s="77">
        <v>306426</v>
      </c>
      <c r="B9748" s="75" t="s">
        <v>28816</v>
      </c>
      <c r="C9748" s="75" t="s">
        <v>28817</v>
      </c>
      <c r="D9748" s="75" t="s">
        <v>277</v>
      </c>
      <c r="G9748" s="75" t="s">
        <v>214</v>
      </c>
    </row>
    <row r="9749" spans="1:7" x14ac:dyDescent="0.35">
      <c r="A9749" s="77">
        <v>306427</v>
      </c>
      <c r="B9749" s="75" t="s">
        <v>28818</v>
      </c>
      <c r="C9749" s="75" t="s">
        <v>28819</v>
      </c>
      <c r="D9749" s="75" t="s">
        <v>277</v>
      </c>
      <c r="G9749" s="75" t="s">
        <v>205</v>
      </c>
    </row>
    <row r="9750" spans="1:7" x14ac:dyDescent="0.35">
      <c r="A9750" s="77">
        <v>306428</v>
      </c>
      <c r="B9750" s="75" t="s">
        <v>28820</v>
      </c>
      <c r="C9750" s="75" t="s">
        <v>28821</v>
      </c>
      <c r="D9750" s="75" t="s">
        <v>264</v>
      </c>
      <c r="G9750" s="75" t="s">
        <v>205</v>
      </c>
    </row>
    <row r="9751" spans="1:7" x14ac:dyDescent="0.35">
      <c r="A9751" s="77">
        <v>306429</v>
      </c>
      <c r="B9751" s="75" t="s">
        <v>28822</v>
      </c>
      <c r="C9751" s="75" t="s">
        <v>28823</v>
      </c>
      <c r="D9751" s="75" t="s">
        <v>277</v>
      </c>
      <c r="G9751" s="75" t="s">
        <v>205</v>
      </c>
    </row>
    <row r="9752" spans="1:7" x14ac:dyDescent="0.35">
      <c r="A9752" s="77">
        <v>306430</v>
      </c>
      <c r="B9752" s="75" t="s">
        <v>28824</v>
      </c>
      <c r="C9752" s="75" t="s">
        <v>28825</v>
      </c>
      <c r="D9752" s="75" t="s">
        <v>277</v>
      </c>
      <c r="G9752" s="75" t="s">
        <v>205</v>
      </c>
    </row>
    <row r="9753" spans="1:7" x14ac:dyDescent="0.35">
      <c r="A9753" s="77">
        <v>306431</v>
      </c>
      <c r="B9753" s="75" t="s">
        <v>28826</v>
      </c>
      <c r="C9753" s="75" t="s">
        <v>28827</v>
      </c>
      <c r="D9753" s="75" t="s">
        <v>277</v>
      </c>
      <c r="G9753" s="75" t="s">
        <v>208</v>
      </c>
    </row>
    <row r="9754" spans="1:7" x14ac:dyDescent="0.35">
      <c r="A9754" s="77">
        <v>306432</v>
      </c>
      <c r="B9754" s="75" t="s">
        <v>28828</v>
      </c>
      <c r="C9754" s="75" t="s">
        <v>28829</v>
      </c>
      <c r="D9754" s="75" t="s">
        <v>264</v>
      </c>
      <c r="G9754" s="75" t="s">
        <v>208</v>
      </c>
    </row>
    <row r="9755" spans="1:7" x14ac:dyDescent="0.35">
      <c r="A9755" s="77">
        <v>306433</v>
      </c>
      <c r="B9755" s="75" t="s">
        <v>28830</v>
      </c>
      <c r="C9755" s="75" t="s">
        <v>28831</v>
      </c>
      <c r="D9755" s="75" t="s">
        <v>264</v>
      </c>
      <c r="G9755" s="75" t="s">
        <v>214</v>
      </c>
    </row>
    <row r="9756" spans="1:7" x14ac:dyDescent="0.35">
      <c r="A9756" s="77">
        <v>306434</v>
      </c>
      <c r="B9756" s="75" t="s">
        <v>28832</v>
      </c>
      <c r="C9756" s="75" t="s">
        <v>28833</v>
      </c>
      <c r="D9756" s="75" t="s">
        <v>251</v>
      </c>
      <c r="G9756" s="75" t="s">
        <v>205</v>
      </c>
    </row>
    <row r="9757" spans="1:7" x14ac:dyDescent="0.35">
      <c r="A9757" s="77">
        <v>306435</v>
      </c>
      <c r="B9757" s="75" t="s">
        <v>28834</v>
      </c>
      <c r="C9757" s="75" t="s">
        <v>28835</v>
      </c>
      <c r="D9757" s="75" t="s">
        <v>238</v>
      </c>
      <c r="G9757" s="75" t="s">
        <v>208</v>
      </c>
    </row>
    <row r="9758" spans="1:7" x14ac:dyDescent="0.35">
      <c r="A9758" s="77">
        <v>306436</v>
      </c>
      <c r="B9758" s="75" t="s">
        <v>28836</v>
      </c>
      <c r="C9758" s="75" t="s">
        <v>28837</v>
      </c>
      <c r="D9758" s="75" t="s">
        <v>238</v>
      </c>
      <c r="G9758" s="75" t="s">
        <v>208</v>
      </c>
    </row>
    <row r="9759" spans="1:7" x14ac:dyDescent="0.35">
      <c r="A9759" s="77">
        <v>306437</v>
      </c>
      <c r="B9759" s="75" t="s">
        <v>28838</v>
      </c>
      <c r="C9759" s="75" t="s">
        <v>28839</v>
      </c>
      <c r="D9759" s="75" t="s">
        <v>277</v>
      </c>
      <c r="G9759" s="75" t="s">
        <v>205</v>
      </c>
    </row>
    <row r="9760" spans="1:7" x14ac:dyDescent="0.35">
      <c r="A9760" s="77">
        <v>306438</v>
      </c>
      <c r="B9760" s="75" t="s">
        <v>28840</v>
      </c>
      <c r="C9760" s="75" t="s">
        <v>28841</v>
      </c>
      <c r="D9760" s="75" t="s">
        <v>225</v>
      </c>
      <c r="G9760" s="75" t="s">
        <v>205</v>
      </c>
    </row>
    <row r="9761" spans="1:7" x14ac:dyDescent="0.35">
      <c r="A9761" s="77">
        <v>306439</v>
      </c>
      <c r="B9761" s="75" t="s">
        <v>28842</v>
      </c>
      <c r="C9761" s="75" t="s">
        <v>28843</v>
      </c>
      <c r="D9761" s="75" t="s">
        <v>225</v>
      </c>
      <c r="G9761" s="75" t="s">
        <v>205</v>
      </c>
    </row>
    <row r="9762" spans="1:7" x14ac:dyDescent="0.35">
      <c r="A9762" s="77">
        <v>306440</v>
      </c>
      <c r="B9762" s="75" t="s">
        <v>28844</v>
      </c>
      <c r="C9762" s="75" t="s">
        <v>28845</v>
      </c>
      <c r="D9762" s="75" t="s">
        <v>264</v>
      </c>
      <c r="G9762" s="75" t="s">
        <v>205</v>
      </c>
    </row>
    <row r="9763" spans="1:7" x14ac:dyDescent="0.35">
      <c r="A9763" s="77">
        <v>306441</v>
      </c>
      <c r="B9763" s="75" t="s">
        <v>28846</v>
      </c>
      <c r="C9763" s="75" t="s">
        <v>28847</v>
      </c>
      <c r="D9763" s="75" t="s">
        <v>264</v>
      </c>
      <c r="E9763" s="75" t="s">
        <v>225</v>
      </c>
      <c r="G9763" s="75" t="s">
        <v>205</v>
      </c>
    </row>
    <row r="9764" spans="1:7" x14ac:dyDescent="0.35">
      <c r="A9764" s="77">
        <v>306442</v>
      </c>
      <c r="B9764" s="75" t="s">
        <v>28848</v>
      </c>
      <c r="C9764" s="75" t="s">
        <v>28849</v>
      </c>
      <c r="D9764" s="75" t="s">
        <v>264</v>
      </c>
      <c r="G9764" s="75" t="s">
        <v>205</v>
      </c>
    </row>
    <row r="9765" spans="1:7" x14ac:dyDescent="0.35">
      <c r="A9765" s="77">
        <v>306443</v>
      </c>
      <c r="B9765" s="75" t="s">
        <v>28850</v>
      </c>
      <c r="C9765" s="75" t="s">
        <v>28851</v>
      </c>
      <c r="D9765" s="75" t="s">
        <v>264</v>
      </c>
      <c r="G9765" s="75" t="s">
        <v>205</v>
      </c>
    </row>
    <row r="9766" spans="1:7" x14ac:dyDescent="0.35">
      <c r="A9766" s="77">
        <v>306444</v>
      </c>
      <c r="B9766" s="75" t="s">
        <v>28852</v>
      </c>
      <c r="C9766" s="75" t="s">
        <v>28853</v>
      </c>
      <c r="D9766" s="75" t="s">
        <v>264</v>
      </c>
      <c r="G9766" s="75" t="s">
        <v>205</v>
      </c>
    </row>
    <row r="9767" spans="1:7" x14ac:dyDescent="0.35">
      <c r="A9767" s="77">
        <v>306445</v>
      </c>
      <c r="B9767" s="75" t="s">
        <v>28854</v>
      </c>
      <c r="C9767" s="75" t="s">
        <v>28855</v>
      </c>
      <c r="D9767" s="75" t="s">
        <v>277</v>
      </c>
      <c r="G9767" s="75" t="s">
        <v>208</v>
      </c>
    </row>
    <row r="9768" spans="1:7" x14ac:dyDescent="0.35">
      <c r="A9768" s="77">
        <v>306446</v>
      </c>
      <c r="B9768" s="75" t="s">
        <v>28856</v>
      </c>
      <c r="C9768" s="75" t="s">
        <v>28857</v>
      </c>
      <c r="D9768" s="75" t="s">
        <v>277</v>
      </c>
      <c r="G9768" s="75" t="s">
        <v>205</v>
      </c>
    </row>
    <row r="9769" spans="1:7" x14ac:dyDescent="0.35">
      <c r="A9769" s="77">
        <v>306447</v>
      </c>
      <c r="B9769" s="75" t="s">
        <v>28858</v>
      </c>
      <c r="C9769" s="75" t="s">
        <v>28859</v>
      </c>
      <c r="D9769" s="75" t="s">
        <v>277</v>
      </c>
      <c r="G9769" s="75" t="s">
        <v>208</v>
      </c>
    </row>
    <row r="9770" spans="1:7" x14ac:dyDescent="0.35">
      <c r="A9770" s="77">
        <v>306448</v>
      </c>
      <c r="B9770" s="75" t="s">
        <v>28860</v>
      </c>
      <c r="C9770" s="75" t="s">
        <v>28861</v>
      </c>
      <c r="D9770" s="75" t="s">
        <v>225</v>
      </c>
      <c r="G9770" s="75" t="s">
        <v>208</v>
      </c>
    </row>
    <row r="9771" spans="1:7" x14ac:dyDescent="0.35">
      <c r="A9771" s="77">
        <v>306449</v>
      </c>
      <c r="B9771" s="75" t="s">
        <v>28862</v>
      </c>
      <c r="C9771" s="75" t="s">
        <v>28863</v>
      </c>
      <c r="D9771" s="75" t="s">
        <v>225</v>
      </c>
      <c r="G9771" s="75" t="s">
        <v>208</v>
      </c>
    </row>
    <row r="9772" spans="1:7" x14ac:dyDescent="0.35">
      <c r="A9772" s="77">
        <v>306450</v>
      </c>
      <c r="B9772" s="75" t="s">
        <v>28864</v>
      </c>
      <c r="C9772" s="75" t="s">
        <v>28865</v>
      </c>
      <c r="D9772" s="75" t="s">
        <v>264</v>
      </c>
      <c r="G9772" s="75" t="s">
        <v>205</v>
      </c>
    </row>
    <row r="9773" spans="1:7" x14ac:dyDescent="0.35">
      <c r="A9773" s="77">
        <v>306451</v>
      </c>
      <c r="B9773" s="75" t="s">
        <v>28866</v>
      </c>
      <c r="C9773" s="75" t="s">
        <v>28867</v>
      </c>
      <c r="D9773" s="75" t="s">
        <v>264</v>
      </c>
      <c r="G9773" s="75" t="s">
        <v>205</v>
      </c>
    </row>
    <row r="9774" spans="1:7" x14ac:dyDescent="0.35">
      <c r="A9774" s="77">
        <v>306452</v>
      </c>
      <c r="B9774" s="75" t="s">
        <v>28868</v>
      </c>
      <c r="C9774" s="75" t="s">
        <v>28869</v>
      </c>
      <c r="D9774" s="75" t="s">
        <v>225</v>
      </c>
      <c r="E9774" s="75" t="s">
        <v>251</v>
      </c>
      <c r="G9774" s="75" t="s">
        <v>205</v>
      </c>
    </row>
    <row r="9775" spans="1:7" x14ac:dyDescent="0.35">
      <c r="A9775" s="77">
        <v>306453</v>
      </c>
      <c r="B9775" s="75" t="s">
        <v>28870</v>
      </c>
      <c r="C9775" s="75" t="s">
        <v>28871</v>
      </c>
      <c r="D9775" s="75" t="s">
        <v>225</v>
      </c>
      <c r="E9775" s="75" t="s">
        <v>251</v>
      </c>
      <c r="G9775" s="75" t="s">
        <v>205</v>
      </c>
    </row>
    <row r="9776" spans="1:7" x14ac:dyDescent="0.35">
      <c r="A9776" s="77">
        <v>306454</v>
      </c>
      <c r="B9776" s="75" t="s">
        <v>28872</v>
      </c>
      <c r="C9776" s="75" t="s">
        <v>28873</v>
      </c>
      <c r="D9776" s="75" t="s">
        <v>225</v>
      </c>
      <c r="E9776" s="75" t="s">
        <v>251</v>
      </c>
      <c r="G9776" s="75" t="s">
        <v>205</v>
      </c>
    </row>
    <row r="9777" spans="1:7" x14ac:dyDescent="0.35">
      <c r="A9777" s="77">
        <v>306455</v>
      </c>
      <c r="B9777" s="75" t="s">
        <v>28874</v>
      </c>
      <c r="C9777" s="75" t="s">
        <v>28875</v>
      </c>
      <c r="D9777" s="75" t="s">
        <v>225</v>
      </c>
      <c r="E9777" s="75" t="s">
        <v>251</v>
      </c>
      <c r="G9777" s="75" t="s">
        <v>205</v>
      </c>
    </row>
    <row r="9778" spans="1:7" x14ac:dyDescent="0.35">
      <c r="A9778" s="77">
        <v>306456</v>
      </c>
      <c r="B9778" s="75" t="s">
        <v>28876</v>
      </c>
      <c r="C9778" s="75" t="s">
        <v>28877</v>
      </c>
      <c r="D9778" s="75" t="s">
        <v>225</v>
      </c>
      <c r="E9778" s="75" t="s">
        <v>251</v>
      </c>
      <c r="G9778" s="75" t="s">
        <v>205</v>
      </c>
    </row>
    <row r="9779" spans="1:7" x14ac:dyDescent="0.35">
      <c r="A9779" s="77">
        <v>306457</v>
      </c>
      <c r="B9779" s="75" t="s">
        <v>28878</v>
      </c>
      <c r="C9779" s="75" t="s">
        <v>28879</v>
      </c>
      <c r="D9779" s="75" t="s">
        <v>238</v>
      </c>
      <c r="G9779" s="75" t="s">
        <v>205</v>
      </c>
    </row>
    <row r="9780" spans="1:7" x14ac:dyDescent="0.35">
      <c r="A9780" s="77">
        <v>306458</v>
      </c>
      <c r="B9780" s="75" t="s">
        <v>28880</v>
      </c>
      <c r="C9780" s="75" t="s">
        <v>28881</v>
      </c>
      <c r="D9780" s="75" t="s">
        <v>277</v>
      </c>
      <c r="G9780" s="75" t="s">
        <v>205</v>
      </c>
    </row>
    <row r="9781" spans="1:7" x14ac:dyDescent="0.35">
      <c r="A9781" s="77">
        <v>306459</v>
      </c>
      <c r="B9781" s="75" t="s">
        <v>28882</v>
      </c>
      <c r="C9781" s="75" t="s">
        <v>28883</v>
      </c>
      <c r="D9781" s="75" t="s">
        <v>264</v>
      </c>
      <c r="G9781" s="75" t="s">
        <v>205</v>
      </c>
    </row>
    <row r="9782" spans="1:7" x14ac:dyDescent="0.35">
      <c r="A9782" s="77">
        <v>306460</v>
      </c>
      <c r="B9782" s="75" t="s">
        <v>28884</v>
      </c>
      <c r="C9782" s="75" t="s">
        <v>28885</v>
      </c>
      <c r="D9782" s="75" t="s">
        <v>264</v>
      </c>
      <c r="G9782" s="75" t="s">
        <v>205</v>
      </c>
    </row>
    <row r="9783" spans="1:7" x14ac:dyDescent="0.35">
      <c r="A9783" s="77">
        <v>306461</v>
      </c>
      <c r="B9783" s="75" t="s">
        <v>28886</v>
      </c>
      <c r="C9783" s="75" t="s">
        <v>28887</v>
      </c>
      <c r="D9783" s="75" t="s">
        <v>264</v>
      </c>
      <c r="G9783" s="75" t="s">
        <v>210</v>
      </c>
    </row>
    <row r="9784" spans="1:7" x14ac:dyDescent="0.35">
      <c r="A9784" s="77">
        <v>306462</v>
      </c>
      <c r="B9784" s="75" t="s">
        <v>28888</v>
      </c>
      <c r="C9784" s="75" t="s">
        <v>28889</v>
      </c>
      <c r="D9784" s="75" t="s">
        <v>264</v>
      </c>
      <c r="G9784" s="75" t="s">
        <v>210</v>
      </c>
    </row>
    <row r="9785" spans="1:7" x14ac:dyDescent="0.35">
      <c r="A9785" s="77">
        <v>306463</v>
      </c>
      <c r="B9785" s="75" t="s">
        <v>28890</v>
      </c>
      <c r="C9785" s="75" t="s">
        <v>28891</v>
      </c>
      <c r="D9785" s="75" t="s">
        <v>264</v>
      </c>
      <c r="G9785" s="75" t="s">
        <v>210</v>
      </c>
    </row>
    <row r="9786" spans="1:7" x14ac:dyDescent="0.35">
      <c r="A9786" s="77">
        <v>306464</v>
      </c>
      <c r="B9786" s="75" t="s">
        <v>28892</v>
      </c>
      <c r="C9786" s="75" t="s">
        <v>28893</v>
      </c>
      <c r="D9786" s="75" t="s">
        <v>264</v>
      </c>
      <c r="G9786" s="75" t="s">
        <v>205</v>
      </c>
    </row>
    <row r="9787" spans="1:7" x14ac:dyDescent="0.35">
      <c r="A9787" s="77">
        <v>306465</v>
      </c>
      <c r="B9787" s="75" t="s">
        <v>28894</v>
      </c>
      <c r="C9787" s="75" t="s">
        <v>28895</v>
      </c>
      <c r="D9787" s="75" t="s">
        <v>264</v>
      </c>
      <c r="G9787" s="75" t="s">
        <v>205</v>
      </c>
    </row>
    <row r="9788" spans="1:7" x14ac:dyDescent="0.35">
      <c r="A9788" s="77">
        <v>306466</v>
      </c>
      <c r="B9788" s="75" t="s">
        <v>28896</v>
      </c>
      <c r="C9788" s="75" t="s">
        <v>28897</v>
      </c>
      <c r="D9788" s="75" t="s">
        <v>264</v>
      </c>
      <c r="E9788" s="75" t="s">
        <v>277</v>
      </c>
      <c r="G9788" s="75" t="s">
        <v>208</v>
      </c>
    </row>
    <row r="9789" spans="1:7" x14ac:dyDescent="0.35">
      <c r="A9789" s="77">
        <v>306467</v>
      </c>
      <c r="B9789" s="75" t="s">
        <v>28898</v>
      </c>
      <c r="C9789" s="75" t="s">
        <v>28899</v>
      </c>
      <c r="D9789" s="75" t="s">
        <v>264</v>
      </c>
      <c r="G9789" s="75" t="s">
        <v>205</v>
      </c>
    </row>
    <row r="9790" spans="1:7" x14ac:dyDescent="0.35">
      <c r="A9790" s="77">
        <v>306468</v>
      </c>
      <c r="B9790" s="75" t="s">
        <v>28900</v>
      </c>
      <c r="C9790" s="75" t="s">
        <v>28901</v>
      </c>
      <c r="D9790" s="75" t="s">
        <v>277</v>
      </c>
      <c r="G9790" s="75" t="s">
        <v>208</v>
      </c>
    </row>
    <row r="9791" spans="1:7" x14ac:dyDescent="0.35">
      <c r="A9791" s="77">
        <v>306469</v>
      </c>
      <c r="B9791" s="75" t="s">
        <v>28902</v>
      </c>
      <c r="C9791" s="75" t="s">
        <v>28903</v>
      </c>
      <c r="D9791" s="75" t="s">
        <v>238</v>
      </c>
      <c r="G9791" s="75" t="s">
        <v>208</v>
      </c>
    </row>
    <row r="9792" spans="1:7" x14ac:dyDescent="0.35">
      <c r="A9792" s="77">
        <v>306470</v>
      </c>
      <c r="B9792" s="75" t="s">
        <v>28904</v>
      </c>
      <c r="C9792" s="75" t="s">
        <v>28905</v>
      </c>
      <c r="D9792" s="75" t="s">
        <v>264</v>
      </c>
      <c r="G9792" s="75" t="s">
        <v>205</v>
      </c>
    </row>
    <row r="9793" spans="1:7" x14ac:dyDescent="0.35">
      <c r="A9793" s="77">
        <v>306471</v>
      </c>
      <c r="B9793" s="75" t="s">
        <v>28906</v>
      </c>
      <c r="C9793" s="75" t="s">
        <v>28907</v>
      </c>
      <c r="D9793" s="75" t="s">
        <v>264</v>
      </c>
      <c r="G9793" s="75" t="s">
        <v>205</v>
      </c>
    </row>
    <row r="9794" spans="1:7" x14ac:dyDescent="0.35">
      <c r="A9794" s="77">
        <v>306472</v>
      </c>
      <c r="B9794" s="75" t="s">
        <v>28908</v>
      </c>
      <c r="C9794" s="75" t="s">
        <v>28909</v>
      </c>
      <c r="D9794" s="75" t="s">
        <v>264</v>
      </c>
      <c r="G9794" s="75" t="s">
        <v>214</v>
      </c>
    </row>
    <row r="9795" spans="1:7" x14ac:dyDescent="0.35">
      <c r="A9795" s="77">
        <v>306473</v>
      </c>
      <c r="B9795" s="75" t="s">
        <v>28910</v>
      </c>
      <c r="C9795" s="75" t="s">
        <v>28911</v>
      </c>
      <c r="D9795" s="75" t="s">
        <v>264</v>
      </c>
      <c r="G9795" s="75" t="s">
        <v>212</v>
      </c>
    </row>
    <row r="9796" spans="1:7" x14ac:dyDescent="0.35">
      <c r="A9796" s="77">
        <v>306474</v>
      </c>
      <c r="B9796" s="75" t="s">
        <v>28912</v>
      </c>
      <c r="C9796" s="75" t="s">
        <v>28913</v>
      </c>
      <c r="D9796" s="75" t="s">
        <v>277</v>
      </c>
      <c r="G9796" s="75" t="s">
        <v>208</v>
      </c>
    </row>
    <row r="9797" spans="1:7" x14ac:dyDescent="0.35">
      <c r="A9797" s="77">
        <v>306475</v>
      </c>
      <c r="B9797" s="75" t="s">
        <v>28914</v>
      </c>
      <c r="C9797" s="75" t="s">
        <v>28915</v>
      </c>
      <c r="D9797" s="75" t="s">
        <v>277</v>
      </c>
      <c r="G9797" s="75" t="s">
        <v>208</v>
      </c>
    </row>
    <row r="9798" spans="1:7" x14ac:dyDescent="0.35">
      <c r="A9798" s="77">
        <v>306476</v>
      </c>
      <c r="B9798" s="75" t="s">
        <v>28916</v>
      </c>
      <c r="C9798" s="75" t="s">
        <v>28917</v>
      </c>
      <c r="D9798" s="75" t="s">
        <v>277</v>
      </c>
      <c r="G9798" s="75" t="s">
        <v>214</v>
      </c>
    </row>
    <row r="9799" spans="1:7" x14ac:dyDescent="0.35">
      <c r="A9799" s="77">
        <v>306477</v>
      </c>
      <c r="B9799" s="75" t="s">
        <v>28918</v>
      </c>
      <c r="C9799" s="75" t="s">
        <v>28919</v>
      </c>
      <c r="D9799" s="75" t="s">
        <v>264</v>
      </c>
      <c r="G9799" s="75" t="s">
        <v>208</v>
      </c>
    </row>
    <row r="9800" spans="1:7" x14ac:dyDescent="0.35">
      <c r="A9800" s="77">
        <v>306478</v>
      </c>
      <c r="B9800" s="75" t="s">
        <v>28920</v>
      </c>
      <c r="C9800" s="75" t="s">
        <v>28921</v>
      </c>
      <c r="D9800" s="75" t="s">
        <v>225</v>
      </c>
      <c r="G9800" s="75" t="s">
        <v>208</v>
      </c>
    </row>
    <row r="9801" spans="1:7" x14ac:dyDescent="0.35">
      <c r="A9801" s="77">
        <v>306479</v>
      </c>
      <c r="B9801" s="75" t="s">
        <v>28922</v>
      </c>
      <c r="C9801" s="75" t="s">
        <v>28923</v>
      </c>
      <c r="D9801" s="75" t="s">
        <v>225</v>
      </c>
      <c r="G9801" s="75" t="s">
        <v>208</v>
      </c>
    </row>
    <row r="9802" spans="1:7" x14ac:dyDescent="0.35">
      <c r="A9802" s="77">
        <v>306480</v>
      </c>
      <c r="B9802" s="75" t="s">
        <v>28924</v>
      </c>
      <c r="C9802" s="75" t="s">
        <v>28925</v>
      </c>
      <c r="D9802" s="75" t="s">
        <v>264</v>
      </c>
      <c r="G9802" s="75" t="s">
        <v>205</v>
      </c>
    </row>
    <row r="9803" spans="1:7" x14ac:dyDescent="0.35">
      <c r="A9803" s="77">
        <v>306481</v>
      </c>
      <c r="B9803" s="75" t="s">
        <v>28926</v>
      </c>
      <c r="C9803" s="75" t="s">
        <v>28927</v>
      </c>
      <c r="D9803" s="75" t="s">
        <v>277</v>
      </c>
      <c r="G9803" s="75" t="s">
        <v>208</v>
      </c>
    </row>
    <row r="9804" spans="1:7" x14ac:dyDescent="0.35">
      <c r="A9804" s="77">
        <v>306482</v>
      </c>
      <c r="B9804" s="75" t="s">
        <v>28928</v>
      </c>
      <c r="C9804" s="75" t="s">
        <v>28929</v>
      </c>
      <c r="D9804" s="75" t="s">
        <v>225</v>
      </c>
      <c r="G9804" s="75" t="s">
        <v>205</v>
      </c>
    </row>
    <row r="9805" spans="1:7" x14ac:dyDescent="0.35">
      <c r="A9805" s="77">
        <v>306483</v>
      </c>
      <c r="B9805" s="75" t="s">
        <v>28930</v>
      </c>
      <c r="C9805" s="75" t="s">
        <v>28931</v>
      </c>
      <c r="D9805" s="75" t="s">
        <v>225</v>
      </c>
      <c r="G9805" s="75" t="s">
        <v>205</v>
      </c>
    </row>
    <row r="9806" spans="1:7" x14ac:dyDescent="0.35">
      <c r="A9806" s="77">
        <v>306484</v>
      </c>
      <c r="B9806" s="75" t="s">
        <v>28932</v>
      </c>
      <c r="C9806" s="75" t="s">
        <v>28933</v>
      </c>
      <c r="D9806" s="75" t="s">
        <v>225</v>
      </c>
      <c r="G9806" s="75" t="s">
        <v>205</v>
      </c>
    </row>
    <row r="9807" spans="1:7" x14ac:dyDescent="0.35">
      <c r="A9807" s="77">
        <v>306485</v>
      </c>
      <c r="B9807" s="75" t="s">
        <v>28934</v>
      </c>
      <c r="C9807" s="75" t="s">
        <v>28935</v>
      </c>
      <c r="D9807" s="75" t="s">
        <v>225</v>
      </c>
      <c r="G9807" s="75" t="s">
        <v>205</v>
      </c>
    </row>
    <row r="9808" spans="1:7" x14ac:dyDescent="0.35">
      <c r="A9808" s="77">
        <v>306486</v>
      </c>
      <c r="B9808" s="75" t="s">
        <v>28936</v>
      </c>
      <c r="C9808" s="75" t="s">
        <v>28937</v>
      </c>
      <c r="D9808" s="75" t="s">
        <v>264</v>
      </c>
      <c r="G9808" s="75" t="s">
        <v>212</v>
      </c>
    </row>
    <row r="9809" spans="1:7" x14ac:dyDescent="0.35">
      <c r="A9809" s="77">
        <v>306487</v>
      </c>
      <c r="B9809" s="75" t="s">
        <v>28938</v>
      </c>
      <c r="C9809" s="75" t="s">
        <v>28939</v>
      </c>
      <c r="D9809" s="75" t="s">
        <v>225</v>
      </c>
      <c r="G9809" s="75" t="s">
        <v>205</v>
      </c>
    </row>
    <row r="9810" spans="1:7" x14ac:dyDescent="0.35">
      <c r="A9810" s="77">
        <v>306488</v>
      </c>
      <c r="B9810" s="75" t="s">
        <v>28940</v>
      </c>
      <c r="C9810" s="75" t="s">
        <v>20042</v>
      </c>
      <c r="D9810" s="75" t="s">
        <v>225</v>
      </c>
      <c r="E9810" s="75" t="s">
        <v>277</v>
      </c>
      <c r="G9810" s="75" t="s">
        <v>205</v>
      </c>
    </row>
    <row r="9811" spans="1:7" x14ac:dyDescent="0.35">
      <c r="A9811" s="77">
        <v>306489</v>
      </c>
      <c r="B9811" s="75" t="s">
        <v>28941</v>
      </c>
      <c r="C9811" s="75" t="s">
        <v>20045</v>
      </c>
      <c r="D9811" s="75" t="s">
        <v>277</v>
      </c>
      <c r="G9811" s="75" t="s">
        <v>208</v>
      </c>
    </row>
    <row r="9812" spans="1:7" x14ac:dyDescent="0.35">
      <c r="A9812" s="77">
        <v>306490</v>
      </c>
      <c r="B9812" s="75" t="s">
        <v>28942</v>
      </c>
      <c r="C9812" s="75" t="s">
        <v>20048</v>
      </c>
      <c r="D9812" s="75" t="s">
        <v>264</v>
      </c>
      <c r="G9812" s="75" t="s">
        <v>208</v>
      </c>
    </row>
    <row r="9813" spans="1:7" x14ac:dyDescent="0.35">
      <c r="A9813" s="77">
        <v>306491</v>
      </c>
      <c r="B9813" s="75" t="s">
        <v>28943</v>
      </c>
      <c r="C9813" s="75" t="s">
        <v>20051</v>
      </c>
      <c r="D9813" s="75" t="s">
        <v>277</v>
      </c>
      <c r="G9813" s="75" t="s">
        <v>205</v>
      </c>
    </row>
    <row r="9814" spans="1:7" x14ac:dyDescent="0.35">
      <c r="A9814" s="77">
        <v>306492</v>
      </c>
      <c r="B9814" s="75" t="s">
        <v>28944</v>
      </c>
      <c r="C9814" s="75" t="s">
        <v>20054</v>
      </c>
      <c r="D9814" s="75" t="s">
        <v>264</v>
      </c>
      <c r="G9814" s="75" t="s">
        <v>205</v>
      </c>
    </row>
    <row r="9815" spans="1:7" x14ac:dyDescent="0.35">
      <c r="A9815" s="77">
        <v>306493</v>
      </c>
      <c r="B9815" s="75" t="s">
        <v>28945</v>
      </c>
      <c r="C9815" s="75" t="s">
        <v>20057</v>
      </c>
      <c r="D9815" s="75" t="s">
        <v>264</v>
      </c>
      <c r="G9815" s="75" t="s">
        <v>212</v>
      </c>
    </row>
    <row r="9816" spans="1:7" x14ac:dyDescent="0.35">
      <c r="A9816" s="77">
        <v>306494</v>
      </c>
      <c r="B9816" s="75" t="s">
        <v>28946</v>
      </c>
      <c r="C9816" s="75" t="s">
        <v>28947</v>
      </c>
      <c r="D9816" s="75" t="s">
        <v>225</v>
      </c>
      <c r="G9816" s="75" t="s">
        <v>205</v>
      </c>
    </row>
    <row r="9817" spans="1:7" x14ac:dyDescent="0.35">
      <c r="A9817" s="77">
        <v>306495</v>
      </c>
      <c r="B9817" s="75" t="s">
        <v>28948</v>
      </c>
      <c r="C9817" s="75" t="s">
        <v>25068</v>
      </c>
      <c r="D9817" s="75" t="s">
        <v>225</v>
      </c>
      <c r="E9817" s="75" t="s">
        <v>264</v>
      </c>
      <c r="G9817" s="75" t="s">
        <v>208</v>
      </c>
    </row>
    <row r="9818" spans="1:7" x14ac:dyDescent="0.35">
      <c r="A9818" s="77">
        <v>306496</v>
      </c>
      <c r="B9818" s="75" t="s">
        <v>28949</v>
      </c>
      <c r="C9818" s="75" t="s">
        <v>28950</v>
      </c>
      <c r="D9818" s="75" t="s">
        <v>225</v>
      </c>
      <c r="E9818" s="75" t="s">
        <v>264</v>
      </c>
      <c r="G9818" s="75" t="s">
        <v>205</v>
      </c>
    </row>
    <row r="9819" spans="1:7" x14ac:dyDescent="0.35">
      <c r="A9819" s="77">
        <v>306497</v>
      </c>
      <c r="B9819" s="75" t="s">
        <v>28951</v>
      </c>
      <c r="C9819" s="75" t="s">
        <v>28952</v>
      </c>
      <c r="D9819" s="75" t="s">
        <v>264</v>
      </c>
      <c r="G9819" s="75" t="s">
        <v>205</v>
      </c>
    </row>
    <row r="9820" spans="1:7" x14ac:dyDescent="0.35">
      <c r="A9820" s="77">
        <v>306498</v>
      </c>
      <c r="B9820" s="75" t="s">
        <v>28953</v>
      </c>
      <c r="C9820" s="75" t="s">
        <v>28954</v>
      </c>
      <c r="D9820" s="75" t="s">
        <v>238</v>
      </c>
      <c r="G9820" s="75" t="s">
        <v>205</v>
      </c>
    </row>
    <row r="9821" spans="1:7" x14ac:dyDescent="0.35">
      <c r="A9821" s="77">
        <v>306499</v>
      </c>
      <c r="B9821" s="75" t="s">
        <v>28955</v>
      </c>
      <c r="C9821" s="75" t="s">
        <v>28956</v>
      </c>
      <c r="D9821" s="75" t="s">
        <v>225</v>
      </c>
      <c r="G9821" s="75" t="s">
        <v>208</v>
      </c>
    </row>
    <row r="9822" spans="1:7" x14ac:dyDescent="0.35">
      <c r="A9822" s="77">
        <v>306500</v>
      </c>
      <c r="B9822" s="75" t="s">
        <v>28957</v>
      </c>
      <c r="C9822" s="75" t="s">
        <v>28958</v>
      </c>
      <c r="D9822" s="75" t="s">
        <v>264</v>
      </c>
      <c r="G9822" s="75" t="s">
        <v>212</v>
      </c>
    </row>
    <row r="9823" spans="1:7" x14ac:dyDescent="0.35">
      <c r="A9823" s="77">
        <v>306501</v>
      </c>
      <c r="B9823" s="75" t="s">
        <v>28959</v>
      </c>
      <c r="C9823" s="75" t="s">
        <v>28960</v>
      </c>
      <c r="D9823" s="75" t="s">
        <v>264</v>
      </c>
      <c r="G9823" s="75" t="s">
        <v>208</v>
      </c>
    </row>
    <row r="9824" spans="1:7" x14ac:dyDescent="0.35">
      <c r="A9824" s="77">
        <v>306502</v>
      </c>
      <c r="B9824" s="75" t="s">
        <v>28961</v>
      </c>
      <c r="C9824" s="75" t="s">
        <v>20036</v>
      </c>
      <c r="D9824" s="75" t="s">
        <v>264</v>
      </c>
      <c r="E9824" s="75" t="s">
        <v>277</v>
      </c>
      <c r="G9824" s="75" t="s">
        <v>208</v>
      </c>
    </row>
    <row r="9825" spans="1:7" x14ac:dyDescent="0.35">
      <c r="A9825" s="77">
        <v>306503</v>
      </c>
      <c r="B9825" s="75" t="s">
        <v>28962</v>
      </c>
      <c r="C9825" s="75" t="s">
        <v>20039</v>
      </c>
      <c r="D9825" s="75" t="s">
        <v>264</v>
      </c>
      <c r="G9825" s="75" t="s">
        <v>205</v>
      </c>
    </row>
    <row r="9826" spans="1:7" x14ac:dyDescent="0.35">
      <c r="A9826" s="77">
        <v>306504</v>
      </c>
      <c r="B9826" s="75" t="s">
        <v>28963</v>
      </c>
      <c r="C9826" s="75" t="s">
        <v>28867</v>
      </c>
      <c r="D9826" s="75" t="s">
        <v>264</v>
      </c>
      <c r="G9826" s="75" t="s">
        <v>205</v>
      </c>
    </row>
    <row r="9827" spans="1:7" x14ac:dyDescent="0.35">
      <c r="A9827" s="77">
        <v>306505</v>
      </c>
      <c r="B9827" s="75" t="s">
        <v>28964</v>
      </c>
      <c r="C9827" s="75" t="s">
        <v>28965</v>
      </c>
      <c r="D9827" s="75" t="s">
        <v>225</v>
      </c>
      <c r="G9827" s="75" t="s">
        <v>214</v>
      </c>
    </row>
    <row r="9828" spans="1:7" x14ac:dyDescent="0.35">
      <c r="A9828" s="77">
        <v>306506</v>
      </c>
      <c r="B9828" s="75" t="s">
        <v>28966</v>
      </c>
      <c r="C9828" s="75" t="s">
        <v>28967</v>
      </c>
      <c r="D9828" s="75" t="s">
        <v>225</v>
      </c>
      <c r="E9828" s="75" t="s">
        <v>264</v>
      </c>
      <c r="G9828" s="75" t="s">
        <v>208</v>
      </c>
    </row>
    <row r="9829" spans="1:7" x14ac:dyDescent="0.35">
      <c r="A9829" s="77">
        <v>306507</v>
      </c>
      <c r="B9829" s="75" t="s">
        <v>28968</v>
      </c>
      <c r="C9829" s="75" t="s">
        <v>28969</v>
      </c>
      <c r="D9829" s="75" t="s">
        <v>225</v>
      </c>
      <c r="E9829" s="75" t="s">
        <v>264</v>
      </c>
      <c r="G9829" s="75" t="s">
        <v>205</v>
      </c>
    </row>
    <row r="9830" spans="1:7" x14ac:dyDescent="0.35">
      <c r="A9830" s="77">
        <v>306508</v>
      </c>
      <c r="B9830" s="75" t="s">
        <v>28970</v>
      </c>
      <c r="C9830" s="75" t="s">
        <v>20206</v>
      </c>
      <c r="D9830" s="75" t="s">
        <v>225</v>
      </c>
      <c r="G9830" s="75" t="s">
        <v>205</v>
      </c>
    </row>
    <row r="9831" spans="1:7" x14ac:dyDescent="0.35">
      <c r="A9831" s="77">
        <v>306509</v>
      </c>
      <c r="B9831" s="75" t="s">
        <v>28971</v>
      </c>
      <c r="C9831" s="75" t="s">
        <v>28972</v>
      </c>
      <c r="D9831" s="75" t="s">
        <v>264</v>
      </c>
      <c r="G9831" s="75" t="s">
        <v>205</v>
      </c>
    </row>
    <row r="9832" spans="1:7" x14ac:dyDescent="0.35">
      <c r="A9832" s="77">
        <v>306510</v>
      </c>
      <c r="B9832" s="75" t="s">
        <v>28973</v>
      </c>
      <c r="C9832" s="75" t="s">
        <v>28974</v>
      </c>
      <c r="D9832" s="75" t="s">
        <v>251</v>
      </c>
      <c r="G9832" s="75" t="s">
        <v>205</v>
      </c>
    </row>
    <row r="9833" spans="1:7" x14ac:dyDescent="0.35">
      <c r="A9833" s="77">
        <v>306511</v>
      </c>
      <c r="B9833" s="75" t="s">
        <v>28975</v>
      </c>
      <c r="C9833" s="75" t="s">
        <v>28976</v>
      </c>
      <c r="D9833" s="75" t="s">
        <v>251</v>
      </c>
      <c r="G9833" s="75" t="s">
        <v>208</v>
      </c>
    </row>
    <row r="9834" spans="1:7" x14ac:dyDescent="0.35">
      <c r="A9834" s="77">
        <v>306512</v>
      </c>
      <c r="B9834" s="75" t="s">
        <v>28977</v>
      </c>
      <c r="C9834" s="75" t="s">
        <v>28978</v>
      </c>
      <c r="D9834" s="75" t="s">
        <v>264</v>
      </c>
      <c r="G9834" s="75" t="s">
        <v>208</v>
      </c>
    </row>
    <row r="9835" spans="1:7" x14ac:dyDescent="0.35">
      <c r="A9835" s="77">
        <v>306513</v>
      </c>
      <c r="B9835" s="75" t="s">
        <v>28979</v>
      </c>
      <c r="C9835" s="75" t="s">
        <v>28865</v>
      </c>
      <c r="D9835" s="75" t="s">
        <v>264</v>
      </c>
      <c r="G9835" s="75" t="s">
        <v>205</v>
      </c>
    </row>
    <row r="9836" spans="1:7" x14ac:dyDescent="0.35">
      <c r="A9836" s="77">
        <v>306514</v>
      </c>
      <c r="B9836" s="75" t="s">
        <v>28980</v>
      </c>
      <c r="C9836" s="75" t="s">
        <v>28981</v>
      </c>
      <c r="D9836" s="75" t="s">
        <v>277</v>
      </c>
      <c r="G9836" s="75" t="s">
        <v>212</v>
      </c>
    </row>
    <row r="9837" spans="1:7" x14ac:dyDescent="0.35">
      <c r="A9837" s="77">
        <v>306515</v>
      </c>
      <c r="B9837" s="75" t="s">
        <v>28982</v>
      </c>
      <c r="C9837" s="75" t="s">
        <v>28983</v>
      </c>
      <c r="D9837" s="75" t="s">
        <v>277</v>
      </c>
      <c r="G9837" s="75" t="s">
        <v>208</v>
      </c>
    </row>
    <row r="9838" spans="1:7" x14ac:dyDescent="0.35">
      <c r="A9838" s="77">
        <v>306516</v>
      </c>
      <c r="B9838" s="75" t="s">
        <v>28984</v>
      </c>
      <c r="C9838" s="75" t="s">
        <v>28985</v>
      </c>
      <c r="D9838" s="75" t="s">
        <v>277</v>
      </c>
      <c r="G9838" s="75" t="s">
        <v>214</v>
      </c>
    </row>
    <row r="9839" spans="1:7" x14ac:dyDescent="0.35">
      <c r="A9839" s="77">
        <v>306517</v>
      </c>
      <c r="B9839" s="75" t="s">
        <v>28986</v>
      </c>
      <c r="C9839" s="75" t="s">
        <v>29202</v>
      </c>
      <c r="D9839" s="75" t="s">
        <v>264</v>
      </c>
      <c r="G9839" s="75" t="s">
        <v>214</v>
      </c>
    </row>
    <row r="9840" spans="1:7" x14ac:dyDescent="0.35">
      <c r="A9840" s="77">
        <v>306518</v>
      </c>
      <c r="B9840" s="75" t="s">
        <v>28987</v>
      </c>
      <c r="C9840" s="75" t="s">
        <v>28988</v>
      </c>
      <c r="D9840" s="75" t="s">
        <v>264</v>
      </c>
      <c r="G9840" s="75" t="s">
        <v>205</v>
      </c>
    </row>
    <row r="9841" spans="1:7" x14ac:dyDescent="0.35">
      <c r="A9841" s="77">
        <v>306519</v>
      </c>
      <c r="B9841" s="75" t="s">
        <v>28989</v>
      </c>
      <c r="C9841" s="75" t="s">
        <v>28990</v>
      </c>
      <c r="D9841" s="75" t="s">
        <v>238</v>
      </c>
      <c r="G9841" s="75" t="s">
        <v>208</v>
      </c>
    </row>
    <row r="9842" spans="1:7" x14ac:dyDescent="0.35">
      <c r="A9842" s="77">
        <v>306520</v>
      </c>
      <c r="B9842" s="75" t="s">
        <v>28991</v>
      </c>
      <c r="C9842" s="75" t="s">
        <v>28992</v>
      </c>
      <c r="D9842" s="75" t="s">
        <v>225</v>
      </c>
      <c r="G9842" s="75" t="s">
        <v>205</v>
      </c>
    </row>
    <row r="9843" spans="1:7" x14ac:dyDescent="0.35">
      <c r="A9843" s="77">
        <v>306521</v>
      </c>
      <c r="B9843" s="75" t="s">
        <v>28993</v>
      </c>
      <c r="C9843" s="75" t="s">
        <v>28994</v>
      </c>
      <c r="D9843" s="75" t="s">
        <v>264</v>
      </c>
      <c r="G9843" s="75" t="s">
        <v>208</v>
      </c>
    </row>
    <row r="9844" spans="1:7" x14ac:dyDescent="0.35">
      <c r="A9844" s="77">
        <v>306522</v>
      </c>
      <c r="B9844" s="75" t="s">
        <v>28995</v>
      </c>
      <c r="C9844" s="75" t="s">
        <v>28996</v>
      </c>
      <c r="D9844" s="75" t="s">
        <v>264</v>
      </c>
      <c r="G9844" s="75" t="s">
        <v>208</v>
      </c>
    </row>
    <row r="9845" spans="1:7" x14ac:dyDescent="0.35">
      <c r="A9845" s="77">
        <v>306523</v>
      </c>
      <c r="B9845" s="75" t="s">
        <v>28997</v>
      </c>
      <c r="C9845" s="75" t="s">
        <v>28998</v>
      </c>
      <c r="D9845" s="75" t="s">
        <v>264</v>
      </c>
      <c r="G9845" s="75" t="s">
        <v>208</v>
      </c>
    </row>
    <row r="9846" spans="1:7" x14ac:dyDescent="0.35">
      <c r="A9846" s="77">
        <v>306524</v>
      </c>
      <c r="B9846" s="75" t="s">
        <v>28999</v>
      </c>
      <c r="C9846" s="75" t="s">
        <v>29000</v>
      </c>
      <c r="D9846" s="75" t="s">
        <v>264</v>
      </c>
      <c r="G9846" s="75" t="s">
        <v>205</v>
      </c>
    </row>
    <row r="9847" spans="1:7" x14ac:dyDescent="0.35">
      <c r="A9847" s="77">
        <v>306525</v>
      </c>
      <c r="B9847" s="75" t="s">
        <v>29001</v>
      </c>
      <c r="C9847" s="75" t="s">
        <v>29002</v>
      </c>
      <c r="D9847" s="75" t="s">
        <v>264</v>
      </c>
      <c r="G9847" s="75" t="s">
        <v>205</v>
      </c>
    </row>
    <row r="9848" spans="1:7" x14ac:dyDescent="0.35">
      <c r="A9848" s="77">
        <v>306526</v>
      </c>
      <c r="B9848" s="75" t="s">
        <v>29003</v>
      </c>
      <c r="C9848" s="75" t="s">
        <v>29004</v>
      </c>
      <c r="D9848" s="75" t="s">
        <v>277</v>
      </c>
      <c r="G9848" s="75" t="s">
        <v>205</v>
      </c>
    </row>
    <row r="9849" spans="1:7" x14ac:dyDescent="0.35">
      <c r="A9849" s="77">
        <v>306527</v>
      </c>
      <c r="B9849" s="75" t="s">
        <v>29005</v>
      </c>
      <c r="C9849" s="75" t="s">
        <v>29006</v>
      </c>
      <c r="D9849" s="75" t="s">
        <v>264</v>
      </c>
      <c r="E9849" s="75" t="s">
        <v>251</v>
      </c>
      <c r="F9849" s="75" t="s">
        <v>277</v>
      </c>
      <c r="G9849" s="75" t="s">
        <v>205</v>
      </c>
    </row>
    <row r="9850" spans="1:7" x14ac:dyDescent="0.35">
      <c r="A9850" s="77">
        <v>306528</v>
      </c>
      <c r="B9850" s="75" t="s">
        <v>29007</v>
      </c>
      <c r="C9850" s="75" t="s">
        <v>29008</v>
      </c>
      <c r="D9850" s="75" t="s">
        <v>251</v>
      </c>
      <c r="G9850" s="75" t="s">
        <v>205</v>
      </c>
    </row>
    <row r="9851" spans="1:7" x14ac:dyDescent="0.35">
      <c r="A9851" s="77">
        <v>306529</v>
      </c>
      <c r="B9851" s="75" t="s">
        <v>29009</v>
      </c>
      <c r="C9851" s="75" t="s">
        <v>29010</v>
      </c>
      <c r="D9851" s="75" t="s">
        <v>225</v>
      </c>
      <c r="G9851" s="75" t="s">
        <v>208</v>
      </c>
    </row>
    <row r="9852" spans="1:7" x14ac:dyDescent="0.35">
      <c r="A9852" s="77">
        <v>306530</v>
      </c>
      <c r="B9852" s="75" t="s">
        <v>29011</v>
      </c>
      <c r="C9852" s="75" t="s">
        <v>29012</v>
      </c>
      <c r="D9852" s="75" t="s">
        <v>225</v>
      </c>
      <c r="G9852" s="75" t="s">
        <v>208</v>
      </c>
    </row>
    <row r="9853" spans="1:7" x14ac:dyDescent="0.35">
      <c r="A9853" s="77">
        <v>306531</v>
      </c>
      <c r="B9853" s="75" t="s">
        <v>29013</v>
      </c>
      <c r="C9853" s="75" t="s">
        <v>29014</v>
      </c>
      <c r="D9853" s="75" t="s">
        <v>238</v>
      </c>
      <c r="G9853" s="75" t="s">
        <v>208</v>
      </c>
    </row>
    <row r="9854" spans="1:7" x14ac:dyDescent="0.35">
      <c r="A9854" s="77">
        <v>306532</v>
      </c>
      <c r="B9854" s="75" t="s">
        <v>29015</v>
      </c>
      <c r="C9854" s="75" t="s">
        <v>29016</v>
      </c>
      <c r="D9854" s="75" t="s">
        <v>251</v>
      </c>
      <c r="G9854" s="75" t="s">
        <v>208</v>
      </c>
    </row>
    <row r="9855" spans="1:7" x14ac:dyDescent="0.35">
      <c r="A9855" s="77">
        <v>306533</v>
      </c>
      <c r="B9855" s="75" t="s">
        <v>29017</v>
      </c>
      <c r="C9855" s="75" t="s">
        <v>29018</v>
      </c>
      <c r="D9855" s="75" t="s">
        <v>277</v>
      </c>
      <c r="G9855" s="75" t="s">
        <v>208</v>
      </c>
    </row>
    <row r="9856" spans="1:7" x14ac:dyDescent="0.35">
      <c r="A9856" s="77">
        <v>306534</v>
      </c>
      <c r="B9856" s="75" t="s">
        <v>29019</v>
      </c>
      <c r="C9856" s="75" t="s">
        <v>29020</v>
      </c>
      <c r="D9856" s="75" t="s">
        <v>264</v>
      </c>
      <c r="G9856" s="75" t="s">
        <v>208</v>
      </c>
    </row>
    <row r="9857" spans="1:7" x14ac:dyDescent="0.35">
      <c r="A9857" s="77">
        <v>306535</v>
      </c>
      <c r="B9857" s="75" t="s">
        <v>29021</v>
      </c>
      <c r="C9857" s="75" t="s">
        <v>29022</v>
      </c>
      <c r="D9857" s="75" t="s">
        <v>238</v>
      </c>
      <c r="G9857" s="75" t="s">
        <v>212</v>
      </c>
    </row>
    <row r="9858" spans="1:7" x14ac:dyDescent="0.35">
      <c r="A9858" s="77">
        <v>306536</v>
      </c>
      <c r="B9858" s="75" t="s">
        <v>29023</v>
      </c>
      <c r="C9858" s="75" t="s">
        <v>29024</v>
      </c>
      <c r="D9858" s="75" t="s">
        <v>264</v>
      </c>
      <c r="G9858" s="75" t="s">
        <v>205</v>
      </c>
    </row>
    <row r="9859" spans="1:7" x14ac:dyDescent="0.35">
      <c r="A9859" s="77">
        <v>306539</v>
      </c>
      <c r="B9859" s="75" t="s">
        <v>29025</v>
      </c>
      <c r="C9859" s="75" t="s">
        <v>29026</v>
      </c>
      <c r="D9859" s="75" t="s">
        <v>251</v>
      </c>
      <c r="G9859" s="75" t="s">
        <v>208</v>
      </c>
    </row>
    <row r="9860" spans="1:7" x14ac:dyDescent="0.35">
      <c r="A9860" s="77">
        <v>306540</v>
      </c>
      <c r="B9860" s="75" t="s">
        <v>29027</v>
      </c>
      <c r="C9860" s="75" t="s">
        <v>29028</v>
      </c>
      <c r="D9860" s="75" t="s">
        <v>251</v>
      </c>
      <c r="E9860" s="75" t="s">
        <v>238</v>
      </c>
      <c r="G9860" s="75" t="s">
        <v>208</v>
      </c>
    </row>
    <row r="9861" spans="1:7" x14ac:dyDescent="0.35">
      <c r="A9861" s="77">
        <v>306541</v>
      </c>
      <c r="B9861" s="75" t="s">
        <v>29029</v>
      </c>
      <c r="C9861" s="75" t="s">
        <v>29030</v>
      </c>
      <c r="D9861" s="75" t="s">
        <v>264</v>
      </c>
      <c r="G9861" s="75" t="s">
        <v>205</v>
      </c>
    </row>
    <row r="9862" spans="1:7" x14ac:dyDescent="0.35">
      <c r="A9862" s="77">
        <v>306542</v>
      </c>
      <c r="B9862" s="75" t="s">
        <v>29031</v>
      </c>
      <c r="C9862" s="75" t="s">
        <v>29032</v>
      </c>
      <c r="D9862" s="75" t="s">
        <v>277</v>
      </c>
      <c r="E9862" s="75" t="s">
        <v>238</v>
      </c>
      <c r="G9862" s="75" t="s">
        <v>208</v>
      </c>
    </row>
    <row r="9863" spans="1:7" x14ac:dyDescent="0.35">
      <c r="A9863" s="77">
        <v>306543</v>
      </c>
      <c r="B9863" s="75" t="s">
        <v>29033</v>
      </c>
      <c r="C9863" s="75" t="s">
        <v>29034</v>
      </c>
      <c r="D9863" s="75" t="s">
        <v>238</v>
      </c>
      <c r="G9863" s="75" t="s">
        <v>208</v>
      </c>
    </row>
    <row r="9864" spans="1:7" x14ac:dyDescent="0.35">
      <c r="A9864" s="77">
        <v>306544</v>
      </c>
      <c r="B9864" s="75" t="s">
        <v>29035</v>
      </c>
      <c r="C9864" s="75" t="s">
        <v>29036</v>
      </c>
      <c r="D9864" s="75" t="s">
        <v>264</v>
      </c>
      <c r="G9864" s="75" t="s">
        <v>208</v>
      </c>
    </row>
    <row r="9865" spans="1:7" x14ac:dyDescent="0.35">
      <c r="A9865" s="77">
        <v>306545</v>
      </c>
      <c r="B9865" s="75" t="s">
        <v>29037</v>
      </c>
      <c r="C9865" s="75" t="s">
        <v>29038</v>
      </c>
      <c r="D9865" s="75" t="s">
        <v>277</v>
      </c>
      <c r="G9865" s="75" t="s">
        <v>212</v>
      </c>
    </row>
    <row r="9866" spans="1:7" x14ac:dyDescent="0.35">
      <c r="A9866" s="77">
        <v>306546</v>
      </c>
      <c r="B9866" s="75" t="s">
        <v>29039</v>
      </c>
      <c r="C9866" s="75" t="s">
        <v>29040</v>
      </c>
      <c r="D9866" s="75" t="s">
        <v>277</v>
      </c>
      <c r="E9866" s="75" t="s">
        <v>264</v>
      </c>
      <c r="G9866" s="75" t="s">
        <v>205</v>
      </c>
    </row>
    <row r="9867" spans="1:7" x14ac:dyDescent="0.35">
      <c r="A9867" s="77">
        <v>306547</v>
      </c>
      <c r="B9867" s="75" t="s">
        <v>29041</v>
      </c>
      <c r="C9867" s="75" t="s">
        <v>29042</v>
      </c>
      <c r="D9867" s="75" t="s">
        <v>238</v>
      </c>
      <c r="G9867" s="75" t="s">
        <v>208</v>
      </c>
    </row>
    <row r="9868" spans="1:7" x14ac:dyDescent="0.35">
      <c r="A9868" s="77">
        <v>306548</v>
      </c>
      <c r="B9868" s="75" t="s">
        <v>29203</v>
      </c>
      <c r="C9868" s="75" t="s">
        <v>29204</v>
      </c>
      <c r="D9868" s="75" t="s">
        <v>277</v>
      </c>
      <c r="G9868" s="75" t="s">
        <v>208</v>
      </c>
    </row>
    <row r="9869" spans="1:7" x14ac:dyDescent="0.35">
      <c r="A9869" s="77">
        <v>306549</v>
      </c>
      <c r="B9869" s="75" t="s">
        <v>29043</v>
      </c>
      <c r="C9869" s="75" t="s">
        <v>29044</v>
      </c>
      <c r="D9869" s="75" t="s">
        <v>277</v>
      </c>
      <c r="G9869" s="75" t="s">
        <v>208</v>
      </c>
    </row>
    <row r="9870" spans="1:7" x14ac:dyDescent="0.35">
      <c r="A9870" s="77">
        <v>306550</v>
      </c>
      <c r="B9870" s="75" t="s">
        <v>29045</v>
      </c>
      <c r="C9870" s="75" t="s">
        <v>29046</v>
      </c>
      <c r="D9870" s="75" t="s">
        <v>264</v>
      </c>
      <c r="E9870" s="75" t="s">
        <v>238</v>
      </c>
      <c r="G9870" s="75" t="s">
        <v>208</v>
      </c>
    </row>
    <row r="9871" spans="1:7" x14ac:dyDescent="0.35">
      <c r="A9871" s="77">
        <v>306551</v>
      </c>
      <c r="B9871" s="75" t="s">
        <v>29047</v>
      </c>
      <c r="C9871" s="75" t="s">
        <v>29048</v>
      </c>
      <c r="D9871" s="75" t="s">
        <v>277</v>
      </c>
      <c r="G9871" s="75" t="s">
        <v>208</v>
      </c>
    </row>
    <row r="9872" spans="1:7" x14ac:dyDescent="0.35">
      <c r="A9872" s="77">
        <v>306552</v>
      </c>
      <c r="B9872" s="75" t="s">
        <v>29049</v>
      </c>
      <c r="C9872" s="75" t="s">
        <v>29050</v>
      </c>
      <c r="D9872" s="75" t="s">
        <v>264</v>
      </c>
      <c r="G9872" s="75" t="s">
        <v>208</v>
      </c>
    </row>
    <row r="9873" spans="1:7" x14ac:dyDescent="0.35">
      <c r="A9873" s="77">
        <v>306553</v>
      </c>
      <c r="B9873" s="75" t="s">
        <v>29051</v>
      </c>
      <c r="C9873" s="75" t="s">
        <v>29052</v>
      </c>
      <c r="D9873" s="75" t="s">
        <v>251</v>
      </c>
      <c r="G9873" s="75" t="s">
        <v>208</v>
      </c>
    </row>
    <row r="9874" spans="1:7" x14ac:dyDescent="0.35">
      <c r="A9874" s="77">
        <v>306554</v>
      </c>
      <c r="B9874" s="75" t="s">
        <v>29053</v>
      </c>
      <c r="C9874" s="75" t="s">
        <v>29054</v>
      </c>
      <c r="D9874" s="75" t="s">
        <v>264</v>
      </c>
      <c r="G9874" s="75" t="s">
        <v>208</v>
      </c>
    </row>
    <row r="9875" spans="1:7" x14ac:dyDescent="0.35">
      <c r="A9875" s="77">
        <v>306555</v>
      </c>
      <c r="B9875" s="75" t="s">
        <v>29055</v>
      </c>
      <c r="C9875" s="75" t="s">
        <v>29056</v>
      </c>
      <c r="D9875" s="75" t="s">
        <v>225</v>
      </c>
      <c r="G9875" s="75" t="s">
        <v>208</v>
      </c>
    </row>
    <row r="9876" spans="1:7" x14ac:dyDescent="0.35">
      <c r="A9876" s="77">
        <v>306556</v>
      </c>
      <c r="B9876" s="75" t="s">
        <v>29057</v>
      </c>
      <c r="C9876" s="75" t="s">
        <v>29058</v>
      </c>
      <c r="D9876" s="75" t="s">
        <v>251</v>
      </c>
      <c r="G9876" s="75" t="s">
        <v>212</v>
      </c>
    </row>
    <row r="9877" spans="1:7" x14ac:dyDescent="0.35">
      <c r="A9877" s="77">
        <v>306557</v>
      </c>
      <c r="B9877" s="75" t="s">
        <v>29059</v>
      </c>
      <c r="C9877" s="75" t="s">
        <v>29060</v>
      </c>
      <c r="D9877" s="75" t="s">
        <v>277</v>
      </c>
      <c r="G9877" s="75" t="s">
        <v>212</v>
      </c>
    </row>
    <row r="9878" spans="1:7" x14ac:dyDescent="0.35">
      <c r="A9878" s="77">
        <v>306558</v>
      </c>
      <c r="B9878" s="75" t="s">
        <v>29061</v>
      </c>
      <c r="C9878" s="75" t="s">
        <v>29062</v>
      </c>
      <c r="D9878" s="75" t="s">
        <v>277</v>
      </c>
      <c r="G9878" s="75" t="s">
        <v>212</v>
      </c>
    </row>
    <row r="9879" spans="1:7" x14ac:dyDescent="0.35">
      <c r="A9879" s="77">
        <v>306559</v>
      </c>
      <c r="B9879" s="75" t="s">
        <v>29063</v>
      </c>
      <c r="C9879" s="75" t="s">
        <v>29064</v>
      </c>
      <c r="D9879" s="75" t="s">
        <v>277</v>
      </c>
      <c r="G9879" s="75" t="s">
        <v>208</v>
      </c>
    </row>
    <row r="9880" spans="1:7" x14ac:dyDescent="0.35">
      <c r="A9880" s="77">
        <v>306560</v>
      </c>
      <c r="B9880" s="75" t="s">
        <v>29065</v>
      </c>
      <c r="C9880" s="75" t="s">
        <v>29066</v>
      </c>
      <c r="D9880" s="75" t="s">
        <v>277</v>
      </c>
      <c r="G9880" s="75" t="s">
        <v>205</v>
      </c>
    </row>
    <row r="9881" spans="1:7" x14ac:dyDescent="0.35">
      <c r="A9881" s="77">
        <v>306561</v>
      </c>
      <c r="B9881" s="75" t="s">
        <v>29067</v>
      </c>
      <c r="C9881" s="75" t="s">
        <v>29068</v>
      </c>
      <c r="D9881" s="75" t="s">
        <v>277</v>
      </c>
      <c r="G9881" s="75" t="s">
        <v>214</v>
      </c>
    </row>
    <row r="9882" spans="1:7" x14ac:dyDescent="0.35">
      <c r="A9882" s="77">
        <v>306562</v>
      </c>
      <c r="B9882" s="75" t="s">
        <v>29069</v>
      </c>
      <c r="C9882" s="75" t="s">
        <v>29070</v>
      </c>
      <c r="D9882" s="75" t="s">
        <v>251</v>
      </c>
      <c r="G9882" s="75" t="s">
        <v>208</v>
      </c>
    </row>
    <row r="9883" spans="1:7" x14ac:dyDescent="0.35">
      <c r="A9883" s="77">
        <v>306563</v>
      </c>
      <c r="B9883" s="75" t="s">
        <v>29071</v>
      </c>
      <c r="C9883" s="75" t="s">
        <v>29072</v>
      </c>
      <c r="D9883" s="75" t="s">
        <v>251</v>
      </c>
      <c r="G9883" s="75" t="s">
        <v>205</v>
      </c>
    </row>
    <row r="9884" spans="1:7" x14ac:dyDescent="0.35">
      <c r="A9884" s="77">
        <v>306564</v>
      </c>
      <c r="B9884" s="75" t="s">
        <v>29205</v>
      </c>
      <c r="C9884" s="75" t="s">
        <v>29206</v>
      </c>
      <c r="D9884" s="75" t="s">
        <v>264</v>
      </c>
      <c r="G9884" s="75" t="s">
        <v>208</v>
      </c>
    </row>
    <row r="9885" spans="1:7" x14ac:dyDescent="0.35">
      <c r="A9885" s="77">
        <v>306565</v>
      </c>
      <c r="B9885" s="75" t="s">
        <v>29207</v>
      </c>
      <c r="C9885" s="75" t="s">
        <v>29208</v>
      </c>
      <c r="D9885" s="75" t="s">
        <v>251</v>
      </c>
      <c r="E9885" s="75" t="s">
        <v>277</v>
      </c>
      <c r="G9885" s="75" t="s">
        <v>208</v>
      </c>
    </row>
    <row r="9886" spans="1:7" x14ac:dyDescent="0.35">
      <c r="A9886" s="77">
        <v>306566</v>
      </c>
      <c r="B9886" s="75" t="s">
        <v>29209</v>
      </c>
      <c r="C9886" s="75" t="s">
        <v>29210</v>
      </c>
      <c r="D9886" s="75" t="s">
        <v>264</v>
      </c>
      <c r="G9886" s="75" t="s">
        <v>208</v>
      </c>
    </row>
    <row r="9887" spans="1:7" x14ac:dyDescent="0.35">
      <c r="A9887" s="77">
        <v>306567</v>
      </c>
      <c r="B9887" s="75" t="s">
        <v>29211</v>
      </c>
      <c r="C9887" s="75" t="s">
        <v>29212</v>
      </c>
      <c r="D9887" s="75" t="s">
        <v>264</v>
      </c>
      <c r="G9887" s="75" t="s">
        <v>208</v>
      </c>
    </row>
    <row r="9888" spans="1:7" x14ac:dyDescent="0.35">
      <c r="A9888" s="77">
        <v>306568</v>
      </c>
      <c r="B9888" s="75" t="s">
        <v>29213</v>
      </c>
      <c r="C9888" s="75" t="s">
        <v>29214</v>
      </c>
      <c r="D9888" s="75" t="s">
        <v>277</v>
      </c>
      <c r="G9888" s="75" t="s">
        <v>205</v>
      </c>
    </row>
    <row r="9889" spans="1:7" x14ac:dyDescent="0.35">
      <c r="A9889" s="77">
        <v>306569</v>
      </c>
      <c r="B9889" s="75" t="s">
        <v>29215</v>
      </c>
      <c r="C9889" s="75" t="s">
        <v>29216</v>
      </c>
      <c r="D9889" s="75" t="s">
        <v>277</v>
      </c>
      <c r="G9889" s="75" t="s">
        <v>205</v>
      </c>
    </row>
    <row r="9890" spans="1:7" x14ac:dyDescent="0.35">
      <c r="A9890" s="77">
        <v>306570</v>
      </c>
      <c r="B9890" s="75" t="s">
        <v>29217</v>
      </c>
      <c r="C9890" s="75" t="s">
        <v>29218</v>
      </c>
      <c r="D9890" s="75" t="s">
        <v>238</v>
      </c>
      <c r="G9890" s="75" t="s">
        <v>205</v>
      </c>
    </row>
    <row r="9891" spans="1:7" x14ac:dyDescent="0.35">
      <c r="A9891" s="77">
        <v>306571</v>
      </c>
      <c r="B9891" s="75" t="s">
        <v>29219</v>
      </c>
      <c r="C9891" s="75" t="s">
        <v>29220</v>
      </c>
      <c r="D9891" s="75" t="s">
        <v>264</v>
      </c>
      <c r="G9891" s="75" t="s">
        <v>205</v>
      </c>
    </row>
    <row r="9892" spans="1:7" x14ac:dyDescent="0.35">
      <c r="A9892" s="77">
        <v>306572</v>
      </c>
      <c r="B9892" s="75" t="s">
        <v>29221</v>
      </c>
      <c r="C9892" s="75" t="s">
        <v>29222</v>
      </c>
      <c r="D9892" s="75" t="s">
        <v>238</v>
      </c>
      <c r="G9892" s="75" t="s">
        <v>205</v>
      </c>
    </row>
    <row r="9893" spans="1:7" x14ac:dyDescent="0.35">
      <c r="A9893" s="77">
        <v>306573</v>
      </c>
      <c r="B9893" s="75" t="s">
        <v>29223</v>
      </c>
      <c r="C9893" s="75" t="s">
        <v>29224</v>
      </c>
      <c r="D9893" s="75" t="s">
        <v>277</v>
      </c>
      <c r="G9893" s="75" t="s">
        <v>205</v>
      </c>
    </row>
    <row r="9894" spans="1:7" x14ac:dyDescent="0.35">
      <c r="A9894" s="77">
        <v>306574</v>
      </c>
      <c r="B9894" s="75" t="s">
        <v>29225</v>
      </c>
      <c r="C9894" s="75" t="s">
        <v>29226</v>
      </c>
      <c r="D9894" s="75" t="s">
        <v>277</v>
      </c>
      <c r="G9894" s="75" t="s">
        <v>205</v>
      </c>
    </row>
    <row r="9895" spans="1:7" x14ac:dyDescent="0.35">
      <c r="A9895" s="77">
        <v>306575</v>
      </c>
      <c r="B9895" s="75" t="s">
        <v>29227</v>
      </c>
      <c r="C9895" s="75" t="s">
        <v>29228</v>
      </c>
      <c r="D9895" s="75" t="s">
        <v>264</v>
      </c>
      <c r="G9895" s="75" t="s">
        <v>205</v>
      </c>
    </row>
    <row r="9896" spans="1:7" x14ac:dyDescent="0.35">
      <c r="A9896" s="77">
        <v>306576</v>
      </c>
      <c r="B9896" s="75" t="s">
        <v>29229</v>
      </c>
      <c r="C9896" s="75" t="s">
        <v>29230</v>
      </c>
      <c r="D9896" s="75" t="s">
        <v>251</v>
      </c>
      <c r="E9896" s="75" t="s">
        <v>225</v>
      </c>
      <c r="G9896" s="75" t="s">
        <v>205</v>
      </c>
    </row>
    <row r="9897" spans="1:7" x14ac:dyDescent="0.35">
      <c r="A9897" s="77">
        <v>306577</v>
      </c>
      <c r="B9897" s="75" t="s">
        <v>29231</v>
      </c>
      <c r="C9897" s="75" t="s">
        <v>29232</v>
      </c>
      <c r="D9897" s="75" t="s">
        <v>251</v>
      </c>
      <c r="G9897" s="75" t="s">
        <v>205</v>
      </c>
    </row>
    <row r="9898" spans="1:7" x14ac:dyDescent="0.35">
      <c r="A9898" s="77">
        <v>306578</v>
      </c>
      <c r="B9898" s="75" t="s">
        <v>29233</v>
      </c>
      <c r="C9898" s="75" t="s">
        <v>29234</v>
      </c>
      <c r="D9898" s="75" t="s">
        <v>251</v>
      </c>
      <c r="G9898" s="75" t="s">
        <v>205</v>
      </c>
    </row>
    <row r="9899" spans="1:7" x14ac:dyDescent="0.35">
      <c r="A9899" s="77">
        <v>306579</v>
      </c>
      <c r="B9899" s="75" t="s">
        <v>29235</v>
      </c>
      <c r="C9899" s="75" t="s">
        <v>29236</v>
      </c>
      <c r="D9899" s="75" t="s">
        <v>238</v>
      </c>
      <c r="G9899" s="75" t="s">
        <v>205</v>
      </c>
    </row>
    <row r="9900" spans="1:7" x14ac:dyDescent="0.35">
      <c r="A9900" s="77">
        <v>306580</v>
      </c>
      <c r="B9900" s="75" t="s">
        <v>29237</v>
      </c>
      <c r="C9900" s="75" t="s">
        <v>29238</v>
      </c>
      <c r="D9900" s="75" t="s">
        <v>264</v>
      </c>
      <c r="G9900" s="75" t="s">
        <v>205</v>
      </c>
    </row>
    <row r="9901" spans="1:7" x14ac:dyDescent="0.35">
      <c r="A9901" s="77">
        <v>306581</v>
      </c>
      <c r="B9901" s="75" t="s">
        <v>29239</v>
      </c>
      <c r="C9901" s="75" t="s">
        <v>29240</v>
      </c>
      <c r="D9901" s="75" t="s">
        <v>264</v>
      </c>
      <c r="G9901" s="75" t="s">
        <v>205</v>
      </c>
    </row>
    <row r="9902" spans="1:7" x14ac:dyDescent="0.35">
      <c r="A9902" s="77">
        <v>306582</v>
      </c>
      <c r="B9902" s="75" t="s">
        <v>29241</v>
      </c>
      <c r="C9902" s="75" t="s">
        <v>29242</v>
      </c>
      <c r="D9902" s="75" t="s">
        <v>277</v>
      </c>
      <c r="G9902" s="75" t="s">
        <v>208</v>
      </c>
    </row>
    <row r="9903" spans="1:7" x14ac:dyDescent="0.35">
      <c r="A9903" s="77">
        <v>306583</v>
      </c>
      <c r="B9903" s="75" t="s">
        <v>29243</v>
      </c>
      <c r="C9903" s="75" t="s">
        <v>29244</v>
      </c>
      <c r="D9903" s="75" t="s">
        <v>264</v>
      </c>
      <c r="G9903" s="75" t="s">
        <v>208</v>
      </c>
    </row>
    <row r="9904" spans="1:7" x14ac:dyDescent="0.35">
      <c r="A9904" s="77">
        <v>306584</v>
      </c>
      <c r="B9904" s="75" t="s">
        <v>29245</v>
      </c>
      <c r="C9904" s="75" t="s">
        <v>29246</v>
      </c>
      <c r="D9904" s="75" t="s">
        <v>277</v>
      </c>
      <c r="G9904" s="75" t="s">
        <v>212</v>
      </c>
    </row>
    <row r="9905" spans="1:7" x14ac:dyDescent="0.35">
      <c r="A9905" s="77">
        <v>306585</v>
      </c>
      <c r="B9905" s="75" t="s">
        <v>29247</v>
      </c>
      <c r="C9905" s="75" t="s">
        <v>29248</v>
      </c>
      <c r="D9905" s="75" t="s">
        <v>277</v>
      </c>
      <c r="G9905" s="75" t="s">
        <v>212</v>
      </c>
    </row>
    <row r="9906" spans="1:7" x14ac:dyDescent="0.35">
      <c r="A9906" s="77">
        <v>306586</v>
      </c>
      <c r="B9906" s="75" t="s">
        <v>29249</v>
      </c>
      <c r="C9906" s="75" t="s">
        <v>29250</v>
      </c>
      <c r="D9906" s="75" t="s">
        <v>264</v>
      </c>
      <c r="G9906" s="75" t="s">
        <v>205</v>
      </c>
    </row>
    <row r="9907" spans="1:7" x14ac:dyDescent="0.35">
      <c r="A9907" s="77">
        <v>306587</v>
      </c>
      <c r="B9907" s="75" t="s">
        <v>29251</v>
      </c>
      <c r="C9907" s="75" t="s">
        <v>29252</v>
      </c>
      <c r="D9907" s="75" t="s">
        <v>277</v>
      </c>
      <c r="G9907" s="75" t="s">
        <v>205</v>
      </c>
    </row>
    <row r="9908" spans="1:7" x14ac:dyDescent="0.35">
      <c r="A9908" s="77">
        <v>306588</v>
      </c>
      <c r="B9908" s="75" t="s">
        <v>29253</v>
      </c>
      <c r="C9908" s="75" t="s">
        <v>29254</v>
      </c>
      <c r="D9908" s="75" t="s">
        <v>277</v>
      </c>
      <c r="G9908" s="75" t="s">
        <v>205</v>
      </c>
    </row>
    <row r="9909" spans="1:7" x14ac:dyDescent="0.35">
      <c r="A9909" s="77">
        <v>306589</v>
      </c>
      <c r="B9909" s="75" t="s">
        <v>29255</v>
      </c>
      <c r="C9909" s="75" t="s">
        <v>29256</v>
      </c>
      <c r="D9909" s="75" t="s">
        <v>251</v>
      </c>
      <c r="G9909" s="75" t="s">
        <v>205</v>
      </c>
    </row>
    <row r="9910" spans="1:7" x14ac:dyDescent="0.35">
      <c r="A9910" s="77">
        <v>306590</v>
      </c>
      <c r="B9910" s="75" t="s">
        <v>29257</v>
      </c>
      <c r="C9910" s="75" t="s">
        <v>29258</v>
      </c>
      <c r="D9910" s="75" t="s">
        <v>238</v>
      </c>
      <c r="G9910" s="75" t="s">
        <v>205</v>
      </c>
    </row>
    <row r="9911" spans="1:7" x14ac:dyDescent="0.35">
      <c r="A9911" s="77">
        <v>306591</v>
      </c>
      <c r="B9911" s="75" t="s">
        <v>29259</v>
      </c>
      <c r="C9911" s="75" t="s">
        <v>29260</v>
      </c>
      <c r="D9911" s="75" t="s">
        <v>251</v>
      </c>
      <c r="G9911" s="75" t="s">
        <v>205</v>
      </c>
    </row>
    <row r="9912" spans="1:7" x14ac:dyDescent="0.35">
      <c r="A9912" s="77">
        <v>306592</v>
      </c>
      <c r="B9912" s="75" t="s">
        <v>29261</v>
      </c>
      <c r="C9912" s="75" t="s">
        <v>29262</v>
      </c>
      <c r="D9912" s="75" t="s">
        <v>251</v>
      </c>
      <c r="G9912" s="75" t="s">
        <v>208</v>
      </c>
    </row>
    <row r="9913" spans="1:7" x14ac:dyDescent="0.35">
      <c r="A9913" s="77">
        <v>306593</v>
      </c>
      <c r="B9913" s="75" t="s">
        <v>29263</v>
      </c>
      <c r="C9913" s="75" t="s">
        <v>29264</v>
      </c>
      <c r="D9913" s="75" t="s">
        <v>264</v>
      </c>
      <c r="G9913" s="75" t="s">
        <v>205</v>
      </c>
    </row>
    <row r="9914" spans="1:7" x14ac:dyDescent="0.35">
      <c r="A9914" s="77">
        <v>306594</v>
      </c>
      <c r="B9914" s="75" t="s">
        <v>29265</v>
      </c>
      <c r="C9914" s="75" t="s">
        <v>29266</v>
      </c>
      <c r="D9914" s="75" t="s">
        <v>264</v>
      </c>
      <c r="G9914" s="75" t="s">
        <v>205</v>
      </c>
    </row>
    <row r="9915" spans="1:7" x14ac:dyDescent="0.35">
      <c r="A9915" s="77">
        <v>306595</v>
      </c>
      <c r="B9915" s="75" t="s">
        <v>29267</v>
      </c>
      <c r="C9915" s="75" t="s">
        <v>29268</v>
      </c>
      <c r="D9915" s="75" t="s">
        <v>264</v>
      </c>
      <c r="G9915" s="75" t="s">
        <v>205</v>
      </c>
    </row>
    <row r="9916" spans="1:7" x14ac:dyDescent="0.35">
      <c r="A9916" s="77">
        <v>306596</v>
      </c>
      <c r="B9916" s="75" t="s">
        <v>29269</v>
      </c>
      <c r="C9916" s="75" t="s">
        <v>29270</v>
      </c>
      <c r="D9916" s="75" t="s">
        <v>264</v>
      </c>
      <c r="G9916" s="75" t="s">
        <v>210</v>
      </c>
    </row>
    <row r="9917" spans="1:7" x14ac:dyDescent="0.35">
      <c r="A9917" s="77">
        <v>306597</v>
      </c>
      <c r="B9917" s="75" t="s">
        <v>29271</v>
      </c>
      <c r="C9917" s="75" t="s">
        <v>29272</v>
      </c>
      <c r="D9917" s="75" t="s">
        <v>264</v>
      </c>
      <c r="G9917" s="75" t="s">
        <v>210</v>
      </c>
    </row>
    <row r="9918" spans="1:7" x14ac:dyDescent="0.35">
      <c r="A9918" s="77">
        <v>306598</v>
      </c>
      <c r="B9918" s="75" t="s">
        <v>29273</v>
      </c>
      <c r="C9918" s="75" t="s">
        <v>29274</v>
      </c>
      <c r="D9918" s="75" t="s">
        <v>264</v>
      </c>
      <c r="G9918" s="75" t="s">
        <v>210</v>
      </c>
    </row>
    <row r="9919" spans="1:7" x14ac:dyDescent="0.35">
      <c r="A9919" s="77">
        <v>306599</v>
      </c>
      <c r="B9919" s="75" t="s">
        <v>29275</v>
      </c>
      <c r="C9919" s="75" t="s">
        <v>29276</v>
      </c>
      <c r="D9919" s="75" t="s">
        <v>264</v>
      </c>
      <c r="G9919" s="75" t="s">
        <v>210</v>
      </c>
    </row>
    <row r="9920" spans="1:7" x14ac:dyDescent="0.35">
      <c r="A9920" s="77">
        <v>306600</v>
      </c>
      <c r="B9920" s="75" t="s">
        <v>29277</v>
      </c>
      <c r="C9920" s="75" t="s">
        <v>29278</v>
      </c>
      <c r="D9920" s="75" t="s">
        <v>264</v>
      </c>
      <c r="G9920" s="75" t="s">
        <v>210</v>
      </c>
    </row>
    <row r="9921" spans="1:7" x14ac:dyDescent="0.35">
      <c r="A9921" s="77">
        <v>306601</v>
      </c>
      <c r="B9921" s="75" t="s">
        <v>29279</v>
      </c>
      <c r="C9921" s="75" t="s">
        <v>29280</v>
      </c>
      <c r="D9921" s="75" t="s">
        <v>264</v>
      </c>
      <c r="G9921" s="75" t="s">
        <v>210</v>
      </c>
    </row>
    <row r="9922" spans="1:7" x14ac:dyDescent="0.35">
      <c r="A9922" s="77">
        <v>306602</v>
      </c>
      <c r="B9922" s="75" t="s">
        <v>29281</v>
      </c>
      <c r="C9922" s="75" t="s">
        <v>29282</v>
      </c>
      <c r="D9922" s="75" t="s">
        <v>264</v>
      </c>
      <c r="G9922" s="75" t="s">
        <v>210</v>
      </c>
    </row>
    <row r="9923" spans="1:7" x14ac:dyDescent="0.35">
      <c r="A9923" s="77">
        <v>306603</v>
      </c>
      <c r="B9923" s="75" t="s">
        <v>29283</v>
      </c>
      <c r="C9923" s="75" t="s">
        <v>29284</v>
      </c>
      <c r="D9923" s="75" t="s">
        <v>264</v>
      </c>
      <c r="G9923" s="75" t="s">
        <v>210</v>
      </c>
    </row>
    <row r="9924" spans="1:7" x14ac:dyDescent="0.35">
      <c r="A9924" s="77">
        <v>306604</v>
      </c>
      <c r="B9924" s="75" t="s">
        <v>29285</v>
      </c>
      <c r="C9924" s="75" t="s">
        <v>29286</v>
      </c>
      <c r="D9924" s="75" t="s">
        <v>264</v>
      </c>
      <c r="G9924" s="75" t="s">
        <v>210</v>
      </c>
    </row>
    <row r="9925" spans="1:7" x14ac:dyDescent="0.35">
      <c r="A9925" s="77">
        <v>306605</v>
      </c>
      <c r="B9925" s="75" t="s">
        <v>29287</v>
      </c>
      <c r="C9925" s="75" t="s">
        <v>29288</v>
      </c>
      <c r="D9925" s="75" t="s">
        <v>251</v>
      </c>
      <c r="G9925" s="75" t="s">
        <v>208</v>
      </c>
    </row>
    <row r="9926" spans="1:7" x14ac:dyDescent="0.35">
      <c r="A9926" s="77">
        <v>306606</v>
      </c>
      <c r="B9926" s="75" t="s">
        <v>29289</v>
      </c>
      <c r="C9926" s="75" t="s">
        <v>29290</v>
      </c>
      <c r="D9926" s="75" t="s">
        <v>251</v>
      </c>
      <c r="G9926" s="75" t="s">
        <v>208</v>
      </c>
    </row>
    <row r="9927" spans="1:7" x14ac:dyDescent="0.35">
      <c r="A9927" s="77">
        <v>306607</v>
      </c>
      <c r="B9927" s="75" t="s">
        <v>29291</v>
      </c>
      <c r="C9927" s="75" t="s">
        <v>29292</v>
      </c>
      <c r="D9927" s="75" t="s">
        <v>251</v>
      </c>
      <c r="G9927" s="75" t="s">
        <v>208</v>
      </c>
    </row>
    <row r="9928" spans="1:7" x14ac:dyDescent="0.35">
      <c r="A9928" s="77">
        <v>306608</v>
      </c>
      <c r="B9928" s="75" t="s">
        <v>29293</v>
      </c>
      <c r="C9928" s="75" t="s">
        <v>29294</v>
      </c>
      <c r="D9928" s="75" t="s">
        <v>264</v>
      </c>
      <c r="G9928" s="75" t="s">
        <v>205</v>
      </c>
    </row>
    <row r="9929" spans="1:7" x14ac:dyDescent="0.35">
      <c r="A9929" s="77">
        <v>306609</v>
      </c>
      <c r="B9929" s="75" t="s">
        <v>29295</v>
      </c>
      <c r="C9929" s="75" t="s">
        <v>29296</v>
      </c>
      <c r="D9929" s="75" t="s">
        <v>264</v>
      </c>
      <c r="G9929" s="75" t="s">
        <v>208</v>
      </c>
    </row>
    <row r="9930" spans="1:7" x14ac:dyDescent="0.35">
      <c r="A9930" s="77">
        <v>306610</v>
      </c>
      <c r="B9930" s="75" t="s">
        <v>29297</v>
      </c>
      <c r="C9930" s="75" t="s">
        <v>29298</v>
      </c>
      <c r="D9930" s="75" t="s">
        <v>264</v>
      </c>
      <c r="G9930" s="75" t="s">
        <v>208</v>
      </c>
    </row>
    <row r="9931" spans="1:7" x14ac:dyDescent="0.35">
      <c r="A9931" s="77">
        <v>306611</v>
      </c>
      <c r="B9931" s="75" t="s">
        <v>29299</v>
      </c>
      <c r="C9931" s="75" t="s">
        <v>29300</v>
      </c>
      <c r="D9931" s="75" t="s">
        <v>264</v>
      </c>
      <c r="G9931" s="75" t="s">
        <v>205</v>
      </c>
    </row>
    <row r="9932" spans="1:7" x14ac:dyDescent="0.35">
      <c r="A9932" s="77">
        <v>306612</v>
      </c>
      <c r="B9932" s="75" t="s">
        <v>29301</v>
      </c>
      <c r="C9932" s="75" t="s">
        <v>29302</v>
      </c>
      <c r="D9932" s="75" t="s">
        <v>264</v>
      </c>
      <c r="G9932" s="75" t="s">
        <v>208</v>
      </c>
    </row>
    <row r="9933" spans="1:7" x14ac:dyDescent="0.35">
      <c r="A9933" s="77">
        <v>306613</v>
      </c>
      <c r="B9933" s="75" t="s">
        <v>29303</v>
      </c>
      <c r="C9933" s="75" t="s">
        <v>29304</v>
      </c>
      <c r="D9933" s="75" t="s">
        <v>277</v>
      </c>
      <c r="E9933" s="75" t="s">
        <v>264</v>
      </c>
      <c r="G9933" s="75" t="s">
        <v>205</v>
      </c>
    </row>
    <row r="9934" spans="1:7" x14ac:dyDescent="0.35">
      <c r="A9934" s="77">
        <v>306614</v>
      </c>
      <c r="B9934" s="75" t="s">
        <v>29305</v>
      </c>
      <c r="C9934" s="75" t="s">
        <v>29306</v>
      </c>
      <c r="D9934" s="75" t="s">
        <v>264</v>
      </c>
      <c r="G9934" s="75" t="s">
        <v>214</v>
      </c>
    </row>
    <row r="9935" spans="1:7" x14ac:dyDescent="0.35">
      <c r="A9935" s="77">
        <v>306615</v>
      </c>
      <c r="B9935" s="75" t="s">
        <v>29307</v>
      </c>
      <c r="C9935" s="75" t="s">
        <v>29308</v>
      </c>
      <c r="D9935" s="75" t="s">
        <v>264</v>
      </c>
      <c r="G9935" s="75" t="s">
        <v>208</v>
      </c>
    </row>
    <row r="9936" spans="1:7" x14ac:dyDescent="0.35">
      <c r="A9936" s="77">
        <v>306616</v>
      </c>
      <c r="B9936" s="75" t="s">
        <v>29309</v>
      </c>
      <c r="C9936" s="75" t="s">
        <v>29310</v>
      </c>
      <c r="D9936" s="75" t="s">
        <v>225</v>
      </c>
      <c r="G9936" s="75" t="s">
        <v>205</v>
      </c>
    </row>
    <row r="9937" spans="1:7" x14ac:dyDescent="0.35">
      <c r="A9937" s="77">
        <v>306617</v>
      </c>
      <c r="B9937" s="75" t="s">
        <v>29311</v>
      </c>
      <c r="C9937" s="75" t="s">
        <v>29312</v>
      </c>
      <c r="D9937" s="75" t="s">
        <v>225</v>
      </c>
      <c r="G9937" s="75" t="s">
        <v>208</v>
      </c>
    </row>
    <row r="9938" spans="1:7" x14ac:dyDescent="0.35">
      <c r="A9938" s="77">
        <v>306618</v>
      </c>
      <c r="B9938" s="75" t="s">
        <v>29313</v>
      </c>
      <c r="C9938" s="75" t="s">
        <v>29314</v>
      </c>
      <c r="D9938" s="75" t="s">
        <v>277</v>
      </c>
      <c r="G9938" s="75" t="s">
        <v>208</v>
      </c>
    </row>
    <row r="9939" spans="1:7" x14ac:dyDescent="0.35">
      <c r="A9939" s="77">
        <v>306619</v>
      </c>
      <c r="B9939" s="75" t="s">
        <v>29315</v>
      </c>
      <c r="C9939" s="75" t="s">
        <v>29316</v>
      </c>
      <c r="D9939" s="75" t="s">
        <v>251</v>
      </c>
      <c r="G9939" s="75" t="s">
        <v>208</v>
      </c>
    </row>
    <row r="9940" spans="1:7" x14ac:dyDescent="0.35">
      <c r="A9940" s="77">
        <v>306620</v>
      </c>
      <c r="B9940" s="75" t="s">
        <v>29317</v>
      </c>
      <c r="C9940" s="75" t="s">
        <v>29318</v>
      </c>
      <c r="D9940" s="75" t="s">
        <v>251</v>
      </c>
      <c r="G9940" s="75" t="s">
        <v>208</v>
      </c>
    </row>
    <row r="9941" spans="1:7" x14ac:dyDescent="0.35">
      <c r="A9941" s="77">
        <v>306621</v>
      </c>
      <c r="B9941" s="75" t="s">
        <v>29319</v>
      </c>
      <c r="C9941" s="75" t="s">
        <v>29320</v>
      </c>
      <c r="D9941" s="75" t="s">
        <v>238</v>
      </c>
      <c r="G9941" s="75" t="s">
        <v>208</v>
      </c>
    </row>
    <row r="9942" spans="1:7" x14ac:dyDescent="0.35">
      <c r="A9942" s="77">
        <v>306622</v>
      </c>
      <c r="B9942" s="75" t="s">
        <v>29321</v>
      </c>
      <c r="C9942" s="75" t="s">
        <v>29322</v>
      </c>
      <c r="D9942" s="75" t="s">
        <v>251</v>
      </c>
      <c r="G9942" s="75" t="s">
        <v>208</v>
      </c>
    </row>
    <row r="9943" spans="1:7" x14ac:dyDescent="0.35">
      <c r="A9943" s="77">
        <v>306623</v>
      </c>
      <c r="B9943" s="75" t="s">
        <v>29323</v>
      </c>
      <c r="C9943" s="75" t="s">
        <v>29324</v>
      </c>
      <c r="D9943" s="75" t="s">
        <v>277</v>
      </c>
      <c r="G9943" s="75" t="s">
        <v>208</v>
      </c>
    </row>
    <row r="9944" spans="1:7" x14ac:dyDescent="0.35">
      <c r="A9944" s="77">
        <v>306624</v>
      </c>
      <c r="B9944" s="75" t="s">
        <v>29325</v>
      </c>
      <c r="C9944" s="75" t="s">
        <v>29326</v>
      </c>
      <c r="D9944" s="75" t="s">
        <v>277</v>
      </c>
      <c r="G9944" s="75" t="s">
        <v>208</v>
      </c>
    </row>
    <row r="9945" spans="1:7" x14ac:dyDescent="0.35">
      <c r="A9945" s="77">
        <v>306625</v>
      </c>
      <c r="B9945" s="75" t="s">
        <v>29327</v>
      </c>
      <c r="C9945" s="75" t="s">
        <v>29328</v>
      </c>
      <c r="D9945" s="75" t="s">
        <v>277</v>
      </c>
      <c r="G9945" s="75" t="s">
        <v>205</v>
      </c>
    </row>
    <row r="9946" spans="1:7" x14ac:dyDescent="0.35">
      <c r="A9946" s="77">
        <v>306631</v>
      </c>
      <c r="B9946" s="75" t="s">
        <v>29329</v>
      </c>
      <c r="C9946" s="75" t="s">
        <v>29330</v>
      </c>
      <c r="D9946" s="75" t="s">
        <v>277</v>
      </c>
      <c r="G9946" s="75" t="s">
        <v>208</v>
      </c>
    </row>
    <row r="9947" spans="1:7" x14ac:dyDescent="0.35">
      <c r="A9947" s="77">
        <v>306632</v>
      </c>
      <c r="B9947" s="75" t="s">
        <v>29331</v>
      </c>
      <c r="C9947" s="75" t="s">
        <v>29332</v>
      </c>
      <c r="D9947" s="75" t="s">
        <v>264</v>
      </c>
      <c r="G9947" s="75" t="s">
        <v>212</v>
      </c>
    </row>
    <row r="9948" spans="1:7" x14ac:dyDescent="0.35">
      <c r="A9948" s="77">
        <v>306633</v>
      </c>
      <c r="B9948" s="75" t="s">
        <v>29333</v>
      </c>
      <c r="C9948" s="75" t="s">
        <v>29334</v>
      </c>
      <c r="D9948" s="75" t="s">
        <v>251</v>
      </c>
      <c r="G9948" s="75" t="s">
        <v>205</v>
      </c>
    </row>
    <row r="9949" spans="1:7" x14ac:dyDescent="0.35">
      <c r="A9949" s="77">
        <v>306634</v>
      </c>
      <c r="B9949" s="75" t="s">
        <v>29335</v>
      </c>
      <c r="C9949" s="75" t="s">
        <v>29336</v>
      </c>
      <c r="D9949" s="75" t="s">
        <v>277</v>
      </c>
      <c r="G9949" s="75" t="s">
        <v>205</v>
      </c>
    </row>
    <row r="9950" spans="1:7" x14ac:dyDescent="0.35">
      <c r="A9950" s="77">
        <v>306635</v>
      </c>
      <c r="B9950" s="75" t="s">
        <v>29337</v>
      </c>
      <c r="C9950" s="75" t="s">
        <v>29338</v>
      </c>
      <c r="D9950" s="75" t="s">
        <v>238</v>
      </c>
      <c r="G9950" s="75" t="s">
        <v>205</v>
      </c>
    </row>
    <row r="9951" spans="1:7" x14ac:dyDescent="0.35">
      <c r="A9951" s="77">
        <v>306636</v>
      </c>
      <c r="B9951" s="75" t="s">
        <v>29339</v>
      </c>
      <c r="C9951" s="75" t="s">
        <v>29340</v>
      </c>
      <c r="D9951" s="75" t="s">
        <v>225</v>
      </c>
      <c r="G9951" s="75" t="s">
        <v>208</v>
      </c>
    </row>
    <row r="9952" spans="1:7" x14ac:dyDescent="0.35">
      <c r="A9952" s="77">
        <v>306637</v>
      </c>
      <c r="B9952" s="75" t="s">
        <v>29341</v>
      </c>
      <c r="C9952" s="75" t="s">
        <v>29342</v>
      </c>
      <c r="D9952" s="75" t="s">
        <v>277</v>
      </c>
      <c r="G9952" s="75" t="s">
        <v>214</v>
      </c>
    </row>
    <row r="9953" spans="1:7" x14ac:dyDescent="0.35">
      <c r="A9953" s="77">
        <v>306638</v>
      </c>
      <c r="B9953" s="75" t="s">
        <v>29343</v>
      </c>
      <c r="C9953" s="75" t="s">
        <v>29344</v>
      </c>
      <c r="D9953" s="75" t="s">
        <v>225</v>
      </c>
      <c r="G9953" s="75" t="s">
        <v>208</v>
      </c>
    </row>
    <row r="9954" spans="1:7" x14ac:dyDescent="0.35">
      <c r="A9954" s="77">
        <v>306640</v>
      </c>
      <c r="B9954" s="75" t="s">
        <v>29345</v>
      </c>
      <c r="C9954" s="75" t="s">
        <v>29346</v>
      </c>
      <c r="D9954" s="75" t="s">
        <v>251</v>
      </c>
      <c r="G9954" s="75" t="s">
        <v>208</v>
      </c>
    </row>
    <row r="9955" spans="1:7" x14ac:dyDescent="0.35">
      <c r="A9955" s="77">
        <v>306641</v>
      </c>
      <c r="B9955" s="75" t="s">
        <v>29347</v>
      </c>
      <c r="C9955" s="75" t="s">
        <v>29348</v>
      </c>
      <c r="D9955" s="75" t="s">
        <v>225</v>
      </c>
      <c r="G9955" s="75" t="s">
        <v>208</v>
      </c>
    </row>
    <row r="9956" spans="1:7" x14ac:dyDescent="0.35">
      <c r="A9956" s="77">
        <v>306642</v>
      </c>
      <c r="B9956" s="75" t="s">
        <v>29349</v>
      </c>
      <c r="C9956" s="75" t="s">
        <v>29350</v>
      </c>
      <c r="D9956" s="75" t="s">
        <v>238</v>
      </c>
      <c r="G9956" s="75" t="s">
        <v>205</v>
      </c>
    </row>
    <row r="9957" spans="1:7" x14ac:dyDescent="0.35">
      <c r="A9957" s="77">
        <v>306643</v>
      </c>
      <c r="B9957" s="75" t="s">
        <v>29351</v>
      </c>
      <c r="C9957" s="75" t="s">
        <v>29352</v>
      </c>
      <c r="D9957" s="75" t="s">
        <v>264</v>
      </c>
      <c r="G9957" s="75" t="s">
        <v>205</v>
      </c>
    </row>
    <row r="9958" spans="1:7" x14ac:dyDescent="0.35">
      <c r="A9958" s="77">
        <v>306644</v>
      </c>
      <c r="B9958" s="75" t="s">
        <v>29353</v>
      </c>
      <c r="C9958" s="75" t="s">
        <v>29354</v>
      </c>
      <c r="D9958" s="75" t="s">
        <v>225</v>
      </c>
      <c r="G9958" s="75" t="s">
        <v>214</v>
      </c>
    </row>
    <row r="9959" spans="1:7" x14ac:dyDescent="0.35">
      <c r="A9959" s="77">
        <v>306648</v>
      </c>
      <c r="B9959" s="75" t="s">
        <v>29355</v>
      </c>
      <c r="C9959" s="75" t="s">
        <v>29356</v>
      </c>
      <c r="D9959" s="75" t="s">
        <v>264</v>
      </c>
      <c r="G9959" s="75" t="s">
        <v>208</v>
      </c>
    </row>
    <row r="9960" spans="1:7" x14ac:dyDescent="0.35">
      <c r="A9960" s="77">
        <v>306649</v>
      </c>
      <c r="B9960" s="75" t="s">
        <v>29357</v>
      </c>
      <c r="C9960" s="75" t="s">
        <v>29358</v>
      </c>
      <c r="D9960" s="75" t="s">
        <v>264</v>
      </c>
      <c r="G9960" s="75" t="s">
        <v>208</v>
      </c>
    </row>
    <row r="9961" spans="1:7" x14ac:dyDescent="0.35">
      <c r="A9961" s="77">
        <v>306650</v>
      </c>
      <c r="B9961" s="75" t="s">
        <v>29359</v>
      </c>
      <c r="C9961" s="75" t="s">
        <v>28905</v>
      </c>
      <c r="D9961" s="75" t="s">
        <v>264</v>
      </c>
      <c r="G9961" s="75" t="s">
        <v>205</v>
      </c>
    </row>
    <row r="9962" spans="1:7" x14ac:dyDescent="0.35">
      <c r="A9962" s="77">
        <v>306651</v>
      </c>
      <c r="B9962" s="75" t="s">
        <v>29360</v>
      </c>
      <c r="C9962" s="75" t="s">
        <v>21148</v>
      </c>
      <c r="D9962" s="75" t="s">
        <v>238</v>
      </c>
      <c r="G9962" s="75" t="s">
        <v>208</v>
      </c>
    </row>
    <row r="9963" spans="1:7" x14ac:dyDescent="0.35">
      <c r="A9963" s="77">
        <v>306652</v>
      </c>
      <c r="B9963" s="75" t="s">
        <v>29361</v>
      </c>
      <c r="C9963" s="75" t="s">
        <v>29362</v>
      </c>
      <c r="D9963" s="75" t="s">
        <v>238</v>
      </c>
      <c r="G9963" s="75" t="s">
        <v>208</v>
      </c>
    </row>
    <row r="9964" spans="1:7" x14ac:dyDescent="0.35">
      <c r="A9964" s="77">
        <v>350678</v>
      </c>
      <c r="B9964" s="75" t="s">
        <v>27136</v>
      </c>
      <c r="C9964" s="75" t="s">
        <v>27137</v>
      </c>
      <c r="D9964" s="75" t="s">
        <v>264</v>
      </c>
      <c r="G9964" s="75" t="s">
        <v>208</v>
      </c>
    </row>
    <row r="9965" spans="1:7" x14ac:dyDescent="0.35">
      <c r="A9965" s="77">
        <v>350679</v>
      </c>
      <c r="B9965" s="75" t="s">
        <v>27138</v>
      </c>
      <c r="C9965" s="75" t="s">
        <v>27139</v>
      </c>
      <c r="D9965" s="75" t="s">
        <v>264</v>
      </c>
      <c r="G9965" s="75" t="s">
        <v>208</v>
      </c>
    </row>
    <row r="9966" spans="1:7" x14ac:dyDescent="0.35">
      <c r="A9966" s="77">
        <v>465459</v>
      </c>
      <c r="B9966" s="75" t="s">
        <v>27140</v>
      </c>
      <c r="C9966" s="75" t="s">
        <v>27141</v>
      </c>
      <c r="D9966" s="75" t="s">
        <v>225</v>
      </c>
      <c r="G9966" s="75" t="s">
        <v>205</v>
      </c>
    </row>
    <row r="9967" spans="1:7" x14ac:dyDescent="0.35">
      <c r="A9967" s="77">
        <v>10030487</v>
      </c>
      <c r="B9967" s="75" t="s">
        <v>27142</v>
      </c>
      <c r="C9967" s="75" t="s">
        <v>27143</v>
      </c>
      <c r="D9967" s="75" t="s">
        <v>264</v>
      </c>
      <c r="G9967" s="75" t="s">
        <v>205</v>
      </c>
    </row>
    <row r="9968" spans="1:7" x14ac:dyDescent="0.35">
      <c r="A9968" s="77">
        <v>10030499</v>
      </c>
      <c r="B9968" s="75" t="s">
        <v>27144</v>
      </c>
      <c r="C9968" s="75" t="s">
        <v>27145</v>
      </c>
      <c r="D9968" s="75" t="s">
        <v>264</v>
      </c>
      <c r="G9968" s="75" t="s">
        <v>205</v>
      </c>
    </row>
    <row r="9969" spans="1:7" x14ac:dyDescent="0.35">
      <c r="A9969" s="77">
        <v>10030505</v>
      </c>
      <c r="B9969" s="75" t="s">
        <v>27146</v>
      </c>
      <c r="C9969" s="75" t="s">
        <v>27147</v>
      </c>
      <c r="D9969" s="75" t="s">
        <v>225</v>
      </c>
      <c r="G9969" s="75" t="s">
        <v>205</v>
      </c>
    </row>
    <row r="9970" spans="1:7" x14ac:dyDescent="0.35">
      <c r="A9970" s="77">
        <v>10030517</v>
      </c>
      <c r="B9970" s="75" t="s">
        <v>27148</v>
      </c>
      <c r="C9970" s="75" t="s">
        <v>27149</v>
      </c>
      <c r="D9970" s="75" t="s">
        <v>225</v>
      </c>
      <c r="G9970" s="75" t="s">
        <v>205</v>
      </c>
    </row>
    <row r="9971" spans="1:7" x14ac:dyDescent="0.35">
      <c r="A9971" s="77">
        <v>10030529</v>
      </c>
      <c r="B9971" s="75" t="s">
        <v>27150</v>
      </c>
      <c r="C9971" s="75" t="s">
        <v>27151</v>
      </c>
      <c r="D9971" s="75" t="s">
        <v>264</v>
      </c>
      <c r="G9971" s="75" t="s">
        <v>205</v>
      </c>
    </row>
    <row r="9972" spans="1:7" x14ac:dyDescent="0.35">
      <c r="A9972" s="77">
        <v>10030530</v>
      </c>
      <c r="B9972" s="75" t="s">
        <v>27152</v>
      </c>
      <c r="C9972" s="75" t="s">
        <v>27153</v>
      </c>
      <c r="D9972" s="75" t="s">
        <v>264</v>
      </c>
      <c r="G9972" s="75" t="s">
        <v>205</v>
      </c>
    </row>
    <row r="9973" spans="1:7" x14ac:dyDescent="0.35">
      <c r="A9973" s="77">
        <v>10030542</v>
      </c>
      <c r="B9973" s="75" t="s">
        <v>27154</v>
      </c>
      <c r="C9973" s="75" t="s">
        <v>27155</v>
      </c>
      <c r="D9973" s="75" t="s">
        <v>277</v>
      </c>
      <c r="G9973" s="75" t="s">
        <v>205</v>
      </c>
    </row>
    <row r="9974" spans="1:7" x14ac:dyDescent="0.35">
      <c r="A9974" s="77">
        <v>10030554</v>
      </c>
      <c r="B9974" s="75" t="s">
        <v>27156</v>
      </c>
      <c r="C9974" s="75" t="s">
        <v>27157</v>
      </c>
      <c r="D9974" s="75" t="s">
        <v>225</v>
      </c>
      <c r="G9974" s="75" t="s">
        <v>205</v>
      </c>
    </row>
    <row r="9975" spans="1:7" x14ac:dyDescent="0.35">
      <c r="A9975" s="77">
        <v>10030566</v>
      </c>
      <c r="B9975" s="75" t="s">
        <v>27158</v>
      </c>
      <c r="C9975" s="75" t="s">
        <v>27159</v>
      </c>
      <c r="D9975" s="75" t="s">
        <v>225</v>
      </c>
      <c r="G9975" s="75" t="s">
        <v>205</v>
      </c>
    </row>
    <row r="9976" spans="1:7" x14ac:dyDescent="0.35">
      <c r="A9976" s="77">
        <v>10030578</v>
      </c>
      <c r="B9976" s="75" t="s">
        <v>27160</v>
      </c>
      <c r="C9976" s="75" t="s">
        <v>27161</v>
      </c>
      <c r="D9976" s="75" t="s">
        <v>225</v>
      </c>
      <c r="G9976" s="75" t="s">
        <v>205</v>
      </c>
    </row>
    <row r="9977" spans="1:7" x14ac:dyDescent="0.35">
      <c r="A9977" s="77" t="s">
        <v>27162</v>
      </c>
      <c r="B9977" s="75" t="s">
        <v>27163</v>
      </c>
      <c r="C9977" s="75" t="s">
        <v>27164</v>
      </c>
      <c r="D9977" s="75" t="s">
        <v>225</v>
      </c>
      <c r="G9977" s="75" t="s">
        <v>205</v>
      </c>
    </row>
    <row r="9978" spans="1:7" x14ac:dyDescent="0.35">
      <c r="A9978" s="77">
        <v>10030591</v>
      </c>
      <c r="B9978" s="75" t="s">
        <v>27165</v>
      </c>
      <c r="C9978" s="75" t="s">
        <v>27166</v>
      </c>
      <c r="D9978" s="75" t="s">
        <v>277</v>
      </c>
      <c r="G9978" s="75" t="s">
        <v>205</v>
      </c>
    </row>
    <row r="9979" spans="1:7" x14ac:dyDescent="0.35">
      <c r="A9979" s="77">
        <v>10031157</v>
      </c>
      <c r="B9979" s="75" t="s">
        <v>27167</v>
      </c>
      <c r="C9979" s="75" t="s">
        <v>27168</v>
      </c>
      <c r="D9979" s="75" t="s">
        <v>225</v>
      </c>
      <c r="G9979" s="75" t="s">
        <v>205</v>
      </c>
    </row>
    <row r="9980" spans="1:7" x14ac:dyDescent="0.35">
      <c r="A9980" s="77">
        <v>10031169</v>
      </c>
      <c r="B9980" s="75" t="s">
        <v>27169</v>
      </c>
      <c r="C9980" s="75" t="s">
        <v>27170</v>
      </c>
      <c r="D9980" s="75" t="s">
        <v>225</v>
      </c>
      <c r="G9980" s="75" t="s">
        <v>205</v>
      </c>
    </row>
    <row r="9981" spans="1:7" x14ac:dyDescent="0.35">
      <c r="A9981" s="77">
        <v>10031194</v>
      </c>
      <c r="B9981" s="75" t="s">
        <v>27171</v>
      </c>
      <c r="C9981" s="75" t="s">
        <v>27172</v>
      </c>
      <c r="D9981" s="75" t="s">
        <v>225</v>
      </c>
      <c r="G9981" s="75" t="s">
        <v>205</v>
      </c>
    </row>
    <row r="9982" spans="1:7" x14ac:dyDescent="0.35">
      <c r="A9982" s="77">
        <v>10031200</v>
      </c>
      <c r="B9982" s="75" t="s">
        <v>27173</v>
      </c>
      <c r="C9982" s="75" t="s">
        <v>27174</v>
      </c>
      <c r="D9982" s="75" t="s">
        <v>225</v>
      </c>
      <c r="G9982" s="75" t="s">
        <v>205</v>
      </c>
    </row>
    <row r="9983" spans="1:7" x14ac:dyDescent="0.35">
      <c r="A9983" s="77">
        <v>10031224</v>
      </c>
      <c r="B9983" s="75" t="s">
        <v>27175</v>
      </c>
      <c r="C9983" s="75" t="s">
        <v>27176</v>
      </c>
      <c r="D9983" s="75" t="s">
        <v>225</v>
      </c>
      <c r="G9983" s="75" t="s">
        <v>205</v>
      </c>
    </row>
    <row r="9984" spans="1:7" x14ac:dyDescent="0.35">
      <c r="A9984" s="77">
        <v>10031261</v>
      </c>
      <c r="B9984" s="75" t="s">
        <v>27177</v>
      </c>
      <c r="C9984" s="75" t="s">
        <v>27178</v>
      </c>
      <c r="D9984" s="75" t="s">
        <v>251</v>
      </c>
      <c r="G9984" s="75" t="s">
        <v>205</v>
      </c>
    </row>
    <row r="9985" spans="1:7" x14ac:dyDescent="0.35">
      <c r="A9985" s="77">
        <v>10031273</v>
      </c>
      <c r="B9985" s="75" t="s">
        <v>27179</v>
      </c>
      <c r="C9985" s="75" t="s">
        <v>27180</v>
      </c>
      <c r="D9985" s="75" t="s">
        <v>251</v>
      </c>
      <c r="G9985" s="75" t="s">
        <v>205</v>
      </c>
    </row>
    <row r="9986" spans="1:7" x14ac:dyDescent="0.35">
      <c r="A9986" s="77">
        <v>10032575</v>
      </c>
      <c r="B9986" s="75" t="s">
        <v>27181</v>
      </c>
      <c r="C9986" s="75" t="s">
        <v>27182</v>
      </c>
      <c r="D9986" s="75" t="s">
        <v>238</v>
      </c>
      <c r="G9986" s="75" t="s">
        <v>205</v>
      </c>
    </row>
    <row r="9987" spans="1:7" x14ac:dyDescent="0.35">
      <c r="A9987" s="77">
        <v>10032587</v>
      </c>
      <c r="B9987" s="75" t="s">
        <v>27183</v>
      </c>
      <c r="C9987" s="75" t="s">
        <v>27184</v>
      </c>
      <c r="D9987" s="75" t="s">
        <v>238</v>
      </c>
      <c r="G9987" s="75" t="s">
        <v>205</v>
      </c>
    </row>
    <row r="9988" spans="1:7" x14ac:dyDescent="0.35">
      <c r="A9988" s="77">
        <v>10032599</v>
      </c>
      <c r="B9988" s="75" t="s">
        <v>27185</v>
      </c>
      <c r="C9988" s="75" t="s">
        <v>27186</v>
      </c>
      <c r="D9988" s="75" t="s">
        <v>238</v>
      </c>
      <c r="G9988" s="75" t="s">
        <v>205</v>
      </c>
    </row>
    <row r="9989" spans="1:7" x14ac:dyDescent="0.35">
      <c r="A9989" s="77">
        <v>10032605</v>
      </c>
      <c r="B9989" s="75" t="s">
        <v>27187</v>
      </c>
      <c r="C9989" s="75" t="s">
        <v>27188</v>
      </c>
      <c r="D9989" s="75" t="s">
        <v>238</v>
      </c>
      <c r="G9989" s="75" t="s">
        <v>205</v>
      </c>
    </row>
    <row r="9990" spans="1:7" x14ac:dyDescent="0.35">
      <c r="A9990" s="77">
        <v>10032617</v>
      </c>
      <c r="B9990" s="75" t="s">
        <v>27189</v>
      </c>
      <c r="C9990" s="75" t="s">
        <v>27190</v>
      </c>
      <c r="D9990" s="75" t="s">
        <v>238</v>
      </c>
      <c r="G9990" s="75" t="s">
        <v>205</v>
      </c>
    </row>
    <row r="9991" spans="1:7" x14ac:dyDescent="0.35">
      <c r="A9991" s="77">
        <v>10032629</v>
      </c>
      <c r="B9991" s="75" t="s">
        <v>27191</v>
      </c>
      <c r="C9991" s="75" t="s">
        <v>27192</v>
      </c>
      <c r="D9991" s="75" t="s">
        <v>238</v>
      </c>
      <c r="G9991" s="75" t="s">
        <v>205</v>
      </c>
    </row>
    <row r="9992" spans="1:7" x14ac:dyDescent="0.35">
      <c r="A9992" s="77">
        <v>10032897</v>
      </c>
      <c r="B9992" s="75" t="s">
        <v>27193</v>
      </c>
      <c r="C9992" s="75" t="s">
        <v>27194</v>
      </c>
      <c r="D9992" s="75" t="s">
        <v>251</v>
      </c>
      <c r="G9992" s="75" t="s">
        <v>205</v>
      </c>
    </row>
    <row r="9993" spans="1:7" x14ac:dyDescent="0.35">
      <c r="A9993" s="77">
        <v>10032903</v>
      </c>
      <c r="B9993" s="75" t="s">
        <v>27195</v>
      </c>
      <c r="C9993" s="75" t="s">
        <v>27196</v>
      </c>
      <c r="D9993" s="75" t="s">
        <v>251</v>
      </c>
      <c r="G9993" s="75" t="s">
        <v>205</v>
      </c>
    </row>
    <row r="9994" spans="1:7" x14ac:dyDescent="0.35">
      <c r="A9994" s="77">
        <v>10033671</v>
      </c>
      <c r="B9994" s="75" t="s">
        <v>27197</v>
      </c>
      <c r="C9994" s="75" t="s">
        <v>27198</v>
      </c>
      <c r="D9994" s="75" t="s">
        <v>277</v>
      </c>
      <c r="G9994" s="75" t="s">
        <v>205</v>
      </c>
    </row>
    <row r="9995" spans="1:7" x14ac:dyDescent="0.35">
      <c r="A9995" s="77">
        <v>10033683</v>
      </c>
      <c r="B9995" s="75" t="s">
        <v>27199</v>
      </c>
      <c r="C9995" s="75" t="s">
        <v>27200</v>
      </c>
      <c r="D9995" s="75" t="s">
        <v>277</v>
      </c>
      <c r="G9995" s="75" t="s">
        <v>205</v>
      </c>
    </row>
    <row r="9996" spans="1:7" x14ac:dyDescent="0.35">
      <c r="A9996" s="77">
        <v>10033695</v>
      </c>
      <c r="B9996" s="75" t="s">
        <v>27201</v>
      </c>
      <c r="C9996" s="75" t="s">
        <v>27202</v>
      </c>
      <c r="D9996" s="75" t="s">
        <v>264</v>
      </c>
      <c r="G9996" s="75" t="s">
        <v>205</v>
      </c>
    </row>
    <row r="9997" spans="1:7" x14ac:dyDescent="0.35">
      <c r="A9997" s="77">
        <v>10033701</v>
      </c>
      <c r="B9997" s="75" t="s">
        <v>27203</v>
      </c>
      <c r="C9997" s="75" t="s">
        <v>27204</v>
      </c>
      <c r="D9997" s="75" t="s">
        <v>264</v>
      </c>
      <c r="G9997" s="75" t="s">
        <v>205</v>
      </c>
    </row>
    <row r="9998" spans="1:7" x14ac:dyDescent="0.35">
      <c r="A9998" s="77">
        <v>10033919</v>
      </c>
      <c r="B9998" s="75" t="s">
        <v>27205</v>
      </c>
      <c r="C9998" s="75" t="s">
        <v>27206</v>
      </c>
      <c r="D9998" s="75" t="s">
        <v>225</v>
      </c>
      <c r="G9998" s="75" t="s">
        <v>205</v>
      </c>
    </row>
    <row r="9999" spans="1:7" x14ac:dyDescent="0.35">
      <c r="A9999" s="77">
        <v>10033920</v>
      </c>
      <c r="B9999" s="75" t="s">
        <v>27207</v>
      </c>
      <c r="C9999" s="75" t="s">
        <v>27208</v>
      </c>
      <c r="D9999" s="75" t="s">
        <v>225</v>
      </c>
      <c r="G9999" s="75" t="s">
        <v>205</v>
      </c>
    </row>
    <row r="10000" spans="1:7" x14ac:dyDescent="0.35">
      <c r="A10000" s="77">
        <v>10033932</v>
      </c>
      <c r="B10000" s="75" t="s">
        <v>27209</v>
      </c>
      <c r="C10000" s="75" t="s">
        <v>27210</v>
      </c>
      <c r="D10000" s="75" t="s">
        <v>264</v>
      </c>
      <c r="G10000" s="75" t="s">
        <v>205</v>
      </c>
    </row>
    <row r="10001" spans="1:7" x14ac:dyDescent="0.35">
      <c r="A10001" s="77">
        <v>10033944</v>
      </c>
      <c r="B10001" s="75" t="s">
        <v>27211</v>
      </c>
      <c r="C10001" s="75" t="s">
        <v>27212</v>
      </c>
      <c r="D10001" s="75" t="s">
        <v>264</v>
      </c>
      <c r="G10001" s="75" t="s">
        <v>205</v>
      </c>
    </row>
    <row r="10002" spans="1:7" x14ac:dyDescent="0.35">
      <c r="A10002" s="77">
        <v>10033956</v>
      </c>
      <c r="B10002" s="75" t="s">
        <v>27213</v>
      </c>
      <c r="C10002" s="75" t="s">
        <v>27214</v>
      </c>
      <c r="D10002" s="75" t="s">
        <v>225</v>
      </c>
      <c r="G10002" s="75" t="s">
        <v>205</v>
      </c>
    </row>
    <row r="10003" spans="1:7" x14ac:dyDescent="0.35">
      <c r="A10003" s="77">
        <v>10033968</v>
      </c>
      <c r="B10003" s="75" t="s">
        <v>27215</v>
      </c>
      <c r="C10003" s="75" t="s">
        <v>27216</v>
      </c>
      <c r="D10003" s="75" t="s">
        <v>225</v>
      </c>
      <c r="G10003" s="75" t="s">
        <v>205</v>
      </c>
    </row>
    <row r="10004" spans="1:7" x14ac:dyDescent="0.35">
      <c r="A10004" s="77" t="s">
        <v>27217</v>
      </c>
      <c r="B10004" s="75" t="s">
        <v>27218</v>
      </c>
      <c r="C10004" s="75" t="s">
        <v>27219</v>
      </c>
      <c r="D10004" s="75" t="s">
        <v>251</v>
      </c>
      <c r="G10004" s="75" t="s">
        <v>205</v>
      </c>
    </row>
    <row r="10005" spans="1:7" x14ac:dyDescent="0.35">
      <c r="A10005" s="77">
        <v>10034821</v>
      </c>
      <c r="B10005" s="75" t="s">
        <v>27220</v>
      </c>
      <c r="C10005" s="75" t="s">
        <v>27221</v>
      </c>
      <c r="D10005" s="75" t="s">
        <v>251</v>
      </c>
      <c r="G10005" s="75" t="s">
        <v>205</v>
      </c>
    </row>
    <row r="10006" spans="1:7" x14ac:dyDescent="0.35">
      <c r="A10006" s="77">
        <v>10034997</v>
      </c>
      <c r="B10006" s="75" t="s">
        <v>27222</v>
      </c>
      <c r="C10006" s="75" t="s">
        <v>27223</v>
      </c>
      <c r="D10006" s="75" t="s">
        <v>251</v>
      </c>
      <c r="G10006" s="75" t="s">
        <v>205</v>
      </c>
    </row>
    <row r="10007" spans="1:7" x14ac:dyDescent="0.35">
      <c r="A10007" s="77">
        <v>10035047</v>
      </c>
      <c r="B10007" s="75" t="s">
        <v>27224</v>
      </c>
      <c r="C10007" s="75" t="s">
        <v>27225</v>
      </c>
      <c r="D10007" s="75" t="s">
        <v>251</v>
      </c>
      <c r="G10007" s="75" t="s">
        <v>205</v>
      </c>
    </row>
    <row r="10008" spans="1:7" x14ac:dyDescent="0.35">
      <c r="A10008" s="77">
        <v>10035059</v>
      </c>
      <c r="B10008" s="75" t="s">
        <v>27226</v>
      </c>
      <c r="C10008" s="75" t="s">
        <v>27227</v>
      </c>
      <c r="D10008" s="75" t="s">
        <v>251</v>
      </c>
      <c r="G10008" s="75" t="s">
        <v>205</v>
      </c>
    </row>
    <row r="10009" spans="1:7" x14ac:dyDescent="0.35">
      <c r="A10009" s="77">
        <v>10035060</v>
      </c>
      <c r="B10009" s="75" t="s">
        <v>27228</v>
      </c>
      <c r="C10009" s="75" t="s">
        <v>27229</v>
      </c>
      <c r="D10009" s="75" t="s">
        <v>251</v>
      </c>
      <c r="G10009" s="75" t="s">
        <v>205</v>
      </c>
    </row>
    <row r="10010" spans="1:7" x14ac:dyDescent="0.35">
      <c r="A10010" s="77">
        <v>10035679</v>
      </c>
      <c r="B10010" s="75" t="s">
        <v>27230</v>
      </c>
      <c r="C10010" s="75" t="s">
        <v>27231</v>
      </c>
      <c r="D10010" s="75" t="s">
        <v>225</v>
      </c>
      <c r="G10010" s="75" t="s">
        <v>205</v>
      </c>
    </row>
    <row r="10011" spans="1:7" x14ac:dyDescent="0.35">
      <c r="A10011" s="77">
        <v>10035680</v>
      </c>
      <c r="B10011" s="75" t="s">
        <v>27232</v>
      </c>
      <c r="C10011" s="75" t="s">
        <v>27233</v>
      </c>
      <c r="D10011" s="75" t="s">
        <v>225</v>
      </c>
      <c r="G10011" s="75" t="s">
        <v>205</v>
      </c>
    </row>
    <row r="10012" spans="1:7" x14ac:dyDescent="0.35">
      <c r="A10012" s="77">
        <v>10035837</v>
      </c>
      <c r="B10012" s="75" t="s">
        <v>27234</v>
      </c>
      <c r="C10012" s="75" t="s">
        <v>27235</v>
      </c>
      <c r="D10012" s="75" t="s">
        <v>225</v>
      </c>
      <c r="G10012" s="75" t="s">
        <v>205</v>
      </c>
    </row>
    <row r="10013" spans="1:7" x14ac:dyDescent="0.35">
      <c r="A10013" s="77">
        <v>10035849</v>
      </c>
      <c r="B10013" s="75" t="s">
        <v>27236</v>
      </c>
      <c r="C10013" s="75" t="s">
        <v>27237</v>
      </c>
      <c r="D10013" s="75" t="s">
        <v>225</v>
      </c>
      <c r="G10013" s="75" t="s">
        <v>205</v>
      </c>
    </row>
    <row r="10014" spans="1:7" x14ac:dyDescent="0.35">
      <c r="A10014" s="77">
        <v>10036647</v>
      </c>
      <c r="B10014" s="75" t="s">
        <v>27238</v>
      </c>
      <c r="C10014" s="75" t="s">
        <v>27239</v>
      </c>
      <c r="D10014" s="75" t="s">
        <v>225</v>
      </c>
      <c r="G10014" s="75" t="s">
        <v>205</v>
      </c>
    </row>
    <row r="10015" spans="1:7" x14ac:dyDescent="0.35">
      <c r="A10015" s="77">
        <v>10036659</v>
      </c>
      <c r="B10015" s="75" t="s">
        <v>27240</v>
      </c>
      <c r="C10015" s="75" t="s">
        <v>27241</v>
      </c>
      <c r="D10015" s="75" t="s">
        <v>225</v>
      </c>
      <c r="G10015" s="75" t="s">
        <v>205</v>
      </c>
    </row>
    <row r="10016" spans="1:7" x14ac:dyDescent="0.35">
      <c r="A10016" s="77">
        <v>10036684</v>
      </c>
      <c r="B10016" s="75" t="s">
        <v>27242</v>
      </c>
      <c r="C10016" s="75" t="s">
        <v>27243</v>
      </c>
      <c r="D10016" s="75" t="s">
        <v>225</v>
      </c>
      <c r="G10016" s="75" t="s">
        <v>205</v>
      </c>
    </row>
    <row r="10017" spans="1:7" x14ac:dyDescent="0.35">
      <c r="A10017" s="77">
        <v>10036696</v>
      </c>
      <c r="B10017" s="75" t="s">
        <v>27244</v>
      </c>
      <c r="C10017" s="75" t="s">
        <v>27245</v>
      </c>
      <c r="D10017" s="75" t="s">
        <v>225</v>
      </c>
      <c r="G10017" s="75" t="s">
        <v>205</v>
      </c>
    </row>
    <row r="10018" spans="1:7" x14ac:dyDescent="0.35">
      <c r="A10018" s="77">
        <v>10036702</v>
      </c>
      <c r="B10018" s="75" t="s">
        <v>27246</v>
      </c>
      <c r="C10018" s="75" t="s">
        <v>27247</v>
      </c>
      <c r="D10018" s="75" t="s">
        <v>264</v>
      </c>
      <c r="G10018" s="75" t="s">
        <v>205</v>
      </c>
    </row>
    <row r="10019" spans="1:7" x14ac:dyDescent="0.35">
      <c r="A10019" s="77">
        <v>10036714</v>
      </c>
      <c r="B10019" s="75" t="s">
        <v>27248</v>
      </c>
      <c r="C10019" s="75" t="s">
        <v>27249</v>
      </c>
      <c r="D10019" s="75" t="s">
        <v>264</v>
      </c>
      <c r="G10019" s="75" t="s">
        <v>205</v>
      </c>
    </row>
    <row r="10020" spans="1:7" x14ac:dyDescent="0.35">
      <c r="A10020" s="77">
        <v>10038929</v>
      </c>
      <c r="B10020" s="75" t="s">
        <v>27250</v>
      </c>
      <c r="C10020" s="75" t="s">
        <v>27251</v>
      </c>
      <c r="D10020" s="75" t="s">
        <v>251</v>
      </c>
      <c r="G10020" s="75" t="s">
        <v>205</v>
      </c>
    </row>
    <row r="10021" spans="1:7" x14ac:dyDescent="0.35">
      <c r="A10021" s="77">
        <v>10038930</v>
      </c>
      <c r="B10021" s="75" t="s">
        <v>27252</v>
      </c>
      <c r="C10021" s="75" t="s">
        <v>27253</v>
      </c>
      <c r="D10021" s="75" t="s">
        <v>251</v>
      </c>
      <c r="G10021" s="75" t="s">
        <v>205</v>
      </c>
    </row>
    <row r="10022" spans="1:7" x14ac:dyDescent="0.35">
      <c r="A10022" s="77">
        <v>10039065</v>
      </c>
      <c r="B10022" s="75" t="s">
        <v>27254</v>
      </c>
      <c r="C10022" s="75" t="s">
        <v>27255</v>
      </c>
      <c r="D10022" s="75" t="s">
        <v>277</v>
      </c>
      <c r="E10022" s="75" t="s">
        <v>264</v>
      </c>
      <c r="G10022" s="75" t="s">
        <v>205</v>
      </c>
    </row>
    <row r="10023" spans="1:7" x14ac:dyDescent="0.35">
      <c r="A10023" s="77">
        <v>10039077</v>
      </c>
      <c r="B10023" s="75" t="s">
        <v>27256</v>
      </c>
      <c r="C10023" s="75" t="s">
        <v>27257</v>
      </c>
      <c r="D10023" s="75" t="s">
        <v>277</v>
      </c>
      <c r="E10023" s="75" t="s">
        <v>264</v>
      </c>
      <c r="G10023" s="75" t="s">
        <v>205</v>
      </c>
    </row>
    <row r="10024" spans="1:7" x14ac:dyDescent="0.35">
      <c r="A10024" s="77">
        <v>10040626</v>
      </c>
      <c r="B10024" s="75" t="s">
        <v>27258</v>
      </c>
      <c r="C10024" s="75" t="s">
        <v>27259</v>
      </c>
      <c r="D10024" s="75" t="s">
        <v>277</v>
      </c>
      <c r="G10024" s="75" t="s">
        <v>205</v>
      </c>
    </row>
    <row r="10025" spans="1:7" x14ac:dyDescent="0.35">
      <c r="A10025" s="77">
        <v>10040638</v>
      </c>
      <c r="B10025" s="75" t="s">
        <v>27260</v>
      </c>
      <c r="C10025" s="75" t="s">
        <v>27261</v>
      </c>
      <c r="D10025" s="75" t="s">
        <v>277</v>
      </c>
      <c r="G10025" s="75" t="s">
        <v>205</v>
      </c>
    </row>
    <row r="10026" spans="1:7" x14ac:dyDescent="0.35">
      <c r="A10026" s="77" t="s">
        <v>27262</v>
      </c>
      <c r="B10026" s="75" t="s">
        <v>27263</v>
      </c>
      <c r="C10026" s="75" t="s">
        <v>27264</v>
      </c>
      <c r="D10026" s="75" t="s">
        <v>264</v>
      </c>
      <c r="G10026" s="75" t="s">
        <v>205</v>
      </c>
    </row>
    <row r="10027" spans="1:7" x14ac:dyDescent="0.35">
      <c r="A10027" s="77">
        <v>10040651</v>
      </c>
      <c r="B10027" s="75" t="s">
        <v>27265</v>
      </c>
      <c r="C10027" s="75" t="s">
        <v>27266</v>
      </c>
      <c r="D10027" s="75" t="s">
        <v>264</v>
      </c>
      <c r="G10027" s="75" t="s">
        <v>205</v>
      </c>
    </row>
    <row r="10028" spans="1:7" x14ac:dyDescent="0.35">
      <c r="A10028" s="77">
        <v>10041485</v>
      </c>
      <c r="B10028" s="75" t="s">
        <v>27267</v>
      </c>
      <c r="C10028" s="75" t="s">
        <v>27268</v>
      </c>
      <c r="D10028" s="75" t="s">
        <v>251</v>
      </c>
      <c r="G10028" s="75" t="s">
        <v>205</v>
      </c>
    </row>
    <row r="10029" spans="1:7" x14ac:dyDescent="0.35">
      <c r="A10029" s="77">
        <v>10041497</v>
      </c>
      <c r="B10029" s="75" t="s">
        <v>27269</v>
      </c>
      <c r="C10029" s="75" t="s">
        <v>27270</v>
      </c>
      <c r="D10029" s="75" t="s">
        <v>251</v>
      </c>
      <c r="G10029" s="75" t="s">
        <v>205</v>
      </c>
    </row>
    <row r="10030" spans="1:7" x14ac:dyDescent="0.35">
      <c r="A10030" s="77">
        <v>10041503</v>
      </c>
      <c r="B10030" s="75" t="s">
        <v>27271</v>
      </c>
      <c r="C10030" s="75" t="s">
        <v>27272</v>
      </c>
      <c r="D10030" s="75" t="s">
        <v>251</v>
      </c>
      <c r="G10030" s="75" t="s">
        <v>205</v>
      </c>
    </row>
    <row r="10031" spans="1:7" x14ac:dyDescent="0.35">
      <c r="A10031" s="77">
        <v>10041515</v>
      </c>
      <c r="B10031" s="75" t="s">
        <v>27273</v>
      </c>
      <c r="C10031" s="75" t="s">
        <v>27274</v>
      </c>
      <c r="D10031" s="75" t="s">
        <v>251</v>
      </c>
      <c r="G10031" s="75" t="s">
        <v>205</v>
      </c>
    </row>
    <row r="10032" spans="1:7" x14ac:dyDescent="0.35">
      <c r="A10032" s="77">
        <v>10042519</v>
      </c>
      <c r="B10032" s="75" t="s">
        <v>27275</v>
      </c>
      <c r="C10032" s="75" t="s">
        <v>27276</v>
      </c>
      <c r="D10032" s="75" t="s">
        <v>225</v>
      </c>
      <c r="G10032" s="75" t="s">
        <v>205</v>
      </c>
    </row>
    <row r="10033" spans="1:7" x14ac:dyDescent="0.35">
      <c r="A10033" s="77">
        <v>10042520</v>
      </c>
      <c r="B10033" s="75" t="s">
        <v>27277</v>
      </c>
      <c r="C10033" s="75" t="s">
        <v>27278</v>
      </c>
      <c r="D10033" s="75" t="s">
        <v>277</v>
      </c>
      <c r="G10033" s="75" t="s">
        <v>205</v>
      </c>
    </row>
    <row r="10034" spans="1:7" x14ac:dyDescent="0.35">
      <c r="A10034" s="77">
        <v>10042647</v>
      </c>
      <c r="B10034" s="75" t="s">
        <v>27279</v>
      </c>
      <c r="C10034" s="75" t="s">
        <v>27280</v>
      </c>
      <c r="D10034" s="75" t="s">
        <v>225</v>
      </c>
      <c r="G10034" s="75" t="s">
        <v>205</v>
      </c>
    </row>
    <row r="10035" spans="1:7" x14ac:dyDescent="0.35">
      <c r="A10035" s="77">
        <v>10042659</v>
      </c>
      <c r="B10035" s="75" t="s">
        <v>27281</v>
      </c>
      <c r="C10035" s="75" t="s">
        <v>27282</v>
      </c>
      <c r="D10035" s="75" t="s">
        <v>277</v>
      </c>
      <c r="G10035" s="75" t="s">
        <v>205</v>
      </c>
    </row>
    <row r="10036" spans="1:7" x14ac:dyDescent="0.35">
      <c r="A10036" s="77">
        <v>10043135</v>
      </c>
      <c r="B10036" s="75" t="s">
        <v>27283</v>
      </c>
      <c r="C10036" s="75" t="s">
        <v>27284</v>
      </c>
      <c r="D10036" s="75" t="s">
        <v>264</v>
      </c>
      <c r="G10036" s="75" t="s">
        <v>205</v>
      </c>
    </row>
    <row r="10037" spans="1:7" x14ac:dyDescent="0.35">
      <c r="A10037" s="77">
        <v>10043226</v>
      </c>
      <c r="B10037" s="75" t="s">
        <v>27285</v>
      </c>
      <c r="C10037" s="75" t="s">
        <v>27286</v>
      </c>
      <c r="D10037" s="75" t="s">
        <v>251</v>
      </c>
      <c r="G10037" s="75" t="s">
        <v>205</v>
      </c>
    </row>
    <row r="10038" spans="1:7" x14ac:dyDescent="0.35">
      <c r="A10038" s="77">
        <v>10043238</v>
      </c>
      <c r="B10038" s="75" t="s">
        <v>27287</v>
      </c>
      <c r="C10038" s="75" t="s">
        <v>27288</v>
      </c>
      <c r="D10038" s="75" t="s">
        <v>251</v>
      </c>
      <c r="G10038" s="75" t="s">
        <v>205</v>
      </c>
    </row>
    <row r="10039" spans="1:7" x14ac:dyDescent="0.35">
      <c r="A10039" s="77">
        <v>10047335</v>
      </c>
      <c r="B10039" s="75" t="s">
        <v>27289</v>
      </c>
      <c r="C10039" s="75" t="s">
        <v>27290</v>
      </c>
      <c r="D10039" s="75" t="s">
        <v>251</v>
      </c>
      <c r="G10039" s="75" t="s">
        <v>205</v>
      </c>
    </row>
    <row r="10040" spans="1:7" x14ac:dyDescent="0.35">
      <c r="A10040" s="77">
        <v>10047347</v>
      </c>
      <c r="B10040" s="75" t="s">
        <v>27291</v>
      </c>
      <c r="C10040" s="75" t="s">
        <v>27292</v>
      </c>
      <c r="D10040" s="75" t="s">
        <v>251</v>
      </c>
      <c r="G10040" s="75" t="s">
        <v>205</v>
      </c>
    </row>
    <row r="10041" spans="1:7" x14ac:dyDescent="0.35">
      <c r="A10041" s="77">
        <v>10048042</v>
      </c>
      <c r="B10041" s="75" t="s">
        <v>27293</v>
      </c>
      <c r="C10041" s="75" t="s">
        <v>27294</v>
      </c>
      <c r="D10041" s="75" t="s">
        <v>264</v>
      </c>
      <c r="G10041" s="75" t="s">
        <v>205</v>
      </c>
    </row>
    <row r="10042" spans="1:7" x14ac:dyDescent="0.35">
      <c r="A10042" s="77">
        <v>10048054</v>
      </c>
      <c r="B10042" s="75" t="s">
        <v>27295</v>
      </c>
      <c r="C10042" s="75" t="s">
        <v>27296</v>
      </c>
      <c r="D10042" s="75" t="s">
        <v>264</v>
      </c>
      <c r="G10042" s="75" t="s">
        <v>205</v>
      </c>
    </row>
    <row r="10043" spans="1:7" x14ac:dyDescent="0.35">
      <c r="A10043" s="77" t="s">
        <v>27297</v>
      </c>
      <c r="B10043" s="75" t="s">
        <v>27298</v>
      </c>
      <c r="C10043" s="75" t="s">
        <v>27299</v>
      </c>
      <c r="D10043" s="75" t="s">
        <v>264</v>
      </c>
      <c r="G10043" s="75" t="s">
        <v>205</v>
      </c>
    </row>
    <row r="10044" spans="1:7" x14ac:dyDescent="0.35">
      <c r="A10044" s="77">
        <v>10049071</v>
      </c>
      <c r="B10044" s="75" t="s">
        <v>27300</v>
      </c>
      <c r="C10044" s="75" t="s">
        <v>27301</v>
      </c>
      <c r="D10044" s="75" t="s">
        <v>264</v>
      </c>
      <c r="G10044" s="75" t="s">
        <v>205</v>
      </c>
    </row>
    <row r="10045" spans="1:7" x14ac:dyDescent="0.35">
      <c r="A10045" s="77">
        <v>50029861</v>
      </c>
      <c r="B10045" s="75" t="s">
        <v>27302</v>
      </c>
      <c r="C10045" s="75" t="s">
        <v>27303</v>
      </c>
      <c r="D10045" s="75" t="s">
        <v>264</v>
      </c>
      <c r="G10045" s="75" t="s">
        <v>205</v>
      </c>
    </row>
    <row r="10046" spans="1:7" x14ac:dyDescent="0.35">
      <c r="A10046" s="77">
        <v>50082073</v>
      </c>
      <c r="B10046" s="75" t="s">
        <v>27304</v>
      </c>
      <c r="C10046" s="75" t="s">
        <v>27305</v>
      </c>
      <c r="D10046" s="75" t="s">
        <v>251</v>
      </c>
      <c r="G10046" s="75" t="s">
        <v>205</v>
      </c>
    </row>
    <row r="10047" spans="1:7" x14ac:dyDescent="0.35">
      <c r="A10047" s="77">
        <v>50082395</v>
      </c>
      <c r="B10047" s="75" t="s">
        <v>27306</v>
      </c>
      <c r="C10047" s="75" t="s">
        <v>27307</v>
      </c>
      <c r="D10047" s="75" t="s">
        <v>277</v>
      </c>
      <c r="G10047" s="75" t="s">
        <v>205</v>
      </c>
    </row>
    <row r="10048" spans="1:7" x14ac:dyDescent="0.35">
      <c r="A10048" s="77">
        <v>50082413</v>
      </c>
      <c r="B10048" s="75" t="s">
        <v>27308</v>
      </c>
      <c r="C10048" s="75" t="s">
        <v>27309</v>
      </c>
      <c r="D10048" s="75" t="s">
        <v>277</v>
      </c>
      <c r="G10048" s="75" t="s">
        <v>205</v>
      </c>
    </row>
    <row r="10049" spans="1:7" x14ac:dyDescent="0.35">
      <c r="A10049" s="77">
        <v>50082449</v>
      </c>
      <c r="B10049" s="75" t="s">
        <v>27310</v>
      </c>
      <c r="C10049" s="75" t="s">
        <v>27311</v>
      </c>
      <c r="D10049" s="75" t="s">
        <v>225</v>
      </c>
      <c r="G10049" s="75" t="s">
        <v>205</v>
      </c>
    </row>
    <row r="10050" spans="1:7" x14ac:dyDescent="0.35">
      <c r="A10050" s="77">
        <v>50082450</v>
      </c>
      <c r="B10050" s="75" t="s">
        <v>27312</v>
      </c>
      <c r="C10050" s="75" t="s">
        <v>27313</v>
      </c>
      <c r="D10050" s="75" t="s">
        <v>264</v>
      </c>
      <c r="G10050" s="75" t="s">
        <v>205</v>
      </c>
    </row>
    <row r="10051" spans="1:7" x14ac:dyDescent="0.35">
      <c r="A10051" s="77">
        <v>50082462</v>
      </c>
      <c r="B10051" s="75" t="s">
        <v>27314</v>
      </c>
      <c r="C10051" s="75" t="s">
        <v>27315</v>
      </c>
      <c r="D10051" s="75" t="s">
        <v>225</v>
      </c>
      <c r="G10051" s="75" t="s">
        <v>205</v>
      </c>
    </row>
    <row r="10052" spans="1:7" x14ac:dyDescent="0.35">
      <c r="A10052" s="77">
        <v>50082474</v>
      </c>
      <c r="B10052" s="75" t="s">
        <v>27316</v>
      </c>
      <c r="C10052" s="75" t="s">
        <v>27317</v>
      </c>
      <c r="D10052" s="75" t="s">
        <v>225</v>
      </c>
      <c r="G10052" s="75" t="s">
        <v>205</v>
      </c>
    </row>
    <row r="10053" spans="1:7" x14ac:dyDescent="0.35">
      <c r="A10053" s="77">
        <v>50082486</v>
      </c>
      <c r="B10053" s="75" t="s">
        <v>27318</v>
      </c>
      <c r="C10053" s="75" t="s">
        <v>27319</v>
      </c>
      <c r="D10053" s="75" t="s">
        <v>225</v>
      </c>
      <c r="G10053" s="75" t="s">
        <v>205</v>
      </c>
    </row>
    <row r="10054" spans="1:7" x14ac:dyDescent="0.35">
      <c r="A10054" s="77" t="s">
        <v>27320</v>
      </c>
      <c r="B10054" s="75" t="s">
        <v>27321</v>
      </c>
      <c r="C10054" s="75" t="s">
        <v>27322</v>
      </c>
      <c r="D10054" s="75" t="s">
        <v>238</v>
      </c>
      <c r="G10054" s="75" t="s">
        <v>205</v>
      </c>
    </row>
    <row r="10055" spans="1:7" x14ac:dyDescent="0.35">
      <c r="A10055" s="77">
        <v>50082541</v>
      </c>
      <c r="B10055" s="75" t="s">
        <v>27323</v>
      </c>
      <c r="C10055" s="75" t="s">
        <v>27324</v>
      </c>
      <c r="D10055" s="75" t="s">
        <v>238</v>
      </c>
      <c r="G10055" s="75" t="s">
        <v>205</v>
      </c>
    </row>
    <row r="10056" spans="1:7" x14ac:dyDescent="0.35">
      <c r="A10056" s="77">
        <v>50082553</v>
      </c>
      <c r="B10056" s="75" t="s">
        <v>27325</v>
      </c>
      <c r="C10056" s="75" t="s">
        <v>27326</v>
      </c>
      <c r="D10056" s="75" t="s">
        <v>225</v>
      </c>
      <c r="G10056" s="75" t="s">
        <v>205</v>
      </c>
    </row>
    <row r="10057" spans="1:7" x14ac:dyDescent="0.35">
      <c r="A10057" s="77">
        <v>50082565</v>
      </c>
      <c r="B10057" s="75" t="s">
        <v>27327</v>
      </c>
      <c r="C10057" s="75" t="s">
        <v>27328</v>
      </c>
      <c r="D10057" s="75" t="s">
        <v>251</v>
      </c>
      <c r="G10057" s="75" t="s">
        <v>205</v>
      </c>
    </row>
    <row r="10058" spans="1:7" x14ac:dyDescent="0.35">
      <c r="A10058" s="77">
        <v>50082577</v>
      </c>
      <c r="B10058" s="75" t="s">
        <v>27329</v>
      </c>
      <c r="C10058" s="75" t="s">
        <v>27330</v>
      </c>
      <c r="D10058" s="75" t="s">
        <v>225</v>
      </c>
      <c r="G10058" s="75" t="s">
        <v>205</v>
      </c>
    </row>
    <row r="10059" spans="1:7" x14ac:dyDescent="0.35">
      <c r="A10059" s="77">
        <v>50082747</v>
      </c>
      <c r="B10059" s="75" t="s">
        <v>27331</v>
      </c>
      <c r="C10059" s="75" t="s">
        <v>27332</v>
      </c>
      <c r="D10059" s="75" t="s">
        <v>264</v>
      </c>
      <c r="E10059" s="75" t="s">
        <v>225</v>
      </c>
      <c r="G10059" s="75" t="s">
        <v>205</v>
      </c>
    </row>
    <row r="10060" spans="1:7" x14ac:dyDescent="0.35">
      <c r="A10060" s="77">
        <v>50082760</v>
      </c>
      <c r="B10060" s="75" t="s">
        <v>27333</v>
      </c>
      <c r="C10060" s="75" t="s">
        <v>27334</v>
      </c>
      <c r="D10060" s="75" t="s">
        <v>264</v>
      </c>
      <c r="E10060" s="75" t="s">
        <v>225</v>
      </c>
      <c r="G10060" s="75" t="s">
        <v>205</v>
      </c>
    </row>
    <row r="10061" spans="1:7" x14ac:dyDescent="0.35">
      <c r="A10061" s="77">
        <v>50082978</v>
      </c>
      <c r="B10061" s="75" t="s">
        <v>27335</v>
      </c>
      <c r="C10061" s="75" t="s">
        <v>27336</v>
      </c>
      <c r="D10061" s="75" t="s">
        <v>264</v>
      </c>
      <c r="G10061" s="75" t="s">
        <v>205</v>
      </c>
    </row>
    <row r="10062" spans="1:7" x14ac:dyDescent="0.35">
      <c r="A10062" s="77" t="s">
        <v>27337</v>
      </c>
      <c r="B10062" s="75" t="s">
        <v>27338</v>
      </c>
      <c r="C10062" s="75" t="s">
        <v>27339</v>
      </c>
      <c r="D10062" s="75" t="s">
        <v>264</v>
      </c>
      <c r="G10062" s="75" t="s">
        <v>205</v>
      </c>
    </row>
    <row r="10063" spans="1:7" x14ac:dyDescent="0.35">
      <c r="A10063" s="77">
        <v>50082991</v>
      </c>
      <c r="B10063" s="75" t="s">
        <v>27340</v>
      </c>
      <c r="C10063" s="75" t="s">
        <v>27341</v>
      </c>
      <c r="D10063" s="75" t="s">
        <v>264</v>
      </c>
      <c r="G10063" s="75" t="s">
        <v>205</v>
      </c>
    </row>
    <row r="10064" spans="1:7" x14ac:dyDescent="0.35">
      <c r="A10064" s="77">
        <v>50083004</v>
      </c>
      <c r="B10064" s="75" t="s">
        <v>27342</v>
      </c>
      <c r="C10064" s="75" t="s">
        <v>27343</v>
      </c>
      <c r="D10064" s="75" t="s">
        <v>264</v>
      </c>
      <c r="G10064" s="75" t="s">
        <v>205</v>
      </c>
    </row>
    <row r="10065" spans="1:7" x14ac:dyDescent="0.35">
      <c r="A10065" s="77">
        <v>50083338</v>
      </c>
      <c r="B10065" s="75" t="s">
        <v>27344</v>
      </c>
      <c r="C10065" s="75" t="s">
        <v>27345</v>
      </c>
      <c r="D10065" s="75" t="s">
        <v>277</v>
      </c>
      <c r="G10065" s="75" t="s">
        <v>205</v>
      </c>
    </row>
    <row r="10066" spans="1:7" x14ac:dyDescent="0.35">
      <c r="A10066" s="77" t="s">
        <v>27346</v>
      </c>
      <c r="B10066" s="75" t="s">
        <v>27347</v>
      </c>
      <c r="C10066" s="75" t="s">
        <v>27348</v>
      </c>
      <c r="D10066" s="75" t="s">
        <v>264</v>
      </c>
      <c r="G10066" s="75" t="s">
        <v>205</v>
      </c>
    </row>
    <row r="10067" spans="1:7" x14ac:dyDescent="0.35">
      <c r="A10067" s="77">
        <v>50083351</v>
      </c>
      <c r="B10067" s="75" t="s">
        <v>27349</v>
      </c>
      <c r="C10067" s="75" t="s">
        <v>27350</v>
      </c>
      <c r="D10067" s="75" t="s">
        <v>277</v>
      </c>
      <c r="G10067" s="75" t="s">
        <v>205</v>
      </c>
    </row>
    <row r="10068" spans="1:7" x14ac:dyDescent="0.35">
      <c r="A10068" s="77">
        <v>50083612</v>
      </c>
      <c r="B10068" s="75" t="s">
        <v>27351</v>
      </c>
      <c r="C10068" s="75" t="s">
        <v>27352</v>
      </c>
      <c r="D10068" s="75" t="s">
        <v>264</v>
      </c>
      <c r="G10068" s="75" t="s">
        <v>205</v>
      </c>
    </row>
    <row r="10069" spans="1:7" x14ac:dyDescent="0.35">
      <c r="A10069" s="77">
        <v>50083624</v>
      </c>
      <c r="B10069" s="75" t="s">
        <v>27353</v>
      </c>
      <c r="C10069" s="75" t="s">
        <v>27354</v>
      </c>
      <c r="D10069" s="75" t="s">
        <v>264</v>
      </c>
      <c r="G10069" s="75" t="s">
        <v>205</v>
      </c>
    </row>
    <row r="10070" spans="1:7" x14ac:dyDescent="0.35">
      <c r="A10070" s="77">
        <v>50086017</v>
      </c>
      <c r="B10070" s="75" t="s">
        <v>27355</v>
      </c>
      <c r="C10070" s="75" t="s">
        <v>27356</v>
      </c>
      <c r="D10070" s="75" t="s">
        <v>225</v>
      </c>
      <c r="G10070" s="75" t="s">
        <v>205</v>
      </c>
    </row>
    <row r="10071" spans="1:7" x14ac:dyDescent="0.35">
      <c r="A10071" s="77">
        <v>50088245</v>
      </c>
      <c r="B10071" s="75" t="s">
        <v>27357</v>
      </c>
      <c r="C10071" s="75" t="s">
        <v>27358</v>
      </c>
      <c r="D10071" s="75" t="s">
        <v>225</v>
      </c>
      <c r="G10071" s="75" t="s">
        <v>205</v>
      </c>
    </row>
    <row r="10072" spans="1:7" x14ac:dyDescent="0.35">
      <c r="A10072" s="77">
        <v>50088257</v>
      </c>
      <c r="B10072" s="75" t="s">
        <v>27359</v>
      </c>
      <c r="C10072" s="75" t="s">
        <v>27360</v>
      </c>
      <c r="D10072" s="75" t="s">
        <v>225</v>
      </c>
      <c r="G10072" s="75" t="s">
        <v>205</v>
      </c>
    </row>
    <row r="10073" spans="1:7" x14ac:dyDescent="0.35">
      <c r="A10073" s="77">
        <v>50088269</v>
      </c>
      <c r="B10073" s="75" t="s">
        <v>27361</v>
      </c>
      <c r="C10073" s="75" t="s">
        <v>27362</v>
      </c>
      <c r="D10073" s="75" t="s">
        <v>225</v>
      </c>
      <c r="G10073" s="75" t="s">
        <v>205</v>
      </c>
    </row>
    <row r="10074" spans="1:7" x14ac:dyDescent="0.35">
      <c r="A10074" s="77">
        <v>50088270</v>
      </c>
      <c r="B10074" s="75" t="s">
        <v>27363</v>
      </c>
      <c r="C10074" s="75" t="s">
        <v>27364</v>
      </c>
      <c r="D10074" s="75" t="s">
        <v>225</v>
      </c>
      <c r="G10074" s="75" t="s">
        <v>205</v>
      </c>
    </row>
    <row r="10075" spans="1:7" x14ac:dyDescent="0.35">
      <c r="A10075" s="77">
        <v>50088282</v>
      </c>
      <c r="B10075" s="75" t="s">
        <v>27365</v>
      </c>
      <c r="C10075" s="75" t="s">
        <v>27366</v>
      </c>
      <c r="D10075" s="75" t="s">
        <v>225</v>
      </c>
      <c r="G10075" s="75" t="s">
        <v>205</v>
      </c>
    </row>
    <row r="10076" spans="1:7" x14ac:dyDescent="0.35">
      <c r="A10076" s="77">
        <v>50088294</v>
      </c>
      <c r="B10076" s="75" t="s">
        <v>27367</v>
      </c>
      <c r="C10076" s="75" t="s">
        <v>27368</v>
      </c>
      <c r="D10076" s="75" t="s">
        <v>225</v>
      </c>
      <c r="G10076" s="75" t="s">
        <v>205</v>
      </c>
    </row>
    <row r="10077" spans="1:7" x14ac:dyDescent="0.35">
      <c r="A10077" s="77">
        <v>50088300</v>
      </c>
      <c r="B10077" s="75" t="s">
        <v>27369</v>
      </c>
      <c r="C10077" s="75" t="s">
        <v>27370</v>
      </c>
      <c r="D10077" s="75" t="s">
        <v>225</v>
      </c>
      <c r="G10077" s="75" t="s">
        <v>205</v>
      </c>
    </row>
    <row r="10078" spans="1:7" x14ac:dyDescent="0.35">
      <c r="A10078" s="77">
        <v>50088312</v>
      </c>
      <c r="B10078" s="75" t="s">
        <v>27371</v>
      </c>
      <c r="C10078" s="75" t="s">
        <v>27372</v>
      </c>
      <c r="D10078" s="75" t="s">
        <v>225</v>
      </c>
      <c r="G10078" s="75" t="s">
        <v>205</v>
      </c>
    </row>
    <row r="10079" spans="1:7" x14ac:dyDescent="0.35">
      <c r="A10079" s="77">
        <v>50088324</v>
      </c>
      <c r="B10079" s="75" t="s">
        <v>27373</v>
      </c>
      <c r="C10079" s="75" t="s">
        <v>27374</v>
      </c>
      <c r="D10079" s="75" t="s">
        <v>225</v>
      </c>
      <c r="G10079" s="75" t="s">
        <v>205</v>
      </c>
    </row>
    <row r="10080" spans="1:7" x14ac:dyDescent="0.35">
      <c r="A10080" s="77">
        <v>50088336</v>
      </c>
      <c r="B10080" s="75" t="s">
        <v>27375</v>
      </c>
      <c r="C10080" s="75" t="s">
        <v>27376</v>
      </c>
      <c r="D10080" s="75" t="s">
        <v>225</v>
      </c>
      <c r="G10080" s="75" t="s">
        <v>205</v>
      </c>
    </row>
    <row r="10081" spans="1:7" x14ac:dyDescent="0.35">
      <c r="A10081" s="77">
        <v>50088348</v>
      </c>
      <c r="B10081" s="75" t="s">
        <v>27377</v>
      </c>
      <c r="C10081" s="75" t="s">
        <v>27378</v>
      </c>
      <c r="D10081" s="75" t="s">
        <v>225</v>
      </c>
      <c r="G10081" s="75" t="s">
        <v>205</v>
      </c>
    </row>
    <row r="10082" spans="1:7" x14ac:dyDescent="0.35">
      <c r="A10082" s="77">
        <v>50089596</v>
      </c>
      <c r="B10082" s="75" t="s">
        <v>27379</v>
      </c>
      <c r="C10082" s="75" t="s">
        <v>27380</v>
      </c>
      <c r="D10082" s="75" t="s">
        <v>225</v>
      </c>
      <c r="G10082" s="75" t="s">
        <v>205</v>
      </c>
    </row>
    <row r="10083" spans="1:7" x14ac:dyDescent="0.35">
      <c r="A10083" s="77">
        <v>50089602</v>
      </c>
      <c r="B10083" s="75" t="s">
        <v>27381</v>
      </c>
      <c r="C10083" s="75" t="s">
        <v>27382</v>
      </c>
      <c r="D10083" s="75" t="s">
        <v>225</v>
      </c>
      <c r="G10083" s="75" t="s">
        <v>205</v>
      </c>
    </row>
    <row r="10084" spans="1:7" x14ac:dyDescent="0.35">
      <c r="A10084" s="77">
        <v>50089912</v>
      </c>
      <c r="B10084" s="75" t="s">
        <v>27383</v>
      </c>
      <c r="C10084" s="75" t="s">
        <v>27384</v>
      </c>
      <c r="D10084" s="75" t="s">
        <v>225</v>
      </c>
      <c r="G10084" s="75" t="s">
        <v>205</v>
      </c>
    </row>
    <row r="10085" spans="1:7" x14ac:dyDescent="0.35">
      <c r="A10085" s="77">
        <v>50089924</v>
      </c>
      <c r="B10085" s="75" t="s">
        <v>27385</v>
      </c>
      <c r="C10085" s="75" t="s">
        <v>27386</v>
      </c>
      <c r="D10085" s="75" t="s">
        <v>225</v>
      </c>
      <c r="G10085" s="75" t="s">
        <v>205</v>
      </c>
    </row>
    <row r="10086" spans="1:7" x14ac:dyDescent="0.35">
      <c r="A10086" s="77">
        <v>50092200</v>
      </c>
      <c r="B10086" s="75" t="s">
        <v>27387</v>
      </c>
      <c r="C10086" s="75" t="s">
        <v>27388</v>
      </c>
      <c r="D10086" s="75" t="s">
        <v>251</v>
      </c>
      <c r="G10086" s="75" t="s">
        <v>205</v>
      </c>
    </row>
    <row r="10087" spans="1:7" x14ac:dyDescent="0.35">
      <c r="A10087" s="77">
        <v>50092212</v>
      </c>
      <c r="B10087" s="75" t="s">
        <v>27389</v>
      </c>
      <c r="C10087" s="75" t="s">
        <v>27390</v>
      </c>
      <c r="D10087" s="75" t="s">
        <v>251</v>
      </c>
      <c r="G10087" s="75" t="s">
        <v>205</v>
      </c>
    </row>
    <row r="10088" spans="1:7" x14ac:dyDescent="0.35">
      <c r="A10088" s="77">
        <v>50092224</v>
      </c>
      <c r="B10088" s="75" t="s">
        <v>27391</v>
      </c>
      <c r="C10088" s="75" t="s">
        <v>27392</v>
      </c>
      <c r="D10088" s="75" t="s">
        <v>251</v>
      </c>
      <c r="G10088" s="75" t="s">
        <v>205</v>
      </c>
    </row>
    <row r="10089" spans="1:7" x14ac:dyDescent="0.35">
      <c r="A10089" s="77">
        <v>50092236</v>
      </c>
      <c r="B10089" s="75" t="s">
        <v>27393</v>
      </c>
      <c r="C10089" s="75" t="s">
        <v>27394</v>
      </c>
      <c r="D10089" s="75" t="s">
        <v>251</v>
      </c>
      <c r="G10089" s="75" t="s">
        <v>205</v>
      </c>
    </row>
    <row r="10090" spans="1:7" x14ac:dyDescent="0.35">
      <c r="A10090" s="77">
        <v>50092273</v>
      </c>
      <c r="B10090" s="75" t="s">
        <v>27395</v>
      </c>
      <c r="C10090" s="75" t="s">
        <v>27396</v>
      </c>
      <c r="D10090" s="75" t="s">
        <v>251</v>
      </c>
      <c r="G10090" s="75" t="s">
        <v>205</v>
      </c>
    </row>
    <row r="10091" spans="1:7" x14ac:dyDescent="0.35">
      <c r="A10091" s="77">
        <v>50092285</v>
      </c>
      <c r="B10091" s="75" t="s">
        <v>27397</v>
      </c>
      <c r="C10091" s="75" t="s">
        <v>27398</v>
      </c>
      <c r="D10091" s="75" t="s">
        <v>251</v>
      </c>
      <c r="G10091" s="75" t="s">
        <v>205</v>
      </c>
    </row>
    <row r="10092" spans="1:7" x14ac:dyDescent="0.35">
      <c r="A10092" s="77">
        <v>50092297</v>
      </c>
      <c r="B10092" s="75" t="s">
        <v>27399</v>
      </c>
      <c r="C10092" s="75" t="s">
        <v>27400</v>
      </c>
      <c r="D10092" s="75" t="s">
        <v>251</v>
      </c>
      <c r="G10092" s="75" t="s">
        <v>205</v>
      </c>
    </row>
    <row r="10093" spans="1:7" x14ac:dyDescent="0.35">
      <c r="A10093" s="77">
        <v>50092339</v>
      </c>
      <c r="B10093" s="75" t="s">
        <v>27401</v>
      </c>
      <c r="C10093" s="75" t="s">
        <v>27402</v>
      </c>
      <c r="D10093" s="75" t="s">
        <v>251</v>
      </c>
      <c r="G10093" s="75" t="s">
        <v>205</v>
      </c>
    </row>
    <row r="10094" spans="1:7" x14ac:dyDescent="0.35">
      <c r="A10094" s="77">
        <v>50092388</v>
      </c>
      <c r="B10094" s="75" t="s">
        <v>27403</v>
      </c>
      <c r="C10094" s="75" t="s">
        <v>27404</v>
      </c>
      <c r="D10094" s="75" t="s">
        <v>251</v>
      </c>
      <c r="G10094" s="75" t="s">
        <v>205</v>
      </c>
    </row>
    <row r="10095" spans="1:7" x14ac:dyDescent="0.35">
      <c r="A10095" s="77" t="s">
        <v>27405</v>
      </c>
      <c r="B10095" s="75" t="s">
        <v>27406</v>
      </c>
      <c r="C10095" s="75" t="s">
        <v>27407</v>
      </c>
      <c r="D10095" s="75" t="s">
        <v>251</v>
      </c>
      <c r="G10095" s="75" t="s">
        <v>205</v>
      </c>
    </row>
    <row r="10096" spans="1:7" x14ac:dyDescent="0.35">
      <c r="A10096" s="77">
        <v>50092406</v>
      </c>
      <c r="B10096" s="75" t="s">
        <v>27408</v>
      </c>
      <c r="C10096" s="75" t="s">
        <v>27409</v>
      </c>
      <c r="D10096" s="75" t="s">
        <v>251</v>
      </c>
      <c r="G10096" s="75" t="s">
        <v>205</v>
      </c>
    </row>
    <row r="10097" spans="1:7" x14ac:dyDescent="0.35">
      <c r="A10097" s="77">
        <v>50092479</v>
      </c>
      <c r="B10097" s="75" t="s">
        <v>27410</v>
      </c>
      <c r="C10097" s="75" t="s">
        <v>27411</v>
      </c>
      <c r="D10097" s="75" t="s">
        <v>251</v>
      </c>
      <c r="G10097" s="75" t="s">
        <v>205</v>
      </c>
    </row>
    <row r="10098" spans="1:7" x14ac:dyDescent="0.35">
      <c r="A10098" s="77">
        <v>50092480</v>
      </c>
      <c r="B10098" s="75" t="s">
        <v>27412</v>
      </c>
      <c r="C10098" s="75" t="s">
        <v>27413</v>
      </c>
      <c r="D10098" s="75" t="s">
        <v>251</v>
      </c>
      <c r="G10098" s="75" t="s">
        <v>205</v>
      </c>
    </row>
    <row r="10099" spans="1:7" x14ac:dyDescent="0.35">
      <c r="A10099" s="77">
        <v>50092492</v>
      </c>
      <c r="B10099" s="75" t="s">
        <v>27414</v>
      </c>
      <c r="C10099" s="75" t="s">
        <v>27415</v>
      </c>
      <c r="D10099" s="75" t="s">
        <v>251</v>
      </c>
      <c r="G10099" s="75" t="s">
        <v>205</v>
      </c>
    </row>
    <row r="10100" spans="1:7" x14ac:dyDescent="0.35">
      <c r="A10100" s="77">
        <v>50092509</v>
      </c>
      <c r="B10100" s="75" t="s">
        <v>27416</v>
      </c>
      <c r="C10100" s="75" t="s">
        <v>27417</v>
      </c>
      <c r="D10100" s="75" t="s">
        <v>251</v>
      </c>
      <c r="G10100" s="75" t="s">
        <v>205</v>
      </c>
    </row>
    <row r="10101" spans="1:7" x14ac:dyDescent="0.35">
      <c r="A10101" s="77">
        <v>50092510</v>
      </c>
      <c r="B10101" s="75" t="s">
        <v>27418</v>
      </c>
      <c r="C10101" s="75" t="s">
        <v>27419</v>
      </c>
      <c r="D10101" s="75" t="s">
        <v>251</v>
      </c>
      <c r="G10101" s="75" t="s">
        <v>205</v>
      </c>
    </row>
    <row r="10102" spans="1:7" x14ac:dyDescent="0.35">
      <c r="A10102" s="77">
        <v>50097441</v>
      </c>
      <c r="B10102" s="75" t="s">
        <v>27420</v>
      </c>
      <c r="C10102" s="75" t="s">
        <v>27421</v>
      </c>
      <c r="D10102" s="75" t="s">
        <v>251</v>
      </c>
      <c r="G10102" s="75" t="s">
        <v>205</v>
      </c>
    </row>
    <row r="10103" spans="1:7" x14ac:dyDescent="0.35">
      <c r="A10103" s="77">
        <v>50102680</v>
      </c>
      <c r="B10103" s="75" t="s">
        <v>27422</v>
      </c>
      <c r="C10103" s="75" t="s">
        <v>27423</v>
      </c>
      <c r="D10103" s="75" t="s">
        <v>251</v>
      </c>
      <c r="G10103" s="75" t="s">
        <v>205</v>
      </c>
    </row>
    <row r="10104" spans="1:7" x14ac:dyDescent="0.35">
      <c r="A10104" s="77">
        <v>60009378</v>
      </c>
      <c r="B10104" s="75" t="s">
        <v>27424</v>
      </c>
      <c r="C10104" s="75" t="s">
        <v>27425</v>
      </c>
      <c r="D10104" s="75" t="s">
        <v>264</v>
      </c>
      <c r="G10104" s="75" t="s">
        <v>205</v>
      </c>
    </row>
    <row r="10105" spans="1:7" x14ac:dyDescent="0.35">
      <c r="A10105" s="77">
        <v>60010873</v>
      </c>
      <c r="B10105" s="75" t="s">
        <v>27426</v>
      </c>
      <c r="C10105" s="75" t="s">
        <v>27427</v>
      </c>
      <c r="D10105" s="75" t="s">
        <v>277</v>
      </c>
      <c r="G10105" s="75" t="s">
        <v>205</v>
      </c>
    </row>
    <row r="10106" spans="1:7" x14ac:dyDescent="0.35">
      <c r="A10106" s="77">
        <v>60010885</v>
      </c>
      <c r="B10106" s="75" t="s">
        <v>27428</v>
      </c>
      <c r="C10106" s="75" t="s">
        <v>27429</v>
      </c>
      <c r="D10106" s="75" t="s">
        <v>277</v>
      </c>
      <c r="G10106" s="75" t="s">
        <v>205</v>
      </c>
    </row>
    <row r="10107" spans="1:7" x14ac:dyDescent="0.35">
      <c r="A10107" s="77">
        <v>60011129</v>
      </c>
      <c r="B10107" s="75" t="s">
        <v>27430</v>
      </c>
      <c r="C10107" s="75" t="s">
        <v>27431</v>
      </c>
      <c r="D10107" s="75" t="s">
        <v>264</v>
      </c>
      <c r="G10107" s="75" t="s">
        <v>205</v>
      </c>
    </row>
    <row r="10108" spans="1:7" x14ac:dyDescent="0.35">
      <c r="A10108" s="77">
        <v>60017193</v>
      </c>
      <c r="B10108" s="75" t="s">
        <v>27432</v>
      </c>
      <c r="C10108" s="75" t="s">
        <v>27433</v>
      </c>
      <c r="D10108" s="75" t="s">
        <v>225</v>
      </c>
      <c r="G10108" s="75" t="s">
        <v>205</v>
      </c>
    </row>
    <row r="10109" spans="1:7" x14ac:dyDescent="0.35">
      <c r="A10109" s="77">
        <v>60020805</v>
      </c>
      <c r="B10109" s="75" t="s">
        <v>27434</v>
      </c>
      <c r="C10109" s="75" t="s">
        <v>27435</v>
      </c>
      <c r="D10109" s="75" t="s">
        <v>225</v>
      </c>
      <c r="G10109" s="75" t="s">
        <v>205</v>
      </c>
    </row>
    <row r="10110" spans="1:7" x14ac:dyDescent="0.35">
      <c r="A10110" s="77">
        <v>60020817</v>
      </c>
      <c r="B10110" s="75" t="s">
        <v>27436</v>
      </c>
      <c r="C10110" s="75" t="s">
        <v>27437</v>
      </c>
      <c r="D10110" s="75" t="s">
        <v>225</v>
      </c>
      <c r="G10110" s="75" t="s">
        <v>205</v>
      </c>
    </row>
    <row r="10111" spans="1:7" x14ac:dyDescent="0.35">
      <c r="A10111" s="77">
        <v>60021329</v>
      </c>
      <c r="B10111" s="75" t="s">
        <v>27438</v>
      </c>
      <c r="C10111" s="75" t="s">
        <v>27439</v>
      </c>
      <c r="D10111" s="75" t="s">
        <v>225</v>
      </c>
      <c r="G10111" s="75" t="s">
        <v>205</v>
      </c>
    </row>
    <row r="10112" spans="1:7" x14ac:dyDescent="0.35">
      <c r="A10112" s="77">
        <v>60021573</v>
      </c>
      <c r="B10112" s="75" t="s">
        <v>27440</v>
      </c>
      <c r="C10112" s="75" t="s">
        <v>27441</v>
      </c>
      <c r="D10112" s="75" t="s">
        <v>225</v>
      </c>
      <c r="G10112" s="75" t="s">
        <v>205</v>
      </c>
    </row>
    <row r="10113" spans="1:7" x14ac:dyDescent="0.35">
      <c r="A10113" s="77">
        <v>60021585</v>
      </c>
      <c r="B10113" s="75" t="s">
        <v>27442</v>
      </c>
      <c r="C10113" s="75" t="s">
        <v>27443</v>
      </c>
      <c r="D10113" s="75" t="s">
        <v>225</v>
      </c>
      <c r="G10113" s="75" t="s">
        <v>205</v>
      </c>
    </row>
    <row r="10114" spans="1:7" x14ac:dyDescent="0.35">
      <c r="A10114" s="77">
        <v>60021597</v>
      </c>
      <c r="B10114" s="75" t="s">
        <v>27444</v>
      </c>
      <c r="C10114" s="75" t="s">
        <v>27445</v>
      </c>
      <c r="D10114" s="75" t="s">
        <v>225</v>
      </c>
      <c r="G10114" s="75" t="s">
        <v>205</v>
      </c>
    </row>
    <row r="10115" spans="1:7" x14ac:dyDescent="0.35">
      <c r="A10115" s="77">
        <v>60021603</v>
      </c>
      <c r="B10115" s="75" t="s">
        <v>27446</v>
      </c>
      <c r="C10115" s="75" t="s">
        <v>27447</v>
      </c>
      <c r="D10115" s="75" t="s">
        <v>225</v>
      </c>
      <c r="G10115" s="75" t="s">
        <v>205</v>
      </c>
    </row>
    <row r="10116" spans="1:7" x14ac:dyDescent="0.35">
      <c r="A10116" s="77">
        <v>60021615</v>
      </c>
      <c r="B10116" s="75" t="s">
        <v>27448</v>
      </c>
      <c r="C10116" s="75" t="s">
        <v>27449</v>
      </c>
      <c r="D10116" s="75" t="s">
        <v>264</v>
      </c>
      <c r="G10116" s="75" t="s">
        <v>205</v>
      </c>
    </row>
    <row r="10117" spans="1:7" x14ac:dyDescent="0.35">
      <c r="A10117" s="77">
        <v>60022796</v>
      </c>
      <c r="B10117" s="75" t="s">
        <v>27450</v>
      </c>
      <c r="C10117" s="75" t="s">
        <v>27451</v>
      </c>
      <c r="D10117" s="75" t="s">
        <v>264</v>
      </c>
      <c r="G10117" s="75" t="s">
        <v>205</v>
      </c>
    </row>
    <row r="10118" spans="1:7" x14ac:dyDescent="0.35">
      <c r="A10118" s="77">
        <v>60029407</v>
      </c>
      <c r="B10118" s="75" t="s">
        <v>27452</v>
      </c>
      <c r="C10118" s="75" t="s">
        <v>27453</v>
      </c>
      <c r="D10118" s="75" t="s">
        <v>264</v>
      </c>
      <c r="G10118" s="75" t="s">
        <v>205</v>
      </c>
    </row>
    <row r="10119" spans="1:7" x14ac:dyDescent="0.35">
      <c r="A10119" s="77">
        <v>60029444</v>
      </c>
      <c r="B10119" s="75" t="s">
        <v>27454</v>
      </c>
      <c r="C10119" s="75" t="s">
        <v>27455</v>
      </c>
      <c r="D10119" s="75" t="s">
        <v>264</v>
      </c>
      <c r="G10119" s="75" t="s">
        <v>205</v>
      </c>
    </row>
    <row r="10120" spans="1:7" x14ac:dyDescent="0.35">
      <c r="A10120" s="77">
        <v>60042680</v>
      </c>
      <c r="B10120" s="75" t="s">
        <v>27456</v>
      </c>
      <c r="C10120" s="75" t="s">
        <v>27457</v>
      </c>
      <c r="D10120" s="75" t="s">
        <v>264</v>
      </c>
      <c r="G10120" s="75" t="s">
        <v>205</v>
      </c>
    </row>
    <row r="10121" spans="1:7" x14ac:dyDescent="0.35">
      <c r="A10121" s="77">
        <v>60051255</v>
      </c>
      <c r="B10121" s="75" t="s">
        <v>27458</v>
      </c>
      <c r="C10121" s="75" t="s">
        <v>27459</v>
      </c>
      <c r="D10121" s="75" t="s">
        <v>225</v>
      </c>
      <c r="G10121" s="75" t="s">
        <v>205</v>
      </c>
    </row>
    <row r="10122" spans="1:7" x14ac:dyDescent="0.35">
      <c r="A10122" s="77">
        <v>60051267</v>
      </c>
      <c r="B10122" s="75" t="s">
        <v>27460</v>
      </c>
      <c r="C10122" s="75" t="s">
        <v>27461</v>
      </c>
      <c r="D10122" s="75" t="s">
        <v>225</v>
      </c>
      <c r="G10122" s="75" t="s">
        <v>205</v>
      </c>
    </row>
    <row r="10123" spans="1:7" x14ac:dyDescent="0.35">
      <c r="A10123" s="77" t="s">
        <v>27462</v>
      </c>
      <c r="B10123" s="75" t="s">
        <v>27463</v>
      </c>
      <c r="C10123" s="75" t="s">
        <v>27457</v>
      </c>
      <c r="D10123" s="75" t="s">
        <v>264</v>
      </c>
      <c r="G10123" s="75" t="s">
        <v>205</v>
      </c>
    </row>
    <row r="10124" spans="1:7" x14ac:dyDescent="0.35">
      <c r="A10124" s="77">
        <v>60052028</v>
      </c>
      <c r="B10124" s="75" t="s">
        <v>27464</v>
      </c>
      <c r="C10124" s="75" t="s">
        <v>27457</v>
      </c>
      <c r="D10124" s="75" t="s">
        <v>264</v>
      </c>
      <c r="G10124" s="75" t="s">
        <v>205</v>
      </c>
    </row>
    <row r="10125" spans="1:7" x14ac:dyDescent="0.35">
      <c r="A10125" s="77">
        <v>60054372</v>
      </c>
      <c r="B10125" s="75" t="s">
        <v>27465</v>
      </c>
      <c r="C10125" s="75" t="s">
        <v>27466</v>
      </c>
      <c r="D10125" s="75" t="s">
        <v>225</v>
      </c>
      <c r="G10125" s="75" t="s">
        <v>205</v>
      </c>
    </row>
    <row r="10126" spans="1:7" x14ac:dyDescent="0.35">
      <c r="A10126" s="77">
        <v>60054840</v>
      </c>
      <c r="B10126" s="75" t="s">
        <v>27467</v>
      </c>
      <c r="C10126" s="75" t="s">
        <v>27468</v>
      </c>
      <c r="D10126" s="75" t="s">
        <v>225</v>
      </c>
      <c r="G10126" s="75" t="s">
        <v>205</v>
      </c>
    </row>
    <row r="10127" spans="1:7" x14ac:dyDescent="0.35">
      <c r="A10127" s="77">
        <v>60055194</v>
      </c>
      <c r="B10127" s="75" t="s">
        <v>27469</v>
      </c>
      <c r="C10127" s="75" t="s">
        <v>27470</v>
      </c>
      <c r="D10127" s="75" t="s">
        <v>264</v>
      </c>
      <c r="G10127" s="75" t="s">
        <v>205</v>
      </c>
    </row>
    <row r="10128" spans="1:7" x14ac:dyDescent="0.35">
      <c r="A10128" s="77">
        <v>60056265</v>
      </c>
      <c r="B10128" s="75" t="s">
        <v>27471</v>
      </c>
      <c r="C10128" s="75" t="s">
        <v>27472</v>
      </c>
      <c r="D10128" s="75" t="s">
        <v>264</v>
      </c>
      <c r="G10128" s="75" t="s">
        <v>205</v>
      </c>
    </row>
    <row r="10129" spans="1:7" x14ac:dyDescent="0.35">
      <c r="A10129" s="77">
        <v>60056368</v>
      </c>
      <c r="B10129" s="75" t="s">
        <v>27473</v>
      </c>
      <c r="C10129" s="75" t="s">
        <v>27474</v>
      </c>
      <c r="D10129" s="75" t="s">
        <v>225</v>
      </c>
      <c r="G10129" s="75" t="s">
        <v>205</v>
      </c>
    </row>
    <row r="10130" spans="1:7" x14ac:dyDescent="0.35">
      <c r="A10130" s="77">
        <v>60056599</v>
      </c>
      <c r="B10130" s="75" t="s">
        <v>27475</v>
      </c>
      <c r="C10130" s="75" t="s">
        <v>27476</v>
      </c>
      <c r="D10130" s="75" t="s">
        <v>264</v>
      </c>
      <c r="G10130" s="75" t="s">
        <v>205</v>
      </c>
    </row>
    <row r="10131" spans="1:7" x14ac:dyDescent="0.35">
      <c r="A10131" s="77">
        <v>60056617</v>
      </c>
      <c r="B10131" s="75" t="s">
        <v>27477</v>
      </c>
      <c r="C10131" s="75" t="s">
        <v>27478</v>
      </c>
      <c r="D10131" s="75" t="s">
        <v>264</v>
      </c>
      <c r="G10131" s="75" t="s">
        <v>205</v>
      </c>
    </row>
    <row r="10132" spans="1:7" x14ac:dyDescent="0.35">
      <c r="A10132" s="77">
        <v>60062484</v>
      </c>
      <c r="B10132" s="75" t="s">
        <v>27479</v>
      </c>
      <c r="C10132" s="75" t="s">
        <v>27457</v>
      </c>
      <c r="D10132" s="75" t="s">
        <v>264</v>
      </c>
      <c r="G10132" s="75" t="s">
        <v>205</v>
      </c>
    </row>
    <row r="10133" spans="1:7" x14ac:dyDescent="0.35">
      <c r="A10133" s="77">
        <v>60063002</v>
      </c>
      <c r="B10133" s="75" t="s">
        <v>27480</v>
      </c>
      <c r="C10133" s="75" t="s">
        <v>27476</v>
      </c>
      <c r="D10133" s="75" t="s">
        <v>264</v>
      </c>
      <c r="G10133" s="75" t="s">
        <v>205</v>
      </c>
    </row>
    <row r="10134" spans="1:7" x14ac:dyDescent="0.35">
      <c r="A10134" s="77">
        <v>60063014</v>
      </c>
      <c r="B10134" s="75" t="s">
        <v>27481</v>
      </c>
      <c r="C10134" s="75" t="s">
        <v>27470</v>
      </c>
      <c r="D10134" s="75" t="s">
        <v>264</v>
      </c>
      <c r="G10134" s="75" t="s">
        <v>205</v>
      </c>
    </row>
    <row r="10135" spans="1:7" x14ac:dyDescent="0.35">
      <c r="A10135" s="77">
        <v>60065989</v>
      </c>
      <c r="B10135" s="75" t="s">
        <v>27482</v>
      </c>
      <c r="C10135" s="75" t="s">
        <v>27457</v>
      </c>
      <c r="D10135" s="75" t="s">
        <v>264</v>
      </c>
      <c r="G10135" s="75" t="s">
        <v>205</v>
      </c>
    </row>
    <row r="10136" spans="1:7" x14ac:dyDescent="0.35">
      <c r="A10136" s="77">
        <v>60102548</v>
      </c>
      <c r="B10136" s="75" t="s">
        <v>27483</v>
      </c>
      <c r="C10136" s="75" t="s">
        <v>11355</v>
      </c>
      <c r="D10136" s="75" t="s">
        <v>264</v>
      </c>
      <c r="G10136" s="75" t="s">
        <v>205</v>
      </c>
    </row>
    <row r="10137" spans="1:7" x14ac:dyDescent="0.35">
      <c r="A10137" s="77">
        <v>60104077</v>
      </c>
      <c r="B10137" s="75" t="s">
        <v>27484</v>
      </c>
      <c r="C10137" s="75" t="s">
        <v>27485</v>
      </c>
      <c r="D10137" s="75" t="s">
        <v>264</v>
      </c>
      <c r="G10137" s="75" t="s">
        <v>205</v>
      </c>
    </row>
    <row r="10138" spans="1:7" x14ac:dyDescent="0.35">
      <c r="A10138" s="77">
        <v>60104089</v>
      </c>
      <c r="B10138" s="75" t="s">
        <v>27486</v>
      </c>
      <c r="C10138" s="75" t="s">
        <v>27487</v>
      </c>
      <c r="D10138" s="75" t="s">
        <v>264</v>
      </c>
      <c r="G10138" s="75" t="s">
        <v>205</v>
      </c>
    </row>
    <row r="10139" spans="1:7" x14ac:dyDescent="0.35">
      <c r="A10139" s="77">
        <v>60104624</v>
      </c>
      <c r="B10139" s="75" t="s">
        <v>27488</v>
      </c>
      <c r="C10139" s="75" t="s">
        <v>11355</v>
      </c>
      <c r="D10139" s="75" t="s">
        <v>264</v>
      </c>
      <c r="G10139" s="75" t="s">
        <v>205</v>
      </c>
    </row>
    <row r="10140" spans="1:7" x14ac:dyDescent="0.35">
      <c r="A10140" s="77">
        <v>60104636</v>
      </c>
      <c r="B10140" s="75" t="s">
        <v>27489</v>
      </c>
      <c r="C10140" s="75" t="s">
        <v>11355</v>
      </c>
      <c r="D10140" s="75" t="s">
        <v>264</v>
      </c>
      <c r="G10140" s="75" t="s">
        <v>205</v>
      </c>
    </row>
    <row r="10141" spans="1:7" x14ac:dyDescent="0.35">
      <c r="A10141" s="77">
        <v>60105185</v>
      </c>
      <c r="B10141" s="75" t="s">
        <v>27490</v>
      </c>
      <c r="C10141" s="75" t="s">
        <v>11355</v>
      </c>
      <c r="D10141" s="75" t="s">
        <v>264</v>
      </c>
      <c r="G10141" s="75" t="s">
        <v>205</v>
      </c>
    </row>
    <row r="10142" spans="1:7" x14ac:dyDescent="0.35">
      <c r="A10142" s="77" t="s">
        <v>27491</v>
      </c>
      <c r="B10142" s="75" t="s">
        <v>27492</v>
      </c>
      <c r="C10142" s="75" t="s">
        <v>11355</v>
      </c>
      <c r="D10142" s="75" t="s">
        <v>264</v>
      </c>
      <c r="G10142" s="75" t="s">
        <v>205</v>
      </c>
    </row>
    <row r="10143" spans="1:7" x14ac:dyDescent="0.35">
      <c r="A10143" s="77">
        <v>60105872</v>
      </c>
      <c r="B10143" s="75" t="s">
        <v>27493</v>
      </c>
      <c r="C10143" s="75" t="s">
        <v>27494</v>
      </c>
      <c r="D10143" s="75" t="s">
        <v>264</v>
      </c>
      <c r="G10143" s="75" t="s">
        <v>205</v>
      </c>
    </row>
    <row r="10144" spans="1:7" x14ac:dyDescent="0.35">
      <c r="A10144" s="77">
        <v>60105902</v>
      </c>
      <c r="B10144" s="75" t="s">
        <v>27495</v>
      </c>
      <c r="C10144" s="75" t="s">
        <v>27496</v>
      </c>
      <c r="D10144" s="75" t="s">
        <v>264</v>
      </c>
      <c r="G10144" s="75" t="s">
        <v>205</v>
      </c>
    </row>
    <row r="10145" spans="1:7" x14ac:dyDescent="0.35">
      <c r="A10145" s="77">
        <v>60110508</v>
      </c>
      <c r="B10145" s="75" t="s">
        <v>27497</v>
      </c>
      <c r="C10145" s="75" t="s">
        <v>27498</v>
      </c>
      <c r="D10145" s="75" t="s">
        <v>264</v>
      </c>
      <c r="G10145" s="75" t="s">
        <v>205</v>
      </c>
    </row>
    <row r="10146" spans="1:7" x14ac:dyDescent="0.35">
      <c r="A10146" s="77">
        <v>60112281</v>
      </c>
      <c r="B10146" s="75" t="s">
        <v>27499</v>
      </c>
      <c r="C10146" s="75" t="s">
        <v>27500</v>
      </c>
      <c r="D10146" s="75" t="s">
        <v>264</v>
      </c>
      <c r="G10146" s="75" t="s">
        <v>205</v>
      </c>
    </row>
    <row r="10147" spans="1:7" x14ac:dyDescent="0.35">
      <c r="A10147" s="77">
        <v>60114629</v>
      </c>
      <c r="B10147" s="75" t="s">
        <v>27501</v>
      </c>
      <c r="C10147" s="75" t="s">
        <v>11355</v>
      </c>
      <c r="D10147" s="75" t="s">
        <v>264</v>
      </c>
      <c r="G10147" s="75" t="s">
        <v>205</v>
      </c>
    </row>
    <row r="10148" spans="1:7" x14ac:dyDescent="0.35">
      <c r="A10148" s="77">
        <v>60116225</v>
      </c>
      <c r="B10148" s="75" t="s">
        <v>27502</v>
      </c>
      <c r="C10148" s="75" t="s">
        <v>11355</v>
      </c>
      <c r="D10148" s="75" t="s">
        <v>264</v>
      </c>
      <c r="G10148" s="75" t="s">
        <v>205</v>
      </c>
    </row>
    <row r="10149" spans="1:7" x14ac:dyDescent="0.35">
      <c r="A10149" s="77">
        <v>60123825</v>
      </c>
      <c r="B10149" s="75" t="s">
        <v>27503</v>
      </c>
      <c r="C10149" s="75" t="s">
        <v>27498</v>
      </c>
      <c r="D10149" s="75" t="s">
        <v>264</v>
      </c>
      <c r="G10149" s="75" t="s">
        <v>205</v>
      </c>
    </row>
    <row r="10150" spans="1:7" x14ac:dyDescent="0.35">
      <c r="A10150" s="77">
        <v>60123837</v>
      </c>
      <c r="B10150" s="75" t="s">
        <v>27504</v>
      </c>
      <c r="C10150" s="75" t="s">
        <v>27505</v>
      </c>
      <c r="D10150" s="75" t="s">
        <v>264</v>
      </c>
      <c r="G10150" s="75" t="s">
        <v>205</v>
      </c>
    </row>
    <row r="10151" spans="1:7" x14ac:dyDescent="0.35">
      <c r="A10151" s="77">
        <v>60123849</v>
      </c>
      <c r="B10151" s="75" t="s">
        <v>27506</v>
      </c>
      <c r="C10151" s="75" t="s">
        <v>27487</v>
      </c>
      <c r="D10151" s="75" t="s">
        <v>264</v>
      </c>
      <c r="G10151" s="75" t="s">
        <v>205</v>
      </c>
    </row>
    <row r="10152" spans="1:7" x14ac:dyDescent="0.35">
      <c r="A10152" s="77">
        <v>60123850</v>
      </c>
      <c r="B10152" s="75" t="s">
        <v>27507</v>
      </c>
      <c r="C10152" s="75" t="s">
        <v>27494</v>
      </c>
      <c r="D10152" s="75" t="s">
        <v>264</v>
      </c>
      <c r="G10152" s="75" t="s">
        <v>205</v>
      </c>
    </row>
    <row r="10153" spans="1:7" x14ac:dyDescent="0.35">
      <c r="A10153" s="77">
        <v>60123862</v>
      </c>
      <c r="B10153" s="75" t="s">
        <v>27508</v>
      </c>
      <c r="C10153" s="75" t="s">
        <v>27496</v>
      </c>
      <c r="D10153" s="75" t="s">
        <v>264</v>
      </c>
      <c r="G10153" s="75" t="s">
        <v>205</v>
      </c>
    </row>
    <row r="10154" spans="1:7" x14ac:dyDescent="0.35">
      <c r="A10154" s="77">
        <v>60123874</v>
      </c>
      <c r="B10154" s="75" t="s">
        <v>27509</v>
      </c>
      <c r="C10154" s="75" t="s">
        <v>27485</v>
      </c>
      <c r="D10154" s="75" t="s">
        <v>264</v>
      </c>
      <c r="G10154" s="75" t="s">
        <v>205</v>
      </c>
    </row>
    <row r="10155" spans="1:7" x14ac:dyDescent="0.35">
      <c r="A10155" s="77">
        <v>60124453</v>
      </c>
      <c r="B10155" s="75" t="s">
        <v>27510</v>
      </c>
      <c r="C10155" s="75" t="s">
        <v>11355</v>
      </c>
      <c r="D10155" s="75" t="s">
        <v>264</v>
      </c>
      <c r="G10155" s="75" t="s">
        <v>205</v>
      </c>
    </row>
    <row r="10156" spans="1:7" x14ac:dyDescent="0.35">
      <c r="A10156" s="77">
        <v>60125032</v>
      </c>
      <c r="B10156" s="75" t="s">
        <v>27511</v>
      </c>
      <c r="C10156" s="75" t="s">
        <v>27512</v>
      </c>
      <c r="D10156" s="75" t="s">
        <v>264</v>
      </c>
      <c r="G10156" s="75" t="s">
        <v>205</v>
      </c>
    </row>
    <row r="10157" spans="1:7" x14ac:dyDescent="0.35">
      <c r="A10157" s="77" t="s">
        <v>27513</v>
      </c>
      <c r="B10157" s="75" t="s">
        <v>27514</v>
      </c>
      <c r="C10157" s="75" t="s">
        <v>27515</v>
      </c>
      <c r="D10157" s="75" t="s">
        <v>264</v>
      </c>
      <c r="G10157" s="75" t="s">
        <v>205</v>
      </c>
    </row>
    <row r="10158" spans="1:7" x14ac:dyDescent="0.35">
      <c r="A10158" s="77">
        <v>60132644</v>
      </c>
      <c r="B10158" s="75" t="s">
        <v>27516</v>
      </c>
      <c r="C10158" s="75" t="s">
        <v>11355</v>
      </c>
      <c r="D10158" s="75" t="s">
        <v>264</v>
      </c>
      <c r="G10158" s="75" t="s">
        <v>205</v>
      </c>
    </row>
    <row r="10159" spans="1:7" x14ac:dyDescent="0.35">
      <c r="A10159" s="77">
        <v>60137277</v>
      </c>
      <c r="B10159" s="75" t="s">
        <v>27517</v>
      </c>
      <c r="C10159" s="75" t="s">
        <v>27518</v>
      </c>
      <c r="D10159" s="75" t="s">
        <v>264</v>
      </c>
      <c r="G10159" s="75" t="s">
        <v>205</v>
      </c>
    </row>
    <row r="10160" spans="1:7" x14ac:dyDescent="0.35">
      <c r="A10160" s="77">
        <v>60137289</v>
      </c>
      <c r="B10160" s="75" t="s">
        <v>27519</v>
      </c>
      <c r="C10160" s="75" t="s">
        <v>27520</v>
      </c>
      <c r="D10160" s="75" t="s">
        <v>264</v>
      </c>
      <c r="G10160" s="75" t="s">
        <v>205</v>
      </c>
    </row>
    <row r="10161" spans="1:7" x14ac:dyDescent="0.35">
      <c r="A10161" s="77">
        <v>60153507</v>
      </c>
      <c r="B10161" s="75" t="s">
        <v>27521</v>
      </c>
      <c r="C10161" s="75" t="s">
        <v>11355</v>
      </c>
      <c r="D10161" s="75" t="s">
        <v>264</v>
      </c>
      <c r="G10161" s="75" t="s">
        <v>205</v>
      </c>
    </row>
    <row r="10162" spans="1:7" x14ac:dyDescent="0.35">
      <c r="A10162" s="77">
        <v>60161413</v>
      </c>
      <c r="B10162" s="75" t="s">
        <v>27522</v>
      </c>
      <c r="C10162" s="75" t="s">
        <v>27512</v>
      </c>
      <c r="D10162" s="75" t="s">
        <v>264</v>
      </c>
      <c r="G10162" s="75" t="s">
        <v>205</v>
      </c>
    </row>
    <row r="10163" spans="1:7" x14ac:dyDescent="0.35">
      <c r="A10163" s="77">
        <v>60161991</v>
      </c>
      <c r="B10163" s="75" t="s">
        <v>27523</v>
      </c>
      <c r="C10163" s="75" t="s">
        <v>27515</v>
      </c>
      <c r="D10163" s="75" t="s">
        <v>264</v>
      </c>
      <c r="G10163" s="75" t="s">
        <v>205</v>
      </c>
    </row>
    <row r="10164" spans="1:7" x14ac:dyDescent="0.35">
      <c r="A10164" s="77">
        <v>60181229</v>
      </c>
      <c r="B10164" s="75" t="s">
        <v>27524</v>
      </c>
      <c r="C10164" s="75" t="s">
        <v>27525</v>
      </c>
      <c r="D10164" s="75" t="s">
        <v>264</v>
      </c>
      <c r="G10164" s="75" t="s">
        <v>205</v>
      </c>
    </row>
    <row r="10165" spans="1:7" x14ac:dyDescent="0.35">
      <c r="A10165" s="77">
        <v>60182222</v>
      </c>
      <c r="B10165" s="75" t="s">
        <v>27526</v>
      </c>
      <c r="C10165" s="75" t="s">
        <v>27527</v>
      </c>
      <c r="D10165" s="75" t="s">
        <v>264</v>
      </c>
      <c r="G10165" s="75" t="s">
        <v>205</v>
      </c>
    </row>
    <row r="10166" spans="1:7" x14ac:dyDescent="0.35">
      <c r="A10166" s="77">
        <v>60183640</v>
      </c>
      <c r="B10166" s="75" t="s">
        <v>27528</v>
      </c>
      <c r="C10166" s="75" t="s">
        <v>27200</v>
      </c>
      <c r="D10166" s="75" t="s">
        <v>277</v>
      </c>
      <c r="G10166" s="75" t="s">
        <v>205</v>
      </c>
    </row>
    <row r="10167" spans="1:7" x14ac:dyDescent="0.35">
      <c r="A10167" s="77">
        <v>60183652</v>
      </c>
      <c r="B10167" s="75" t="s">
        <v>27529</v>
      </c>
      <c r="C10167" s="75" t="s">
        <v>27198</v>
      </c>
      <c r="D10167" s="75" t="s">
        <v>277</v>
      </c>
      <c r="G10167" s="75" t="s">
        <v>205</v>
      </c>
    </row>
    <row r="10168" spans="1:7" x14ac:dyDescent="0.35">
      <c r="A10168" s="77" t="s">
        <v>27530</v>
      </c>
      <c r="B10168" s="75" t="s">
        <v>27531</v>
      </c>
      <c r="C10168" s="75" t="s">
        <v>27532</v>
      </c>
      <c r="D10168" s="75" t="s">
        <v>277</v>
      </c>
      <c r="G10168" s="75" t="s">
        <v>205</v>
      </c>
    </row>
    <row r="10169" spans="1:7" x14ac:dyDescent="0.35">
      <c r="A10169" s="77">
        <v>60304509</v>
      </c>
      <c r="B10169" s="75" t="s">
        <v>27533</v>
      </c>
      <c r="C10169" s="75" t="s">
        <v>27534</v>
      </c>
      <c r="D10169" s="75" t="s">
        <v>225</v>
      </c>
      <c r="G10169" s="75" t="s">
        <v>205</v>
      </c>
    </row>
    <row r="10170" spans="1:7" x14ac:dyDescent="0.35">
      <c r="A10170" s="77">
        <v>60304510</v>
      </c>
      <c r="B10170" s="75" t="s">
        <v>27535</v>
      </c>
      <c r="C10170" s="75" t="s">
        <v>27536</v>
      </c>
      <c r="D10170" s="75" t="s">
        <v>225</v>
      </c>
      <c r="G10170" s="75" t="s">
        <v>205</v>
      </c>
    </row>
    <row r="10171" spans="1:7" x14ac:dyDescent="0.35">
      <c r="A10171" s="77">
        <v>60304649</v>
      </c>
      <c r="B10171" s="75" t="s">
        <v>27537</v>
      </c>
      <c r="C10171" s="75" t="s">
        <v>27538</v>
      </c>
      <c r="D10171" s="75" t="s">
        <v>264</v>
      </c>
      <c r="E10171" s="75" t="s">
        <v>225</v>
      </c>
      <c r="G10171" s="75" t="s">
        <v>205</v>
      </c>
    </row>
    <row r="10172" spans="1:7" x14ac:dyDescent="0.35">
      <c r="A10172" s="77">
        <v>60304650</v>
      </c>
      <c r="B10172" s="75" t="s">
        <v>27539</v>
      </c>
      <c r="C10172" s="75" t="s">
        <v>27540</v>
      </c>
      <c r="D10172" s="75" t="s">
        <v>264</v>
      </c>
      <c r="E10172" s="75" t="s">
        <v>225</v>
      </c>
      <c r="G10172" s="75" t="s">
        <v>205</v>
      </c>
    </row>
    <row r="10173" spans="1:7" x14ac:dyDescent="0.35">
      <c r="A10173" s="77">
        <v>60304716</v>
      </c>
      <c r="B10173" s="75" t="s">
        <v>27541</v>
      </c>
      <c r="C10173" s="75" t="s">
        <v>27542</v>
      </c>
      <c r="D10173" s="75" t="s">
        <v>238</v>
      </c>
      <c r="G10173" s="75" t="s">
        <v>205</v>
      </c>
    </row>
    <row r="10174" spans="1:7" x14ac:dyDescent="0.35">
      <c r="A10174" s="77">
        <v>60304728</v>
      </c>
      <c r="B10174" s="75" t="s">
        <v>27543</v>
      </c>
      <c r="C10174" s="75" t="s">
        <v>27544</v>
      </c>
      <c r="D10174" s="75" t="s">
        <v>238</v>
      </c>
      <c r="G10174" s="75" t="s">
        <v>205</v>
      </c>
    </row>
    <row r="10175" spans="1:7" x14ac:dyDescent="0.35">
      <c r="A10175" s="77">
        <v>60304844</v>
      </c>
      <c r="B10175" s="75" t="s">
        <v>27545</v>
      </c>
      <c r="C10175" s="75" t="s">
        <v>27546</v>
      </c>
      <c r="D10175" s="75" t="s">
        <v>225</v>
      </c>
      <c r="G10175" s="75" t="s">
        <v>205</v>
      </c>
    </row>
    <row r="10176" spans="1:7" x14ac:dyDescent="0.35">
      <c r="A10176" s="77">
        <v>60304856</v>
      </c>
      <c r="B10176" s="75" t="s">
        <v>27547</v>
      </c>
      <c r="C10176" s="75" t="s">
        <v>27548</v>
      </c>
      <c r="D10176" s="75" t="s">
        <v>225</v>
      </c>
      <c r="G10176" s="75" t="s">
        <v>205</v>
      </c>
    </row>
    <row r="10177" spans="1:7" x14ac:dyDescent="0.35">
      <c r="A10177" s="77">
        <v>60304911</v>
      </c>
      <c r="B10177" s="75" t="s">
        <v>27549</v>
      </c>
      <c r="C10177" s="75" t="s">
        <v>27550</v>
      </c>
      <c r="D10177" s="75" t="s">
        <v>225</v>
      </c>
      <c r="G10177" s="75" t="s">
        <v>205</v>
      </c>
    </row>
    <row r="10178" spans="1:7" x14ac:dyDescent="0.35">
      <c r="A10178" s="77">
        <v>60304960</v>
      </c>
      <c r="B10178" s="75" t="s">
        <v>27551</v>
      </c>
      <c r="C10178" s="75" t="s">
        <v>27552</v>
      </c>
      <c r="D10178" s="75" t="s">
        <v>225</v>
      </c>
      <c r="G10178" s="75" t="s">
        <v>205</v>
      </c>
    </row>
    <row r="10179" spans="1:7" x14ac:dyDescent="0.35">
      <c r="A10179" s="77">
        <v>60305575</v>
      </c>
      <c r="B10179" s="75" t="s">
        <v>27553</v>
      </c>
      <c r="C10179" s="75" t="s">
        <v>27554</v>
      </c>
      <c r="D10179" s="75" t="s">
        <v>264</v>
      </c>
      <c r="G10179" s="75" t="s">
        <v>205</v>
      </c>
    </row>
    <row r="10180" spans="1:7" x14ac:dyDescent="0.35">
      <c r="A10180" s="77">
        <v>60305587</v>
      </c>
      <c r="B10180" s="75" t="s">
        <v>27555</v>
      </c>
      <c r="C10180" s="75" t="s">
        <v>27556</v>
      </c>
      <c r="D10180" s="75" t="s">
        <v>264</v>
      </c>
      <c r="G10180" s="75" t="s">
        <v>205</v>
      </c>
    </row>
    <row r="10181" spans="1:7" x14ac:dyDescent="0.35">
      <c r="A10181" s="77">
        <v>60305757</v>
      </c>
      <c r="B10181" s="75" t="s">
        <v>27557</v>
      </c>
      <c r="C10181" s="75" t="s">
        <v>11355</v>
      </c>
      <c r="D10181" s="75" t="s">
        <v>264</v>
      </c>
      <c r="G10181" s="75" t="s">
        <v>205</v>
      </c>
    </row>
    <row r="10182" spans="1:7" x14ac:dyDescent="0.35">
      <c r="A10182" s="77">
        <v>60309088</v>
      </c>
      <c r="B10182" s="75" t="s">
        <v>27558</v>
      </c>
      <c r="C10182" s="75" t="s">
        <v>27559</v>
      </c>
      <c r="D10182" s="75" t="s">
        <v>251</v>
      </c>
      <c r="G10182" s="75" t="s">
        <v>205</v>
      </c>
    </row>
    <row r="10183" spans="1:7" x14ac:dyDescent="0.35">
      <c r="A10183" s="77" t="s">
        <v>27560</v>
      </c>
      <c r="B10183" s="75" t="s">
        <v>27561</v>
      </c>
      <c r="C10183" s="75" t="s">
        <v>27562</v>
      </c>
      <c r="D10183" s="75" t="s">
        <v>251</v>
      </c>
      <c r="G10183" s="75" t="s">
        <v>205</v>
      </c>
    </row>
    <row r="10184" spans="1:7" x14ac:dyDescent="0.35">
      <c r="A10184" s="77">
        <v>60322743</v>
      </c>
      <c r="B10184" s="75" t="s">
        <v>27563</v>
      </c>
      <c r="C10184" s="75" t="s">
        <v>27564</v>
      </c>
      <c r="D10184" s="75" t="s">
        <v>251</v>
      </c>
      <c r="G10184" s="75" t="s">
        <v>205</v>
      </c>
    </row>
    <row r="10185" spans="1:7" x14ac:dyDescent="0.35">
      <c r="A10185" s="77">
        <v>60322755</v>
      </c>
      <c r="B10185" s="75" t="s">
        <v>27565</v>
      </c>
      <c r="C10185" s="75" t="s">
        <v>27566</v>
      </c>
      <c r="D10185" s="75" t="s">
        <v>251</v>
      </c>
      <c r="G10185" s="75" t="s">
        <v>205</v>
      </c>
    </row>
    <row r="10186" spans="1:7" x14ac:dyDescent="0.35">
      <c r="A10186" s="77">
        <v>60322767</v>
      </c>
      <c r="B10186" s="75" t="s">
        <v>27567</v>
      </c>
      <c r="C10186" s="75" t="s">
        <v>27568</v>
      </c>
      <c r="D10186" s="75" t="s">
        <v>264</v>
      </c>
      <c r="G10186" s="75" t="s">
        <v>205</v>
      </c>
    </row>
    <row r="10187" spans="1:7" x14ac:dyDescent="0.35">
      <c r="A10187" s="77">
        <v>60322779</v>
      </c>
      <c r="B10187" s="75" t="s">
        <v>27569</v>
      </c>
      <c r="C10187" s="75" t="s">
        <v>27570</v>
      </c>
      <c r="D10187" s="75" t="s">
        <v>264</v>
      </c>
      <c r="G10187" s="75" t="s">
        <v>205</v>
      </c>
    </row>
    <row r="10188" spans="1:7" x14ac:dyDescent="0.35">
      <c r="A10188" s="77">
        <v>60322780</v>
      </c>
      <c r="B10188" s="75" t="s">
        <v>27571</v>
      </c>
      <c r="C10188" s="75" t="s">
        <v>27301</v>
      </c>
      <c r="D10188" s="75" t="s">
        <v>264</v>
      </c>
      <c r="G10188" s="75" t="s">
        <v>205</v>
      </c>
    </row>
    <row r="10189" spans="1:7" x14ac:dyDescent="0.35">
      <c r="A10189" s="77">
        <v>60322792</v>
      </c>
      <c r="B10189" s="75" t="s">
        <v>27572</v>
      </c>
      <c r="C10189" s="75" t="s">
        <v>27299</v>
      </c>
      <c r="D10189" s="75" t="s">
        <v>264</v>
      </c>
      <c r="G10189" s="75" t="s">
        <v>205</v>
      </c>
    </row>
    <row r="10190" spans="1:7" x14ac:dyDescent="0.35">
      <c r="A10190" s="77">
        <v>60322809</v>
      </c>
      <c r="B10190" s="75" t="s">
        <v>27573</v>
      </c>
      <c r="C10190" s="75" t="s">
        <v>27574</v>
      </c>
      <c r="D10190" s="75" t="s">
        <v>277</v>
      </c>
      <c r="G10190" s="75" t="s">
        <v>205</v>
      </c>
    </row>
    <row r="10191" spans="1:7" x14ac:dyDescent="0.35">
      <c r="A10191" s="77">
        <v>60322810</v>
      </c>
      <c r="B10191" s="75" t="s">
        <v>27575</v>
      </c>
      <c r="C10191" s="75" t="s">
        <v>27576</v>
      </c>
      <c r="D10191" s="75" t="s">
        <v>277</v>
      </c>
      <c r="G10191" s="75" t="s">
        <v>205</v>
      </c>
    </row>
    <row r="10192" spans="1:7" x14ac:dyDescent="0.35">
      <c r="A10192" s="77">
        <v>60322822</v>
      </c>
      <c r="B10192" s="75" t="s">
        <v>27577</v>
      </c>
      <c r="C10192" s="75" t="s">
        <v>27578</v>
      </c>
      <c r="D10192" s="75" t="s">
        <v>251</v>
      </c>
      <c r="G10192" s="75" t="s">
        <v>205</v>
      </c>
    </row>
    <row r="10193" spans="1:7" x14ac:dyDescent="0.35">
      <c r="A10193" s="77">
        <v>60322846</v>
      </c>
      <c r="B10193" s="75" t="s">
        <v>27579</v>
      </c>
      <c r="C10193" s="75" t="s">
        <v>27580</v>
      </c>
      <c r="D10193" s="75" t="s">
        <v>264</v>
      </c>
      <c r="G10193" s="75" t="s">
        <v>205</v>
      </c>
    </row>
    <row r="10194" spans="1:7" x14ac:dyDescent="0.35">
      <c r="A10194" s="77">
        <v>60322858</v>
      </c>
      <c r="B10194" s="75" t="s">
        <v>27581</v>
      </c>
      <c r="C10194" s="75" t="s">
        <v>27582</v>
      </c>
      <c r="D10194" s="75" t="s">
        <v>264</v>
      </c>
      <c r="G10194" s="75" t="s">
        <v>205</v>
      </c>
    </row>
    <row r="10195" spans="1:7" x14ac:dyDescent="0.35">
      <c r="A10195" s="77" t="s">
        <v>27583</v>
      </c>
      <c r="B10195" s="75" t="s">
        <v>27584</v>
      </c>
      <c r="C10195" s="75" t="s">
        <v>27585</v>
      </c>
      <c r="D10195" s="75" t="s">
        <v>251</v>
      </c>
      <c r="G10195" s="75" t="s">
        <v>205</v>
      </c>
    </row>
    <row r="10196" spans="1:7" x14ac:dyDescent="0.35">
      <c r="A10196" s="77">
        <v>60322937</v>
      </c>
      <c r="B10196" s="75" t="s">
        <v>27586</v>
      </c>
      <c r="C10196" s="75" t="s">
        <v>27587</v>
      </c>
      <c r="D10196" s="75" t="s">
        <v>264</v>
      </c>
      <c r="G10196" s="75" t="s">
        <v>205</v>
      </c>
    </row>
    <row r="10197" spans="1:7" x14ac:dyDescent="0.35">
      <c r="A10197" s="77">
        <v>60322949</v>
      </c>
      <c r="B10197" s="75" t="s">
        <v>27588</v>
      </c>
      <c r="C10197" s="75" t="s">
        <v>27589</v>
      </c>
      <c r="D10197" s="75" t="s">
        <v>264</v>
      </c>
      <c r="G10197" s="75" t="s">
        <v>205</v>
      </c>
    </row>
    <row r="10198" spans="1:7" x14ac:dyDescent="0.35">
      <c r="A10198" s="77">
        <v>60323085</v>
      </c>
      <c r="B10198" s="75" t="s">
        <v>27590</v>
      </c>
      <c r="C10198" s="75" t="s">
        <v>27591</v>
      </c>
      <c r="D10198" s="75" t="s">
        <v>264</v>
      </c>
      <c r="G10198" s="75" t="s">
        <v>205</v>
      </c>
    </row>
    <row r="10199" spans="1:7" x14ac:dyDescent="0.35">
      <c r="A10199" s="77">
        <v>60323097</v>
      </c>
      <c r="B10199" s="75" t="s">
        <v>27592</v>
      </c>
      <c r="C10199" s="75" t="s">
        <v>27593</v>
      </c>
      <c r="D10199" s="75" t="s">
        <v>264</v>
      </c>
      <c r="G10199" s="75" t="s">
        <v>205</v>
      </c>
    </row>
    <row r="10200" spans="1:7" x14ac:dyDescent="0.35">
      <c r="A10200" s="77">
        <v>60323401</v>
      </c>
      <c r="B10200" s="75" t="s">
        <v>27594</v>
      </c>
      <c r="C10200" s="75" t="s">
        <v>27595</v>
      </c>
      <c r="D10200" s="75" t="s">
        <v>277</v>
      </c>
      <c r="G10200" s="75" t="s">
        <v>205</v>
      </c>
    </row>
    <row r="10201" spans="1:7" x14ac:dyDescent="0.35">
      <c r="A10201" s="77">
        <v>60323413</v>
      </c>
      <c r="B10201" s="75" t="s">
        <v>27596</v>
      </c>
      <c r="C10201" s="75" t="s">
        <v>27597</v>
      </c>
      <c r="D10201" s="75" t="s">
        <v>277</v>
      </c>
      <c r="G10201" s="75" t="s">
        <v>205</v>
      </c>
    </row>
    <row r="10202" spans="1:7" x14ac:dyDescent="0.35">
      <c r="A10202" s="77">
        <v>60323759</v>
      </c>
      <c r="B10202" s="75" t="s">
        <v>27598</v>
      </c>
      <c r="C10202" s="75" t="s">
        <v>27178</v>
      </c>
      <c r="D10202" s="75" t="s">
        <v>251</v>
      </c>
      <c r="G10202" s="75" t="s">
        <v>205</v>
      </c>
    </row>
    <row r="10203" spans="1:7" x14ac:dyDescent="0.35">
      <c r="A10203" s="77">
        <v>60323772</v>
      </c>
      <c r="B10203" s="75" t="s">
        <v>27599</v>
      </c>
      <c r="C10203" s="75" t="s">
        <v>27600</v>
      </c>
      <c r="D10203" s="75" t="s">
        <v>251</v>
      </c>
      <c r="G10203" s="75" t="s">
        <v>205</v>
      </c>
    </row>
    <row r="10204" spans="1:7" x14ac:dyDescent="0.35">
      <c r="A10204" s="77">
        <v>60324922</v>
      </c>
      <c r="B10204" s="75" t="s">
        <v>27601</v>
      </c>
      <c r="C10204" s="75" t="s">
        <v>27602</v>
      </c>
      <c r="D10204" s="75" t="s">
        <v>277</v>
      </c>
      <c r="G10204" s="75" t="s">
        <v>205</v>
      </c>
    </row>
    <row r="10205" spans="1:7" x14ac:dyDescent="0.35">
      <c r="A10205" s="77">
        <v>60324934</v>
      </c>
      <c r="B10205" s="75" t="s">
        <v>27603</v>
      </c>
      <c r="C10205" s="75" t="s">
        <v>27604</v>
      </c>
      <c r="D10205" s="75" t="s">
        <v>277</v>
      </c>
      <c r="G10205" s="75" t="s">
        <v>205</v>
      </c>
    </row>
    <row r="10206" spans="1:7" x14ac:dyDescent="0.35">
      <c r="A10206" s="77">
        <v>60327716</v>
      </c>
      <c r="B10206" s="75" t="s">
        <v>27605</v>
      </c>
      <c r="C10206" s="75" t="s">
        <v>27239</v>
      </c>
      <c r="D10206" s="75" t="s">
        <v>225</v>
      </c>
      <c r="G10206" s="75" t="s">
        <v>205</v>
      </c>
    </row>
    <row r="10207" spans="1:7" x14ac:dyDescent="0.35">
      <c r="A10207" s="77">
        <v>60327728</v>
      </c>
      <c r="B10207" s="75" t="s">
        <v>27606</v>
      </c>
      <c r="C10207" s="75" t="s">
        <v>27241</v>
      </c>
      <c r="D10207" s="75" t="s">
        <v>225</v>
      </c>
      <c r="G10207" s="75" t="s">
        <v>205</v>
      </c>
    </row>
    <row r="10208" spans="1:7" x14ac:dyDescent="0.35">
      <c r="A10208" s="77" t="s">
        <v>27607</v>
      </c>
      <c r="B10208" s="75" t="s">
        <v>27608</v>
      </c>
      <c r="C10208" s="75" t="s">
        <v>27155</v>
      </c>
      <c r="D10208" s="75" t="s">
        <v>277</v>
      </c>
      <c r="G10208" s="75" t="s">
        <v>205</v>
      </c>
    </row>
    <row r="10209" spans="1:7" x14ac:dyDescent="0.35">
      <c r="A10209" s="77">
        <v>60327741</v>
      </c>
      <c r="B10209" s="75" t="s">
        <v>27609</v>
      </c>
      <c r="C10209" s="75" t="s">
        <v>27166</v>
      </c>
      <c r="D10209" s="75" t="s">
        <v>277</v>
      </c>
      <c r="G10209" s="75" t="s">
        <v>205</v>
      </c>
    </row>
    <row r="10210" spans="1:7" x14ac:dyDescent="0.35">
      <c r="A10210" s="77">
        <v>60327947</v>
      </c>
      <c r="B10210" s="75" t="s">
        <v>27610</v>
      </c>
      <c r="C10210" s="75" t="s">
        <v>27611</v>
      </c>
      <c r="D10210" s="75" t="s">
        <v>225</v>
      </c>
      <c r="G10210" s="75" t="s">
        <v>205</v>
      </c>
    </row>
    <row r="10211" spans="1:7" x14ac:dyDescent="0.35">
      <c r="A10211" s="77">
        <v>60327960</v>
      </c>
      <c r="B10211" s="75" t="s">
        <v>27612</v>
      </c>
      <c r="C10211" s="75" t="s">
        <v>27613</v>
      </c>
      <c r="D10211" s="75" t="s">
        <v>225</v>
      </c>
      <c r="G10211" s="75" t="s">
        <v>205</v>
      </c>
    </row>
    <row r="10212" spans="1:7" x14ac:dyDescent="0.35">
      <c r="A10212" s="77">
        <v>60328526</v>
      </c>
      <c r="B10212" s="75" t="s">
        <v>27614</v>
      </c>
      <c r="C10212" s="75" t="s">
        <v>27245</v>
      </c>
      <c r="D10212" s="75" t="s">
        <v>225</v>
      </c>
      <c r="G10212" s="75" t="s">
        <v>205</v>
      </c>
    </row>
    <row r="10213" spans="1:7" x14ac:dyDescent="0.35">
      <c r="A10213" s="77">
        <v>60328538</v>
      </c>
      <c r="B10213" s="75" t="s">
        <v>27615</v>
      </c>
      <c r="C10213" s="75" t="s">
        <v>27243</v>
      </c>
      <c r="D10213" s="75" t="s">
        <v>225</v>
      </c>
      <c r="G10213" s="75" t="s">
        <v>205</v>
      </c>
    </row>
    <row r="10214" spans="1:7" x14ac:dyDescent="0.35">
      <c r="A10214" s="77">
        <v>60334162</v>
      </c>
      <c r="B10214" s="75" t="s">
        <v>27616</v>
      </c>
      <c r="C10214" s="75" t="s">
        <v>27617</v>
      </c>
      <c r="D10214" s="75" t="s">
        <v>264</v>
      </c>
      <c r="G10214" s="75" t="s">
        <v>205</v>
      </c>
    </row>
    <row r="10215" spans="1:7" x14ac:dyDescent="0.35">
      <c r="A10215" s="77">
        <v>60334174</v>
      </c>
      <c r="B10215" s="75" t="s">
        <v>27618</v>
      </c>
      <c r="C10215" s="75" t="s">
        <v>27619</v>
      </c>
      <c r="D10215" s="75" t="s">
        <v>264</v>
      </c>
      <c r="G10215" s="75" t="s">
        <v>205</v>
      </c>
    </row>
    <row r="10216" spans="1:7" x14ac:dyDescent="0.35">
      <c r="A10216" s="77">
        <v>60334319</v>
      </c>
      <c r="B10216" s="75" t="s">
        <v>29073</v>
      </c>
      <c r="C10216" s="75" t="s">
        <v>29074</v>
      </c>
      <c r="D10216" s="75" t="s">
        <v>225</v>
      </c>
      <c r="G10216" s="75" t="s">
        <v>205</v>
      </c>
    </row>
    <row r="10217" spans="1:7" x14ac:dyDescent="0.35">
      <c r="A10217" s="77">
        <v>60334320</v>
      </c>
      <c r="B10217" s="75" t="s">
        <v>29075</v>
      </c>
      <c r="C10217" s="75" t="s">
        <v>29076</v>
      </c>
      <c r="D10217" s="75" t="s">
        <v>225</v>
      </c>
      <c r="G10217" s="75" t="s">
        <v>205</v>
      </c>
    </row>
    <row r="10218" spans="1:7" x14ac:dyDescent="0.35">
      <c r="A10218" s="77">
        <v>60338994</v>
      </c>
      <c r="B10218" s="75" t="s">
        <v>27620</v>
      </c>
      <c r="C10218" s="75" t="s">
        <v>27621</v>
      </c>
      <c r="D10218" s="75" t="s">
        <v>277</v>
      </c>
      <c r="G10218" s="75" t="s">
        <v>205</v>
      </c>
    </row>
    <row r="10219" spans="1:7" x14ac:dyDescent="0.35">
      <c r="A10219" s="77">
        <v>60339007</v>
      </c>
      <c r="B10219" s="75" t="s">
        <v>27622</v>
      </c>
      <c r="C10219" s="75" t="s">
        <v>27623</v>
      </c>
      <c r="D10219" s="75" t="s">
        <v>277</v>
      </c>
      <c r="G10219" s="75" t="s">
        <v>205</v>
      </c>
    </row>
    <row r="10220" spans="1:7" x14ac:dyDescent="0.35">
      <c r="A10220" s="77">
        <v>60339330</v>
      </c>
      <c r="B10220" s="75" t="s">
        <v>27624</v>
      </c>
      <c r="C10220" s="75" t="s">
        <v>27625</v>
      </c>
      <c r="D10220" s="75" t="s">
        <v>225</v>
      </c>
      <c r="G10220" s="75" t="s">
        <v>205</v>
      </c>
    </row>
    <row r="10221" spans="1:7" x14ac:dyDescent="0.35">
      <c r="A10221" s="77" t="s">
        <v>27626</v>
      </c>
      <c r="B10221" s="75" t="s">
        <v>27627</v>
      </c>
      <c r="C10221" s="75" t="s">
        <v>27628</v>
      </c>
      <c r="D10221" s="75" t="s">
        <v>225</v>
      </c>
      <c r="G10221" s="75" t="s">
        <v>205</v>
      </c>
    </row>
    <row r="10222" spans="1:7" x14ac:dyDescent="0.35">
      <c r="A10222" s="77">
        <v>60342468</v>
      </c>
      <c r="B10222" s="75" t="s">
        <v>27629</v>
      </c>
      <c r="C10222" s="75" t="s">
        <v>27630</v>
      </c>
      <c r="D10222" s="75" t="s">
        <v>264</v>
      </c>
      <c r="G10222" s="75" t="s">
        <v>205</v>
      </c>
    </row>
    <row r="10223" spans="1:7" x14ac:dyDescent="0.35">
      <c r="A10223" s="77" t="s">
        <v>27631</v>
      </c>
      <c r="B10223" s="75" t="s">
        <v>27632</v>
      </c>
      <c r="C10223" s="75" t="s">
        <v>27630</v>
      </c>
      <c r="D10223" s="75" t="s">
        <v>264</v>
      </c>
      <c r="G10223" s="75" t="s">
        <v>205</v>
      </c>
    </row>
    <row r="10224" spans="1:7" x14ac:dyDescent="0.35">
      <c r="A10224" s="77">
        <v>60345706</v>
      </c>
      <c r="B10224" s="75" t="s">
        <v>27633</v>
      </c>
      <c r="C10224" s="75" t="s">
        <v>27634</v>
      </c>
      <c r="D10224" s="75" t="s">
        <v>225</v>
      </c>
      <c r="G10224" s="75" t="s">
        <v>205</v>
      </c>
    </row>
    <row r="10225" spans="1:7" x14ac:dyDescent="0.35">
      <c r="A10225" s="77">
        <v>60345743</v>
      </c>
      <c r="B10225" s="75" t="s">
        <v>27635</v>
      </c>
      <c r="C10225" s="75" t="s">
        <v>27636</v>
      </c>
      <c r="D10225" s="75" t="s">
        <v>225</v>
      </c>
      <c r="G10225" s="75" t="s">
        <v>205</v>
      </c>
    </row>
    <row r="10226" spans="1:7" x14ac:dyDescent="0.35">
      <c r="A10226" s="77">
        <v>60346826</v>
      </c>
      <c r="B10226" s="75" t="s">
        <v>27637</v>
      </c>
      <c r="C10226" s="75" t="s">
        <v>11355</v>
      </c>
      <c r="D10226" s="75" t="s">
        <v>264</v>
      </c>
      <c r="G10226" s="75" t="s">
        <v>205</v>
      </c>
    </row>
    <row r="10227" spans="1:7" x14ac:dyDescent="0.35">
      <c r="A10227" s="77">
        <v>60360550</v>
      </c>
      <c r="B10227" s="75" t="s">
        <v>27638</v>
      </c>
      <c r="C10227" s="75" t="s">
        <v>11355</v>
      </c>
      <c r="D10227" s="75" t="s">
        <v>264</v>
      </c>
      <c r="G10227" s="75" t="s">
        <v>205</v>
      </c>
    </row>
    <row r="10228" spans="1:7" x14ac:dyDescent="0.35">
      <c r="A10228" s="77">
        <v>60360690</v>
      </c>
      <c r="B10228" s="75" t="s">
        <v>27639</v>
      </c>
      <c r="C10228" s="75" t="s">
        <v>11355</v>
      </c>
      <c r="D10228" s="75" t="s">
        <v>264</v>
      </c>
      <c r="G10228" s="75" t="s">
        <v>205</v>
      </c>
    </row>
    <row r="10229" spans="1:7" x14ac:dyDescent="0.35">
      <c r="A10229" s="77">
        <v>60363137</v>
      </c>
      <c r="B10229" s="75" t="s">
        <v>27640</v>
      </c>
      <c r="C10229" s="75" t="s">
        <v>27641</v>
      </c>
      <c r="D10229" s="75" t="s">
        <v>264</v>
      </c>
      <c r="G10229" s="75" t="s">
        <v>205</v>
      </c>
    </row>
    <row r="10230" spans="1:7" x14ac:dyDescent="0.35">
      <c r="A10230" s="77">
        <v>60363150</v>
      </c>
      <c r="B10230" s="75" t="s">
        <v>27642</v>
      </c>
      <c r="C10230" s="75" t="s">
        <v>27643</v>
      </c>
      <c r="D10230" s="75" t="s">
        <v>264</v>
      </c>
      <c r="G10230" s="75" t="s">
        <v>205</v>
      </c>
    </row>
    <row r="10231" spans="1:7" x14ac:dyDescent="0.35">
      <c r="A10231" s="77">
        <v>60366746</v>
      </c>
      <c r="B10231" s="75" t="s">
        <v>27644</v>
      </c>
      <c r="C10231" s="75" t="s">
        <v>27645</v>
      </c>
      <c r="D10231" s="75" t="s">
        <v>238</v>
      </c>
      <c r="G10231" s="75" t="s">
        <v>205</v>
      </c>
    </row>
    <row r="10232" spans="1:7" x14ac:dyDescent="0.35">
      <c r="A10232" s="77">
        <v>60366758</v>
      </c>
      <c r="B10232" s="75" t="s">
        <v>27646</v>
      </c>
      <c r="C10232" s="75" t="s">
        <v>27647</v>
      </c>
      <c r="D10232" s="75" t="s">
        <v>238</v>
      </c>
      <c r="G10232" s="75" t="s">
        <v>205</v>
      </c>
    </row>
    <row r="10233" spans="1:7" x14ac:dyDescent="0.35">
      <c r="A10233" s="77">
        <v>60368378</v>
      </c>
      <c r="B10233" s="75" t="s">
        <v>27648</v>
      </c>
      <c r="C10233" s="75" t="s">
        <v>27200</v>
      </c>
      <c r="D10233" s="75" t="s">
        <v>277</v>
      </c>
      <c r="G10233" s="75" t="s">
        <v>205</v>
      </c>
    </row>
    <row r="10234" spans="1:7" x14ac:dyDescent="0.35">
      <c r="A10234" s="77" t="s">
        <v>27649</v>
      </c>
      <c r="B10234" s="75" t="s">
        <v>27650</v>
      </c>
      <c r="C10234" s="75" t="s">
        <v>27198</v>
      </c>
      <c r="D10234" s="75" t="s">
        <v>277</v>
      </c>
      <c r="G10234" s="75" t="s">
        <v>205</v>
      </c>
    </row>
    <row r="10235" spans="1:7" x14ac:dyDescent="0.35">
      <c r="A10235" s="77">
        <v>60371663</v>
      </c>
      <c r="B10235" s="75" t="s">
        <v>27651</v>
      </c>
      <c r="C10235" s="75" t="s">
        <v>27652</v>
      </c>
      <c r="D10235" s="75" t="s">
        <v>238</v>
      </c>
      <c r="G10235" s="75" t="s">
        <v>205</v>
      </c>
    </row>
    <row r="10236" spans="1:7" x14ac:dyDescent="0.35">
      <c r="A10236" s="77">
        <v>60371675</v>
      </c>
      <c r="B10236" s="75" t="s">
        <v>27653</v>
      </c>
      <c r="C10236" s="75" t="s">
        <v>27654</v>
      </c>
      <c r="D10236" s="75" t="s">
        <v>238</v>
      </c>
      <c r="G10236" s="75" t="s">
        <v>205</v>
      </c>
    </row>
    <row r="10237" spans="1:7" x14ac:dyDescent="0.35">
      <c r="A10237" s="77">
        <v>60373726</v>
      </c>
      <c r="B10237" s="75" t="s">
        <v>27655</v>
      </c>
      <c r="C10237" s="75" t="s">
        <v>27515</v>
      </c>
      <c r="D10237" s="75" t="s">
        <v>264</v>
      </c>
      <c r="G10237" s="75" t="s">
        <v>205</v>
      </c>
    </row>
    <row r="10238" spans="1:7" x14ac:dyDescent="0.35">
      <c r="A10238" s="77">
        <v>60375954</v>
      </c>
      <c r="B10238" s="75" t="s">
        <v>27656</v>
      </c>
      <c r="C10238" s="75" t="s">
        <v>27544</v>
      </c>
      <c r="D10238" s="75" t="s">
        <v>238</v>
      </c>
      <c r="G10238" s="75" t="s">
        <v>205</v>
      </c>
    </row>
    <row r="10239" spans="1:7" x14ac:dyDescent="0.35">
      <c r="A10239" s="77">
        <v>60375966</v>
      </c>
      <c r="B10239" s="75" t="s">
        <v>27657</v>
      </c>
      <c r="C10239" s="75" t="s">
        <v>27542</v>
      </c>
      <c r="D10239" s="75" t="s">
        <v>238</v>
      </c>
      <c r="G10239" s="75" t="s">
        <v>205</v>
      </c>
    </row>
    <row r="10240" spans="1:7" x14ac:dyDescent="0.35">
      <c r="A10240" s="77">
        <v>60378578</v>
      </c>
      <c r="B10240" s="75" t="s">
        <v>29077</v>
      </c>
      <c r="C10240" s="75" t="s">
        <v>29078</v>
      </c>
      <c r="D10240" s="75" t="s">
        <v>264</v>
      </c>
      <c r="G10240" s="75" t="s">
        <v>205</v>
      </c>
    </row>
    <row r="10241" spans="1:7" x14ac:dyDescent="0.35">
      <c r="A10241" s="77" t="s">
        <v>29079</v>
      </c>
      <c r="B10241" s="75" t="s">
        <v>29080</v>
      </c>
      <c r="C10241" s="75" t="s">
        <v>29081</v>
      </c>
      <c r="D10241" s="75" t="s">
        <v>264</v>
      </c>
      <c r="G10241" s="75" t="s">
        <v>205</v>
      </c>
    </row>
    <row r="10242" spans="1:7" x14ac:dyDescent="0.35">
      <c r="A10242" s="77">
        <v>60378591</v>
      </c>
      <c r="B10242" s="75" t="s">
        <v>29082</v>
      </c>
      <c r="C10242" s="75" t="s">
        <v>29083</v>
      </c>
      <c r="D10242" s="75" t="s">
        <v>264</v>
      </c>
      <c r="G10242" s="75" t="s">
        <v>205</v>
      </c>
    </row>
    <row r="10243" spans="1:7" x14ac:dyDescent="0.35">
      <c r="A10243" s="77" t="s">
        <v>29084</v>
      </c>
      <c r="B10243" s="75" t="s">
        <v>29085</v>
      </c>
      <c r="C10243" s="75" t="s">
        <v>29086</v>
      </c>
      <c r="D10243" s="75" t="s">
        <v>264</v>
      </c>
      <c r="G10243" s="75" t="s">
        <v>205</v>
      </c>
    </row>
    <row r="10244" spans="1:7" x14ac:dyDescent="0.35">
      <c r="A10244" s="77">
        <v>60378633</v>
      </c>
      <c r="B10244" s="75" t="s">
        <v>29087</v>
      </c>
      <c r="C10244" s="75" t="s">
        <v>29088</v>
      </c>
      <c r="D10244" s="75" t="s">
        <v>264</v>
      </c>
      <c r="G10244" s="75" t="s">
        <v>205</v>
      </c>
    </row>
    <row r="10245" spans="1:7" x14ac:dyDescent="0.35">
      <c r="A10245" s="77">
        <v>60378645</v>
      </c>
      <c r="B10245" s="75" t="s">
        <v>29089</v>
      </c>
      <c r="C10245" s="75" t="s">
        <v>29090</v>
      </c>
      <c r="D10245" s="75" t="s">
        <v>264</v>
      </c>
      <c r="G10245" s="75" t="s">
        <v>205</v>
      </c>
    </row>
    <row r="10246" spans="1:7" x14ac:dyDescent="0.35">
      <c r="A10246" s="77">
        <v>60378657</v>
      </c>
      <c r="B10246" s="75" t="s">
        <v>29091</v>
      </c>
      <c r="C10246" s="75" t="s">
        <v>29092</v>
      </c>
      <c r="D10246" s="75" t="s">
        <v>264</v>
      </c>
      <c r="G10246" s="75" t="s">
        <v>205</v>
      </c>
    </row>
    <row r="10247" spans="1:7" x14ac:dyDescent="0.35">
      <c r="A10247" s="77">
        <v>60378669</v>
      </c>
      <c r="B10247" s="75" t="s">
        <v>29093</v>
      </c>
      <c r="C10247" s="75" t="s">
        <v>29094</v>
      </c>
      <c r="D10247" s="75" t="s">
        <v>264</v>
      </c>
      <c r="E10247" s="75" t="s">
        <v>225</v>
      </c>
      <c r="G10247" s="75" t="s">
        <v>205</v>
      </c>
    </row>
    <row r="10248" spans="1:7" x14ac:dyDescent="0.35">
      <c r="A10248" s="77">
        <v>60378670</v>
      </c>
      <c r="B10248" s="75" t="s">
        <v>29095</v>
      </c>
      <c r="C10248" s="75" t="s">
        <v>29096</v>
      </c>
      <c r="D10248" s="75" t="s">
        <v>264</v>
      </c>
      <c r="E10248" s="75" t="s">
        <v>225</v>
      </c>
      <c r="G10248" s="75" t="s">
        <v>205</v>
      </c>
    </row>
    <row r="10249" spans="1:7" x14ac:dyDescent="0.35">
      <c r="A10249" s="77">
        <v>60378682</v>
      </c>
      <c r="B10249" s="75" t="s">
        <v>29097</v>
      </c>
      <c r="C10249" s="75" t="s">
        <v>29098</v>
      </c>
      <c r="D10249" s="75" t="s">
        <v>238</v>
      </c>
      <c r="G10249" s="75" t="s">
        <v>205</v>
      </c>
    </row>
    <row r="10250" spans="1:7" x14ac:dyDescent="0.35">
      <c r="A10250" s="77">
        <v>60378694</v>
      </c>
      <c r="B10250" s="75" t="s">
        <v>29099</v>
      </c>
      <c r="C10250" s="75" t="s">
        <v>29100</v>
      </c>
      <c r="D10250" s="75" t="s">
        <v>238</v>
      </c>
      <c r="G10250" s="75" t="s">
        <v>205</v>
      </c>
    </row>
    <row r="10251" spans="1:7" x14ac:dyDescent="0.35">
      <c r="A10251" s="77">
        <v>60378797</v>
      </c>
      <c r="B10251" s="75" t="s">
        <v>29101</v>
      </c>
      <c r="C10251" s="75" t="s">
        <v>29102</v>
      </c>
      <c r="D10251" s="75" t="s">
        <v>264</v>
      </c>
      <c r="G10251" s="75" t="s">
        <v>205</v>
      </c>
    </row>
    <row r="10252" spans="1:7" x14ac:dyDescent="0.35">
      <c r="A10252" s="77">
        <v>60378803</v>
      </c>
      <c r="B10252" s="75" t="s">
        <v>29103</v>
      </c>
      <c r="C10252" s="75" t="s">
        <v>29104</v>
      </c>
      <c r="D10252" s="75" t="s">
        <v>264</v>
      </c>
      <c r="G10252" s="75" t="s">
        <v>205</v>
      </c>
    </row>
    <row r="10253" spans="1:7" x14ac:dyDescent="0.35">
      <c r="A10253" s="77">
        <v>61005800</v>
      </c>
      <c r="B10253" s="75" t="s">
        <v>27658</v>
      </c>
      <c r="C10253" s="75" t="s">
        <v>27659</v>
      </c>
      <c r="D10253" s="75" t="s">
        <v>238</v>
      </c>
      <c r="G10253" s="75" t="s">
        <v>205</v>
      </c>
    </row>
    <row r="10254" spans="1:7" x14ac:dyDescent="0.35">
      <c r="A10254" s="77">
        <v>61005812</v>
      </c>
      <c r="B10254" s="75" t="s">
        <v>27660</v>
      </c>
      <c r="C10254" s="75" t="s">
        <v>27661</v>
      </c>
      <c r="D10254" s="75" t="s">
        <v>238</v>
      </c>
      <c r="G10254" s="75" t="s">
        <v>205</v>
      </c>
    </row>
    <row r="10255" spans="1:7" x14ac:dyDescent="0.35">
      <c r="A10255" s="77">
        <v>61009246</v>
      </c>
      <c r="B10255" s="75" t="s">
        <v>29105</v>
      </c>
      <c r="C10255" s="75" t="s">
        <v>29106</v>
      </c>
      <c r="D10255" s="75" t="s">
        <v>225</v>
      </c>
      <c r="G10255" s="75" t="s">
        <v>205</v>
      </c>
    </row>
    <row r="10256" spans="1:7" x14ac:dyDescent="0.35">
      <c r="A10256" s="77">
        <v>61009258</v>
      </c>
      <c r="B10256" s="75" t="s">
        <v>29107</v>
      </c>
      <c r="C10256" s="75" t="s">
        <v>29108</v>
      </c>
      <c r="D10256" s="75" t="s">
        <v>225</v>
      </c>
      <c r="G10256" s="75" t="s">
        <v>205</v>
      </c>
    </row>
    <row r="10257" spans="1:7" x14ac:dyDescent="0.35">
      <c r="A10257" s="77" t="s">
        <v>29109</v>
      </c>
      <c r="B10257" s="75" t="s">
        <v>29110</v>
      </c>
      <c r="C10257" s="75" t="s">
        <v>29111</v>
      </c>
      <c r="D10257" s="75" t="s">
        <v>264</v>
      </c>
      <c r="G10257" s="75" t="s">
        <v>205</v>
      </c>
    </row>
    <row r="10258" spans="1:7" x14ac:dyDescent="0.35">
      <c r="A10258" s="77">
        <v>61009271</v>
      </c>
      <c r="B10258" s="75" t="s">
        <v>29112</v>
      </c>
      <c r="C10258" s="75" t="s">
        <v>29113</v>
      </c>
      <c r="D10258" s="75" t="s">
        <v>264</v>
      </c>
      <c r="G10258" s="75" t="s">
        <v>205</v>
      </c>
    </row>
    <row r="10259" spans="1:7" x14ac:dyDescent="0.35">
      <c r="A10259" s="77">
        <v>61009283</v>
      </c>
      <c r="B10259" s="75" t="s">
        <v>29114</v>
      </c>
      <c r="C10259" s="75" t="s">
        <v>29115</v>
      </c>
      <c r="D10259" s="75" t="s">
        <v>264</v>
      </c>
      <c r="G10259" s="75" t="s">
        <v>205</v>
      </c>
    </row>
    <row r="10260" spans="1:7" x14ac:dyDescent="0.35">
      <c r="A10260" s="77">
        <v>61009295</v>
      </c>
      <c r="B10260" s="75" t="s">
        <v>29116</v>
      </c>
      <c r="C10260" s="75" t="s">
        <v>29117</v>
      </c>
      <c r="D10260" s="75" t="s">
        <v>264</v>
      </c>
      <c r="G10260" s="75" t="s">
        <v>205</v>
      </c>
    </row>
    <row r="10261" spans="1:7" x14ac:dyDescent="0.35">
      <c r="A10261" s="77">
        <v>61009301</v>
      </c>
      <c r="B10261" s="75" t="s">
        <v>29118</v>
      </c>
      <c r="C10261" s="75" t="s">
        <v>29119</v>
      </c>
      <c r="D10261" s="75" t="s">
        <v>225</v>
      </c>
      <c r="G10261" s="75" t="s">
        <v>205</v>
      </c>
    </row>
    <row r="10262" spans="1:7" x14ac:dyDescent="0.35">
      <c r="A10262" s="77">
        <v>61009313</v>
      </c>
      <c r="B10262" s="75" t="s">
        <v>29120</v>
      </c>
      <c r="C10262" s="75" t="s">
        <v>29121</v>
      </c>
      <c r="D10262" s="75" t="s">
        <v>225</v>
      </c>
      <c r="G10262" s="75" t="s">
        <v>205</v>
      </c>
    </row>
    <row r="10263" spans="1:7" x14ac:dyDescent="0.35">
      <c r="A10263" s="77">
        <v>61009325</v>
      </c>
      <c r="B10263" s="75" t="s">
        <v>29122</v>
      </c>
      <c r="C10263" s="75" t="s">
        <v>29123</v>
      </c>
      <c r="D10263" s="75" t="s">
        <v>264</v>
      </c>
      <c r="G10263" s="75" t="s">
        <v>205</v>
      </c>
    </row>
    <row r="10264" spans="1:7" x14ac:dyDescent="0.35">
      <c r="A10264" s="77">
        <v>61009337</v>
      </c>
      <c r="B10264" s="75" t="s">
        <v>29124</v>
      </c>
      <c r="C10264" s="75" t="s">
        <v>29125</v>
      </c>
      <c r="D10264" s="75" t="s">
        <v>264</v>
      </c>
      <c r="G10264" s="75" t="s">
        <v>205</v>
      </c>
    </row>
    <row r="10265" spans="1:7" x14ac:dyDescent="0.35">
      <c r="A10265" s="77">
        <v>61009350</v>
      </c>
      <c r="B10265" s="75" t="s">
        <v>29126</v>
      </c>
      <c r="C10265" s="75" t="s">
        <v>29127</v>
      </c>
      <c r="D10265" s="75" t="s">
        <v>225</v>
      </c>
      <c r="G10265" s="75" t="s">
        <v>205</v>
      </c>
    </row>
    <row r="10266" spans="1:7" x14ac:dyDescent="0.35">
      <c r="A10266" s="77">
        <v>61009374</v>
      </c>
      <c r="B10266" s="75" t="s">
        <v>29128</v>
      </c>
      <c r="C10266" s="75" t="s">
        <v>29129</v>
      </c>
      <c r="D10266" s="75" t="s">
        <v>225</v>
      </c>
      <c r="G10266" s="75" t="s">
        <v>205</v>
      </c>
    </row>
    <row r="10267" spans="1:7" x14ac:dyDescent="0.35">
      <c r="A10267" s="77">
        <v>61009386</v>
      </c>
      <c r="B10267" s="75" t="s">
        <v>29130</v>
      </c>
      <c r="C10267" s="75" t="s">
        <v>29131</v>
      </c>
      <c r="D10267" s="75" t="s">
        <v>264</v>
      </c>
      <c r="G10267" s="75" t="s">
        <v>205</v>
      </c>
    </row>
    <row r="10268" spans="1:7" x14ac:dyDescent="0.35">
      <c r="A10268" s="77">
        <v>61009398</v>
      </c>
      <c r="B10268" s="75" t="s">
        <v>29132</v>
      </c>
      <c r="C10268" s="75" t="s">
        <v>29133</v>
      </c>
      <c r="D10268" s="75" t="s">
        <v>264</v>
      </c>
      <c r="G10268" s="75" t="s">
        <v>205</v>
      </c>
    </row>
    <row r="10269" spans="1:7" x14ac:dyDescent="0.35">
      <c r="A10269" s="77">
        <v>61009404</v>
      </c>
      <c r="B10269" s="75" t="s">
        <v>29134</v>
      </c>
      <c r="C10269" s="75" t="s">
        <v>29135</v>
      </c>
      <c r="D10269" s="75" t="s">
        <v>264</v>
      </c>
      <c r="G10269" s="75" t="s">
        <v>205</v>
      </c>
    </row>
    <row r="10270" spans="1:7" x14ac:dyDescent="0.35">
      <c r="A10270" s="77">
        <v>61009416</v>
      </c>
      <c r="B10270" s="75" t="s">
        <v>29136</v>
      </c>
      <c r="C10270" s="75" t="s">
        <v>29137</v>
      </c>
      <c r="D10270" s="75" t="s">
        <v>264</v>
      </c>
      <c r="G10270" s="75" t="s">
        <v>205</v>
      </c>
    </row>
    <row r="10271" spans="1:7" x14ac:dyDescent="0.35">
      <c r="A10271" s="77">
        <v>61012099</v>
      </c>
      <c r="B10271" s="75" t="s">
        <v>29138</v>
      </c>
      <c r="C10271" s="75" t="s">
        <v>27544</v>
      </c>
      <c r="D10271" s="75" t="s">
        <v>238</v>
      </c>
      <c r="G10271" s="75" t="s">
        <v>205</v>
      </c>
    </row>
    <row r="10272" spans="1:7" x14ac:dyDescent="0.35">
      <c r="A10272" s="77">
        <v>61012105</v>
      </c>
      <c r="B10272" s="75" t="s">
        <v>29139</v>
      </c>
      <c r="C10272" s="75" t="s">
        <v>27542</v>
      </c>
      <c r="D10272" s="75" t="s">
        <v>238</v>
      </c>
      <c r="G10272" s="75" t="s">
        <v>205</v>
      </c>
    </row>
    <row r="10273" spans="1:7" x14ac:dyDescent="0.35">
      <c r="A10273" s="77">
        <v>61012129</v>
      </c>
      <c r="B10273" s="75" t="s">
        <v>27662</v>
      </c>
      <c r="C10273" s="75" t="s">
        <v>27663</v>
      </c>
      <c r="D10273" s="75" t="s">
        <v>225</v>
      </c>
      <c r="G10273" s="75" t="s">
        <v>205</v>
      </c>
    </row>
    <row r="10274" spans="1:7" x14ac:dyDescent="0.35">
      <c r="A10274" s="77">
        <v>61012130</v>
      </c>
      <c r="B10274" s="75" t="s">
        <v>27664</v>
      </c>
      <c r="C10274" s="75" t="s">
        <v>27665</v>
      </c>
      <c r="D10274" s="75" t="s">
        <v>225</v>
      </c>
      <c r="G10274" s="75" t="s">
        <v>205</v>
      </c>
    </row>
    <row r="10275" spans="1:7" x14ac:dyDescent="0.35">
      <c r="A10275" s="77">
        <v>61012142</v>
      </c>
      <c r="B10275" s="75" t="s">
        <v>27666</v>
      </c>
      <c r="C10275" s="75" t="s">
        <v>27667</v>
      </c>
      <c r="D10275" s="75" t="s">
        <v>225</v>
      </c>
      <c r="G10275" s="75" t="s">
        <v>205</v>
      </c>
    </row>
    <row r="10276" spans="1:7" x14ac:dyDescent="0.35">
      <c r="A10276" s="77">
        <v>61012154</v>
      </c>
      <c r="B10276" s="75" t="s">
        <v>27668</v>
      </c>
      <c r="C10276" s="75" t="s">
        <v>27669</v>
      </c>
      <c r="D10276" s="75" t="s">
        <v>225</v>
      </c>
      <c r="G10276" s="75" t="s">
        <v>205</v>
      </c>
    </row>
    <row r="10277" spans="1:7" x14ac:dyDescent="0.35">
      <c r="A10277" s="77">
        <v>61012610</v>
      </c>
      <c r="B10277" s="75" t="s">
        <v>27670</v>
      </c>
      <c r="C10277" s="75" t="s">
        <v>27671</v>
      </c>
      <c r="D10277" s="75" t="s">
        <v>238</v>
      </c>
      <c r="G10277" s="75" t="s">
        <v>205</v>
      </c>
    </row>
    <row r="10278" spans="1:7" x14ac:dyDescent="0.35">
      <c r="A10278" s="77">
        <v>61012622</v>
      </c>
      <c r="B10278" s="75" t="s">
        <v>27672</v>
      </c>
      <c r="C10278" s="75" t="s">
        <v>27673</v>
      </c>
      <c r="D10278" s="75" t="s">
        <v>238</v>
      </c>
      <c r="G10278" s="75" t="s">
        <v>205</v>
      </c>
    </row>
    <row r="10279" spans="1:7" x14ac:dyDescent="0.35">
      <c r="A10279" s="77">
        <v>61012634</v>
      </c>
      <c r="B10279" s="75" t="s">
        <v>27674</v>
      </c>
      <c r="C10279" s="75" t="s">
        <v>27675</v>
      </c>
      <c r="D10279" s="75" t="s">
        <v>225</v>
      </c>
      <c r="G10279" s="75" t="s">
        <v>205</v>
      </c>
    </row>
    <row r="10280" spans="1:7" x14ac:dyDescent="0.35">
      <c r="A10280" s="77">
        <v>61012646</v>
      </c>
      <c r="B10280" s="75" t="s">
        <v>27676</v>
      </c>
      <c r="C10280" s="75" t="s">
        <v>27677</v>
      </c>
      <c r="D10280" s="75" t="s">
        <v>225</v>
      </c>
      <c r="G10280" s="75" t="s">
        <v>205</v>
      </c>
    </row>
    <row r="10281" spans="1:7" x14ac:dyDescent="0.35">
      <c r="A10281" s="77">
        <v>61017267</v>
      </c>
      <c r="B10281" s="75" t="s">
        <v>29140</v>
      </c>
      <c r="C10281" s="75" t="s">
        <v>29141</v>
      </c>
      <c r="D10281" s="75" t="s">
        <v>264</v>
      </c>
      <c r="G10281" s="75" t="s">
        <v>205</v>
      </c>
    </row>
    <row r="10282" spans="1:7" x14ac:dyDescent="0.35">
      <c r="A10282" s="77">
        <v>61017279</v>
      </c>
      <c r="B10282" s="75" t="s">
        <v>29142</v>
      </c>
      <c r="C10282" s="75" t="s">
        <v>29143</v>
      </c>
      <c r="D10282" s="75" t="s">
        <v>264</v>
      </c>
      <c r="G10282" s="75" t="s">
        <v>205</v>
      </c>
    </row>
    <row r="10283" spans="1:7" x14ac:dyDescent="0.35">
      <c r="A10283" s="77">
        <v>61017905</v>
      </c>
      <c r="B10283" s="75" t="s">
        <v>29144</v>
      </c>
      <c r="C10283" s="75" t="s">
        <v>27251</v>
      </c>
      <c r="D10283" s="75" t="s">
        <v>277</v>
      </c>
      <c r="G10283" s="75" t="s">
        <v>205</v>
      </c>
    </row>
    <row r="10284" spans="1:7" x14ac:dyDescent="0.35">
      <c r="A10284" s="77">
        <v>61017917</v>
      </c>
      <c r="B10284" s="75" t="s">
        <v>29145</v>
      </c>
      <c r="C10284" s="75" t="s">
        <v>27253</v>
      </c>
      <c r="D10284" s="75" t="s">
        <v>277</v>
      </c>
      <c r="G10284" s="75" t="s">
        <v>205</v>
      </c>
    </row>
    <row r="10285" spans="1:7" x14ac:dyDescent="0.35">
      <c r="A10285" s="77">
        <v>61017929</v>
      </c>
      <c r="B10285" s="75" t="s">
        <v>29146</v>
      </c>
      <c r="C10285" s="75" t="s">
        <v>29147</v>
      </c>
      <c r="D10285" s="75" t="s">
        <v>277</v>
      </c>
      <c r="G10285" s="75" t="s">
        <v>205</v>
      </c>
    </row>
    <row r="10286" spans="1:7" x14ac:dyDescent="0.35">
      <c r="A10286" s="77">
        <v>61017930</v>
      </c>
      <c r="B10286" s="75" t="s">
        <v>29148</v>
      </c>
      <c r="C10286" s="75" t="s">
        <v>29149</v>
      </c>
      <c r="D10286" s="75" t="s">
        <v>277</v>
      </c>
      <c r="G10286" s="75" t="s">
        <v>205</v>
      </c>
    </row>
    <row r="10287" spans="1:7" x14ac:dyDescent="0.35">
      <c r="A10287" s="77">
        <v>61017942</v>
      </c>
      <c r="B10287" s="75" t="s">
        <v>29150</v>
      </c>
      <c r="C10287" s="75" t="s">
        <v>29151</v>
      </c>
      <c r="D10287" s="75" t="s">
        <v>277</v>
      </c>
      <c r="G10287" s="75" t="s">
        <v>205</v>
      </c>
    </row>
    <row r="10288" spans="1:7" x14ac:dyDescent="0.35">
      <c r="A10288" s="77">
        <v>61017954</v>
      </c>
      <c r="B10288" s="75" t="s">
        <v>29152</v>
      </c>
      <c r="C10288" s="75" t="s">
        <v>29153</v>
      </c>
      <c r="D10288" s="75" t="s">
        <v>277</v>
      </c>
      <c r="G10288" s="75" t="s">
        <v>205</v>
      </c>
    </row>
    <row r="10289" spans="1:7" x14ac:dyDescent="0.35">
      <c r="A10289" s="77">
        <v>61017966</v>
      </c>
      <c r="B10289" s="75" t="s">
        <v>29154</v>
      </c>
      <c r="C10289" s="75" t="s">
        <v>27223</v>
      </c>
      <c r="D10289" s="75" t="s">
        <v>277</v>
      </c>
      <c r="G10289" s="75" t="s">
        <v>205</v>
      </c>
    </row>
    <row r="10290" spans="1:7" x14ac:dyDescent="0.35">
      <c r="A10290" s="77">
        <v>61017978</v>
      </c>
      <c r="B10290" s="75" t="s">
        <v>29155</v>
      </c>
      <c r="C10290" s="75" t="s">
        <v>27225</v>
      </c>
      <c r="D10290" s="75" t="s">
        <v>277</v>
      </c>
      <c r="G10290" s="75" t="s">
        <v>205</v>
      </c>
    </row>
    <row r="10291" spans="1:7" x14ac:dyDescent="0.35">
      <c r="A10291" s="77" t="s">
        <v>29156</v>
      </c>
      <c r="B10291" s="75" t="s">
        <v>29157</v>
      </c>
      <c r="C10291" s="75" t="s">
        <v>29158</v>
      </c>
      <c r="D10291" s="75" t="s">
        <v>277</v>
      </c>
      <c r="G10291" s="75" t="s">
        <v>205</v>
      </c>
    </row>
    <row r="10292" spans="1:7" x14ac:dyDescent="0.35">
      <c r="A10292" s="77">
        <v>61017991</v>
      </c>
      <c r="B10292" s="75" t="s">
        <v>29159</v>
      </c>
      <c r="C10292" s="75" t="s">
        <v>29160</v>
      </c>
      <c r="D10292" s="75" t="s">
        <v>277</v>
      </c>
      <c r="G10292" s="75" t="s">
        <v>205</v>
      </c>
    </row>
    <row r="10293" spans="1:7" x14ac:dyDescent="0.35">
      <c r="A10293" s="77">
        <v>61018004</v>
      </c>
      <c r="B10293" s="75" t="s">
        <v>29161</v>
      </c>
      <c r="C10293" s="75" t="s">
        <v>29162</v>
      </c>
      <c r="D10293" s="75" t="s">
        <v>277</v>
      </c>
      <c r="G10293" s="75" t="s">
        <v>205</v>
      </c>
    </row>
    <row r="10294" spans="1:7" x14ac:dyDescent="0.35">
      <c r="A10294" s="77">
        <v>61018016</v>
      </c>
      <c r="B10294" s="75" t="s">
        <v>29163</v>
      </c>
      <c r="C10294" s="75" t="s">
        <v>29164</v>
      </c>
      <c r="D10294" s="75" t="s">
        <v>277</v>
      </c>
      <c r="G10294" s="75" t="s">
        <v>205</v>
      </c>
    </row>
    <row r="10295" spans="1:7" x14ac:dyDescent="0.35">
      <c r="A10295" s="77">
        <v>61018028</v>
      </c>
      <c r="B10295" s="75" t="s">
        <v>29165</v>
      </c>
      <c r="C10295" s="75" t="s">
        <v>27268</v>
      </c>
      <c r="D10295" s="75" t="s">
        <v>277</v>
      </c>
      <c r="G10295" s="75" t="s">
        <v>205</v>
      </c>
    </row>
    <row r="10296" spans="1:7" x14ac:dyDescent="0.35">
      <c r="A10296" s="77" t="s">
        <v>29166</v>
      </c>
      <c r="B10296" s="75" t="s">
        <v>29167</v>
      </c>
      <c r="C10296" s="75" t="s">
        <v>27270</v>
      </c>
      <c r="D10296" s="75" t="s">
        <v>277</v>
      </c>
      <c r="G10296" s="75" t="s">
        <v>205</v>
      </c>
    </row>
    <row r="10297" spans="1:7" x14ac:dyDescent="0.35">
      <c r="A10297" s="77">
        <v>61018041</v>
      </c>
      <c r="B10297" s="75" t="s">
        <v>29168</v>
      </c>
      <c r="C10297" s="75" t="s">
        <v>29169</v>
      </c>
      <c r="D10297" s="75" t="s">
        <v>277</v>
      </c>
      <c r="G10297" s="75" t="s">
        <v>205</v>
      </c>
    </row>
    <row r="10298" spans="1:7" x14ac:dyDescent="0.35">
      <c r="A10298" s="77">
        <v>61018053</v>
      </c>
      <c r="B10298" s="75" t="s">
        <v>29170</v>
      </c>
      <c r="C10298" s="75" t="s">
        <v>29171</v>
      </c>
      <c r="D10298" s="75" t="s">
        <v>277</v>
      </c>
      <c r="G10298" s="75" t="s">
        <v>205</v>
      </c>
    </row>
    <row r="10299" spans="1:7" x14ac:dyDescent="0.35">
      <c r="A10299" s="77">
        <v>61018065</v>
      </c>
      <c r="B10299" s="75" t="s">
        <v>29172</v>
      </c>
      <c r="C10299" s="75" t="s">
        <v>29173</v>
      </c>
      <c r="D10299" s="75" t="s">
        <v>277</v>
      </c>
      <c r="G10299" s="75" t="s">
        <v>205</v>
      </c>
    </row>
    <row r="10300" spans="1:7" x14ac:dyDescent="0.35">
      <c r="A10300" s="77">
        <v>61018077</v>
      </c>
      <c r="B10300" s="75" t="s">
        <v>29174</v>
      </c>
      <c r="C10300" s="75" t="s">
        <v>29175</v>
      </c>
      <c r="D10300" s="75" t="s">
        <v>277</v>
      </c>
      <c r="G10300" s="75" t="s">
        <v>205</v>
      </c>
    </row>
    <row r="10301" spans="1:7" x14ac:dyDescent="0.35">
      <c r="A10301" s="77">
        <v>61018089</v>
      </c>
      <c r="B10301" s="75" t="s">
        <v>29176</v>
      </c>
      <c r="C10301" s="75" t="s">
        <v>29177</v>
      </c>
      <c r="D10301" s="75" t="s">
        <v>277</v>
      </c>
      <c r="G10301" s="75" t="s">
        <v>205</v>
      </c>
    </row>
    <row r="10302" spans="1:7" x14ac:dyDescent="0.35">
      <c r="A10302" s="77">
        <v>61018090</v>
      </c>
      <c r="B10302" s="75" t="s">
        <v>29178</v>
      </c>
      <c r="C10302" s="75" t="s">
        <v>29179</v>
      </c>
      <c r="D10302" s="75" t="s">
        <v>277</v>
      </c>
      <c r="G10302" s="75" t="s">
        <v>205</v>
      </c>
    </row>
    <row r="10303" spans="1:7" x14ac:dyDescent="0.35">
      <c r="A10303" s="77">
        <v>61018107</v>
      </c>
      <c r="B10303" s="75" t="s">
        <v>29180</v>
      </c>
      <c r="C10303" s="75" t="s">
        <v>29181</v>
      </c>
      <c r="D10303" s="75" t="s">
        <v>277</v>
      </c>
      <c r="G10303" s="75" t="s">
        <v>205</v>
      </c>
    </row>
    <row r="10304" spans="1:7" x14ac:dyDescent="0.35">
      <c r="A10304" s="77">
        <v>61018119</v>
      </c>
      <c r="B10304" s="75" t="s">
        <v>29182</v>
      </c>
      <c r="C10304" s="75" t="s">
        <v>29183</v>
      </c>
      <c r="D10304" s="75" t="s">
        <v>277</v>
      </c>
      <c r="G10304" s="75" t="s">
        <v>205</v>
      </c>
    </row>
    <row r="10305" spans="1:7" x14ac:dyDescent="0.35">
      <c r="A10305" s="77">
        <v>61018120</v>
      </c>
      <c r="B10305" s="75" t="s">
        <v>29184</v>
      </c>
      <c r="C10305" s="75" t="s">
        <v>29185</v>
      </c>
      <c r="D10305" s="75" t="s">
        <v>277</v>
      </c>
      <c r="G10305" s="75" t="s">
        <v>205</v>
      </c>
    </row>
    <row r="10306" spans="1:7" x14ac:dyDescent="0.35">
      <c r="A10306" s="77">
        <v>61018132</v>
      </c>
      <c r="B10306" s="75" t="s">
        <v>29186</v>
      </c>
      <c r="C10306" s="75" t="s">
        <v>29187</v>
      </c>
      <c r="D10306" s="75" t="s">
        <v>277</v>
      </c>
      <c r="G10306" s="75" t="s">
        <v>205</v>
      </c>
    </row>
    <row r="10307" spans="1:7" x14ac:dyDescent="0.35">
      <c r="A10307" s="77">
        <v>61024752</v>
      </c>
      <c r="B10307" s="75" t="s">
        <v>29188</v>
      </c>
      <c r="C10307" s="75" t="s">
        <v>29189</v>
      </c>
      <c r="D10307" s="75" t="s">
        <v>238</v>
      </c>
      <c r="G10307" s="75" t="s">
        <v>205</v>
      </c>
    </row>
    <row r="10308" spans="1:7" x14ac:dyDescent="0.35">
      <c r="A10308" s="77">
        <v>61024776</v>
      </c>
      <c r="B10308" s="75" t="s">
        <v>29190</v>
      </c>
      <c r="C10308" s="75" t="s">
        <v>29191</v>
      </c>
      <c r="D10308" s="75" t="s">
        <v>238</v>
      </c>
      <c r="G10308" s="75" t="s">
        <v>205</v>
      </c>
    </row>
    <row r="10309" spans="1:7" x14ac:dyDescent="0.35">
      <c r="A10309" s="77">
        <v>61031240</v>
      </c>
      <c r="B10309" s="75" t="s">
        <v>29363</v>
      </c>
      <c r="C10309" s="75" t="s">
        <v>29364</v>
      </c>
      <c r="D10309" s="75" t="s">
        <v>264</v>
      </c>
      <c r="G10309" s="75" t="s">
        <v>205</v>
      </c>
    </row>
    <row r="10310" spans="1:7" x14ac:dyDescent="0.35">
      <c r="A10310" s="77">
        <v>61031252</v>
      </c>
      <c r="B10310" s="75" t="s">
        <v>29365</v>
      </c>
      <c r="C10310" s="75" t="s">
        <v>29366</v>
      </c>
      <c r="D10310" s="75" t="s">
        <v>264</v>
      </c>
      <c r="G10310" s="75" t="s">
        <v>205</v>
      </c>
    </row>
    <row r="10311" spans="1:7" x14ac:dyDescent="0.35">
      <c r="A10311" s="77">
        <v>61031550</v>
      </c>
      <c r="B10311" s="75" t="s">
        <v>29367</v>
      </c>
      <c r="C10311" s="75" t="s">
        <v>29368</v>
      </c>
      <c r="D10311" s="75" t="s">
        <v>264</v>
      </c>
      <c r="G10311" s="75" t="s">
        <v>205</v>
      </c>
    </row>
    <row r="10312" spans="1:7" x14ac:dyDescent="0.35">
      <c r="A10312" s="77">
        <v>61031562</v>
      </c>
      <c r="B10312" s="75" t="s">
        <v>29369</v>
      </c>
      <c r="C10312" s="75" t="s">
        <v>29370</v>
      </c>
      <c r="D10312" s="75" t="s">
        <v>264</v>
      </c>
      <c r="G10312" s="75" t="s">
        <v>205</v>
      </c>
    </row>
    <row r="10313" spans="1:7" x14ac:dyDescent="0.35">
      <c r="A10313" s="77">
        <v>61031574</v>
      </c>
      <c r="B10313" s="75" t="s">
        <v>29371</v>
      </c>
      <c r="C10313" s="75" t="s">
        <v>29372</v>
      </c>
      <c r="D10313" s="75" t="s">
        <v>264</v>
      </c>
      <c r="G10313" s="75" t="s">
        <v>205</v>
      </c>
    </row>
    <row r="10314" spans="1:7" x14ac:dyDescent="0.35">
      <c r="A10314" s="77">
        <v>61031586</v>
      </c>
      <c r="B10314" s="75" t="s">
        <v>29373</v>
      </c>
      <c r="C10314" s="75" t="s">
        <v>29374</v>
      </c>
      <c r="D10314" s="75" t="s">
        <v>264</v>
      </c>
      <c r="G10314" s="75" t="s">
        <v>205</v>
      </c>
    </row>
    <row r="10315" spans="1:7" x14ac:dyDescent="0.35">
      <c r="A10315" s="77">
        <v>61031598</v>
      </c>
      <c r="B10315" s="75" t="s">
        <v>29375</v>
      </c>
      <c r="C10315" s="75" t="s">
        <v>29376</v>
      </c>
      <c r="D10315" s="75" t="s">
        <v>264</v>
      </c>
      <c r="G10315" s="75" t="s">
        <v>205</v>
      </c>
    </row>
  </sheetData>
  <sheetProtection algorithmName="SHA-512" hashValue="Nkx72QVftAz2oS79wQTXmWW9AV2yi7EnENHTVOCMKohzvZER9fbWbOxCtILq5jEl0yyU5suDhXBoMneoByyG5g==" saltValue="2OtrKgCkWBOe1aoPCKY3Wg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rgb="FF92D050"/>
    <pageSetUpPr fitToPage="1"/>
  </sheetPr>
  <dimension ref="A1:S118"/>
  <sheetViews>
    <sheetView showGridLines="0" workbookViewId="0"/>
  </sheetViews>
  <sheetFormatPr defaultColWidth="9" defaultRowHeight="13.5" x14ac:dyDescent="0.35"/>
  <cols>
    <col min="1" max="1" width="16.86328125" style="74" customWidth="1"/>
    <col min="2" max="2" width="9.1328125" style="74" customWidth="1"/>
    <col min="3" max="3" width="20" style="74" customWidth="1"/>
    <col min="4" max="6" width="10.86328125" style="74" customWidth="1"/>
    <col min="7" max="7" width="11" style="74" hidden="1" customWidth="1" collapsed="1"/>
    <col min="8" max="9" width="11" style="74" hidden="1" customWidth="1"/>
    <col min="10" max="11" width="10.86328125" style="74" customWidth="1"/>
    <col min="12" max="12" width="12" style="74" customWidth="1"/>
    <col min="13" max="16" width="10.86328125" style="74" customWidth="1"/>
    <col min="17" max="17" width="11.1328125" style="74" hidden="1" customWidth="1"/>
    <col min="18" max="18" width="9.86328125" style="74" hidden="1" customWidth="1"/>
    <col min="19" max="19" width="10.265625" style="74" hidden="1" customWidth="1"/>
    <col min="20" max="16384" width="9" style="74"/>
  </cols>
  <sheetData>
    <row r="1" spans="1:19" s="636" customFormat="1" ht="26.25" customHeight="1" x14ac:dyDescent="0.35">
      <c r="A1" s="636" t="s">
        <v>29785</v>
      </c>
    </row>
    <row r="2" spans="1:19" ht="25.5" customHeight="1" x14ac:dyDescent="0.4">
      <c r="A2" s="1385" t="str">
        <f>IF(PROVIDER="","Provider name",PROVIDER&amp;" ("&amp;UKPRN&amp;")")</f>
        <v>Provider name</v>
      </c>
      <c r="D2" s="669"/>
      <c r="E2" s="669"/>
      <c r="F2" s="669"/>
      <c r="N2" s="1257"/>
    </row>
    <row r="3" spans="1:19" ht="16.5" customHeight="1" x14ac:dyDescent="0.4">
      <c r="A3" s="1501" t="s">
        <v>27678</v>
      </c>
      <c r="D3" s="669"/>
      <c r="E3" s="669"/>
      <c r="F3" s="669"/>
      <c r="N3" s="1257"/>
    </row>
    <row r="4" spans="1:19" ht="27" customHeight="1" x14ac:dyDescent="0.35">
      <c r="D4" s="3404" t="str">
        <f>'Table 1 Valid'!F3</f>
        <v>Validation: OK</v>
      </c>
      <c r="E4" s="3404"/>
      <c r="F4" s="3404"/>
      <c r="G4" s="3404" t="str">
        <f>'Table 1 Valid'!F3</f>
        <v>Validation: OK</v>
      </c>
      <c r="H4" s="3404"/>
      <c r="I4" s="3404"/>
      <c r="J4" s="3404" t="str">
        <f>'Table 1 Valid'!H3</f>
        <v>Validation: OK</v>
      </c>
      <c r="K4" s="3404"/>
      <c r="L4" s="3404"/>
      <c r="M4" s="3404" t="str">
        <f>'Table 1 Valid'!J3</f>
        <v>Validation: OK</v>
      </c>
      <c r="N4" s="3404"/>
      <c r="O4" s="3404"/>
      <c r="P4" s="1247"/>
    </row>
    <row r="5" spans="1:19" ht="27" customHeight="1" thickBot="1" x14ac:dyDescent="0.4">
      <c r="C5" s="1520"/>
      <c r="D5" s="3405" t="str">
        <f>'Table 1 Valid'!F4</f>
        <v>Credibility: OK</v>
      </c>
      <c r="E5" s="3405"/>
      <c r="F5" s="3405"/>
      <c r="G5" s="3405" t="str">
        <f>'Table 1 Valid'!F4</f>
        <v>Credibility: OK</v>
      </c>
      <c r="H5" s="3405"/>
      <c r="I5" s="3405"/>
      <c r="J5" s="3405" t="str">
        <f>'Table 1 Valid'!H4</f>
        <v>Credibility: OK</v>
      </c>
      <c r="K5" s="3405"/>
      <c r="L5" s="3405"/>
      <c r="M5" s="3405" t="str">
        <f>'Table 1 Valid'!J4</f>
        <v>Credibility: OK</v>
      </c>
      <c r="N5" s="3405"/>
      <c r="O5" s="3405"/>
      <c r="P5" s="1247"/>
    </row>
    <row r="6" spans="1:19" ht="13.9" x14ac:dyDescent="0.4">
      <c r="A6" s="677"/>
      <c r="B6" s="677"/>
      <c r="C6" s="733"/>
      <c r="D6" s="675" t="s">
        <v>27679</v>
      </c>
      <c r="E6" s="677"/>
      <c r="F6" s="677"/>
      <c r="G6" s="675" t="s">
        <v>27679</v>
      </c>
      <c r="H6" s="677"/>
      <c r="I6" s="677"/>
      <c r="J6" s="675" t="s">
        <v>27680</v>
      </c>
      <c r="K6" s="677"/>
      <c r="L6" s="677"/>
      <c r="M6" s="675" t="s">
        <v>28274</v>
      </c>
      <c r="N6" s="734"/>
      <c r="O6" s="734"/>
      <c r="P6" s="739"/>
    </row>
    <row r="7" spans="1:19" ht="14.25" customHeight="1" x14ac:dyDescent="0.35">
      <c r="C7" s="736"/>
      <c r="D7" s="1598"/>
      <c r="E7" s="1258"/>
      <c r="F7" s="1259"/>
      <c r="G7" s="1598" t="s">
        <v>27681</v>
      </c>
      <c r="H7" s="1258"/>
      <c r="I7" s="1259"/>
      <c r="J7" s="1584"/>
      <c r="M7" s="1598" t="s">
        <v>27681</v>
      </c>
      <c r="N7" s="739"/>
      <c r="O7" s="739"/>
      <c r="P7" s="739"/>
    </row>
    <row r="8" spans="1:19" ht="45" customHeight="1" x14ac:dyDescent="0.35">
      <c r="C8" s="736"/>
      <c r="D8" s="3378" t="str">
        <f>"Years countable between 1 August 20"&amp;YEAR&amp;" and census date inclusive"</f>
        <v>Years countable between 1 August 2024 and census date inclusive</v>
      </c>
      <c r="E8" s="3402"/>
      <c r="F8" s="3403"/>
      <c r="G8" s="3378" t="str">
        <f>"Years countable between 1 August 20"&amp;YEAR&amp;" and census date inclusive"</f>
        <v>Years countable between 1 August 2024 and census date inclusive</v>
      </c>
      <c r="H8" s="3402"/>
      <c r="I8" s="3403"/>
      <c r="J8" s="3378" t="str">
        <f>"Forecast of years countable after census date and before 1 August 20"&amp;(YEAR+1)</f>
        <v>Forecast of years countable after census date and before 1 August 2025</v>
      </c>
      <c r="K8" s="3402"/>
      <c r="L8" s="3403"/>
      <c r="M8" s="3378" t="str">
        <f>"Years countable in academic year 20"&amp;ACYEAR&amp;"
(Columns 1 + 2)"</f>
        <v>Years countable in academic year 2024-25
(Columns 1 + 2)</v>
      </c>
      <c r="N8" s="3402"/>
      <c r="O8" s="3402"/>
      <c r="P8" s="739"/>
    </row>
    <row r="9" spans="1:19" ht="14.45" customHeight="1" x14ac:dyDescent="0.35">
      <c r="C9" s="736"/>
      <c r="D9" s="740" t="s">
        <v>293</v>
      </c>
      <c r="E9" s="741"/>
      <c r="G9" s="740" t="s">
        <v>293</v>
      </c>
      <c r="H9" s="741"/>
      <c r="J9" s="740" t="s">
        <v>293</v>
      </c>
      <c r="K9" s="741"/>
      <c r="M9" s="740" t="s">
        <v>293</v>
      </c>
      <c r="N9" s="741"/>
    </row>
    <row r="10" spans="1:19" s="732" customFormat="1" ht="29.45" customHeight="1" x14ac:dyDescent="0.35">
      <c r="B10" s="1178"/>
      <c r="C10" s="1260"/>
      <c r="D10" s="742" t="s">
        <v>192</v>
      </c>
      <c r="E10" s="690" t="s">
        <v>193</v>
      </c>
      <c r="F10" s="690" t="s">
        <v>194</v>
      </c>
      <c r="G10" s="742" t="s">
        <v>192</v>
      </c>
      <c r="H10" s="690" t="s">
        <v>193</v>
      </c>
      <c r="I10" s="690" t="s">
        <v>194</v>
      </c>
      <c r="J10" s="742" t="s">
        <v>192</v>
      </c>
      <c r="K10" s="690" t="s">
        <v>193</v>
      </c>
      <c r="L10" s="690" t="s">
        <v>194</v>
      </c>
      <c r="M10" s="742" t="s">
        <v>192</v>
      </c>
      <c r="N10" s="690" t="s">
        <v>193</v>
      </c>
      <c r="O10" s="690" t="s">
        <v>194</v>
      </c>
      <c r="P10" s="690"/>
    </row>
    <row r="11" spans="1:19" ht="14.45" customHeight="1" x14ac:dyDescent="0.35">
      <c r="A11" s="1163" t="s">
        <v>200</v>
      </c>
      <c r="B11" s="745" t="s">
        <v>56</v>
      </c>
      <c r="C11" s="1530" t="s">
        <v>57</v>
      </c>
      <c r="D11" s="1164" t="s">
        <v>27682</v>
      </c>
      <c r="E11" s="1165" t="s">
        <v>27683</v>
      </c>
      <c r="F11" s="1165" t="s">
        <v>27684</v>
      </c>
      <c r="G11" s="1164" t="s">
        <v>27682</v>
      </c>
      <c r="H11" s="1165" t="s">
        <v>27683</v>
      </c>
      <c r="I11" s="1165" t="s">
        <v>27684</v>
      </c>
      <c r="J11" s="1164" t="s">
        <v>27682</v>
      </c>
      <c r="K11" s="1165" t="s">
        <v>27683</v>
      </c>
      <c r="L11" s="1165" t="s">
        <v>27684</v>
      </c>
      <c r="M11" s="1599" t="s">
        <v>27682</v>
      </c>
      <c r="N11" s="744" t="s">
        <v>27683</v>
      </c>
      <c r="O11" s="744" t="s">
        <v>27684</v>
      </c>
      <c r="P11" s="744"/>
      <c r="Q11" s="2146" t="s">
        <v>63</v>
      </c>
      <c r="R11" s="2146" t="s">
        <v>315</v>
      </c>
      <c r="S11" s="2146" t="s">
        <v>66</v>
      </c>
    </row>
    <row r="12" spans="1:19" ht="14.45" customHeight="1" x14ac:dyDescent="0.35">
      <c r="A12" s="808" t="s">
        <v>203</v>
      </c>
      <c r="B12" s="808" t="s">
        <v>204</v>
      </c>
      <c r="C12" s="1745" t="s">
        <v>205</v>
      </c>
      <c r="D12" s="1787">
        <v>0</v>
      </c>
      <c r="E12" s="1684">
        <v>0</v>
      </c>
      <c r="F12" s="1685">
        <v>0</v>
      </c>
      <c r="G12" s="1170">
        <f>IF(FEC=1,'Column 1'!AB8,D12)</f>
        <v>0</v>
      </c>
      <c r="H12" s="1170">
        <f>IF(FEC=1,'Column 1'!AC8,E12)</f>
        <v>0</v>
      </c>
      <c r="I12" s="1170">
        <f>IF(FEC=1,'Column 1'!AD8,F12)</f>
        <v>0</v>
      </c>
      <c r="J12" s="1787">
        <v>0</v>
      </c>
      <c r="K12" s="1684">
        <v>0</v>
      </c>
      <c r="L12" s="1174">
        <v>0</v>
      </c>
      <c r="M12" s="1788">
        <f>SUM(G12,J12)</f>
        <v>0</v>
      </c>
      <c r="N12" s="1686">
        <f t="shared" ref="N12:O12" si="0">SUM(H12,K12)</f>
        <v>0</v>
      </c>
      <c r="O12" s="1709">
        <f t="shared" si="0"/>
        <v>0</v>
      </c>
      <c r="P12" s="982"/>
      <c r="Q12" s="1261" t="s">
        <v>203</v>
      </c>
      <c r="R12" s="1261" t="s">
        <v>27685</v>
      </c>
      <c r="S12" s="1261" t="s">
        <v>27686</v>
      </c>
    </row>
    <row r="13" spans="1:19" ht="14.45" customHeight="1" x14ac:dyDescent="0.35">
      <c r="A13" s="1178" t="s">
        <v>203</v>
      </c>
      <c r="B13" s="1178" t="s">
        <v>204</v>
      </c>
      <c r="C13" s="1161" t="s">
        <v>208</v>
      </c>
      <c r="D13" s="1182">
        <v>0</v>
      </c>
      <c r="E13" s="1183">
        <v>0</v>
      </c>
      <c r="F13" s="1184">
        <v>0</v>
      </c>
      <c r="G13" s="1170">
        <f>IF(FEC=1,'Column 1'!AB9,D13)</f>
        <v>0</v>
      </c>
      <c r="H13" s="1170">
        <f>IF(FEC=1,'Column 1'!AC9,E13)</f>
        <v>0</v>
      </c>
      <c r="I13" s="1170">
        <f>IF(FEC=1,'Column 1'!AD9,F13)</f>
        <v>0</v>
      </c>
      <c r="J13" s="1262">
        <v>0</v>
      </c>
      <c r="K13" s="1173">
        <v>0</v>
      </c>
      <c r="L13" s="1174">
        <v>0</v>
      </c>
      <c r="M13" s="1263">
        <f>SUM(G13,J13)</f>
        <v>0</v>
      </c>
      <c r="N13" s="1170">
        <f t="shared" ref="N13:N76" si="1">SUM(H13,K13)</f>
        <v>0</v>
      </c>
      <c r="O13" s="994">
        <f t="shared" ref="O13:O76" si="2">SUM(I13,L13)</f>
        <v>0</v>
      </c>
      <c r="P13" s="982"/>
      <c r="Q13" s="1261" t="s">
        <v>203</v>
      </c>
      <c r="R13" s="1261" t="s">
        <v>27685</v>
      </c>
      <c r="S13" s="1261" t="s">
        <v>27687</v>
      </c>
    </row>
    <row r="14" spans="1:19" ht="14.45" customHeight="1" x14ac:dyDescent="0.35">
      <c r="A14" s="1178" t="s">
        <v>203</v>
      </c>
      <c r="B14" s="1178" t="s">
        <v>204</v>
      </c>
      <c r="C14" s="1161" t="s">
        <v>210</v>
      </c>
      <c r="D14" s="1182">
        <v>0</v>
      </c>
      <c r="E14" s="1183">
        <v>0</v>
      </c>
      <c r="F14" s="1184">
        <v>0</v>
      </c>
      <c r="G14" s="1170">
        <f>IF(FEC=1,'Column 1'!AB10,D14)</f>
        <v>0</v>
      </c>
      <c r="H14" s="1170">
        <f>IF(FEC=1,'Column 1'!AC10,E14)</f>
        <v>0</v>
      </c>
      <c r="I14" s="1170">
        <f>IF(FEC=1,'Column 1'!AD10,F14)</f>
        <v>0</v>
      </c>
      <c r="J14" s="1262">
        <v>0</v>
      </c>
      <c r="K14" s="1173">
        <v>0</v>
      </c>
      <c r="L14" s="1174">
        <v>0</v>
      </c>
      <c r="M14" s="1263">
        <f t="shared" ref="M14:M76" si="3">SUM(G14,J14)</f>
        <v>0</v>
      </c>
      <c r="N14" s="1170">
        <f t="shared" si="1"/>
        <v>0</v>
      </c>
      <c r="O14" s="994">
        <f t="shared" si="2"/>
        <v>0</v>
      </c>
      <c r="P14" s="982"/>
      <c r="Q14" s="1261" t="s">
        <v>203</v>
      </c>
      <c r="R14" s="1261" t="s">
        <v>27685</v>
      </c>
      <c r="S14" s="1261" t="s">
        <v>27688</v>
      </c>
    </row>
    <row r="15" spans="1:19" ht="14.45" customHeight="1" x14ac:dyDescent="0.35">
      <c r="A15" s="1178" t="s">
        <v>203</v>
      </c>
      <c r="B15" s="1178" t="s">
        <v>204</v>
      </c>
      <c r="C15" s="1161" t="s">
        <v>212</v>
      </c>
      <c r="D15" s="1172">
        <v>0</v>
      </c>
      <c r="E15" s="1173">
        <v>0</v>
      </c>
      <c r="F15" s="1174">
        <v>0</v>
      </c>
      <c r="G15" s="1170">
        <f>IF(FEC=1,'Column 1'!AB11,D15)</f>
        <v>0</v>
      </c>
      <c r="H15" s="1170">
        <f>IF(FEC=1,'Column 1'!AC11,E15)</f>
        <v>0</v>
      </c>
      <c r="I15" s="1170">
        <f>IF(FEC=1,'Column 1'!AD11,F15)</f>
        <v>0</v>
      </c>
      <c r="J15" s="1172">
        <v>0</v>
      </c>
      <c r="K15" s="1173">
        <v>0</v>
      </c>
      <c r="L15" s="1174">
        <v>0</v>
      </c>
      <c r="M15" s="1175">
        <f t="shared" si="3"/>
        <v>0</v>
      </c>
      <c r="N15" s="1170">
        <f t="shared" si="1"/>
        <v>0</v>
      </c>
      <c r="O15" s="1176">
        <f t="shared" si="2"/>
        <v>0</v>
      </c>
      <c r="P15" s="982"/>
      <c r="Q15" s="1261" t="s">
        <v>203</v>
      </c>
      <c r="R15" s="1261" t="s">
        <v>27685</v>
      </c>
      <c r="S15" s="1261" t="s">
        <v>27689</v>
      </c>
    </row>
    <row r="16" spans="1:19" ht="14.45" customHeight="1" x14ac:dyDescent="0.35">
      <c r="A16" s="1178" t="s">
        <v>203</v>
      </c>
      <c r="B16" s="1178" t="s">
        <v>204</v>
      </c>
      <c r="C16" s="1161" t="s">
        <v>214</v>
      </c>
      <c r="D16" s="1182">
        <v>0</v>
      </c>
      <c r="E16" s="1183">
        <v>0</v>
      </c>
      <c r="F16" s="1184">
        <v>0</v>
      </c>
      <c r="G16" s="1170">
        <f>IF(FEC=1,'Column 1'!AB12,D16)</f>
        <v>0</v>
      </c>
      <c r="H16" s="1170">
        <f>IF(FEC=1,'Column 1'!AC12,E16)</f>
        <v>0</v>
      </c>
      <c r="I16" s="1170">
        <f>IF(FEC=1,'Column 1'!AD12,F16)</f>
        <v>0</v>
      </c>
      <c r="J16" s="1182">
        <v>0</v>
      </c>
      <c r="K16" s="1183">
        <v>0</v>
      </c>
      <c r="L16" s="1184">
        <v>0</v>
      </c>
      <c r="M16" s="1185">
        <f t="shared" si="3"/>
        <v>0</v>
      </c>
      <c r="N16" s="1186">
        <f t="shared" si="1"/>
        <v>0</v>
      </c>
      <c r="O16" s="1187">
        <f t="shared" si="2"/>
        <v>0</v>
      </c>
      <c r="P16" s="982"/>
      <c r="Q16" s="1261" t="s">
        <v>203</v>
      </c>
      <c r="R16" s="1261" t="s">
        <v>27685</v>
      </c>
      <c r="S16" s="1261" t="s">
        <v>27690</v>
      </c>
    </row>
    <row r="17" spans="1:19" ht="14.45" customHeight="1" x14ac:dyDescent="0.35">
      <c r="A17" s="974" t="s">
        <v>203</v>
      </c>
      <c r="B17" s="1188" t="s">
        <v>204</v>
      </c>
      <c r="C17" s="1531" t="s">
        <v>216</v>
      </c>
      <c r="D17" s="1264"/>
      <c r="E17" s="1173">
        <v>0</v>
      </c>
      <c r="F17" s="1177">
        <v>0</v>
      </c>
      <c r="G17" s="1265"/>
      <c r="H17" s="1956">
        <f>IF(FEC=1,'Column 1'!AC13,E17)</f>
        <v>0</v>
      </c>
      <c r="I17" s="1170">
        <f>IF(FEC=1,'Column 1'!AD13,F17)</f>
        <v>0</v>
      </c>
      <c r="J17" s="1264"/>
      <c r="K17" s="1173">
        <v>0</v>
      </c>
      <c r="L17" s="1174">
        <v>0</v>
      </c>
      <c r="M17" s="1265"/>
      <c r="N17" s="1186">
        <f t="shared" si="1"/>
        <v>0</v>
      </c>
      <c r="O17" s="1187">
        <f t="shared" si="2"/>
        <v>0</v>
      </c>
      <c r="P17" s="982"/>
      <c r="Q17" s="1261" t="s">
        <v>203</v>
      </c>
      <c r="R17" s="1261" t="s">
        <v>27685</v>
      </c>
      <c r="S17" s="1261" t="s">
        <v>216</v>
      </c>
    </row>
    <row r="18" spans="1:19" ht="14.45" customHeight="1" x14ac:dyDescent="0.35">
      <c r="A18" s="1178" t="s">
        <v>203</v>
      </c>
      <c r="B18" s="739" t="s">
        <v>218</v>
      </c>
      <c r="C18" s="1161" t="s">
        <v>205</v>
      </c>
      <c r="D18" s="1198">
        <v>0</v>
      </c>
      <c r="E18" s="1199">
        <v>0</v>
      </c>
      <c r="F18" s="1200">
        <v>0</v>
      </c>
      <c r="G18" s="1166">
        <f>IF(FEC=1,'Column 1'!AB14,D18)</f>
        <v>0</v>
      </c>
      <c r="H18" s="1196">
        <f>IF(FEC=1,'Column 1'!AC14,E18)</f>
        <v>0</v>
      </c>
      <c r="I18" s="1197">
        <f>IF(FEC=1,'Column 1'!AD14,F18)</f>
        <v>0</v>
      </c>
      <c r="J18" s="1198">
        <v>0</v>
      </c>
      <c r="K18" s="1199">
        <v>0</v>
      </c>
      <c r="L18" s="1200">
        <v>0</v>
      </c>
      <c r="M18" s="1204">
        <f t="shared" si="3"/>
        <v>0</v>
      </c>
      <c r="N18" s="1205">
        <f t="shared" si="1"/>
        <v>0</v>
      </c>
      <c r="O18" s="1206">
        <f t="shared" si="2"/>
        <v>0</v>
      </c>
      <c r="P18" s="982"/>
      <c r="Q18" s="1261" t="s">
        <v>203</v>
      </c>
      <c r="R18" s="1261" t="s">
        <v>27691</v>
      </c>
      <c r="S18" s="1261" t="s">
        <v>27686</v>
      </c>
    </row>
    <row r="19" spans="1:19" ht="14.45" customHeight="1" x14ac:dyDescent="0.35">
      <c r="A19" s="1178" t="s">
        <v>203</v>
      </c>
      <c r="B19" s="974" t="s">
        <v>218</v>
      </c>
      <c r="C19" s="1161" t="s">
        <v>208</v>
      </c>
      <c r="D19" s="1198">
        <v>0</v>
      </c>
      <c r="E19" s="1199">
        <v>0</v>
      </c>
      <c r="F19" s="1200">
        <v>0</v>
      </c>
      <c r="G19" s="1170">
        <f>IF(FEC=1,'Column 1'!AB15,D19)</f>
        <v>0</v>
      </c>
      <c r="H19" s="1196">
        <f>IF(FEC=1,'Column 1'!AC15,E19)</f>
        <v>0</v>
      </c>
      <c r="I19" s="1197">
        <f>IF(FEC=1,'Column 1'!AD15,F19)</f>
        <v>0</v>
      </c>
      <c r="J19" s="1198">
        <v>0</v>
      </c>
      <c r="K19" s="1199">
        <v>0</v>
      </c>
      <c r="L19" s="1200">
        <v>0</v>
      </c>
      <c r="M19" s="1204">
        <f t="shared" si="3"/>
        <v>0</v>
      </c>
      <c r="N19" s="1205">
        <f t="shared" si="1"/>
        <v>0</v>
      </c>
      <c r="O19" s="1206">
        <f t="shared" si="2"/>
        <v>0</v>
      </c>
      <c r="P19" s="982"/>
      <c r="Q19" s="1261" t="s">
        <v>203</v>
      </c>
      <c r="R19" s="1261" t="s">
        <v>27691</v>
      </c>
      <c r="S19" s="1261" t="s">
        <v>27687</v>
      </c>
    </row>
    <row r="20" spans="1:19" ht="14.45" customHeight="1" x14ac:dyDescent="0.35">
      <c r="A20" s="1178" t="s">
        <v>203</v>
      </c>
      <c r="B20" s="974" t="s">
        <v>218</v>
      </c>
      <c r="C20" s="1161" t="s">
        <v>210</v>
      </c>
      <c r="D20" s="1198">
        <v>0</v>
      </c>
      <c r="E20" s="1199">
        <v>0</v>
      </c>
      <c r="F20" s="1200">
        <v>0</v>
      </c>
      <c r="G20" s="1170">
        <f>IF(FEC=1,'Column 1'!AB16,D20)</f>
        <v>0</v>
      </c>
      <c r="H20" s="1196">
        <f>IF(FEC=1,'Column 1'!AC16,E20)</f>
        <v>0</v>
      </c>
      <c r="I20" s="1197">
        <f>IF(FEC=1,'Column 1'!AD16,F20)</f>
        <v>0</v>
      </c>
      <c r="J20" s="1198">
        <v>0</v>
      </c>
      <c r="K20" s="1199">
        <v>0</v>
      </c>
      <c r="L20" s="1200">
        <v>0</v>
      </c>
      <c r="M20" s="1204">
        <f t="shared" si="3"/>
        <v>0</v>
      </c>
      <c r="N20" s="1205">
        <f t="shared" si="1"/>
        <v>0</v>
      </c>
      <c r="O20" s="1206">
        <f t="shared" si="2"/>
        <v>0</v>
      </c>
      <c r="P20" s="982"/>
      <c r="Q20" s="1261" t="s">
        <v>203</v>
      </c>
      <c r="R20" s="1261" t="s">
        <v>27691</v>
      </c>
      <c r="S20" s="1261" t="s">
        <v>27688</v>
      </c>
    </row>
    <row r="21" spans="1:19" ht="14.45" customHeight="1" x14ac:dyDescent="0.35">
      <c r="A21" s="1178" t="s">
        <v>203</v>
      </c>
      <c r="B21" s="974" t="s">
        <v>218</v>
      </c>
      <c r="C21" s="1161" t="s">
        <v>212</v>
      </c>
      <c r="D21" s="1172">
        <v>0</v>
      </c>
      <c r="E21" s="1173">
        <v>0</v>
      </c>
      <c r="F21" s="1174">
        <v>0</v>
      </c>
      <c r="G21" s="1170">
        <f>IF(FEC=1,'Column 1'!AB17,D21)</f>
        <v>0</v>
      </c>
      <c r="H21" s="1170">
        <f>IF(FEC=1,'Column 1'!AC17,E21)</f>
        <v>0</v>
      </c>
      <c r="I21" s="1170">
        <f>IF(FEC=1,'Column 1'!AD17,F21)</f>
        <v>0</v>
      </c>
      <c r="J21" s="1172">
        <v>0</v>
      </c>
      <c r="K21" s="1173">
        <v>0</v>
      </c>
      <c r="L21" s="1174">
        <v>0</v>
      </c>
      <c r="M21" s="1175">
        <f t="shared" si="3"/>
        <v>0</v>
      </c>
      <c r="N21" s="1170">
        <f t="shared" si="1"/>
        <v>0</v>
      </c>
      <c r="O21" s="1176">
        <f t="shared" si="2"/>
        <v>0</v>
      </c>
      <c r="P21" s="982"/>
      <c r="Q21" s="1261" t="s">
        <v>203</v>
      </c>
      <c r="R21" s="1261" t="s">
        <v>27691</v>
      </c>
      <c r="S21" s="1261" t="s">
        <v>27689</v>
      </c>
    </row>
    <row r="22" spans="1:19" ht="14.45" customHeight="1" x14ac:dyDescent="0.35">
      <c r="A22" s="1178" t="s">
        <v>203</v>
      </c>
      <c r="B22" s="974" t="s">
        <v>218</v>
      </c>
      <c r="C22" s="1161" t="s">
        <v>214</v>
      </c>
      <c r="D22" s="1172">
        <v>0</v>
      </c>
      <c r="E22" s="1173">
        <v>0</v>
      </c>
      <c r="F22" s="1174">
        <v>0</v>
      </c>
      <c r="G22" s="1170">
        <f>IF(FEC=1,'Column 1'!AB18,D22)</f>
        <v>0</v>
      </c>
      <c r="H22" s="1170">
        <f>IF(FEC=1,'Column 1'!AC18,E22)</f>
        <v>0</v>
      </c>
      <c r="I22" s="1170">
        <f>IF(FEC=1,'Column 1'!AD18,F22)</f>
        <v>0</v>
      </c>
      <c r="J22" s="1172">
        <v>0</v>
      </c>
      <c r="K22" s="1173">
        <v>0</v>
      </c>
      <c r="L22" s="1174">
        <v>0</v>
      </c>
      <c r="M22" s="1175">
        <f t="shared" si="3"/>
        <v>0</v>
      </c>
      <c r="N22" s="1170">
        <f t="shared" si="1"/>
        <v>0</v>
      </c>
      <c r="O22" s="1176">
        <f t="shared" si="2"/>
        <v>0</v>
      </c>
      <c r="P22" s="982"/>
      <c r="Q22" s="1261" t="s">
        <v>203</v>
      </c>
      <c r="R22" s="1261" t="s">
        <v>27691</v>
      </c>
      <c r="S22" s="1261" t="s">
        <v>27690</v>
      </c>
    </row>
    <row r="23" spans="1:19" ht="14.45" customHeight="1" x14ac:dyDescent="0.35">
      <c r="A23" s="1207" t="s">
        <v>203</v>
      </c>
      <c r="B23" s="974" t="s">
        <v>218</v>
      </c>
      <c r="C23" s="1530" t="s">
        <v>216</v>
      </c>
      <c r="D23" s="1266"/>
      <c r="E23" s="1173">
        <v>0</v>
      </c>
      <c r="F23" s="1174">
        <v>0</v>
      </c>
      <c r="G23" s="1264"/>
      <c r="H23" s="1170">
        <f>IF(FEC=1,'Column 1'!AC19,E23)</f>
        <v>0</v>
      </c>
      <c r="I23" s="1170">
        <f>IF(FEC=1,'Column 1'!AD19,F23)</f>
        <v>0</v>
      </c>
      <c r="J23" s="1264"/>
      <c r="K23" s="1173">
        <v>0</v>
      </c>
      <c r="L23" s="1174">
        <v>0</v>
      </c>
      <c r="M23" s="1266"/>
      <c r="N23" s="1209">
        <f t="shared" si="1"/>
        <v>0</v>
      </c>
      <c r="O23" s="1210">
        <f t="shared" si="2"/>
        <v>0</v>
      </c>
      <c r="P23" s="982"/>
      <c r="Q23" s="1261" t="s">
        <v>203</v>
      </c>
      <c r="R23" s="1261" t="s">
        <v>27691</v>
      </c>
      <c r="S23" s="1261" t="s">
        <v>216</v>
      </c>
    </row>
    <row r="24" spans="1:19" ht="14.45" customHeight="1" x14ac:dyDescent="0.35">
      <c r="A24" s="808" t="s">
        <v>225</v>
      </c>
      <c r="B24" s="808" t="s">
        <v>204</v>
      </c>
      <c r="C24" s="1745" t="s">
        <v>205</v>
      </c>
      <c r="D24" s="1201">
        <v>0</v>
      </c>
      <c r="E24" s="1684">
        <v>0</v>
      </c>
      <c r="F24" s="1685">
        <v>0</v>
      </c>
      <c r="G24" s="1788">
        <f>IF(FEC=1,'Column 1'!AB20,D24)</f>
        <v>0</v>
      </c>
      <c r="H24" s="1686">
        <f>IF(FEC=1,'Column 1'!AC20,E24)</f>
        <v>0</v>
      </c>
      <c r="I24" s="1687">
        <f>IF(FEC=1,'Column 1'!AD20,F24)</f>
        <v>0</v>
      </c>
      <c r="J24" s="1787">
        <v>0</v>
      </c>
      <c r="K24" s="1684">
        <v>0</v>
      </c>
      <c r="L24" s="1685">
        <v>0</v>
      </c>
      <c r="M24" s="1788">
        <f t="shared" si="3"/>
        <v>0</v>
      </c>
      <c r="N24" s="1686">
        <f t="shared" si="1"/>
        <v>0</v>
      </c>
      <c r="O24" s="1709">
        <f t="shared" si="2"/>
        <v>0</v>
      </c>
      <c r="P24" s="982"/>
      <c r="Q24" s="1261" t="s">
        <v>225</v>
      </c>
      <c r="R24" s="1261" t="s">
        <v>27685</v>
      </c>
      <c r="S24" s="1261" t="s">
        <v>27686</v>
      </c>
    </row>
    <row r="25" spans="1:19" ht="14.45" customHeight="1" x14ac:dyDescent="0.35">
      <c r="A25" s="1178" t="s">
        <v>225</v>
      </c>
      <c r="B25" s="1178" t="s">
        <v>204</v>
      </c>
      <c r="C25" s="1161" t="s">
        <v>208</v>
      </c>
      <c r="D25" s="1201">
        <v>0</v>
      </c>
      <c r="E25" s="1202">
        <v>0</v>
      </c>
      <c r="F25" s="1203">
        <v>0</v>
      </c>
      <c r="G25" s="1204">
        <f>IF(FEC=1,'Column 1'!AB21,D25)</f>
        <v>0</v>
      </c>
      <c r="H25" s="1205">
        <f>IF(FEC=1,'Column 1'!AC21,E25)</f>
        <v>0</v>
      </c>
      <c r="I25" s="1267">
        <f>IF(FEC=1,'Column 1'!AD21,F25)</f>
        <v>0</v>
      </c>
      <c r="J25" s="1201">
        <v>0</v>
      </c>
      <c r="K25" s="1202">
        <v>0</v>
      </c>
      <c r="L25" s="1203">
        <v>0</v>
      </c>
      <c r="M25" s="1204">
        <f t="shared" si="3"/>
        <v>0</v>
      </c>
      <c r="N25" s="1205">
        <f t="shared" si="1"/>
        <v>0</v>
      </c>
      <c r="O25" s="1206">
        <f t="shared" si="2"/>
        <v>0</v>
      </c>
      <c r="P25" s="982"/>
      <c r="Q25" s="1261" t="s">
        <v>225</v>
      </c>
      <c r="R25" s="1261" t="s">
        <v>27685</v>
      </c>
      <c r="S25" s="1261" t="s">
        <v>27687</v>
      </c>
    </row>
    <row r="26" spans="1:19" ht="14.45" customHeight="1" x14ac:dyDescent="0.35">
      <c r="A26" s="1178" t="s">
        <v>225</v>
      </c>
      <c r="B26" s="1178" t="s">
        <v>204</v>
      </c>
      <c r="C26" s="1161" t="s">
        <v>210</v>
      </c>
      <c r="D26" s="1218">
        <v>0</v>
      </c>
      <c r="E26" s="1219">
        <v>0</v>
      </c>
      <c r="F26" s="1220">
        <v>0</v>
      </c>
      <c r="G26" s="1215">
        <f>IF(FEC=1,'Column 1'!AB22,D26)</f>
        <v>0</v>
      </c>
      <c r="H26" s="1216">
        <f>IF(FEC=1,'Column 1'!AC22,E26)</f>
        <v>0</v>
      </c>
      <c r="I26" s="1217">
        <f>IF(FEC=1,'Column 1'!AD22,F26)</f>
        <v>0</v>
      </c>
      <c r="J26" s="1218">
        <v>0</v>
      </c>
      <c r="K26" s="1219">
        <v>0</v>
      </c>
      <c r="L26" s="1220">
        <v>0</v>
      </c>
      <c r="M26" s="1215">
        <f t="shared" si="3"/>
        <v>0</v>
      </c>
      <c r="N26" s="1216">
        <f t="shared" si="1"/>
        <v>0</v>
      </c>
      <c r="O26" s="1221">
        <f t="shared" si="2"/>
        <v>0</v>
      </c>
      <c r="P26" s="982"/>
      <c r="Q26" s="1261" t="s">
        <v>225</v>
      </c>
      <c r="R26" s="1261" t="s">
        <v>27685</v>
      </c>
      <c r="S26" s="1261" t="s">
        <v>27688</v>
      </c>
    </row>
    <row r="27" spans="1:19" ht="14.45" customHeight="1" x14ac:dyDescent="0.35">
      <c r="A27" s="1178" t="s">
        <v>225</v>
      </c>
      <c r="B27" s="1178" t="s">
        <v>204</v>
      </c>
      <c r="C27" s="1161" t="s">
        <v>212</v>
      </c>
      <c r="D27" s="1172">
        <v>0</v>
      </c>
      <c r="E27" s="1173">
        <v>0</v>
      </c>
      <c r="F27" s="1174">
        <v>0</v>
      </c>
      <c r="G27" s="1175">
        <f>IF(FEC=1,'Column 1'!AB23,D27)</f>
        <v>0</v>
      </c>
      <c r="H27" s="1170">
        <f>IF(FEC=1,'Column 1'!AC23,E27)</f>
        <v>0</v>
      </c>
      <c r="I27" s="1171">
        <f>IF(FEC=1,'Column 1'!AD23,F27)</f>
        <v>0</v>
      </c>
      <c r="J27" s="1172">
        <v>0</v>
      </c>
      <c r="K27" s="1173">
        <v>0</v>
      </c>
      <c r="L27" s="1174">
        <v>0</v>
      </c>
      <c r="M27" s="1175">
        <f t="shared" si="3"/>
        <v>0</v>
      </c>
      <c r="N27" s="1170">
        <f t="shared" si="1"/>
        <v>0</v>
      </c>
      <c r="O27" s="1176">
        <f t="shared" si="2"/>
        <v>0</v>
      </c>
      <c r="P27" s="982"/>
      <c r="Q27" s="1261" t="s">
        <v>225</v>
      </c>
      <c r="R27" s="1261" t="s">
        <v>27685</v>
      </c>
      <c r="S27" s="1261" t="s">
        <v>27689</v>
      </c>
    </row>
    <row r="28" spans="1:19" ht="14.45" customHeight="1" x14ac:dyDescent="0.35">
      <c r="A28" s="1178" t="s">
        <v>225</v>
      </c>
      <c r="B28" s="1178" t="s">
        <v>204</v>
      </c>
      <c r="C28" s="1161" t="s">
        <v>214</v>
      </c>
      <c r="D28" s="1182">
        <v>0</v>
      </c>
      <c r="E28" s="1183">
        <v>0</v>
      </c>
      <c r="F28" s="1184">
        <v>0</v>
      </c>
      <c r="G28" s="1185">
        <f>IF(FEC=1,'Column 1'!AB24,D28)</f>
        <v>0</v>
      </c>
      <c r="H28" s="1186">
        <f>IF(FEC=1,'Column 1'!AC24,E28)</f>
        <v>0</v>
      </c>
      <c r="I28" s="1222">
        <f>IF(FEC=1,'Column 1'!AD24,F28)</f>
        <v>0</v>
      </c>
      <c r="J28" s="1182">
        <v>0</v>
      </c>
      <c r="K28" s="1183">
        <v>0</v>
      </c>
      <c r="L28" s="1184">
        <v>0</v>
      </c>
      <c r="M28" s="1185">
        <f t="shared" si="3"/>
        <v>0</v>
      </c>
      <c r="N28" s="1186">
        <f t="shared" si="1"/>
        <v>0</v>
      </c>
      <c r="O28" s="1187">
        <f t="shared" si="2"/>
        <v>0</v>
      </c>
      <c r="P28" s="982"/>
      <c r="Q28" s="1261" t="s">
        <v>225</v>
      </c>
      <c r="R28" s="1261" t="s">
        <v>27685</v>
      </c>
      <c r="S28" s="1261" t="s">
        <v>27690</v>
      </c>
    </row>
    <row r="29" spans="1:19" ht="14.45" customHeight="1" x14ac:dyDescent="0.35">
      <c r="A29" s="974" t="s">
        <v>225</v>
      </c>
      <c r="B29" s="1188" t="s">
        <v>204</v>
      </c>
      <c r="C29" s="1531" t="s">
        <v>216</v>
      </c>
      <c r="D29" s="1264"/>
      <c r="E29" s="1173">
        <v>0</v>
      </c>
      <c r="F29" s="1174">
        <v>0</v>
      </c>
      <c r="G29" s="1264"/>
      <c r="H29" s="1170">
        <f>IF(FEC=1,'Column 1'!AC25,E29)</f>
        <v>0</v>
      </c>
      <c r="I29" s="1171">
        <f>IF(FEC=1,'Column 1'!AD25,F29)</f>
        <v>0</v>
      </c>
      <c r="J29" s="1264"/>
      <c r="K29" s="1173">
        <v>0</v>
      </c>
      <c r="L29" s="1174">
        <v>0</v>
      </c>
      <c r="M29" s="1265"/>
      <c r="N29" s="1186">
        <f t="shared" si="1"/>
        <v>0</v>
      </c>
      <c r="O29" s="1187">
        <f t="shared" si="2"/>
        <v>0</v>
      </c>
      <c r="P29" s="982"/>
      <c r="Q29" s="1261" t="s">
        <v>225</v>
      </c>
      <c r="R29" s="1261" t="s">
        <v>27685</v>
      </c>
      <c r="S29" s="1261" t="s">
        <v>216</v>
      </c>
    </row>
    <row r="30" spans="1:19" ht="14.45" customHeight="1" x14ac:dyDescent="0.35">
      <c r="A30" s="1178" t="s">
        <v>225</v>
      </c>
      <c r="B30" s="739" t="s">
        <v>218</v>
      </c>
      <c r="C30" s="1161" t="s">
        <v>205</v>
      </c>
      <c r="D30" s="1198">
        <v>0</v>
      </c>
      <c r="E30" s="1199">
        <v>0</v>
      </c>
      <c r="F30" s="1200">
        <v>0</v>
      </c>
      <c r="G30" s="1195">
        <f>IF(FEC=1,'Column 1'!AB26,D30)</f>
        <v>0</v>
      </c>
      <c r="H30" s="1196">
        <f>IF(FEC=1,'Column 1'!AC26,E30)</f>
        <v>0</v>
      </c>
      <c r="I30" s="1197">
        <f>IF(FEC=1,'Column 1'!AD26,F30)</f>
        <v>0</v>
      </c>
      <c r="J30" s="1198">
        <v>0</v>
      </c>
      <c r="K30" s="1199">
        <v>0</v>
      </c>
      <c r="L30" s="1200">
        <v>0</v>
      </c>
      <c r="M30" s="1204">
        <f t="shared" si="3"/>
        <v>0</v>
      </c>
      <c r="N30" s="1205">
        <f t="shared" si="1"/>
        <v>0</v>
      </c>
      <c r="O30" s="1206">
        <f t="shared" si="2"/>
        <v>0</v>
      </c>
      <c r="P30" s="982"/>
      <c r="Q30" s="1261" t="s">
        <v>225</v>
      </c>
      <c r="R30" s="1261" t="s">
        <v>27691</v>
      </c>
      <c r="S30" s="1261" t="s">
        <v>27686</v>
      </c>
    </row>
    <row r="31" spans="1:19" ht="14.45" customHeight="1" x14ac:dyDescent="0.35">
      <c r="A31" s="1178" t="s">
        <v>225</v>
      </c>
      <c r="B31" s="974" t="s">
        <v>218</v>
      </c>
      <c r="C31" s="1161" t="s">
        <v>208</v>
      </c>
      <c r="D31" s="1201">
        <v>0</v>
      </c>
      <c r="E31" s="1202">
        <v>0</v>
      </c>
      <c r="F31" s="1203">
        <v>0</v>
      </c>
      <c r="G31" s="1204">
        <f>IF(FEC=1,'Column 1'!AB27,D31)</f>
        <v>0</v>
      </c>
      <c r="H31" s="1205">
        <f>IF(FEC=1,'Column 1'!AC27,E31)</f>
        <v>0</v>
      </c>
      <c r="I31" s="1267">
        <f>IF(FEC=1,'Column 1'!AD27,F31)</f>
        <v>0</v>
      </c>
      <c r="J31" s="1201">
        <v>0</v>
      </c>
      <c r="K31" s="1202">
        <v>0</v>
      </c>
      <c r="L31" s="1203">
        <v>0</v>
      </c>
      <c r="M31" s="1204">
        <f t="shared" si="3"/>
        <v>0</v>
      </c>
      <c r="N31" s="1205">
        <f t="shared" si="1"/>
        <v>0</v>
      </c>
      <c r="O31" s="1206">
        <f t="shared" si="2"/>
        <v>0</v>
      </c>
      <c r="P31" s="982"/>
      <c r="Q31" s="1261" t="s">
        <v>225</v>
      </c>
      <c r="R31" s="1261" t="s">
        <v>27691</v>
      </c>
      <c r="S31" s="1261" t="s">
        <v>27687</v>
      </c>
    </row>
    <row r="32" spans="1:19" ht="14.45" customHeight="1" x14ac:dyDescent="0.35">
      <c r="A32" s="1178" t="s">
        <v>225</v>
      </c>
      <c r="B32" s="974" t="s">
        <v>218</v>
      </c>
      <c r="C32" s="1161" t="s">
        <v>210</v>
      </c>
      <c r="D32" s="1218">
        <v>0</v>
      </c>
      <c r="E32" s="1219">
        <v>0</v>
      </c>
      <c r="F32" s="1220">
        <v>0</v>
      </c>
      <c r="G32" s="1215">
        <f>IF(FEC=1,'Column 1'!AB28,D32)</f>
        <v>0</v>
      </c>
      <c r="H32" s="1216">
        <f>IF(FEC=1,'Column 1'!AC28,E32)</f>
        <v>0</v>
      </c>
      <c r="I32" s="1217">
        <f>IF(FEC=1,'Column 1'!AD28,F32)</f>
        <v>0</v>
      </c>
      <c r="J32" s="1218">
        <v>0</v>
      </c>
      <c r="K32" s="1219">
        <v>0</v>
      </c>
      <c r="L32" s="1220">
        <v>0</v>
      </c>
      <c r="M32" s="1215">
        <f t="shared" si="3"/>
        <v>0</v>
      </c>
      <c r="N32" s="1216">
        <f t="shared" si="1"/>
        <v>0</v>
      </c>
      <c r="O32" s="1221">
        <f t="shared" si="2"/>
        <v>0</v>
      </c>
      <c r="P32" s="982"/>
      <c r="Q32" s="1261" t="s">
        <v>225</v>
      </c>
      <c r="R32" s="1261" t="s">
        <v>27691</v>
      </c>
      <c r="S32" s="1261" t="s">
        <v>27688</v>
      </c>
    </row>
    <row r="33" spans="1:19" ht="14.45" customHeight="1" x14ac:dyDescent="0.35">
      <c r="A33" s="1178" t="s">
        <v>225</v>
      </c>
      <c r="B33" s="974" t="s">
        <v>218</v>
      </c>
      <c r="C33" s="1161" t="s">
        <v>212</v>
      </c>
      <c r="D33" s="1172">
        <v>0</v>
      </c>
      <c r="E33" s="1173">
        <v>0</v>
      </c>
      <c r="F33" s="1174">
        <v>0</v>
      </c>
      <c r="G33" s="1175">
        <f>IF(FEC=1,'Column 1'!AB29,D33)</f>
        <v>0</v>
      </c>
      <c r="H33" s="1170">
        <f>IF(FEC=1,'Column 1'!AC29,E33)</f>
        <v>0</v>
      </c>
      <c r="I33" s="1171">
        <f>IF(FEC=1,'Column 1'!AD29,F33)</f>
        <v>0</v>
      </c>
      <c r="J33" s="1172">
        <v>0</v>
      </c>
      <c r="K33" s="1173">
        <v>0</v>
      </c>
      <c r="L33" s="1174">
        <v>0</v>
      </c>
      <c r="M33" s="1175">
        <f t="shared" si="3"/>
        <v>0</v>
      </c>
      <c r="N33" s="1170">
        <f t="shared" si="1"/>
        <v>0</v>
      </c>
      <c r="O33" s="1176">
        <f t="shared" si="2"/>
        <v>0</v>
      </c>
      <c r="P33" s="982"/>
      <c r="Q33" s="1261" t="s">
        <v>225</v>
      </c>
      <c r="R33" s="1261" t="s">
        <v>27691</v>
      </c>
      <c r="S33" s="1261" t="s">
        <v>27689</v>
      </c>
    </row>
    <row r="34" spans="1:19" ht="14.45" customHeight="1" x14ac:dyDescent="0.35">
      <c r="A34" s="1178" t="s">
        <v>225</v>
      </c>
      <c r="B34" s="974" t="s">
        <v>218</v>
      </c>
      <c r="C34" s="1161" t="s">
        <v>214</v>
      </c>
      <c r="D34" s="1172">
        <v>0</v>
      </c>
      <c r="E34" s="1173">
        <v>0</v>
      </c>
      <c r="F34" s="1174">
        <v>0</v>
      </c>
      <c r="G34" s="1175">
        <f>IF(FEC=1,'Column 1'!AB30,D34)</f>
        <v>0</v>
      </c>
      <c r="H34" s="1170">
        <f>IF(FEC=1,'Column 1'!AC30,E34)</f>
        <v>0</v>
      </c>
      <c r="I34" s="1171">
        <f>IF(FEC=1,'Column 1'!AD30,F34)</f>
        <v>0</v>
      </c>
      <c r="J34" s="1172">
        <v>0</v>
      </c>
      <c r="K34" s="1173">
        <v>0</v>
      </c>
      <c r="L34" s="1174">
        <v>0</v>
      </c>
      <c r="M34" s="1175">
        <f t="shared" si="3"/>
        <v>0</v>
      </c>
      <c r="N34" s="1170">
        <f t="shared" si="1"/>
        <v>0</v>
      </c>
      <c r="O34" s="1176">
        <f t="shared" si="2"/>
        <v>0</v>
      </c>
      <c r="P34" s="982"/>
      <c r="Q34" s="1261" t="s">
        <v>225</v>
      </c>
      <c r="R34" s="1261" t="s">
        <v>27691</v>
      </c>
      <c r="S34" s="1261" t="s">
        <v>27690</v>
      </c>
    </row>
    <row r="35" spans="1:19" ht="14.45" customHeight="1" x14ac:dyDescent="0.35">
      <c r="A35" s="1207" t="s">
        <v>225</v>
      </c>
      <c r="B35" s="974" t="s">
        <v>218</v>
      </c>
      <c r="C35" s="1530" t="s">
        <v>216</v>
      </c>
      <c r="D35" s="1264"/>
      <c r="E35" s="1173">
        <v>0</v>
      </c>
      <c r="F35" s="1174">
        <v>0</v>
      </c>
      <c r="G35" s="1264"/>
      <c r="H35" s="1170">
        <f>IF(FEC=1,'Column 1'!AC31,E35)</f>
        <v>0</v>
      </c>
      <c r="I35" s="1171">
        <f>IF(FEC=1,'Column 1'!AD31,F35)</f>
        <v>0</v>
      </c>
      <c r="J35" s="1264"/>
      <c r="K35" s="1173">
        <v>0</v>
      </c>
      <c r="L35" s="1174">
        <v>0</v>
      </c>
      <c r="M35" s="1266"/>
      <c r="N35" s="1209">
        <f t="shared" si="1"/>
        <v>0</v>
      </c>
      <c r="O35" s="1210">
        <f t="shared" si="2"/>
        <v>0</v>
      </c>
      <c r="P35" s="982"/>
      <c r="Q35" s="1261" t="s">
        <v>225</v>
      </c>
      <c r="R35" s="1261" t="s">
        <v>27691</v>
      </c>
      <c r="S35" s="1261" t="s">
        <v>216</v>
      </c>
    </row>
    <row r="36" spans="1:19" ht="14.45" customHeight="1" x14ac:dyDescent="0.35">
      <c r="A36" s="809" t="s">
        <v>238</v>
      </c>
      <c r="B36" s="808" t="s">
        <v>204</v>
      </c>
      <c r="C36" s="1745" t="s">
        <v>205</v>
      </c>
      <c r="D36" s="1787">
        <v>0</v>
      </c>
      <c r="E36" s="1684">
        <v>0</v>
      </c>
      <c r="F36" s="1685">
        <v>0</v>
      </c>
      <c r="G36" s="1788">
        <f>IF(FEC=1,'Column 1'!AB32,D36)</f>
        <v>0</v>
      </c>
      <c r="H36" s="1686">
        <f>IF(FEC=1,'Column 1'!AC32,E36)</f>
        <v>0</v>
      </c>
      <c r="I36" s="1687">
        <f>IF(FEC=1,'Column 1'!AD32,F36)</f>
        <v>0</v>
      </c>
      <c r="J36" s="1787">
        <v>0</v>
      </c>
      <c r="K36" s="1684">
        <v>0</v>
      </c>
      <c r="L36" s="1685">
        <v>0</v>
      </c>
      <c r="M36" s="1788">
        <f t="shared" si="3"/>
        <v>0</v>
      </c>
      <c r="N36" s="1686">
        <f t="shared" si="1"/>
        <v>0</v>
      </c>
      <c r="O36" s="1709">
        <f t="shared" si="2"/>
        <v>0</v>
      </c>
      <c r="P36" s="982"/>
      <c r="Q36" s="1268" t="s">
        <v>27692</v>
      </c>
      <c r="R36" s="1261" t="s">
        <v>27685</v>
      </c>
      <c r="S36" s="1261" t="s">
        <v>27686</v>
      </c>
    </row>
    <row r="37" spans="1:19" ht="14.45" customHeight="1" x14ac:dyDescent="0.35">
      <c r="A37" s="974" t="s">
        <v>238</v>
      </c>
      <c r="B37" s="1178" t="s">
        <v>204</v>
      </c>
      <c r="C37" s="1161" t="s">
        <v>208</v>
      </c>
      <c r="D37" s="1201">
        <v>0</v>
      </c>
      <c r="E37" s="1202">
        <v>0</v>
      </c>
      <c r="F37" s="1203">
        <v>0</v>
      </c>
      <c r="G37" s="1204">
        <f>IF(FEC=1,'Column 1'!AB33,D37)</f>
        <v>0</v>
      </c>
      <c r="H37" s="1205">
        <f>IF(FEC=1,'Column 1'!AC33,E37)</f>
        <v>0</v>
      </c>
      <c r="I37" s="1267">
        <f>IF(FEC=1,'Column 1'!AD33,F37)</f>
        <v>0</v>
      </c>
      <c r="J37" s="1201">
        <v>0</v>
      </c>
      <c r="K37" s="1202">
        <v>0</v>
      </c>
      <c r="L37" s="1203">
        <v>0</v>
      </c>
      <c r="M37" s="1204">
        <f t="shared" si="3"/>
        <v>0</v>
      </c>
      <c r="N37" s="1205">
        <f t="shared" si="1"/>
        <v>0</v>
      </c>
      <c r="O37" s="1206">
        <f t="shared" si="2"/>
        <v>0</v>
      </c>
      <c r="P37" s="982"/>
      <c r="Q37" s="1268" t="s">
        <v>27692</v>
      </c>
      <c r="R37" s="1261" t="s">
        <v>27685</v>
      </c>
      <c r="S37" s="1261" t="s">
        <v>27687</v>
      </c>
    </row>
    <row r="38" spans="1:19" ht="14.45" customHeight="1" x14ac:dyDescent="0.35">
      <c r="A38" s="974" t="s">
        <v>238</v>
      </c>
      <c r="B38" s="1178" t="s">
        <v>204</v>
      </c>
      <c r="C38" s="1161" t="s">
        <v>210</v>
      </c>
      <c r="D38" s="1218">
        <v>0</v>
      </c>
      <c r="E38" s="1219">
        <v>0</v>
      </c>
      <c r="F38" s="1220">
        <v>0</v>
      </c>
      <c r="G38" s="1215">
        <f>IF(FEC=1,'Column 1'!AB34,D38)</f>
        <v>0</v>
      </c>
      <c r="H38" s="1216">
        <f>IF(FEC=1,'Column 1'!AC34,E38)</f>
        <v>0</v>
      </c>
      <c r="I38" s="1217">
        <f>IF(FEC=1,'Column 1'!AD34,F38)</f>
        <v>0</v>
      </c>
      <c r="J38" s="1218">
        <v>0</v>
      </c>
      <c r="K38" s="1219">
        <v>0</v>
      </c>
      <c r="L38" s="1220">
        <v>0</v>
      </c>
      <c r="M38" s="1215">
        <f t="shared" si="3"/>
        <v>0</v>
      </c>
      <c r="N38" s="1216">
        <f t="shared" si="1"/>
        <v>0</v>
      </c>
      <c r="O38" s="1221">
        <f t="shared" si="2"/>
        <v>0</v>
      </c>
      <c r="P38" s="982"/>
      <c r="Q38" s="1268" t="s">
        <v>27692</v>
      </c>
      <c r="R38" s="1261" t="s">
        <v>27685</v>
      </c>
      <c r="S38" s="1261" t="s">
        <v>27688</v>
      </c>
    </row>
    <row r="39" spans="1:19" ht="14.45" customHeight="1" x14ac:dyDescent="0.35">
      <c r="A39" s="974" t="s">
        <v>238</v>
      </c>
      <c r="B39" s="1178" t="s">
        <v>204</v>
      </c>
      <c r="C39" s="1161" t="s">
        <v>212</v>
      </c>
      <c r="D39" s="1172">
        <v>0</v>
      </c>
      <c r="E39" s="1173">
        <v>0</v>
      </c>
      <c r="F39" s="1174">
        <v>0</v>
      </c>
      <c r="G39" s="1175">
        <f>IF(FEC=1,'Column 1'!AB35,D39)</f>
        <v>0</v>
      </c>
      <c r="H39" s="1170">
        <f>IF(FEC=1,'Column 1'!AC35,E39)</f>
        <v>0</v>
      </c>
      <c r="I39" s="1171">
        <f>IF(FEC=1,'Column 1'!AD35,F39)</f>
        <v>0</v>
      </c>
      <c r="J39" s="1172">
        <v>0</v>
      </c>
      <c r="K39" s="1173">
        <v>0</v>
      </c>
      <c r="L39" s="1174">
        <v>0</v>
      </c>
      <c r="M39" s="1175">
        <f t="shared" si="3"/>
        <v>0</v>
      </c>
      <c r="N39" s="1170">
        <f t="shared" si="1"/>
        <v>0</v>
      </c>
      <c r="O39" s="1176">
        <f t="shared" si="2"/>
        <v>0</v>
      </c>
      <c r="P39" s="982"/>
      <c r="Q39" s="1268" t="s">
        <v>27692</v>
      </c>
      <c r="R39" s="1261" t="s">
        <v>27685</v>
      </c>
      <c r="S39" s="1261" t="s">
        <v>27689</v>
      </c>
    </row>
    <row r="40" spans="1:19" ht="14.45" customHeight="1" x14ac:dyDescent="0.35">
      <c r="A40" s="1224" t="s">
        <v>238</v>
      </c>
      <c r="B40" s="1178" t="s">
        <v>204</v>
      </c>
      <c r="C40" s="1161" t="s">
        <v>214</v>
      </c>
      <c r="D40" s="1182">
        <v>0</v>
      </c>
      <c r="E40" s="1183">
        <v>0</v>
      </c>
      <c r="F40" s="1184">
        <v>0</v>
      </c>
      <c r="G40" s="1185">
        <f>IF(FEC=1,'Column 1'!AB36,D40)</f>
        <v>0</v>
      </c>
      <c r="H40" s="1186">
        <f>IF(FEC=1,'Column 1'!AC36,E40)</f>
        <v>0</v>
      </c>
      <c r="I40" s="1222">
        <f>IF(FEC=1,'Column 1'!AD36,F40)</f>
        <v>0</v>
      </c>
      <c r="J40" s="1182">
        <v>0</v>
      </c>
      <c r="K40" s="1183">
        <v>0</v>
      </c>
      <c r="L40" s="1184">
        <v>0</v>
      </c>
      <c r="M40" s="1185">
        <f t="shared" si="3"/>
        <v>0</v>
      </c>
      <c r="N40" s="1186">
        <f t="shared" si="1"/>
        <v>0</v>
      </c>
      <c r="O40" s="1187">
        <f t="shared" si="2"/>
        <v>0</v>
      </c>
      <c r="P40" s="982"/>
      <c r="Q40" s="1268" t="s">
        <v>27692</v>
      </c>
      <c r="R40" s="1261" t="s">
        <v>27685</v>
      </c>
      <c r="S40" s="1261" t="s">
        <v>27690</v>
      </c>
    </row>
    <row r="41" spans="1:19" ht="14.45" customHeight="1" x14ac:dyDescent="0.35">
      <c r="A41" s="1224" t="s">
        <v>238</v>
      </c>
      <c r="B41" s="1188" t="s">
        <v>204</v>
      </c>
      <c r="C41" s="1531" t="s">
        <v>216</v>
      </c>
      <c r="D41" s="1264"/>
      <c r="E41" s="1173">
        <v>0</v>
      </c>
      <c r="F41" s="1174">
        <v>0</v>
      </c>
      <c r="G41" s="1264"/>
      <c r="H41" s="1170">
        <f>IF(FEC=1,'Column 1'!AC37,E41)</f>
        <v>0</v>
      </c>
      <c r="I41" s="1171">
        <f>IF(FEC=1,'Column 1'!AD37,F41)</f>
        <v>0</v>
      </c>
      <c r="J41" s="1264"/>
      <c r="K41" s="1173">
        <v>0</v>
      </c>
      <c r="L41" s="1174">
        <v>0</v>
      </c>
      <c r="M41" s="1265"/>
      <c r="N41" s="1186">
        <f t="shared" si="1"/>
        <v>0</v>
      </c>
      <c r="O41" s="1187">
        <f t="shared" si="2"/>
        <v>0</v>
      </c>
      <c r="P41" s="982"/>
      <c r="Q41" s="1268" t="s">
        <v>27692</v>
      </c>
      <c r="R41" s="1261" t="s">
        <v>27685</v>
      </c>
      <c r="S41" s="1261" t="s">
        <v>216</v>
      </c>
    </row>
    <row r="42" spans="1:19" ht="14.45" customHeight="1" x14ac:dyDescent="0.35">
      <c r="A42" s="974" t="s">
        <v>238</v>
      </c>
      <c r="B42" s="739" t="s">
        <v>218</v>
      </c>
      <c r="C42" s="1161" t="s">
        <v>205</v>
      </c>
      <c r="D42" s="1198">
        <v>0</v>
      </c>
      <c r="E42" s="1199">
        <v>0</v>
      </c>
      <c r="F42" s="1200">
        <v>0</v>
      </c>
      <c r="G42" s="1195">
        <f>IF(FEC=1,'Column 1'!AB38,D42)</f>
        <v>0</v>
      </c>
      <c r="H42" s="1196">
        <f>IF(FEC=1,'Column 1'!AC38,E42)</f>
        <v>0</v>
      </c>
      <c r="I42" s="1197">
        <f>IF(FEC=1,'Column 1'!AD38,F42)</f>
        <v>0</v>
      </c>
      <c r="J42" s="1198">
        <v>0</v>
      </c>
      <c r="K42" s="1199">
        <v>0</v>
      </c>
      <c r="L42" s="1200">
        <v>0</v>
      </c>
      <c r="M42" s="1204">
        <f t="shared" si="3"/>
        <v>0</v>
      </c>
      <c r="N42" s="1205">
        <f t="shared" si="1"/>
        <v>0</v>
      </c>
      <c r="O42" s="1206">
        <f t="shared" si="2"/>
        <v>0</v>
      </c>
      <c r="P42" s="982"/>
      <c r="Q42" s="1268" t="s">
        <v>27692</v>
      </c>
      <c r="R42" s="1261" t="s">
        <v>27691</v>
      </c>
      <c r="S42" s="1261" t="s">
        <v>27686</v>
      </c>
    </row>
    <row r="43" spans="1:19" ht="14.45" customHeight="1" x14ac:dyDescent="0.35">
      <c r="A43" s="974" t="s">
        <v>238</v>
      </c>
      <c r="B43" s="974" t="s">
        <v>218</v>
      </c>
      <c r="C43" s="1161" t="s">
        <v>208</v>
      </c>
      <c r="D43" s="1201">
        <v>0</v>
      </c>
      <c r="E43" s="1202">
        <v>0</v>
      </c>
      <c r="F43" s="1203">
        <v>0</v>
      </c>
      <c r="G43" s="1204">
        <f>IF(FEC=1,'Column 1'!AB39,D43)</f>
        <v>0</v>
      </c>
      <c r="H43" s="1205">
        <f>IF(FEC=1,'Column 1'!AC39,E43)</f>
        <v>0</v>
      </c>
      <c r="I43" s="1267">
        <f>IF(FEC=1,'Column 1'!AD39,F43)</f>
        <v>0</v>
      </c>
      <c r="J43" s="1201">
        <v>0</v>
      </c>
      <c r="K43" s="1202">
        <v>0</v>
      </c>
      <c r="L43" s="1203">
        <v>0</v>
      </c>
      <c r="M43" s="1204">
        <f t="shared" si="3"/>
        <v>0</v>
      </c>
      <c r="N43" s="1205">
        <f t="shared" si="1"/>
        <v>0</v>
      </c>
      <c r="O43" s="1206">
        <f t="shared" si="2"/>
        <v>0</v>
      </c>
      <c r="P43" s="982"/>
      <c r="Q43" s="1268" t="s">
        <v>27692</v>
      </c>
      <c r="R43" s="1261" t="s">
        <v>27691</v>
      </c>
      <c r="S43" s="1261" t="s">
        <v>27687</v>
      </c>
    </row>
    <row r="44" spans="1:19" ht="14.45" customHeight="1" x14ac:dyDescent="0.35">
      <c r="A44" s="974" t="s">
        <v>238</v>
      </c>
      <c r="B44" s="974" t="s">
        <v>218</v>
      </c>
      <c r="C44" s="1161" t="s">
        <v>210</v>
      </c>
      <c r="D44" s="1218">
        <v>0</v>
      </c>
      <c r="E44" s="1219">
        <v>0</v>
      </c>
      <c r="F44" s="1220">
        <v>0</v>
      </c>
      <c r="G44" s="1215">
        <f>IF(FEC=1,'Column 1'!AB40,D44)</f>
        <v>0</v>
      </c>
      <c r="H44" s="1216">
        <f>IF(FEC=1,'Column 1'!AC40,E44)</f>
        <v>0</v>
      </c>
      <c r="I44" s="1217">
        <f>IF(FEC=1,'Column 1'!AD40,F44)</f>
        <v>0</v>
      </c>
      <c r="J44" s="1218">
        <v>0</v>
      </c>
      <c r="K44" s="1219">
        <v>0</v>
      </c>
      <c r="L44" s="1220">
        <v>0</v>
      </c>
      <c r="M44" s="1215">
        <f t="shared" si="3"/>
        <v>0</v>
      </c>
      <c r="N44" s="1216">
        <f t="shared" si="1"/>
        <v>0</v>
      </c>
      <c r="O44" s="1221">
        <f t="shared" si="2"/>
        <v>0</v>
      </c>
      <c r="P44" s="982"/>
      <c r="Q44" s="1268" t="s">
        <v>27692</v>
      </c>
      <c r="R44" s="1261" t="s">
        <v>27691</v>
      </c>
      <c r="S44" s="1261" t="s">
        <v>27688</v>
      </c>
    </row>
    <row r="45" spans="1:19" ht="14.45" customHeight="1" x14ac:dyDescent="0.35">
      <c r="A45" s="974" t="s">
        <v>238</v>
      </c>
      <c r="B45" s="974" t="s">
        <v>218</v>
      </c>
      <c r="C45" s="1161" t="s">
        <v>212</v>
      </c>
      <c r="D45" s="1172">
        <v>0</v>
      </c>
      <c r="E45" s="1173">
        <v>0</v>
      </c>
      <c r="F45" s="1174">
        <v>0</v>
      </c>
      <c r="G45" s="1175">
        <f>IF(FEC=1,'Column 1'!AB41,D45)</f>
        <v>0</v>
      </c>
      <c r="H45" s="1170">
        <f>IF(FEC=1,'Column 1'!AC41,E45)</f>
        <v>0</v>
      </c>
      <c r="I45" s="1171">
        <f>IF(FEC=1,'Column 1'!AD41,F45)</f>
        <v>0</v>
      </c>
      <c r="J45" s="1172">
        <v>0</v>
      </c>
      <c r="K45" s="1173">
        <v>0</v>
      </c>
      <c r="L45" s="1174">
        <v>0</v>
      </c>
      <c r="M45" s="1175">
        <f t="shared" si="3"/>
        <v>0</v>
      </c>
      <c r="N45" s="1170">
        <f t="shared" si="1"/>
        <v>0</v>
      </c>
      <c r="O45" s="1176">
        <f t="shared" si="2"/>
        <v>0</v>
      </c>
      <c r="P45" s="982"/>
      <c r="Q45" s="1268" t="s">
        <v>27692</v>
      </c>
      <c r="R45" s="1261" t="s">
        <v>27691</v>
      </c>
      <c r="S45" s="1261" t="s">
        <v>27689</v>
      </c>
    </row>
    <row r="46" spans="1:19" ht="14.45" customHeight="1" x14ac:dyDescent="0.35">
      <c r="A46" s="974" t="s">
        <v>238</v>
      </c>
      <c r="B46" s="974" t="s">
        <v>218</v>
      </c>
      <c r="C46" s="1161" t="s">
        <v>214</v>
      </c>
      <c r="D46" s="1172">
        <v>0</v>
      </c>
      <c r="E46" s="1173">
        <v>0</v>
      </c>
      <c r="F46" s="1174">
        <v>0</v>
      </c>
      <c r="G46" s="1175">
        <f>IF(FEC=1,'Column 1'!AB42,D46)</f>
        <v>0</v>
      </c>
      <c r="H46" s="1170">
        <f>IF(FEC=1,'Column 1'!AC42,E46)</f>
        <v>0</v>
      </c>
      <c r="I46" s="1171">
        <f>IF(FEC=1,'Column 1'!AD42,F46)</f>
        <v>0</v>
      </c>
      <c r="J46" s="1172">
        <v>0</v>
      </c>
      <c r="K46" s="1173">
        <v>0</v>
      </c>
      <c r="L46" s="1174">
        <v>0</v>
      </c>
      <c r="M46" s="1175">
        <f t="shared" si="3"/>
        <v>0</v>
      </c>
      <c r="N46" s="1170">
        <f t="shared" si="1"/>
        <v>0</v>
      </c>
      <c r="O46" s="1176">
        <f t="shared" si="2"/>
        <v>0</v>
      </c>
      <c r="P46" s="982"/>
      <c r="Q46" s="1268" t="s">
        <v>27692</v>
      </c>
      <c r="R46" s="1261" t="s">
        <v>27691</v>
      </c>
      <c r="S46" s="1261" t="s">
        <v>27690</v>
      </c>
    </row>
    <row r="47" spans="1:19" ht="14.45" customHeight="1" x14ac:dyDescent="0.35">
      <c r="A47" s="974" t="s">
        <v>238</v>
      </c>
      <c r="B47" s="974" t="s">
        <v>218</v>
      </c>
      <c r="C47" s="1530" t="s">
        <v>216</v>
      </c>
      <c r="D47" s="1264"/>
      <c r="E47" s="1173">
        <v>0</v>
      </c>
      <c r="F47" s="1174">
        <v>0</v>
      </c>
      <c r="G47" s="1264"/>
      <c r="H47" s="1170">
        <f>IF(FEC=1,'Column 1'!AC43,E47)</f>
        <v>0</v>
      </c>
      <c r="I47" s="1171">
        <f>IF(FEC=1,'Column 1'!AD43,F47)</f>
        <v>0</v>
      </c>
      <c r="J47" s="1264"/>
      <c r="K47" s="1173">
        <v>0</v>
      </c>
      <c r="L47" s="1174">
        <v>0</v>
      </c>
      <c r="M47" s="1266"/>
      <c r="N47" s="1209">
        <f t="shared" si="1"/>
        <v>0</v>
      </c>
      <c r="O47" s="1210">
        <f t="shared" si="2"/>
        <v>0</v>
      </c>
      <c r="P47" s="982"/>
      <c r="Q47" s="1268" t="s">
        <v>27692</v>
      </c>
      <c r="R47" s="1261" t="s">
        <v>27691</v>
      </c>
      <c r="S47" s="1261" t="s">
        <v>216</v>
      </c>
    </row>
    <row r="48" spans="1:19" ht="14.45" customHeight="1" x14ac:dyDescent="0.35">
      <c r="A48" s="809" t="s">
        <v>251</v>
      </c>
      <c r="B48" s="808" t="s">
        <v>204</v>
      </c>
      <c r="C48" s="1745" t="s">
        <v>205</v>
      </c>
      <c r="D48" s="1787">
        <v>0</v>
      </c>
      <c r="E48" s="1684">
        <v>0</v>
      </c>
      <c r="F48" s="1685">
        <v>0</v>
      </c>
      <c r="G48" s="1788">
        <f>IF(FEC=1,'Column 1'!AB44,D48)</f>
        <v>0</v>
      </c>
      <c r="H48" s="1686">
        <f>IF(FEC=1,'Column 1'!AC44,E48)</f>
        <v>0</v>
      </c>
      <c r="I48" s="1687">
        <f>IF(FEC=1,'Column 1'!AD44,F48)</f>
        <v>0</v>
      </c>
      <c r="J48" s="1787">
        <v>0</v>
      </c>
      <c r="K48" s="1684">
        <v>0</v>
      </c>
      <c r="L48" s="1685">
        <v>0</v>
      </c>
      <c r="M48" s="1788">
        <f t="shared" si="3"/>
        <v>0</v>
      </c>
      <c r="N48" s="1686">
        <f t="shared" si="1"/>
        <v>0</v>
      </c>
      <c r="O48" s="1709">
        <f t="shared" si="2"/>
        <v>0</v>
      </c>
      <c r="P48" s="982"/>
      <c r="Q48" s="1268" t="s">
        <v>27693</v>
      </c>
      <c r="R48" s="1261" t="s">
        <v>27685</v>
      </c>
      <c r="S48" s="1261" t="s">
        <v>27686</v>
      </c>
    </row>
    <row r="49" spans="1:19" ht="14.45" customHeight="1" x14ac:dyDescent="0.35">
      <c r="A49" s="974" t="s">
        <v>251</v>
      </c>
      <c r="B49" s="1178" t="s">
        <v>204</v>
      </c>
      <c r="C49" s="1161" t="s">
        <v>208</v>
      </c>
      <c r="D49" s="1201">
        <v>0</v>
      </c>
      <c r="E49" s="1202">
        <v>0</v>
      </c>
      <c r="F49" s="1203">
        <v>0</v>
      </c>
      <c r="G49" s="1204">
        <f>IF(FEC=1,'Column 1'!AB45,D49)</f>
        <v>0</v>
      </c>
      <c r="H49" s="1205">
        <f>IF(FEC=1,'Column 1'!AC45,E49)</f>
        <v>0</v>
      </c>
      <c r="I49" s="1267">
        <f>IF(FEC=1,'Column 1'!AD45,F49)</f>
        <v>0</v>
      </c>
      <c r="J49" s="1201">
        <v>0</v>
      </c>
      <c r="K49" s="1202">
        <v>0</v>
      </c>
      <c r="L49" s="1203">
        <v>0</v>
      </c>
      <c r="M49" s="1204">
        <f t="shared" si="3"/>
        <v>0</v>
      </c>
      <c r="N49" s="1205">
        <f t="shared" si="1"/>
        <v>0</v>
      </c>
      <c r="O49" s="1206">
        <f t="shared" si="2"/>
        <v>0</v>
      </c>
      <c r="P49" s="982"/>
      <c r="Q49" s="1268" t="s">
        <v>27693</v>
      </c>
      <c r="R49" s="1261" t="s">
        <v>27685</v>
      </c>
      <c r="S49" s="1261" t="s">
        <v>27687</v>
      </c>
    </row>
    <row r="50" spans="1:19" ht="14.45" customHeight="1" x14ac:dyDescent="0.35">
      <c r="A50" s="974" t="s">
        <v>251</v>
      </c>
      <c r="B50" s="1178" t="s">
        <v>204</v>
      </c>
      <c r="C50" s="1161" t="s">
        <v>210</v>
      </c>
      <c r="D50" s="1218">
        <v>0</v>
      </c>
      <c r="E50" s="1219">
        <v>0</v>
      </c>
      <c r="F50" s="1220">
        <v>0</v>
      </c>
      <c r="G50" s="1215">
        <f>IF(FEC=1,'Column 1'!AB46,D50)</f>
        <v>0</v>
      </c>
      <c r="H50" s="1216">
        <f>IF(FEC=1,'Column 1'!AC46,E50)</f>
        <v>0</v>
      </c>
      <c r="I50" s="1217">
        <f>IF(FEC=1,'Column 1'!AD46,F50)</f>
        <v>0</v>
      </c>
      <c r="J50" s="1218">
        <v>0</v>
      </c>
      <c r="K50" s="1219">
        <v>0</v>
      </c>
      <c r="L50" s="1220">
        <v>0</v>
      </c>
      <c r="M50" s="1215">
        <f t="shared" si="3"/>
        <v>0</v>
      </c>
      <c r="N50" s="1216">
        <f t="shared" si="1"/>
        <v>0</v>
      </c>
      <c r="O50" s="1221">
        <f t="shared" si="2"/>
        <v>0</v>
      </c>
      <c r="P50" s="982"/>
      <c r="Q50" s="1268" t="s">
        <v>27693</v>
      </c>
      <c r="R50" s="1261" t="s">
        <v>27685</v>
      </c>
      <c r="S50" s="1261" t="s">
        <v>27688</v>
      </c>
    </row>
    <row r="51" spans="1:19" ht="14.45" customHeight="1" x14ac:dyDescent="0.35">
      <c r="A51" s="974" t="s">
        <v>251</v>
      </c>
      <c r="B51" s="1178" t="s">
        <v>204</v>
      </c>
      <c r="C51" s="1161" t="s">
        <v>212</v>
      </c>
      <c r="D51" s="1172">
        <v>0</v>
      </c>
      <c r="E51" s="1173">
        <v>0</v>
      </c>
      <c r="F51" s="1174">
        <v>0</v>
      </c>
      <c r="G51" s="1175">
        <f>IF(FEC=1,'Column 1'!AB47,D51)</f>
        <v>0</v>
      </c>
      <c r="H51" s="1170">
        <f>IF(FEC=1,'Column 1'!AC47,E51)</f>
        <v>0</v>
      </c>
      <c r="I51" s="1171">
        <f>IF(FEC=1,'Column 1'!AD47,F51)</f>
        <v>0</v>
      </c>
      <c r="J51" s="1172">
        <v>0</v>
      </c>
      <c r="K51" s="1173">
        <v>0</v>
      </c>
      <c r="L51" s="1174">
        <v>0</v>
      </c>
      <c r="M51" s="1175">
        <f t="shared" si="3"/>
        <v>0</v>
      </c>
      <c r="N51" s="1170">
        <f t="shared" si="1"/>
        <v>0</v>
      </c>
      <c r="O51" s="1176">
        <f t="shared" si="2"/>
        <v>0</v>
      </c>
      <c r="P51" s="982"/>
      <c r="Q51" s="1268" t="s">
        <v>27693</v>
      </c>
      <c r="R51" s="1261" t="s">
        <v>27685</v>
      </c>
      <c r="S51" s="1261" t="s">
        <v>27689</v>
      </c>
    </row>
    <row r="52" spans="1:19" ht="14.45" customHeight="1" x14ac:dyDescent="0.35">
      <c r="A52" s="1224" t="s">
        <v>251</v>
      </c>
      <c r="B52" s="1178" t="s">
        <v>204</v>
      </c>
      <c r="C52" s="1161" t="s">
        <v>214</v>
      </c>
      <c r="D52" s="1182">
        <v>0</v>
      </c>
      <c r="E52" s="1183">
        <v>0</v>
      </c>
      <c r="F52" s="1184">
        <v>0</v>
      </c>
      <c r="G52" s="1185">
        <f>IF(FEC=1,'Column 1'!AB48,D52)</f>
        <v>0</v>
      </c>
      <c r="H52" s="1186">
        <f>IF(FEC=1,'Column 1'!AC48,E52)</f>
        <v>0</v>
      </c>
      <c r="I52" s="1222">
        <f>IF(FEC=1,'Column 1'!AD48,F52)</f>
        <v>0</v>
      </c>
      <c r="J52" s="1182">
        <v>0</v>
      </c>
      <c r="K52" s="1183">
        <v>0</v>
      </c>
      <c r="L52" s="1184">
        <v>0</v>
      </c>
      <c r="M52" s="1185">
        <f t="shared" si="3"/>
        <v>0</v>
      </c>
      <c r="N52" s="1186">
        <f t="shared" si="1"/>
        <v>0</v>
      </c>
      <c r="O52" s="1187">
        <f t="shared" si="2"/>
        <v>0</v>
      </c>
      <c r="P52" s="982"/>
      <c r="Q52" s="1268" t="s">
        <v>27693</v>
      </c>
      <c r="R52" s="1261" t="s">
        <v>27685</v>
      </c>
      <c r="S52" s="1261" t="s">
        <v>27690</v>
      </c>
    </row>
    <row r="53" spans="1:19" ht="14.45" customHeight="1" x14ac:dyDescent="0.35">
      <c r="A53" s="1224" t="s">
        <v>251</v>
      </c>
      <c r="B53" s="1188" t="s">
        <v>204</v>
      </c>
      <c r="C53" s="1531" t="s">
        <v>216</v>
      </c>
      <c r="D53" s="1264"/>
      <c r="E53" s="1173">
        <v>0</v>
      </c>
      <c r="F53" s="1174">
        <v>0</v>
      </c>
      <c r="G53" s="1264"/>
      <c r="H53" s="1170">
        <f>IF(FEC=1,'Column 1'!AC49,E53)</f>
        <v>0</v>
      </c>
      <c r="I53" s="1171">
        <f>IF(FEC=1,'Column 1'!AD49,F53)</f>
        <v>0</v>
      </c>
      <c r="J53" s="1264"/>
      <c r="K53" s="1173">
        <v>0</v>
      </c>
      <c r="L53" s="1174">
        <v>0</v>
      </c>
      <c r="M53" s="1265"/>
      <c r="N53" s="1186">
        <f t="shared" si="1"/>
        <v>0</v>
      </c>
      <c r="O53" s="1187">
        <f t="shared" si="2"/>
        <v>0</v>
      </c>
      <c r="P53" s="982"/>
      <c r="Q53" s="1268" t="s">
        <v>27693</v>
      </c>
      <c r="R53" s="1261" t="s">
        <v>27685</v>
      </c>
      <c r="S53" s="1261" t="s">
        <v>216</v>
      </c>
    </row>
    <row r="54" spans="1:19" ht="14.45" customHeight="1" x14ac:dyDescent="0.35">
      <c r="A54" s="974" t="s">
        <v>251</v>
      </c>
      <c r="B54" s="739" t="s">
        <v>218</v>
      </c>
      <c r="C54" s="1161" t="s">
        <v>205</v>
      </c>
      <c r="D54" s="1198">
        <v>0</v>
      </c>
      <c r="E54" s="1199">
        <v>0</v>
      </c>
      <c r="F54" s="1200">
        <v>0</v>
      </c>
      <c r="G54" s="1195">
        <f>IF(FEC=1,'Column 1'!AB50,D54)</f>
        <v>0</v>
      </c>
      <c r="H54" s="1196">
        <f>IF(FEC=1,'Column 1'!AC50,E54)</f>
        <v>0</v>
      </c>
      <c r="I54" s="1197">
        <f>IF(FEC=1,'Column 1'!AD50,F54)</f>
        <v>0</v>
      </c>
      <c r="J54" s="1198">
        <v>0</v>
      </c>
      <c r="K54" s="1199">
        <v>0</v>
      </c>
      <c r="L54" s="1200">
        <v>0</v>
      </c>
      <c r="M54" s="1204">
        <f t="shared" si="3"/>
        <v>0</v>
      </c>
      <c r="N54" s="1205">
        <f t="shared" si="1"/>
        <v>0</v>
      </c>
      <c r="O54" s="1206">
        <f t="shared" si="2"/>
        <v>0</v>
      </c>
      <c r="P54" s="982"/>
      <c r="Q54" s="1268" t="s">
        <v>27693</v>
      </c>
      <c r="R54" s="1261" t="s">
        <v>27691</v>
      </c>
      <c r="S54" s="1261" t="s">
        <v>27686</v>
      </c>
    </row>
    <row r="55" spans="1:19" ht="14.45" customHeight="1" x14ac:dyDescent="0.35">
      <c r="A55" s="974" t="s">
        <v>251</v>
      </c>
      <c r="B55" s="974" t="s">
        <v>218</v>
      </c>
      <c r="C55" s="1161" t="s">
        <v>208</v>
      </c>
      <c r="D55" s="1201">
        <v>0</v>
      </c>
      <c r="E55" s="1202">
        <v>0</v>
      </c>
      <c r="F55" s="1203">
        <v>0</v>
      </c>
      <c r="G55" s="1204">
        <f>IF(FEC=1,'Column 1'!AB51,D55)</f>
        <v>0</v>
      </c>
      <c r="H55" s="1205">
        <f>IF(FEC=1,'Column 1'!AC51,E55)</f>
        <v>0</v>
      </c>
      <c r="I55" s="1267">
        <f>IF(FEC=1,'Column 1'!AD51,F55)</f>
        <v>0</v>
      </c>
      <c r="J55" s="1201">
        <v>0</v>
      </c>
      <c r="K55" s="1202">
        <v>0</v>
      </c>
      <c r="L55" s="1203">
        <v>0</v>
      </c>
      <c r="M55" s="1204">
        <f t="shared" si="3"/>
        <v>0</v>
      </c>
      <c r="N55" s="1205">
        <f t="shared" si="1"/>
        <v>0</v>
      </c>
      <c r="O55" s="1206">
        <f t="shared" si="2"/>
        <v>0</v>
      </c>
      <c r="P55" s="982"/>
      <c r="Q55" s="1268" t="s">
        <v>27693</v>
      </c>
      <c r="R55" s="1261" t="s">
        <v>27691</v>
      </c>
      <c r="S55" s="1261" t="s">
        <v>27687</v>
      </c>
    </row>
    <row r="56" spans="1:19" ht="14.45" customHeight="1" x14ac:dyDescent="0.35">
      <c r="A56" s="974" t="s">
        <v>251</v>
      </c>
      <c r="B56" s="974" t="s">
        <v>218</v>
      </c>
      <c r="C56" s="1161" t="s">
        <v>210</v>
      </c>
      <c r="D56" s="1218">
        <v>0</v>
      </c>
      <c r="E56" s="1219">
        <v>0</v>
      </c>
      <c r="F56" s="1220">
        <v>0</v>
      </c>
      <c r="G56" s="1215">
        <f>IF(FEC=1,'Column 1'!AB52,D56)</f>
        <v>0</v>
      </c>
      <c r="H56" s="1216">
        <f>IF(FEC=1,'Column 1'!AC52,E56)</f>
        <v>0</v>
      </c>
      <c r="I56" s="1217">
        <f>IF(FEC=1,'Column 1'!AD52,F56)</f>
        <v>0</v>
      </c>
      <c r="J56" s="1218">
        <v>0</v>
      </c>
      <c r="K56" s="1219">
        <v>0</v>
      </c>
      <c r="L56" s="1220">
        <v>0</v>
      </c>
      <c r="M56" s="1215">
        <f t="shared" si="3"/>
        <v>0</v>
      </c>
      <c r="N56" s="1216">
        <f t="shared" si="1"/>
        <v>0</v>
      </c>
      <c r="O56" s="1221">
        <f t="shared" si="2"/>
        <v>0</v>
      </c>
      <c r="P56" s="982"/>
      <c r="Q56" s="1268" t="s">
        <v>27693</v>
      </c>
      <c r="R56" s="1261" t="s">
        <v>27691</v>
      </c>
      <c r="S56" s="1261" t="s">
        <v>27688</v>
      </c>
    </row>
    <row r="57" spans="1:19" ht="14.45" customHeight="1" x14ac:dyDescent="0.35">
      <c r="A57" s="974" t="s">
        <v>251</v>
      </c>
      <c r="B57" s="974" t="s">
        <v>218</v>
      </c>
      <c r="C57" s="1161" t="s">
        <v>212</v>
      </c>
      <c r="D57" s="1172">
        <v>0</v>
      </c>
      <c r="E57" s="1173">
        <v>0</v>
      </c>
      <c r="F57" s="1174">
        <v>0</v>
      </c>
      <c r="G57" s="1175">
        <f>IF(FEC=1,'Column 1'!AB53,D57)</f>
        <v>0</v>
      </c>
      <c r="H57" s="1170">
        <f>IF(FEC=1,'Column 1'!AC53,E57)</f>
        <v>0</v>
      </c>
      <c r="I57" s="1171">
        <f>IF(FEC=1,'Column 1'!AD53,F57)</f>
        <v>0</v>
      </c>
      <c r="J57" s="1172">
        <v>0</v>
      </c>
      <c r="K57" s="1173">
        <v>0</v>
      </c>
      <c r="L57" s="1174">
        <v>0</v>
      </c>
      <c r="M57" s="1175">
        <f t="shared" si="3"/>
        <v>0</v>
      </c>
      <c r="N57" s="1170">
        <f t="shared" si="1"/>
        <v>0</v>
      </c>
      <c r="O57" s="1176">
        <f t="shared" si="2"/>
        <v>0</v>
      </c>
      <c r="P57" s="982"/>
      <c r="Q57" s="1268" t="s">
        <v>27693</v>
      </c>
      <c r="R57" s="1261" t="s">
        <v>27691</v>
      </c>
      <c r="S57" s="1261" t="s">
        <v>27689</v>
      </c>
    </row>
    <row r="58" spans="1:19" ht="14.45" customHeight="1" x14ac:dyDescent="0.35">
      <c r="A58" s="974" t="s">
        <v>251</v>
      </c>
      <c r="B58" s="974" t="s">
        <v>218</v>
      </c>
      <c r="C58" s="1161" t="s">
        <v>214</v>
      </c>
      <c r="D58" s="1172">
        <v>0</v>
      </c>
      <c r="E58" s="1173">
        <v>0</v>
      </c>
      <c r="F58" s="1174">
        <v>0</v>
      </c>
      <c r="G58" s="1175">
        <f>IF(FEC=1,'Column 1'!AB54,D58)</f>
        <v>0</v>
      </c>
      <c r="H58" s="1170">
        <f>IF(FEC=1,'Column 1'!AC54,E58)</f>
        <v>0</v>
      </c>
      <c r="I58" s="1171">
        <f>IF(FEC=1,'Column 1'!AD54,F58)</f>
        <v>0</v>
      </c>
      <c r="J58" s="1172">
        <v>0</v>
      </c>
      <c r="K58" s="1173">
        <v>0</v>
      </c>
      <c r="L58" s="1174">
        <v>0</v>
      </c>
      <c r="M58" s="1175">
        <f t="shared" si="3"/>
        <v>0</v>
      </c>
      <c r="N58" s="1170">
        <f t="shared" si="1"/>
        <v>0</v>
      </c>
      <c r="O58" s="1176">
        <f t="shared" si="2"/>
        <v>0</v>
      </c>
      <c r="P58" s="982"/>
      <c r="Q58" s="1268" t="s">
        <v>27693</v>
      </c>
      <c r="R58" s="1261" t="s">
        <v>27691</v>
      </c>
      <c r="S58" s="1261" t="s">
        <v>27690</v>
      </c>
    </row>
    <row r="59" spans="1:19" ht="14.45" customHeight="1" x14ac:dyDescent="0.35">
      <c r="A59" s="974" t="s">
        <v>251</v>
      </c>
      <c r="B59" s="974" t="s">
        <v>218</v>
      </c>
      <c r="C59" s="1530" t="s">
        <v>216</v>
      </c>
      <c r="D59" s="1264"/>
      <c r="E59" s="1173">
        <v>0</v>
      </c>
      <c r="F59" s="1174">
        <v>0</v>
      </c>
      <c r="G59" s="1264"/>
      <c r="H59" s="1170">
        <f>IF(FEC=1,'Column 1'!AC55,E59)</f>
        <v>0</v>
      </c>
      <c r="I59" s="1171">
        <f>IF(FEC=1,'Column 1'!AD55,F59)</f>
        <v>0</v>
      </c>
      <c r="J59" s="1264"/>
      <c r="K59" s="1173">
        <v>0</v>
      </c>
      <c r="L59" s="1174">
        <v>0</v>
      </c>
      <c r="M59" s="1266"/>
      <c r="N59" s="1209">
        <f t="shared" si="1"/>
        <v>0</v>
      </c>
      <c r="O59" s="1210">
        <f t="shared" si="2"/>
        <v>0</v>
      </c>
      <c r="P59" s="982"/>
      <c r="Q59" s="1268" t="s">
        <v>27693</v>
      </c>
      <c r="R59" s="1261" t="s">
        <v>27691</v>
      </c>
      <c r="S59" s="1261" t="s">
        <v>216</v>
      </c>
    </row>
    <row r="60" spans="1:19" ht="14.45" customHeight="1" x14ac:dyDescent="0.35">
      <c r="A60" s="809" t="s">
        <v>264</v>
      </c>
      <c r="B60" s="808" t="s">
        <v>204</v>
      </c>
      <c r="C60" s="1745" t="s">
        <v>205</v>
      </c>
      <c r="D60" s="1787">
        <v>0</v>
      </c>
      <c r="E60" s="1684">
        <v>0</v>
      </c>
      <c r="F60" s="1685">
        <v>0</v>
      </c>
      <c r="G60" s="1788">
        <f>IF(FEC=1,'Column 1'!AB56,D60)</f>
        <v>0</v>
      </c>
      <c r="H60" s="1686">
        <f>IF(FEC=1,'Column 1'!AC56,E60)</f>
        <v>0</v>
      </c>
      <c r="I60" s="1687">
        <f>IF(FEC=1,'Column 1'!AD56,F60)</f>
        <v>0</v>
      </c>
      <c r="J60" s="1787">
        <v>0</v>
      </c>
      <c r="K60" s="1684">
        <v>0</v>
      </c>
      <c r="L60" s="1685">
        <v>0</v>
      </c>
      <c r="M60" s="1788">
        <f t="shared" si="3"/>
        <v>0</v>
      </c>
      <c r="N60" s="1686">
        <f t="shared" si="1"/>
        <v>0</v>
      </c>
      <c r="O60" s="1709">
        <f t="shared" si="2"/>
        <v>0</v>
      </c>
      <c r="P60" s="982"/>
      <c r="Q60" s="1268" t="s">
        <v>264</v>
      </c>
      <c r="R60" s="1261" t="s">
        <v>27685</v>
      </c>
      <c r="S60" s="1261" t="s">
        <v>27686</v>
      </c>
    </row>
    <row r="61" spans="1:19" ht="14.45" customHeight="1" x14ac:dyDescent="0.35">
      <c r="A61" s="974" t="s">
        <v>264</v>
      </c>
      <c r="B61" s="1178" t="s">
        <v>204</v>
      </c>
      <c r="C61" s="1161" t="s">
        <v>208</v>
      </c>
      <c r="D61" s="1201">
        <v>0</v>
      </c>
      <c r="E61" s="1202">
        <v>0</v>
      </c>
      <c r="F61" s="1203">
        <v>0</v>
      </c>
      <c r="G61" s="1204">
        <f>IF(FEC=1,'Column 1'!AB57,D61)</f>
        <v>0</v>
      </c>
      <c r="H61" s="1205">
        <f>IF(FEC=1,'Column 1'!AC57,E61)</f>
        <v>0</v>
      </c>
      <c r="I61" s="1267">
        <f>IF(FEC=1,'Column 1'!AD57,F61)</f>
        <v>0</v>
      </c>
      <c r="J61" s="1201">
        <v>0</v>
      </c>
      <c r="K61" s="1202">
        <v>0</v>
      </c>
      <c r="L61" s="1203">
        <v>0</v>
      </c>
      <c r="M61" s="1204">
        <f t="shared" si="3"/>
        <v>0</v>
      </c>
      <c r="N61" s="1205">
        <f t="shared" si="1"/>
        <v>0</v>
      </c>
      <c r="O61" s="1206">
        <f t="shared" si="2"/>
        <v>0</v>
      </c>
      <c r="P61" s="982"/>
      <c r="Q61" s="1268" t="s">
        <v>264</v>
      </c>
      <c r="R61" s="1261" t="s">
        <v>27685</v>
      </c>
      <c r="S61" s="1261" t="s">
        <v>27687</v>
      </c>
    </row>
    <row r="62" spans="1:19" ht="14.45" customHeight="1" x14ac:dyDescent="0.35">
      <c r="A62" s="974" t="s">
        <v>264</v>
      </c>
      <c r="B62" s="1178" t="s">
        <v>204</v>
      </c>
      <c r="C62" s="1161" t="s">
        <v>210</v>
      </c>
      <c r="D62" s="1218">
        <v>0</v>
      </c>
      <c r="E62" s="1219">
        <v>0</v>
      </c>
      <c r="F62" s="1220">
        <v>0</v>
      </c>
      <c r="G62" s="1215">
        <f>IF(FEC=1,'Column 1'!AB58,D62)</f>
        <v>0</v>
      </c>
      <c r="H62" s="1216">
        <f>IF(FEC=1,'Column 1'!AC58,E62)</f>
        <v>0</v>
      </c>
      <c r="I62" s="1217">
        <f>IF(FEC=1,'Column 1'!AD58,F62)</f>
        <v>0</v>
      </c>
      <c r="J62" s="1218">
        <v>0</v>
      </c>
      <c r="K62" s="1219">
        <v>0</v>
      </c>
      <c r="L62" s="1220">
        <v>0</v>
      </c>
      <c r="M62" s="1215">
        <f t="shared" si="3"/>
        <v>0</v>
      </c>
      <c r="N62" s="1216">
        <f t="shared" si="1"/>
        <v>0</v>
      </c>
      <c r="O62" s="1221">
        <f t="shared" si="2"/>
        <v>0</v>
      </c>
      <c r="P62" s="982"/>
      <c r="Q62" s="1268" t="s">
        <v>264</v>
      </c>
      <c r="R62" s="1261" t="s">
        <v>27685</v>
      </c>
      <c r="S62" s="1261" t="s">
        <v>27688</v>
      </c>
    </row>
    <row r="63" spans="1:19" ht="14.45" customHeight="1" x14ac:dyDescent="0.35">
      <c r="A63" s="974" t="s">
        <v>264</v>
      </c>
      <c r="B63" s="1178" t="s">
        <v>204</v>
      </c>
      <c r="C63" s="1161" t="s">
        <v>212</v>
      </c>
      <c r="D63" s="1172">
        <v>0</v>
      </c>
      <c r="E63" s="1173">
        <v>0</v>
      </c>
      <c r="F63" s="1174">
        <v>0</v>
      </c>
      <c r="G63" s="1175">
        <f>IF(FEC=1,'Column 1'!AB59,D63)</f>
        <v>0</v>
      </c>
      <c r="H63" s="1170">
        <f>IF(FEC=1,'Column 1'!AC59,E63)</f>
        <v>0</v>
      </c>
      <c r="I63" s="1171">
        <f>IF(FEC=1,'Column 1'!AD59,F63)</f>
        <v>0</v>
      </c>
      <c r="J63" s="1172">
        <v>0</v>
      </c>
      <c r="K63" s="1173">
        <v>0</v>
      </c>
      <c r="L63" s="1174">
        <v>0</v>
      </c>
      <c r="M63" s="1175">
        <f t="shared" si="3"/>
        <v>0</v>
      </c>
      <c r="N63" s="1170">
        <f t="shared" si="1"/>
        <v>0</v>
      </c>
      <c r="O63" s="1176">
        <f t="shared" si="2"/>
        <v>0</v>
      </c>
      <c r="P63" s="982"/>
      <c r="Q63" s="1268" t="s">
        <v>264</v>
      </c>
      <c r="R63" s="1261" t="s">
        <v>27685</v>
      </c>
      <c r="S63" s="1261" t="s">
        <v>27689</v>
      </c>
    </row>
    <row r="64" spans="1:19" ht="14.45" customHeight="1" x14ac:dyDescent="0.35">
      <c r="A64" s="1224" t="s">
        <v>264</v>
      </c>
      <c r="B64" s="1178" t="s">
        <v>204</v>
      </c>
      <c r="C64" s="1161" t="s">
        <v>214</v>
      </c>
      <c r="D64" s="1182">
        <v>0</v>
      </c>
      <c r="E64" s="1183">
        <v>0</v>
      </c>
      <c r="F64" s="1184">
        <v>0</v>
      </c>
      <c r="G64" s="1185">
        <f>IF(FEC=1,'Column 1'!AB60,D64)</f>
        <v>0</v>
      </c>
      <c r="H64" s="1186">
        <f>IF(FEC=1,'Column 1'!AC60,E64)</f>
        <v>0</v>
      </c>
      <c r="I64" s="1222">
        <f>IF(FEC=1,'Column 1'!AD60,F64)</f>
        <v>0</v>
      </c>
      <c r="J64" s="1182">
        <v>0</v>
      </c>
      <c r="K64" s="1183">
        <v>0</v>
      </c>
      <c r="L64" s="1184">
        <v>0</v>
      </c>
      <c r="M64" s="1185">
        <f t="shared" si="3"/>
        <v>0</v>
      </c>
      <c r="N64" s="1186">
        <f t="shared" si="1"/>
        <v>0</v>
      </c>
      <c r="O64" s="1187">
        <f t="shared" si="2"/>
        <v>0</v>
      </c>
      <c r="P64" s="982"/>
      <c r="Q64" s="1268" t="s">
        <v>264</v>
      </c>
      <c r="R64" s="1261" t="s">
        <v>27685</v>
      </c>
      <c r="S64" s="1261" t="s">
        <v>27690</v>
      </c>
    </row>
    <row r="65" spans="1:19" ht="14.45" customHeight="1" x14ac:dyDescent="0.35">
      <c r="A65" s="1224" t="s">
        <v>264</v>
      </c>
      <c r="B65" s="1188" t="s">
        <v>204</v>
      </c>
      <c r="C65" s="1531" t="s">
        <v>216</v>
      </c>
      <c r="D65" s="1264"/>
      <c r="E65" s="1173">
        <v>0</v>
      </c>
      <c r="F65" s="1174">
        <v>0</v>
      </c>
      <c r="G65" s="1264"/>
      <c r="H65" s="1170">
        <f>IF(FEC=1,'Column 1'!AC61,E65)</f>
        <v>0</v>
      </c>
      <c r="I65" s="1171">
        <f>IF(FEC=1,'Column 1'!AD61,F65)</f>
        <v>0</v>
      </c>
      <c r="J65" s="1264"/>
      <c r="K65" s="1173">
        <v>0</v>
      </c>
      <c r="L65" s="1174">
        <v>0</v>
      </c>
      <c r="M65" s="1265"/>
      <c r="N65" s="1186">
        <f t="shared" si="1"/>
        <v>0</v>
      </c>
      <c r="O65" s="1187">
        <f t="shared" si="2"/>
        <v>0</v>
      </c>
      <c r="P65" s="982"/>
      <c r="Q65" s="1261" t="s">
        <v>264</v>
      </c>
      <c r="R65" s="1261" t="s">
        <v>27685</v>
      </c>
      <c r="S65" s="1261" t="s">
        <v>216</v>
      </c>
    </row>
    <row r="66" spans="1:19" ht="14.45" customHeight="1" x14ac:dyDescent="0.35">
      <c r="A66" s="974" t="s">
        <v>264</v>
      </c>
      <c r="B66" s="739" t="s">
        <v>218</v>
      </c>
      <c r="C66" s="1161" t="s">
        <v>205</v>
      </c>
      <c r="D66" s="1198">
        <v>0</v>
      </c>
      <c r="E66" s="1199">
        <v>0</v>
      </c>
      <c r="F66" s="1200">
        <v>0</v>
      </c>
      <c r="G66" s="1195">
        <f>IF(FEC=1,'Column 1'!AB62,D66)</f>
        <v>0</v>
      </c>
      <c r="H66" s="1196">
        <f>IF(FEC=1,'Column 1'!AC62,E66)</f>
        <v>0</v>
      </c>
      <c r="I66" s="1197">
        <f>IF(FEC=1,'Column 1'!AD62,F66)</f>
        <v>0</v>
      </c>
      <c r="J66" s="1198">
        <v>0</v>
      </c>
      <c r="K66" s="1199">
        <v>0</v>
      </c>
      <c r="L66" s="1200">
        <v>0</v>
      </c>
      <c r="M66" s="1204">
        <f t="shared" si="3"/>
        <v>0</v>
      </c>
      <c r="N66" s="1205">
        <f t="shared" si="1"/>
        <v>0</v>
      </c>
      <c r="O66" s="1206">
        <f t="shared" si="2"/>
        <v>0</v>
      </c>
      <c r="P66" s="982"/>
      <c r="Q66" s="1268" t="s">
        <v>264</v>
      </c>
      <c r="R66" s="1261" t="s">
        <v>27691</v>
      </c>
      <c r="S66" s="1261" t="s">
        <v>27686</v>
      </c>
    </row>
    <row r="67" spans="1:19" ht="14.45" customHeight="1" x14ac:dyDescent="0.35">
      <c r="A67" s="974" t="s">
        <v>264</v>
      </c>
      <c r="B67" s="974" t="s">
        <v>218</v>
      </c>
      <c r="C67" s="1161" t="s">
        <v>208</v>
      </c>
      <c r="D67" s="1201">
        <v>0</v>
      </c>
      <c r="E67" s="1202">
        <v>0</v>
      </c>
      <c r="F67" s="1203">
        <v>0</v>
      </c>
      <c r="G67" s="1204">
        <f>IF(FEC=1,'Column 1'!AB63,D67)</f>
        <v>0</v>
      </c>
      <c r="H67" s="1205">
        <f>IF(FEC=1,'Column 1'!AC63,E67)</f>
        <v>0</v>
      </c>
      <c r="I67" s="1267">
        <f>IF(FEC=1,'Column 1'!AD63,F67)</f>
        <v>0</v>
      </c>
      <c r="J67" s="1201">
        <v>0</v>
      </c>
      <c r="K67" s="1202">
        <v>0</v>
      </c>
      <c r="L67" s="1203">
        <v>0</v>
      </c>
      <c r="M67" s="1204">
        <f t="shared" si="3"/>
        <v>0</v>
      </c>
      <c r="N67" s="1205">
        <f t="shared" si="1"/>
        <v>0</v>
      </c>
      <c r="O67" s="1206">
        <f t="shared" si="2"/>
        <v>0</v>
      </c>
      <c r="P67" s="982"/>
      <c r="Q67" s="1268" t="s">
        <v>264</v>
      </c>
      <c r="R67" s="1261" t="s">
        <v>27691</v>
      </c>
      <c r="S67" s="1261" t="s">
        <v>27687</v>
      </c>
    </row>
    <row r="68" spans="1:19" ht="14.45" customHeight="1" x14ac:dyDescent="0.35">
      <c r="A68" s="974" t="s">
        <v>264</v>
      </c>
      <c r="B68" s="974" t="s">
        <v>218</v>
      </c>
      <c r="C68" s="1161" t="s">
        <v>210</v>
      </c>
      <c r="D68" s="1218">
        <v>0</v>
      </c>
      <c r="E68" s="1219">
        <v>0</v>
      </c>
      <c r="F68" s="1220">
        <v>0</v>
      </c>
      <c r="G68" s="1215">
        <f>IF(FEC=1,'Column 1'!AB64,D68)</f>
        <v>0</v>
      </c>
      <c r="H68" s="1216">
        <f>IF(FEC=1,'Column 1'!AC64,E68)</f>
        <v>0</v>
      </c>
      <c r="I68" s="1217">
        <f>IF(FEC=1,'Column 1'!AD64,F68)</f>
        <v>0</v>
      </c>
      <c r="J68" s="1218">
        <v>0</v>
      </c>
      <c r="K68" s="1219">
        <v>0</v>
      </c>
      <c r="L68" s="1220">
        <v>0</v>
      </c>
      <c r="M68" s="1215">
        <f t="shared" si="3"/>
        <v>0</v>
      </c>
      <c r="N68" s="1216">
        <f t="shared" si="1"/>
        <v>0</v>
      </c>
      <c r="O68" s="1221">
        <f t="shared" si="2"/>
        <v>0</v>
      </c>
      <c r="P68" s="982"/>
      <c r="Q68" s="1268" t="s">
        <v>264</v>
      </c>
      <c r="R68" s="1261" t="s">
        <v>27691</v>
      </c>
      <c r="S68" s="1261" t="s">
        <v>27688</v>
      </c>
    </row>
    <row r="69" spans="1:19" ht="14.45" customHeight="1" x14ac:dyDescent="0.35">
      <c r="A69" s="974" t="s">
        <v>264</v>
      </c>
      <c r="B69" s="974" t="s">
        <v>218</v>
      </c>
      <c r="C69" s="1161" t="s">
        <v>212</v>
      </c>
      <c r="D69" s="1172">
        <v>0</v>
      </c>
      <c r="E69" s="1173">
        <v>0</v>
      </c>
      <c r="F69" s="1174">
        <v>0</v>
      </c>
      <c r="G69" s="1175">
        <f>IF(FEC=1,'Column 1'!AB65,D69)</f>
        <v>0</v>
      </c>
      <c r="H69" s="1170">
        <f>IF(FEC=1,'Column 1'!AC65,E69)</f>
        <v>0</v>
      </c>
      <c r="I69" s="1171">
        <f>IF(FEC=1,'Column 1'!AD65,F69)</f>
        <v>0</v>
      </c>
      <c r="J69" s="1172">
        <v>0</v>
      </c>
      <c r="K69" s="1173">
        <v>0</v>
      </c>
      <c r="L69" s="1174">
        <v>0</v>
      </c>
      <c r="M69" s="1175">
        <f t="shared" si="3"/>
        <v>0</v>
      </c>
      <c r="N69" s="1170">
        <f t="shared" si="1"/>
        <v>0</v>
      </c>
      <c r="O69" s="1176">
        <f t="shared" si="2"/>
        <v>0</v>
      </c>
      <c r="P69" s="982"/>
      <c r="Q69" s="1268" t="s">
        <v>264</v>
      </c>
      <c r="R69" s="1261" t="s">
        <v>27691</v>
      </c>
      <c r="S69" s="1261" t="s">
        <v>27689</v>
      </c>
    </row>
    <row r="70" spans="1:19" ht="14.45" customHeight="1" x14ac:dyDescent="0.35">
      <c r="A70" s="974" t="s">
        <v>264</v>
      </c>
      <c r="B70" s="974" t="s">
        <v>218</v>
      </c>
      <c r="C70" s="1161" t="s">
        <v>214</v>
      </c>
      <c r="D70" s="1172">
        <v>0</v>
      </c>
      <c r="E70" s="1173">
        <v>0</v>
      </c>
      <c r="F70" s="1174">
        <v>0</v>
      </c>
      <c r="G70" s="1175">
        <f>IF(FEC=1,'Column 1'!AB66,D70)</f>
        <v>0</v>
      </c>
      <c r="H70" s="1170">
        <f>IF(FEC=1,'Column 1'!AC66,E70)</f>
        <v>0</v>
      </c>
      <c r="I70" s="1171">
        <f>IF(FEC=1,'Column 1'!AD66,F70)</f>
        <v>0</v>
      </c>
      <c r="J70" s="1172">
        <v>0</v>
      </c>
      <c r="K70" s="1173">
        <v>0</v>
      </c>
      <c r="L70" s="1174">
        <v>0</v>
      </c>
      <c r="M70" s="1175">
        <f t="shared" si="3"/>
        <v>0</v>
      </c>
      <c r="N70" s="1170">
        <f t="shared" si="1"/>
        <v>0</v>
      </c>
      <c r="O70" s="1176">
        <f t="shared" si="2"/>
        <v>0</v>
      </c>
      <c r="P70" s="982"/>
      <c r="Q70" s="1268" t="s">
        <v>264</v>
      </c>
      <c r="R70" s="1261" t="s">
        <v>27691</v>
      </c>
      <c r="S70" s="1261" t="s">
        <v>27690</v>
      </c>
    </row>
    <row r="71" spans="1:19" ht="14.45" customHeight="1" x14ac:dyDescent="0.35">
      <c r="A71" s="974" t="s">
        <v>264</v>
      </c>
      <c r="B71" s="974" t="s">
        <v>218</v>
      </c>
      <c r="C71" s="1530" t="s">
        <v>216</v>
      </c>
      <c r="D71" s="1264"/>
      <c r="E71" s="1173">
        <v>0</v>
      </c>
      <c r="F71" s="1174">
        <v>0</v>
      </c>
      <c r="G71" s="1264"/>
      <c r="H71" s="1170">
        <f>IF(FEC=1,'Column 1'!AC67,E71)</f>
        <v>0</v>
      </c>
      <c r="I71" s="1171">
        <f>IF(FEC=1,'Column 1'!AD67,F71)</f>
        <v>0</v>
      </c>
      <c r="J71" s="1264"/>
      <c r="K71" s="1173">
        <v>0</v>
      </c>
      <c r="L71" s="1174">
        <v>0</v>
      </c>
      <c r="M71" s="1266"/>
      <c r="N71" s="1209">
        <f t="shared" si="1"/>
        <v>0</v>
      </c>
      <c r="O71" s="1210">
        <f t="shared" si="2"/>
        <v>0</v>
      </c>
      <c r="P71" s="982"/>
      <c r="Q71" s="1261" t="s">
        <v>264</v>
      </c>
      <c r="R71" s="1261" t="s">
        <v>27691</v>
      </c>
      <c r="S71" s="1261" t="s">
        <v>216</v>
      </c>
    </row>
    <row r="72" spans="1:19" ht="14.45" customHeight="1" x14ac:dyDescent="0.35">
      <c r="A72" s="809" t="s">
        <v>277</v>
      </c>
      <c r="B72" s="808" t="s">
        <v>204</v>
      </c>
      <c r="C72" s="1745" t="s">
        <v>205</v>
      </c>
      <c r="D72" s="1787">
        <v>0</v>
      </c>
      <c r="E72" s="1684">
        <v>0</v>
      </c>
      <c r="F72" s="1685">
        <v>0</v>
      </c>
      <c r="G72" s="1788">
        <f>IF(FEC=1,'Column 1'!AB68,D72)</f>
        <v>0</v>
      </c>
      <c r="H72" s="1686">
        <f>IF(FEC=1,'Column 1'!AC68,E72)</f>
        <v>0</v>
      </c>
      <c r="I72" s="1687">
        <f>IF(FEC=1,'Column 1'!AD68,F72)</f>
        <v>0</v>
      </c>
      <c r="J72" s="1787">
        <v>0</v>
      </c>
      <c r="K72" s="1684">
        <v>0</v>
      </c>
      <c r="L72" s="1685">
        <v>0</v>
      </c>
      <c r="M72" s="1788">
        <f t="shared" si="3"/>
        <v>0</v>
      </c>
      <c r="N72" s="1686">
        <f t="shared" si="1"/>
        <v>0</v>
      </c>
      <c r="O72" s="1709">
        <f t="shared" si="2"/>
        <v>0</v>
      </c>
      <c r="P72" s="982"/>
      <c r="Q72" s="1268" t="s">
        <v>277</v>
      </c>
      <c r="R72" s="1261" t="s">
        <v>27685</v>
      </c>
      <c r="S72" s="1261" t="s">
        <v>27686</v>
      </c>
    </row>
    <row r="73" spans="1:19" ht="14.45" customHeight="1" x14ac:dyDescent="0.35">
      <c r="A73" s="974" t="s">
        <v>277</v>
      </c>
      <c r="B73" s="1178" t="s">
        <v>204</v>
      </c>
      <c r="C73" s="1161" t="s">
        <v>208</v>
      </c>
      <c r="D73" s="1201">
        <v>0</v>
      </c>
      <c r="E73" s="1202">
        <v>0</v>
      </c>
      <c r="F73" s="1203">
        <v>0</v>
      </c>
      <c r="G73" s="1204">
        <f>IF(FEC=1,'Column 1'!AB69,D73)</f>
        <v>0</v>
      </c>
      <c r="H73" s="1205">
        <f>IF(FEC=1,'Column 1'!AC69,E73)</f>
        <v>0</v>
      </c>
      <c r="I73" s="1267">
        <f>IF(FEC=1,'Column 1'!AD69,F73)</f>
        <v>0</v>
      </c>
      <c r="J73" s="1201">
        <v>0</v>
      </c>
      <c r="K73" s="1202">
        <v>0</v>
      </c>
      <c r="L73" s="1203">
        <v>0</v>
      </c>
      <c r="M73" s="1204">
        <f t="shared" si="3"/>
        <v>0</v>
      </c>
      <c r="N73" s="1205">
        <f t="shared" si="1"/>
        <v>0</v>
      </c>
      <c r="O73" s="1206">
        <f t="shared" si="2"/>
        <v>0</v>
      </c>
      <c r="P73" s="982"/>
      <c r="Q73" s="1268" t="s">
        <v>277</v>
      </c>
      <c r="R73" s="1261" t="s">
        <v>27685</v>
      </c>
      <c r="S73" s="1261" t="s">
        <v>27687</v>
      </c>
    </row>
    <row r="74" spans="1:19" ht="14.45" customHeight="1" x14ac:dyDescent="0.35">
      <c r="A74" s="974" t="s">
        <v>277</v>
      </c>
      <c r="B74" s="1178" t="s">
        <v>204</v>
      </c>
      <c r="C74" s="1161" t="s">
        <v>210</v>
      </c>
      <c r="D74" s="1218">
        <v>0</v>
      </c>
      <c r="E74" s="1219">
        <v>0</v>
      </c>
      <c r="F74" s="1220">
        <v>0</v>
      </c>
      <c r="G74" s="1215">
        <f>IF(FEC=1,'Column 1'!AB70,D74)</f>
        <v>0</v>
      </c>
      <c r="H74" s="1216">
        <f>IF(FEC=1,'Column 1'!AC70,E74)</f>
        <v>0</v>
      </c>
      <c r="I74" s="1217">
        <f>IF(FEC=1,'Column 1'!AD70,F74)</f>
        <v>0</v>
      </c>
      <c r="J74" s="1218">
        <v>0</v>
      </c>
      <c r="K74" s="1219">
        <v>0</v>
      </c>
      <c r="L74" s="1220">
        <v>0</v>
      </c>
      <c r="M74" s="1215">
        <f t="shared" si="3"/>
        <v>0</v>
      </c>
      <c r="N74" s="1216">
        <f t="shared" si="1"/>
        <v>0</v>
      </c>
      <c r="O74" s="1221">
        <f t="shared" si="2"/>
        <v>0</v>
      </c>
      <c r="P74" s="982"/>
      <c r="Q74" s="1268" t="s">
        <v>277</v>
      </c>
      <c r="R74" s="1261" t="s">
        <v>27685</v>
      </c>
      <c r="S74" s="1261" t="s">
        <v>27688</v>
      </c>
    </row>
    <row r="75" spans="1:19" ht="14.45" customHeight="1" x14ac:dyDescent="0.35">
      <c r="A75" s="974" t="s">
        <v>277</v>
      </c>
      <c r="B75" s="1178" t="s">
        <v>204</v>
      </c>
      <c r="C75" s="1161" t="s">
        <v>212</v>
      </c>
      <c r="D75" s="1172">
        <v>0</v>
      </c>
      <c r="E75" s="1173">
        <v>0</v>
      </c>
      <c r="F75" s="1174">
        <v>0</v>
      </c>
      <c r="G75" s="1175">
        <f>IF(FEC=1,'Column 1'!AB71,D75)</f>
        <v>0</v>
      </c>
      <c r="H75" s="1170">
        <f>IF(FEC=1,'Column 1'!AC71,E75)</f>
        <v>0</v>
      </c>
      <c r="I75" s="1171">
        <f>IF(FEC=1,'Column 1'!AD71,F75)</f>
        <v>0</v>
      </c>
      <c r="J75" s="1172">
        <v>0</v>
      </c>
      <c r="K75" s="1173">
        <v>0</v>
      </c>
      <c r="L75" s="1174">
        <v>0</v>
      </c>
      <c r="M75" s="1175">
        <f t="shared" si="3"/>
        <v>0</v>
      </c>
      <c r="N75" s="1170">
        <f t="shared" si="1"/>
        <v>0</v>
      </c>
      <c r="O75" s="1176">
        <f t="shared" si="2"/>
        <v>0</v>
      </c>
      <c r="P75" s="982"/>
      <c r="Q75" s="1268" t="s">
        <v>277</v>
      </c>
      <c r="R75" s="1261" t="s">
        <v>27685</v>
      </c>
      <c r="S75" s="1261" t="s">
        <v>27689</v>
      </c>
    </row>
    <row r="76" spans="1:19" ht="14.45" customHeight="1" x14ac:dyDescent="0.35">
      <c r="A76" s="974" t="s">
        <v>277</v>
      </c>
      <c r="B76" s="1178" t="s">
        <v>204</v>
      </c>
      <c r="C76" s="1161" t="s">
        <v>214</v>
      </c>
      <c r="D76" s="1182">
        <v>0</v>
      </c>
      <c r="E76" s="1183">
        <v>0</v>
      </c>
      <c r="F76" s="1184">
        <v>0</v>
      </c>
      <c r="G76" s="1185">
        <f>IF(FEC=1,'Column 1'!AB72,D76)</f>
        <v>0</v>
      </c>
      <c r="H76" s="1186">
        <f>IF(FEC=1,'Column 1'!AC72,E76)</f>
        <v>0</v>
      </c>
      <c r="I76" s="1222">
        <f>IF(FEC=1,'Column 1'!AD72,F76)</f>
        <v>0</v>
      </c>
      <c r="J76" s="1182">
        <v>0</v>
      </c>
      <c r="K76" s="1183">
        <v>0</v>
      </c>
      <c r="L76" s="1184">
        <v>0</v>
      </c>
      <c r="M76" s="1185">
        <f t="shared" si="3"/>
        <v>0</v>
      </c>
      <c r="N76" s="1186">
        <f t="shared" si="1"/>
        <v>0</v>
      </c>
      <c r="O76" s="1187">
        <f t="shared" si="2"/>
        <v>0</v>
      </c>
      <c r="P76" s="982"/>
      <c r="Q76" s="1268" t="s">
        <v>277</v>
      </c>
      <c r="R76" s="1261" t="s">
        <v>27685</v>
      </c>
      <c r="S76" s="1261" t="s">
        <v>27690</v>
      </c>
    </row>
    <row r="77" spans="1:19" ht="14.45" customHeight="1" x14ac:dyDescent="0.35">
      <c r="A77" s="974" t="s">
        <v>277</v>
      </c>
      <c r="B77" s="1188" t="s">
        <v>204</v>
      </c>
      <c r="C77" s="1531" t="s">
        <v>216</v>
      </c>
      <c r="D77" s="1264"/>
      <c r="E77" s="1173">
        <v>0</v>
      </c>
      <c r="F77" s="1174">
        <v>0</v>
      </c>
      <c r="G77" s="1264"/>
      <c r="H77" s="1170">
        <f>IF(FEC=1,'Column 1'!AC73,E77)</f>
        <v>0</v>
      </c>
      <c r="I77" s="1171">
        <f>IF(FEC=1,'Column 1'!AD73,F77)</f>
        <v>0</v>
      </c>
      <c r="J77" s="1264"/>
      <c r="K77" s="1173">
        <v>0</v>
      </c>
      <c r="L77" s="1174">
        <v>0</v>
      </c>
      <c r="M77" s="1265"/>
      <c r="N77" s="1186">
        <f t="shared" ref="N77:N96" si="4">SUM(H77,K77)</f>
        <v>0</v>
      </c>
      <c r="O77" s="1187">
        <f t="shared" ref="O77:O96" si="5">SUM(I77,L77)</f>
        <v>0</v>
      </c>
      <c r="P77" s="982"/>
      <c r="Q77" s="1261" t="s">
        <v>277</v>
      </c>
      <c r="R77" s="1261" t="s">
        <v>27685</v>
      </c>
      <c r="S77" s="1261" t="s">
        <v>216</v>
      </c>
    </row>
    <row r="78" spans="1:19" ht="14.45" customHeight="1" x14ac:dyDescent="0.35">
      <c r="A78" s="974" t="s">
        <v>277</v>
      </c>
      <c r="B78" s="739" t="s">
        <v>218</v>
      </c>
      <c r="C78" s="1161" t="s">
        <v>205</v>
      </c>
      <c r="D78" s="1198">
        <v>0</v>
      </c>
      <c r="E78" s="1199">
        <v>0</v>
      </c>
      <c r="F78" s="1200">
        <v>0</v>
      </c>
      <c r="G78" s="1195">
        <f>IF(FEC=1,'Column 1'!AB74,D78)</f>
        <v>0</v>
      </c>
      <c r="H78" s="1196">
        <f>IF(FEC=1,'Column 1'!AC74,E78)</f>
        <v>0</v>
      </c>
      <c r="I78" s="1197">
        <f>IF(FEC=1,'Column 1'!AD74,F78)</f>
        <v>0</v>
      </c>
      <c r="J78" s="1198">
        <v>0</v>
      </c>
      <c r="K78" s="1199">
        <v>0</v>
      </c>
      <c r="L78" s="1200">
        <v>0</v>
      </c>
      <c r="M78" s="1204">
        <f t="shared" ref="M78:M96" si="6">SUM(G78,J78)</f>
        <v>0</v>
      </c>
      <c r="N78" s="1205">
        <f t="shared" si="4"/>
        <v>0</v>
      </c>
      <c r="O78" s="1206">
        <f t="shared" si="5"/>
        <v>0</v>
      </c>
      <c r="P78" s="982"/>
      <c r="Q78" s="1268" t="s">
        <v>277</v>
      </c>
      <c r="R78" s="1261" t="s">
        <v>27691</v>
      </c>
      <c r="S78" s="1261" t="s">
        <v>27686</v>
      </c>
    </row>
    <row r="79" spans="1:19" ht="14.45" customHeight="1" x14ac:dyDescent="0.35">
      <c r="A79" s="974" t="s">
        <v>277</v>
      </c>
      <c r="B79" s="974" t="s">
        <v>218</v>
      </c>
      <c r="C79" s="1161" t="s">
        <v>208</v>
      </c>
      <c r="D79" s="1201">
        <v>0</v>
      </c>
      <c r="E79" s="1202">
        <v>0</v>
      </c>
      <c r="F79" s="1203">
        <v>0</v>
      </c>
      <c r="G79" s="1204">
        <f>IF(FEC=1,'Column 1'!AB75,D79)</f>
        <v>0</v>
      </c>
      <c r="H79" s="1205">
        <f>IF(FEC=1,'Column 1'!AC75,E79)</f>
        <v>0</v>
      </c>
      <c r="I79" s="1267">
        <f>IF(FEC=1,'Column 1'!AD75,F79)</f>
        <v>0</v>
      </c>
      <c r="J79" s="1201">
        <v>0</v>
      </c>
      <c r="K79" s="1202">
        <v>0</v>
      </c>
      <c r="L79" s="1203">
        <v>0</v>
      </c>
      <c r="M79" s="1204">
        <f t="shared" si="6"/>
        <v>0</v>
      </c>
      <c r="N79" s="1205">
        <f t="shared" si="4"/>
        <v>0</v>
      </c>
      <c r="O79" s="1206">
        <f t="shared" si="5"/>
        <v>0</v>
      </c>
      <c r="P79" s="982"/>
      <c r="Q79" s="1268" t="s">
        <v>277</v>
      </c>
      <c r="R79" s="1261" t="s">
        <v>27691</v>
      </c>
      <c r="S79" s="1261" t="s">
        <v>27687</v>
      </c>
    </row>
    <row r="80" spans="1:19" ht="14.45" customHeight="1" x14ac:dyDescent="0.35">
      <c r="A80" s="974" t="s">
        <v>277</v>
      </c>
      <c r="B80" s="974" t="s">
        <v>218</v>
      </c>
      <c r="C80" s="1161" t="s">
        <v>210</v>
      </c>
      <c r="D80" s="1218">
        <v>0</v>
      </c>
      <c r="E80" s="1219">
        <v>0</v>
      </c>
      <c r="F80" s="1220">
        <v>0</v>
      </c>
      <c r="G80" s="1215">
        <f>IF(FEC=1,'Column 1'!AB76,D80)</f>
        <v>0</v>
      </c>
      <c r="H80" s="1216">
        <f>IF(FEC=1,'Column 1'!AC76,E80)</f>
        <v>0</v>
      </c>
      <c r="I80" s="1217">
        <f>IF(FEC=1,'Column 1'!AD76,F80)</f>
        <v>0</v>
      </c>
      <c r="J80" s="1218">
        <v>0</v>
      </c>
      <c r="K80" s="1219">
        <v>0</v>
      </c>
      <c r="L80" s="1220">
        <v>0</v>
      </c>
      <c r="M80" s="1215">
        <f t="shared" si="6"/>
        <v>0</v>
      </c>
      <c r="N80" s="1216">
        <f t="shared" si="4"/>
        <v>0</v>
      </c>
      <c r="O80" s="1221">
        <f t="shared" si="5"/>
        <v>0</v>
      </c>
      <c r="P80" s="982"/>
      <c r="Q80" s="1268" t="s">
        <v>277</v>
      </c>
      <c r="R80" s="1261" t="s">
        <v>27691</v>
      </c>
      <c r="S80" s="1261" t="s">
        <v>27688</v>
      </c>
    </row>
    <row r="81" spans="1:19" ht="14.45" customHeight="1" x14ac:dyDescent="0.35">
      <c r="A81" s="974" t="s">
        <v>277</v>
      </c>
      <c r="B81" s="974" t="s">
        <v>218</v>
      </c>
      <c r="C81" s="1161" t="s">
        <v>212</v>
      </c>
      <c r="D81" s="1172">
        <v>0</v>
      </c>
      <c r="E81" s="1173">
        <v>0</v>
      </c>
      <c r="F81" s="1174">
        <v>0</v>
      </c>
      <c r="G81" s="1175">
        <f>IF(FEC=1,'Column 1'!AB77,D81)</f>
        <v>0</v>
      </c>
      <c r="H81" s="1170">
        <f>IF(FEC=1,'Column 1'!AC77,E81)</f>
        <v>0</v>
      </c>
      <c r="I81" s="1171">
        <f>IF(FEC=1,'Column 1'!AD77,F81)</f>
        <v>0</v>
      </c>
      <c r="J81" s="1172">
        <v>0</v>
      </c>
      <c r="K81" s="1173">
        <v>0</v>
      </c>
      <c r="L81" s="1174">
        <v>0</v>
      </c>
      <c r="M81" s="1175">
        <f t="shared" si="6"/>
        <v>0</v>
      </c>
      <c r="N81" s="1170">
        <f t="shared" si="4"/>
        <v>0</v>
      </c>
      <c r="O81" s="1176">
        <f t="shared" si="5"/>
        <v>0</v>
      </c>
      <c r="P81" s="982"/>
      <c r="Q81" s="1268" t="s">
        <v>277</v>
      </c>
      <c r="R81" s="1261" t="s">
        <v>27691</v>
      </c>
      <c r="S81" s="1261" t="s">
        <v>27689</v>
      </c>
    </row>
    <row r="82" spans="1:19" ht="14.45" customHeight="1" x14ac:dyDescent="0.35">
      <c r="A82" s="974" t="s">
        <v>277</v>
      </c>
      <c r="B82" s="974" t="s">
        <v>218</v>
      </c>
      <c r="C82" s="1161" t="s">
        <v>214</v>
      </c>
      <c r="D82" s="1172">
        <v>0</v>
      </c>
      <c r="E82" s="1173">
        <v>0</v>
      </c>
      <c r="F82" s="1174">
        <v>0</v>
      </c>
      <c r="G82" s="1175">
        <f>IF(FEC=1,'Column 1'!AB78,D82)</f>
        <v>0</v>
      </c>
      <c r="H82" s="1170">
        <f>IF(FEC=1,'Column 1'!AC78,E82)</f>
        <v>0</v>
      </c>
      <c r="I82" s="1171">
        <f>IF(FEC=1,'Column 1'!AD78,F82)</f>
        <v>0</v>
      </c>
      <c r="J82" s="1172">
        <v>0</v>
      </c>
      <c r="K82" s="1173">
        <v>0</v>
      </c>
      <c r="L82" s="1174">
        <v>0</v>
      </c>
      <c r="M82" s="1175">
        <f t="shared" si="6"/>
        <v>0</v>
      </c>
      <c r="N82" s="1170">
        <f t="shared" si="4"/>
        <v>0</v>
      </c>
      <c r="O82" s="1176">
        <f t="shared" si="5"/>
        <v>0</v>
      </c>
      <c r="P82" s="982"/>
      <c r="Q82" s="1268" t="s">
        <v>277</v>
      </c>
      <c r="R82" s="1261" t="s">
        <v>27691</v>
      </c>
      <c r="S82" s="1261" t="s">
        <v>27690</v>
      </c>
    </row>
    <row r="83" spans="1:19" ht="14.45" customHeight="1" thickBot="1" x14ac:dyDescent="0.4">
      <c r="A83" s="974" t="s">
        <v>277</v>
      </c>
      <c r="B83" s="974" t="s">
        <v>218</v>
      </c>
      <c r="C83" s="1530" t="s">
        <v>216</v>
      </c>
      <c r="D83" s="1264"/>
      <c r="E83" s="1173">
        <v>0</v>
      </c>
      <c r="F83" s="1174">
        <v>0</v>
      </c>
      <c r="G83" s="1264"/>
      <c r="H83" s="1170">
        <f>IF(FEC=1,'Column 1'!AC79,E83)</f>
        <v>0</v>
      </c>
      <c r="I83" s="1171">
        <f>IF(FEC=1,'Column 1'!AD79,F83)</f>
        <v>0</v>
      </c>
      <c r="J83" s="1264"/>
      <c r="K83" s="1173">
        <v>0</v>
      </c>
      <c r="L83" s="1174">
        <v>0</v>
      </c>
      <c r="M83" s="1266"/>
      <c r="N83" s="1209">
        <f t="shared" si="4"/>
        <v>0</v>
      </c>
      <c r="O83" s="1210">
        <f t="shared" si="5"/>
        <v>0</v>
      </c>
      <c r="P83" s="982"/>
      <c r="Q83" s="1261" t="s">
        <v>277</v>
      </c>
      <c r="R83" s="1261" t="s">
        <v>27691</v>
      </c>
      <c r="S83" s="1261" t="s">
        <v>216</v>
      </c>
    </row>
    <row r="84" spans="1:19" ht="14.45" customHeight="1" thickTop="1" x14ac:dyDescent="0.35">
      <c r="A84" s="1225" t="s">
        <v>27694</v>
      </c>
      <c r="B84" s="1226" t="s">
        <v>204</v>
      </c>
      <c r="C84" s="1532" t="s">
        <v>205</v>
      </c>
      <c r="D84" s="1227">
        <f t="shared" ref="D84:L84" si="7">SUM(D12,D24,D36,D48,D60,D72)</f>
        <v>0</v>
      </c>
      <c r="E84" s="1228">
        <f t="shared" si="7"/>
        <v>0</v>
      </c>
      <c r="F84" s="1229">
        <f t="shared" si="7"/>
        <v>0</v>
      </c>
      <c r="G84" s="1227">
        <f t="shared" si="7"/>
        <v>0</v>
      </c>
      <c r="H84" s="1228">
        <f t="shared" si="7"/>
        <v>0</v>
      </c>
      <c r="I84" s="1229">
        <f t="shared" si="7"/>
        <v>0</v>
      </c>
      <c r="J84" s="1227">
        <f>SUM(J12,J24,J36,J48,J60,J72)</f>
        <v>0</v>
      </c>
      <c r="K84" s="1228">
        <f t="shared" si="7"/>
        <v>0</v>
      </c>
      <c r="L84" s="1229">
        <f t="shared" si="7"/>
        <v>0</v>
      </c>
      <c r="M84" s="1227">
        <f t="shared" si="6"/>
        <v>0</v>
      </c>
      <c r="N84" s="1228">
        <f t="shared" si="4"/>
        <v>0</v>
      </c>
      <c r="O84" s="1230">
        <f t="shared" si="5"/>
        <v>0</v>
      </c>
      <c r="P84" s="982"/>
      <c r="Q84" s="1261" t="s">
        <v>28321</v>
      </c>
      <c r="R84" s="1261" t="s">
        <v>27685</v>
      </c>
      <c r="S84" s="1261" t="s">
        <v>27686</v>
      </c>
    </row>
    <row r="85" spans="1:19" ht="14.45" customHeight="1" x14ac:dyDescent="0.35">
      <c r="A85" s="1231" t="s">
        <v>27694</v>
      </c>
      <c r="B85" s="1178" t="s">
        <v>204</v>
      </c>
      <c r="C85" s="1161" t="s">
        <v>208</v>
      </c>
      <c r="D85" s="1204">
        <f t="shared" ref="D85:L86" si="8">SUM(D13,D25,D37,D49,D61,D73)</f>
        <v>0</v>
      </c>
      <c r="E85" s="1205">
        <f t="shared" si="8"/>
        <v>0</v>
      </c>
      <c r="F85" s="1267">
        <f t="shared" si="8"/>
        <v>0</v>
      </c>
      <c r="G85" s="1204">
        <f t="shared" si="8"/>
        <v>0</v>
      </c>
      <c r="H85" s="1205">
        <f t="shared" si="8"/>
        <v>0</v>
      </c>
      <c r="I85" s="1267">
        <f t="shared" si="8"/>
        <v>0</v>
      </c>
      <c r="J85" s="1204">
        <f>SUM(J13,J25,J37,J49,J61,J73)</f>
        <v>0</v>
      </c>
      <c r="K85" s="1205">
        <f t="shared" si="8"/>
        <v>0</v>
      </c>
      <c r="L85" s="1267">
        <f t="shared" si="8"/>
        <v>0</v>
      </c>
      <c r="M85" s="1204">
        <f t="shared" si="6"/>
        <v>0</v>
      </c>
      <c r="N85" s="1205">
        <f t="shared" si="4"/>
        <v>0</v>
      </c>
      <c r="O85" s="1206">
        <f t="shared" si="5"/>
        <v>0</v>
      </c>
      <c r="P85" s="982"/>
      <c r="Q85" s="1261" t="s">
        <v>28321</v>
      </c>
      <c r="R85" s="1261" t="s">
        <v>27685</v>
      </c>
      <c r="S85" s="1261" t="s">
        <v>27687</v>
      </c>
    </row>
    <row r="86" spans="1:19" ht="14.45" customHeight="1" x14ac:dyDescent="0.35">
      <c r="A86" s="1231" t="s">
        <v>27694</v>
      </c>
      <c r="B86" s="1178" t="s">
        <v>204</v>
      </c>
      <c r="C86" s="1161" t="s">
        <v>210</v>
      </c>
      <c r="D86" s="1204">
        <f t="shared" si="8"/>
        <v>0</v>
      </c>
      <c r="E86" s="1205">
        <f t="shared" si="8"/>
        <v>0</v>
      </c>
      <c r="F86" s="1267">
        <f t="shared" si="8"/>
        <v>0</v>
      </c>
      <c r="G86" s="1204">
        <f t="shared" si="8"/>
        <v>0</v>
      </c>
      <c r="H86" s="1205">
        <f t="shared" si="8"/>
        <v>0</v>
      </c>
      <c r="I86" s="1267">
        <f t="shared" si="8"/>
        <v>0</v>
      </c>
      <c r="J86" s="1204">
        <f t="shared" si="8"/>
        <v>0</v>
      </c>
      <c r="K86" s="1205">
        <f t="shared" si="8"/>
        <v>0</v>
      </c>
      <c r="L86" s="1267">
        <f t="shared" si="8"/>
        <v>0</v>
      </c>
      <c r="M86" s="1204">
        <f t="shared" si="6"/>
        <v>0</v>
      </c>
      <c r="N86" s="1205">
        <f t="shared" si="4"/>
        <v>0</v>
      </c>
      <c r="O86" s="1206">
        <f t="shared" si="5"/>
        <v>0</v>
      </c>
      <c r="P86" s="982"/>
      <c r="Q86" s="1261" t="s">
        <v>28321</v>
      </c>
      <c r="R86" s="1261" t="s">
        <v>27685</v>
      </c>
      <c r="S86" s="1261" t="s">
        <v>27688</v>
      </c>
    </row>
    <row r="87" spans="1:19" ht="14.45" customHeight="1" x14ac:dyDescent="0.35">
      <c r="A87" s="1231" t="s">
        <v>27694</v>
      </c>
      <c r="B87" s="1178" t="s">
        <v>204</v>
      </c>
      <c r="C87" s="1161" t="s">
        <v>212</v>
      </c>
      <c r="D87" s="1175">
        <f t="shared" ref="D87:L87" si="9">SUM(D15,D27,D39,D51,D63,D75)</f>
        <v>0</v>
      </c>
      <c r="E87" s="1170">
        <f t="shared" si="9"/>
        <v>0</v>
      </c>
      <c r="F87" s="1171">
        <f t="shared" si="9"/>
        <v>0</v>
      </c>
      <c r="G87" s="1175">
        <f t="shared" si="9"/>
        <v>0</v>
      </c>
      <c r="H87" s="1170">
        <f t="shared" si="9"/>
        <v>0</v>
      </c>
      <c r="I87" s="1171">
        <f t="shared" si="9"/>
        <v>0</v>
      </c>
      <c r="J87" s="1175">
        <f t="shared" si="9"/>
        <v>0</v>
      </c>
      <c r="K87" s="1170">
        <f t="shared" si="9"/>
        <v>0</v>
      </c>
      <c r="L87" s="1171">
        <f t="shared" si="9"/>
        <v>0</v>
      </c>
      <c r="M87" s="1175">
        <f t="shared" si="6"/>
        <v>0</v>
      </c>
      <c r="N87" s="1170">
        <f t="shared" si="4"/>
        <v>0</v>
      </c>
      <c r="O87" s="1176">
        <f t="shared" si="5"/>
        <v>0</v>
      </c>
      <c r="P87" s="982"/>
      <c r="Q87" s="1261" t="s">
        <v>28321</v>
      </c>
      <c r="R87" s="1261" t="s">
        <v>27685</v>
      </c>
      <c r="S87" s="1261" t="s">
        <v>27689</v>
      </c>
    </row>
    <row r="88" spans="1:19" ht="14.45" customHeight="1" x14ac:dyDescent="0.35">
      <c r="A88" s="1231" t="s">
        <v>27694</v>
      </c>
      <c r="B88" s="1178" t="s">
        <v>204</v>
      </c>
      <c r="C88" s="1161" t="s">
        <v>214</v>
      </c>
      <c r="D88" s="1232">
        <f t="shared" ref="D88:L88" si="10">SUM(D16,D28,D40,D52,D64,D76)</f>
        <v>0</v>
      </c>
      <c r="E88" s="1233">
        <f t="shared" si="10"/>
        <v>0</v>
      </c>
      <c r="F88" s="1234">
        <f t="shared" si="10"/>
        <v>0</v>
      </c>
      <c r="G88" s="1232">
        <f t="shared" si="10"/>
        <v>0</v>
      </c>
      <c r="H88" s="1233">
        <f t="shared" si="10"/>
        <v>0</v>
      </c>
      <c r="I88" s="1234">
        <f t="shared" si="10"/>
        <v>0</v>
      </c>
      <c r="J88" s="1232">
        <f t="shared" si="10"/>
        <v>0</v>
      </c>
      <c r="K88" s="1233">
        <f t="shared" si="10"/>
        <v>0</v>
      </c>
      <c r="L88" s="1234">
        <f t="shared" si="10"/>
        <v>0</v>
      </c>
      <c r="M88" s="1232">
        <f t="shared" si="6"/>
        <v>0</v>
      </c>
      <c r="N88" s="1233">
        <f t="shared" si="4"/>
        <v>0</v>
      </c>
      <c r="O88" s="1235">
        <f t="shared" si="5"/>
        <v>0</v>
      </c>
      <c r="P88" s="982"/>
      <c r="Q88" s="1261" t="s">
        <v>28321</v>
      </c>
      <c r="R88" s="1261" t="s">
        <v>27685</v>
      </c>
      <c r="S88" s="1261" t="s">
        <v>27690</v>
      </c>
    </row>
    <row r="89" spans="1:19" ht="14.45" customHeight="1" x14ac:dyDescent="0.35">
      <c r="A89" s="1231" t="s">
        <v>27694</v>
      </c>
      <c r="B89" s="1178" t="s">
        <v>204</v>
      </c>
      <c r="C89" s="1161" t="s">
        <v>216</v>
      </c>
      <c r="D89" s="1600"/>
      <c r="E89" s="1166">
        <f t="shared" ref="E89:F94" si="11">SUM(E17,E29,E41,E53,E65,E77)</f>
        <v>0</v>
      </c>
      <c r="F89" s="1236">
        <f t="shared" si="11"/>
        <v>0</v>
      </c>
      <c r="G89" s="1600"/>
      <c r="H89" s="1166">
        <f t="shared" ref="H89:I94" si="12">SUM(H17,H29,H41,H53,H65,H77)</f>
        <v>0</v>
      </c>
      <c r="I89" s="1236">
        <f t="shared" si="12"/>
        <v>0</v>
      </c>
      <c r="J89" s="1600"/>
      <c r="K89" s="1166">
        <f t="shared" ref="K89:L94" si="13">SUM(K17,K29,K41,K53,K65,K77)</f>
        <v>0</v>
      </c>
      <c r="L89" s="1236">
        <f t="shared" si="13"/>
        <v>0</v>
      </c>
      <c r="M89" s="1600"/>
      <c r="N89" s="1166">
        <f t="shared" si="4"/>
        <v>0</v>
      </c>
      <c r="O89" s="1237">
        <f t="shared" si="5"/>
        <v>0</v>
      </c>
      <c r="P89" s="982"/>
      <c r="Q89" s="1261" t="s">
        <v>28321</v>
      </c>
      <c r="R89" s="1261" t="s">
        <v>27685</v>
      </c>
      <c r="S89" s="1261" t="s">
        <v>216</v>
      </c>
    </row>
    <row r="90" spans="1:19" ht="14.45" customHeight="1" x14ac:dyDescent="0.35">
      <c r="A90" s="1231" t="s">
        <v>27694</v>
      </c>
      <c r="B90" s="1238" t="s">
        <v>218</v>
      </c>
      <c r="C90" s="1533" t="s">
        <v>205</v>
      </c>
      <c r="D90" s="1195">
        <f>SUM(D18,D30,D42,D54,D66,D78)</f>
        <v>0</v>
      </c>
      <c r="E90" s="1196">
        <f t="shared" si="11"/>
        <v>0</v>
      </c>
      <c r="F90" s="1197">
        <f t="shared" si="11"/>
        <v>0</v>
      </c>
      <c r="G90" s="1195">
        <f>SUM(G18,G30,G42,G54,G66,G78)</f>
        <v>0</v>
      </c>
      <c r="H90" s="1196">
        <f t="shared" si="12"/>
        <v>0</v>
      </c>
      <c r="I90" s="1197">
        <f t="shared" si="12"/>
        <v>0</v>
      </c>
      <c r="J90" s="1195">
        <f>SUM(J18,J30,J42,J54,J66,J78)</f>
        <v>0</v>
      </c>
      <c r="K90" s="1196">
        <f t="shared" si="13"/>
        <v>0</v>
      </c>
      <c r="L90" s="1197">
        <f t="shared" si="13"/>
        <v>0</v>
      </c>
      <c r="M90" s="1195">
        <f t="shared" si="6"/>
        <v>0</v>
      </c>
      <c r="N90" s="1196">
        <f t="shared" si="4"/>
        <v>0</v>
      </c>
      <c r="O90" s="1239">
        <f t="shared" si="5"/>
        <v>0</v>
      </c>
      <c r="P90" s="982"/>
      <c r="Q90" s="1261" t="s">
        <v>28321</v>
      </c>
      <c r="R90" s="1261" t="s">
        <v>27691</v>
      </c>
      <c r="S90" s="1261" t="s">
        <v>27686</v>
      </c>
    </row>
    <row r="91" spans="1:19" ht="14.45" customHeight="1" x14ac:dyDescent="0.35">
      <c r="A91" s="1231" t="s">
        <v>27694</v>
      </c>
      <c r="B91" s="974" t="s">
        <v>218</v>
      </c>
      <c r="C91" s="1161" t="s">
        <v>208</v>
      </c>
      <c r="D91" s="1204">
        <f>SUM(D19,D31,D43,D55,D67,D79)</f>
        <v>0</v>
      </c>
      <c r="E91" s="1205">
        <f t="shared" si="11"/>
        <v>0</v>
      </c>
      <c r="F91" s="1267">
        <f t="shared" si="11"/>
        <v>0</v>
      </c>
      <c r="G91" s="1204">
        <f>SUM(G19,G31,G43,G55,G67,G79)</f>
        <v>0</v>
      </c>
      <c r="H91" s="1205">
        <f t="shared" si="12"/>
        <v>0</v>
      </c>
      <c r="I91" s="1267">
        <f t="shared" si="12"/>
        <v>0</v>
      </c>
      <c r="J91" s="1204">
        <f>SUM(J19,J31,J43,J55,J67,J79)</f>
        <v>0</v>
      </c>
      <c r="K91" s="1205">
        <f t="shared" si="13"/>
        <v>0</v>
      </c>
      <c r="L91" s="1267">
        <f t="shared" si="13"/>
        <v>0</v>
      </c>
      <c r="M91" s="1204">
        <f t="shared" si="6"/>
        <v>0</v>
      </c>
      <c r="N91" s="1205">
        <f t="shared" si="4"/>
        <v>0</v>
      </c>
      <c r="O91" s="1206">
        <f t="shared" si="5"/>
        <v>0</v>
      </c>
      <c r="P91" s="982"/>
      <c r="Q91" s="1261" t="s">
        <v>28321</v>
      </c>
      <c r="R91" s="1261" t="s">
        <v>27691</v>
      </c>
      <c r="S91" s="1261" t="s">
        <v>27687</v>
      </c>
    </row>
    <row r="92" spans="1:19" ht="14.45" customHeight="1" x14ac:dyDescent="0.35">
      <c r="A92" s="1231" t="s">
        <v>27694</v>
      </c>
      <c r="B92" s="974" t="s">
        <v>218</v>
      </c>
      <c r="C92" s="1161" t="s">
        <v>210</v>
      </c>
      <c r="D92" s="1204">
        <f>SUM(D20,D32,D44,D56,D68,D80)</f>
        <v>0</v>
      </c>
      <c r="E92" s="1205">
        <f t="shared" si="11"/>
        <v>0</v>
      </c>
      <c r="F92" s="1267">
        <f t="shared" si="11"/>
        <v>0</v>
      </c>
      <c r="G92" s="1204">
        <f>SUM(G20,G32,G44,G56,G68,G80)</f>
        <v>0</v>
      </c>
      <c r="H92" s="1205">
        <f t="shared" si="12"/>
        <v>0</v>
      </c>
      <c r="I92" s="1267">
        <f t="shared" si="12"/>
        <v>0</v>
      </c>
      <c r="J92" s="1204">
        <f>SUM(J20,J32,J44,J56,J68,J80)</f>
        <v>0</v>
      </c>
      <c r="K92" s="1205">
        <f t="shared" si="13"/>
        <v>0</v>
      </c>
      <c r="L92" s="1267">
        <f t="shared" si="13"/>
        <v>0</v>
      </c>
      <c r="M92" s="1204">
        <f t="shared" si="6"/>
        <v>0</v>
      </c>
      <c r="N92" s="1205">
        <f t="shared" si="4"/>
        <v>0</v>
      </c>
      <c r="O92" s="1206">
        <f t="shared" si="5"/>
        <v>0</v>
      </c>
      <c r="P92" s="982"/>
      <c r="Q92" s="1261" t="s">
        <v>28321</v>
      </c>
      <c r="R92" s="1261" t="s">
        <v>27691</v>
      </c>
      <c r="S92" s="1261" t="s">
        <v>27688</v>
      </c>
    </row>
    <row r="93" spans="1:19" ht="14.45" customHeight="1" x14ac:dyDescent="0.35">
      <c r="A93" s="1231" t="s">
        <v>27694</v>
      </c>
      <c r="B93" s="974" t="s">
        <v>218</v>
      </c>
      <c r="C93" s="1161" t="s">
        <v>212</v>
      </c>
      <c r="D93" s="1175">
        <f>SUM(D21,D33,D45,D57,D69,D81)</f>
        <v>0</v>
      </c>
      <c r="E93" s="1170">
        <f t="shared" si="11"/>
        <v>0</v>
      </c>
      <c r="F93" s="1171">
        <f t="shared" si="11"/>
        <v>0</v>
      </c>
      <c r="G93" s="1175">
        <f>SUM(G21,G33,G45,G57,G69,G81)</f>
        <v>0</v>
      </c>
      <c r="H93" s="1170">
        <f t="shared" si="12"/>
        <v>0</v>
      </c>
      <c r="I93" s="1171">
        <f t="shared" si="12"/>
        <v>0</v>
      </c>
      <c r="J93" s="1175">
        <f>SUM(J21,J33,J45,J57,J69,J81)</f>
        <v>0</v>
      </c>
      <c r="K93" s="1170">
        <f t="shared" si="13"/>
        <v>0</v>
      </c>
      <c r="L93" s="1171">
        <f t="shared" si="13"/>
        <v>0</v>
      </c>
      <c r="M93" s="1175">
        <f t="shared" si="6"/>
        <v>0</v>
      </c>
      <c r="N93" s="1170">
        <f t="shared" si="4"/>
        <v>0</v>
      </c>
      <c r="O93" s="1176">
        <f t="shared" si="5"/>
        <v>0</v>
      </c>
      <c r="P93" s="982"/>
      <c r="Q93" s="1261" t="s">
        <v>28321</v>
      </c>
      <c r="R93" s="1261" t="s">
        <v>27691</v>
      </c>
      <c r="S93" s="1261" t="s">
        <v>27689</v>
      </c>
    </row>
    <row r="94" spans="1:19" ht="14.45" customHeight="1" x14ac:dyDescent="0.35">
      <c r="A94" s="1231" t="s">
        <v>27694</v>
      </c>
      <c r="B94" s="974" t="s">
        <v>218</v>
      </c>
      <c r="C94" s="1161" t="s">
        <v>214</v>
      </c>
      <c r="D94" s="1232">
        <f>SUM(D22,D34,D46,D58,D70,D82)</f>
        <v>0</v>
      </c>
      <c r="E94" s="1233">
        <f t="shared" si="11"/>
        <v>0</v>
      </c>
      <c r="F94" s="1234">
        <f t="shared" si="11"/>
        <v>0</v>
      </c>
      <c r="G94" s="1232">
        <f>SUM(G22,G34,G46,G58,G70,G82)</f>
        <v>0</v>
      </c>
      <c r="H94" s="1233">
        <f t="shared" si="12"/>
        <v>0</v>
      </c>
      <c r="I94" s="1234">
        <f t="shared" si="12"/>
        <v>0</v>
      </c>
      <c r="J94" s="1232">
        <f>SUM(J22,J34,J46,J58,J70,J82)</f>
        <v>0</v>
      </c>
      <c r="K94" s="1233">
        <f t="shared" si="13"/>
        <v>0</v>
      </c>
      <c r="L94" s="1234">
        <f t="shared" si="13"/>
        <v>0</v>
      </c>
      <c r="M94" s="1232">
        <f t="shared" si="6"/>
        <v>0</v>
      </c>
      <c r="N94" s="1233">
        <f t="shared" si="4"/>
        <v>0</v>
      </c>
      <c r="O94" s="1235">
        <f t="shared" si="5"/>
        <v>0</v>
      </c>
      <c r="P94" s="982"/>
      <c r="Q94" s="1261" t="s">
        <v>28321</v>
      </c>
      <c r="R94" s="1261" t="s">
        <v>27691</v>
      </c>
      <c r="S94" s="1261" t="s">
        <v>27690</v>
      </c>
    </row>
    <row r="95" spans="1:19" ht="14.45" customHeight="1" x14ac:dyDescent="0.35">
      <c r="A95" s="1231" t="s">
        <v>27694</v>
      </c>
      <c r="B95" s="974" t="s">
        <v>218</v>
      </c>
      <c r="C95" s="1161" t="s">
        <v>216</v>
      </c>
      <c r="D95" s="1600"/>
      <c r="E95" s="1166">
        <f>SUM(E83,E71,E59,E47,E35,E23)</f>
        <v>0</v>
      </c>
      <c r="F95" s="1236">
        <f>SUM(F83,F71,F59,F47,F35,F23)</f>
        <v>0</v>
      </c>
      <c r="G95" s="1600"/>
      <c r="H95" s="1166">
        <f>SUM(H83,H71,H59,H47,H35,H23)</f>
        <v>0</v>
      </c>
      <c r="I95" s="1236">
        <f>SUM(I83,I71,I59,I47,I35,I23)</f>
        <v>0</v>
      </c>
      <c r="J95" s="1600"/>
      <c r="K95" s="1166">
        <f>SUM(K83,K71,K59,K47,K35,K23)</f>
        <v>0</v>
      </c>
      <c r="L95" s="1236">
        <f>SUM(L83,L71,L59,L47,L35,L23)</f>
        <v>0</v>
      </c>
      <c r="M95" s="1240"/>
      <c r="N95" s="1241">
        <f t="shared" si="4"/>
        <v>0</v>
      </c>
      <c r="O95" s="1242">
        <f t="shared" si="5"/>
        <v>0</v>
      </c>
      <c r="P95" s="982"/>
      <c r="Q95" s="1261" t="s">
        <v>28321</v>
      </c>
      <c r="R95" s="1261" t="s">
        <v>27691</v>
      </c>
      <c r="S95" s="1261" t="s">
        <v>216</v>
      </c>
    </row>
    <row r="96" spans="1:19" ht="14.45" customHeight="1" thickBot="1" x14ac:dyDescent="0.4">
      <c r="A96" s="1231" t="s">
        <v>27694</v>
      </c>
      <c r="B96" s="1688" t="s">
        <v>27695</v>
      </c>
      <c r="C96" s="1601" t="s">
        <v>27696</v>
      </c>
      <c r="D96" s="1602">
        <f>SUM(D84:D88,D90:D94)</f>
        <v>0</v>
      </c>
      <c r="E96" s="1603">
        <f>SUM(E84:E95)</f>
        <v>0</v>
      </c>
      <c r="F96" s="1604">
        <f>SUM(F84:F95)</f>
        <v>0</v>
      </c>
      <c r="G96" s="1605">
        <f>SUM(G84:G88,G90:G94)</f>
        <v>0</v>
      </c>
      <c r="H96" s="1606">
        <f>SUM(H84:H95)</f>
        <v>0</v>
      </c>
      <c r="I96" s="1607">
        <f>SUM(I84:I95)</f>
        <v>0</v>
      </c>
      <c r="J96" s="1605">
        <f>SUM(J84:J88,J90:J94)</f>
        <v>0</v>
      </c>
      <c r="K96" s="1606">
        <f>SUM(K84:K95)</f>
        <v>0</v>
      </c>
      <c r="L96" s="1607">
        <f>SUM(L84:L95)</f>
        <v>0</v>
      </c>
      <c r="M96" s="1605">
        <f t="shared" si="6"/>
        <v>0</v>
      </c>
      <c r="N96" s="1606">
        <f t="shared" si="4"/>
        <v>0</v>
      </c>
      <c r="O96" s="1608">
        <f t="shared" si="5"/>
        <v>0</v>
      </c>
      <c r="P96" s="982"/>
      <c r="Q96" s="1261" t="s">
        <v>28321</v>
      </c>
      <c r="R96" s="1261" t="s">
        <v>203</v>
      </c>
      <c r="S96" s="1261" t="s">
        <v>28321</v>
      </c>
    </row>
    <row r="97" spans="1:18" ht="12.75" hidden="1" customHeight="1" x14ac:dyDescent="0.35">
      <c r="A97" s="677"/>
      <c r="B97" s="677"/>
      <c r="C97" s="980"/>
      <c r="D97" s="980"/>
      <c r="E97" s="980"/>
      <c r="F97" s="980"/>
      <c r="G97" s="981"/>
      <c r="H97" s="981"/>
      <c r="I97" s="981"/>
      <c r="J97" s="981"/>
      <c r="K97" s="981"/>
      <c r="L97" s="981"/>
      <c r="M97" s="981"/>
      <c r="N97" s="981"/>
      <c r="O97" s="981"/>
      <c r="P97" s="982"/>
    </row>
    <row r="98" spans="1:18" ht="12.75" hidden="1" customHeight="1" x14ac:dyDescent="0.35">
      <c r="C98" s="1269" t="s">
        <v>67</v>
      </c>
      <c r="D98" s="1270" t="s">
        <v>27697</v>
      </c>
      <c r="E98" s="1270" t="s">
        <v>27697</v>
      </c>
      <c r="F98" s="1270" t="s">
        <v>27697</v>
      </c>
      <c r="G98" s="1270" t="s">
        <v>27698</v>
      </c>
      <c r="H98" s="1270" t="s">
        <v>27698</v>
      </c>
      <c r="I98" s="1270" t="s">
        <v>27698</v>
      </c>
      <c r="J98" s="1270">
        <v>2</v>
      </c>
      <c r="K98" s="1270">
        <v>2</v>
      </c>
      <c r="L98" s="1270">
        <v>2</v>
      </c>
      <c r="M98" s="1270">
        <v>12</v>
      </c>
      <c r="N98" s="1270">
        <v>12</v>
      </c>
      <c r="O98" s="1270">
        <v>12</v>
      </c>
      <c r="P98" s="1271"/>
      <c r="Q98" s="308"/>
      <c r="R98" s="308"/>
    </row>
    <row r="99" spans="1:18" ht="12.75" hidden="1" customHeight="1" x14ac:dyDescent="0.35">
      <c r="C99" s="1269" t="s">
        <v>27699</v>
      </c>
      <c r="D99" s="1270" t="s">
        <v>27700</v>
      </c>
      <c r="E99" s="1270" t="s">
        <v>27701</v>
      </c>
      <c r="F99" s="1270" t="s">
        <v>27702</v>
      </c>
      <c r="G99" s="1270" t="s">
        <v>27700</v>
      </c>
      <c r="H99" s="1270" t="s">
        <v>27701</v>
      </c>
      <c r="I99" s="1270" t="s">
        <v>27702</v>
      </c>
      <c r="J99" s="1270" t="s">
        <v>27700</v>
      </c>
      <c r="K99" s="1270" t="s">
        <v>27701</v>
      </c>
      <c r="L99" s="1270" t="s">
        <v>27702</v>
      </c>
      <c r="M99" s="1270" t="s">
        <v>27700</v>
      </c>
      <c r="N99" s="1270" t="s">
        <v>27701</v>
      </c>
      <c r="O99" s="1270" t="s">
        <v>27702</v>
      </c>
      <c r="P99" s="1271"/>
      <c r="Q99" s="308"/>
      <c r="R99" s="308"/>
    </row>
    <row r="100" spans="1:18" ht="12.75" hidden="1" customHeight="1" x14ac:dyDescent="0.35">
      <c r="C100" s="309"/>
      <c r="D100" s="777"/>
      <c r="E100" s="777"/>
      <c r="F100" s="777"/>
      <c r="G100" s="778"/>
      <c r="H100" s="778"/>
      <c r="I100" s="778"/>
      <c r="J100" s="776"/>
      <c r="K100" s="776"/>
      <c r="L100" s="776"/>
      <c r="M100" s="776"/>
      <c r="N100" s="776"/>
      <c r="O100" s="776"/>
      <c r="P100" s="776"/>
      <c r="Q100" s="777" t="s">
        <v>306</v>
      </c>
      <c r="R100" s="776"/>
    </row>
    <row r="101" spans="1:18" x14ac:dyDescent="0.35">
      <c r="H101" s="731"/>
      <c r="J101" s="779"/>
      <c r="M101" s="773"/>
      <c r="N101" s="781"/>
    </row>
    <row r="102" spans="1:18" s="657" customFormat="1" ht="20.45" customHeight="1" x14ac:dyDescent="0.35">
      <c r="A102" s="657" t="s">
        <v>27703</v>
      </c>
      <c r="M102" s="1250"/>
    </row>
    <row r="103" spans="1:18" ht="14.45" customHeight="1" x14ac:dyDescent="0.35">
      <c r="A103" s="74" t="s">
        <v>133</v>
      </c>
      <c r="M103" s="781"/>
    </row>
    <row r="104" spans="1:18" ht="14.45" customHeight="1" x14ac:dyDescent="0.35">
      <c r="A104" s="1244" t="str">
        <f>'Table 1 Valid'!C29</f>
        <v/>
      </c>
    </row>
    <row r="105" spans="1:18" ht="14.45" customHeight="1" x14ac:dyDescent="0.35">
      <c r="A105" s="74" t="s">
        <v>28263</v>
      </c>
      <c r="C105" s="744"/>
      <c r="D105" s="744"/>
      <c r="E105" s="744"/>
      <c r="F105" s="744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</row>
    <row r="106" spans="1:18" ht="14.45" customHeight="1" x14ac:dyDescent="0.35">
      <c r="A106" s="1244" t="str">
        <f>'Table 1 Valid'!C109</f>
        <v/>
      </c>
      <c r="C106" s="744"/>
      <c r="D106" s="744"/>
      <c r="E106" s="744"/>
      <c r="F106" s="744"/>
      <c r="G106" s="346"/>
      <c r="H106" s="346"/>
      <c r="I106" s="346"/>
      <c r="J106" s="346"/>
      <c r="K106" s="346"/>
      <c r="L106" s="346"/>
      <c r="M106" s="346"/>
      <c r="N106" s="346"/>
      <c r="O106" s="346"/>
      <c r="P106" s="346"/>
    </row>
    <row r="107" spans="1:18" ht="14.45" customHeight="1" x14ac:dyDescent="0.35">
      <c r="A107" s="74" t="s">
        <v>28278</v>
      </c>
      <c r="C107" s="744"/>
      <c r="D107" s="744"/>
      <c r="E107" s="744"/>
      <c r="F107" s="744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</row>
    <row r="108" spans="1:18" x14ac:dyDescent="0.35">
      <c r="A108" s="1244" t="str">
        <f>'Table 1 Valid'!C189</f>
        <v/>
      </c>
      <c r="C108" s="744"/>
      <c r="D108" s="744"/>
      <c r="E108" s="744"/>
      <c r="F108" s="744"/>
      <c r="G108" s="346"/>
      <c r="H108" s="346"/>
      <c r="I108" s="346"/>
      <c r="J108" s="346"/>
      <c r="K108" s="346"/>
      <c r="L108" s="346"/>
      <c r="M108" s="346"/>
      <c r="N108" s="346"/>
      <c r="O108" s="346"/>
      <c r="P108" s="346"/>
    </row>
    <row r="109" spans="1:18" s="346" customFormat="1" x14ac:dyDescent="0.35">
      <c r="A109" s="74"/>
    </row>
    <row r="110" spans="1:18" s="657" customFormat="1" ht="20.45" hidden="1" customHeight="1" x14ac:dyDescent="0.35">
      <c r="A110" s="657" t="s">
        <v>27704</v>
      </c>
      <c r="Q110" s="1256"/>
    </row>
    <row r="111" spans="1:18" s="346" customFormat="1" ht="14.45" hidden="1" customHeight="1" x14ac:dyDescent="0.35">
      <c r="A111" s="74" t="s">
        <v>28268</v>
      </c>
      <c r="Q111" s="1256"/>
    </row>
    <row r="112" spans="1:18" s="346" customFormat="1" ht="14.45" hidden="1" customHeight="1" x14ac:dyDescent="0.35">
      <c r="A112" s="916" t="str">
        <f>'Table 1 Valid'!E211</f>
        <v/>
      </c>
    </row>
    <row r="113" spans="1:17" s="346" customFormat="1" ht="14.45" hidden="1" customHeight="1" x14ac:dyDescent="0.35">
      <c r="A113" s="346" t="s">
        <v>28269</v>
      </c>
      <c r="Q113" s="1256"/>
    </row>
    <row r="114" spans="1:17" s="346" customFormat="1" x14ac:dyDescent="0.35">
      <c r="A114" s="916" t="str">
        <f>'Table 1 Valid'!O271</f>
        <v/>
      </c>
    </row>
    <row r="115" spans="1:17" s="346" customFormat="1" x14ac:dyDescent="0.35"/>
    <row r="116" spans="1:17" s="346" customFormat="1" x14ac:dyDescent="0.35"/>
    <row r="117" spans="1:17" s="346" customFormat="1" ht="12.75" customHeight="1" x14ac:dyDescent="0.35"/>
    <row r="118" spans="1:17" s="346" customFormat="1" x14ac:dyDescent="0.35"/>
  </sheetData>
  <sheetProtection algorithmName="SHA-512" hashValue="TbPhsbe1qT836Xb1V4SNUFf8no62ZgxmKqMmHn1NjeatzZtdwrPvB7IKTqnDBjXuOvxqwwdhUV3J2dYfGOzVDQ==" saltValue="qz4hlErKapy+CsZ7Z7U77g==" spinCount="100000" sheet="1" objects="1" scenarios="1"/>
  <autoFilter ref="A11:A96" xr:uid="{00000000-0009-0000-0000-000007000000}"/>
  <mergeCells count="12">
    <mergeCell ref="M8:O8"/>
    <mergeCell ref="M4:O4"/>
    <mergeCell ref="J4:L4"/>
    <mergeCell ref="M5:O5"/>
    <mergeCell ref="J5:L5"/>
    <mergeCell ref="D8:F8"/>
    <mergeCell ref="G8:I8"/>
    <mergeCell ref="J8:L8"/>
    <mergeCell ref="G4:I4"/>
    <mergeCell ref="G5:I5"/>
    <mergeCell ref="D4:F4"/>
    <mergeCell ref="D5:F5"/>
  </mergeCells>
  <phoneticPr fontId="0" type="noConversion"/>
  <conditionalFormatting sqref="D4:O4">
    <cfRule type="cellIs" dxfId="214" priority="4221" operator="notEqual">
      <formula>"Validation: OK"</formula>
    </cfRule>
  </conditionalFormatting>
  <conditionalFormatting sqref="D5:O5">
    <cfRule type="cellIs" dxfId="213" priority="87" operator="notEqual">
      <formula>"Credibility: OK"</formula>
    </cfRule>
  </conditionalFormatting>
  <conditionalFormatting sqref="D12:O96">
    <cfRule type="cellIs" dxfId="211" priority="78" operator="equal">
      <formula>0</formula>
    </cfRule>
  </conditionalFormatting>
  <dataValidations count="2">
    <dataValidation type="custom" allowBlank="1" showInputMessage="1" showErrorMessage="1" errorTitle="Validation check" error="Table 1, Column 2 can only contain positive values up to two decimal places or zero." sqref="K83:L83 J78:L82 K77:L77 J72:L76 K71:L71 J66:L70 K65:L65 J60:L64 K59:L59 J54:L58 K53:L53 J48:L52 K47:L47 J42:L46 K41:L41 J36:L40 K35:L35 J30:L34 K29:L29 J24:L28 K23:L23 J18:L22 K17:L17 J12:L16" xr:uid="{2DAE2427-10EC-4FE7-BF0B-460D51EC15B4}">
      <formula1>AND(J12&gt;=0,ROUND(J12,2)=J12)</formula1>
    </dataValidation>
    <dataValidation type="custom" allowBlank="1" showInputMessage="1" showErrorMessage="1" errorTitle="Validation check" error="Table 1, Column 1 can only contain postive values up to two decimal places or zero." sqref="E83:F83 D78:F82 E77:F77 D72:F76 E71:F71 D66:F70 E65:F65 D60:F64 E59:F59 D54:F58 E53:F53 D48:F52 E47:F47 D42:F46 E41:F41 D36:F40 E35:F35 D30:F34 E29:F29 D24:F28 E23:F23 D18:F22 E17:F17 D13:F16 E12:F12 D12" xr:uid="{4B3306C4-D3B3-423D-B0D5-31929217221F}">
      <formula1>AND(D12&gt;=0,ROUND(D12,2)=D12)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16" id="{6CA6DB67-D3F7-48A3-98C2-7763A6505CFC}">
            <xm:f>IF('Table 1 Valid'!N14=1,1,0)</xm:f>
            <x14:dxf>
              <font>
                <b/>
                <i val="0"/>
                <color rgb="FFFF0000"/>
              </font>
            </x14:dxf>
          </x14:cfRule>
          <xm:sqref>D12:O95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D010261F054994E932308ADBDEBD0FC" ma:contentTypeVersion="23" ma:contentTypeDescription="Create a new document." ma:contentTypeScope="" ma:versionID="50445d499883451d4d8340809bfca10d">
  <xsd:schema xmlns:xsd="http://www.w3.org/2001/XMLSchema" xmlns:xs="http://www.w3.org/2001/XMLSchema" xmlns:p="http://schemas.microsoft.com/office/2006/metadata/properties" xmlns:ns2="abfad1d3-5ec7-49b6-b887-0dfc74677006" xmlns:ns3="d3baf7f9-4022-4b25-a706-e2615f1f01c2" xmlns:ns4="3e405583-359d-43b4-b273-0eaaf844b1bc" targetNamespace="http://schemas.microsoft.com/office/2006/metadata/properties" ma:root="true" ma:fieldsID="b88a0632b8ace359269339977561f3b3" ns2:_="" ns3:_="" ns4:_="">
    <xsd:import namespace="abfad1d3-5ec7-49b6-b887-0dfc74677006"/>
    <xsd:import namespace="d3baf7f9-4022-4b25-a706-e2615f1f01c2"/>
    <xsd:import namespace="3e405583-359d-43b4-b273-0eaaf844b1bc"/>
    <xsd:element name="properties">
      <xsd:complexType>
        <xsd:sequence>
          <xsd:element name="documentManagement">
            <xsd:complexType>
              <xsd:all>
                <xsd:element ref="ns2:MediaServiceFastMetadata" minOccurs="0"/>
                <xsd:element ref="ns2:MediaService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4:TaxCatchAll" minOccurs="0"/>
                <xsd:element ref="ns2:MediaLengthInSeconds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fad1d3-5ec7-49b6-b887-0dfc74677006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2ac42e1f-8393-410e-9ca5-f333132f5e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baf7f9-4022-4b25-a706-e2615f1f01c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05583-359d-43b4-b273-0eaaf844b1b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63a5795c-6e30-49f0-b254-a4e087637fa8}" ma:internalName="TaxCatchAll" ma:showField="CatchAllData" ma:web="d3baf7f9-4022-4b25-a706-e2615f1f01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22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05583-359d-43b4-b273-0eaaf844b1bc" xsi:nil="true"/>
    <lcf76f155ced4ddcb4097134ff3c332f xmlns="abfad1d3-5ec7-49b6-b887-0dfc74677006">
      <Terms xmlns="http://schemas.microsoft.com/office/infopath/2007/PartnerControls"/>
    </lcf76f155ced4ddcb4097134ff3c332f>
  </documentManagement>
</p:properties>
</file>

<file path=customXml/item4.xml><?xml version="1.0" encoding="utf-8"?>
<?mso-contentType ?>
<SharedContentType xmlns="Microsoft.SharePoint.Taxonomy.ContentTypeSync" SourceId="2ac42e1f-8393-410e-9ca5-f333132f5efe" ContentTypeId="0x0101" PreviousValue="false"/>
</file>

<file path=customXml/itemProps1.xml><?xml version="1.0" encoding="utf-8"?>
<ds:datastoreItem xmlns:ds="http://schemas.openxmlformats.org/officeDocument/2006/customXml" ds:itemID="{BA360669-4667-4E91-A83A-EC3351147E3F}"/>
</file>

<file path=customXml/itemProps2.xml><?xml version="1.0" encoding="utf-8"?>
<ds:datastoreItem xmlns:ds="http://schemas.openxmlformats.org/officeDocument/2006/customXml" ds:itemID="{58AC7F21-5F14-4FBC-98DD-91851343FC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0ED32D-2C59-4B1F-BE3A-5A867E739EED}">
  <ds:schemaRefs>
    <ds:schemaRef ds:uri="http://schemas.microsoft.com/office/2006/documentManagement/types"/>
    <ds:schemaRef ds:uri="http://purl.org/dc/elements/1.1/"/>
    <ds:schemaRef ds:uri="293e6822-70b7-437b-b5d9-d09a3fe6d868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3b10026e-2e47-43de-854d-ca1b00b087a7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0275B034-013C-4134-9183-E255AE57F791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351</vt:i4>
      </vt:variant>
    </vt:vector>
  </HeadingPairs>
  <TitlesOfParts>
    <vt:vector size="400" baseType="lpstr">
      <vt:lpstr>Information</vt:lpstr>
      <vt:lpstr>Validation</vt:lpstr>
      <vt:lpstr>ValidationCodes</vt:lpstr>
      <vt:lpstr>Column 1</vt:lpstr>
      <vt:lpstr>Table_of_contents</vt:lpstr>
      <vt:lpstr>Courses</vt:lpstr>
      <vt:lpstr>Courses Valid</vt:lpstr>
      <vt:lpstr>CourseList</vt:lpstr>
      <vt:lpstr>1_Full_time</vt:lpstr>
      <vt:lpstr>Table 1 Valid</vt:lpstr>
      <vt:lpstr>2_Sandwich</vt:lpstr>
      <vt:lpstr>Table 2 Valid</vt:lpstr>
      <vt:lpstr>3_Part_time</vt:lpstr>
      <vt:lpstr>Table 3 Valid</vt:lpstr>
      <vt:lpstr>4_Year_abroad</vt:lpstr>
      <vt:lpstr>Table 4 Valid</vt:lpstr>
      <vt:lpstr>5_Planning</vt:lpstr>
      <vt:lpstr>Table 5 Valid</vt:lpstr>
      <vt:lpstr>6a_Health_full_time</vt:lpstr>
      <vt:lpstr>Table 6a Valid</vt:lpstr>
      <vt:lpstr>6c_Health_part_time</vt:lpstr>
      <vt:lpstr>Table 6c Valid</vt:lpstr>
      <vt:lpstr>Comparison_1</vt:lpstr>
      <vt:lpstr>Comparison_2</vt:lpstr>
      <vt:lpstr>Comparison_3</vt:lpstr>
      <vt:lpstr>Other_comparisons</vt:lpstr>
      <vt:lpstr>DropdownList</vt:lpstr>
      <vt:lpstr>FTE_1_Full_time</vt:lpstr>
      <vt:lpstr>Table 1 MF</vt:lpstr>
      <vt:lpstr>FTE Table 1 Valid</vt:lpstr>
      <vt:lpstr>FTE_2_Sandwich</vt:lpstr>
      <vt:lpstr>Table 2 MF</vt:lpstr>
      <vt:lpstr>FTE Table 2 Valid</vt:lpstr>
      <vt:lpstr>FTE_3_Part_time</vt:lpstr>
      <vt:lpstr>Table 3 MF</vt:lpstr>
      <vt:lpstr>FTE Table 3 Valid</vt:lpstr>
      <vt:lpstr>FTE_6a_Health_full_time</vt:lpstr>
      <vt:lpstr>Table 6a MF</vt:lpstr>
      <vt:lpstr>FTE Table 6a Valid</vt:lpstr>
      <vt:lpstr>FTE_6c_Health_part_time</vt:lpstr>
      <vt:lpstr>Table 6c MF</vt:lpstr>
      <vt:lpstr>FTE Table 6c Valid</vt:lpstr>
      <vt:lpstr>A_Summary</vt:lpstr>
      <vt:lpstr>B_High_cost</vt:lpstr>
      <vt:lpstr>C_NMAH_supplement</vt:lpstr>
      <vt:lpstr>D_Overseas</vt:lpstr>
      <vt:lpstr>E_Other_high_cost_TAs</vt:lpstr>
      <vt:lpstr>F_Student_access_and_success</vt:lpstr>
      <vt:lpstr>H_Parameters</vt:lpstr>
      <vt:lpstr>A_coltags1</vt:lpstr>
      <vt:lpstr>A_coltags2</vt:lpstr>
      <vt:lpstr>A_coltags3</vt:lpstr>
      <vt:lpstr>A_coltags4L</vt:lpstr>
      <vt:lpstr>A_colvars</vt:lpstr>
      <vt:lpstr>A_datacols1</vt:lpstr>
      <vt:lpstr>A_datacols2</vt:lpstr>
      <vt:lpstr>A_datacols3</vt:lpstr>
      <vt:lpstr>A_datacols4L</vt:lpstr>
      <vt:lpstr>A_rowtags</vt:lpstr>
      <vt:lpstr>A_rowvars</vt:lpstr>
      <vt:lpstr>ACYEAR</vt:lpstr>
      <vt:lpstr>B_coltags1</vt:lpstr>
      <vt:lpstr>B_coltags2</vt:lpstr>
      <vt:lpstr>B_coltags3</vt:lpstr>
      <vt:lpstr>B_coltags4L</vt:lpstr>
      <vt:lpstr>B_colvars</vt:lpstr>
      <vt:lpstr>B_datacols1</vt:lpstr>
      <vt:lpstr>B_datacols2</vt:lpstr>
      <vt:lpstr>B_datacols3</vt:lpstr>
      <vt:lpstr>B_datacols4L</vt:lpstr>
      <vt:lpstr>B_rowtags</vt:lpstr>
      <vt:lpstr>B_rowvars</vt:lpstr>
      <vt:lpstr>C_coltags1</vt:lpstr>
      <vt:lpstr>C_coltags2</vt:lpstr>
      <vt:lpstr>C_coltags3</vt:lpstr>
      <vt:lpstr>C_coltags4L</vt:lpstr>
      <vt:lpstr>C_colvars</vt:lpstr>
      <vt:lpstr>C_datacols1</vt:lpstr>
      <vt:lpstr>C_datacols2</vt:lpstr>
      <vt:lpstr>C_datacols3</vt:lpstr>
      <vt:lpstr>C_datacols4L</vt:lpstr>
      <vt:lpstr>C_rowtags</vt:lpstr>
      <vt:lpstr>C_rowvars</vt:lpstr>
      <vt:lpstr>CENSUS</vt:lpstr>
      <vt:lpstr>COMPARISON</vt:lpstr>
      <vt:lpstr>Comparison1HideSheet</vt:lpstr>
      <vt:lpstr>Comparison2HideSheet</vt:lpstr>
      <vt:lpstr>Comparison3HideSheet</vt:lpstr>
      <vt:lpstr>ComparisonOtherHideSheet</vt:lpstr>
      <vt:lpstr>CourseAims</vt:lpstr>
      <vt:lpstr>CourseInfo</vt:lpstr>
      <vt:lpstr>Courses_datacols1</vt:lpstr>
      <vt:lpstr>Courses_datacols2</vt:lpstr>
      <vt:lpstr>Courses_hidecols</vt:lpstr>
      <vt:lpstr>Courses_hidesheet</vt:lpstr>
      <vt:lpstr>Courses_Print_Area</vt:lpstr>
      <vt:lpstr>Courses_rowtags</vt:lpstr>
      <vt:lpstr>Courses_rowvars</vt:lpstr>
      <vt:lpstr>D_coltags1</vt:lpstr>
      <vt:lpstr>D_coltags2</vt:lpstr>
      <vt:lpstr>D_coltags3</vt:lpstr>
      <vt:lpstr>D_coltags4L</vt:lpstr>
      <vt:lpstr>D_colvars</vt:lpstr>
      <vt:lpstr>D_datacols1</vt:lpstr>
      <vt:lpstr>D_datacols2</vt:lpstr>
      <vt:lpstr>D_datacols3</vt:lpstr>
      <vt:lpstr>D_datacols4L</vt:lpstr>
      <vt:lpstr>D_rowtags</vt:lpstr>
      <vt:lpstr>D_rowvars</vt:lpstr>
      <vt:lpstr>DATE</vt:lpstr>
      <vt:lpstr>DCT</vt:lpstr>
      <vt:lpstr>DCT_DATE</vt:lpstr>
      <vt:lpstr>DEADLINE</vt:lpstr>
      <vt:lpstr>Dummy</vt:lpstr>
      <vt:lpstr>E_coltags1</vt:lpstr>
      <vt:lpstr>E_coltags2</vt:lpstr>
      <vt:lpstr>E_coltags3L</vt:lpstr>
      <vt:lpstr>E_colvars</vt:lpstr>
      <vt:lpstr>E_datacols1</vt:lpstr>
      <vt:lpstr>E_datacols2</vt:lpstr>
      <vt:lpstr>E_datacols3L</vt:lpstr>
      <vt:lpstr>E_rowtags</vt:lpstr>
      <vt:lpstr>E_rowvars</vt:lpstr>
      <vt:lpstr>F_A_datacols</vt:lpstr>
      <vt:lpstr>F_A_diff_datacols</vt:lpstr>
      <vt:lpstr>F_A_diff_rowtags</vt:lpstr>
      <vt:lpstr>F_A_rowtags1</vt:lpstr>
      <vt:lpstr>F_A_rowtags2</vt:lpstr>
      <vt:lpstr>F_A_rowtags3</vt:lpstr>
      <vt:lpstr>F_A_rowvars</vt:lpstr>
      <vt:lpstr>F_B_datacols</vt:lpstr>
      <vt:lpstr>F_B_rowtags</vt:lpstr>
      <vt:lpstr>F_B_rowvars</vt:lpstr>
      <vt:lpstr>F_C_coltags1</vt:lpstr>
      <vt:lpstr>F_C_coltags2</vt:lpstr>
      <vt:lpstr>F_C_coltags3</vt:lpstr>
      <vt:lpstr>F_C_colvars</vt:lpstr>
      <vt:lpstr>F_C_datacols</vt:lpstr>
      <vt:lpstr>F_C_rowtags</vt:lpstr>
      <vt:lpstr>F_C_rowvars</vt:lpstr>
      <vt:lpstr>F_coltags1</vt:lpstr>
      <vt:lpstr>F_coltags2</vt:lpstr>
      <vt:lpstr>F_coltags3</vt:lpstr>
      <vt:lpstr>F_coltags4L</vt:lpstr>
      <vt:lpstr>F_colvars</vt:lpstr>
      <vt:lpstr>F_D_coltags</vt:lpstr>
      <vt:lpstr>F_D_colvars</vt:lpstr>
      <vt:lpstr>F_D_datacols</vt:lpstr>
      <vt:lpstr>F_D_rowtags</vt:lpstr>
      <vt:lpstr>F_D_rowvars</vt:lpstr>
      <vt:lpstr>F_datacols1</vt:lpstr>
      <vt:lpstr>F_datacols2</vt:lpstr>
      <vt:lpstr>F_datacols3</vt:lpstr>
      <vt:lpstr>F_datacols4L</vt:lpstr>
      <vt:lpstr>F_E_datacols</vt:lpstr>
      <vt:lpstr>F_E_rowtags</vt:lpstr>
      <vt:lpstr>F_E_rowvars</vt:lpstr>
      <vt:lpstr>F_F_datacols</vt:lpstr>
      <vt:lpstr>F_F_rowtags1</vt:lpstr>
      <vt:lpstr>F_F_rowtags2</vt:lpstr>
      <vt:lpstr>F_F_rowtags3</vt:lpstr>
      <vt:lpstr>F_F_rowtags4</vt:lpstr>
      <vt:lpstr>F_F_rowtags5</vt:lpstr>
      <vt:lpstr>F_F_rowtags6</vt:lpstr>
      <vt:lpstr>F_F_rowtags7</vt:lpstr>
      <vt:lpstr>F_F_rowtags8</vt:lpstr>
      <vt:lpstr>F_F_rowtags9</vt:lpstr>
      <vt:lpstr>F_F_rowvars</vt:lpstr>
      <vt:lpstr>F_rowtags</vt:lpstr>
      <vt:lpstr>F_rowvars</vt:lpstr>
      <vt:lpstr>FEC</vt:lpstr>
      <vt:lpstr>FTE_Table1_datacols</vt:lpstr>
      <vt:lpstr>FTE_Table1_rowtags</vt:lpstr>
      <vt:lpstr>FTE_Table1_rowvars</vt:lpstr>
      <vt:lpstr>FTE_Table2_datacols</vt:lpstr>
      <vt:lpstr>FTE_Table2_rowtags</vt:lpstr>
      <vt:lpstr>FTE_Table2_rowvars</vt:lpstr>
      <vt:lpstr>FTE_Table3_datacols</vt:lpstr>
      <vt:lpstr>FTE_Table3_rowtags</vt:lpstr>
      <vt:lpstr>FTE_Table3_rowvars</vt:lpstr>
      <vt:lpstr>FTE_Table6a_datacols</vt:lpstr>
      <vt:lpstr>FTE_Table6a_rowtags</vt:lpstr>
      <vt:lpstr>FTE_Table6a_rowvars</vt:lpstr>
      <vt:lpstr>FTE_Table6c_datacols</vt:lpstr>
      <vt:lpstr>FTE_Table6c_rowtags</vt:lpstr>
      <vt:lpstr>FTE_Table6c_rowvars</vt:lpstr>
      <vt:lpstr>FUNDING</vt:lpstr>
      <vt:lpstr>G_coltags1</vt:lpstr>
      <vt:lpstr>G_coltags2</vt:lpstr>
      <vt:lpstr>G_coltags3</vt:lpstr>
      <vt:lpstr>G_coltags4L</vt:lpstr>
      <vt:lpstr>G_colvars</vt:lpstr>
      <vt:lpstr>G_datacols1</vt:lpstr>
      <vt:lpstr>G_datacols2</vt:lpstr>
      <vt:lpstr>G_datacols3</vt:lpstr>
      <vt:lpstr>G_datacols4L</vt:lpstr>
      <vt:lpstr>G_rowtags</vt:lpstr>
      <vt:lpstr>G_rowvars</vt:lpstr>
      <vt:lpstr>H_coltags1</vt:lpstr>
      <vt:lpstr>H_coltags2</vt:lpstr>
      <vt:lpstr>H_coltags3</vt:lpstr>
      <vt:lpstr>H_coltags4L</vt:lpstr>
      <vt:lpstr>H_colvars</vt:lpstr>
      <vt:lpstr>H_datacols1</vt:lpstr>
      <vt:lpstr>H_datacols2</vt:lpstr>
      <vt:lpstr>H_datacols3</vt:lpstr>
      <vt:lpstr>H_datacols4L</vt:lpstr>
      <vt:lpstr>H_rowtags</vt:lpstr>
      <vt:lpstr>H_rowvars</vt:lpstr>
      <vt:lpstr>I_coltags1</vt:lpstr>
      <vt:lpstr>I_coltags2</vt:lpstr>
      <vt:lpstr>I_coltags3</vt:lpstr>
      <vt:lpstr>I_coltags4L</vt:lpstr>
      <vt:lpstr>I_colvars</vt:lpstr>
      <vt:lpstr>I_datacols1</vt:lpstr>
      <vt:lpstr>I_datacols2</vt:lpstr>
      <vt:lpstr>I_datacols3</vt:lpstr>
      <vt:lpstr>I_datacols4L</vt:lpstr>
      <vt:lpstr>I_rowtags</vt:lpstr>
      <vt:lpstr>I_rowvars</vt:lpstr>
      <vt:lpstr>IND_DATA2223</vt:lpstr>
      <vt:lpstr>IND_DATA2324</vt:lpstr>
      <vt:lpstr>InformationHideRows</vt:lpstr>
      <vt:lpstr>InformationHideRows2</vt:lpstr>
      <vt:lpstr>MF_DEADLINE</vt:lpstr>
      <vt:lpstr>NOTES</vt:lpstr>
      <vt:lpstr>'1_Full_time'!Print_Area</vt:lpstr>
      <vt:lpstr>'2_Sandwich'!Print_Area</vt:lpstr>
      <vt:lpstr>'3_Part_time'!Print_Area</vt:lpstr>
      <vt:lpstr>'4_Year_abroad'!Print_Area</vt:lpstr>
      <vt:lpstr>'5_Planning'!Print_Area</vt:lpstr>
      <vt:lpstr>'6a_Health_full_time'!Print_Area</vt:lpstr>
      <vt:lpstr>'6c_Health_part_time'!Print_Area</vt:lpstr>
      <vt:lpstr>B_High_cost!Print_Area</vt:lpstr>
      <vt:lpstr>C_NMAH_supplement!Print_Area</vt:lpstr>
      <vt:lpstr>Comparison_1!Print_Area</vt:lpstr>
      <vt:lpstr>Comparison_2!Print_Area</vt:lpstr>
      <vt:lpstr>Comparison_3!Print_Area</vt:lpstr>
      <vt:lpstr>Courses!Print_Area</vt:lpstr>
      <vt:lpstr>D_Overseas!Print_Area</vt:lpstr>
      <vt:lpstr>E_Other_high_cost_TAs!Print_Area</vt:lpstr>
      <vt:lpstr>F_Student_access_and_success!Print_Area</vt:lpstr>
      <vt:lpstr>FTE_1_Full_time!Print_Area</vt:lpstr>
      <vt:lpstr>FTE_2_Sandwich!Print_Area</vt:lpstr>
      <vt:lpstr>FTE_3_Part_time!Print_Area</vt:lpstr>
      <vt:lpstr>FTE_6a_Health_full_time!Print_Area</vt:lpstr>
      <vt:lpstr>FTE_6c_Health_part_time!Print_Area</vt:lpstr>
      <vt:lpstr>H_Parameters!Print_Area</vt:lpstr>
      <vt:lpstr>Information!Print_Area</vt:lpstr>
      <vt:lpstr>Other_comparisons!Print_Area</vt:lpstr>
      <vt:lpstr>Validation!Print_Area</vt:lpstr>
      <vt:lpstr>PROVIDER</vt:lpstr>
      <vt:lpstr>PROVTYPE</vt:lpstr>
      <vt:lpstr>Table1_app_datacols1</vt:lpstr>
      <vt:lpstr>Table1_app_datacols2</vt:lpstr>
      <vt:lpstr>Table1_coltags12</vt:lpstr>
      <vt:lpstr>Table1_coltags1a</vt:lpstr>
      <vt:lpstr>Table1_coltags1b</vt:lpstr>
      <vt:lpstr>Table1_coltags2</vt:lpstr>
      <vt:lpstr>Table1_colvars</vt:lpstr>
      <vt:lpstr>Table1_datacols</vt:lpstr>
      <vt:lpstr>Table1_hidecols</vt:lpstr>
      <vt:lpstr>Table1_hideFEC1</vt:lpstr>
      <vt:lpstr>Table1_hideFEC2</vt:lpstr>
      <vt:lpstr>Table1_hideFEC3</vt:lpstr>
      <vt:lpstr>Table1_hideOTH1</vt:lpstr>
      <vt:lpstr>Table1_hideOTH2</vt:lpstr>
      <vt:lpstr>Table1_hideOTH3</vt:lpstr>
      <vt:lpstr>Table1_hiderows1</vt:lpstr>
      <vt:lpstr>Table1_hiderows2</vt:lpstr>
      <vt:lpstr>Table1_hiderows3</vt:lpstr>
      <vt:lpstr>Table1_hiderows4</vt:lpstr>
      <vt:lpstr>Table1_MF_datacols</vt:lpstr>
      <vt:lpstr>Table1_MF_rowtags</vt:lpstr>
      <vt:lpstr>Table1_MF_Rowvars</vt:lpstr>
      <vt:lpstr>Table1_panel_datacols</vt:lpstr>
      <vt:lpstr>Table1_Print_Area</vt:lpstr>
      <vt:lpstr>Table1_rowtags</vt:lpstr>
      <vt:lpstr>Table1_rowvars</vt:lpstr>
      <vt:lpstr>Table2_app_datacols1</vt:lpstr>
      <vt:lpstr>Table2_app_datacols2</vt:lpstr>
      <vt:lpstr>Table2_coltags12</vt:lpstr>
      <vt:lpstr>Table2_coltags1a</vt:lpstr>
      <vt:lpstr>Table2_coltags1b</vt:lpstr>
      <vt:lpstr>Table2_coltags2</vt:lpstr>
      <vt:lpstr>Table2_colvars</vt:lpstr>
      <vt:lpstr>Table2_datacols</vt:lpstr>
      <vt:lpstr>Table2_hidecols</vt:lpstr>
      <vt:lpstr>Table2_hideFEC1</vt:lpstr>
      <vt:lpstr>Table2_hideFEC2</vt:lpstr>
      <vt:lpstr>Table2_hideFEC3</vt:lpstr>
      <vt:lpstr>Table2_hideOTH1</vt:lpstr>
      <vt:lpstr>Table2_hideOTH2</vt:lpstr>
      <vt:lpstr>Table2_hideOTH3</vt:lpstr>
      <vt:lpstr>Table2_hiderows</vt:lpstr>
      <vt:lpstr>Table2_MF_datacols</vt:lpstr>
      <vt:lpstr>Table2_MF_rowtags</vt:lpstr>
      <vt:lpstr>Table2_MF_rowvars</vt:lpstr>
      <vt:lpstr>Table2_panel_datacols</vt:lpstr>
      <vt:lpstr>Table2_rowtags</vt:lpstr>
      <vt:lpstr>Table2_rowvars</vt:lpstr>
      <vt:lpstr>Table3_app_datacols1</vt:lpstr>
      <vt:lpstr>Table3_app_datacols2</vt:lpstr>
      <vt:lpstr>Table3_coltags12</vt:lpstr>
      <vt:lpstr>Table3_coltags1a</vt:lpstr>
      <vt:lpstr>Table3_coltags1b</vt:lpstr>
      <vt:lpstr>Table3_coltags2</vt:lpstr>
      <vt:lpstr>Table3_colvars</vt:lpstr>
      <vt:lpstr>Table3_datacols</vt:lpstr>
      <vt:lpstr>Table3_hidecols</vt:lpstr>
      <vt:lpstr>Table3_hideFEC1</vt:lpstr>
      <vt:lpstr>Table3_hideFEC2</vt:lpstr>
      <vt:lpstr>Table3_hideFEC3</vt:lpstr>
      <vt:lpstr>Table3_hideOTH1</vt:lpstr>
      <vt:lpstr>Table3_hideOTH2</vt:lpstr>
      <vt:lpstr>Table3_hideOTH3</vt:lpstr>
      <vt:lpstr>Table3_hiderows1</vt:lpstr>
      <vt:lpstr>Table3_hiderows2</vt:lpstr>
      <vt:lpstr>Table3_hiderows3</vt:lpstr>
      <vt:lpstr>Table3_hiderows4</vt:lpstr>
      <vt:lpstr>Table3_MF_datacols</vt:lpstr>
      <vt:lpstr>Table3_MF_rowtags</vt:lpstr>
      <vt:lpstr>Table3_MF_rowvars</vt:lpstr>
      <vt:lpstr>Table3_panel_datacols</vt:lpstr>
      <vt:lpstr>Table3_rowtags</vt:lpstr>
      <vt:lpstr>Table3_rowvars</vt:lpstr>
      <vt:lpstr>Table4_coltags1</vt:lpstr>
      <vt:lpstr>Table4_coltags2</vt:lpstr>
      <vt:lpstr>Table4_coltags3</vt:lpstr>
      <vt:lpstr>Table4_coltags4</vt:lpstr>
      <vt:lpstr>Table4_colvars</vt:lpstr>
      <vt:lpstr>Table4_datacols</vt:lpstr>
      <vt:lpstr>Table4_rowtags</vt:lpstr>
      <vt:lpstr>Table4_rowvars</vt:lpstr>
      <vt:lpstr>Table5_coltags1a</vt:lpstr>
      <vt:lpstr>Table5_coltags1b</vt:lpstr>
      <vt:lpstr>Table5_coltags2</vt:lpstr>
      <vt:lpstr>Table5_coltags3</vt:lpstr>
      <vt:lpstr>Table5_coltags4</vt:lpstr>
      <vt:lpstr>Table5_colvars</vt:lpstr>
      <vt:lpstr>Table5_datacols1</vt:lpstr>
      <vt:lpstr>Table5_datacols2</vt:lpstr>
      <vt:lpstr>Table5_hidecols</vt:lpstr>
      <vt:lpstr>Table5_hideFEC1</vt:lpstr>
      <vt:lpstr>Table5_hideFEC2</vt:lpstr>
      <vt:lpstr>Table5_hideFEC3</vt:lpstr>
      <vt:lpstr>Table5_hideFEC4</vt:lpstr>
      <vt:lpstr>Table5_hideFEC5</vt:lpstr>
      <vt:lpstr>Table5_hideOTH1</vt:lpstr>
      <vt:lpstr>Table5_hideOTH2</vt:lpstr>
      <vt:lpstr>Table5_hideOTH3</vt:lpstr>
      <vt:lpstr>Table5_hideOTH4</vt:lpstr>
      <vt:lpstr>Table5_hideOTH5</vt:lpstr>
      <vt:lpstr>Table5_hiderows</vt:lpstr>
      <vt:lpstr>Table5_rowtags</vt:lpstr>
      <vt:lpstr>Table5_rowvars</vt:lpstr>
      <vt:lpstr>Table6a_app_datacols1</vt:lpstr>
      <vt:lpstr>Table6a_app_datacols2</vt:lpstr>
      <vt:lpstr>Table6a_coltags1</vt:lpstr>
      <vt:lpstr>Table6a_coltags12</vt:lpstr>
      <vt:lpstr>Table6a_coltags2</vt:lpstr>
      <vt:lpstr>Table6a_colvars</vt:lpstr>
      <vt:lpstr>Table6a_datacols</vt:lpstr>
      <vt:lpstr>Table6a_MF_datacols</vt:lpstr>
      <vt:lpstr>Table6a_MF_rowtags</vt:lpstr>
      <vt:lpstr>Table6a_MF_rowvars</vt:lpstr>
      <vt:lpstr>Table6a_panel_datacols</vt:lpstr>
      <vt:lpstr>Table6a_rowtags</vt:lpstr>
      <vt:lpstr>Table6a_rowvars</vt:lpstr>
      <vt:lpstr>Table6c_app_datacols1</vt:lpstr>
      <vt:lpstr>Table6c_app_datacols2</vt:lpstr>
      <vt:lpstr>Table6c_coltags1</vt:lpstr>
      <vt:lpstr>Table6c_coltags12</vt:lpstr>
      <vt:lpstr>Table6c_coltags2</vt:lpstr>
      <vt:lpstr>Table6c_colvars</vt:lpstr>
      <vt:lpstr>Table6c_datacols</vt:lpstr>
      <vt:lpstr>Table6c_MF_datacols</vt:lpstr>
      <vt:lpstr>Table6c_MF_rowtags</vt:lpstr>
      <vt:lpstr>Table6c_MF_rowvars</vt:lpstr>
      <vt:lpstr>Table6c_panel_datacols</vt:lpstr>
      <vt:lpstr>Table6c_rowtags</vt:lpstr>
      <vt:lpstr>Table6c_rowvars</vt:lpstr>
      <vt:lpstr>TEMPVER</vt:lpstr>
      <vt:lpstr>UKPRN</vt:lpstr>
      <vt:lpstr>ValidationCodes</vt:lpstr>
      <vt:lpstr>Validdatacols</vt:lpstr>
      <vt:lpstr>ValidHideSheet</vt:lpstr>
      <vt:lpstr>VERNUM</vt:lpstr>
      <vt:lpstr>VERSION</vt:lpstr>
      <vt:lpstr>YEAR</vt:lpstr>
      <vt:lpstr>Z_coltags1</vt:lpstr>
      <vt:lpstr>Z_coltags2</vt:lpstr>
      <vt:lpstr>Z_coltags3</vt:lpstr>
      <vt:lpstr>Z_colvars</vt:lpstr>
      <vt:lpstr>Z_datacols1</vt:lpstr>
      <vt:lpstr>Z_datacols2</vt:lpstr>
      <vt:lpstr>Z_datacols3</vt:lpstr>
      <vt:lpstr>Z_rowtags1</vt:lpstr>
      <vt:lpstr>Z_rowtags2</vt:lpstr>
      <vt:lpstr>Z_rowvars</vt:lpstr>
    </vt:vector>
  </TitlesOfParts>
  <Manager/>
  <Company>HEFCE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woodhan</dc:creator>
  <cp:keywords/>
  <dc:description/>
  <cp:lastModifiedBy>Sara Carroll</cp:lastModifiedBy>
  <cp:revision/>
  <cp:lastPrinted>2022-09-28T15:04:50Z</cp:lastPrinted>
  <dcterms:created xsi:type="dcterms:W3CDTF">2006-08-04T15:45:01Z</dcterms:created>
  <dcterms:modified xsi:type="dcterms:W3CDTF">2024-09-17T15:22:29Z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-1408650913</vt:i4>
  </property>
  <property fmtid="{D5CDD505-2E9C-101B-9397-08002B2CF9AE}" pid="3" name="_EmailSubject">
    <vt:lpwstr>Surveys</vt:lpwstr>
  </property>
  <property fmtid="{D5CDD505-2E9C-101B-9397-08002B2CF9AE}" pid="4" name="_AuthorEmail">
    <vt:lpwstr>a.ryan@hefce.ac.uk</vt:lpwstr>
  </property>
  <property fmtid="{D5CDD505-2E9C-101B-9397-08002B2CF9AE}" pid="5" name="_AuthorEmailDisplayName">
    <vt:lpwstr>Anthony RYAN (7297)</vt:lpwstr>
  </property>
  <property fmtid="{D5CDD505-2E9C-101B-9397-08002B2CF9AE}" pid="6" name="_ReviewingToolsShownOnce">
    <vt:lpwstr/>
  </property>
  <property fmtid="{D5CDD505-2E9C-101B-9397-08002B2CF9AE}" pid="7" name="ContentTypeId">
    <vt:lpwstr>0x010100FD010261F054994E932308ADBDEBD0FC</vt:lpwstr>
  </property>
  <property fmtid="{D5CDD505-2E9C-101B-9397-08002B2CF9AE}" pid="8" name="RecordType">
    <vt:lpwstr/>
  </property>
  <property fmtid="{D5CDD505-2E9C-101B-9397-08002B2CF9AE}" pid="9" name="MediaServiceImageTags">
    <vt:lpwstr/>
  </property>
</Properties>
</file>